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.olgun\Desktop\"/>
    </mc:Choice>
  </mc:AlternateContent>
  <xr:revisionPtr revIDLastSave="0" documentId="13_ncr:1_{AE808326-B0D7-4A2B-8423-BB89F1452334}" xr6:coauthVersionLast="45" xr6:coauthVersionMax="45" xr10:uidLastSave="{00000000-0000-0000-0000-000000000000}"/>
  <bookViews>
    <workbookView xWindow="-120" yWindow="-120" windowWidth="24240" windowHeight="13290" firstSheet="595" activeTab="595" xr2:uid="{00000000-000D-0000-FFFF-FFFF00000000}"/>
  </bookViews>
  <sheets>
    <sheet name="bim" sheetId="1" r:id="rId1"/>
    <sheet name="dana kol" sheetId="3" r:id="rId2"/>
    <sheet name="düve" sheetId="4" r:id="rId3"/>
    <sheet name="sığır" sheetId="5" r:id="rId4"/>
    <sheet name="E1-ÖA18103001 " sheetId="6" r:id="rId5"/>
    <sheet name="E4-BO18100204 " sheetId="8" r:id="rId6"/>
    <sheet name="E8-BO18100608" sheetId="9" r:id="rId7"/>
    <sheet name="E11-ÖA18100910 " sheetId="10" r:id="rId8"/>
    <sheet name="E12-BO18101010" sheetId="11" r:id="rId9"/>
    <sheet name="E15-BO18101315" sheetId="12" r:id="rId10"/>
    <sheet name="E16-BO18101215" sheetId="14" r:id="rId11"/>
    <sheet name="E16-BO18101215 " sheetId="13" r:id="rId12"/>
    <sheet name="E18-ÖA18101617" sheetId="15" r:id="rId13"/>
    <sheet name="MOL22-18102022" sheetId="16" r:id="rId14"/>
    <sheet name="ÖA23-18102022" sheetId="17" r:id="rId15"/>
    <sheet name="ÖV25-18102425" sheetId="18" r:id="rId16"/>
    <sheet name="BO26-18101325-D" sheetId="19" r:id="rId17"/>
    <sheet name="ÖA29-18102829" sheetId="20" r:id="rId18"/>
    <sheet name="ÖA29-18102829-1" sheetId="21" r:id="rId19"/>
    <sheet name="ÖA30-18102829-S" sheetId="22" r:id="rId20"/>
    <sheet name="kasım ayı" sheetId="23" r:id="rId21"/>
    <sheet name="B01-18102729" sheetId="24" r:id="rId22"/>
    <sheet name="ÖA1-18113101" sheetId="25" r:id="rId23"/>
    <sheet name="ÖA5-18113101-1" sheetId="26" r:id="rId24"/>
    <sheet name="ÖA5-18113101-S" sheetId="27" r:id="rId25"/>
    <sheet name="ÖA5-18110405" sheetId="28" r:id="rId26"/>
    <sheet name="ÖA7-18110405-1" sheetId="29" r:id="rId27"/>
    <sheet name="BO8-18110608" sheetId="30" r:id="rId28"/>
    <sheet name="ÖA8-18110607" sheetId="33" r:id="rId29"/>
    <sheet name="ÖA9-18110607-1" sheetId="32" r:id="rId30"/>
    <sheet name="MOL12-18111112" sheetId="31" r:id="rId31"/>
    <sheet name="MOL15-18111415" sheetId="34" r:id="rId32"/>
    <sheet name="G16-18111314" sheetId="35" r:id="rId33"/>
    <sheet name="MOL19-18111719" sheetId="36" r:id="rId34"/>
    <sheet name="ÖA22-18112021" sheetId="37" r:id="rId35"/>
    <sheet name="ÖA22-18112021-1" sheetId="38" r:id="rId36"/>
    <sheet name="MOL26-18112426" sheetId="39" r:id="rId37"/>
    <sheet name="MOL29-18112829" sheetId="40" r:id="rId38"/>
    <sheet name="ARALIK AYI" sheetId="41" r:id="rId39"/>
    <sheet name="ÖA03-18120203" sheetId="42" r:id="rId40"/>
    <sheet name="ÜN06-18120506" sheetId="43" r:id="rId41"/>
    <sheet name="BO06-18120406" sheetId="44" r:id="rId42"/>
    <sheet name="MOL10-18120810" sheetId="45" r:id="rId43"/>
    <sheet name="MOL13-18121213" sheetId="46" r:id="rId44"/>
    <sheet name="YIL17-18121617" sheetId="47" r:id="rId45"/>
    <sheet name="YIL20-18121920" sheetId="48" r:id="rId46"/>
    <sheet name="ÖA24-18122324" sheetId="49" r:id="rId47"/>
    <sheet name="ÖA27-18122324-1" sheetId="50" r:id="rId48"/>
    <sheet name="BO28-18122627" sheetId="51" r:id="rId49"/>
    <sheet name="BO28-18122728" sheetId="52" r:id="rId50"/>
    <sheet name="ARALIK TOPLAM" sheetId="53" r:id="rId51"/>
    <sheet name="YIL03-19010203" sheetId="54" r:id="rId52"/>
    <sheet name="MOL21-10011921" sheetId="55" r:id="rId53"/>
    <sheet name="PO23-19011819-S" sheetId="56" r:id="rId54"/>
    <sheet name="MOL24-19012324" sheetId="57" r:id="rId55"/>
    <sheet name="FA24-19012223-S" sheetId="58" r:id="rId56"/>
    <sheet name="AY24-19012324-S" sheetId="59" r:id="rId57"/>
    <sheet name="AY24-19012324" sheetId="60" r:id="rId58"/>
    <sheet name="ÖB25-19012324-S" sheetId="61" r:id="rId59"/>
    <sheet name="3E-25-19012425-S" sheetId="62" r:id="rId60"/>
    <sheet name="G26-19012223" sheetId="65" r:id="rId61"/>
    <sheet name="ÖV28-19012728" sheetId="63" r:id="rId62"/>
    <sheet name="G28-19012628-1" sheetId="64" r:id="rId63"/>
    <sheet name="G28-19012628" sheetId="69" r:id="rId64"/>
    <sheet name="AY28-19012728" sheetId="66" r:id="rId65"/>
    <sheet name="AY28-19012728-S" sheetId="67" r:id="rId66"/>
    <sheet name="3E29-19012728-S" sheetId="68" r:id="rId67"/>
    <sheet name="ÜN29-19012829-S" sheetId="70" r:id="rId68"/>
    <sheet name="AK30-19012930-S" sheetId="71" r:id="rId69"/>
    <sheet name="ÖZ30-19012830-S" sheetId="72" r:id="rId70"/>
    <sheet name="FA30-19012930-S" sheetId="73" r:id="rId71"/>
    <sheet name="ÖA31-19013031" sheetId="74" r:id="rId72"/>
    <sheet name="İP31-19013031-S" sheetId="75" r:id="rId73"/>
    <sheet name="AY31-19013031-S" sheetId="76" r:id="rId74"/>
    <sheet name="OCAK TOPLAM" sheetId="77" r:id="rId75"/>
    <sheet name="ÖA1-19013031-1" sheetId="81" r:id="rId76"/>
    <sheet name="SA1-19012931-S" sheetId="78" r:id="rId77"/>
    <sheet name="3E1-19023001-S" sheetId="79" r:id="rId78"/>
    <sheet name="ÖA2-19020102" sheetId="80" r:id="rId79"/>
    <sheet name="MY2-19020102-S" sheetId="82" r:id="rId80"/>
    <sheet name="G4-19020204" sheetId="83" r:id="rId81"/>
    <sheet name="G4-19020204-1" sheetId="84" r:id="rId82"/>
    <sheet name="AY4-19013031" sheetId="85" r:id="rId83"/>
    <sheet name="SA4-19020204-S" sheetId="86" r:id="rId84"/>
    <sheet name="ATK4-19020304" sheetId="87" r:id="rId85"/>
    <sheet name="ATK4-19020304-S" sheetId="88" r:id="rId86"/>
    <sheet name="AY4-19020304-S" sheetId="89" r:id="rId87"/>
    <sheet name="YÜK5-19023005-S" sheetId="90" r:id="rId88"/>
    <sheet name="ÜN5-19020405-S" sheetId="91" r:id="rId89"/>
    <sheet name="G5-19020405" sheetId="92" r:id="rId90"/>
    <sheet name="FA6-19020506-S" sheetId="93" r:id="rId91"/>
    <sheet name="3E6-19020506-S" sheetId="94" r:id="rId92"/>
    <sheet name="G6-19020506" sheetId="96" r:id="rId93"/>
    <sheet name="BA7-19020607" sheetId="95" r:id="rId94"/>
    <sheet name="İP7-19020607-S" sheetId="97" r:id="rId95"/>
    <sheet name="G07-19020607" sheetId="98" r:id="rId96"/>
    <sheet name="AT10-19020810-S" sheetId="99" r:id="rId97"/>
    <sheet name="ÜN10-19020810" sheetId="100" r:id="rId98"/>
    <sheet name="BA11-19021011" sheetId="101" r:id="rId99"/>
    <sheet name="BA11-19020708" sheetId="102" r:id="rId100"/>
    <sheet name="ÖZ13-19020911" sheetId="103" r:id="rId101"/>
    <sheet name="ÖB14-19021314-1" sheetId="104" r:id="rId102"/>
    <sheet name="BO14-19021214" sheetId="105" r:id="rId103"/>
    <sheet name="YIL18-19021718" sheetId="106" r:id="rId104"/>
    <sheet name="ÖB18-19021314" sheetId="107" r:id="rId105"/>
    <sheet name="BA18-19021415" sheetId="108" r:id="rId106"/>
    <sheet name="YIL21-19022021" sheetId="109" r:id="rId107"/>
    <sheet name="BO22-19021618" sheetId="110" r:id="rId108"/>
    <sheet name="AY22-19021718" sheetId="111" r:id="rId109"/>
    <sheet name="YIL25-19022425" sheetId="112" r:id="rId110"/>
    <sheet name="AL26-19022223" sheetId="113" r:id="rId111"/>
    <sheet name="BA26-19022425" sheetId="114" r:id="rId112"/>
    <sheet name="AYG27-19022425" sheetId="115" r:id="rId113"/>
    <sheet name="ÖA27-19022627" sheetId="117" r:id="rId114"/>
    <sheet name="YIL28-19022728" sheetId="116" r:id="rId115"/>
    <sheet name="ŞUBAT TOPLAM" sheetId="118" r:id="rId116"/>
    <sheet name="ÖB3-19032701" sheetId="119" r:id="rId117"/>
    <sheet name="ÖA4-19030304" sheetId="120" r:id="rId118"/>
    <sheet name="ÖA5-19030304-1" sheetId="121" r:id="rId119"/>
    <sheet name="G5-19030204" sheetId="122" r:id="rId120"/>
    <sheet name="BA5-19030305" sheetId="123" r:id="rId121"/>
    <sheet name="G6-19030506" sheetId="124" r:id="rId122"/>
    <sheet name="G7-19030607" sheetId="125" r:id="rId123"/>
    <sheet name="G8-19030607" sheetId="126" r:id="rId124"/>
    <sheet name="ÖA8-19030607" sheetId="127" r:id="rId125"/>
    <sheet name="G9-19030708" sheetId="128" r:id="rId126"/>
    <sheet name="G11-19030911" sheetId="129" r:id="rId127"/>
    <sheet name="AY11-19031011-S" sheetId="130" r:id="rId128"/>
    <sheet name="LA11-19030911-S" sheetId="131" r:id="rId129"/>
    <sheet name="G12-19030911-1" sheetId="132" r:id="rId130"/>
    <sheet name="BA12-19031011" sheetId="133" r:id="rId131"/>
    <sheet name="G12-19031112" sheetId="134" r:id="rId132"/>
    <sheet name="FA13-19031213-S" sheetId="135" r:id="rId133"/>
    <sheet name="ÜN13-19031213-S" sheetId="136" r:id="rId134"/>
    <sheet name="BA13-19031213-S" sheetId="137" r:id="rId135"/>
    <sheet name="3E13-19031213-S" sheetId="138" r:id="rId136"/>
    <sheet name="G14-19031314" sheetId="139" r:id="rId137"/>
    <sheet name="G14-19031314-1" sheetId="140" r:id="rId138"/>
    <sheet name="BA19031213" sheetId="141" r:id="rId139"/>
    <sheet name="3E14-19031213" sheetId="142" r:id="rId140"/>
    <sheet name="G15-19031315" sheetId="144" r:id="rId141"/>
    <sheet name="EM16-19031516-S" sheetId="145" r:id="rId142"/>
    <sheet name="BA16-19031415" sheetId="146" r:id="rId143"/>
    <sheet name="G18-19031718" sheetId="147" r:id="rId144"/>
    <sheet name="G18-19031718-1" sheetId="152" r:id="rId145"/>
    <sheet name="İP18-19031618-S" sheetId="148" r:id="rId146"/>
    <sheet name="AY18-19031718-S" sheetId="149" r:id="rId147"/>
    <sheet name="3E19-19031718-S" sheetId="150" r:id="rId148"/>
    <sheet name="BA19-19031819-S" sheetId="151" r:id="rId149"/>
    <sheet name="ÖA19-19031718" sheetId="153" r:id="rId150"/>
    <sheet name="ÖA19-19031819" sheetId="155" r:id="rId151"/>
    <sheet name="G20-19031819-1" sheetId="154" r:id="rId152"/>
    <sheet name="FA20-19031920-S" sheetId="158" r:id="rId153"/>
    <sheet name="ÜN20-19031920-S" sheetId="159" r:id="rId154"/>
    <sheet name="G21-19032021" sheetId="156" r:id="rId155"/>
    <sheet name="G21-19032021-1" sheetId="157" r:id="rId156"/>
    <sheet name="AT22-19032121-S" sheetId="160" r:id="rId157"/>
    <sheet name="ÖA22-19032021" sheetId="161" r:id="rId158"/>
    <sheet name="MO25-19032325" sheetId="162" r:id="rId159"/>
    <sheet name="EM25-19032223-S" sheetId="163" r:id="rId160"/>
    <sheet name="ÖA25-19032425" sheetId="164" r:id="rId161"/>
    <sheet name="AY25-19032425-S" sheetId="165" r:id="rId162"/>
    <sheet name="SA26-19032325-S" sheetId="166" r:id="rId163"/>
    <sheet name="BA26-19032526" sheetId="167" r:id="rId164"/>
    <sheet name="ÖB26-19032426-S" sheetId="168" r:id="rId165"/>
    <sheet name="BA26-19032526-S" sheetId="169" r:id="rId166"/>
    <sheet name="ÖB26-19032426" sheetId="170" r:id="rId167"/>
    <sheet name="G27-19032526" sheetId="171" r:id="rId168"/>
    <sheet name="ÜN27-19032627-S" sheetId="174" r:id="rId169"/>
    <sheet name="G28-19032728" sheetId="172" r:id="rId170"/>
    <sheet name="G28-19032728-1" sheetId="175" r:id="rId171"/>
    <sheet name="FA28-19032627-S" sheetId="173" r:id="rId172"/>
    <sheet name="ÖA28-19032728" sheetId="177" r:id="rId173"/>
    <sheet name="EM29-19032629-S" sheetId="176" r:id="rId174"/>
    <sheet name="ÖA29-19032829" sheetId="178" r:id="rId175"/>
    <sheet name="MART TOPLAM" sheetId="179" r:id="rId176"/>
    <sheet name="MART SIĞIR" sheetId="180" r:id="rId177"/>
    <sheet name="G1-19043001" sheetId="181" r:id="rId178"/>
    <sheet name="G1-19043001-1" sheetId="186" r:id="rId179"/>
    <sheet name="AY1-19043101-S" sheetId="182" r:id="rId180"/>
    <sheet name="AY1-19043101" sheetId="183" r:id="rId181"/>
    <sheet name="BA2-19043101-S" sheetId="184" r:id="rId182"/>
    <sheet name="ÖA2-19043101" sheetId="185" r:id="rId183"/>
    <sheet name="G2-19040102" sheetId="187" r:id="rId184"/>
    <sheet name="ÜN3-19040203-S" sheetId="188" r:id="rId185"/>
    <sheet name="G3-19040203" sheetId="189" r:id="rId186"/>
    <sheet name="G4-19040304" sheetId="190" r:id="rId187"/>
    <sheet name="ÖA4-19040304" sheetId="191" r:id="rId188"/>
    <sheet name="G5-19040304-1" sheetId="192" r:id="rId189"/>
    <sheet name="EM5-19040405-S" sheetId="193" r:id="rId190"/>
    <sheet name="ÖA5-19040405" sheetId="194" r:id="rId191"/>
    <sheet name="ÖB6-19040405" sheetId="196" r:id="rId192"/>
    <sheet name="ÖB6-19040506-S" sheetId="198" r:id="rId193"/>
    <sheet name="JT8-19040607" sheetId="195" r:id="rId194"/>
    <sheet name="ÖA8-19040708" sheetId="197" r:id="rId195"/>
    <sheet name="ÖB8-19040506" sheetId="199" r:id="rId196"/>
    <sheet name="ÖA9-19040708-1" sheetId="200" r:id="rId197"/>
    <sheet name="JT9-19040608" sheetId="201" r:id="rId198"/>
    <sheet name="JT9-19040608-1" sheetId="202" r:id="rId199"/>
    <sheet name="JT9-19040608-S" sheetId="203" r:id="rId200"/>
    <sheet name="JT9-19040608-D" sheetId="204" r:id="rId201"/>
    <sheet name="AT9-19040808" sheetId="205" r:id="rId202"/>
    <sheet name="BA9-19040709-S" sheetId="206" r:id="rId203"/>
    <sheet name="BA9-19040709" sheetId="207" r:id="rId204"/>
    <sheet name="ÖA10-19040809" sheetId="208" r:id="rId205"/>
    <sheet name="ÜN10-19040910-S" sheetId="209" r:id="rId206"/>
    <sheet name="BA11-19040910-S" sheetId="210" r:id="rId207"/>
    <sheet name="MOL11-19041011" sheetId="211" r:id="rId208"/>
    <sheet name="BA11-19040910" sheetId="212" r:id="rId209"/>
    <sheet name="ALP11-19040910" sheetId="213" r:id="rId210"/>
    <sheet name="JT12-19040911-D" sheetId="214" r:id="rId211"/>
    <sheet name="JT12-19040911" sheetId="215" r:id="rId212"/>
    <sheet name="JT12-19040911-S" sheetId="216" r:id="rId213"/>
    <sheet name="BA12-19041112-S" sheetId="217" r:id="rId214"/>
    <sheet name="EM12-19040912-S" sheetId="218" r:id="rId215"/>
    <sheet name="ÖA13-19041112" sheetId="219" r:id="rId216"/>
    <sheet name="ÖA15-19041415" sheetId="220" r:id="rId217"/>
    <sheet name="ÖA15-19041415-1" sheetId="228" r:id="rId218"/>
    <sheet name="FA15-19041213-S" sheetId="221" r:id="rId219"/>
    <sheet name="ÖA15-19041011" sheetId="222" r:id="rId220"/>
    <sheet name="AY15-19041415-S" sheetId="223" r:id="rId221"/>
    <sheet name="EM15-19041115-S" sheetId="224" r:id="rId222"/>
    <sheet name="EB16-19041415-S" sheetId="225" r:id="rId223"/>
    <sheet name="ÖB16-19041416" sheetId="226" r:id="rId224"/>
    <sheet name="ÖB16-19041416-K" sheetId="227" r:id="rId225"/>
    <sheet name="G17-19041315" sheetId="229" r:id="rId226"/>
    <sheet name="ÜN17-19041617-S" sheetId="231" r:id="rId227"/>
    <sheet name="ALP17-19041617-S" sheetId="232" r:id="rId228"/>
    <sheet name="EMM17-19041617-S" sheetId="235" r:id="rId229"/>
    <sheet name="JT18-19041617" sheetId="230" r:id="rId230"/>
    <sheet name="JT18-19041617." sheetId="233" r:id="rId231"/>
    <sheet name="G18-19041516" sheetId="234" r:id="rId232"/>
    <sheet name="BA18-19041618" sheetId="237" r:id="rId233"/>
    <sheet name="EMM19-19041617" sheetId="236" r:id="rId234"/>
    <sheet name="BA19-19041618-S" sheetId="238" r:id="rId235"/>
    <sheet name="JT19-19041718" sheetId="239" r:id="rId236"/>
    <sheet name="YI19-19041819-S" sheetId="240" r:id="rId237"/>
    <sheet name="BA20-19041718" sheetId="242" r:id="rId238"/>
    <sheet name="G22-19042022" sheetId="241" r:id="rId239"/>
    <sheet name="G22-19042022-1" sheetId="243" r:id="rId240"/>
    <sheet name="EM22-19041619-S" sheetId="244" r:id="rId241"/>
    <sheet name="AY22-19042122-S" sheetId="245" r:id="rId242"/>
    <sheet name="BAY22-19042222-S" sheetId="246" r:id="rId243"/>
    <sheet name="ÖA22-19042122" sheetId="256" r:id="rId244"/>
    <sheet name="ÖB24-19042122" sheetId="247" r:id="rId245"/>
    <sheet name="ÖB24-19042122-S" sheetId="248" r:id="rId246"/>
    <sheet name="ÖB24-19042122-D" sheetId="249" r:id="rId247"/>
    <sheet name="BO24-19042022" sheetId="250" r:id="rId248"/>
    <sheet name="BO24-19042022-S" sheetId="251" r:id="rId249"/>
    <sheet name="ÜN24-19042324-S" sheetId="252" r:id="rId250"/>
    <sheet name="YI24-19042324-S" sheetId="253" r:id="rId251"/>
    <sheet name="G25-19042325" sheetId="254" r:id="rId252"/>
    <sheet name="G25-19042325-1" sheetId="255" r:id="rId253"/>
    <sheet name="ÖA25-19042425" sheetId="257" r:id="rId254"/>
    <sheet name="ÖB26-19042425" sheetId="258" r:id="rId255"/>
    <sheet name="ÖB26-19042425-S" sheetId="259" r:id="rId256"/>
    <sheet name="AY26-19042425-S" sheetId="260" r:id="rId257"/>
    <sheet name="EM26-19042426-S" sheetId="261" r:id="rId258"/>
    <sheet name="G29-19042629" sheetId="262" r:id="rId259"/>
    <sheet name="G29-19042629-1" sheetId="263" r:id="rId260"/>
    <sheet name="AYG29-19042829-S" sheetId="264" r:id="rId261"/>
    <sheet name="ÖA29-19042829" sheetId="265" r:id="rId262"/>
    <sheet name="G30-19042930" sheetId="266" r:id="rId263"/>
    <sheet name="EB30-19042830-S" sheetId="267" r:id="rId264"/>
    <sheet name="BAY30-19042729-S" sheetId="268" r:id="rId265"/>
    <sheet name="NİSAN TOPLAM" sheetId="269" r:id="rId266"/>
    <sheet name="BA02-19053001" sheetId="270" r:id="rId267"/>
    <sheet name="ÜN02-19053001-S" sheetId="271" r:id="rId268"/>
    <sheet name="G02-19053002" sheetId="272" r:id="rId269"/>
    <sheet name="G02-19053002-1" sheetId="273" r:id="rId270"/>
    <sheet name="YI03-19053001-S" sheetId="274" r:id="rId271"/>
    <sheet name="ÖB03-19050102" sheetId="275" r:id="rId272"/>
    <sheet name="BA03-19053001-S" sheetId="278" r:id="rId273"/>
    <sheet name="ÖA03-19050203" sheetId="279" r:id="rId274"/>
    <sheet name="ÖB04-19050102-S" sheetId="276" r:id="rId275"/>
    <sheet name="G04-19050203" sheetId="280" r:id="rId276"/>
    <sheet name="ANK04-19050102-S" sheetId="281" r:id="rId277"/>
    <sheet name="ÖB06-19050102-D" sheetId="277" r:id="rId278"/>
    <sheet name="MOL06-19050406" sheetId="282" r:id="rId279"/>
    <sheet name="BEŞ06-19050204-S" sheetId="283" r:id="rId280"/>
    <sheet name="BEŞ06-19050204-D" sheetId="284" r:id="rId281"/>
    <sheet name="G06-19050406" sheetId="285" r:id="rId282"/>
    <sheet name="BO07-19050406" sheetId="286" r:id="rId283"/>
    <sheet name="BO07-19050406-S" sheetId="287" r:id="rId284"/>
    <sheet name="AYG07-19050506-S" sheetId="288" r:id="rId285"/>
    <sheet name="EM07-19050406-S" sheetId="289" r:id="rId286"/>
    <sheet name="MİR07-19050305-S" sheetId="290" r:id="rId287"/>
    <sheet name="ÖB07-19050506" sheetId="292" r:id="rId288"/>
    <sheet name="ÖB07-19050506-S" sheetId="293" r:id="rId289"/>
    <sheet name="ÖB08-19050506-D" sheetId="294" r:id="rId290"/>
    <sheet name="ÖA08-19050607" sheetId="291" r:id="rId291"/>
    <sheet name="G08-19050708" sheetId="297" r:id="rId292"/>
    <sheet name="G09-19050709" sheetId="295" r:id="rId293"/>
    <sheet name="G09-19050709-1" sheetId="296" r:id="rId294"/>
    <sheet name="ÖB10-19050810" sheetId="298" r:id="rId295"/>
    <sheet name="YI10-19050708-S" sheetId="299" r:id="rId296"/>
    <sheet name="ÖA10-19050809" sheetId="302" r:id="rId297"/>
    <sheet name="ÜN10-19050708-S" sheetId="307" r:id="rId298"/>
    <sheet name="ÖB11-19050810-D" sheetId="300" r:id="rId299"/>
    <sheet name="BEŞ11-19050910-D" sheetId="301" r:id="rId300"/>
    <sheet name="BEŞ11-19050910-S" sheetId="304" r:id="rId301"/>
    <sheet name="MİR11-19050910-S" sheetId="305" r:id="rId302"/>
    <sheet name="G11-19050910" sheetId="312" r:id="rId303"/>
    <sheet name="YIL13-19051213" sheetId="303" r:id="rId304"/>
    <sheet name="BAY13-19050910-S" sheetId="306" r:id="rId305"/>
    <sheet name="ÖB13-19050810-S" sheetId="315" r:id="rId306"/>
    <sheet name="BO13-19051113" sheetId="326" r:id="rId307"/>
    <sheet name="ÖB14-19050810-K" sheetId="308" r:id="rId308"/>
    <sheet name="BAY14-19050910-D" sheetId="309" r:id="rId309"/>
    <sheet name="EB14-19051213-S" sheetId="310" r:id="rId310"/>
    <sheet name="EM14-19050610-S" sheetId="311" r:id="rId311"/>
    <sheet name="BO14-19051113-S" sheetId="313" r:id="rId312"/>
    <sheet name="AYG14-19051213-S" sheetId="314" r:id="rId313"/>
    <sheet name="ÖB15-19051214-D" sheetId="316" r:id="rId314"/>
    <sheet name="ÖB15-19051214-S" sheetId="317" r:id="rId315"/>
    <sheet name="EMM15-19051315" sheetId="318" r:id="rId316"/>
    <sheet name="G15-19051014" sheetId="320" r:id="rId317"/>
    <sheet name="YIL16-19051516" sheetId="319" r:id="rId318"/>
    <sheet name="ÜN16-19051415-S" sheetId="321" r:id="rId319"/>
    <sheet name="ÖA17-19051516" sheetId="322" r:id="rId320"/>
    <sheet name="AYG17-19051517-S" sheetId="323" r:id="rId321"/>
    <sheet name="SK17-19051213-S" sheetId="325" r:id="rId322"/>
    <sheet name="EMM17-19051315-S" sheetId="327" r:id="rId323"/>
    <sheet name="BEŞ18-19051617-S" sheetId="324" r:id="rId324"/>
    <sheet name="G20-19051820" sheetId="328" r:id="rId325"/>
    <sheet name="ÖA20-19051920" sheetId="330" r:id="rId326"/>
    <sheet name="G21-19051820-1" sheetId="329" r:id="rId327"/>
    <sheet name="BO21-19051820" sheetId="331" r:id="rId328"/>
    <sheet name="ÖB21-19051517-S" sheetId="333" r:id="rId329"/>
    <sheet name="EMR21-19051617-S" sheetId="335" r:id="rId330"/>
    <sheet name="AYG21-19051920-S" sheetId="336" r:id="rId331"/>
    <sheet name="MRZ21-19051718-S" sheetId="337" r:id="rId332"/>
    <sheet name="BEŞ22-19051617-D" sheetId="332" r:id="rId333"/>
    <sheet name="ÖB22-19051517-D" sheetId="334" r:id="rId334"/>
    <sheet name="EMM23-19052122" sheetId="338" r:id="rId335"/>
    <sheet name="ÜN23-19052122-S" sheetId="339" r:id="rId336"/>
    <sheet name="G23-19052123" sheetId="340" r:id="rId337"/>
    <sheet name="BEŞ24-19052324-D" sheetId="341" r:id="rId338"/>
    <sheet name="BEŞ24-19052324-S" sheetId="342" r:id="rId339"/>
    <sheet name="YIL27-19052527" sheetId="343" r:id="rId340"/>
    <sheet name="EM28-19052728-S" sheetId="345" r:id="rId341"/>
    <sheet name="ÜN29-19052829-S" sheetId="347" r:id="rId342"/>
    <sheet name="YIL30-19052930" sheetId="346" r:id="rId343"/>
    <sheet name="MİR30-19052930-S" sheetId="348" r:id="rId344"/>
    <sheet name="MİR31-19052530-S" sheetId="349" r:id="rId345"/>
    <sheet name="BO31-19052527" sheetId="350" r:id="rId346"/>
    <sheet name="MAYIS TOPLAM" sheetId="351" r:id="rId347"/>
    <sheet name="EM07-19060607-S" sheetId="352" r:id="rId348"/>
    <sheet name="G07-19060307" sheetId="353" r:id="rId349"/>
    <sheet name="G07-19060307-1" sheetId="354" r:id="rId350"/>
    <sheet name="G10-19060710" sheetId="355" r:id="rId351"/>
    <sheet name="G10-19060710-1" sheetId="356" r:id="rId352"/>
    <sheet name="AYG10-19060910-S" sheetId="358" r:id="rId353"/>
    <sheet name="G11-19061011" sheetId="357" r:id="rId354"/>
    <sheet name="EMM12-19061112" sheetId="359" r:id="rId355"/>
    <sheet name="EMM12-19061112-S" sheetId="360" r:id="rId356"/>
    <sheet name="ÜN12-19061112-S" sheetId="361" r:id="rId357"/>
    <sheet name="MİR12-19061112-S" sheetId="363" r:id="rId358"/>
    <sheet name="G13-19061213" sheetId="362" r:id="rId359"/>
    <sheet name="ANK19061113-S" sheetId="365" r:id="rId360"/>
    <sheet name="ANK14-19061113" sheetId="364" r:id="rId361"/>
    <sheet name="G14-19061213-1" sheetId="366" r:id="rId362"/>
    <sheet name="G14-19061214" sheetId="367" r:id="rId363"/>
    <sheet name="3E14-19061213-S" sheetId="368" r:id="rId364"/>
    <sheet name="KAZ14-19061213-S" sheetId="369" r:id="rId365"/>
    <sheet name="EM15-19061314-S" sheetId="370" r:id="rId366"/>
    <sheet name="MİR15-19061415-S" sheetId="372" r:id="rId367"/>
    <sheet name="YIL17-19061617" sheetId="371" r:id="rId368"/>
    <sheet name="G17-19061517" sheetId="373" r:id="rId369"/>
    <sheet name="AYG18-19061617-S" sheetId="374" r:id="rId370"/>
    <sheet name="AYG18-19061617" sheetId="375" r:id="rId371"/>
    <sheet name="KAZ18-19061517-S" sheetId="376" r:id="rId372"/>
    <sheet name="TRM18-19061617-S" sheetId="377" r:id="rId373"/>
    <sheet name="G18-19061718" sheetId="378" r:id="rId374"/>
    <sheet name="BA19-19061718-S" sheetId="379" r:id="rId375"/>
    <sheet name="BA19-19061718" sheetId="380" r:id="rId376"/>
    <sheet name="ÇE19-19061718-S" sheetId="381" r:id="rId377"/>
    <sheet name="EMM19-19061719" sheetId="383" r:id="rId378"/>
    <sheet name="EMM20-19061719-S" sheetId="384" r:id="rId379"/>
    <sheet name="YIL20-19061920" sheetId="385" r:id="rId380"/>
    <sheet name="G21-19061819" sheetId="386" r:id="rId381"/>
    <sheet name="KAZ21-19061820-S" sheetId="387" r:id="rId382"/>
    <sheet name="MİR21-19061819" sheetId="391" r:id="rId383"/>
    <sheet name="ÖL22-19061920-S" sheetId="388" r:id="rId384"/>
    <sheet name="AYG22-19061920-S" sheetId="389" r:id="rId385"/>
    <sheet name="ÜN22-19061819-S" sheetId="390" r:id="rId386"/>
    <sheet name="MİR22-19061819-S" sheetId="392" r:id="rId387"/>
    <sheet name="BO22-19061820-S" sheetId="394" r:id="rId388"/>
    <sheet name="MİR24-19061819-D" sheetId="393" r:id="rId389"/>
    <sheet name="BO24-19061820" sheetId="395" r:id="rId390"/>
    <sheet name="G24-19062224" sheetId="396" r:id="rId391"/>
    <sheet name="G25-19062224-1" sheetId="397" r:id="rId392"/>
    <sheet name="ANK25-19061921-S" sheetId="398" r:id="rId393"/>
    <sheet name="G26-19062425" sheetId="399" r:id="rId394"/>
    <sheet name="BEY26-19062224-S" sheetId="400" r:id="rId395"/>
    <sheet name="BEY26-19062224-D" sheetId="401" r:id="rId396"/>
    <sheet name="G27-19062627" sheetId="402" r:id="rId397"/>
    <sheet name="G27-19062627-1" sheetId="403" r:id="rId398"/>
    <sheet name="ÖA27-19062526" sheetId="404" r:id="rId399"/>
    <sheet name="BO28-19062627" sheetId="405" r:id="rId400"/>
    <sheet name="HAZİRAN TOPLAM" sheetId="406" r:id="rId401"/>
    <sheet name="ÖA01-19073001" sheetId="407" r:id="rId402"/>
    <sheet name="ÖA01-19073001-1" sheetId="409" r:id="rId403"/>
    <sheet name="ÖB01-19073001-K" sheetId="408" r:id="rId404"/>
    <sheet name="ÖA03-19070203" sheetId="413" r:id="rId405"/>
    <sheet name="ÖA04-19070203-K" sheetId="410" r:id="rId406"/>
    <sheet name="ÖA04-19070304" sheetId="411" r:id="rId407"/>
    <sheet name="ÖA04-19070304-1" sheetId="412" r:id="rId408"/>
    <sheet name="BO05-19070304" sheetId="414" r:id="rId409"/>
    <sheet name="YIL08-19070608" sheetId="415" r:id="rId410"/>
    <sheet name="EB08-19070708-S" sheetId="416" r:id="rId411"/>
    <sheet name="BA08-19070708" sheetId="417" r:id="rId412"/>
    <sheet name="BO09-19070608-S" sheetId="418" r:id="rId413"/>
    <sheet name="BA09-19070708-S" sheetId="419" r:id="rId414"/>
    <sheet name="G09-19070809" sheetId="429" r:id="rId415"/>
    <sheet name="BO10-19070608-D" sheetId="420" r:id="rId416"/>
    <sheet name="BEY10-19070809-S" sheetId="421" r:id="rId417"/>
    <sheet name="KAZ10-19070910-S" sheetId="422" r:id="rId418"/>
    <sheet name="BEY10-19070809-D" sheetId="423" r:id="rId419"/>
    <sheet name="MİR10-19070810-S" sheetId="424" r:id="rId420"/>
    <sheet name="MOL11-19071011" sheetId="425" r:id="rId421"/>
    <sheet name="ÖB11-19071011-K" sheetId="426" r:id="rId422"/>
    <sheet name="ALP12-19071112-D" sheetId="427" r:id="rId423"/>
    <sheet name="ÖB12-19071011-S" sheetId="428" r:id="rId424"/>
    <sheet name="KAZ15-19071415-S" sheetId="430" r:id="rId425"/>
    <sheet name="EBŞ15-19071415-S" sheetId="431" r:id="rId426"/>
    <sheet name="EMR15-19071113-S" sheetId="432" r:id="rId427"/>
    <sheet name="MİR15-19071315-S" sheetId="433" r:id="rId428"/>
    <sheet name="ÖB16-19071416-K" sheetId="434" r:id="rId429"/>
    <sheet name="ÖB16-19071416-S" sheetId="436" r:id="rId430"/>
    <sheet name="G16-19071516" sheetId="435" r:id="rId431"/>
    <sheet name="ANK17-19071415-S" sheetId="437" r:id="rId432"/>
    <sheet name="BA17-19071617" sheetId="438" r:id="rId433"/>
    <sheet name="ÜN17-19071516-S" sheetId="440" r:id="rId434"/>
    <sheet name="G17-19071516-1" sheetId="442" r:id="rId435"/>
    <sheet name="G18-19071617" sheetId="439" r:id="rId436"/>
    <sheet name="G18-19071617-1" sheetId="444" r:id="rId437"/>
    <sheet name="G18-19071718" sheetId="454" r:id="rId438"/>
    <sheet name="BA19-19071617-S" sheetId="443" r:id="rId439"/>
    <sheet name="ÖB19-19071718-D" sheetId="445" r:id="rId440"/>
    <sheet name="MEM19-19071718-S" sheetId="446" r:id="rId441"/>
    <sheet name="ÖB19-19071718-S" sheetId="447" r:id="rId442"/>
    <sheet name="ÖB20-19071718-K" sheetId="448" r:id="rId443"/>
    <sheet name="MOL22-19072022" sheetId="449" r:id="rId444"/>
    <sheet name="AYG23-19072122-S" sheetId="450" r:id="rId445"/>
    <sheet name="MİR23-19071718-D" sheetId="451" r:id="rId446"/>
    <sheet name="MİR23-19071718-S" sheetId="452" r:id="rId447"/>
    <sheet name="EBŞ23-19072122-S" sheetId="453" r:id="rId448"/>
    <sheet name="İP24-19071820-S" sheetId="455" r:id="rId449"/>
    <sheet name="ÖB24-19072122-K" sheetId="456" r:id="rId450"/>
    <sheet name="G24-19072123" sheetId="459" r:id="rId451"/>
    <sheet name="BA25-19072223-S" sheetId="457" r:id="rId452"/>
    <sheet name="YIL25-19072425" sheetId="458" r:id="rId453"/>
    <sheet name="EMM25-19072324-S" sheetId="460" r:id="rId454"/>
    <sheet name="MİR26-19072425-S" sheetId="465" r:id="rId455"/>
    <sheet name="MEM26-19072425-S" sheetId="473" r:id="rId456"/>
    <sheet name="G29-19072729" sheetId="461" r:id="rId457"/>
    <sheet name="EMM29-19072324" sheetId="466" r:id="rId458"/>
    <sheet name="ÜN29-19072425-S" sheetId="464" r:id="rId459"/>
    <sheet name="EB30-19072930-S" sheetId="469" r:id="rId460"/>
    <sheet name="AYG30-19072829-S" sheetId="470" r:id="rId461"/>
    <sheet name="ÖB30-19072830-K" sheetId="474" r:id="rId462"/>
    <sheet name="G30-19072325" sheetId="475" r:id="rId463"/>
    <sheet name="G31-19072729-1" sheetId="462" r:id="rId464"/>
    <sheet name="ALP31-19072930-D" sheetId="463" r:id="rId465"/>
    <sheet name="BEY31-19073031-S" sheetId="467" r:id="rId466"/>
    <sheet name="BEY31-19073031-D" sheetId="468" r:id="rId467"/>
    <sheet name="TEMMUZ TOPLAM" sheetId="472" r:id="rId468"/>
    <sheet name="TEMMUZ SIĞIR TOPLAM" sheetId="477" r:id="rId469"/>
    <sheet name="TEMMUZ DANA TOPLAM" sheetId="478" r:id="rId470"/>
    <sheet name="TEMMUZ DÜVE TOPLAM" sheetId="476" r:id="rId471"/>
    <sheet name="TEMMUZ PLATFORM TOPLAM" sheetId="489" r:id="rId472"/>
    <sheet name="G01-19083001" sheetId="479" r:id="rId473"/>
    <sheet name="ÇEK01-19083101-S" sheetId="481" r:id="rId474"/>
    <sheet name="KAZ01-19083001-S" sheetId="482" r:id="rId475"/>
    <sheet name="G02-19073031" sheetId="488" r:id="rId476"/>
    <sheet name="BA02-19083101-S" sheetId="483" r:id="rId477"/>
    <sheet name="MİR02-19080102-S" sheetId="484" r:id="rId478"/>
    <sheet name="EMR02-19083102-S" sheetId="485" r:id="rId479"/>
    <sheet name="ALP05-19072930" sheetId="471" r:id="rId480"/>
    <sheet name="ÖB05-19080405" sheetId="486" r:id="rId481"/>
    <sheet name="ÖB06-19080405-1" sheetId="487" r:id="rId482"/>
    <sheet name="G06-19083001-1" sheetId="480" r:id="rId483"/>
    <sheet name="ALP06-19080506-2" sheetId="492" r:id="rId484"/>
    <sheet name="G06-19080305" sheetId="497" r:id="rId485"/>
    <sheet name="MEM07-19080607-S" sheetId="490" r:id="rId486"/>
    <sheet name="ALP07-19080506-D" sheetId="491" r:id="rId487"/>
    <sheet name="ALP08-19080506-1" sheetId="494" r:id="rId488"/>
    <sheet name="ALP07-19080506" sheetId="493" r:id="rId489"/>
    <sheet name="G08-19080608" sheetId="495" r:id="rId490"/>
    <sheet name="ÖB08-19080607" sheetId="498" r:id="rId491"/>
    <sheet name="ÖB09-19080607-1" sheetId="499" r:id="rId492"/>
    <sheet name="G09-19080608-1" sheetId="496" r:id="rId493"/>
    <sheet name="EMR09-19080607-S" sheetId="500" r:id="rId494"/>
    <sheet name="ÇEK08-19080708-S" sheetId="501" r:id="rId495"/>
    <sheet name="G15-19081315" sheetId="502" r:id="rId496"/>
    <sheet name="ÖB15-19081115-D" sheetId="504" r:id="rId497"/>
    <sheet name="ÖB16-19081516-D" sheetId="503" r:id="rId498"/>
    <sheet name="G16-19081315-1" sheetId="505" r:id="rId499"/>
    <sheet name="G19-19081819" sheetId="513" r:id="rId500"/>
    <sheet name="G19-19081819-1" sheetId="514" r:id="rId501"/>
    <sheet name="KAZ20-19081719-S" sheetId="507" r:id="rId502"/>
    <sheet name="ÇEK20-19081719-S" sheetId="508" r:id="rId503"/>
    <sheet name="ÇEK20-19081719-D" sheetId="510" r:id="rId504"/>
    <sheet name="G20-19081719" sheetId="515" r:id="rId505"/>
    <sheet name="EB20-19081920-S" sheetId="509" r:id="rId506"/>
    <sheet name="BA21-19081921-S" sheetId="516" r:id="rId507"/>
    <sheet name="BA21-19081921" sheetId="519" r:id="rId508"/>
    <sheet name="G22-19082022" sheetId="517" r:id="rId509"/>
    <sheet name="G22-19082022-1" sheetId="520" r:id="rId510"/>
    <sheet name="MEM23-19082021-S" sheetId="518" r:id="rId511"/>
    <sheet name="EMR23-19082122-S" sheetId="522" r:id="rId512"/>
    <sheet name="BO24-19082122" sheetId="521" r:id="rId513"/>
    <sheet name="G24-19082122" sheetId="523" r:id="rId514"/>
    <sheet name="AYG26-19082526-S" sheetId="525" r:id="rId515"/>
    <sheet name="G26-19082426" sheetId="529" r:id="rId516"/>
    <sheet name="BO27-190824265" sheetId="524" r:id="rId517"/>
    <sheet name="ÇEK27-19082426-S" sheetId="526" r:id="rId518"/>
    <sheet name="BAY28-19082627-S" sheetId="527" r:id="rId519"/>
    <sheet name="MEM28-19082728-S" sheetId="528" r:id="rId520"/>
    <sheet name="G28-19082728" sheetId="531" r:id="rId521"/>
    <sheet name="KAZ28-19082627-S" sheetId="533" r:id="rId522"/>
    <sheet name="G28-19082426-1" sheetId="530" r:id="rId523"/>
    <sheet name="KAZ28-19082627-D" sheetId="534" r:id="rId524"/>
    <sheet name="G29-19082829" sheetId="535" r:id="rId525"/>
    <sheet name="G29-19082829-1" sheetId="536" r:id="rId526"/>
    <sheet name="AYG29-19082829-S" sheetId="540" r:id="rId527"/>
    <sheet name="BA29-19082829-S" sheetId="539" r:id="rId528"/>
    <sheet name="BA30-19082829" sheetId="538" r:id="rId529"/>
    <sheet name="FA29-19082728-S" sheetId="537" r:id="rId530"/>
    <sheet name="EMR28-19082728-S" sheetId="532" r:id="rId531"/>
    <sheet name="AĞUSTOS TOPLAM" sheetId="541" r:id="rId532"/>
    <sheet name="AĞUSTOS SIĞIR" sheetId="578" r:id="rId533"/>
    <sheet name="AĞUSTOS DANA" sheetId="579" r:id="rId534"/>
    <sheet name="AĞUSTOS DÜVE" sheetId="580" r:id="rId535"/>
    <sheet name="BO02-19082729" sheetId="542" r:id="rId536"/>
    <sheet name="ÖL02-19082829-S" sheetId="543" r:id="rId537"/>
    <sheet name="ÖL02-19082829-S-1" sheetId="544" r:id="rId538"/>
    <sheet name="G02-19093002" sheetId="546" r:id="rId539"/>
    <sheet name="G02-19093002-1" sheetId="547" r:id="rId540"/>
    <sheet name="KAZ03-19093102-S" sheetId="545" r:id="rId541"/>
    <sheet name="ÇEK03-19093103-S" sheetId="548" r:id="rId542"/>
    <sheet name="TRM03-19090203-S" sheetId="549" r:id="rId543"/>
    <sheet name="BAY04-19090203-S" sheetId="550" r:id="rId544"/>
    <sheet name="SAY04-19090203-S" sheetId="551" r:id="rId545"/>
    <sheet name="BO04-19093102" sheetId="556" r:id="rId546"/>
    <sheet name="MEM05-19090304-S" sheetId="552" r:id="rId547"/>
    <sheet name="G05-19090305" sheetId="553" r:id="rId548"/>
    <sheet name="BO06-19093102-1" sheetId="555" r:id="rId549"/>
    <sheet name="G06-19090305-1" sheetId="554" r:id="rId550"/>
    <sheet name="BO06-19090305" sheetId="563" r:id="rId551"/>
    <sheet name="G09-19090609" sheetId="557" r:id="rId552"/>
    <sheet name="G09-19090609-1" sheetId="558" r:id="rId553"/>
    <sheet name="BA10-19090709-S" sheetId="559" r:id="rId554"/>
    <sheet name="KAZ10-19090709-S" sheetId="566" r:id="rId555"/>
    <sheet name="BA11-19090709" sheetId="560" r:id="rId556"/>
    <sheet name="ÇEK10-19090710-S" sheetId="570" r:id="rId557"/>
    <sheet name="BA12-19091011" sheetId="562" r:id="rId558"/>
    <sheet name="BA11-19091011-S" sheetId="565" r:id="rId559"/>
    <sheet name="BO12-19090305-1" sheetId="564" r:id="rId560"/>
    <sheet name="G12-19091012" sheetId="568" r:id="rId561"/>
    <sheet name="BO13-19090709" sheetId="567" r:id="rId562"/>
    <sheet name="G13-19091012-1" sheetId="569" r:id="rId563"/>
    <sheet name="BO13-19091112" sheetId="571" r:id="rId564"/>
    <sheet name="ÖA16-19091516" sheetId="573" r:id="rId565"/>
    <sheet name="ÖA16-19091516-1" sheetId="572" r:id="rId566"/>
    <sheet name="G16-19091316" sheetId="574" r:id="rId567"/>
    <sheet name="KAZ17-19091416-S" sheetId="575" r:id="rId568"/>
    <sheet name="ÇEK17-19091417-S" sheetId="576" r:id="rId569"/>
    <sheet name="MEM18-19091718-S" sheetId="577" r:id="rId570"/>
    <sheet name="MOL19-19091819" sheetId="581" r:id="rId571"/>
    <sheet name="BO19-19091416" sheetId="582" r:id="rId572"/>
    <sheet name="ÇA20-19091819-D" sheetId="583" r:id="rId573"/>
    <sheet name="ÇA20-19091718" sheetId="584" r:id="rId574"/>
    <sheet name="G23-19092123" sheetId="585" r:id="rId575"/>
    <sheet name="G23-19092123-1" sheetId="586" r:id="rId576"/>
    <sheet name="KAZ24-19092123-S" sheetId="587" r:id="rId577"/>
    <sheet name="ÇEK24-19092124-S" sheetId="588" r:id="rId578"/>
    <sheet name="BO24-19092123" sheetId="589" r:id="rId579"/>
    <sheet name="ÖB25-19092224-D" sheetId="590" r:id="rId580"/>
    <sheet name="ÖB25-19092224-S" sheetId="591" r:id="rId581"/>
    <sheet name="BAY25-19092324-S" sheetId="592" r:id="rId582"/>
    <sheet name="ÖB26-19092224" sheetId="594" r:id="rId583"/>
    <sheet name="G26-19092426" sheetId="595" r:id="rId584"/>
    <sheet name="ÖB27-19092224-1" sheetId="593" r:id="rId585"/>
    <sheet name="G27-19092426-1" sheetId="596" r:id="rId586"/>
    <sheet name="G27-19092325" sheetId="597" r:id="rId587"/>
    <sheet name="MİR27-19092526-S" sheetId="598" r:id="rId588"/>
    <sheet name="G28-19092627" sheetId="599" r:id="rId589"/>
    <sheet name="Sayfa1" sheetId="611" r:id="rId590"/>
    <sheet name="BO30-19092426" sheetId="600" r:id="rId591"/>
    <sheet name="G30-19092830" sheetId="601" r:id="rId592"/>
    <sheet name="G30-19092830-1" sheetId="602" r:id="rId593"/>
    <sheet name="EYLÜL TOPLAM" sheetId="603" r:id="rId594"/>
    <sheet name="EYLÜL SIĞIR" sheetId="604" r:id="rId595"/>
    <sheet name="EYLÜL DANA" sheetId="605" r:id="rId596"/>
    <sheet name="EYLÜL DÜVE" sheetId="606" r:id="rId597"/>
    <sheet name="BO01-19092830" sheetId="607" r:id="rId598"/>
    <sheet name="ÇEK01-19102801-S" sheetId="608" r:id="rId599"/>
    <sheet name="KAZ02-19092830-S" sheetId="609" r:id="rId600"/>
    <sheet name="G07-19100407" sheetId="610" r:id="rId60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1" i="605" l="1"/>
  <c r="C14" i="605"/>
  <c r="G4" i="610"/>
  <c r="G6" i="607"/>
  <c r="D46" i="610" l="1"/>
  <c r="C45" i="610"/>
  <c r="C44" i="610"/>
  <c r="C43" i="610"/>
  <c r="H43" i="610" s="1"/>
  <c r="C42" i="610"/>
  <c r="D40" i="610"/>
  <c r="C39" i="610"/>
  <c r="H39" i="610" s="1"/>
  <c r="C38" i="610"/>
  <c r="H38" i="610" s="1"/>
  <c r="C37" i="610"/>
  <c r="H37" i="610" s="1"/>
  <c r="C36" i="610"/>
  <c r="H36" i="610" s="1"/>
  <c r="C35" i="610"/>
  <c r="H35" i="610" s="1"/>
  <c r="C34" i="610"/>
  <c r="H34" i="610" s="1"/>
  <c r="C31" i="610"/>
  <c r="C30" i="610"/>
  <c r="H30" i="610" s="1"/>
  <c r="C29" i="610"/>
  <c r="C28" i="610"/>
  <c r="H28" i="610" s="1"/>
  <c r="C27" i="610"/>
  <c r="D32" i="610"/>
  <c r="C26" i="610"/>
  <c r="D24" i="610"/>
  <c r="C23" i="610"/>
  <c r="C22" i="610"/>
  <c r="H22" i="610" s="1"/>
  <c r="C21" i="610"/>
  <c r="D19" i="610"/>
  <c r="E14" i="610" s="1"/>
  <c r="C18" i="610"/>
  <c r="H18" i="610" s="1"/>
  <c r="C17" i="610"/>
  <c r="C16" i="610"/>
  <c r="H16" i="610" s="1"/>
  <c r="C15" i="610"/>
  <c r="C14" i="610"/>
  <c r="H14" i="610" s="1"/>
  <c r="C13" i="610"/>
  <c r="C12" i="610"/>
  <c r="H12" i="610" s="1"/>
  <c r="C11" i="610"/>
  <c r="C10" i="610"/>
  <c r="H10" i="610" s="1"/>
  <c r="C7" i="610"/>
  <c r="E4" i="610"/>
  <c r="E15" i="610" l="1"/>
  <c r="E13" i="610"/>
  <c r="E11" i="610"/>
  <c r="E10" i="610"/>
  <c r="E12" i="610"/>
  <c r="D48" i="610"/>
  <c r="E28" i="610" s="1"/>
  <c r="D50" i="610"/>
  <c r="J50" i="610" s="1"/>
  <c r="E17" i="610"/>
  <c r="H40" i="610"/>
  <c r="C40" i="610" s="1"/>
  <c r="E16" i="610"/>
  <c r="E18" i="610"/>
  <c r="H21" i="610"/>
  <c r="H23" i="610"/>
  <c r="H27" i="610"/>
  <c r="H29" i="610"/>
  <c r="H31" i="610"/>
  <c r="H42" i="610"/>
  <c r="H44" i="610"/>
  <c r="H11" i="610"/>
  <c r="H13" i="610"/>
  <c r="H15" i="610"/>
  <c r="H17" i="610"/>
  <c r="H26" i="610"/>
  <c r="E19" i="610"/>
  <c r="D34" i="609"/>
  <c r="D40" i="609" s="1"/>
  <c r="D26" i="609"/>
  <c r="D32" i="609" s="1"/>
  <c r="D42" i="609"/>
  <c r="D46" i="609" s="1"/>
  <c r="C45" i="609"/>
  <c r="C44" i="609"/>
  <c r="C43" i="609"/>
  <c r="H43" i="609" s="1"/>
  <c r="C42" i="609"/>
  <c r="C39" i="609"/>
  <c r="H39" i="609" s="1"/>
  <c r="C38" i="609"/>
  <c r="H38" i="609" s="1"/>
  <c r="C37" i="609"/>
  <c r="H37" i="609" s="1"/>
  <c r="C36" i="609"/>
  <c r="C35" i="609"/>
  <c r="H35" i="609" s="1"/>
  <c r="C34" i="609"/>
  <c r="C31" i="609"/>
  <c r="H31" i="609" s="1"/>
  <c r="C30" i="609"/>
  <c r="C29" i="609"/>
  <c r="H29" i="609" s="1"/>
  <c r="C28" i="609"/>
  <c r="C27" i="609"/>
  <c r="H27" i="609" s="1"/>
  <c r="C26" i="609"/>
  <c r="D24" i="609"/>
  <c r="C23" i="609"/>
  <c r="H23" i="609" s="1"/>
  <c r="C22" i="609"/>
  <c r="C21" i="609"/>
  <c r="H21" i="609" s="1"/>
  <c r="D19" i="609"/>
  <c r="E17" i="609" s="1"/>
  <c r="C18" i="609"/>
  <c r="H18" i="609" s="1"/>
  <c r="C17" i="609"/>
  <c r="H17" i="609" s="1"/>
  <c r="C16" i="609"/>
  <c r="H16" i="609" s="1"/>
  <c r="C15" i="609"/>
  <c r="H15" i="609" s="1"/>
  <c r="C14" i="609"/>
  <c r="H14" i="609" s="1"/>
  <c r="C13" i="609"/>
  <c r="H13" i="609" s="1"/>
  <c r="C12" i="609"/>
  <c r="H12" i="609" s="1"/>
  <c r="C11" i="609"/>
  <c r="H11" i="609" s="1"/>
  <c r="C10" i="609"/>
  <c r="H10" i="609" s="1"/>
  <c r="C7" i="609"/>
  <c r="G4" i="609"/>
  <c r="E4" i="609"/>
  <c r="E15" i="609" l="1"/>
  <c r="E13" i="609"/>
  <c r="E11" i="609"/>
  <c r="E10" i="609"/>
  <c r="E12" i="609"/>
  <c r="E14" i="609"/>
  <c r="E16" i="609"/>
  <c r="E26" i="610"/>
  <c r="E24" i="610"/>
  <c r="E31" i="610"/>
  <c r="E40" i="610"/>
  <c r="E21" i="610"/>
  <c r="E30" i="610"/>
  <c r="E46" i="610"/>
  <c r="A52" i="610" s="1"/>
  <c r="E35" i="610"/>
  <c r="E36" i="610"/>
  <c r="E23" i="610"/>
  <c r="E32" i="610"/>
  <c r="E37" i="610"/>
  <c r="E27" i="610"/>
  <c r="E44" i="610"/>
  <c r="E22" i="610"/>
  <c r="E45" i="610"/>
  <c r="E42" i="610"/>
  <c r="E38" i="610"/>
  <c r="E43" i="610"/>
  <c r="E39" i="610"/>
  <c r="E29" i="610"/>
  <c r="E34" i="610"/>
  <c r="E50" i="610"/>
  <c r="H19" i="610"/>
  <c r="C19" i="610" s="1"/>
  <c r="H46" i="610"/>
  <c r="C46" i="610" s="1"/>
  <c r="H24" i="610"/>
  <c r="C24" i="610" s="1"/>
  <c r="H32" i="610"/>
  <c r="C32" i="610" s="1"/>
  <c r="H19" i="609"/>
  <c r="C19" i="609" s="1"/>
  <c r="E18" i="609"/>
  <c r="D50" i="609"/>
  <c r="D48" i="609"/>
  <c r="E40" i="609" s="1"/>
  <c r="H22" i="609"/>
  <c r="H24" i="609" s="1"/>
  <c r="H26" i="609"/>
  <c r="H28" i="609"/>
  <c r="H30" i="609"/>
  <c r="H34" i="609"/>
  <c r="H36" i="609"/>
  <c r="H42" i="609"/>
  <c r="H44" i="609"/>
  <c r="E19" i="609"/>
  <c r="E48" i="610" l="1"/>
  <c r="C48" i="610"/>
  <c r="H48" i="610"/>
  <c r="H50" i="610" s="1"/>
  <c r="E6" i="610" s="1"/>
  <c r="F38" i="610" s="1"/>
  <c r="C24" i="609"/>
  <c r="E45" i="609"/>
  <c r="E43" i="609"/>
  <c r="E39" i="609"/>
  <c r="E37" i="609"/>
  <c r="E35" i="609"/>
  <c r="E31" i="609"/>
  <c r="E29" i="609"/>
  <c r="E27" i="609"/>
  <c r="E23" i="609"/>
  <c r="E21" i="609"/>
  <c r="E24" i="609"/>
  <c r="E44" i="609"/>
  <c r="E38" i="609"/>
  <c r="E36" i="609"/>
  <c r="E30" i="609"/>
  <c r="E28" i="609"/>
  <c r="E22" i="609"/>
  <c r="E42" i="609"/>
  <c r="E34" i="609"/>
  <c r="E26" i="609"/>
  <c r="H46" i="609"/>
  <c r="C46" i="609" s="1"/>
  <c r="E46" i="609"/>
  <c r="A52" i="609" s="1"/>
  <c r="J50" i="609"/>
  <c r="E50" i="609"/>
  <c r="H32" i="609"/>
  <c r="C32" i="609" s="1"/>
  <c r="E32" i="609"/>
  <c r="H40" i="609"/>
  <c r="C40" i="609" s="1"/>
  <c r="F15" i="610" l="1"/>
  <c r="G15" i="610" s="1"/>
  <c r="F45" i="610"/>
  <c r="G45" i="610" s="1"/>
  <c r="F44" i="610"/>
  <c r="G44" i="610" s="1"/>
  <c r="F18" i="610"/>
  <c r="G18" i="610" s="1"/>
  <c r="F30" i="610"/>
  <c r="I30" i="610" s="1"/>
  <c r="F12" i="610"/>
  <c r="I12" i="610" s="1"/>
  <c r="F21" i="610"/>
  <c r="I21" i="610" s="1"/>
  <c r="F35" i="610"/>
  <c r="I35" i="610" s="1"/>
  <c r="F37" i="610"/>
  <c r="G37" i="610" s="1"/>
  <c r="F43" i="610"/>
  <c r="I43" i="610" s="1"/>
  <c r="F22" i="610"/>
  <c r="I22" i="610" s="1"/>
  <c r="F27" i="610"/>
  <c r="I27" i="610" s="1"/>
  <c r="F28" i="610"/>
  <c r="I28" i="610" s="1"/>
  <c r="F11" i="610"/>
  <c r="I11" i="610" s="1"/>
  <c r="F14" i="610"/>
  <c r="I14" i="610" s="1"/>
  <c r="F29" i="610"/>
  <c r="G29" i="610" s="1"/>
  <c r="F34" i="610"/>
  <c r="I34" i="610" s="1"/>
  <c r="F13" i="610"/>
  <c r="I13" i="610" s="1"/>
  <c r="F26" i="610"/>
  <c r="I26" i="610" s="1"/>
  <c r="F16" i="610"/>
  <c r="G16" i="610" s="1"/>
  <c r="F31" i="610"/>
  <c r="I31" i="610" s="1"/>
  <c r="F36" i="610"/>
  <c r="I36" i="610" s="1"/>
  <c r="F39" i="610"/>
  <c r="G39" i="610" s="1"/>
  <c r="F17" i="610"/>
  <c r="I17" i="610" s="1"/>
  <c r="F10" i="610"/>
  <c r="I10" i="610" s="1"/>
  <c r="F23" i="610"/>
  <c r="I23" i="610" s="1"/>
  <c r="F42" i="610"/>
  <c r="I42" i="610" s="1"/>
  <c r="G35" i="610"/>
  <c r="I38" i="610"/>
  <c r="G38" i="610"/>
  <c r="E48" i="609"/>
  <c r="H48" i="609"/>
  <c r="H50" i="609" s="1"/>
  <c r="E6" i="609" s="1"/>
  <c r="C48" i="609"/>
  <c r="I39" i="610" l="1"/>
  <c r="G22" i="610"/>
  <c r="I44" i="610"/>
  <c r="I46" i="610"/>
  <c r="F46" i="610" s="1"/>
  <c r="G46" i="610" s="1"/>
  <c r="I29" i="610"/>
  <c r="I32" i="610" s="1"/>
  <c r="F32" i="610" s="1"/>
  <c r="G32" i="610" s="1"/>
  <c r="G42" i="610"/>
  <c r="G21" i="610"/>
  <c r="G26" i="610"/>
  <c r="G14" i="610"/>
  <c r="G12" i="610"/>
  <c r="G30" i="610"/>
  <c r="G17" i="610"/>
  <c r="I15" i="610"/>
  <c r="G23" i="610"/>
  <c r="G36" i="610"/>
  <c r="G13" i="610"/>
  <c r="G43" i="610"/>
  <c r="G11" i="610"/>
  <c r="G31" i="610"/>
  <c r="G10" i="610"/>
  <c r="I16" i="610"/>
  <c r="G34" i="610"/>
  <c r="G28" i="610"/>
  <c r="I18" i="610"/>
  <c r="G27" i="610"/>
  <c r="I37" i="610"/>
  <c r="I40" i="610" s="1"/>
  <c r="F40" i="610" s="1"/>
  <c r="G40" i="610" s="1"/>
  <c r="I24" i="610"/>
  <c r="F24" i="610" s="1"/>
  <c r="G24" i="610" s="1"/>
  <c r="F18" i="609"/>
  <c r="F16" i="609"/>
  <c r="F14" i="609"/>
  <c r="F12" i="609"/>
  <c r="F10" i="609"/>
  <c r="F44" i="609"/>
  <c r="F38" i="609"/>
  <c r="F36" i="609"/>
  <c r="F34" i="609"/>
  <c r="F30" i="609"/>
  <c r="F28" i="609"/>
  <c r="F26" i="609"/>
  <c r="F39" i="609"/>
  <c r="F45" i="609"/>
  <c r="G45" i="609" s="1"/>
  <c r="F15" i="609"/>
  <c r="F42" i="609"/>
  <c r="F43" i="609"/>
  <c r="F11" i="609"/>
  <c r="F21" i="609"/>
  <c r="F31" i="609"/>
  <c r="F23" i="609"/>
  <c r="F29" i="609"/>
  <c r="F35" i="609"/>
  <c r="F17" i="609"/>
  <c r="F27" i="609"/>
  <c r="F37" i="609"/>
  <c r="F13" i="609"/>
  <c r="F22" i="609"/>
  <c r="I19" i="610" l="1"/>
  <c r="F19" i="610" s="1"/>
  <c r="G19" i="610" s="1"/>
  <c r="I48" i="610"/>
  <c r="I35" i="609"/>
  <c r="G35" i="609"/>
  <c r="I27" i="609"/>
  <c r="G27" i="609"/>
  <c r="I23" i="609"/>
  <c r="G23" i="609"/>
  <c r="I43" i="609"/>
  <c r="G43" i="609"/>
  <c r="I39" i="609"/>
  <c r="G39" i="609"/>
  <c r="I34" i="609"/>
  <c r="G34" i="609"/>
  <c r="I10" i="609"/>
  <c r="G10" i="609"/>
  <c r="I18" i="609"/>
  <c r="G18" i="609"/>
  <c r="I22" i="609"/>
  <c r="G22" i="609"/>
  <c r="G17" i="609"/>
  <c r="I17" i="609"/>
  <c r="I31" i="609"/>
  <c r="G31" i="609"/>
  <c r="I42" i="609"/>
  <c r="G42" i="609"/>
  <c r="I26" i="609"/>
  <c r="G26" i="609"/>
  <c r="I36" i="609"/>
  <c r="G36" i="609"/>
  <c r="I12" i="609"/>
  <c r="G12" i="609"/>
  <c r="G13" i="609"/>
  <c r="I13" i="609"/>
  <c r="I21" i="609"/>
  <c r="G21" i="609"/>
  <c r="G15" i="609"/>
  <c r="I15" i="609"/>
  <c r="I28" i="609"/>
  <c r="G28" i="609"/>
  <c r="G38" i="609"/>
  <c r="I38" i="609"/>
  <c r="I14" i="609"/>
  <c r="G14" i="609"/>
  <c r="I37" i="609"/>
  <c r="G37" i="609"/>
  <c r="I29" i="609"/>
  <c r="G29" i="609"/>
  <c r="G11" i="609"/>
  <c r="I11" i="609"/>
  <c r="I30" i="609"/>
  <c r="G30" i="609"/>
  <c r="I44" i="609"/>
  <c r="G44" i="609"/>
  <c r="I16" i="609"/>
  <c r="G16" i="609"/>
  <c r="I50" i="610" l="1"/>
  <c r="F48" i="610"/>
  <c r="I46" i="609"/>
  <c r="F46" i="609" s="1"/>
  <c r="G46" i="609" s="1"/>
  <c r="I40" i="609"/>
  <c r="F40" i="609" s="1"/>
  <c r="G40" i="609" s="1"/>
  <c r="I24" i="609"/>
  <c r="F24" i="609" s="1"/>
  <c r="G24" i="609" s="1"/>
  <c r="I32" i="609"/>
  <c r="F32" i="609" s="1"/>
  <c r="G32" i="609" s="1"/>
  <c r="I19" i="609"/>
  <c r="F19" i="609" s="1"/>
  <c r="G19" i="609" s="1"/>
  <c r="A54" i="610" l="1"/>
  <c r="I51" i="610"/>
  <c r="F50" i="610"/>
  <c r="G6" i="610"/>
  <c r="G5" i="610"/>
  <c r="I48" i="609"/>
  <c r="I50" i="609" s="1"/>
  <c r="F48" i="609" l="1"/>
  <c r="A54" i="609"/>
  <c r="G6" i="609"/>
  <c r="I51" i="609"/>
  <c r="F50" i="609"/>
  <c r="G5" i="609"/>
  <c r="D34" i="608" l="1"/>
  <c r="D26" i="608"/>
  <c r="D42" i="608"/>
  <c r="C45" i="608"/>
  <c r="C44" i="608"/>
  <c r="C43" i="608"/>
  <c r="H43" i="608" s="1"/>
  <c r="D46" i="608"/>
  <c r="C42" i="608"/>
  <c r="C39" i="608"/>
  <c r="H39" i="608" s="1"/>
  <c r="C38" i="608"/>
  <c r="C37" i="608"/>
  <c r="H37" i="608" s="1"/>
  <c r="C36" i="608"/>
  <c r="C35" i="608"/>
  <c r="H35" i="608" s="1"/>
  <c r="C34" i="608"/>
  <c r="C31" i="608"/>
  <c r="H31" i="608" s="1"/>
  <c r="C30" i="608"/>
  <c r="H30" i="608" s="1"/>
  <c r="C29" i="608"/>
  <c r="H29" i="608" s="1"/>
  <c r="C28" i="608"/>
  <c r="H28" i="608" s="1"/>
  <c r="C27" i="608"/>
  <c r="H27" i="608" s="1"/>
  <c r="C26" i="608"/>
  <c r="D24" i="608"/>
  <c r="C23" i="608"/>
  <c r="H23" i="608" s="1"/>
  <c r="C22" i="608"/>
  <c r="H22" i="608" s="1"/>
  <c r="C21" i="608"/>
  <c r="H21" i="608" s="1"/>
  <c r="D19" i="608"/>
  <c r="E15" i="608" s="1"/>
  <c r="C18" i="608"/>
  <c r="C17" i="608"/>
  <c r="H17" i="608" s="1"/>
  <c r="C16" i="608"/>
  <c r="C15" i="608"/>
  <c r="H15" i="608" s="1"/>
  <c r="C14" i="608"/>
  <c r="C13" i="608"/>
  <c r="H13" i="608" s="1"/>
  <c r="C12" i="608"/>
  <c r="C11" i="608"/>
  <c r="H11" i="608" s="1"/>
  <c r="C10" i="608"/>
  <c r="C7" i="608"/>
  <c r="G4" i="608"/>
  <c r="E4" i="608"/>
  <c r="H26" i="608" l="1"/>
  <c r="E13" i="608"/>
  <c r="E17" i="608"/>
  <c r="E11" i="608"/>
  <c r="H32" i="608"/>
  <c r="H24" i="608"/>
  <c r="C24" i="608" s="1"/>
  <c r="D40" i="608"/>
  <c r="E19" i="608"/>
  <c r="E18" i="608"/>
  <c r="E16" i="608"/>
  <c r="E14" i="608"/>
  <c r="E12" i="608"/>
  <c r="E10" i="608"/>
  <c r="D32" i="608"/>
  <c r="C32" i="608" s="1"/>
  <c r="H34" i="608"/>
  <c r="H36" i="608"/>
  <c r="H38" i="608"/>
  <c r="H10" i="608"/>
  <c r="H16" i="608"/>
  <c r="H18" i="608"/>
  <c r="H42" i="608"/>
  <c r="H44" i="608"/>
  <c r="H12" i="608"/>
  <c r="H14" i="608"/>
  <c r="H46" i="608" l="1"/>
  <c r="C46" i="608" s="1"/>
  <c r="D50" i="608"/>
  <c r="H19" i="608"/>
  <c r="C19" i="608" s="1"/>
  <c r="H40" i="608"/>
  <c r="C40" i="608" s="1"/>
  <c r="D48" i="608"/>
  <c r="E32" i="608" s="1"/>
  <c r="C48" i="608" l="1"/>
  <c r="H48" i="608"/>
  <c r="H50" i="608" s="1"/>
  <c r="E6" i="608" s="1"/>
  <c r="F43" i="608" s="1"/>
  <c r="J50" i="608"/>
  <c r="E50" i="608"/>
  <c r="E45" i="608"/>
  <c r="E43" i="608"/>
  <c r="E39" i="608"/>
  <c r="E37" i="608"/>
  <c r="E35" i="608"/>
  <c r="E31" i="608"/>
  <c r="E29" i="608"/>
  <c r="E27" i="608"/>
  <c r="E23" i="608"/>
  <c r="E21" i="608"/>
  <c r="E44" i="608"/>
  <c r="E38" i="608"/>
  <c r="E28" i="608"/>
  <c r="E22" i="608"/>
  <c r="E36" i="608"/>
  <c r="E30" i="608"/>
  <c r="E26" i="608"/>
  <c r="E42" i="608"/>
  <c r="E46" i="608"/>
  <c r="A52" i="608" s="1"/>
  <c r="E34" i="608"/>
  <c r="E24" i="608"/>
  <c r="E40" i="608"/>
  <c r="F18" i="608" l="1"/>
  <c r="I18" i="608" s="1"/>
  <c r="F38" i="608"/>
  <c r="I38" i="608" s="1"/>
  <c r="F11" i="608"/>
  <c r="G11" i="608" s="1"/>
  <c r="F36" i="608"/>
  <c r="I36" i="608" s="1"/>
  <c r="F21" i="608"/>
  <c r="G21" i="608" s="1"/>
  <c r="F13" i="608"/>
  <c r="I13" i="608" s="1"/>
  <c r="F44" i="608"/>
  <c r="G44" i="608" s="1"/>
  <c r="F12" i="608"/>
  <c r="I12" i="608" s="1"/>
  <c r="F42" i="608"/>
  <c r="I42" i="608" s="1"/>
  <c r="F22" i="608"/>
  <c r="I22" i="608" s="1"/>
  <c r="F27" i="608"/>
  <c r="G27" i="608" s="1"/>
  <c r="F14" i="608"/>
  <c r="I14" i="608" s="1"/>
  <c r="F10" i="608"/>
  <c r="I10" i="608" s="1"/>
  <c r="F35" i="608"/>
  <c r="I35" i="608" s="1"/>
  <c r="F29" i="608"/>
  <c r="G29" i="608" s="1"/>
  <c r="F17" i="608"/>
  <c r="G17" i="608" s="1"/>
  <c r="F37" i="608"/>
  <c r="I37" i="608" s="1"/>
  <c r="F15" i="608"/>
  <c r="G15" i="608" s="1"/>
  <c r="F31" i="608"/>
  <c r="I31" i="608" s="1"/>
  <c r="F26" i="608"/>
  <c r="I26" i="608" s="1"/>
  <c r="F39" i="608"/>
  <c r="I39" i="608" s="1"/>
  <c r="F28" i="608"/>
  <c r="I28" i="608" s="1"/>
  <c r="F16" i="608"/>
  <c r="I16" i="608" s="1"/>
  <c r="F30" i="608"/>
  <c r="I30" i="608" s="1"/>
  <c r="F23" i="608"/>
  <c r="I23" i="608" s="1"/>
  <c r="F45" i="608"/>
  <c r="G45" i="608" s="1"/>
  <c r="F34" i="608"/>
  <c r="G34" i="608" s="1"/>
  <c r="E48" i="608"/>
  <c r="I43" i="608"/>
  <c r="G43" i="608"/>
  <c r="I11" i="608" l="1"/>
  <c r="I17" i="608"/>
  <c r="G38" i="608"/>
  <c r="G30" i="608"/>
  <c r="G12" i="608"/>
  <c r="G36" i="608"/>
  <c r="G18" i="608"/>
  <c r="G10" i="608"/>
  <c r="G22" i="608"/>
  <c r="I15" i="608"/>
  <c r="G35" i="608"/>
  <c r="G16" i="608"/>
  <c r="I27" i="608"/>
  <c r="G28" i="608"/>
  <c r="G13" i="608"/>
  <c r="I44" i="608"/>
  <c r="I46" i="608" s="1"/>
  <c r="F46" i="608" s="1"/>
  <c r="G46" i="608" s="1"/>
  <c r="I34" i="608"/>
  <c r="I40" i="608" s="1"/>
  <c r="F40" i="608" s="1"/>
  <c r="G40" i="608" s="1"/>
  <c r="G31" i="608"/>
  <c r="I29" i="608"/>
  <c r="G39" i="608"/>
  <c r="G42" i="608"/>
  <c r="G23" i="608"/>
  <c r="G26" i="608"/>
  <c r="I21" i="608"/>
  <c r="I24" i="608" s="1"/>
  <c r="F24" i="608" s="1"/>
  <c r="G24" i="608" s="1"/>
  <c r="G37" i="608"/>
  <c r="G14" i="608"/>
  <c r="I19" i="608"/>
  <c r="F19" i="608" s="1"/>
  <c r="G19" i="608" s="1"/>
  <c r="I32" i="608" l="1"/>
  <c r="F32" i="608" s="1"/>
  <c r="G32" i="608" s="1"/>
  <c r="I48" i="608" l="1"/>
  <c r="I50" i="608" s="1"/>
  <c r="A54" i="608" s="1"/>
  <c r="F48" i="608" l="1"/>
  <c r="I51" i="608"/>
  <c r="G6" i="608"/>
  <c r="F50" i="608"/>
  <c r="G5" i="608"/>
  <c r="D26" i="607" l="1"/>
  <c r="D32" i="607" s="1"/>
  <c r="D46" i="607"/>
  <c r="C45" i="607"/>
  <c r="C44" i="607"/>
  <c r="C43" i="607"/>
  <c r="H43" i="607" s="1"/>
  <c r="C42" i="607"/>
  <c r="D40" i="607"/>
  <c r="C39" i="607"/>
  <c r="H39" i="607" s="1"/>
  <c r="C38" i="607"/>
  <c r="C37" i="607"/>
  <c r="H37" i="607" s="1"/>
  <c r="C36" i="607"/>
  <c r="C35" i="607"/>
  <c r="H35" i="607" s="1"/>
  <c r="C34" i="607"/>
  <c r="C31" i="607"/>
  <c r="C30" i="607"/>
  <c r="H30" i="607" s="1"/>
  <c r="C29" i="607"/>
  <c r="C28" i="607"/>
  <c r="H28" i="607" s="1"/>
  <c r="C27" i="607"/>
  <c r="C26" i="607"/>
  <c r="D24" i="607"/>
  <c r="C23" i="607"/>
  <c r="C22" i="607"/>
  <c r="H22" i="607" s="1"/>
  <c r="C21" i="607"/>
  <c r="D19" i="607"/>
  <c r="E10" i="607" s="1"/>
  <c r="C18" i="607"/>
  <c r="C17" i="607"/>
  <c r="H17" i="607" s="1"/>
  <c r="C16" i="607"/>
  <c r="C15" i="607"/>
  <c r="H15" i="607" s="1"/>
  <c r="C14" i="607"/>
  <c r="C13" i="607"/>
  <c r="H13" i="607" s="1"/>
  <c r="C12" i="607"/>
  <c r="C11" i="607"/>
  <c r="H11" i="607" s="1"/>
  <c r="C10" i="607"/>
  <c r="C7" i="607"/>
  <c r="G4" i="607"/>
  <c r="E4" i="607"/>
  <c r="H26" i="607" l="1"/>
  <c r="D50" i="607"/>
  <c r="E50" i="607" s="1"/>
  <c r="D48" i="607"/>
  <c r="E28" i="607" s="1"/>
  <c r="E13" i="607"/>
  <c r="E19" i="607"/>
  <c r="E11" i="607"/>
  <c r="E15" i="607"/>
  <c r="E17" i="607"/>
  <c r="E12" i="607"/>
  <c r="E14" i="607"/>
  <c r="E16" i="607"/>
  <c r="E18" i="607"/>
  <c r="H10" i="607"/>
  <c r="H27" i="607"/>
  <c r="H29" i="607"/>
  <c r="H31" i="607"/>
  <c r="H42" i="607"/>
  <c r="H44" i="607"/>
  <c r="H14" i="607"/>
  <c r="H16" i="607"/>
  <c r="H18" i="607"/>
  <c r="H21" i="607"/>
  <c r="H23" i="607"/>
  <c r="H34" i="607"/>
  <c r="H36" i="607"/>
  <c r="H38" i="607"/>
  <c r="H12" i="607"/>
  <c r="G2" i="605"/>
  <c r="E3" i="605"/>
  <c r="D43" i="605"/>
  <c r="D44" i="605"/>
  <c r="D45" i="605"/>
  <c r="D35" i="605"/>
  <c r="D36" i="605"/>
  <c r="D37" i="605"/>
  <c r="D38" i="605"/>
  <c r="D39" i="605"/>
  <c r="D27" i="605"/>
  <c r="D28" i="605"/>
  <c r="D22" i="605"/>
  <c r="D23" i="605"/>
  <c r="D21" i="605"/>
  <c r="D16" i="605"/>
  <c r="D17" i="605"/>
  <c r="D18" i="605"/>
  <c r="D10" i="605"/>
  <c r="E3" i="604"/>
  <c r="G2" i="604"/>
  <c r="D43" i="604"/>
  <c r="D44" i="604"/>
  <c r="D45" i="604"/>
  <c r="D35" i="604"/>
  <c r="D36" i="604"/>
  <c r="D37" i="604"/>
  <c r="D38" i="604"/>
  <c r="D39" i="604"/>
  <c r="D27" i="604"/>
  <c r="D28" i="604"/>
  <c r="D29" i="604"/>
  <c r="D30" i="604"/>
  <c r="D31" i="604"/>
  <c r="D22" i="604"/>
  <c r="D23" i="604"/>
  <c r="D21" i="604"/>
  <c r="D11" i="604"/>
  <c r="D12" i="604"/>
  <c r="D13" i="604"/>
  <c r="D14" i="604"/>
  <c r="D15" i="604"/>
  <c r="D16" i="604"/>
  <c r="D17" i="604"/>
  <c r="D18" i="604"/>
  <c r="D10" i="604"/>
  <c r="E35" i="607" l="1"/>
  <c r="E44" i="607"/>
  <c r="E27" i="607"/>
  <c r="J50" i="607"/>
  <c r="E36" i="607"/>
  <c r="E30" i="607"/>
  <c r="E22" i="607"/>
  <c r="E39" i="607"/>
  <c r="E31" i="607"/>
  <c r="E23" i="607"/>
  <c r="E26" i="607"/>
  <c r="E45" i="607"/>
  <c r="E40" i="607"/>
  <c r="E37" i="607"/>
  <c r="E29" i="607"/>
  <c r="E21" i="607"/>
  <c r="E38" i="607"/>
  <c r="E43" i="607"/>
  <c r="E24" i="607"/>
  <c r="E32" i="607"/>
  <c r="E46" i="607"/>
  <c r="A52" i="607" s="1"/>
  <c r="E42" i="607"/>
  <c r="E34" i="607"/>
  <c r="H32" i="607"/>
  <c r="C32" i="607" s="1"/>
  <c r="H24" i="607"/>
  <c r="C24" i="607" s="1"/>
  <c r="H40" i="607"/>
  <c r="C40" i="607" s="1"/>
  <c r="H46" i="607"/>
  <c r="C46" i="607" s="1"/>
  <c r="H19" i="607"/>
  <c r="C19" i="607" s="1"/>
  <c r="G2" i="603"/>
  <c r="E3" i="603"/>
  <c r="G2" i="606"/>
  <c r="E3" i="606"/>
  <c r="D43" i="606"/>
  <c r="D43" i="603" s="1"/>
  <c r="D44" i="606"/>
  <c r="D44" i="603" s="1"/>
  <c r="D45" i="606"/>
  <c r="D45" i="603" s="1"/>
  <c r="D42" i="606"/>
  <c r="D35" i="606"/>
  <c r="D35" i="603" s="1"/>
  <c r="D36" i="606"/>
  <c r="D36" i="603" s="1"/>
  <c r="D37" i="606"/>
  <c r="D37" i="603" s="1"/>
  <c r="D38" i="606"/>
  <c r="D38" i="603" s="1"/>
  <c r="D39" i="606"/>
  <c r="D39" i="603" s="1"/>
  <c r="D34" i="606"/>
  <c r="D27" i="606"/>
  <c r="D27" i="603" s="1"/>
  <c r="D28" i="606"/>
  <c r="D28" i="603" s="1"/>
  <c r="D29" i="606"/>
  <c r="D30" i="606"/>
  <c r="D31" i="606"/>
  <c r="D22" i="606"/>
  <c r="D22" i="603" s="1"/>
  <c r="D23" i="606"/>
  <c r="D23" i="603" s="1"/>
  <c r="D21" i="606"/>
  <c r="D21" i="603" s="1"/>
  <c r="D11" i="606"/>
  <c r="D11" i="603" s="1"/>
  <c r="D12" i="606"/>
  <c r="D12" i="603" s="1"/>
  <c r="D13" i="606"/>
  <c r="D13" i="603" s="1"/>
  <c r="D14" i="606"/>
  <c r="D14" i="603" s="1"/>
  <c r="D15" i="606"/>
  <c r="D16" i="606"/>
  <c r="D16" i="603" s="1"/>
  <c r="D17" i="606"/>
  <c r="D17" i="603" s="1"/>
  <c r="D18" i="606"/>
  <c r="D18" i="603" s="1"/>
  <c r="D10" i="606"/>
  <c r="D10" i="603" s="1"/>
  <c r="C45" i="606"/>
  <c r="C44" i="606"/>
  <c r="C43" i="606"/>
  <c r="C42" i="606"/>
  <c r="C39" i="606"/>
  <c r="C38" i="606"/>
  <c r="C37" i="606"/>
  <c r="C36" i="606"/>
  <c r="C35" i="606"/>
  <c r="C34" i="606"/>
  <c r="C31" i="606"/>
  <c r="C30" i="606"/>
  <c r="C29" i="606"/>
  <c r="C28" i="606"/>
  <c r="C27" i="606"/>
  <c r="C26" i="606"/>
  <c r="C23" i="606"/>
  <c r="C22" i="606"/>
  <c r="C21" i="606"/>
  <c r="C18" i="606"/>
  <c r="C17" i="606"/>
  <c r="C16" i="606"/>
  <c r="C15" i="606"/>
  <c r="C14" i="606"/>
  <c r="C13" i="606"/>
  <c r="C12" i="606"/>
  <c r="C11" i="606"/>
  <c r="C10" i="606"/>
  <c r="C7" i="606"/>
  <c r="C45" i="605"/>
  <c r="C44" i="605"/>
  <c r="C43" i="605"/>
  <c r="C42" i="605"/>
  <c r="C39" i="605"/>
  <c r="C38" i="605"/>
  <c r="C37" i="605"/>
  <c r="C36" i="605"/>
  <c r="C35" i="605"/>
  <c r="C34" i="605"/>
  <c r="C31" i="605"/>
  <c r="C30" i="605"/>
  <c r="C29" i="605"/>
  <c r="C28" i="605"/>
  <c r="C27" i="605"/>
  <c r="C26" i="605"/>
  <c r="C23" i="605"/>
  <c r="C22" i="605"/>
  <c r="C21" i="605"/>
  <c r="C18" i="605"/>
  <c r="C17" i="605"/>
  <c r="C16" i="605"/>
  <c r="C15" i="605"/>
  <c r="C13" i="605"/>
  <c r="C12" i="605"/>
  <c r="C11" i="605"/>
  <c r="C10" i="605"/>
  <c r="C7" i="605"/>
  <c r="C45" i="604"/>
  <c r="C44" i="604"/>
  <c r="C43" i="604"/>
  <c r="C42" i="604"/>
  <c r="C39" i="604"/>
  <c r="C38" i="604"/>
  <c r="C37" i="604"/>
  <c r="C36" i="604"/>
  <c r="C35" i="604"/>
  <c r="C34" i="604"/>
  <c r="C31" i="604"/>
  <c r="C30" i="604"/>
  <c r="C29" i="604"/>
  <c r="C28" i="604"/>
  <c r="C27" i="604"/>
  <c r="C26" i="604"/>
  <c r="C23" i="604"/>
  <c r="C22" i="604"/>
  <c r="C21" i="604"/>
  <c r="C18" i="604"/>
  <c r="C17" i="604"/>
  <c r="C16" i="604"/>
  <c r="C15" i="604"/>
  <c r="C14" i="604"/>
  <c r="C13" i="604"/>
  <c r="C12" i="604"/>
  <c r="C11" i="604"/>
  <c r="C10" i="604"/>
  <c r="C7" i="604"/>
  <c r="C45" i="603"/>
  <c r="C44" i="603"/>
  <c r="C43" i="603"/>
  <c r="C42" i="603"/>
  <c r="C39" i="603"/>
  <c r="C38" i="603"/>
  <c r="C37" i="603"/>
  <c r="C36" i="603"/>
  <c r="C35" i="603"/>
  <c r="C34" i="603"/>
  <c r="C31" i="603"/>
  <c r="C30" i="603"/>
  <c r="C29" i="603"/>
  <c r="C28" i="603"/>
  <c r="C27" i="603"/>
  <c r="C26" i="603"/>
  <c r="C23" i="603"/>
  <c r="C22" i="603"/>
  <c r="C21" i="603"/>
  <c r="C18" i="603"/>
  <c r="C17" i="603"/>
  <c r="C16" i="603"/>
  <c r="C15" i="603"/>
  <c r="C14" i="603"/>
  <c r="C13" i="603"/>
  <c r="C12" i="603"/>
  <c r="C11" i="603"/>
  <c r="C10" i="603"/>
  <c r="C7" i="603"/>
  <c r="D26" i="602"/>
  <c r="D32" i="602" s="1"/>
  <c r="D46" i="602"/>
  <c r="C45" i="602"/>
  <c r="C44" i="602"/>
  <c r="C43" i="602"/>
  <c r="C42" i="602"/>
  <c r="D40" i="602"/>
  <c r="C39" i="602"/>
  <c r="C38" i="602"/>
  <c r="C37" i="602"/>
  <c r="C36" i="602"/>
  <c r="C35" i="602"/>
  <c r="C34" i="602"/>
  <c r="C31" i="602"/>
  <c r="C30" i="602"/>
  <c r="C29" i="602"/>
  <c r="C28" i="602"/>
  <c r="C27" i="602"/>
  <c r="C26" i="602"/>
  <c r="D24" i="602"/>
  <c r="C23" i="602"/>
  <c r="C22" i="602"/>
  <c r="C21" i="602"/>
  <c r="D19" i="602"/>
  <c r="E18" i="602" s="1"/>
  <c r="C18" i="602"/>
  <c r="C17" i="602"/>
  <c r="C16" i="602"/>
  <c r="C15" i="602"/>
  <c r="C14" i="602"/>
  <c r="C13" i="602"/>
  <c r="C12" i="602"/>
  <c r="C11" i="602"/>
  <c r="C10" i="602"/>
  <c r="C7" i="602"/>
  <c r="G4" i="602"/>
  <c r="E4" i="602"/>
  <c r="C45" i="601"/>
  <c r="C44" i="601"/>
  <c r="C43" i="601"/>
  <c r="C42" i="601"/>
  <c r="C39" i="601"/>
  <c r="C38" i="601"/>
  <c r="C37" i="601"/>
  <c r="C36" i="601"/>
  <c r="C35" i="601"/>
  <c r="C34" i="601"/>
  <c r="C31" i="601"/>
  <c r="C30" i="601"/>
  <c r="C29" i="601"/>
  <c r="C28" i="601"/>
  <c r="C27" i="601"/>
  <c r="C26" i="601"/>
  <c r="D24" i="601"/>
  <c r="C23" i="601"/>
  <c r="C22" i="601"/>
  <c r="C21" i="601"/>
  <c r="D19" i="601"/>
  <c r="E18" i="601" s="1"/>
  <c r="C18" i="601"/>
  <c r="C17" i="601"/>
  <c r="C16" i="601"/>
  <c r="C15" i="601"/>
  <c r="C14" i="601"/>
  <c r="C13" i="601"/>
  <c r="C12" i="601"/>
  <c r="C11" i="601"/>
  <c r="C10" i="601"/>
  <c r="C7" i="601"/>
  <c r="G4" i="601"/>
  <c r="E4" i="601"/>
  <c r="E11" i="601" l="1"/>
  <c r="E16" i="601"/>
  <c r="E14" i="601"/>
  <c r="E10" i="601"/>
  <c r="E12" i="601"/>
  <c r="E13" i="601"/>
  <c r="E15" i="601"/>
  <c r="E17" i="601"/>
  <c r="E48" i="607"/>
  <c r="E11" i="602"/>
  <c r="E13" i="602"/>
  <c r="E15" i="602"/>
  <c r="E17" i="602"/>
  <c r="C48" i="607"/>
  <c r="H48" i="607"/>
  <c r="H50" i="607" s="1"/>
  <c r="E6" i="607" s="1"/>
  <c r="E10" i="602"/>
  <c r="E12" i="602"/>
  <c r="E14" i="602"/>
  <c r="E16" i="602"/>
  <c r="G4" i="606"/>
  <c r="E4" i="606"/>
  <c r="H10" i="606"/>
  <c r="D19" i="606"/>
  <c r="E11" i="606" s="1"/>
  <c r="H11" i="606"/>
  <c r="H12" i="606"/>
  <c r="H13" i="606"/>
  <c r="H14" i="606"/>
  <c r="H15" i="606"/>
  <c r="H16" i="606"/>
  <c r="H17" i="606"/>
  <c r="H18" i="606"/>
  <c r="H21" i="606"/>
  <c r="D24" i="606"/>
  <c r="H22" i="606"/>
  <c r="H23" i="606"/>
  <c r="H27" i="606"/>
  <c r="H28" i="606"/>
  <c r="H29" i="606"/>
  <c r="H30" i="606"/>
  <c r="H31" i="606"/>
  <c r="H34" i="606"/>
  <c r="D40" i="606"/>
  <c r="H35" i="606"/>
  <c r="H36" i="606"/>
  <c r="H37" i="606"/>
  <c r="H38" i="606"/>
  <c r="H39" i="606"/>
  <c r="H42" i="606"/>
  <c r="D46" i="606"/>
  <c r="H43" i="606"/>
  <c r="H44" i="606"/>
  <c r="G4" i="605"/>
  <c r="E4" i="605"/>
  <c r="H10" i="605"/>
  <c r="H12" i="605"/>
  <c r="H13" i="605"/>
  <c r="H14" i="605"/>
  <c r="H16" i="605"/>
  <c r="H17" i="605"/>
  <c r="H18" i="605"/>
  <c r="H21" i="605"/>
  <c r="D24" i="605"/>
  <c r="H22" i="605"/>
  <c r="H23" i="605"/>
  <c r="H27" i="605"/>
  <c r="H28" i="605"/>
  <c r="H35" i="605"/>
  <c r="H36" i="605"/>
  <c r="H37" i="605"/>
  <c r="H38" i="605"/>
  <c r="H39" i="605"/>
  <c r="H43" i="605"/>
  <c r="H44" i="605"/>
  <c r="G4" i="604"/>
  <c r="E4" i="604"/>
  <c r="H10" i="604"/>
  <c r="D19" i="604"/>
  <c r="E11" i="604" s="1"/>
  <c r="H11" i="604"/>
  <c r="H12" i="604"/>
  <c r="H13" i="604"/>
  <c r="H14" i="604"/>
  <c r="H15" i="604"/>
  <c r="H16" i="604"/>
  <c r="E16" i="604"/>
  <c r="H17" i="604"/>
  <c r="H18" i="604"/>
  <c r="H21" i="604"/>
  <c r="D24" i="604"/>
  <c r="H22" i="604"/>
  <c r="H23" i="604"/>
  <c r="H27" i="604"/>
  <c r="H28" i="604"/>
  <c r="H29" i="604"/>
  <c r="H30" i="604"/>
  <c r="H31" i="604"/>
  <c r="H35" i="604"/>
  <c r="H36" i="604"/>
  <c r="H37" i="604"/>
  <c r="H38" i="604"/>
  <c r="H39" i="604"/>
  <c r="H43" i="604"/>
  <c r="H44" i="604"/>
  <c r="G4" i="603"/>
  <c r="E4" i="603"/>
  <c r="H10" i="603"/>
  <c r="H11" i="603"/>
  <c r="H12" i="603"/>
  <c r="H13" i="603"/>
  <c r="H14" i="603"/>
  <c r="H16" i="603"/>
  <c r="H17" i="603"/>
  <c r="H18" i="603"/>
  <c r="H21" i="603"/>
  <c r="D24" i="603"/>
  <c r="H22" i="603"/>
  <c r="H23" i="603"/>
  <c r="H27" i="603"/>
  <c r="H28" i="603"/>
  <c r="H35" i="603"/>
  <c r="H36" i="603"/>
  <c r="H37" i="603"/>
  <c r="H38" i="603"/>
  <c r="H39" i="603"/>
  <c r="H43" i="603"/>
  <c r="H44" i="603"/>
  <c r="H10" i="602"/>
  <c r="H11" i="602"/>
  <c r="H12" i="602"/>
  <c r="H13" i="602"/>
  <c r="H14" i="602"/>
  <c r="H15" i="602"/>
  <c r="H16" i="602"/>
  <c r="H17" i="602"/>
  <c r="H18" i="602"/>
  <c r="D50" i="602"/>
  <c r="E19" i="602"/>
  <c r="H21" i="602"/>
  <c r="H22" i="602"/>
  <c r="H23" i="602"/>
  <c r="D48" i="602"/>
  <c r="E40" i="602" s="1"/>
  <c r="H26" i="602"/>
  <c r="H27" i="602"/>
  <c r="H28" i="602"/>
  <c r="H29" i="602"/>
  <c r="H30" i="602"/>
  <c r="H31" i="602"/>
  <c r="H34" i="602"/>
  <c r="H35" i="602"/>
  <c r="H36" i="602"/>
  <c r="H37" i="602"/>
  <c r="H38" i="602"/>
  <c r="H39" i="602"/>
  <c r="H42" i="602"/>
  <c r="H43" i="602"/>
  <c r="H44" i="602"/>
  <c r="H10" i="601"/>
  <c r="H11" i="601"/>
  <c r="H12" i="601"/>
  <c r="H13" i="601"/>
  <c r="H14" i="601"/>
  <c r="H15" i="601"/>
  <c r="H16" i="601"/>
  <c r="H17" i="601"/>
  <c r="H18" i="601"/>
  <c r="E19" i="601"/>
  <c r="H21" i="601"/>
  <c r="H22" i="601"/>
  <c r="H23" i="601"/>
  <c r="H26" i="601"/>
  <c r="D32" i="601"/>
  <c r="H27" i="601"/>
  <c r="H28" i="601"/>
  <c r="H29" i="601"/>
  <c r="H30" i="601"/>
  <c r="H31" i="601"/>
  <c r="H34" i="601"/>
  <c r="D40" i="601"/>
  <c r="H35" i="601"/>
  <c r="H36" i="601"/>
  <c r="H37" i="601"/>
  <c r="H38" i="601"/>
  <c r="H39" i="601"/>
  <c r="H42" i="601"/>
  <c r="D46" i="601"/>
  <c r="H43" i="601"/>
  <c r="H44" i="601"/>
  <c r="D46" i="600"/>
  <c r="C45" i="600"/>
  <c r="C44" i="600"/>
  <c r="C43" i="600"/>
  <c r="C42" i="600"/>
  <c r="C39" i="600"/>
  <c r="C38" i="600"/>
  <c r="C37" i="600"/>
  <c r="C36" i="600"/>
  <c r="C35" i="600"/>
  <c r="C34" i="600"/>
  <c r="C31" i="600"/>
  <c r="C30" i="600"/>
  <c r="C29" i="600"/>
  <c r="C28" i="600"/>
  <c r="C27" i="600"/>
  <c r="C26" i="600"/>
  <c r="D24" i="600"/>
  <c r="C23" i="600"/>
  <c r="C22" i="600"/>
  <c r="C21" i="600"/>
  <c r="C18" i="600"/>
  <c r="C17" i="600"/>
  <c r="C16" i="600"/>
  <c r="C15" i="600"/>
  <c r="C14" i="600"/>
  <c r="C13" i="600"/>
  <c r="C12" i="600"/>
  <c r="C11" i="600"/>
  <c r="C10" i="600"/>
  <c r="C7" i="600"/>
  <c r="G4" i="600"/>
  <c r="E4" i="600"/>
  <c r="E14" i="604" l="1"/>
  <c r="E18" i="604"/>
  <c r="E12" i="604"/>
  <c r="E10" i="604"/>
  <c r="E32" i="602"/>
  <c r="E17" i="604"/>
  <c r="E15" i="604"/>
  <c r="E13" i="604"/>
  <c r="E18" i="606"/>
  <c r="E16" i="606"/>
  <c r="E14" i="606"/>
  <c r="E12" i="606"/>
  <c r="E10" i="606"/>
  <c r="E24" i="602"/>
  <c r="F17" i="607"/>
  <c r="F15" i="607"/>
  <c r="F13" i="607"/>
  <c r="F11" i="607"/>
  <c r="F37" i="607"/>
  <c r="F35" i="607"/>
  <c r="F22" i="607"/>
  <c r="F45" i="607"/>
  <c r="G45" i="607" s="1"/>
  <c r="F43" i="607"/>
  <c r="F30" i="607"/>
  <c r="F28" i="607"/>
  <c r="F26" i="607"/>
  <c r="F12" i="607"/>
  <c r="F42" i="607"/>
  <c r="F36" i="607"/>
  <c r="F39" i="607"/>
  <c r="F14" i="607"/>
  <c r="F27" i="607"/>
  <c r="F44" i="607"/>
  <c r="F34" i="607"/>
  <c r="F21" i="607"/>
  <c r="F16" i="607"/>
  <c r="F29" i="607"/>
  <c r="F38" i="607"/>
  <c r="F23" i="607"/>
  <c r="F10" i="607"/>
  <c r="F18" i="607"/>
  <c r="F31" i="607"/>
  <c r="E17" i="606"/>
  <c r="E15" i="606"/>
  <c r="E13" i="606"/>
  <c r="E46" i="602"/>
  <c r="A52" i="602" s="1"/>
  <c r="H46" i="606"/>
  <c r="C46" i="606" s="1"/>
  <c r="H40" i="606"/>
  <c r="C40" i="606" s="1"/>
  <c r="H24" i="606"/>
  <c r="E19" i="606"/>
  <c r="H19" i="606"/>
  <c r="C19" i="606" s="1"/>
  <c r="H24" i="605"/>
  <c r="H24" i="604"/>
  <c r="E19" i="604"/>
  <c r="H19" i="604"/>
  <c r="C19" i="604" s="1"/>
  <c r="H24" i="603"/>
  <c r="H46" i="602"/>
  <c r="C46" i="602" s="1"/>
  <c r="H40" i="602"/>
  <c r="C40" i="602" s="1"/>
  <c r="H32" i="602"/>
  <c r="C32" i="602" s="1"/>
  <c r="E45" i="602"/>
  <c r="E44" i="602"/>
  <c r="E43" i="602"/>
  <c r="E42" i="602"/>
  <c r="E39" i="602"/>
  <c r="E38" i="602"/>
  <c r="E37" i="602"/>
  <c r="E36" i="602"/>
  <c r="E35" i="602"/>
  <c r="E34" i="602"/>
  <c r="E31" i="602"/>
  <c r="E30" i="602"/>
  <c r="E29" i="602"/>
  <c r="E28" i="602"/>
  <c r="E27" i="602"/>
  <c r="E26" i="602"/>
  <c r="E23" i="602"/>
  <c r="E22" i="602"/>
  <c r="E21" i="602"/>
  <c r="H24" i="602"/>
  <c r="J50" i="602"/>
  <c r="E50" i="602"/>
  <c r="H19" i="602"/>
  <c r="C19" i="602" s="1"/>
  <c r="H46" i="601"/>
  <c r="C46" i="601" s="1"/>
  <c r="H40" i="601"/>
  <c r="C40" i="601" s="1"/>
  <c r="D50" i="601"/>
  <c r="D48" i="601"/>
  <c r="H32" i="601"/>
  <c r="C32" i="601" s="1"/>
  <c r="H24" i="601"/>
  <c r="H19" i="601"/>
  <c r="C19" i="601" s="1"/>
  <c r="H10" i="600"/>
  <c r="H11" i="600"/>
  <c r="H12" i="600"/>
  <c r="H13" i="600"/>
  <c r="H14" i="600"/>
  <c r="H15" i="600"/>
  <c r="D19" i="600"/>
  <c r="E15" i="600" s="1"/>
  <c r="H16" i="600"/>
  <c r="H17" i="600"/>
  <c r="H18" i="600"/>
  <c r="H21" i="600"/>
  <c r="H22" i="600"/>
  <c r="H23" i="600"/>
  <c r="H26" i="600"/>
  <c r="D32" i="600"/>
  <c r="H27" i="600"/>
  <c r="H28" i="600"/>
  <c r="H29" i="600"/>
  <c r="H30" i="600"/>
  <c r="H31" i="600"/>
  <c r="H34" i="600"/>
  <c r="D40" i="600"/>
  <c r="H35" i="600"/>
  <c r="H36" i="600"/>
  <c r="H37" i="600"/>
  <c r="H38" i="600"/>
  <c r="H39" i="600"/>
  <c r="H42" i="600"/>
  <c r="H43" i="600"/>
  <c r="H44" i="600"/>
  <c r="D26" i="599"/>
  <c r="D34" i="599"/>
  <c r="D42" i="599"/>
  <c r="C45" i="599"/>
  <c r="C44" i="599"/>
  <c r="C43" i="599"/>
  <c r="C42" i="599"/>
  <c r="C39" i="599"/>
  <c r="C38" i="599"/>
  <c r="C37" i="599"/>
  <c r="C36" i="599"/>
  <c r="C35" i="599"/>
  <c r="C34" i="599"/>
  <c r="C31" i="599"/>
  <c r="C30" i="599"/>
  <c r="C29" i="599"/>
  <c r="C28" i="599"/>
  <c r="C27" i="599"/>
  <c r="C26" i="599"/>
  <c r="D24" i="599"/>
  <c r="C23" i="599"/>
  <c r="C22" i="599"/>
  <c r="C21" i="599"/>
  <c r="C18" i="599"/>
  <c r="C17" i="599"/>
  <c r="C16" i="599"/>
  <c r="C15" i="599"/>
  <c r="C14" i="599"/>
  <c r="C13" i="599"/>
  <c r="C12" i="599"/>
  <c r="C11" i="599"/>
  <c r="C10" i="599"/>
  <c r="C7" i="599"/>
  <c r="G4" i="599"/>
  <c r="E4" i="599"/>
  <c r="E48" i="602" l="1"/>
  <c r="I10" i="607"/>
  <c r="G10" i="607"/>
  <c r="I16" i="607"/>
  <c r="G16" i="607"/>
  <c r="I27" i="607"/>
  <c r="G27" i="607"/>
  <c r="I42" i="607"/>
  <c r="G42" i="607"/>
  <c r="I30" i="607"/>
  <c r="G30" i="607"/>
  <c r="G35" i="607"/>
  <c r="I35" i="607"/>
  <c r="I15" i="607"/>
  <c r="G15" i="607"/>
  <c r="I23" i="607"/>
  <c r="G23" i="607"/>
  <c r="I21" i="607"/>
  <c r="G21" i="607"/>
  <c r="I14" i="607"/>
  <c r="G14" i="607"/>
  <c r="I12" i="607"/>
  <c r="G12" i="607"/>
  <c r="I43" i="607"/>
  <c r="G43" i="607"/>
  <c r="G37" i="607"/>
  <c r="I37" i="607"/>
  <c r="I17" i="607"/>
  <c r="G17" i="607"/>
  <c r="I31" i="607"/>
  <c r="G31" i="607"/>
  <c r="I38" i="607"/>
  <c r="G38" i="607"/>
  <c r="I34" i="607"/>
  <c r="G34" i="607"/>
  <c r="G39" i="607"/>
  <c r="I39" i="607"/>
  <c r="I26" i="607"/>
  <c r="G26" i="607"/>
  <c r="I11" i="607"/>
  <c r="G11" i="607"/>
  <c r="I18" i="607"/>
  <c r="G18" i="607"/>
  <c r="I29" i="607"/>
  <c r="G29" i="607"/>
  <c r="I44" i="607"/>
  <c r="G44" i="607"/>
  <c r="I36" i="607"/>
  <c r="G36" i="607"/>
  <c r="I28" i="607"/>
  <c r="G28" i="607"/>
  <c r="I22" i="607"/>
  <c r="G22" i="607"/>
  <c r="I13" i="607"/>
  <c r="G13" i="607"/>
  <c r="C24" i="606"/>
  <c r="C24" i="605"/>
  <c r="C24" i="604"/>
  <c r="C24" i="603"/>
  <c r="C24" i="602"/>
  <c r="C48" i="602" s="1"/>
  <c r="H48" i="602"/>
  <c r="H50" i="602" s="1"/>
  <c r="E6" i="602" s="1"/>
  <c r="C24" i="601"/>
  <c r="C48" i="601" s="1"/>
  <c r="H48" i="601"/>
  <c r="H50" i="601" s="1"/>
  <c r="E6" i="601" s="1"/>
  <c r="E45" i="601"/>
  <c r="E44" i="601"/>
  <c r="E43" i="601"/>
  <c r="E39" i="601"/>
  <c r="E38" i="601"/>
  <c r="E37" i="601"/>
  <c r="E36" i="601"/>
  <c r="E35" i="601"/>
  <c r="E31" i="601"/>
  <c r="E30" i="601"/>
  <c r="E29" i="601"/>
  <c r="E28" i="601"/>
  <c r="E27" i="601"/>
  <c r="E23" i="601"/>
  <c r="E22" i="601"/>
  <c r="E21" i="601"/>
  <c r="E24" i="601"/>
  <c r="E26" i="601"/>
  <c r="E34" i="601"/>
  <c r="E42" i="601"/>
  <c r="E46" i="601"/>
  <c r="A52" i="601" s="1"/>
  <c r="E40" i="601"/>
  <c r="E32" i="601"/>
  <c r="J50" i="601"/>
  <c r="E50" i="601"/>
  <c r="H46" i="600"/>
  <c r="C46" i="600" s="1"/>
  <c r="H40" i="600"/>
  <c r="C40" i="600" s="1"/>
  <c r="D48" i="600"/>
  <c r="H32" i="600"/>
  <c r="C32" i="600" s="1"/>
  <c r="H24" i="600"/>
  <c r="E19" i="600"/>
  <c r="E18" i="600"/>
  <c r="E17" i="600"/>
  <c r="E16" i="600"/>
  <c r="E14" i="600"/>
  <c r="E13" i="600"/>
  <c r="E12" i="600"/>
  <c r="E11" i="600"/>
  <c r="E10" i="600"/>
  <c r="D50" i="600"/>
  <c r="H19" i="600"/>
  <c r="C19" i="600" s="1"/>
  <c r="H10" i="599"/>
  <c r="H11" i="599"/>
  <c r="H12" i="599"/>
  <c r="H13" i="599"/>
  <c r="H14" i="599"/>
  <c r="H15" i="599"/>
  <c r="D19" i="599"/>
  <c r="E15" i="599" s="1"/>
  <c r="H16" i="599"/>
  <c r="H17" i="599"/>
  <c r="H18" i="599"/>
  <c r="H21" i="599"/>
  <c r="H22" i="599"/>
  <c r="H23" i="599"/>
  <c r="H26" i="599"/>
  <c r="D32" i="599"/>
  <c r="H27" i="599"/>
  <c r="H28" i="599"/>
  <c r="H29" i="599"/>
  <c r="H30" i="599"/>
  <c r="H31" i="599"/>
  <c r="H34" i="599"/>
  <c r="D40" i="599"/>
  <c r="H35" i="599"/>
  <c r="H36" i="599"/>
  <c r="H37" i="599"/>
  <c r="H38" i="599"/>
  <c r="H39" i="599"/>
  <c r="H42" i="599"/>
  <c r="D46" i="599"/>
  <c r="H43" i="599"/>
  <c r="H44" i="599"/>
  <c r="D34" i="598"/>
  <c r="D26" i="598"/>
  <c r="D42" i="598"/>
  <c r="C45" i="598"/>
  <c r="C44" i="598"/>
  <c r="C43" i="598"/>
  <c r="C42" i="598"/>
  <c r="C39" i="598"/>
  <c r="C38" i="598"/>
  <c r="C37" i="598"/>
  <c r="C36" i="598"/>
  <c r="C35" i="598"/>
  <c r="C34" i="598"/>
  <c r="D32" i="598"/>
  <c r="C31" i="598"/>
  <c r="C30" i="598"/>
  <c r="C29" i="598"/>
  <c r="C28" i="598"/>
  <c r="C27" i="598"/>
  <c r="C26" i="598"/>
  <c r="D24" i="598"/>
  <c r="C23" i="598"/>
  <c r="C22" i="598"/>
  <c r="C21" i="598"/>
  <c r="D19" i="598"/>
  <c r="E18" i="598" s="1"/>
  <c r="C18" i="598"/>
  <c r="C17" i="598"/>
  <c r="C16" i="598"/>
  <c r="C15" i="598"/>
  <c r="C14" i="598"/>
  <c r="C13" i="598"/>
  <c r="C12" i="598"/>
  <c r="C11" i="598"/>
  <c r="C10" i="598"/>
  <c r="C7" i="598"/>
  <c r="G4" i="598"/>
  <c r="E4" i="598"/>
  <c r="D26" i="597"/>
  <c r="D34" i="597"/>
  <c r="D15" i="597"/>
  <c r="D19" i="597" s="1"/>
  <c r="D42" i="597"/>
  <c r="C45" i="597"/>
  <c r="C44" i="597"/>
  <c r="C43" i="597"/>
  <c r="C42" i="597"/>
  <c r="C39" i="597"/>
  <c r="C38" i="597"/>
  <c r="C37" i="597"/>
  <c r="C36" i="597"/>
  <c r="C35" i="597"/>
  <c r="C34" i="597"/>
  <c r="D32" i="597"/>
  <c r="C31" i="597"/>
  <c r="C30" i="597"/>
  <c r="C29" i="597"/>
  <c r="C28" i="597"/>
  <c r="C27" i="597"/>
  <c r="C26" i="597"/>
  <c r="D24" i="597"/>
  <c r="C23" i="597"/>
  <c r="C22" i="597"/>
  <c r="C21" i="597"/>
  <c r="C18" i="597"/>
  <c r="C17" i="597"/>
  <c r="C16" i="597"/>
  <c r="C15" i="597"/>
  <c r="C14" i="597"/>
  <c r="C13" i="597"/>
  <c r="C12" i="597"/>
  <c r="C11" i="597"/>
  <c r="C10" i="597"/>
  <c r="C7" i="597"/>
  <c r="G4" i="597"/>
  <c r="E4" i="597"/>
  <c r="E17" i="597" l="1"/>
  <c r="E10" i="597"/>
  <c r="E12" i="597"/>
  <c r="E11" i="598"/>
  <c r="E13" i="598"/>
  <c r="E15" i="598"/>
  <c r="E17" i="598"/>
  <c r="E10" i="598"/>
  <c r="E12" i="598"/>
  <c r="E14" i="598"/>
  <c r="E16" i="598"/>
  <c r="E11" i="597"/>
  <c r="E13" i="597"/>
  <c r="E14" i="597"/>
  <c r="E16" i="597"/>
  <c r="E18" i="597"/>
  <c r="E15" i="597"/>
  <c r="I32" i="607"/>
  <c r="F32" i="607" s="1"/>
  <c r="G32" i="607" s="1"/>
  <c r="I40" i="607"/>
  <c r="F40" i="607" s="1"/>
  <c r="G40" i="607" s="1"/>
  <c r="I24" i="607"/>
  <c r="F24" i="607" s="1"/>
  <c r="G24" i="607" s="1"/>
  <c r="I19" i="607"/>
  <c r="F19" i="607" s="1"/>
  <c r="G19" i="607" s="1"/>
  <c r="I46" i="607"/>
  <c r="F46" i="607" s="1"/>
  <c r="G46" i="607" s="1"/>
  <c r="F10" i="602"/>
  <c r="F11" i="602"/>
  <c r="F12" i="602"/>
  <c r="F13" i="602"/>
  <c r="F14" i="602"/>
  <c r="F15" i="602"/>
  <c r="F16" i="602"/>
  <c r="F17" i="602"/>
  <c r="F18" i="602"/>
  <c r="F21" i="602"/>
  <c r="F22" i="602"/>
  <c r="F23" i="602"/>
  <c r="F26" i="602"/>
  <c r="F27" i="602"/>
  <c r="F28" i="602"/>
  <c r="F29" i="602"/>
  <c r="F30" i="602"/>
  <c r="F31" i="602"/>
  <c r="F34" i="602"/>
  <c r="F35" i="602"/>
  <c r="F36" i="602"/>
  <c r="F37" i="602"/>
  <c r="F38" i="602"/>
  <c r="F39" i="602"/>
  <c r="F42" i="602"/>
  <c r="F43" i="602"/>
  <c r="F44" i="602"/>
  <c r="F45" i="602"/>
  <c r="G45" i="602" s="1"/>
  <c r="E48" i="601"/>
  <c r="F10" i="601"/>
  <c r="F11" i="601"/>
  <c r="F12" i="601"/>
  <c r="F13" i="601"/>
  <c r="F14" i="601"/>
  <c r="F15" i="601"/>
  <c r="F16" i="601"/>
  <c r="F17" i="601"/>
  <c r="F18" i="601"/>
  <c r="F21" i="601"/>
  <c r="F22" i="601"/>
  <c r="F23" i="601"/>
  <c r="F26" i="601"/>
  <c r="F27" i="601"/>
  <c r="F28" i="601"/>
  <c r="F29" i="601"/>
  <c r="F30" i="601"/>
  <c r="F31" i="601"/>
  <c r="F34" i="601"/>
  <c r="F35" i="601"/>
  <c r="F36" i="601"/>
  <c r="F37" i="601"/>
  <c r="F38" i="601"/>
  <c r="F39" i="601"/>
  <c r="F42" i="601"/>
  <c r="F43" i="601"/>
  <c r="F44" i="601"/>
  <c r="F45" i="601"/>
  <c r="G45" i="601" s="1"/>
  <c r="J50" i="600"/>
  <c r="E50" i="600"/>
  <c r="C24" i="600"/>
  <c r="C48" i="600" s="1"/>
  <c r="H48" i="600"/>
  <c r="H50" i="600" s="1"/>
  <c r="E6" i="600" s="1"/>
  <c r="E45" i="600"/>
  <c r="E44" i="600"/>
  <c r="E43" i="600"/>
  <c r="E42" i="600"/>
  <c r="E39" i="600"/>
  <c r="E38" i="600"/>
  <c r="E37" i="600"/>
  <c r="E36" i="600"/>
  <c r="E35" i="600"/>
  <c r="E31" i="600"/>
  <c r="E28" i="600"/>
  <c r="E27" i="600"/>
  <c r="E23" i="600"/>
  <c r="E22" i="600"/>
  <c r="E21" i="600"/>
  <c r="E24" i="600"/>
  <c r="E26" i="600"/>
  <c r="E29" i="600"/>
  <c r="E30" i="600"/>
  <c r="E34" i="600"/>
  <c r="E46" i="600"/>
  <c r="A52" i="600" s="1"/>
  <c r="E40" i="600"/>
  <c r="E32" i="600"/>
  <c r="H46" i="599"/>
  <c r="C46" i="599" s="1"/>
  <c r="H40" i="599"/>
  <c r="C40" i="599" s="1"/>
  <c r="D48" i="599"/>
  <c r="H32" i="599"/>
  <c r="C32" i="599" s="1"/>
  <c r="H24" i="599"/>
  <c r="E19" i="599"/>
  <c r="E18" i="599"/>
  <c r="E17" i="599"/>
  <c r="E16" i="599"/>
  <c r="E14" i="599"/>
  <c r="E13" i="599"/>
  <c r="E12" i="599"/>
  <c r="E11" i="599"/>
  <c r="E10" i="599"/>
  <c r="D50" i="599"/>
  <c r="H19" i="599"/>
  <c r="C19" i="599" s="1"/>
  <c r="H10" i="598"/>
  <c r="H11" i="598"/>
  <c r="H12" i="598"/>
  <c r="H13" i="598"/>
  <c r="H14" i="598"/>
  <c r="H15" i="598"/>
  <c r="H16" i="598"/>
  <c r="H17" i="598"/>
  <c r="H18" i="598"/>
  <c r="E19" i="598"/>
  <c r="H21" i="598"/>
  <c r="H22" i="598"/>
  <c r="H23" i="598"/>
  <c r="H26" i="598"/>
  <c r="H27" i="598"/>
  <c r="H28" i="598"/>
  <c r="H29" i="598"/>
  <c r="H30" i="598"/>
  <c r="H31" i="598"/>
  <c r="H34" i="598"/>
  <c r="D40" i="598"/>
  <c r="H35" i="598"/>
  <c r="H36" i="598"/>
  <c r="H37" i="598"/>
  <c r="H38" i="598"/>
  <c r="H39" i="598"/>
  <c r="H42" i="598"/>
  <c r="D46" i="598"/>
  <c r="H43" i="598"/>
  <c r="H44" i="598"/>
  <c r="H10" i="597"/>
  <c r="H11" i="597"/>
  <c r="H12" i="597"/>
  <c r="H13" i="597"/>
  <c r="H14" i="597"/>
  <c r="H15" i="597"/>
  <c r="H16" i="597"/>
  <c r="H17" i="597"/>
  <c r="H18" i="597"/>
  <c r="E19" i="597"/>
  <c r="H21" i="597"/>
  <c r="H22" i="597"/>
  <c r="H23" i="597"/>
  <c r="H26" i="597"/>
  <c r="H27" i="597"/>
  <c r="H28" i="597"/>
  <c r="H29" i="597"/>
  <c r="H30" i="597"/>
  <c r="H31" i="597"/>
  <c r="H34" i="597"/>
  <c r="D40" i="597"/>
  <c r="H35" i="597"/>
  <c r="H36" i="597"/>
  <c r="H37" i="597"/>
  <c r="H38" i="597"/>
  <c r="H39" i="597"/>
  <c r="H42" i="597"/>
  <c r="D46" i="597"/>
  <c r="H43" i="597"/>
  <c r="H44" i="597"/>
  <c r="D34" i="596"/>
  <c r="D40" i="596" s="1"/>
  <c r="D42" i="596"/>
  <c r="D46" i="596" s="1"/>
  <c r="C45" i="596"/>
  <c r="C44" i="596"/>
  <c r="C43" i="596"/>
  <c r="C42" i="596"/>
  <c r="C39" i="596"/>
  <c r="C38" i="596"/>
  <c r="C37" i="596"/>
  <c r="C36" i="596"/>
  <c r="C35" i="596"/>
  <c r="C34" i="596"/>
  <c r="D32" i="596"/>
  <c r="C31" i="596"/>
  <c r="C30" i="596"/>
  <c r="C29" i="596"/>
  <c r="C28" i="596"/>
  <c r="C27" i="596"/>
  <c r="C26" i="596"/>
  <c r="D24" i="596"/>
  <c r="C23" i="596"/>
  <c r="C22" i="596"/>
  <c r="C21" i="596"/>
  <c r="D19" i="596"/>
  <c r="E17" i="596" s="1"/>
  <c r="C18" i="596"/>
  <c r="C17" i="596"/>
  <c r="C16" i="596"/>
  <c r="C15" i="596"/>
  <c r="C14" i="596"/>
  <c r="C13" i="596"/>
  <c r="C12" i="596"/>
  <c r="C11" i="596"/>
  <c r="C10" i="596"/>
  <c r="C7" i="596"/>
  <c r="G4" i="596"/>
  <c r="E4" i="596"/>
  <c r="D46" i="595"/>
  <c r="C45" i="595"/>
  <c r="C44" i="595"/>
  <c r="C43" i="595"/>
  <c r="C42" i="595"/>
  <c r="D40" i="595"/>
  <c r="C39" i="595"/>
  <c r="C38" i="595"/>
  <c r="C37" i="595"/>
  <c r="C36" i="595"/>
  <c r="C35" i="595"/>
  <c r="C34" i="595"/>
  <c r="D32" i="595"/>
  <c r="C31" i="595"/>
  <c r="C30" i="595"/>
  <c r="C29" i="595"/>
  <c r="C28" i="595"/>
  <c r="C27" i="595"/>
  <c r="C26" i="595"/>
  <c r="D24" i="595"/>
  <c r="C23" i="595"/>
  <c r="C22" i="595"/>
  <c r="C21" i="595"/>
  <c r="D19" i="595"/>
  <c r="E18" i="595" s="1"/>
  <c r="C18" i="595"/>
  <c r="C17" i="595"/>
  <c r="C16" i="595"/>
  <c r="C15" i="595"/>
  <c r="C14" i="595"/>
  <c r="C13" i="595"/>
  <c r="E12" i="595"/>
  <c r="C12" i="595"/>
  <c r="C11" i="595"/>
  <c r="C10" i="595"/>
  <c r="C7" i="595"/>
  <c r="G4" i="595"/>
  <c r="E4" i="595"/>
  <c r="E14" i="595" l="1"/>
  <c r="E10" i="595"/>
  <c r="E12" i="596"/>
  <c r="E10" i="596"/>
  <c r="E16" i="595"/>
  <c r="E15" i="596"/>
  <c r="E17" i="595"/>
  <c r="E11" i="595"/>
  <c r="E13" i="595"/>
  <c r="E15" i="595"/>
  <c r="E11" i="596"/>
  <c r="E13" i="596"/>
  <c r="E14" i="596"/>
  <c r="E16" i="596"/>
  <c r="E18" i="596"/>
  <c r="I48" i="607"/>
  <c r="I44" i="602"/>
  <c r="G44" i="602"/>
  <c r="I43" i="602"/>
  <c r="G43" i="602"/>
  <c r="I42" i="602"/>
  <c r="G42" i="602"/>
  <c r="I39" i="602"/>
  <c r="G39" i="602"/>
  <c r="I38" i="602"/>
  <c r="G38" i="602"/>
  <c r="I37" i="602"/>
  <c r="G37" i="602"/>
  <c r="I36" i="602"/>
  <c r="G36" i="602"/>
  <c r="I35" i="602"/>
  <c r="G35" i="602"/>
  <c r="I34" i="602"/>
  <c r="G34" i="602"/>
  <c r="I31" i="602"/>
  <c r="G31" i="602"/>
  <c r="I30" i="602"/>
  <c r="G30" i="602"/>
  <c r="I29" i="602"/>
  <c r="G29" i="602"/>
  <c r="I28" i="602"/>
  <c r="G28" i="602"/>
  <c r="I27" i="602"/>
  <c r="G27" i="602"/>
  <c r="I26" i="602"/>
  <c r="G26" i="602"/>
  <c r="I23" i="602"/>
  <c r="G23" i="602"/>
  <c r="I22" i="602"/>
  <c r="G22" i="602"/>
  <c r="I21" i="602"/>
  <c r="G21" i="602"/>
  <c r="I18" i="602"/>
  <c r="G18" i="602"/>
  <c r="I17" i="602"/>
  <c r="G17" i="602"/>
  <c r="I16" i="602"/>
  <c r="G16" i="602"/>
  <c r="I15" i="602"/>
  <c r="G15" i="602"/>
  <c r="I14" i="602"/>
  <c r="G14" i="602"/>
  <c r="I13" i="602"/>
  <c r="G13" i="602"/>
  <c r="I12" i="602"/>
  <c r="G12" i="602"/>
  <c r="I11" i="602"/>
  <c r="G11" i="602"/>
  <c r="I10" i="602"/>
  <c r="G10" i="602"/>
  <c r="I44" i="601"/>
  <c r="G44" i="601"/>
  <c r="I43" i="601"/>
  <c r="G43" i="601"/>
  <c r="I42" i="601"/>
  <c r="G42" i="601"/>
  <c r="I39" i="601"/>
  <c r="G39" i="601"/>
  <c r="I38" i="601"/>
  <c r="G38" i="601"/>
  <c r="I37" i="601"/>
  <c r="G37" i="601"/>
  <c r="I36" i="601"/>
  <c r="G36" i="601"/>
  <c r="I35" i="601"/>
  <c r="G35" i="601"/>
  <c r="I34" i="601"/>
  <c r="G34" i="601"/>
  <c r="I31" i="601"/>
  <c r="G31" i="601"/>
  <c r="I30" i="601"/>
  <c r="G30" i="601"/>
  <c r="I29" i="601"/>
  <c r="G29" i="601"/>
  <c r="I28" i="601"/>
  <c r="G28" i="601"/>
  <c r="I27" i="601"/>
  <c r="G27" i="601"/>
  <c r="I26" i="601"/>
  <c r="G26" i="601"/>
  <c r="I23" i="601"/>
  <c r="G23" i="601"/>
  <c r="I22" i="601"/>
  <c r="G22" i="601"/>
  <c r="I21" i="601"/>
  <c r="G21" i="601"/>
  <c r="I18" i="601"/>
  <c r="G18" i="601"/>
  <c r="I17" i="601"/>
  <c r="G17" i="601"/>
  <c r="I16" i="601"/>
  <c r="G16" i="601"/>
  <c r="I15" i="601"/>
  <c r="G15" i="601"/>
  <c r="I14" i="601"/>
  <c r="G14" i="601"/>
  <c r="I13" i="601"/>
  <c r="G13" i="601"/>
  <c r="I12" i="601"/>
  <c r="G12" i="601"/>
  <c r="I11" i="601"/>
  <c r="G11" i="601"/>
  <c r="I10" i="601"/>
  <c r="G10" i="601"/>
  <c r="E48" i="600"/>
  <c r="F10" i="600"/>
  <c r="F11" i="600"/>
  <c r="F12" i="600"/>
  <c r="F13" i="600"/>
  <c r="F14" i="600"/>
  <c r="F15" i="600"/>
  <c r="F16" i="600"/>
  <c r="F17" i="600"/>
  <c r="F18" i="600"/>
  <c r="F21" i="600"/>
  <c r="F22" i="600"/>
  <c r="F23" i="600"/>
  <c r="F26" i="600"/>
  <c r="F27" i="600"/>
  <c r="F28" i="600"/>
  <c r="F29" i="600"/>
  <c r="F30" i="600"/>
  <c r="F31" i="600"/>
  <c r="F34" i="600"/>
  <c r="F35" i="600"/>
  <c r="F36" i="600"/>
  <c r="F37" i="600"/>
  <c r="F38" i="600"/>
  <c r="F39" i="600"/>
  <c r="F42" i="600"/>
  <c r="F43" i="600"/>
  <c r="F44" i="600"/>
  <c r="F45" i="600"/>
  <c r="G45" i="600" s="1"/>
  <c r="J50" i="599"/>
  <c r="E50" i="599"/>
  <c r="C24" i="599"/>
  <c r="C48" i="599" s="1"/>
  <c r="H48" i="599"/>
  <c r="H50" i="599" s="1"/>
  <c r="E6" i="599" s="1"/>
  <c r="E45" i="599"/>
  <c r="E44" i="599"/>
  <c r="E43" i="599"/>
  <c r="E39" i="599"/>
  <c r="E38" i="599"/>
  <c r="E37" i="599"/>
  <c r="E36" i="599"/>
  <c r="E35" i="599"/>
  <c r="E31" i="599"/>
  <c r="E30" i="599"/>
  <c r="E29" i="599"/>
  <c r="E28" i="599"/>
  <c r="E27" i="599"/>
  <c r="E23" i="599"/>
  <c r="E22" i="599"/>
  <c r="E21" i="599"/>
  <c r="E24" i="599"/>
  <c r="E26" i="599"/>
  <c r="E34" i="599"/>
  <c r="E42" i="599"/>
  <c r="E46" i="599"/>
  <c r="A52" i="599" s="1"/>
  <c r="E40" i="599"/>
  <c r="E32" i="599"/>
  <c r="H46" i="598"/>
  <c r="C46" i="598" s="1"/>
  <c r="D50" i="598"/>
  <c r="D48" i="598"/>
  <c r="H40" i="598"/>
  <c r="C40" i="598" s="1"/>
  <c r="H32" i="598"/>
  <c r="C32" i="598" s="1"/>
  <c r="H24" i="598"/>
  <c r="H19" i="598"/>
  <c r="C19" i="598" s="1"/>
  <c r="H46" i="597"/>
  <c r="C46" i="597" s="1"/>
  <c r="D50" i="597"/>
  <c r="D48" i="597"/>
  <c r="H40" i="597"/>
  <c r="C40" i="597" s="1"/>
  <c r="H32" i="597"/>
  <c r="C32" i="597" s="1"/>
  <c r="H24" i="597"/>
  <c r="H19" i="597"/>
  <c r="C19" i="597" s="1"/>
  <c r="H10" i="596"/>
  <c r="H11" i="596"/>
  <c r="H12" i="596"/>
  <c r="H13" i="596"/>
  <c r="H14" i="596"/>
  <c r="H15" i="596"/>
  <c r="H16" i="596"/>
  <c r="H17" i="596"/>
  <c r="H18" i="596"/>
  <c r="D50" i="596"/>
  <c r="E19" i="596"/>
  <c r="H21" i="596"/>
  <c r="H22" i="596"/>
  <c r="H23" i="596"/>
  <c r="D48" i="596"/>
  <c r="E24" i="596" s="1"/>
  <c r="H26" i="596"/>
  <c r="H27" i="596"/>
  <c r="H28" i="596"/>
  <c r="H29" i="596"/>
  <c r="H30" i="596"/>
  <c r="H31" i="596"/>
  <c r="H34" i="596"/>
  <c r="H35" i="596"/>
  <c r="H36" i="596"/>
  <c r="H37" i="596"/>
  <c r="H38" i="596"/>
  <c r="H39" i="596"/>
  <c r="H42" i="596"/>
  <c r="H43" i="596"/>
  <c r="H44" i="596"/>
  <c r="H10" i="595"/>
  <c r="H11" i="595"/>
  <c r="H12" i="595"/>
  <c r="H13" i="595"/>
  <c r="H14" i="595"/>
  <c r="H15" i="595"/>
  <c r="H16" i="595"/>
  <c r="H17" i="595"/>
  <c r="H18" i="595"/>
  <c r="D50" i="595"/>
  <c r="E19" i="595"/>
  <c r="H21" i="595"/>
  <c r="H22" i="595"/>
  <c r="H23" i="595"/>
  <c r="D48" i="595"/>
  <c r="E24" i="595" s="1"/>
  <c r="H26" i="595"/>
  <c r="H27" i="595"/>
  <c r="H28" i="595"/>
  <c r="H29" i="595"/>
  <c r="H30" i="595"/>
  <c r="H31" i="595"/>
  <c r="H34" i="595"/>
  <c r="H35" i="595"/>
  <c r="H36" i="595"/>
  <c r="H37" i="595"/>
  <c r="H38" i="595"/>
  <c r="H39" i="595"/>
  <c r="H42" i="595"/>
  <c r="H43" i="595"/>
  <c r="H44" i="595"/>
  <c r="D26" i="594"/>
  <c r="D34" i="594"/>
  <c r="D40" i="594" s="1"/>
  <c r="D42" i="594"/>
  <c r="D46" i="594" s="1"/>
  <c r="C45" i="594"/>
  <c r="C44" i="594"/>
  <c r="C43" i="594"/>
  <c r="C42" i="594"/>
  <c r="C39" i="594"/>
  <c r="C38" i="594"/>
  <c r="C37" i="594"/>
  <c r="C36" i="594"/>
  <c r="C35" i="594"/>
  <c r="C34" i="594"/>
  <c r="C31" i="594"/>
  <c r="C30" i="594"/>
  <c r="C29" i="594"/>
  <c r="C28" i="594"/>
  <c r="C27" i="594"/>
  <c r="C26" i="594"/>
  <c r="D24" i="594"/>
  <c r="C23" i="594"/>
  <c r="C22" i="594"/>
  <c r="C21" i="594"/>
  <c r="D19" i="594"/>
  <c r="E18" i="594" s="1"/>
  <c r="C18" i="594"/>
  <c r="C17" i="594"/>
  <c r="C16" i="594"/>
  <c r="C15" i="594"/>
  <c r="C14" i="594"/>
  <c r="C13" i="594"/>
  <c r="C12" i="594"/>
  <c r="C11" i="594"/>
  <c r="C10" i="594"/>
  <c r="C7" i="594"/>
  <c r="G4" i="594"/>
  <c r="E4" i="594"/>
  <c r="D26" i="593"/>
  <c r="D32" i="593" s="1"/>
  <c r="D46" i="593"/>
  <c r="C45" i="593"/>
  <c r="C44" i="593"/>
  <c r="C43" i="593"/>
  <c r="C42" i="593"/>
  <c r="D40" i="593"/>
  <c r="C39" i="593"/>
  <c r="C38" i="593"/>
  <c r="C37" i="593"/>
  <c r="C36" i="593"/>
  <c r="C35" i="593"/>
  <c r="C34" i="593"/>
  <c r="C31" i="593"/>
  <c r="C30" i="593"/>
  <c r="C29" i="593"/>
  <c r="C28" i="593"/>
  <c r="C27" i="593"/>
  <c r="C26" i="593"/>
  <c r="D24" i="593"/>
  <c r="C23" i="593"/>
  <c r="C22" i="593"/>
  <c r="C21" i="593"/>
  <c r="D19" i="593"/>
  <c r="E14" i="593" s="1"/>
  <c r="C18" i="593"/>
  <c r="C17" i="593"/>
  <c r="C16" i="593"/>
  <c r="C15" i="593"/>
  <c r="C14" i="593"/>
  <c r="C13" i="593"/>
  <c r="C12" i="593"/>
  <c r="C11" i="593"/>
  <c r="C10" i="593"/>
  <c r="C7" i="593"/>
  <c r="G4" i="593"/>
  <c r="E4" i="593"/>
  <c r="E12" i="593" l="1"/>
  <c r="E32" i="596"/>
  <c r="E46" i="596"/>
  <c r="A52" i="596" s="1"/>
  <c r="I19" i="601"/>
  <c r="F19" i="601" s="1"/>
  <c r="G19" i="601" s="1"/>
  <c r="I32" i="601"/>
  <c r="F32" i="601" s="1"/>
  <c r="G32" i="601" s="1"/>
  <c r="I40" i="601"/>
  <c r="F40" i="601" s="1"/>
  <c r="G40" i="601" s="1"/>
  <c r="I46" i="601"/>
  <c r="F46" i="601" s="1"/>
  <c r="G46" i="601" s="1"/>
  <c r="E40" i="596"/>
  <c r="E10" i="593"/>
  <c r="E18" i="593"/>
  <c r="E11" i="594"/>
  <c r="E13" i="594"/>
  <c r="E15" i="594"/>
  <c r="E17" i="594"/>
  <c r="E16" i="593"/>
  <c r="E10" i="594"/>
  <c r="E12" i="594"/>
  <c r="E14" i="594"/>
  <c r="E16" i="594"/>
  <c r="E32" i="595"/>
  <c r="E17" i="593"/>
  <c r="E15" i="593"/>
  <c r="E13" i="593"/>
  <c r="E11" i="593"/>
  <c r="E46" i="595"/>
  <c r="A52" i="595" s="1"/>
  <c r="E40" i="595"/>
  <c r="I19" i="602"/>
  <c r="F19" i="602" s="1"/>
  <c r="G19" i="602" s="1"/>
  <c r="I32" i="602"/>
  <c r="F32" i="602" s="1"/>
  <c r="G32" i="602" s="1"/>
  <c r="I40" i="602"/>
  <c r="F40" i="602" s="1"/>
  <c r="G40" i="602" s="1"/>
  <c r="I46" i="602"/>
  <c r="F46" i="602" s="1"/>
  <c r="G46" i="602" s="1"/>
  <c r="I50" i="607"/>
  <c r="F48" i="607"/>
  <c r="I24" i="602"/>
  <c r="I24" i="601"/>
  <c r="I44" i="600"/>
  <c r="G44" i="600"/>
  <c r="I43" i="600"/>
  <c r="G43" i="600"/>
  <c r="I42" i="600"/>
  <c r="G42" i="600"/>
  <c r="I39" i="600"/>
  <c r="G39" i="600"/>
  <c r="I38" i="600"/>
  <c r="G38" i="600"/>
  <c r="I37" i="600"/>
  <c r="G37" i="600"/>
  <c r="I36" i="600"/>
  <c r="G36" i="600"/>
  <c r="I35" i="600"/>
  <c r="G35" i="600"/>
  <c r="I34" i="600"/>
  <c r="G34" i="600"/>
  <c r="I31" i="600"/>
  <c r="G31" i="600"/>
  <c r="I30" i="600"/>
  <c r="G30" i="600"/>
  <c r="I29" i="600"/>
  <c r="G29" i="600"/>
  <c r="I28" i="600"/>
  <c r="G28" i="600"/>
  <c r="I27" i="600"/>
  <c r="G27" i="600"/>
  <c r="I26" i="600"/>
  <c r="G26" i="600"/>
  <c r="I23" i="600"/>
  <c r="G23" i="600"/>
  <c r="I22" i="600"/>
  <c r="G22" i="600"/>
  <c r="I21" i="600"/>
  <c r="G21" i="600"/>
  <c r="I18" i="600"/>
  <c r="G18" i="600"/>
  <c r="I17" i="600"/>
  <c r="G17" i="600"/>
  <c r="I16" i="600"/>
  <c r="G16" i="600"/>
  <c r="I15" i="600"/>
  <c r="G15" i="600"/>
  <c r="I14" i="600"/>
  <c r="G14" i="600"/>
  <c r="I13" i="600"/>
  <c r="G13" i="600"/>
  <c r="I12" i="600"/>
  <c r="G12" i="600"/>
  <c r="I11" i="600"/>
  <c r="G11" i="600"/>
  <c r="I10" i="600"/>
  <c r="G10" i="600"/>
  <c r="E48" i="599"/>
  <c r="F10" i="599"/>
  <c r="F11" i="599"/>
  <c r="F12" i="599"/>
  <c r="F13" i="599"/>
  <c r="F14" i="599"/>
  <c r="F15" i="599"/>
  <c r="F16" i="599"/>
  <c r="F17" i="599"/>
  <c r="F18" i="599"/>
  <c r="F21" i="599"/>
  <c r="F22" i="599"/>
  <c r="F23" i="599"/>
  <c r="F26" i="599"/>
  <c r="F27" i="599"/>
  <c r="F28" i="599"/>
  <c r="F29" i="599"/>
  <c r="F30" i="599"/>
  <c r="F31" i="599"/>
  <c r="F34" i="599"/>
  <c r="F35" i="599"/>
  <c r="F36" i="599"/>
  <c r="F37" i="599"/>
  <c r="F38" i="599"/>
  <c r="F39" i="599"/>
  <c r="F42" i="599"/>
  <c r="F43" i="599"/>
  <c r="F44" i="599"/>
  <c r="F45" i="599"/>
  <c r="G45" i="599" s="1"/>
  <c r="C24" i="598"/>
  <c r="C48" i="598" s="1"/>
  <c r="H48" i="598"/>
  <c r="H50" i="598" s="1"/>
  <c r="E6" i="598" s="1"/>
  <c r="E45" i="598"/>
  <c r="E44" i="598"/>
  <c r="E43" i="598"/>
  <c r="E39" i="598"/>
  <c r="E38" i="598"/>
  <c r="E37" i="598"/>
  <c r="E36" i="598"/>
  <c r="E35" i="598"/>
  <c r="E31" i="598"/>
  <c r="E30" i="598"/>
  <c r="E29" i="598"/>
  <c r="E28" i="598"/>
  <c r="E27" i="598"/>
  <c r="E26" i="598"/>
  <c r="E23" i="598"/>
  <c r="E22" i="598"/>
  <c r="E21" i="598"/>
  <c r="E24" i="598"/>
  <c r="E32" i="598"/>
  <c r="E34" i="598"/>
  <c r="E42" i="598"/>
  <c r="E46" i="598"/>
  <c r="A52" i="598" s="1"/>
  <c r="E40" i="598"/>
  <c r="J50" i="598"/>
  <c r="E50" i="598"/>
  <c r="C24" i="597"/>
  <c r="C48" i="597" s="1"/>
  <c r="H48" i="597"/>
  <c r="H50" i="597" s="1"/>
  <c r="E6" i="597" s="1"/>
  <c r="E45" i="597"/>
  <c r="E44" i="597"/>
  <c r="E43" i="597"/>
  <c r="E39" i="597"/>
  <c r="E38" i="597"/>
  <c r="E37" i="597"/>
  <c r="E36" i="597"/>
  <c r="E35" i="597"/>
  <c r="E31" i="597"/>
  <c r="E30" i="597"/>
  <c r="E29" i="597"/>
  <c r="E28" i="597"/>
  <c r="E27" i="597"/>
  <c r="E26" i="597"/>
  <c r="E23" i="597"/>
  <c r="E22" i="597"/>
  <c r="E21" i="597"/>
  <c r="E24" i="597"/>
  <c r="E32" i="597"/>
  <c r="E34" i="597"/>
  <c r="E42" i="597"/>
  <c r="E46" i="597"/>
  <c r="A52" i="597" s="1"/>
  <c r="E40" i="597"/>
  <c r="J50" i="597"/>
  <c r="E50" i="597"/>
  <c r="H46" i="596"/>
  <c r="C46" i="596" s="1"/>
  <c r="H40" i="596"/>
  <c r="C40" i="596" s="1"/>
  <c r="H32" i="596"/>
  <c r="C32" i="596" s="1"/>
  <c r="E45" i="596"/>
  <c r="E44" i="596"/>
  <c r="E43" i="596"/>
  <c r="E42" i="596"/>
  <c r="E39" i="596"/>
  <c r="E38" i="596"/>
  <c r="E37" i="596"/>
  <c r="E36" i="596"/>
  <c r="E35" i="596"/>
  <c r="E34" i="596"/>
  <c r="E31" i="596"/>
  <c r="E30" i="596"/>
  <c r="E29" i="596"/>
  <c r="E28" i="596"/>
  <c r="E27" i="596"/>
  <c r="E26" i="596"/>
  <c r="E23" i="596"/>
  <c r="E22" i="596"/>
  <c r="E21" i="596"/>
  <c r="H24" i="596"/>
  <c r="J50" i="596"/>
  <c r="E50" i="596"/>
  <c r="H19" i="596"/>
  <c r="C19" i="596" s="1"/>
  <c r="H46" i="595"/>
  <c r="C46" i="595" s="1"/>
  <c r="H40" i="595"/>
  <c r="C40" i="595" s="1"/>
  <c r="H32" i="595"/>
  <c r="C32" i="595" s="1"/>
  <c r="E45" i="595"/>
  <c r="E44" i="595"/>
  <c r="E43" i="595"/>
  <c r="E42" i="595"/>
  <c r="E39" i="595"/>
  <c r="E38" i="595"/>
  <c r="E37" i="595"/>
  <c r="E36" i="595"/>
  <c r="E35" i="595"/>
  <c r="E34" i="595"/>
  <c r="E31" i="595"/>
  <c r="E30" i="595"/>
  <c r="E29" i="595"/>
  <c r="E28" i="595"/>
  <c r="E27" i="595"/>
  <c r="E26" i="595"/>
  <c r="E23" i="595"/>
  <c r="E22" i="595"/>
  <c r="E21" i="595"/>
  <c r="H24" i="595"/>
  <c r="J50" i="595"/>
  <c r="E50" i="595"/>
  <c r="H19" i="595"/>
  <c r="C19" i="595" s="1"/>
  <c r="H10" i="594"/>
  <c r="H11" i="594"/>
  <c r="H12" i="594"/>
  <c r="H13" i="594"/>
  <c r="H14" i="594"/>
  <c r="H15" i="594"/>
  <c r="H16" i="594"/>
  <c r="H17" i="594"/>
  <c r="H18" i="594"/>
  <c r="E19" i="594"/>
  <c r="H21" i="594"/>
  <c r="H22" i="594"/>
  <c r="H23" i="594"/>
  <c r="H26" i="594"/>
  <c r="D32" i="594"/>
  <c r="H27" i="594"/>
  <c r="H28" i="594"/>
  <c r="H29" i="594"/>
  <c r="H30" i="594"/>
  <c r="H31" i="594"/>
  <c r="H34" i="594"/>
  <c r="H35" i="594"/>
  <c r="H36" i="594"/>
  <c r="H37" i="594"/>
  <c r="H38" i="594"/>
  <c r="H39" i="594"/>
  <c r="H42" i="594"/>
  <c r="H43" i="594"/>
  <c r="H44" i="594"/>
  <c r="H10" i="593"/>
  <c r="H11" i="593"/>
  <c r="H12" i="593"/>
  <c r="H13" i="593"/>
  <c r="H14" i="593"/>
  <c r="H15" i="593"/>
  <c r="H16" i="593"/>
  <c r="H17" i="593"/>
  <c r="H18" i="593"/>
  <c r="D50" i="593"/>
  <c r="E19" i="593"/>
  <c r="H21" i="593"/>
  <c r="H22" i="593"/>
  <c r="H23" i="593"/>
  <c r="D48" i="593"/>
  <c r="E40" i="593" s="1"/>
  <c r="H26" i="593"/>
  <c r="H27" i="593"/>
  <c r="H28" i="593"/>
  <c r="H29" i="593"/>
  <c r="H30" i="593"/>
  <c r="H31" i="593"/>
  <c r="H34" i="593"/>
  <c r="H35" i="593"/>
  <c r="H36" i="593"/>
  <c r="H37" i="593"/>
  <c r="H38" i="593"/>
  <c r="H39" i="593"/>
  <c r="H42" i="593"/>
  <c r="H43" i="593"/>
  <c r="H44" i="593"/>
  <c r="D34" i="592"/>
  <c r="D40" i="592" s="1"/>
  <c r="D26" i="592"/>
  <c r="D32" i="592" s="1"/>
  <c r="D42" i="592"/>
  <c r="D46" i="592" s="1"/>
  <c r="C45" i="592"/>
  <c r="C44" i="592"/>
  <c r="C43" i="592"/>
  <c r="C42" i="592"/>
  <c r="C39" i="592"/>
  <c r="C38" i="592"/>
  <c r="C37" i="592"/>
  <c r="C36" i="592"/>
  <c r="C35" i="592"/>
  <c r="C34" i="592"/>
  <c r="C31" i="592"/>
  <c r="C30" i="592"/>
  <c r="C29" i="592"/>
  <c r="C28" i="592"/>
  <c r="C27" i="592"/>
  <c r="C26" i="592"/>
  <c r="D24" i="592"/>
  <c r="C23" i="592"/>
  <c r="C22" i="592"/>
  <c r="C21" i="592"/>
  <c r="D19" i="592"/>
  <c r="E17" i="592" s="1"/>
  <c r="C18" i="592"/>
  <c r="C17" i="592"/>
  <c r="C16" i="592"/>
  <c r="C15" i="592"/>
  <c r="C14" i="592"/>
  <c r="C13" i="592"/>
  <c r="C12" i="592"/>
  <c r="C11" i="592"/>
  <c r="C10" i="592"/>
  <c r="C7" i="592"/>
  <c r="G4" i="592"/>
  <c r="E4" i="592"/>
  <c r="E32" i="593" l="1"/>
  <c r="I19" i="600"/>
  <c r="F19" i="600" s="1"/>
  <c r="G19" i="600" s="1"/>
  <c r="I32" i="600"/>
  <c r="F32" i="600" s="1"/>
  <c r="G32" i="600" s="1"/>
  <c r="I40" i="600"/>
  <c r="F40" i="600" s="1"/>
  <c r="G40" i="600" s="1"/>
  <c r="I46" i="600"/>
  <c r="F46" i="600" s="1"/>
  <c r="G46" i="600" s="1"/>
  <c r="E24" i="593"/>
  <c r="E10" i="592"/>
  <c r="E12" i="592"/>
  <c r="E14" i="592"/>
  <c r="E16" i="592"/>
  <c r="E18" i="592"/>
  <c r="E11" i="592"/>
  <c r="E13" i="592"/>
  <c r="E15" i="592"/>
  <c r="A54" i="607"/>
  <c r="G5" i="607"/>
  <c r="I51" i="607"/>
  <c r="F50" i="607"/>
  <c r="E46" i="593"/>
  <c r="A52" i="593" s="1"/>
  <c r="E48" i="595"/>
  <c r="E48" i="596"/>
  <c r="F24" i="602"/>
  <c r="G24" i="602" s="1"/>
  <c r="I48" i="602"/>
  <c r="I50" i="602" s="1"/>
  <c r="F24" i="601"/>
  <c r="G24" i="601" s="1"/>
  <c r="I48" i="601"/>
  <c r="I24" i="600"/>
  <c r="I44" i="599"/>
  <c r="G44" i="599"/>
  <c r="I43" i="599"/>
  <c r="G43" i="599"/>
  <c r="I42" i="599"/>
  <c r="I46" i="599" s="1"/>
  <c r="F46" i="599" s="1"/>
  <c r="G46" i="599" s="1"/>
  <c r="G42" i="599"/>
  <c r="I39" i="599"/>
  <c r="G39" i="599"/>
  <c r="I38" i="599"/>
  <c r="G38" i="599"/>
  <c r="I37" i="599"/>
  <c r="G37" i="599"/>
  <c r="I36" i="599"/>
  <c r="G36" i="599"/>
  <c r="I35" i="599"/>
  <c r="G35" i="599"/>
  <c r="I34" i="599"/>
  <c r="G34" i="599"/>
  <c r="I31" i="599"/>
  <c r="G31" i="599"/>
  <c r="I30" i="599"/>
  <c r="G30" i="599"/>
  <c r="I29" i="599"/>
  <c r="G29" i="599"/>
  <c r="I28" i="599"/>
  <c r="G28" i="599"/>
  <c r="I27" i="599"/>
  <c r="G27" i="599"/>
  <c r="I26" i="599"/>
  <c r="I32" i="599" s="1"/>
  <c r="F32" i="599" s="1"/>
  <c r="G32" i="599" s="1"/>
  <c r="G26" i="599"/>
  <c r="I23" i="599"/>
  <c r="G23" i="599"/>
  <c r="I22" i="599"/>
  <c r="G22" i="599"/>
  <c r="I21" i="599"/>
  <c r="G21" i="599"/>
  <c r="I18" i="599"/>
  <c r="G18" i="599"/>
  <c r="I17" i="599"/>
  <c r="G17" i="599"/>
  <c r="I16" i="599"/>
  <c r="G16" i="599"/>
  <c r="I15" i="599"/>
  <c r="G15" i="599"/>
  <c r="I14" i="599"/>
  <c r="G14" i="599"/>
  <c r="I13" i="599"/>
  <c r="G13" i="599"/>
  <c r="I12" i="599"/>
  <c r="G12" i="599"/>
  <c r="I11" i="599"/>
  <c r="G11" i="599"/>
  <c r="I10" i="599"/>
  <c r="I19" i="599" s="1"/>
  <c r="F19" i="599" s="1"/>
  <c r="G19" i="599" s="1"/>
  <c r="G10" i="599"/>
  <c r="E48" i="598"/>
  <c r="F10" i="598"/>
  <c r="F11" i="598"/>
  <c r="F12" i="598"/>
  <c r="F13" i="598"/>
  <c r="F14" i="598"/>
  <c r="F15" i="598"/>
  <c r="F16" i="598"/>
  <c r="F17" i="598"/>
  <c r="F18" i="598"/>
  <c r="F21" i="598"/>
  <c r="F22" i="598"/>
  <c r="F23" i="598"/>
  <c r="F26" i="598"/>
  <c r="F27" i="598"/>
  <c r="F28" i="598"/>
  <c r="F29" i="598"/>
  <c r="F30" i="598"/>
  <c r="F31" i="598"/>
  <c r="F34" i="598"/>
  <c r="F35" i="598"/>
  <c r="F36" i="598"/>
  <c r="F37" i="598"/>
  <c r="F38" i="598"/>
  <c r="F39" i="598"/>
  <c r="F42" i="598"/>
  <c r="F43" i="598"/>
  <c r="F44" i="598"/>
  <c r="F45" i="598"/>
  <c r="G45" i="598" s="1"/>
  <c r="E48" i="597"/>
  <c r="F10" i="597"/>
  <c r="F11" i="597"/>
  <c r="F12" i="597"/>
  <c r="F13" i="597"/>
  <c r="F14" i="597"/>
  <c r="F15" i="597"/>
  <c r="F16" i="597"/>
  <c r="F17" i="597"/>
  <c r="F18" i="597"/>
  <c r="F21" i="597"/>
  <c r="F22" i="597"/>
  <c r="F23" i="597"/>
  <c r="F26" i="597"/>
  <c r="F27" i="597"/>
  <c r="F28" i="597"/>
  <c r="F29" i="597"/>
  <c r="F30" i="597"/>
  <c r="F31" i="597"/>
  <c r="F34" i="597"/>
  <c r="F35" i="597"/>
  <c r="F36" i="597"/>
  <c r="F37" i="597"/>
  <c r="F38" i="597"/>
  <c r="F39" i="597"/>
  <c r="F42" i="597"/>
  <c r="F43" i="597"/>
  <c r="F44" i="597"/>
  <c r="F45" i="597"/>
  <c r="G45" i="597" s="1"/>
  <c r="C24" i="596"/>
  <c r="C48" i="596" s="1"/>
  <c r="H48" i="596"/>
  <c r="H50" i="596" s="1"/>
  <c r="E6" i="596" s="1"/>
  <c r="C24" i="595"/>
  <c r="C48" i="595" s="1"/>
  <c r="H48" i="595"/>
  <c r="H50" i="595" s="1"/>
  <c r="E6" i="595" s="1"/>
  <c r="H46" i="594"/>
  <c r="C46" i="594" s="1"/>
  <c r="H40" i="594"/>
  <c r="C40" i="594" s="1"/>
  <c r="D50" i="594"/>
  <c r="D48" i="594"/>
  <c r="H32" i="594"/>
  <c r="C32" i="594" s="1"/>
  <c r="H24" i="594"/>
  <c r="H19" i="594"/>
  <c r="C19" i="594" s="1"/>
  <c r="H46" i="593"/>
  <c r="C46" i="593" s="1"/>
  <c r="H40" i="593"/>
  <c r="C40" i="593" s="1"/>
  <c r="H32" i="593"/>
  <c r="C32" i="593" s="1"/>
  <c r="E45" i="593"/>
  <c r="E44" i="593"/>
  <c r="E43" i="593"/>
  <c r="E42" i="593"/>
  <c r="E39" i="593"/>
  <c r="E38" i="593"/>
  <c r="E37" i="593"/>
  <c r="E36" i="593"/>
  <c r="E35" i="593"/>
  <c r="E34" i="593"/>
  <c r="E31" i="593"/>
  <c r="E30" i="593"/>
  <c r="E29" i="593"/>
  <c r="E28" i="593"/>
  <c r="E27" i="593"/>
  <c r="E26" i="593"/>
  <c r="E23" i="593"/>
  <c r="E22" i="593"/>
  <c r="E21" i="593"/>
  <c r="H24" i="593"/>
  <c r="J50" i="593"/>
  <c r="E50" i="593"/>
  <c r="H19" i="593"/>
  <c r="C19" i="593" s="1"/>
  <c r="H10" i="592"/>
  <c r="H11" i="592"/>
  <c r="H12" i="592"/>
  <c r="H13" i="592"/>
  <c r="H14" i="592"/>
  <c r="H15" i="592"/>
  <c r="H16" i="592"/>
  <c r="H17" i="592"/>
  <c r="H18" i="592"/>
  <c r="D50" i="592"/>
  <c r="E19" i="592"/>
  <c r="H21" i="592"/>
  <c r="H22" i="592"/>
  <c r="H23" i="592"/>
  <c r="D48" i="592"/>
  <c r="E40" i="592" s="1"/>
  <c r="H26" i="592"/>
  <c r="H27" i="592"/>
  <c r="H28" i="592"/>
  <c r="H29" i="592"/>
  <c r="H30" i="592"/>
  <c r="H31" i="592"/>
  <c r="H34" i="592"/>
  <c r="H35" i="592"/>
  <c r="H36" i="592"/>
  <c r="H37" i="592"/>
  <c r="H38" i="592"/>
  <c r="H39" i="592"/>
  <c r="H42" i="592"/>
  <c r="H43" i="592"/>
  <c r="H44" i="592"/>
  <c r="D34" i="591"/>
  <c r="D40" i="591" s="1"/>
  <c r="D26" i="591"/>
  <c r="D32" i="591" s="1"/>
  <c r="D42" i="591"/>
  <c r="D46" i="591" s="1"/>
  <c r="C45" i="591"/>
  <c r="C44" i="591"/>
  <c r="C43" i="591"/>
  <c r="C42" i="591"/>
  <c r="C39" i="591"/>
  <c r="C38" i="591"/>
  <c r="C37" i="591"/>
  <c r="C36" i="591"/>
  <c r="C35" i="591"/>
  <c r="C34" i="591"/>
  <c r="C31" i="591"/>
  <c r="C30" i="591"/>
  <c r="C29" i="591"/>
  <c r="C28" i="591"/>
  <c r="C27" i="591"/>
  <c r="C26" i="591"/>
  <c r="D24" i="591"/>
  <c r="C23" i="591"/>
  <c r="C22" i="591"/>
  <c r="C21" i="591"/>
  <c r="D19" i="591"/>
  <c r="E18" i="591" s="1"/>
  <c r="C18" i="591"/>
  <c r="C17" i="591"/>
  <c r="C16" i="591"/>
  <c r="C15" i="591"/>
  <c r="C14" i="591"/>
  <c r="C13" i="591"/>
  <c r="C12" i="591"/>
  <c r="C11" i="591"/>
  <c r="C10" i="591"/>
  <c r="C7" i="591"/>
  <c r="G4" i="591"/>
  <c r="E4" i="591"/>
  <c r="C45" i="590"/>
  <c r="C44" i="590"/>
  <c r="C43" i="590"/>
  <c r="C42" i="590"/>
  <c r="C39" i="590"/>
  <c r="C38" i="590"/>
  <c r="C37" i="590"/>
  <c r="C36" i="590"/>
  <c r="C35" i="590"/>
  <c r="C34" i="590"/>
  <c r="C31" i="590"/>
  <c r="C30" i="590"/>
  <c r="C29" i="590"/>
  <c r="C28" i="590"/>
  <c r="C27" i="590"/>
  <c r="C26" i="590"/>
  <c r="D24" i="590"/>
  <c r="C23" i="590"/>
  <c r="C22" i="590"/>
  <c r="C21" i="590"/>
  <c r="D19" i="590"/>
  <c r="E17" i="590" s="1"/>
  <c r="C18" i="590"/>
  <c r="C17" i="590"/>
  <c r="C16" i="590"/>
  <c r="C15" i="590"/>
  <c r="C14" i="590"/>
  <c r="C13" i="590"/>
  <c r="C12" i="590"/>
  <c r="C11" i="590"/>
  <c r="C10" i="590"/>
  <c r="C7" i="590"/>
  <c r="G4" i="590"/>
  <c r="E4" i="590"/>
  <c r="D34" i="589"/>
  <c r="D29" i="589"/>
  <c r="D29" i="605" s="1"/>
  <c r="D26" i="589"/>
  <c r="D30" i="589"/>
  <c r="D30" i="605" s="1"/>
  <c r="D15" i="589"/>
  <c r="C45" i="589"/>
  <c r="C44" i="589"/>
  <c r="C43" i="589"/>
  <c r="C42" i="589"/>
  <c r="C39" i="589"/>
  <c r="C38" i="589"/>
  <c r="C37" i="589"/>
  <c r="C36" i="589"/>
  <c r="C35" i="589"/>
  <c r="C34" i="589"/>
  <c r="C31" i="589"/>
  <c r="C30" i="589"/>
  <c r="C29" i="589"/>
  <c r="C28" i="589"/>
  <c r="C27" i="589"/>
  <c r="C26" i="589"/>
  <c r="D24" i="589"/>
  <c r="C23" i="589"/>
  <c r="C22" i="589"/>
  <c r="C21" i="589"/>
  <c r="C18" i="589"/>
  <c r="C17" i="589"/>
  <c r="C16" i="589"/>
  <c r="C15" i="589"/>
  <c r="C14" i="589"/>
  <c r="C13" i="589"/>
  <c r="C12" i="589"/>
  <c r="C11" i="589"/>
  <c r="C10" i="589"/>
  <c r="C7" i="589"/>
  <c r="G4" i="589"/>
  <c r="E4" i="589"/>
  <c r="D34" i="588"/>
  <c r="D26" i="588"/>
  <c r="D42" i="588"/>
  <c r="C45" i="588"/>
  <c r="C44" i="588"/>
  <c r="C43" i="588"/>
  <c r="C42" i="588"/>
  <c r="C39" i="588"/>
  <c r="C38" i="588"/>
  <c r="C37" i="588"/>
  <c r="C36" i="588"/>
  <c r="C35" i="588"/>
  <c r="C34" i="588"/>
  <c r="C31" i="588"/>
  <c r="C30" i="588"/>
  <c r="C29" i="588"/>
  <c r="C28" i="588"/>
  <c r="C27" i="588"/>
  <c r="C26" i="588"/>
  <c r="D24" i="588"/>
  <c r="C23" i="588"/>
  <c r="C22" i="588"/>
  <c r="C21" i="588"/>
  <c r="D19" i="588"/>
  <c r="E18" i="588" s="1"/>
  <c r="C18" i="588"/>
  <c r="C17" i="588"/>
  <c r="C16" i="588"/>
  <c r="C15" i="588"/>
  <c r="C14" i="588"/>
  <c r="C13" i="588"/>
  <c r="C12" i="588"/>
  <c r="C11" i="588"/>
  <c r="C10" i="588"/>
  <c r="C7" i="588"/>
  <c r="G4" i="588"/>
  <c r="E4" i="588"/>
  <c r="E11" i="588" l="1"/>
  <c r="E13" i="588"/>
  <c r="E15" i="588"/>
  <c r="E17" i="588"/>
  <c r="E10" i="590"/>
  <c r="E12" i="590"/>
  <c r="E14" i="590"/>
  <c r="E16" i="590"/>
  <c r="E10" i="588"/>
  <c r="E12" i="588"/>
  <c r="E14" i="588"/>
  <c r="E16" i="588"/>
  <c r="E11" i="590"/>
  <c r="E13" i="590"/>
  <c r="E15" i="590"/>
  <c r="E18" i="590"/>
  <c r="E32" i="592"/>
  <c r="E24" i="592"/>
  <c r="F48" i="602"/>
  <c r="E46" i="592"/>
  <c r="A52" i="592" s="1"/>
  <c r="E13" i="591"/>
  <c r="E15" i="591"/>
  <c r="E17" i="591"/>
  <c r="I40" i="599"/>
  <c r="F40" i="599" s="1"/>
  <c r="G40" i="599" s="1"/>
  <c r="D30" i="603"/>
  <c r="H30" i="605"/>
  <c r="E11" i="591"/>
  <c r="E48" i="593"/>
  <c r="D19" i="589"/>
  <c r="D29" i="603"/>
  <c r="H29" i="605"/>
  <c r="E10" i="591"/>
  <c r="E12" i="591"/>
  <c r="E14" i="591"/>
  <c r="E16" i="591"/>
  <c r="A54" i="602"/>
  <c r="I51" i="602"/>
  <c r="F50" i="602"/>
  <c r="G6" i="602"/>
  <c r="G5" i="602"/>
  <c r="I50" i="601"/>
  <c r="F48" i="601"/>
  <c r="F24" i="600"/>
  <c r="G24" i="600" s="1"/>
  <c r="I48" i="600"/>
  <c r="I24" i="599"/>
  <c r="I44" i="598"/>
  <c r="G44" i="598"/>
  <c r="I43" i="598"/>
  <c r="G43" i="598"/>
  <c r="I42" i="598"/>
  <c r="G42" i="598"/>
  <c r="I39" i="598"/>
  <c r="G39" i="598"/>
  <c r="I38" i="598"/>
  <c r="G38" i="598"/>
  <c r="I37" i="598"/>
  <c r="G37" i="598"/>
  <c r="I36" i="598"/>
  <c r="G36" i="598"/>
  <c r="I35" i="598"/>
  <c r="G35" i="598"/>
  <c r="I34" i="598"/>
  <c r="G34" i="598"/>
  <c r="I31" i="598"/>
  <c r="G31" i="598"/>
  <c r="I30" i="598"/>
  <c r="G30" i="598"/>
  <c r="I29" i="598"/>
  <c r="G29" i="598"/>
  <c r="I28" i="598"/>
  <c r="G28" i="598"/>
  <c r="I27" i="598"/>
  <c r="G27" i="598"/>
  <c r="I26" i="598"/>
  <c r="G26" i="598"/>
  <c r="I23" i="598"/>
  <c r="G23" i="598"/>
  <c r="I22" i="598"/>
  <c r="G22" i="598"/>
  <c r="I21" i="598"/>
  <c r="G21" i="598"/>
  <c r="I18" i="598"/>
  <c r="G18" i="598"/>
  <c r="I17" i="598"/>
  <c r="G17" i="598"/>
  <c r="I16" i="598"/>
  <c r="G16" i="598"/>
  <c r="I15" i="598"/>
  <c r="G15" i="598"/>
  <c r="I14" i="598"/>
  <c r="G14" i="598"/>
  <c r="I13" i="598"/>
  <c r="G13" i="598"/>
  <c r="I12" i="598"/>
  <c r="G12" i="598"/>
  <c r="I11" i="598"/>
  <c r="G11" i="598"/>
  <c r="I10" i="598"/>
  <c r="G10" i="598"/>
  <c r="I44" i="597"/>
  <c r="G44" i="597"/>
  <c r="I43" i="597"/>
  <c r="G43" i="597"/>
  <c r="I42" i="597"/>
  <c r="G42" i="597"/>
  <c r="I39" i="597"/>
  <c r="G39" i="597"/>
  <c r="I38" i="597"/>
  <c r="G38" i="597"/>
  <c r="I37" i="597"/>
  <c r="G37" i="597"/>
  <c r="I36" i="597"/>
  <c r="G36" i="597"/>
  <c r="I35" i="597"/>
  <c r="G35" i="597"/>
  <c r="I34" i="597"/>
  <c r="G34" i="597"/>
  <c r="I31" i="597"/>
  <c r="G31" i="597"/>
  <c r="I30" i="597"/>
  <c r="G30" i="597"/>
  <c r="I29" i="597"/>
  <c r="G29" i="597"/>
  <c r="I28" i="597"/>
  <c r="G28" i="597"/>
  <c r="I27" i="597"/>
  <c r="G27" i="597"/>
  <c r="I26" i="597"/>
  <c r="G26" i="597"/>
  <c r="I23" i="597"/>
  <c r="G23" i="597"/>
  <c r="I22" i="597"/>
  <c r="G22" i="597"/>
  <c r="I21" i="597"/>
  <c r="G21" i="597"/>
  <c r="I18" i="597"/>
  <c r="G18" i="597"/>
  <c r="I17" i="597"/>
  <c r="G17" i="597"/>
  <c r="I16" i="597"/>
  <c r="G16" i="597"/>
  <c r="I15" i="597"/>
  <c r="G15" i="597"/>
  <c r="I14" i="597"/>
  <c r="G14" i="597"/>
  <c r="I13" i="597"/>
  <c r="G13" i="597"/>
  <c r="I12" i="597"/>
  <c r="G12" i="597"/>
  <c r="I11" i="597"/>
  <c r="G11" i="597"/>
  <c r="I10" i="597"/>
  <c r="G10" i="597"/>
  <c r="F10" i="596"/>
  <c r="F11" i="596"/>
  <c r="F12" i="596"/>
  <c r="F13" i="596"/>
  <c r="F14" i="596"/>
  <c r="F15" i="596"/>
  <c r="F16" i="596"/>
  <c r="F17" i="596"/>
  <c r="F18" i="596"/>
  <c r="F21" i="596"/>
  <c r="F22" i="596"/>
  <c r="F23" i="596"/>
  <c r="F26" i="596"/>
  <c r="F27" i="596"/>
  <c r="F28" i="596"/>
  <c r="F29" i="596"/>
  <c r="F30" i="596"/>
  <c r="F31" i="596"/>
  <c r="F34" i="596"/>
  <c r="F35" i="596"/>
  <c r="F36" i="596"/>
  <c r="F37" i="596"/>
  <c r="F38" i="596"/>
  <c r="F39" i="596"/>
  <c r="F42" i="596"/>
  <c r="F43" i="596"/>
  <c r="F44" i="596"/>
  <c r="F45" i="596"/>
  <c r="G45" i="596" s="1"/>
  <c r="F10" i="595"/>
  <c r="F11" i="595"/>
  <c r="F12" i="595"/>
  <c r="F13" i="595"/>
  <c r="F14" i="595"/>
  <c r="F15" i="595"/>
  <c r="F16" i="595"/>
  <c r="F17" i="595"/>
  <c r="F18" i="595"/>
  <c r="F21" i="595"/>
  <c r="F22" i="595"/>
  <c r="F23" i="595"/>
  <c r="F26" i="595"/>
  <c r="F27" i="595"/>
  <c r="F28" i="595"/>
  <c r="F29" i="595"/>
  <c r="F30" i="595"/>
  <c r="F31" i="595"/>
  <c r="F34" i="595"/>
  <c r="F35" i="595"/>
  <c r="F36" i="595"/>
  <c r="F37" i="595"/>
  <c r="F38" i="595"/>
  <c r="F39" i="595"/>
  <c r="F42" i="595"/>
  <c r="F43" i="595"/>
  <c r="F44" i="595"/>
  <c r="F45" i="595"/>
  <c r="G45" i="595" s="1"/>
  <c r="C24" i="594"/>
  <c r="C48" i="594" s="1"/>
  <c r="H48" i="594"/>
  <c r="H50" i="594" s="1"/>
  <c r="E6" i="594" s="1"/>
  <c r="E45" i="594"/>
  <c r="E44" i="594"/>
  <c r="E43" i="594"/>
  <c r="E42" i="594"/>
  <c r="E39" i="594"/>
  <c r="E38" i="594"/>
  <c r="E37" i="594"/>
  <c r="E36" i="594"/>
  <c r="E35" i="594"/>
  <c r="E34" i="594"/>
  <c r="E31" i="594"/>
  <c r="E30" i="594"/>
  <c r="E29" i="594"/>
  <c r="E28" i="594"/>
  <c r="E27" i="594"/>
  <c r="E23" i="594"/>
  <c r="E22" i="594"/>
  <c r="E21" i="594"/>
  <c r="E24" i="594"/>
  <c r="E26" i="594"/>
  <c r="E40" i="594"/>
  <c r="E46" i="594"/>
  <c r="A52" i="594" s="1"/>
  <c r="E32" i="594"/>
  <c r="J50" i="594"/>
  <c r="E50" i="594"/>
  <c r="C24" i="593"/>
  <c r="C48" i="593" s="1"/>
  <c r="H48" i="593"/>
  <c r="H50" i="593" s="1"/>
  <c r="E6" i="593" s="1"/>
  <c r="H46" i="592"/>
  <c r="C46" i="592" s="1"/>
  <c r="H40" i="592"/>
  <c r="C40" i="592" s="1"/>
  <c r="H32" i="592"/>
  <c r="C32" i="592" s="1"/>
  <c r="E45" i="592"/>
  <c r="E44" i="592"/>
  <c r="E43" i="592"/>
  <c r="E42" i="592"/>
  <c r="E39" i="592"/>
  <c r="E38" i="592"/>
  <c r="E37" i="592"/>
  <c r="E36" i="592"/>
  <c r="E35" i="592"/>
  <c r="E34" i="592"/>
  <c r="E31" i="592"/>
  <c r="E30" i="592"/>
  <c r="E29" i="592"/>
  <c r="E28" i="592"/>
  <c r="E27" i="592"/>
  <c r="E26" i="592"/>
  <c r="E23" i="592"/>
  <c r="E22" i="592"/>
  <c r="E21" i="592"/>
  <c r="H24" i="592"/>
  <c r="J50" i="592"/>
  <c r="E50" i="592"/>
  <c r="H19" i="592"/>
  <c r="C19" i="592" s="1"/>
  <c r="H10" i="591"/>
  <c r="H11" i="591"/>
  <c r="H12" i="591"/>
  <c r="H13" i="591"/>
  <c r="H14" i="591"/>
  <c r="H15" i="591"/>
  <c r="H16" i="591"/>
  <c r="H17" i="591"/>
  <c r="H18" i="591"/>
  <c r="D50" i="591"/>
  <c r="E19" i="591"/>
  <c r="H21" i="591"/>
  <c r="H22" i="591"/>
  <c r="H23" i="591"/>
  <c r="D48" i="591"/>
  <c r="E24" i="591" s="1"/>
  <c r="H26" i="591"/>
  <c r="H27" i="591"/>
  <c r="H28" i="591"/>
  <c r="H29" i="591"/>
  <c r="H30" i="591"/>
  <c r="H31" i="591"/>
  <c r="H34" i="591"/>
  <c r="H35" i="591"/>
  <c r="H36" i="591"/>
  <c r="H37" i="591"/>
  <c r="H38" i="591"/>
  <c r="H39" i="591"/>
  <c r="H42" i="591"/>
  <c r="H43" i="591"/>
  <c r="H44" i="591"/>
  <c r="H10" i="590"/>
  <c r="H11" i="590"/>
  <c r="H12" i="590"/>
  <c r="H13" i="590"/>
  <c r="H14" i="590"/>
  <c r="H15" i="590"/>
  <c r="H16" i="590"/>
  <c r="H17" i="590"/>
  <c r="H18" i="590"/>
  <c r="E19" i="590"/>
  <c r="H21" i="590"/>
  <c r="H22" i="590"/>
  <c r="H23" i="590"/>
  <c r="H26" i="590"/>
  <c r="H27" i="590"/>
  <c r="D32" i="590"/>
  <c r="H28" i="590"/>
  <c r="H29" i="590"/>
  <c r="H30" i="590"/>
  <c r="H31" i="590"/>
  <c r="H34" i="590"/>
  <c r="D40" i="590"/>
  <c r="H35" i="590"/>
  <c r="H36" i="590"/>
  <c r="H37" i="590"/>
  <c r="H38" i="590"/>
  <c r="H39" i="590"/>
  <c r="H42" i="590"/>
  <c r="D46" i="590"/>
  <c r="H43" i="590"/>
  <c r="H44" i="590"/>
  <c r="H10" i="589"/>
  <c r="H11" i="589"/>
  <c r="H12" i="589"/>
  <c r="H13" i="589"/>
  <c r="H14" i="589"/>
  <c r="H15" i="589"/>
  <c r="H16" i="589"/>
  <c r="H17" i="589"/>
  <c r="H18" i="589"/>
  <c r="E19" i="589"/>
  <c r="H21" i="589"/>
  <c r="H22" i="589"/>
  <c r="H23" i="589"/>
  <c r="H26" i="589"/>
  <c r="D32" i="589"/>
  <c r="H27" i="589"/>
  <c r="H28" i="589"/>
  <c r="H29" i="589"/>
  <c r="H30" i="589"/>
  <c r="H31" i="589"/>
  <c r="H34" i="589"/>
  <c r="D40" i="589"/>
  <c r="H35" i="589"/>
  <c r="H36" i="589"/>
  <c r="H37" i="589"/>
  <c r="H38" i="589"/>
  <c r="H39" i="589"/>
  <c r="H42" i="589"/>
  <c r="D46" i="589"/>
  <c r="H43" i="589"/>
  <c r="H44" i="589"/>
  <c r="H10" i="588"/>
  <c r="H11" i="588"/>
  <c r="H12" i="588"/>
  <c r="H13" i="588"/>
  <c r="H14" i="588"/>
  <c r="H15" i="588"/>
  <c r="H16" i="588"/>
  <c r="H17" i="588"/>
  <c r="H18" i="588"/>
  <c r="E19" i="588"/>
  <c r="H21" i="588"/>
  <c r="H22" i="588"/>
  <c r="H23" i="588"/>
  <c r="H26" i="588"/>
  <c r="D32" i="588"/>
  <c r="H27" i="588"/>
  <c r="H28" i="588"/>
  <c r="H29" i="588"/>
  <c r="H30" i="588"/>
  <c r="H31" i="588"/>
  <c r="H34" i="588"/>
  <c r="D40" i="588"/>
  <c r="H35" i="588"/>
  <c r="H36" i="588"/>
  <c r="H37" i="588"/>
  <c r="H38" i="588"/>
  <c r="H39" i="588"/>
  <c r="H42" i="588"/>
  <c r="D46" i="588"/>
  <c r="H43" i="588"/>
  <c r="H44" i="588"/>
  <c r="D34" i="587"/>
  <c r="D26" i="587"/>
  <c r="D42" i="587"/>
  <c r="C45" i="587"/>
  <c r="C44" i="587"/>
  <c r="C43" i="587"/>
  <c r="C42" i="587"/>
  <c r="C39" i="587"/>
  <c r="C38" i="587"/>
  <c r="C37" i="587"/>
  <c r="C36" i="587"/>
  <c r="C35" i="587"/>
  <c r="C34" i="587"/>
  <c r="C31" i="587"/>
  <c r="C30" i="587"/>
  <c r="C29" i="587"/>
  <c r="C28" i="587"/>
  <c r="C27" i="587"/>
  <c r="C26" i="587"/>
  <c r="D24" i="587"/>
  <c r="C23" i="587"/>
  <c r="C22" i="587"/>
  <c r="C21" i="587"/>
  <c r="D19" i="587"/>
  <c r="E18" i="587" s="1"/>
  <c r="C18" i="587"/>
  <c r="C17" i="587"/>
  <c r="C16" i="587"/>
  <c r="C15" i="587"/>
  <c r="C14" i="587"/>
  <c r="C13" i="587"/>
  <c r="C12" i="587"/>
  <c r="C11" i="587"/>
  <c r="C10" i="587"/>
  <c r="C7" i="587"/>
  <c r="G4" i="587"/>
  <c r="E4" i="587"/>
  <c r="D46" i="586"/>
  <c r="C45" i="586"/>
  <c r="C44" i="586"/>
  <c r="C43" i="586"/>
  <c r="C42" i="586"/>
  <c r="D40" i="586"/>
  <c r="C39" i="586"/>
  <c r="C38" i="586"/>
  <c r="C37" i="586"/>
  <c r="C36" i="586"/>
  <c r="C35" i="586"/>
  <c r="C34" i="586"/>
  <c r="D32" i="586"/>
  <c r="C31" i="586"/>
  <c r="C30" i="586"/>
  <c r="C29" i="586"/>
  <c r="C28" i="586"/>
  <c r="C27" i="586"/>
  <c r="C26" i="586"/>
  <c r="D24" i="586"/>
  <c r="C23" i="586"/>
  <c r="C22" i="586"/>
  <c r="C21" i="586"/>
  <c r="D19" i="586"/>
  <c r="E18" i="586" s="1"/>
  <c r="C18" i="586"/>
  <c r="C17" i="586"/>
  <c r="C16" i="586"/>
  <c r="C15" i="586"/>
  <c r="C14" i="586"/>
  <c r="C13" i="586"/>
  <c r="C12" i="586"/>
  <c r="C11" i="586"/>
  <c r="C10" i="586"/>
  <c r="C7" i="586"/>
  <c r="G4" i="586"/>
  <c r="E4" i="586"/>
  <c r="D46" i="585"/>
  <c r="C45" i="585"/>
  <c r="C44" i="585"/>
  <c r="C43" i="585"/>
  <c r="C42" i="585"/>
  <c r="D40" i="585"/>
  <c r="C39" i="585"/>
  <c r="C38" i="585"/>
  <c r="C37" i="585"/>
  <c r="C36" i="585"/>
  <c r="C35" i="585"/>
  <c r="C34" i="585"/>
  <c r="D32" i="585"/>
  <c r="C31" i="585"/>
  <c r="C30" i="585"/>
  <c r="C29" i="585"/>
  <c r="C28" i="585"/>
  <c r="C27" i="585"/>
  <c r="C26" i="585"/>
  <c r="D24" i="585"/>
  <c r="C23" i="585"/>
  <c r="C22" i="585"/>
  <c r="C21" i="585"/>
  <c r="D19" i="585"/>
  <c r="E17" i="585" s="1"/>
  <c r="C18" i="585"/>
  <c r="C17" i="585"/>
  <c r="C16" i="585"/>
  <c r="C15" i="585"/>
  <c r="C14" i="585"/>
  <c r="C13" i="585"/>
  <c r="C12" i="585"/>
  <c r="C11" i="585"/>
  <c r="C10" i="585"/>
  <c r="C7" i="585"/>
  <c r="G4" i="585"/>
  <c r="E4" i="585"/>
  <c r="E10" i="586" l="1"/>
  <c r="E12" i="586"/>
  <c r="E14" i="586"/>
  <c r="E16" i="586"/>
  <c r="E11" i="586"/>
  <c r="E13" i="586"/>
  <c r="E15" i="586"/>
  <c r="E17" i="587"/>
  <c r="E17" i="586"/>
  <c r="E10" i="587"/>
  <c r="E12" i="587"/>
  <c r="E11" i="587"/>
  <c r="E13" i="587"/>
  <c r="E10" i="585"/>
  <c r="E12" i="585"/>
  <c r="E14" i="585"/>
  <c r="E16" i="585"/>
  <c r="E18" i="585"/>
  <c r="E46" i="591"/>
  <c r="A52" i="591" s="1"/>
  <c r="E40" i="591"/>
  <c r="E11" i="585"/>
  <c r="E13" i="585"/>
  <c r="E15" i="585"/>
  <c r="E15" i="587"/>
  <c r="E32" i="591"/>
  <c r="I19" i="598"/>
  <c r="F19" i="598" s="1"/>
  <c r="G19" i="598" s="1"/>
  <c r="I32" i="598"/>
  <c r="F32" i="598" s="1"/>
  <c r="G32" i="598" s="1"/>
  <c r="I40" i="598"/>
  <c r="F40" i="598" s="1"/>
  <c r="G40" i="598" s="1"/>
  <c r="I46" i="598"/>
  <c r="F46" i="598" s="1"/>
  <c r="G46" i="598" s="1"/>
  <c r="H29" i="603"/>
  <c r="E14" i="587"/>
  <c r="E16" i="587"/>
  <c r="E48" i="592"/>
  <c r="I19" i="597"/>
  <c r="F19" i="597" s="1"/>
  <c r="G19" i="597" s="1"/>
  <c r="I32" i="597"/>
  <c r="F32" i="597" s="1"/>
  <c r="G32" i="597" s="1"/>
  <c r="I40" i="597"/>
  <c r="F40" i="597" s="1"/>
  <c r="G40" i="597" s="1"/>
  <c r="I46" i="597"/>
  <c r="F46" i="597" s="1"/>
  <c r="G46" i="597" s="1"/>
  <c r="E17" i="589"/>
  <c r="E15" i="589"/>
  <c r="E11" i="589"/>
  <c r="E18" i="589"/>
  <c r="E16" i="589"/>
  <c r="E14" i="589"/>
  <c r="E12" i="589"/>
  <c r="E10" i="589"/>
  <c r="E13" i="589"/>
  <c r="H30" i="603"/>
  <c r="A54" i="601"/>
  <c r="I51" i="601"/>
  <c r="F50" i="601"/>
  <c r="G6" i="601"/>
  <c r="G5" i="601"/>
  <c r="I50" i="600"/>
  <c r="F48" i="600"/>
  <c r="F24" i="599"/>
  <c r="G24" i="599" s="1"/>
  <c r="I48" i="599"/>
  <c r="I24" i="598"/>
  <c r="I24" i="597"/>
  <c r="I44" i="596"/>
  <c r="G44" i="596"/>
  <c r="I43" i="596"/>
  <c r="G43" i="596"/>
  <c r="I42" i="596"/>
  <c r="I46" i="596" s="1"/>
  <c r="F46" i="596" s="1"/>
  <c r="G46" i="596" s="1"/>
  <c r="G42" i="596"/>
  <c r="I39" i="596"/>
  <c r="G39" i="596"/>
  <c r="I38" i="596"/>
  <c r="G38" i="596"/>
  <c r="I37" i="596"/>
  <c r="G37" i="596"/>
  <c r="I36" i="596"/>
  <c r="G36" i="596"/>
  <c r="I35" i="596"/>
  <c r="G35" i="596"/>
  <c r="I34" i="596"/>
  <c r="I40" i="596" s="1"/>
  <c r="F40" i="596" s="1"/>
  <c r="G40" i="596" s="1"/>
  <c r="G34" i="596"/>
  <c r="I31" i="596"/>
  <c r="G31" i="596"/>
  <c r="I30" i="596"/>
  <c r="G30" i="596"/>
  <c r="I29" i="596"/>
  <c r="G29" i="596"/>
  <c r="I28" i="596"/>
  <c r="G28" i="596"/>
  <c r="I27" i="596"/>
  <c r="G27" i="596"/>
  <c r="I26" i="596"/>
  <c r="I32" i="596" s="1"/>
  <c r="F32" i="596" s="1"/>
  <c r="G32" i="596" s="1"/>
  <c r="G26" i="596"/>
  <c r="I23" i="596"/>
  <c r="G23" i="596"/>
  <c r="I22" i="596"/>
  <c r="G22" i="596"/>
  <c r="I21" i="596"/>
  <c r="G21" i="596"/>
  <c r="I18" i="596"/>
  <c r="G18" i="596"/>
  <c r="I17" i="596"/>
  <c r="G17" i="596"/>
  <c r="I16" i="596"/>
  <c r="G16" i="596"/>
  <c r="I15" i="596"/>
  <c r="G15" i="596"/>
  <c r="I14" i="596"/>
  <c r="G14" i="596"/>
  <c r="I13" i="596"/>
  <c r="G13" i="596"/>
  <c r="I12" i="596"/>
  <c r="G12" i="596"/>
  <c r="I11" i="596"/>
  <c r="G11" i="596"/>
  <c r="I10" i="596"/>
  <c r="I19" i="596" s="1"/>
  <c r="F19" i="596" s="1"/>
  <c r="G19" i="596" s="1"/>
  <c r="G10" i="596"/>
  <c r="I44" i="595"/>
  <c r="G44" i="595"/>
  <c r="I43" i="595"/>
  <c r="G43" i="595"/>
  <c r="I42" i="595"/>
  <c r="G42" i="595"/>
  <c r="I39" i="595"/>
  <c r="G39" i="595"/>
  <c r="I38" i="595"/>
  <c r="G38" i="595"/>
  <c r="I37" i="595"/>
  <c r="G37" i="595"/>
  <c r="I36" i="595"/>
  <c r="G36" i="595"/>
  <c r="I35" i="595"/>
  <c r="G35" i="595"/>
  <c r="I34" i="595"/>
  <c r="G34" i="595"/>
  <c r="I31" i="595"/>
  <c r="G31" i="595"/>
  <c r="I30" i="595"/>
  <c r="G30" i="595"/>
  <c r="I29" i="595"/>
  <c r="G29" i="595"/>
  <c r="I28" i="595"/>
  <c r="G28" i="595"/>
  <c r="I27" i="595"/>
  <c r="G27" i="595"/>
  <c r="I26" i="595"/>
  <c r="G26" i="595"/>
  <c r="I23" i="595"/>
  <c r="G23" i="595"/>
  <c r="I22" i="595"/>
  <c r="G22" i="595"/>
  <c r="I21" i="595"/>
  <c r="G21" i="595"/>
  <c r="I18" i="595"/>
  <c r="G18" i="595"/>
  <c r="I17" i="595"/>
  <c r="G17" i="595"/>
  <c r="I16" i="595"/>
  <c r="G16" i="595"/>
  <c r="I15" i="595"/>
  <c r="G15" i="595"/>
  <c r="I14" i="595"/>
  <c r="G14" i="595"/>
  <c r="I13" i="595"/>
  <c r="G13" i="595"/>
  <c r="I12" i="595"/>
  <c r="G12" i="595"/>
  <c r="I11" i="595"/>
  <c r="G11" i="595"/>
  <c r="I10" i="595"/>
  <c r="G10" i="595"/>
  <c r="E48" i="594"/>
  <c r="F10" i="594"/>
  <c r="F11" i="594"/>
  <c r="F12" i="594"/>
  <c r="F13" i="594"/>
  <c r="F14" i="594"/>
  <c r="F15" i="594"/>
  <c r="F16" i="594"/>
  <c r="F17" i="594"/>
  <c r="F18" i="594"/>
  <c r="F21" i="594"/>
  <c r="F22" i="594"/>
  <c r="F23" i="594"/>
  <c r="F26" i="594"/>
  <c r="F27" i="594"/>
  <c r="F28" i="594"/>
  <c r="F29" i="594"/>
  <c r="F30" i="594"/>
  <c r="F31" i="594"/>
  <c r="F34" i="594"/>
  <c r="F35" i="594"/>
  <c r="F36" i="594"/>
  <c r="F37" i="594"/>
  <c r="F38" i="594"/>
  <c r="F39" i="594"/>
  <c r="F42" i="594"/>
  <c r="F43" i="594"/>
  <c r="F44" i="594"/>
  <c r="F45" i="594"/>
  <c r="G45" i="594" s="1"/>
  <c r="F10" i="593"/>
  <c r="F11" i="593"/>
  <c r="F12" i="593"/>
  <c r="F13" i="593"/>
  <c r="F14" i="593"/>
  <c r="F15" i="593"/>
  <c r="F16" i="593"/>
  <c r="F17" i="593"/>
  <c r="F18" i="593"/>
  <c r="F21" i="593"/>
  <c r="F22" i="593"/>
  <c r="F23" i="593"/>
  <c r="F26" i="593"/>
  <c r="F27" i="593"/>
  <c r="F28" i="593"/>
  <c r="F29" i="593"/>
  <c r="F30" i="593"/>
  <c r="F31" i="593"/>
  <c r="F34" i="593"/>
  <c r="F35" i="593"/>
  <c r="F36" i="593"/>
  <c r="F37" i="593"/>
  <c r="F38" i="593"/>
  <c r="F39" i="593"/>
  <c r="F42" i="593"/>
  <c r="F43" i="593"/>
  <c r="F44" i="593"/>
  <c r="F45" i="593"/>
  <c r="G45" i="593" s="1"/>
  <c r="C24" i="592"/>
  <c r="C48" i="592" s="1"/>
  <c r="H48" i="592"/>
  <c r="H50" i="592" s="1"/>
  <c r="E6" i="592" s="1"/>
  <c r="H46" i="591"/>
  <c r="C46" i="591" s="1"/>
  <c r="H40" i="591"/>
  <c r="C40" i="591" s="1"/>
  <c r="H32" i="591"/>
  <c r="C32" i="591" s="1"/>
  <c r="E45" i="591"/>
  <c r="E44" i="591"/>
  <c r="E43" i="591"/>
  <c r="E42" i="591"/>
  <c r="E39" i="591"/>
  <c r="E38" i="591"/>
  <c r="E37" i="591"/>
  <c r="E36" i="591"/>
  <c r="E35" i="591"/>
  <c r="E34" i="591"/>
  <c r="E31" i="591"/>
  <c r="E30" i="591"/>
  <c r="E29" i="591"/>
  <c r="E28" i="591"/>
  <c r="E27" i="591"/>
  <c r="E26" i="591"/>
  <c r="E23" i="591"/>
  <c r="E22" i="591"/>
  <c r="E21" i="591"/>
  <c r="H24" i="591"/>
  <c r="J50" i="591"/>
  <c r="E50" i="591"/>
  <c r="H19" i="591"/>
  <c r="C19" i="591" s="1"/>
  <c r="H46" i="590"/>
  <c r="C46" i="590" s="1"/>
  <c r="H40" i="590"/>
  <c r="C40" i="590" s="1"/>
  <c r="D50" i="590"/>
  <c r="D48" i="590"/>
  <c r="H32" i="590"/>
  <c r="C32" i="590" s="1"/>
  <c r="H24" i="590"/>
  <c r="H19" i="590"/>
  <c r="C19" i="590" s="1"/>
  <c r="H46" i="589"/>
  <c r="C46" i="589" s="1"/>
  <c r="H40" i="589"/>
  <c r="C40" i="589" s="1"/>
  <c r="D50" i="589"/>
  <c r="D48" i="589"/>
  <c r="H32" i="589"/>
  <c r="C32" i="589" s="1"/>
  <c r="H24" i="589"/>
  <c r="H19" i="589"/>
  <c r="C19" i="589" s="1"/>
  <c r="H46" i="588"/>
  <c r="C46" i="588" s="1"/>
  <c r="H40" i="588"/>
  <c r="C40" i="588" s="1"/>
  <c r="D50" i="588"/>
  <c r="D48" i="588"/>
  <c r="H32" i="588"/>
  <c r="C32" i="588" s="1"/>
  <c r="H24" i="588"/>
  <c r="H19" i="588"/>
  <c r="C19" i="588" s="1"/>
  <c r="H10" i="587"/>
  <c r="H11" i="587"/>
  <c r="H12" i="587"/>
  <c r="H13" i="587"/>
  <c r="H14" i="587"/>
  <c r="H15" i="587"/>
  <c r="H16" i="587"/>
  <c r="H17" i="587"/>
  <c r="H18" i="587"/>
  <c r="E19" i="587"/>
  <c r="H21" i="587"/>
  <c r="H22" i="587"/>
  <c r="H23" i="587"/>
  <c r="H26" i="587"/>
  <c r="D32" i="587"/>
  <c r="H27" i="587"/>
  <c r="H28" i="587"/>
  <c r="H29" i="587"/>
  <c r="H30" i="587"/>
  <c r="H31" i="587"/>
  <c r="H34" i="587"/>
  <c r="D40" i="587"/>
  <c r="H35" i="587"/>
  <c r="H36" i="587"/>
  <c r="H37" i="587"/>
  <c r="H38" i="587"/>
  <c r="H39" i="587"/>
  <c r="H42" i="587"/>
  <c r="D46" i="587"/>
  <c r="H43" i="587"/>
  <c r="H44" i="587"/>
  <c r="H10" i="586"/>
  <c r="H11" i="586"/>
  <c r="H12" i="586"/>
  <c r="H13" i="586"/>
  <c r="H14" i="586"/>
  <c r="H15" i="586"/>
  <c r="H16" i="586"/>
  <c r="H17" i="586"/>
  <c r="H18" i="586"/>
  <c r="D50" i="586"/>
  <c r="E19" i="586"/>
  <c r="H21" i="586"/>
  <c r="H22" i="586"/>
  <c r="H23" i="586"/>
  <c r="D48" i="586"/>
  <c r="E24" i="586" s="1"/>
  <c r="H26" i="586"/>
  <c r="H27" i="586"/>
  <c r="H28" i="586"/>
  <c r="H29" i="586"/>
  <c r="H30" i="586"/>
  <c r="H31" i="586"/>
  <c r="H34" i="586"/>
  <c r="H35" i="586"/>
  <c r="H36" i="586"/>
  <c r="H37" i="586"/>
  <c r="H38" i="586"/>
  <c r="H39" i="586"/>
  <c r="H42" i="586"/>
  <c r="H43" i="586"/>
  <c r="H44" i="586"/>
  <c r="H10" i="585"/>
  <c r="H11" i="585"/>
  <c r="H12" i="585"/>
  <c r="H13" i="585"/>
  <c r="H14" i="585"/>
  <c r="H15" i="585"/>
  <c r="H16" i="585"/>
  <c r="H17" i="585"/>
  <c r="H18" i="585"/>
  <c r="D50" i="585"/>
  <c r="E19" i="585"/>
  <c r="H21" i="585"/>
  <c r="H22" i="585"/>
  <c r="H23" i="585"/>
  <c r="D48" i="585"/>
  <c r="E24" i="585" s="1"/>
  <c r="H26" i="585"/>
  <c r="H27" i="585"/>
  <c r="H28" i="585"/>
  <c r="H29" i="585"/>
  <c r="H30" i="585"/>
  <c r="H31" i="585"/>
  <c r="H34" i="585"/>
  <c r="H35" i="585"/>
  <c r="H36" i="585"/>
  <c r="H37" i="585"/>
  <c r="H38" i="585"/>
  <c r="H39" i="585"/>
  <c r="H42" i="585"/>
  <c r="H43" i="585"/>
  <c r="H44" i="585"/>
  <c r="D26" i="584"/>
  <c r="D26" i="583"/>
  <c r="D26" i="606" s="1"/>
  <c r="D46" i="584"/>
  <c r="C45" i="584"/>
  <c r="C44" i="584"/>
  <c r="C43" i="584"/>
  <c r="C42" i="584"/>
  <c r="D40" i="584"/>
  <c r="C39" i="584"/>
  <c r="C38" i="584"/>
  <c r="C37" i="584"/>
  <c r="C36" i="584"/>
  <c r="C35" i="584"/>
  <c r="C34" i="584"/>
  <c r="C31" i="584"/>
  <c r="C30" i="584"/>
  <c r="C29" i="584"/>
  <c r="C28" i="584"/>
  <c r="C27" i="584"/>
  <c r="C26" i="584"/>
  <c r="D24" i="584"/>
  <c r="C23" i="584"/>
  <c r="C22" i="584"/>
  <c r="C21" i="584"/>
  <c r="D19" i="584"/>
  <c r="E18" i="584" s="1"/>
  <c r="C18" i="584"/>
  <c r="C17" i="584"/>
  <c r="C16" i="584"/>
  <c r="C15" i="584"/>
  <c r="C14" i="584"/>
  <c r="C13" i="584"/>
  <c r="C12" i="584"/>
  <c r="C11" i="584"/>
  <c r="C10" i="584"/>
  <c r="C7" i="584"/>
  <c r="G4" i="584"/>
  <c r="E4" i="584"/>
  <c r="C45" i="583"/>
  <c r="C44" i="583"/>
  <c r="C43" i="583"/>
  <c r="C42" i="583"/>
  <c r="C39" i="583"/>
  <c r="C38" i="583"/>
  <c r="C37" i="583"/>
  <c r="C36" i="583"/>
  <c r="C35" i="583"/>
  <c r="C34" i="583"/>
  <c r="C31" i="583"/>
  <c r="C30" i="583"/>
  <c r="C29" i="583"/>
  <c r="C28" i="583"/>
  <c r="C27" i="583"/>
  <c r="C26" i="583"/>
  <c r="D24" i="583"/>
  <c r="C23" i="583"/>
  <c r="C22" i="583"/>
  <c r="C21" i="583"/>
  <c r="D19" i="583"/>
  <c r="E17" i="583" s="1"/>
  <c r="C18" i="583"/>
  <c r="C17" i="583"/>
  <c r="C16" i="583"/>
  <c r="C15" i="583"/>
  <c r="C14" i="583"/>
  <c r="C13" i="583"/>
  <c r="C12" i="583"/>
  <c r="C11" i="583"/>
  <c r="C10" i="583"/>
  <c r="C7" i="583"/>
  <c r="G4" i="583"/>
  <c r="E4" i="583"/>
  <c r="E32" i="585" l="1"/>
  <c r="E46" i="586"/>
  <c r="A52" i="586" s="1"/>
  <c r="E40" i="586"/>
  <c r="E10" i="583"/>
  <c r="E12" i="583"/>
  <c r="E14" i="583"/>
  <c r="E16" i="583"/>
  <c r="E18" i="583"/>
  <c r="E11" i="584"/>
  <c r="E13" i="584"/>
  <c r="E15" i="584"/>
  <c r="E17" i="584"/>
  <c r="E11" i="583"/>
  <c r="E13" i="583"/>
  <c r="E15" i="583"/>
  <c r="E10" i="584"/>
  <c r="E12" i="584"/>
  <c r="E14" i="584"/>
  <c r="E16" i="584"/>
  <c r="E32" i="586"/>
  <c r="I19" i="595"/>
  <c r="F19" i="595" s="1"/>
  <c r="G19" i="595" s="1"/>
  <c r="I32" i="595"/>
  <c r="F32" i="595" s="1"/>
  <c r="G32" i="595" s="1"/>
  <c r="I40" i="595"/>
  <c r="F40" i="595" s="1"/>
  <c r="G40" i="595" s="1"/>
  <c r="I46" i="595"/>
  <c r="F46" i="595" s="1"/>
  <c r="G46" i="595" s="1"/>
  <c r="E46" i="585"/>
  <c r="A52" i="585" s="1"/>
  <c r="E40" i="585"/>
  <c r="E48" i="591"/>
  <c r="D32" i="584"/>
  <c r="D48" i="584" s="1"/>
  <c r="H26" i="606"/>
  <c r="D32" i="606"/>
  <c r="D50" i="606" s="1"/>
  <c r="A54" i="600"/>
  <c r="I51" i="600"/>
  <c r="F50" i="600"/>
  <c r="G6" i="600"/>
  <c r="G5" i="600"/>
  <c r="I50" i="599"/>
  <c r="F48" i="599"/>
  <c r="F24" i="598"/>
  <c r="G24" i="598" s="1"/>
  <c r="I48" i="598"/>
  <c r="F24" i="597"/>
  <c r="G24" i="597" s="1"/>
  <c r="I48" i="597"/>
  <c r="I24" i="596"/>
  <c r="I24" i="595"/>
  <c r="I44" i="594"/>
  <c r="G44" i="594"/>
  <c r="I43" i="594"/>
  <c r="G43" i="594"/>
  <c r="I42" i="594"/>
  <c r="G42" i="594"/>
  <c r="I39" i="594"/>
  <c r="G39" i="594"/>
  <c r="I38" i="594"/>
  <c r="G38" i="594"/>
  <c r="I37" i="594"/>
  <c r="G37" i="594"/>
  <c r="I36" i="594"/>
  <c r="G36" i="594"/>
  <c r="I35" i="594"/>
  <c r="G35" i="594"/>
  <c r="I34" i="594"/>
  <c r="G34" i="594"/>
  <c r="I31" i="594"/>
  <c r="G31" i="594"/>
  <c r="I30" i="594"/>
  <c r="G30" i="594"/>
  <c r="I29" i="594"/>
  <c r="G29" i="594"/>
  <c r="I28" i="594"/>
  <c r="G28" i="594"/>
  <c r="I27" i="594"/>
  <c r="G27" i="594"/>
  <c r="I26" i="594"/>
  <c r="G26" i="594"/>
  <c r="I23" i="594"/>
  <c r="G23" i="594"/>
  <c r="I22" i="594"/>
  <c r="G22" i="594"/>
  <c r="I21" i="594"/>
  <c r="G21" i="594"/>
  <c r="I18" i="594"/>
  <c r="G18" i="594"/>
  <c r="I17" i="594"/>
  <c r="G17" i="594"/>
  <c r="I16" i="594"/>
  <c r="G16" i="594"/>
  <c r="I15" i="594"/>
  <c r="G15" i="594"/>
  <c r="I14" i="594"/>
  <c r="G14" i="594"/>
  <c r="I13" i="594"/>
  <c r="G13" i="594"/>
  <c r="I12" i="594"/>
  <c r="G12" i="594"/>
  <c r="I11" i="594"/>
  <c r="G11" i="594"/>
  <c r="I10" i="594"/>
  <c r="G10" i="594"/>
  <c r="I44" i="593"/>
  <c r="G44" i="593"/>
  <c r="I43" i="593"/>
  <c r="G43" i="593"/>
  <c r="I42" i="593"/>
  <c r="G42" i="593"/>
  <c r="I39" i="593"/>
  <c r="G39" i="593"/>
  <c r="I38" i="593"/>
  <c r="G38" i="593"/>
  <c r="I37" i="593"/>
  <c r="G37" i="593"/>
  <c r="I36" i="593"/>
  <c r="G36" i="593"/>
  <c r="I35" i="593"/>
  <c r="G35" i="593"/>
  <c r="I34" i="593"/>
  <c r="G34" i="593"/>
  <c r="I31" i="593"/>
  <c r="G31" i="593"/>
  <c r="I30" i="593"/>
  <c r="G30" i="593"/>
  <c r="I29" i="593"/>
  <c r="G29" i="593"/>
  <c r="I28" i="593"/>
  <c r="G28" i="593"/>
  <c r="I27" i="593"/>
  <c r="G27" i="593"/>
  <c r="I26" i="593"/>
  <c r="G26" i="593"/>
  <c r="I23" i="593"/>
  <c r="G23" i="593"/>
  <c r="I22" i="593"/>
  <c r="G22" i="593"/>
  <c r="I21" i="593"/>
  <c r="G21" i="593"/>
  <c r="I18" i="593"/>
  <c r="G18" i="593"/>
  <c r="I17" i="593"/>
  <c r="G17" i="593"/>
  <c r="I16" i="593"/>
  <c r="G16" i="593"/>
  <c r="I15" i="593"/>
  <c r="G15" i="593"/>
  <c r="I14" i="593"/>
  <c r="G14" i="593"/>
  <c r="I13" i="593"/>
  <c r="G13" i="593"/>
  <c r="I12" i="593"/>
  <c r="G12" i="593"/>
  <c r="I11" i="593"/>
  <c r="G11" i="593"/>
  <c r="I10" i="593"/>
  <c r="G10" i="593"/>
  <c r="F10" i="592"/>
  <c r="F11" i="592"/>
  <c r="F12" i="592"/>
  <c r="F13" i="592"/>
  <c r="F14" i="592"/>
  <c r="F15" i="592"/>
  <c r="F16" i="592"/>
  <c r="F17" i="592"/>
  <c r="F18" i="592"/>
  <c r="F21" i="592"/>
  <c r="F22" i="592"/>
  <c r="F23" i="592"/>
  <c r="F26" i="592"/>
  <c r="F27" i="592"/>
  <c r="F28" i="592"/>
  <c r="F29" i="592"/>
  <c r="F30" i="592"/>
  <c r="F31" i="592"/>
  <c r="F34" i="592"/>
  <c r="F35" i="592"/>
  <c r="F36" i="592"/>
  <c r="F37" i="592"/>
  <c r="F38" i="592"/>
  <c r="F39" i="592"/>
  <c r="F42" i="592"/>
  <c r="F43" i="592"/>
  <c r="F44" i="592"/>
  <c r="F45" i="592"/>
  <c r="G45" i="592" s="1"/>
  <c r="C24" i="591"/>
  <c r="C48" i="591" s="1"/>
  <c r="H48" i="591"/>
  <c r="H50" i="591" s="1"/>
  <c r="E6" i="591" s="1"/>
  <c r="C24" i="590"/>
  <c r="C48" i="590" s="1"/>
  <c r="H48" i="590"/>
  <c r="H50" i="590" s="1"/>
  <c r="E6" i="590" s="1"/>
  <c r="E45" i="590"/>
  <c r="E44" i="590"/>
  <c r="E43" i="590"/>
  <c r="E39" i="590"/>
  <c r="E38" i="590"/>
  <c r="E37" i="590"/>
  <c r="E36" i="590"/>
  <c r="E35" i="590"/>
  <c r="E31" i="590"/>
  <c r="E30" i="590"/>
  <c r="E29" i="590"/>
  <c r="E28" i="590"/>
  <c r="E26" i="590"/>
  <c r="E23" i="590"/>
  <c r="E22" i="590"/>
  <c r="E21" i="590"/>
  <c r="E24" i="590"/>
  <c r="E27" i="590"/>
  <c r="E34" i="590"/>
  <c r="E42" i="590"/>
  <c r="E46" i="590"/>
  <c r="A52" i="590" s="1"/>
  <c r="E40" i="590"/>
  <c r="E32" i="590"/>
  <c r="J50" i="590"/>
  <c r="E50" i="590"/>
  <c r="C24" i="589"/>
  <c r="C48" i="589" s="1"/>
  <c r="H48" i="589"/>
  <c r="H50" i="589" s="1"/>
  <c r="E6" i="589" s="1"/>
  <c r="E45" i="589"/>
  <c r="E44" i="589"/>
  <c r="E43" i="589"/>
  <c r="E39" i="589"/>
  <c r="E38" i="589"/>
  <c r="E37" i="589"/>
  <c r="E36" i="589"/>
  <c r="E35" i="589"/>
  <c r="E31" i="589"/>
  <c r="E30" i="589"/>
  <c r="E29" i="589"/>
  <c r="E28" i="589"/>
  <c r="E27" i="589"/>
  <c r="E23" i="589"/>
  <c r="E22" i="589"/>
  <c r="E21" i="589"/>
  <c r="E24" i="589"/>
  <c r="E26" i="589"/>
  <c r="E34" i="589"/>
  <c r="E42" i="589"/>
  <c r="E46" i="589"/>
  <c r="A52" i="589" s="1"/>
  <c r="E40" i="589"/>
  <c r="E32" i="589"/>
  <c r="J50" i="589"/>
  <c r="E50" i="589"/>
  <c r="C24" i="588"/>
  <c r="C48" i="588" s="1"/>
  <c r="H48" i="588"/>
  <c r="H50" i="588" s="1"/>
  <c r="E6" i="588" s="1"/>
  <c r="E45" i="588"/>
  <c r="E44" i="588"/>
  <c r="E43" i="588"/>
  <c r="E39" i="588"/>
  <c r="E38" i="588"/>
  <c r="E37" i="588"/>
  <c r="E36" i="588"/>
  <c r="E35" i="588"/>
  <c r="E31" i="588"/>
  <c r="E30" i="588"/>
  <c r="E29" i="588"/>
  <c r="E28" i="588"/>
  <c r="E27" i="588"/>
  <c r="E23" i="588"/>
  <c r="E22" i="588"/>
  <c r="E21" i="588"/>
  <c r="E24" i="588"/>
  <c r="E26" i="588"/>
  <c r="E34" i="588"/>
  <c r="E42" i="588"/>
  <c r="E46" i="588"/>
  <c r="A52" i="588" s="1"/>
  <c r="E40" i="588"/>
  <c r="E32" i="588"/>
  <c r="J50" i="588"/>
  <c r="E50" i="588"/>
  <c r="H46" i="587"/>
  <c r="C46" i="587" s="1"/>
  <c r="H40" i="587"/>
  <c r="C40" i="587" s="1"/>
  <c r="D50" i="587"/>
  <c r="D48" i="587"/>
  <c r="H32" i="587"/>
  <c r="C32" i="587" s="1"/>
  <c r="H24" i="587"/>
  <c r="H19" i="587"/>
  <c r="C19" i="587" s="1"/>
  <c r="H46" i="586"/>
  <c r="C46" i="586" s="1"/>
  <c r="H40" i="586"/>
  <c r="C40" i="586" s="1"/>
  <c r="H32" i="586"/>
  <c r="C32" i="586" s="1"/>
  <c r="E45" i="586"/>
  <c r="E44" i="586"/>
  <c r="E43" i="586"/>
  <c r="E42" i="586"/>
  <c r="E39" i="586"/>
  <c r="E38" i="586"/>
  <c r="E37" i="586"/>
  <c r="E36" i="586"/>
  <c r="E35" i="586"/>
  <c r="E34" i="586"/>
  <c r="E31" i="586"/>
  <c r="E30" i="586"/>
  <c r="E29" i="586"/>
  <c r="E28" i="586"/>
  <c r="E27" i="586"/>
  <c r="E26" i="586"/>
  <c r="E23" i="586"/>
  <c r="E22" i="586"/>
  <c r="E21" i="586"/>
  <c r="H24" i="586"/>
  <c r="J50" i="586"/>
  <c r="E50" i="586"/>
  <c r="H19" i="586"/>
  <c r="C19" i="586" s="1"/>
  <c r="H46" i="585"/>
  <c r="C46" i="585" s="1"/>
  <c r="H40" i="585"/>
  <c r="C40" i="585" s="1"/>
  <c r="H32" i="585"/>
  <c r="C32" i="585" s="1"/>
  <c r="E45" i="585"/>
  <c r="E44" i="585"/>
  <c r="E43" i="585"/>
  <c r="E42" i="585"/>
  <c r="E39" i="585"/>
  <c r="E38" i="585"/>
  <c r="E37" i="585"/>
  <c r="E36" i="585"/>
  <c r="E35" i="585"/>
  <c r="E34" i="585"/>
  <c r="E31" i="585"/>
  <c r="E30" i="585"/>
  <c r="E29" i="585"/>
  <c r="E28" i="585"/>
  <c r="E27" i="585"/>
  <c r="E26" i="585"/>
  <c r="E23" i="585"/>
  <c r="E22" i="585"/>
  <c r="E21" i="585"/>
  <c r="H24" i="585"/>
  <c r="J50" i="585"/>
  <c r="E50" i="585"/>
  <c r="H19" i="585"/>
  <c r="C19" i="585" s="1"/>
  <c r="H10" i="584"/>
  <c r="H11" i="584"/>
  <c r="H12" i="584"/>
  <c r="H13" i="584"/>
  <c r="H14" i="584"/>
  <c r="H15" i="584"/>
  <c r="H16" i="584"/>
  <c r="H17" i="584"/>
  <c r="H18" i="584"/>
  <c r="E19" i="584"/>
  <c r="H21" i="584"/>
  <c r="H22" i="584"/>
  <c r="H23" i="584"/>
  <c r="H26" i="584"/>
  <c r="H27" i="584"/>
  <c r="H28" i="584"/>
  <c r="H29" i="584"/>
  <c r="H30" i="584"/>
  <c r="H31" i="584"/>
  <c r="H34" i="584"/>
  <c r="H35" i="584"/>
  <c r="H36" i="584"/>
  <c r="H37" i="584"/>
  <c r="H38" i="584"/>
  <c r="H39" i="584"/>
  <c r="H42" i="584"/>
  <c r="H43" i="584"/>
  <c r="H44" i="584"/>
  <c r="H10" i="583"/>
  <c r="H11" i="583"/>
  <c r="H12" i="583"/>
  <c r="H13" i="583"/>
  <c r="H14" i="583"/>
  <c r="H15" i="583"/>
  <c r="H16" i="583"/>
  <c r="H17" i="583"/>
  <c r="H18" i="583"/>
  <c r="E19" i="583"/>
  <c r="H21" i="583"/>
  <c r="H22" i="583"/>
  <c r="H23" i="583"/>
  <c r="H26" i="583"/>
  <c r="D32" i="583"/>
  <c r="H27" i="583"/>
  <c r="H28" i="583"/>
  <c r="H29" i="583"/>
  <c r="H30" i="583"/>
  <c r="H31" i="583"/>
  <c r="H34" i="583"/>
  <c r="D40" i="583"/>
  <c r="H35" i="583"/>
  <c r="H36" i="583"/>
  <c r="H37" i="583"/>
  <c r="H38" i="583"/>
  <c r="H39" i="583"/>
  <c r="H42" i="583"/>
  <c r="D46" i="583"/>
  <c r="H43" i="583"/>
  <c r="H44" i="583"/>
  <c r="D26" i="582"/>
  <c r="D34" i="582"/>
  <c r="D42" i="582"/>
  <c r="C45" i="582"/>
  <c r="C44" i="582"/>
  <c r="C43" i="582"/>
  <c r="C42" i="582"/>
  <c r="C39" i="582"/>
  <c r="C38" i="582"/>
  <c r="C37" i="582"/>
  <c r="C36" i="582"/>
  <c r="C35" i="582"/>
  <c r="C34" i="582"/>
  <c r="C31" i="582"/>
  <c r="C30" i="582"/>
  <c r="C29" i="582"/>
  <c r="C28" i="582"/>
  <c r="C27" i="582"/>
  <c r="C26" i="582"/>
  <c r="D24" i="582"/>
  <c r="C23" i="582"/>
  <c r="C22" i="582"/>
  <c r="C21" i="582"/>
  <c r="C18" i="582"/>
  <c r="C17" i="582"/>
  <c r="C16" i="582"/>
  <c r="C15" i="582"/>
  <c r="C14" i="582"/>
  <c r="C13" i="582"/>
  <c r="C12" i="582"/>
  <c r="C11" i="582"/>
  <c r="C10" i="582"/>
  <c r="C7" i="582"/>
  <c r="G4" i="582"/>
  <c r="E4" i="582"/>
  <c r="D50" i="584" l="1"/>
  <c r="E40" i="584"/>
  <c r="E32" i="584"/>
  <c r="I32" i="594"/>
  <c r="F32" i="594" s="1"/>
  <c r="G32" i="594" s="1"/>
  <c r="I40" i="594"/>
  <c r="F40" i="594" s="1"/>
  <c r="G40" i="594" s="1"/>
  <c r="E24" i="584"/>
  <c r="E48" i="585"/>
  <c r="I46" i="594"/>
  <c r="F46" i="594" s="1"/>
  <c r="G46" i="594" s="1"/>
  <c r="J50" i="606"/>
  <c r="E50" i="606"/>
  <c r="D48" i="606"/>
  <c r="D40" i="582"/>
  <c r="E46" i="584"/>
  <c r="A52" i="584" s="1"/>
  <c r="E48" i="586"/>
  <c r="H32" i="606"/>
  <c r="C32" i="606" s="1"/>
  <c r="C48" i="606" s="1"/>
  <c r="I19" i="594"/>
  <c r="F19" i="594" s="1"/>
  <c r="G19" i="594" s="1"/>
  <c r="D46" i="582"/>
  <c r="I19" i="593"/>
  <c r="F19" i="593" s="1"/>
  <c r="G19" i="593" s="1"/>
  <c r="I32" i="593"/>
  <c r="F32" i="593" s="1"/>
  <c r="G32" i="593" s="1"/>
  <c r="I40" i="593"/>
  <c r="F40" i="593" s="1"/>
  <c r="G40" i="593" s="1"/>
  <c r="I46" i="593"/>
  <c r="F46" i="593" s="1"/>
  <c r="G46" i="593" s="1"/>
  <c r="A54" i="599"/>
  <c r="I51" i="599"/>
  <c r="F50" i="599"/>
  <c r="G6" i="599"/>
  <c r="G5" i="599"/>
  <c r="I50" i="598"/>
  <c r="F48" i="598"/>
  <c r="I50" i="597"/>
  <c r="F48" i="597"/>
  <c r="F24" i="596"/>
  <c r="G24" i="596" s="1"/>
  <c r="I48" i="596"/>
  <c r="F24" i="595"/>
  <c r="G24" i="595" s="1"/>
  <c r="I48" i="595"/>
  <c r="I24" i="594"/>
  <c r="I24" i="593"/>
  <c r="I44" i="592"/>
  <c r="G44" i="592"/>
  <c r="I43" i="592"/>
  <c r="G43" i="592"/>
  <c r="I42" i="592"/>
  <c r="G42" i="592"/>
  <c r="I39" i="592"/>
  <c r="G39" i="592"/>
  <c r="I38" i="592"/>
  <c r="G38" i="592"/>
  <c r="I37" i="592"/>
  <c r="G37" i="592"/>
  <c r="I36" i="592"/>
  <c r="G36" i="592"/>
  <c r="I35" i="592"/>
  <c r="G35" i="592"/>
  <c r="I34" i="592"/>
  <c r="G34" i="592"/>
  <c r="I31" i="592"/>
  <c r="G31" i="592"/>
  <c r="I30" i="592"/>
  <c r="G30" i="592"/>
  <c r="I29" i="592"/>
  <c r="G29" i="592"/>
  <c r="I28" i="592"/>
  <c r="G28" i="592"/>
  <c r="I27" i="592"/>
  <c r="G27" i="592"/>
  <c r="I26" i="592"/>
  <c r="G26" i="592"/>
  <c r="I23" i="592"/>
  <c r="G23" i="592"/>
  <c r="I22" i="592"/>
  <c r="G22" i="592"/>
  <c r="I21" i="592"/>
  <c r="G21" i="592"/>
  <c r="I18" i="592"/>
  <c r="G18" i="592"/>
  <c r="I17" i="592"/>
  <c r="G17" i="592"/>
  <c r="I16" i="592"/>
  <c r="G16" i="592"/>
  <c r="I15" i="592"/>
  <c r="G15" i="592"/>
  <c r="I14" i="592"/>
  <c r="G14" i="592"/>
  <c r="I13" i="592"/>
  <c r="G13" i="592"/>
  <c r="I12" i="592"/>
  <c r="G12" i="592"/>
  <c r="I11" i="592"/>
  <c r="G11" i="592"/>
  <c r="I10" i="592"/>
  <c r="G10" i="592"/>
  <c r="F10" i="591"/>
  <c r="F11" i="591"/>
  <c r="F12" i="591"/>
  <c r="F13" i="591"/>
  <c r="F14" i="591"/>
  <c r="F15" i="591"/>
  <c r="F16" i="591"/>
  <c r="F17" i="591"/>
  <c r="F18" i="591"/>
  <c r="F21" i="591"/>
  <c r="F22" i="591"/>
  <c r="F23" i="591"/>
  <c r="F26" i="591"/>
  <c r="F27" i="591"/>
  <c r="F28" i="591"/>
  <c r="F29" i="591"/>
  <c r="F30" i="591"/>
  <c r="F31" i="591"/>
  <c r="F34" i="591"/>
  <c r="F35" i="591"/>
  <c r="F36" i="591"/>
  <c r="F37" i="591"/>
  <c r="F38" i="591"/>
  <c r="F39" i="591"/>
  <c r="F42" i="591"/>
  <c r="F43" i="591"/>
  <c r="F44" i="591"/>
  <c r="F45" i="591"/>
  <c r="G45" i="591" s="1"/>
  <c r="E48" i="590"/>
  <c r="F10" i="590"/>
  <c r="F11" i="590"/>
  <c r="F12" i="590"/>
  <c r="F13" i="590"/>
  <c r="F14" i="590"/>
  <c r="F15" i="590"/>
  <c r="F16" i="590"/>
  <c r="F17" i="590"/>
  <c r="F18" i="590"/>
  <c r="F21" i="590"/>
  <c r="F22" i="590"/>
  <c r="F23" i="590"/>
  <c r="F26" i="590"/>
  <c r="F27" i="590"/>
  <c r="F28" i="590"/>
  <c r="F29" i="590"/>
  <c r="F30" i="590"/>
  <c r="F31" i="590"/>
  <c r="F34" i="590"/>
  <c r="F35" i="590"/>
  <c r="F36" i="590"/>
  <c r="F37" i="590"/>
  <c r="F38" i="590"/>
  <c r="F39" i="590"/>
  <c r="F42" i="590"/>
  <c r="F43" i="590"/>
  <c r="F44" i="590"/>
  <c r="F45" i="590"/>
  <c r="G45" i="590" s="1"/>
  <c r="E48" i="589"/>
  <c r="F10" i="589"/>
  <c r="F11" i="589"/>
  <c r="F12" i="589"/>
  <c r="F13" i="589"/>
  <c r="F14" i="589"/>
  <c r="F15" i="589"/>
  <c r="F16" i="589"/>
  <c r="F17" i="589"/>
  <c r="F18" i="589"/>
  <c r="F21" i="589"/>
  <c r="F22" i="589"/>
  <c r="F23" i="589"/>
  <c r="F26" i="589"/>
  <c r="F27" i="589"/>
  <c r="F28" i="589"/>
  <c r="F29" i="589"/>
  <c r="F30" i="589"/>
  <c r="F31" i="589"/>
  <c r="F34" i="589"/>
  <c r="F35" i="589"/>
  <c r="F36" i="589"/>
  <c r="F37" i="589"/>
  <c r="F38" i="589"/>
  <c r="F39" i="589"/>
  <c r="F42" i="589"/>
  <c r="F43" i="589"/>
  <c r="F44" i="589"/>
  <c r="F45" i="589"/>
  <c r="G45" i="589" s="1"/>
  <c r="E48" i="588"/>
  <c r="F10" i="588"/>
  <c r="F11" i="588"/>
  <c r="F12" i="588"/>
  <c r="F13" i="588"/>
  <c r="F14" i="588"/>
  <c r="F15" i="588"/>
  <c r="F16" i="588"/>
  <c r="F17" i="588"/>
  <c r="F18" i="588"/>
  <c r="F21" i="588"/>
  <c r="F22" i="588"/>
  <c r="F23" i="588"/>
  <c r="F26" i="588"/>
  <c r="F27" i="588"/>
  <c r="F28" i="588"/>
  <c r="F29" i="588"/>
  <c r="F30" i="588"/>
  <c r="F31" i="588"/>
  <c r="F34" i="588"/>
  <c r="F35" i="588"/>
  <c r="F36" i="588"/>
  <c r="F37" i="588"/>
  <c r="F38" i="588"/>
  <c r="F39" i="588"/>
  <c r="F42" i="588"/>
  <c r="F43" i="588"/>
  <c r="F44" i="588"/>
  <c r="F45" i="588"/>
  <c r="G45" i="588" s="1"/>
  <c r="C24" i="587"/>
  <c r="C48" i="587" s="1"/>
  <c r="H48" i="587"/>
  <c r="H50" i="587" s="1"/>
  <c r="E6" i="587" s="1"/>
  <c r="E45" i="587"/>
  <c r="E44" i="587"/>
  <c r="E43" i="587"/>
  <c r="E39" i="587"/>
  <c r="E38" i="587"/>
  <c r="E37" i="587"/>
  <c r="E36" i="587"/>
  <c r="E35" i="587"/>
  <c r="E31" i="587"/>
  <c r="E30" i="587"/>
  <c r="E29" i="587"/>
  <c r="E28" i="587"/>
  <c r="E27" i="587"/>
  <c r="E23" i="587"/>
  <c r="E22" i="587"/>
  <c r="E21" i="587"/>
  <c r="E24" i="587"/>
  <c r="E26" i="587"/>
  <c r="E34" i="587"/>
  <c r="E42" i="587"/>
  <c r="E46" i="587"/>
  <c r="A52" i="587" s="1"/>
  <c r="E40" i="587"/>
  <c r="E32" i="587"/>
  <c r="J50" i="587"/>
  <c r="E50" i="587"/>
  <c r="C24" i="586"/>
  <c r="C48" i="586" s="1"/>
  <c r="H48" i="586"/>
  <c r="H50" i="586" s="1"/>
  <c r="E6" i="586" s="1"/>
  <c r="C24" i="585"/>
  <c r="C48" i="585" s="1"/>
  <c r="H48" i="585"/>
  <c r="H50" i="585" s="1"/>
  <c r="E6" i="585" s="1"/>
  <c r="H46" i="584"/>
  <c r="C46" i="584" s="1"/>
  <c r="H40" i="584"/>
  <c r="C40" i="584" s="1"/>
  <c r="H32" i="584"/>
  <c r="C32" i="584" s="1"/>
  <c r="E45" i="584"/>
  <c r="E44" i="584"/>
  <c r="E43" i="584"/>
  <c r="E42" i="584"/>
  <c r="E39" i="584"/>
  <c r="E38" i="584"/>
  <c r="E37" i="584"/>
  <c r="E36" i="584"/>
  <c r="E35" i="584"/>
  <c r="E34" i="584"/>
  <c r="E31" i="584"/>
  <c r="E30" i="584"/>
  <c r="E29" i="584"/>
  <c r="E28" i="584"/>
  <c r="E27" i="584"/>
  <c r="E26" i="584"/>
  <c r="E23" i="584"/>
  <c r="E22" i="584"/>
  <c r="E21" i="584"/>
  <c r="H24" i="584"/>
  <c r="J50" i="584"/>
  <c r="E50" i="584"/>
  <c r="H19" i="584"/>
  <c r="C19" i="584" s="1"/>
  <c r="H46" i="583"/>
  <c r="C46" i="583" s="1"/>
  <c r="H40" i="583"/>
  <c r="C40" i="583" s="1"/>
  <c r="D50" i="583"/>
  <c r="D48" i="583"/>
  <c r="H32" i="583"/>
  <c r="C32" i="583" s="1"/>
  <c r="H24" i="583"/>
  <c r="H19" i="583"/>
  <c r="C19" i="583" s="1"/>
  <c r="H10" i="582"/>
  <c r="H11" i="582"/>
  <c r="H12" i="582"/>
  <c r="H13" i="582"/>
  <c r="H14" i="582"/>
  <c r="H15" i="582"/>
  <c r="D19" i="582"/>
  <c r="E15" i="582" s="1"/>
  <c r="H16" i="582"/>
  <c r="H17" i="582"/>
  <c r="H18" i="582"/>
  <c r="H21" i="582"/>
  <c r="H22" i="582"/>
  <c r="H23" i="582"/>
  <c r="H26" i="582"/>
  <c r="D32" i="582"/>
  <c r="H27" i="582"/>
  <c r="H28" i="582"/>
  <c r="H29" i="582"/>
  <c r="H30" i="582"/>
  <c r="H31" i="582"/>
  <c r="H34" i="582"/>
  <c r="H35" i="582"/>
  <c r="H36" i="582"/>
  <c r="H37" i="582"/>
  <c r="H38" i="582"/>
  <c r="H39" i="582"/>
  <c r="H42" i="582"/>
  <c r="H43" i="582"/>
  <c r="H44" i="582"/>
  <c r="D46" i="581"/>
  <c r="C45" i="581"/>
  <c r="C44" i="581"/>
  <c r="C43" i="581"/>
  <c r="C42" i="581"/>
  <c r="D40" i="581"/>
  <c r="C39" i="581"/>
  <c r="C38" i="581"/>
  <c r="C37" i="581"/>
  <c r="C36" i="581"/>
  <c r="C35" i="581"/>
  <c r="C34" i="581"/>
  <c r="D32" i="581"/>
  <c r="C31" i="581"/>
  <c r="C30" i="581"/>
  <c r="C29" i="581"/>
  <c r="C28" i="581"/>
  <c r="C27" i="581"/>
  <c r="C26" i="581"/>
  <c r="D24" i="581"/>
  <c r="C23" i="581"/>
  <c r="C22" i="581"/>
  <c r="C21" i="581"/>
  <c r="D19" i="581"/>
  <c r="E18" i="581" s="1"/>
  <c r="C18" i="581"/>
  <c r="C17" i="581"/>
  <c r="C16" i="581"/>
  <c r="C15" i="581"/>
  <c r="C14" i="581"/>
  <c r="C13" i="581"/>
  <c r="C12" i="581"/>
  <c r="C11" i="581"/>
  <c r="C10" i="581"/>
  <c r="C7" i="581"/>
  <c r="G4" i="581"/>
  <c r="E4" i="581"/>
  <c r="H48" i="606" l="1"/>
  <c r="H50" i="606" s="1"/>
  <c r="E6" i="606" s="1"/>
  <c r="E24" i="606"/>
  <c r="E23" i="606"/>
  <c r="E29" i="606"/>
  <c r="E35" i="606"/>
  <c r="E39" i="606"/>
  <c r="E45" i="606"/>
  <c r="E30" i="606"/>
  <c r="E36" i="606"/>
  <c r="E42" i="606"/>
  <c r="E46" i="606"/>
  <c r="A52" i="606" s="1"/>
  <c r="E21" i="606"/>
  <c r="E27" i="606"/>
  <c r="E31" i="606"/>
  <c r="E37" i="606"/>
  <c r="E43" i="606"/>
  <c r="E40" i="606"/>
  <c r="E22" i="606"/>
  <c r="E28" i="606"/>
  <c r="E34" i="606"/>
  <c r="E38" i="606"/>
  <c r="E44" i="606"/>
  <c r="E26" i="606"/>
  <c r="E11" i="581"/>
  <c r="E15" i="581"/>
  <c r="E48" i="584"/>
  <c r="I19" i="592"/>
  <c r="F19" i="592" s="1"/>
  <c r="G19" i="592" s="1"/>
  <c r="I32" i="592"/>
  <c r="F32" i="592" s="1"/>
  <c r="G32" i="592" s="1"/>
  <c r="I40" i="592"/>
  <c r="F40" i="592" s="1"/>
  <c r="G40" i="592" s="1"/>
  <c r="I46" i="592"/>
  <c r="F46" i="592" s="1"/>
  <c r="G46" i="592" s="1"/>
  <c r="E13" i="581"/>
  <c r="E17" i="581"/>
  <c r="E10" i="581"/>
  <c r="E12" i="581"/>
  <c r="E14" i="581"/>
  <c r="E16" i="581"/>
  <c r="E32" i="606"/>
  <c r="A54" i="598"/>
  <c r="I51" i="598"/>
  <c r="F50" i="598"/>
  <c r="G6" i="598"/>
  <c r="G5" i="598"/>
  <c r="A54" i="597"/>
  <c r="I51" i="597"/>
  <c r="F50" i="597"/>
  <c r="G6" i="597"/>
  <c r="G5" i="597"/>
  <c r="I50" i="596"/>
  <c r="F48" i="596"/>
  <c r="I50" i="595"/>
  <c r="F48" i="595"/>
  <c r="F24" i="594"/>
  <c r="G24" i="594" s="1"/>
  <c r="I48" i="594"/>
  <c r="F24" i="593"/>
  <c r="G24" i="593" s="1"/>
  <c r="I48" i="593"/>
  <c r="I24" i="592"/>
  <c r="I44" i="591"/>
  <c r="G44" i="591"/>
  <c r="I43" i="591"/>
  <c r="G43" i="591"/>
  <c r="I42" i="591"/>
  <c r="G42" i="591"/>
  <c r="I39" i="591"/>
  <c r="G39" i="591"/>
  <c r="I38" i="591"/>
  <c r="G38" i="591"/>
  <c r="I37" i="591"/>
  <c r="G37" i="591"/>
  <c r="I36" i="591"/>
  <c r="G36" i="591"/>
  <c r="I35" i="591"/>
  <c r="G35" i="591"/>
  <c r="I34" i="591"/>
  <c r="G34" i="591"/>
  <c r="I31" i="591"/>
  <c r="G31" i="591"/>
  <c r="I30" i="591"/>
  <c r="G30" i="591"/>
  <c r="I29" i="591"/>
  <c r="G29" i="591"/>
  <c r="I28" i="591"/>
  <c r="G28" i="591"/>
  <c r="I27" i="591"/>
  <c r="G27" i="591"/>
  <c r="I26" i="591"/>
  <c r="G26" i="591"/>
  <c r="I23" i="591"/>
  <c r="G23" i="591"/>
  <c r="I22" i="591"/>
  <c r="G22" i="591"/>
  <c r="I21" i="591"/>
  <c r="G21" i="591"/>
  <c r="I18" i="591"/>
  <c r="G18" i="591"/>
  <c r="I17" i="591"/>
  <c r="G17" i="591"/>
  <c r="I16" i="591"/>
  <c r="G16" i="591"/>
  <c r="I15" i="591"/>
  <c r="G15" i="591"/>
  <c r="I14" i="591"/>
  <c r="G14" i="591"/>
  <c r="I13" i="591"/>
  <c r="G13" i="591"/>
  <c r="I12" i="591"/>
  <c r="G12" i="591"/>
  <c r="I11" i="591"/>
  <c r="G11" i="591"/>
  <c r="I10" i="591"/>
  <c r="G10" i="591"/>
  <c r="I44" i="590"/>
  <c r="G44" i="590"/>
  <c r="I43" i="590"/>
  <c r="G43" i="590"/>
  <c r="I42" i="590"/>
  <c r="I46" i="590" s="1"/>
  <c r="F46" i="590" s="1"/>
  <c r="G46" i="590" s="1"/>
  <c r="G42" i="590"/>
  <c r="I39" i="590"/>
  <c r="G39" i="590"/>
  <c r="I38" i="590"/>
  <c r="G38" i="590"/>
  <c r="I37" i="590"/>
  <c r="G37" i="590"/>
  <c r="I36" i="590"/>
  <c r="G36" i="590"/>
  <c r="I35" i="590"/>
  <c r="G35" i="590"/>
  <c r="I34" i="590"/>
  <c r="I40" i="590" s="1"/>
  <c r="F40" i="590" s="1"/>
  <c r="G40" i="590" s="1"/>
  <c r="G34" i="590"/>
  <c r="I31" i="590"/>
  <c r="G31" i="590"/>
  <c r="I30" i="590"/>
  <c r="G30" i="590"/>
  <c r="I29" i="590"/>
  <c r="G29" i="590"/>
  <c r="I28" i="590"/>
  <c r="G28" i="590"/>
  <c r="I27" i="590"/>
  <c r="G27" i="590"/>
  <c r="I26" i="590"/>
  <c r="I32" i="590" s="1"/>
  <c r="F32" i="590" s="1"/>
  <c r="G32" i="590" s="1"/>
  <c r="G26" i="590"/>
  <c r="I23" i="590"/>
  <c r="G23" i="590"/>
  <c r="I22" i="590"/>
  <c r="G22" i="590"/>
  <c r="I21" i="590"/>
  <c r="G21" i="590"/>
  <c r="I18" i="590"/>
  <c r="G18" i="590"/>
  <c r="I17" i="590"/>
  <c r="G17" i="590"/>
  <c r="I16" i="590"/>
  <c r="G16" i="590"/>
  <c r="I15" i="590"/>
  <c r="G15" i="590"/>
  <c r="I14" i="590"/>
  <c r="G14" i="590"/>
  <c r="I13" i="590"/>
  <c r="G13" i="590"/>
  <c r="I12" i="590"/>
  <c r="G12" i="590"/>
  <c r="I11" i="590"/>
  <c r="G11" i="590"/>
  <c r="I10" i="590"/>
  <c r="I19" i="590" s="1"/>
  <c r="F19" i="590" s="1"/>
  <c r="G19" i="590" s="1"/>
  <c r="G10" i="590"/>
  <c r="I44" i="589"/>
  <c r="G44" i="589"/>
  <c r="I43" i="589"/>
  <c r="G43" i="589"/>
  <c r="I42" i="589"/>
  <c r="G42" i="589"/>
  <c r="I39" i="589"/>
  <c r="G39" i="589"/>
  <c r="I38" i="589"/>
  <c r="G38" i="589"/>
  <c r="I37" i="589"/>
  <c r="G37" i="589"/>
  <c r="I36" i="589"/>
  <c r="G36" i="589"/>
  <c r="I35" i="589"/>
  <c r="G35" i="589"/>
  <c r="I34" i="589"/>
  <c r="G34" i="589"/>
  <c r="I31" i="589"/>
  <c r="G31" i="589"/>
  <c r="I30" i="589"/>
  <c r="G30" i="589"/>
  <c r="I29" i="589"/>
  <c r="G29" i="589"/>
  <c r="I28" i="589"/>
  <c r="G28" i="589"/>
  <c r="I27" i="589"/>
  <c r="G27" i="589"/>
  <c r="I26" i="589"/>
  <c r="G26" i="589"/>
  <c r="I23" i="589"/>
  <c r="G23" i="589"/>
  <c r="I22" i="589"/>
  <c r="G22" i="589"/>
  <c r="I21" i="589"/>
  <c r="G21" i="589"/>
  <c r="I18" i="589"/>
  <c r="G18" i="589"/>
  <c r="I17" i="589"/>
  <c r="G17" i="589"/>
  <c r="I16" i="589"/>
  <c r="G16" i="589"/>
  <c r="I15" i="589"/>
  <c r="G15" i="589"/>
  <c r="I14" i="589"/>
  <c r="G14" i="589"/>
  <c r="I13" i="589"/>
  <c r="G13" i="589"/>
  <c r="I12" i="589"/>
  <c r="G12" i="589"/>
  <c r="I11" i="589"/>
  <c r="G11" i="589"/>
  <c r="I10" i="589"/>
  <c r="G10" i="589"/>
  <c r="I44" i="588"/>
  <c r="G44" i="588"/>
  <c r="I43" i="588"/>
  <c r="G43" i="588"/>
  <c r="I42" i="588"/>
  <c r="G42" i="588"/>
  <c r="I39" i="588"/>
  <c r="G39" i="588"/>
  <c r="I38" i="588"/>
  <c r="G38" i="588"/>
  <c r="I37" i="588"/>
  <c r="G37" i="588"/>
  <c r="I36" i="588"/>
  <c r="G36" i="588"/>
  <c r="I35" i="588"/>
  <c r="G35" i="588"/>
  <c r="I34" i="588"/>
  <c r="I40" i="588" s="1"/>
  <c r="F40" i="588" s="1"/>
  <c r="G40" i="588" s="1"/>
  <c r="G34" i="588"/>
  <c r="I31" i="588"/>
  <c r="G31" i="588"/>
  <c r="I30" i="588"/>
  <c r="G30" i="588"/>
  <c r="I29" i="588"/>
  <c r="G29" i="588"/>
  <c r="I28" i="588"/>
  <c r="G28" i="588"/>
  <c r="I27" i="588"/>
  <c r="G27" i="588"/>
  <c r="I26" i="588"/>
  <c r="I32" i="588" s="1"/>
  <c r="F32" i="588" s="1"/>
  <c r="G32" i="588" s="1"/>
  <c r="G26" i="588"/>
  <c r="I23" i="588"/>
  <c r="G23" i="588"/>
  <c r="I22" i="588"/>
  <c r="G22" i="588"/>
  <c r="I21" i="588"/>
  <c r="G21" i="588"/>
  <c r="I18" i="588"/>
  <c r="G18" i="588"/>
  <c r="I17" i="588"/>
  <c r="G17" i="588"/>
  <c r="I16" i="588"/>
  <c r="G16" i="588"/>
  <c r="I15" i="588"/>
  <c r="G15" i="588"/>
  <c r="I14" i="588"/>
  <c r="G14" i="588"/>
  <c r="I13" i="588"/>
  <c r="G13" i="588"/>
  <c r="I12" i="588"/>
  <c r="G12" i="588"/>
  <c r="I11" i="588"/>
  <c r="G11" i="588"/>
  <c r="I10" i="588"/>
  <c r="I19" i="588" s="1"/>
  <c r="F19" i="588" s="1"/>
  <c r="G19" i="588" s="1"/>
  <c r="G10" i="588"/>
  <c r="E48" i="587"/>
  <c r="F10" i="587"/>
  <c r="F11" i="587"/>
  <c r="F12" i="587"/>
  <c r="F13" i="587"/>
  <c r="F14" i="587"/>
  <c r="F15" i="587"/>
  <c r="F16" i="587"/>
  <c r="F17" i="587"/>
  <c r="F18" i="587"/>
  <c r="F21" i="587"/>
  <c r="F22" i="587"/>
  <c r="F23" i="587"/>
  <c r="F26" i="587"/>
  <c r="F27" i="587"/>
  <c r="F28" i="587"/>
  <c r="F29" i="587"/>
  <c r="F30" i="587"/>
  <c r="F31" i="587"/>
  <c r="F34" i="587"/>
  <c r="F35" i="587"/>
  <c r="F36" i="587"/>
  <c r="F37" i="587"/>
  <c r="F38" i="587"/>
  <c r="F39" i="587"/>
  <c r="F42" i="587"/>
  <c r="F43" i="587"/>
  <c r="F44" i="587"/>
  <c r="F45" i="587"/>
  <c r="G45" i="587" s="1"/>
  <c r="F10" i="586"/>
  <c r="F11" i="586"/>
  <c r="F12" i="586"/>
  <c r="F13" i="586"/>
  <c r="F14" i="586"/>
  <c r="F15" i="586"/>
  <c r="F16" i="586"/>
  <c r="F17" i="586"/>
  <c r="F18" i="586"/>
  <c r="F21" i="586"/>
  <c r="F22" i="586"/>
  <c r="F23" i="586"/>
  <c r="F26" i="586"/>
  <c r="F27" i="586"/>
  <c r="F28" i="586"/>
  <c r="F29" i="586"/>
  <c r="F30" i="586"/>
  <c r="F31" i="586"/>
  <c r="F34" i="586"/>
  <c r="F35" i="586"/>
  <c r="F36" i="586"/>
  <c r="F37" i="586"/>
  <c r="F38" i="586"/>
  <c r="F39" i="586"/>
  <c r="F42" i="586"/>
  <c r="F43" i="586"/>
  <c r="F44" i="586"/>
  <c r="F45" i="586"/>
  <c r="G45" i="586" s="1"/>
  <c r="F10" i="585"/>
  <c r="F11" i="585"/>
  <c r="F12" i="585"/>
  <c r="F13" i="585"/>
  <c r="F14" i="585"/>
  <c r="F15" i="585"/>
  <c r="F16" i="585"/>
  <c r="F17" i="585"/>
  <c r="F18" i="585"/>
  <c r="F21" i="585"/>
  <c r="F22" i="585"/>
  <c r="F23" i="585"/>
  <c r="F26" i="585"/>
  <c r="F27" i="585"/>
  <c r="F28" i="585"/>
  <c r="F29" i="585"/>
  <c r="F30" i="585"/>
  <c r="F31" i="585"/>
  <c r="F34" i="585"/>
  <c r="F35" i="585"/>
  <c r="F36" i="585"/>
  <c r="F37" i="585"/>
  <c r="F38" i="585"/>
  <c r="F39" i="585"/>
  <c r="F42" i="585"/>
  <c r="F43" i="585"/>
  <c r="F44" i="585"/>
  <c r="F45" i="585"/>
  <c r="G45" i="585" s="1"/>
  <c r="C24" i="584"/>
  <c r="C48" i="584" s="1"/>
  <c r="H48" i="584"/>
  <c r="H50" i="584" s="1"/>
  <c r="E6" i="584" s="1"/>
  <c r="C24" i="583"/>
  <c r="C48" i="583" s="1"/>
  <c r="H48" i="583"/>
  <c r="H50" i="583" s="1"/>
  <c r="E6" i="583" s="1"/>
  <c r="E45" i="583"/>
  <c r="E44" i="583"/>
  <c r="E43" i="583"/>
  <c r="E39" i="583"/>
  <c r="E38" i="583"/>
  <c r="E37" i="583"/>
  <c r="E36" i="583"/>
  <c r="E35" i="583"/>
  <c r="E31" i="583"/>
  <c r="E30" i="583"/>
  <c r="E29" i="583"/>
  <c r="E28" i="583"/>
  <c r="E27" i="583"/>
  <c r="E23" i="583"/>
  <c r="E22" i="583"/>
  <c r="E21" i="583"/>
  <c r="E24" i="583"/>
  <c r="E26" i="583"/>
  <c r="E34" i="583"/>
  <c r="E42" i="583"/>
  <c r="E46" i="583"/>
  <c r="A52" i="583" s="1"/>
  <c r="E40" i="583"/>
  <c r="E32" i="583"/>
  <c r="J50" i="583"/>
  <c r="E50" i="583"/>
  <c r="H46" i="582"/>
  <c r="C46" i="582" s="1"/>
  <c r="H40" i="582"/>
  <c r="C40" i="582" s="1"/>
  <c r="D48" i="582"/>
  <c r="H32" i="582"/>
  <c r="C32" i="582" s="1"/>
  <c r="H24" i="582"/>
  <c r="E19" i="582"/>
  <c r="E18" i="582"/>
  <c r="E17" i="582"/>
  <c r="E16" i="582"/>
  <c r="E14" i="582"/>
  <c r="E13" i="582"/>
  <c r="E12" i="582"/>
  <c r="E11" i="582"/>
  <c r="E10" i="582"/>
  <c r="D50" i="582"/>
  <c r="H19" i="582"/>
  <c r="C19" i="582" s="1"/>
  <c r="H10" i="581"/>
  <c r="H11" i="581"/>
  <c r="H12" i="581"/>
  <c r="H13" i="581"/>
  <c r="H14" i="581"/>
  <c r="H15" i="581"/>
  <c r="H16" i="581"/>
  <c r="H17" i="581"/>
  <c r="H18" i="581"/>
  <c r="D50" i="581"/>
  <c r="E19" i="581"/>
  <c r="H21" i="581"/>
  <c r="H22" i="581"/>
  <c r="H23" i="581"/>
  <c r="D48" i="581"/>
  <c r="E24" i="581"/>
  <c r="H26" i="581"/>
  <c r="H27" i="581"/>
  <c r="H28" i="581"/>
  <c r="H29" i="581"/>
  <c r="H30" i="581"/>
  <c r="H31" i="581"/>
  <c r="E32" i="581"/>
  <c r="H34" i="581"/>
  <c r="H35" i="581"/>
  <c r="H36" i="581"/>
  <c r="H37" i="581"/>
  <c r="H38" i="581"/>
  <c r="H39" i="581"/>
  <c r="E40" i="581"/>
  <c r="H42" i="581"/>
  <c r="H43" i="581"/>
  <c r="H44" i="581"/>
  <c r="E46" i="581"/>
  <c r="A52" i="581" s="1"/>
  <c r="D43" i="580"/>
  <c r="D44" i="580"/>
  <c r="D45" i="580"/>
  <c r="D35" i="580"/>
  <c r="D36" i="580"/>
  <c r="D37" i="580"/>
  <c r="D38" i="580"/>
  <c r="D39" i="580"/>
  <c r="D30" i="580"/>
  <c r="D31" i="580"/>
  <c r="D22" i="580"/>
  <c r="D23" i="580"/>
  <c r="D21" i="580"/>
  <c r="D11" i="580"/>
  <c r="D12" i="580"/>
  <c r="D13" i="580"/>
  <c r="D14" i="580"/>
  <c r="D15" i="580"/>
  <c r="D16" i="580"/>
  <c r="D17" i="580"/>
  <c r="D18" i="580"/>
  <c r="E3" i="580"/>
  <c r="G2" i="580"/>
  <c r="D10" i="580"/>
  <c r="C45" i="580"/>
  <c r="C44" i="580"/>
  <c r="C43" i="580"/>
  <c r="C42" i="580"/>
  <c r="C39" i="580"/>
  <c r="C38" i="580"/>
  <c r="C37" i="580"/>
  <c r="C36" i="580"/>
  <c r="C35" i="580"/>
  <c r="C34" i="580"/>
  <c r="C31" i="580"/>
  <c r="C30" i="580"/>
  <c r="C29" i="580"/>
  <c r="C28" i="580"/>
  <c r="C27" i="580"/>
  <c r="C26" i="580"/>
  <c r="C23" i="580"/>
  <c r="C22" i="580"/>
  <c r="C21" i="580"/>
  <c r="C18" i="580"/>
  <c r="C17" i="580"/>
  <c r="C16" i="580"/>
  <c r="C15" i="580"/>
  <c r="C14" i="580"/>
  <c r="C13" i="580"/>
  <c r="C12" i="580"/>
  <c r="C11" i="580"/>
  <c r="C10" i="580"/>
  <c r="C7" i="580"/>
  <c r="G2" i="579"/>
  <c r="E3" i="579"/>
  <c r="D43" i="579"/>
  <c r="D45" i="579"/>
  <c r="D35" i="579"/>
  <c r="D36" i="579"/>
  <c r="D37" i="579"/>
  <c r="D38" i="579"/>
  <c r="D39" i="579"/>
  <c r="D31" i="579"/>
  <c r="D22" i="579"/>
  <c r="D23" i="579"/>
  <c r="D21" i="579"/>
  <c r="D11" i="579"/>
  <c r="D12" i="579"/>
  <c r="D13" i="579"/>
  <c r="D14" i="579"/>
  <c r="D15" i="579"/>
  <c r="D16" i="579"/>
  <c r="D17" i="579"/>
  <c r="D18" i="579"/>
  <c r="D10" i="579"/>
  <c r="C45" i="579"/>
  <c r="C44" i="579"/>
  <c r="C43" i="579"/>
  <c r="C42" i="579"/>
  <c r="C39" i="579"/>
  <c r="C38" i="579"/>
  <c r="C37" i="579"/>
  <c r="C36" i="579"/>
  <c r="C35" i="579"/>
  <c r="C34" i="579"/>
  <c r="C31" i="579"/>
  <c r="C30" i="579"/>
  <c r="C29" i="579"/>
  <c r="C28" i="579"/>
  <c r="C27" i="579"/>
  <c r="C26" i="579"/>
  <c r="C23" i="579"/>
  <c r="C22" i="579"/>
  <c r="C21" i="579"/>
  <c r="C18" i="579"/>
  <c r="C17" i="579"/>
  <c r="C16" i="579"/>
  <c r="C15" i="579"/>
  <c r="C14" i="579"/>
  <c r="C13" i="579"/>
  <c r="C12" i="579"/>
  <c r="C11" i="579"/>
  <c r="C10" i="579"/>
  <c r="C7" i="579"/>
  <c r="E3" i="578"/>
  <c r="D43" i="578"/>
  <c r="D44" i="578"/>
  <c r="D45" i="578"/>
  <c r="D35" i="578"/>
  <c r="D36" i="578"/>
  <c r="D37" i="578"/>
  <c r="D38" i="578"/>
  <c r="D39" i="578"/>
  <c r="D30" i="578"/>
  <c r="D31" i="578"/>
  <c r="D22" i="578"/>
  <c r="D23" i="578"/>
  <c r="D21" i="578"/>
  <c r="D11" i="578"/>
  <c r="D12" i="578"/>
  <c r="D13" i="578"/>
  <c r="D14" i="578"/>
  <c r="D15" i="578"/>
  <c r="D16" i="578"/>
  <c r="D17" i="578"/>
  <c r="D18" i="578"/>
  <c r="D10" i="578"/>
  <c r="C45" i="578"/>
  <c r="C44" i="578"/>
  <c r="C43" i="578"/>
  <c r="C42" i="578"/>
  <c r="C39" i="578"/>
  <c r="C38" i="578"/>
  <c r="C37" i="578"/>
  <c r="C36" i="578"/>
  <c r="C35" i="578"/>
  <c r="C34" i="578"/>
  <c r="C31" i="578"/>
  <c r="C30" i="578"/>
  <c r="C29" i="578"/>
  <c r="C28" i="578"/>
  <c r="C27" i="578"/>
  <c r="C26" i="578"/>
  <c r="C23" i="578"/>
  <c r="C22" i="578"/>
  <c r="C21" i="578"/>
  <c r="C18" i="578"/>
  <c r="C17" i="578"/>
  <c r="C16" i="578"/>
  <c r="C15" i="578"/>
  <c r="C14" i="578"/>
  <c r="C13" i="578"/>
  <c r="C12" i="578"/>
  <c r="C11" i="578"/>
  <c r="C10" i="578"/>
  <c r="C7" i="578"/>
  <c r="I19" i="589" l="1"/>
  <c r="F19" i="589" s="1"/>
  <c r="G19" i="589" s="1"/>
  <c r="I19" i="591"/>
  <c r="F19" i="591" s="1"/>
  <c r="G19" i="591" s="1"/>
  <c r="I32" i="591"/>
  <c r="F32" i="591" s="1"/>
  <c r="G32" i="591" s="1"/>
  <c r="I40" i="591"/>
  <c r="F40" i="591" s="1"/>
  <c r="G40" i="591" s="1"/>
  <c r="I46" i="591"/>
  <c r="F46" i="591" s="1"/>
  <c r="G46" i="591" s="1"/>
  <c r="E48" i="606"/>
  <c r="I46" i="588"/>
  <c r="F46" i="588" s="1"/>
  <c r="G46" i="588" s="1"/>
  <c r="I32" i="589"/>
  <c r="F32" i="589" s="1"/>
  <c r="G32" i="589" s="1"/>
  <c r="I40" i="589"/>
  <c r="F40" i="589" s="1"/>
  <c r="G40" i="589" s="1"/>
  <c r="I46" i="589"/>
  <c r="F46" i="589" s="1"/>
  <c r="G46" i="589" s="1"/>
  <c r="F13" i="606"/>
  <c r="F17" i="606"/>
  <c r="F23" i="606"/>
  <c r="F29" i="606"/>
  <c r="F35" i="606"/>
  <c r="F39" i="606"/>
  <c r="F45" i="606"/>
  <c r="G45" i="606" s="1"/>
  <c r="F12" i="606"/>
  <c r="F22" i="606"/>
  <c r="F34" i="606"/>
  <c r="F10" i="606"/>
  <c r="F14" i="606"/>
  <c r="F18" i="606"/>
  <c r="F26" i="606"/>
  <c r="F30" i="606"/>
  <c r="F36" i="606"/>
  <c r="F42" i="606"/>
  <c r="F44" i="606"/>
  <c r="F11" i="606"/>
  <c r="F15" i="606"/>
  <c r="F21" i="606"/>
  <c r="F27" i="606"/>
  <c r="F31" i="606"/>
  <c r="F37" i="606"/>
  <c r="F43" i="606"/>
  <c r="F16" i="606"/>
  <c r="F28" i="606"/>
  <c r="F38" i="606"/>
  <c r="A54" i="596"/>
  <c r="I51" i="596"/>
  <c r="F50" i="596"/>
  <c r="G6" i="596"/>
  <c r="G5" i="596"/>
  <c r="A54" i="595"/>
  <c r="I51" i="595"/>
  <c r="F50" i="595"/>
  <c r="G6" i="595"/>
  <c r="G5" i="595"/>
  <c r="I50" i="594"/>
  <c r="F48" i="594"/>
  <c r="I50" i="593"/>
  <c r="F48" i="593"/>
  <c r="F24" i="592"/>
  <c r="G24" i="592" s="1"/>
  <c r="I48" i="592"/>
  <c r="I24" i="591"/>
  <c r="I24" i="590"/>
  <c r="I24" i="589"/>
  <c r="I24" i="588"/>
  <c r="I44" i="587"/>
  <c r="G44" i="587"/>
  <c r="I43" i="587"/>
  <c r="G43" i="587"/>
  <c r="I42" i="587"/>
  <c r="I46" i="587" s="1"/>
  <c r="F46" i="587" s="1"/>
  <c r="G46" i="587" s="1"/>
  <c r="G42" i="587"/>
  <c r="I39" i="587"/>
  <c r="G39" i="587"/>
  <c r="I38" i="587"/>
  <c r="G38" i="587"/>
  <c r="I37" i="587"/>
  <c r="G37" i="587"/>
  <c r="I36" i="587"/>
  <c r="G36" i="587"/>
  <c r="I35" i="587"/>
  <c r="G35" i="587"/>
  <c r="I34" i="587"/>
  <c r="I40" i="587" s="1"/>
  <c r="F40" i="587" s="1"/>
  <c r="G40" i="587" s="1"/>
  <c r="G34" i="587"/>
  <c r="I31" i="587"/>
  <c r="G31" i="587"/>
  <c r="I30" i="587"/>
  <c r="G30" i="587"/>
  <c r="I29" i="587"/>
  <c r="G29" i="587"/>
  <c r="I28" i="587"/>
  <c r="G28" i="587"/>
  <c r="I27" i="587"/>
  <c r="G27" i="587"/>
  <c r="I26" i="587"/>
  <c r="I32" i="587" s="1"/>
  <c r="F32" i="587" s="1"/>
  <c r="G32" i="587" s="1"/>
  <c r="G26" i="587"/>
  <c r="I23" i="587"/>
  <c r="G23" i="587"/>
  <c r="I22" i="587"/>
  <c r="G22" i="587"/>
  <c r="I21" i="587"/>
  <c r="G21" i="587"/>
  <c r="I18" i="587"/>
  <c r="G18" i="587"/>
  <c r="I17" i="587"/>
  <c r="G17" i="587"/>
  <c r="I16" i="587"/>
  <c r="G16" i="587"/>
  <c r="I15" i="587"/>
  <c r="G15" i="587"/>
  <c r="I14" i="587"/>
  <c r="G14" i="587"/>
  <c r="I13" i="587"/>
  <c r="G13" i="587"/>
  <c r="I12" i="587"/>
  <c r="G12" i="587"/>
  <c r="I11" i="587"/>
  <c r="G11" i="587"/>
  <c r="I10" i="587"/>
  <c r="I19" i="587" s="1"/>
  <c r="F19" i="587" s="1"/>
  <c r="G19" i="587" s="1"/>
  <c r="G10" i="587"/>
  <c r="I44" i="586"/>
  <c r="G44" i="586"/>
  <c r="I43" i="586"/>
  <c r="G43" i="586"/>
  <c r="I42" i="586"/>
  <c r="G42" i="586"/>
  <c r="I39" i="586"/>
  <c r="G39" i="586"/>
  <c r="I38" i="586"/>
  <c r="G38" i="586"/>
  <c r="I37" i="586"/>
  <c r="G37" i="586"/>
  <c r="I36" i="586"/>
  <c r="G36" i="586"/>
  <c r="I35" i="586"/>
  <c r="G35" i="586"/>
  <c r="I34" i="586"/>
  <c r="G34" i="586"/>
  <c r="I31" i="586"/>
  <c r="G31" i="586"/>
  <c r="I30" i="586"/>
  <c r="G30" i="586"/>
  <c r="I29" i="586"/>
  <c r="G29" i="586"/>
  <c r="I28" i="586"/>
  <c r="G28" i="586"/>
  <c r="I27" i="586"/>
  <c r="G27" i="586"/>
  <c r="I26" i="586"/>
  <c r="G26" i="586"/>
  <c r="I23" i="586"/>
  <c r="G23" i="586"/>
  <c r="I22" i="586"/>
  <c r="G22" i="586"/>
  <c r="I21" i="586"/>
  <c r="G21" i="586"/>
  <c r="I18" i="586"/>
  <c r="G18" i="586"/>
  <c r="I17" i="586"/>
  <c r="G17" i="586"/>
  <c r="I16" i="586"/>
  <c r="G16" i="586"/>
  <c r="I15" i="586"/>
  <c r="G15" i="586"/>
  <c r="I14" i="586"/>
  <c r="G14" i="586"/>
  <c r="I13" i="586"/>
  <c r="G13" i="586"/>
  <c r="I12" i="586"/>
  <c r="G12" i="586"/>
  <c r="I11" i="586"/>
  <c r="G11" i="586"/>
  <c r="I10" i="586"/>
  <c r="G10" i="586"/>
  <c r="I44" i="585"/>
  <c r="G44" i="585"/>
  <c r="I43" i="585"/>
  <c r="G43" i="585"/>
  <c r="I42" i="585"/>
  <c r="G42" i="585"/>
  <c r="I39" i="585"/>
  <c r="G39" i="585"/>
  <c r="I38" i="585"/>
  <c r="G38" i="585"/>
  <c r="I37" i="585"/>
  <c r="G37" i="585"/>
  <c r="I36" i="585"/>
  <c r="G36" i="585"/>
  <c r="I35" i="585"/>
  <c r="G35" i="585"/>
  <c r="I34" i="585"/>
  <c r="G34" i="585"/>
  <c r="I31" i="585"/>
  <c r="G31" i="585"/>
  <c r="I30" i="585"/>
  <c r="G30" i="585"/>
  <c r="I29" i="585"/>
  <c r="G29" i="585"/>
  <c r="I28" i="585"/>
  <c r="G28" i="585"/>
  <c r="I27" i="585"/>
  <c r="G27" i="585"/>
  <c r="I26" i="585"/>
  <c r="I32" i="585" s="1"/>
  <c r="F32" i="585" s="1"/>
  <c r="G32" i="585" s="1"/>
  <c r="G26" i="585"/>
  <c r="I23" i="585"/>
  <c r="G23" i="585"/>
  <c r="I22" i="585"/>
  <c r="G22" i="585"/>
  <c r="I21" i="585"/>
  <c r="G21" i="585"/>
  <c r="I18" i="585"/>
  <c r="G18" i="585"/>
  <c r="I17" i="585"/>
  <c r="G17" i="585"/>
  <c r="I16" i="585"/>
  <c r="G16" i="585"/>
  <c r="I15" i="585"/>
  <c r="G15" i="585"/>
  <c r="I14" i="585"/>
  <c r="G14" i="585"/>
  <c r="I13" i="585"/>
  <c r="G13" i="585"/>
  <c r="I12" i="585"/>
  <c r="G12" i="585"/>
  <c r="I11" i="585"/>
  <c r="G11" i="585"/>
  <c r="I10" i="585"/>
  <c r="I19" i="585" s="1"/>
  <c r="F19" i="585" s="1"/>
  <c r="G19" i="585" s="1"/>
  <c r="G10" i="585"/>
  <c r="F10" i="584"/>
  <c r="F11" i="584"/>
  <c r="F12" i="584"/>
  <c r="F13" i="584"/>
  <c r="F14" i="584"/>
  <c r="F15" i="584"/>
  <c r="F16" i="584"/>
  <c r="F17" i="584"/>
  <c r="F18" i="584"/>
  <c r="F21" i="584"/>
  <c r="F22" i="584"/>
  <c r="F23" i="584"/>
  <c r="F26" i="584"/>
  <c r="F27" i="584"/>
  <c r="F28" i="584"/>
  <c r="F29" i="584"/>
  <c r="F30" i="584"/>
  <c r="F31" i="584"/>
  <c r="F34" i="584"/>
  <c r="F35" i="584"/>
  <c r="F36" i="584"/>
  <c r="F37" i="584"/>
  <c r="F38" i="584"/>
  <c r="F39" i="584"/>
  <c r="F42" i="584"/>
  <c r="F43" i="584"/>
  <c r="F44" i="584"/>
  <c r="F45" i="584"/>
  <c r="G45" i="584" s="1"/>
  <c r="E48" i="583"/>
  <c r="F10" i="583"/>
  <c r="F11" i="583"/>
  <c r="F12" i="583"/>
  <c r="F13" i="583"/>
  <c r="F14" i="583"/>
  <c r="F15" i="583"/>
  <c r="F16" i="583"/>
  <c r="F17" i="583"/>
  <c r="F18" i="583"/>
  <c r="F21" i="583"/>
  <c r="F22" i="583"/>
  <c r="F23" i="583"/>
  <c r="F26" i="583"/>
  <c r="F27" i="583"/>
  <c r="F28" i="583"/>
  <c r="F29" i="583"/>
  <c r="F30" i="583"/>
  <c r="F31" i="583"/>
  <c r="F34" i="583"/>
  <c r="F35" i="583"/>
  <c r="F36" i="583"/>
  <c r="F37" i="583"/>
  <c r="F38" i="583"/>
  <c r="F39" i="583"/>
  <c r="F42" i="583"/>
  <c r="F43" i="583"/>
  <c r="F44" i="583"/>
  <c r="F45" i="583"/>
  <c r="G45" i="583" s="1"/>
  <c r="J50" i="582"/>
  <c r="E50" i="582"/>
  <c r="C24" i="582"/>
  <c r="C48" i="582" s="1"/>
  <c r="H48" i="582"/>
  <c r="H50" i="582" s="1"/>
  <c r="E6" i="582" s="1"/>
  <c r="E45" i="582"/>
  <c r="E44" i="582"/>
  <c r="E43" i="582"/>
  <c r="E42" i="582"/>
  <c r="E39" i="582"/>
  <c r="E38" i="582"/>
  <c r="E37" i="582"/>
  <c r="E36" i="582"/>
  <c r="E35" i="582"/>
  <c r="E34" i="582"/>
  <c r="E31" i="582"/>
  <c r="E30" i="582"/>
  <c r="E29" i="582"/>
  <c r="E28" i="582"/>
  <c r="E27" i="582"/>
  <c r="E23" i="582"/>
  <c r="E22" i="582"/>
  <c r="E21" i="582"/>
  <c r="E24" i="582"/>
  <c r="E26" i="582"/>
  <c r="E40" i="582"/>
  <c r="E46" i="582"/>
  <c r="A52" i="582" s="1"/>
  <c r="E32" i="582"/>
  <c r="H46" i="581"/>
  <c r="C46" i="581" s="1"/>
  <c r="H40" i="581"/>
  <c r="C40" i="581" s="1"/>
  <c r="H32" i="581"/>
  <c r="C32" i="581" s="1"/>
  <c r="E45" i="581"/>
  <c r="E44" i="581"/>
  <c r="E43" i="581"/>
  <c r="E42" i="581"/>
  <c r="E39" i="581"/>
  <c r="E38" i="581"/>
  <c r="E37" i="581"/>
  <c r="E36" i="581"/>
  <c r="E35" i="581"/>
  <c r="E34" i="581"/>
  <c r="E31" i="581"/>
  <c r="E30" i="581"/>
  <c r="E29" i="581"/>
  <c r="E28" i="581"/>
  <c r="E27" i="581"/>
  <c r="E26" i="581"/>
  <c r="E23" i="581"/>
  <c r="E22" i="581"/>
  <c r="E21" i="581"/>
  <c r="H24" i="581"/>
  <c r="J50" i="581"/>
  <c r="E50" i="581"/>
  <c r="H19" i="581"/>
  <c r="C19" i="581" s="1"/>
  <c r="G4" i="580"/>
  <c r="E4" i="580"/>
  <c r="H10" i="580"/>
  <c r="D19" i="580"/>
  <c r="E10" i="580" s="1"/>
  <c r="H11" i="580"/>
  <c r="H12" i="580"/>
  <c r="H13" i="580"/>
  <c r="H14" i="580"/>
  <c r="H15" i="580"/>
  <c r="H16" i="580"/>
  <c r="H17" i="580"/>
  <c r="H18" i="580"/>
  <c r="H21" i="580"/>
  <c r="D24" i="580"/>
  <c r="H22" i="580"/>
  <c r="H23" i="580"/>
  <c r="H30" i="580"/>
  <c r="H31" i="580"/>
  <c r="H35" i="580"/>
  <c r="H36" i="580"/>
  <c r="H37" i="580"/>
  <c r="H38" i="580"/>
  <c r="H39" i="580"/>
  <c r="H43" i="580"/>
  <c r="H44" i="580"/>
  <c r="G4" i="579"/>
  <c r="E4" i="579"/>
  <c r="H10" i="579"/>
  <c r="D19" i="579"/>
  <c r="E11" i="579" s="1"/>
  <c r="E10" i="579"/>
  <c r="H11" i="579"/>
  <c r="H12" i="579"/>
  <c r="E12" i="579"/>
  <c r="H13" i="579"/>
  <c r="H14" i="579"/>
  <c r="E14" i="579"/>
  <c r="H15" i="579"/>
  <c r="H16" i="579"/>
  <c r="H17" i="579"/>
  <c r="H18" i="579"/>
  <c r="E18" i="579"/>
  <c r="H21" i="579"/>
  <c r="D24" i="579"/>
  <c r="H22" i="579"/>
  <c r="H23" i="579"/>
  <c r="H31" i="579"/>
  <c r="H35" i="579"/>
  <c r="H36" i="579"/>
  <c r="H37" i="579"/>
  <c r="H38" i="579"/>
  <c r="H39" i="579"/>
  <c r="H43" i="579"/>
  <c r="H10" i="578"/>
  <c r="D19" i="578"/>
  <c r="E11" i="578" s="1"/>
  <c r="H11" i="578"/>
  <c r="H12" i="578"/>
  <c r="H13" i="578"/>
  <c r="H14" i="578"/>
  <c r="H15" i="578"/>
  <c r="H16" i="578"/>
  <c r="H17" i="578"/>
  <c r="H18" i="578"/>
  <c r="H21" i="578"/>
  <c r="D24" i="578"/>
  <c r="H22" i="578"/>
  <c r="H23" i="578"/>
  <c r="H30" i="578"/>
  <c r="H31" i="578"/>
  <c r="H35" i="578"/>
  <c r="H36" i="578"/>
  <c r="H37" i="578"/>
  <c r="H38" i="578"/>
  <c r="H39" i="578"/>
  <c r="H43" i="578"/>
  <c r="H44" i="578"/>
  <c r="D34" i="577"/>
  <c r="D26" i="577"/>
  <c r="D42" i="577"/>
  <c r="C45" i="577"/>
  <c r="C44" i="577"/>
  <c r="C43" i="577"/>
  <c r="C42" i="577"/>
  <c r="C39" i="577"/>
  <c r="C38" i="577"/>
  <c r="C37" i="577"/>
  <c r="C36" i="577"/>
  <c r="C35" i="577"/>
  <c r="C34" i="577"/>
  <c r="C31" i="577"/>
  <c r="C30" i="577"/>
  <c r="C29" i="577"/>
  <c r="C28" i="577"/>
  <c r="C27" i="577"/>
  <c r="C26" i="577"/>
  <c r="D24" i="577"/>
  <c r="C23" i="577"/>
  <c r="C22" i="577"/>
  <c r="C21" i="577"/>
  <c r="D19" i="577"/>
  <c r="E17" i="577" s="1"/>
  <c r="C18" i="577"/>
  <c r="C17" i="577"/>
  <c r="C16" i="577"/>
  <c r="E15" i="577"/>
  <c r="C15" i="577"/>
  <c r="C14" i="577"/>
  <c r="C13" i="577"/>
  <c r="C12" i="577"/>
  <c r="E11" i="577"/>
  <c r="C11" i="577"/>
  <c r="C10" i="577"/>
  <c r="C7" i="577"/>
  <c r="G4" i="577"/>
  <c r="E4" i="577"/>
  <c r="E13" i="577" l="1"/>
  <c r="E18" i="578"/>
  <c r="E16" i="579"/>
  <c r="E10" i="577"/>
  <c r="E12" i="577"/>
  <c r="E14" i="577"/>
  <c r="E16" i="577"/>
  <c r="E17" i="579"/>
  <c r="E15" i="579"/>
  <c r="E13" i="579"/>
  <c r="E18" i="577"/>
  <c r="E48" i="581"/>
  <c r="I19" i="586"/>
  <c r="F19" i="586" s="1"/>
  <c r="G19" i="586" s="1"/>
  <c r="I32" i="586"/>
  <c r="F32" i="586" s="1"/>
  <c r="G32" i="586" s="1"/>
  <c r="E16" i="578"/>
  <c r="E14" i="578"/>
  <c r="E12" i="578"/>
  <c r="E10" i="578"/>
  <c r="E17" i="580"/>
  <c r="E15" i="580"/>
  <c r="E13" i="580"/>
  <c r="E11" i="580"/>
  <c r="I40" i="586"/>
  <c r="F40" i="586" s="1"/>
  <c r="G40" i="586" s="1"/>
  <c r="I46" i="586"/>
  <c r="F46" i="586" s="1"/>
  <c r="G46" i="586" s="1"/>
  <c r="I28" i="606"/>
  <c r="G28" i="606"/>
  <c r="G31" i="606"/>
  <c r="I31" i="606"/>
  <c r="G11" i="606"/>
  <c r="I11" i="606"/>
  <c r="G30" i="606"/>
  <c r="I30" i="606"/>
  <c r="G10" i="606"/>
  <c r="I10" i="606"/>
  <c r="G23" i="606"/>
  <c r="I23" i="606"/>
  <c r="I16" i="606"/>
  <c r="G16" i="606"/>
  <c r="G27" i="606"/>
  <c r="I27" i="606"/>
  <c r="G44" i="606"/>
  <c r="I44" i="606"/>
  <c r="G26" i="606"/>
  <c r="I26" i="606"/>
  <c r="I34" i="606"/>
  <c r="G34" i="606"/>
  <c r="G39" i="606"/>
  <c r="I39" i="606"/>
  <c r="G17" i="606"/>
  <c r="I17" i="606"/>
  <c r="E17" i="578"/>
  <c r="E15" i="578"/>
  <c r="E13" i="578"/>
  <c r="E18" i="580"/>
  <c r="E16" i="580"/>
  <c r="E14" i="580"/>
  <c r="E12" i="580"/>
  <c r="I40" i="585"/>
  <c r="F40" i="585" s="1"/>
  <c r="G40" i="585" s="1"/>
  <c r="I46" i="585"/>
  <c r="F46" i="585" s="1"/>
  <c r="G46" i="585" s="1"/>
  <c r="G43" i="606"/>
  <c r="I43" i="606"/>
  <c r="G21" i="606"/>
  <c r="I21" i="606"/>
  <c r="G42" i="606"/>
  <c r="I42" i="606"/>
  <c r="G18" i="606"/>
  <c r="I18" i="606"/>
  <c r="I22" i="606"/>
  <c r="G22" i="606"/>
  <c r="G35" i="606"/>
  <c r="I35" i="606"/>
  <c r="G13" i="606"/>
  <c r="I13" i="606"/>
  <c r="I38" i="606"/>
  <c r="G38" i="606"/>
  <c r="G37" i="606"/>
  <c r="I37" i="606"/>
  <c r="G15" i="606"/>
  <c r="I15" i="606"/>
  <c r="G36" i="606"/>
  <c r="I36" i="606"/>
  <c r="G14" i="606"/>
  <c r="I14" i="606"/>
  <c r="I12" i="606"/>
  <c r="G12" i="606"/>
  <c r="G29" i="606"/>
  <c r="I29" i="606"/>
  <c r="A54" i="594"/>
  <c r="I51" i="594"/>
  <c r="F50" i="594"/>
  <c r="G6" i="594"/>
  <c r="G5" i="594"/>
  <c r="A54" i="593"/>
  <c r="I51" i="593"/>
  <c r="F50" i="593"/>
  <c r="G6" i="593"/>
  <c r="G5" i="593"/>
  <c r="I50" i="592"/>
  <c r="F48" i="592"/>
  <c r="F24" i="591"/>
  <c r="G24" i="591" s="1"/>
  <c r="I48" i="591"/>
  <c r="F24" i="590"/>
  <c r="G24" i="590" s="1"/>
  <c r="I48" i="590"/>
  <c r="F24" i="589"/>
  <c r="G24" i="589" s="1"/>
  <c r="I48" i="589"/>
  <c r="F24" i="588"/>
  <c r="G24" i="588" s="1"/>
  <c r="I48" i="588"/>
  <c r="I24" i="587"/>
  <c r="I24" i="586"/>
  <c r="I24" i="585"/>
  <c r="I44" i="584"/>
  <c r="G44" i="584"/>
  <c r="I43" i="584"/>
  <c r="G43" i="584"/>
  <c r="I42" i="584"/>
  <c r="G42" i="584"/>
  <c r="I39" i="584"/>
  <c r="G39" i="584"/>
  <c r="I38" i="584"/>
  <c r="G38" i="584"/>
  <c r="I37" i="584"/>
  <c r="G37" i="584"/>
  <c r="I36" i="584"/>
  <c r="G36" i="584"/>
  <c r="I35" i="584"/>
  <c r="G35" i="584"/>
  <c r="I34" i="584"/>
  <c r="G34" i="584"/>
  <c r="I31" i="584"/>
  <c r="G31" i="584"/>
  <c r="I30" i="584"/>
  <c r="G30" i="584"/>
  <c r="I29" i="584"/>
  <c r="G29" i="584"/>
  <c r="I28" i="584"/>
  <c r="G28" i="584"/>
  <c r="I27" i="584"/>
  <c r="G27" i="584"/>
  <c r="I26" i="584"/>
  <c r="G26" i="584"/>
  <c r="I23" i="584"/>
  <c r="G23" i="584"/>
  <c r="I22" i="584"/>
  <c r="G22" i="584"/>
  <c r="I21" i="584"/>
  <c r="G21" i="584"/>
  <c r="I18" i="584"/>
  <c r="G18" i="584"/>
  <c r="I17" i="584"/>
  <c r="G17" i="584"/>
  <c r="I16" i="584"/>
  <c r="G16" i="584"/>
  <c r="I15" i="584"/>
  <c r="G15" i="584"/>
  <c r="I14" i="584"/>
  <c r="G14" i="584"/>
  <c r="I13" i="584"/>
  <c r="G13" i="584"/>
  <c r="I12" i="584"/>
  <c r="G12" i="584"/>
  <c r="I11" i="584"/>
  <c r="G11" i="584"/>
  <c r="I10" i="584"/>
  <c r="G10" i="584"/>
  <c r="I44" i="583"/>
  <c r="G44" i="583"/>
  <c r="I43" i="583"/>
  <c r="G43" i="583"/>
  <c r="I42" i="583"/>
  <c r="G42" i="583"/>
  <c r="I39" i="583"/>
  <c r="G39" i="583"/>
  <c r="I38" i="583"/>
  <c r="G38" i="583"/>
  <c r="I37" i="583"/>
  <c r="G37" i="583"/>
  <c r="I36" i="583"/>
  <c r="G36" i="583"/>
  <c r="I35" i="583"/>
  <c r="G35" i="583"/>
  <c r="I34" i="583"/>
  <c r="G34" i="583"/>
  <c r="I31" i="583"/>
  <c r="G31" i="583"/>
  <c r="I30" i="583"/>
  <c r="G30" i="583"/>
  <c r="I29" i="583"/>
  <c r="G29" i="583"/>
  <c r="I28" i="583"/>
  <c r="G28" i="583"/>
  <c r="I27" i="583"/>
  <c r="G27" i="583"/>
  <c r="I26" i="583"/>
  <c r="G26" i="583"/>
  <c r="I23" i="583"/>
  <c r="G23" i="583"/>
  <c r="I22" i="583"/>
  <c r="G22" i="583"/>
  <c r="I21" i="583"/>
  <c r="G21" i="583"/>
  <c r="I18" i="583"/>
  <c r="G18" i="583"/>
  <c r="I17" i="583"/>
  <c r="G17" i="583"/>
  <c r="I16" i="583"/>
  <c r="G16" i="583"/>
  <c r="I15" i="583"/>
  <c r="G15" i="583"/>
  <c r="I14" i="583"/>
  <c r="G14" i="583"/>
  <c r="I13" i="583"/>
  <c r="G13" i="583"/>
  <c r="I12" i="583"/>
  <c r="G12" i="583"/>
  <c r="I11" i="583"/>
  <c r="G11" i="583"/>
  <c r="I10" i="583"/>
  <c r="G10" i="583"/>
  <c r="E48" i="582"/>
  <c r="F10" i="582"/>
  <c r="F11" i="582"/>
  <c r="F12" i="582"/>
  <c r="F13" i="582"/>
  <c r="F14" i="582"/>
  <c r="F15" i="582"/>
  <c r="F16" i="582"/>
  <c r="F17" i="582"/>
  <c r="F18" i="582"/>
  <c r="F21" i="582"/>
  <c r="F22" i="582"/>
  <c r="F23" i="582"/>
  <c r="F26" i="582"/>
  <c r="F27" i="582"/>
  <c r="F28" i="582"/>
  <c r="F29" i="582"/>
  <c r="F30" i="582"/>
  <c r="F31" i="582"/>
  <c r="F34" i="582"/>
  <c r="F35" i="582"/>
  <c r="F36" i="582"/>
  <c r="F37" i="582"/>
  <c r="F38" i="582"/>
  <c r="F39" i="582"/>
  <c r="F42" i="582"/>
  <c r="F43" i="582"/>
  <c r="F44" i="582"/>
  <c r="F45" i="582"/>
  <c r="G45" i="582" s="1"/>
  <c r="C24" i="581"/>
  <c r="C48" i="581" s="1"/>
  <c r="H48" i="581"/>
  <c r="H50" i="581" s="1"/>
  <c r="E6" i="581" s="1"/>
  <c r="H24" i="580"/>
  <c r="E19" i="580"/>
  <c r="H19" i="580"/>
  <c r="C19" i="580" s="1"/>
  <c r="H24" i="579"/>
  <c r="E19" i="579"/>
  <c r="H19" i="579"/>
  <c r="C19" i="579" s="1"/>
  <c r="H24" i="578"/>
  <c r="E19" i="578"/>
  <c r="H19" i="578"/>
  <c r="C19" i="578" s="1"/>
  <c r="H10" i="577"/>
  <c r="H11" i="577"/>
  <c r="H12" i="577"/>
  <c r="H13" i="577"/>
  <c r="H14" i="577"/>
  <c r="H15" i="577"/>
  <c r="H16" i="577"/>
  <c r="H17" i="577"/>
  <c r="H18" i="577"/>
  <c r="E19" i="577"/>
  <c r="H21" i="577"/>
  <c r="H22" i="577"/>
  <c r="H23" i="577"/>
  <c r="H26" i="577"/>
  <c r="D32" i="577"/>
  <c r="H27" i="577"/>
  <c r="H28" i="577"/>
  <c r="H29" i="577"/>
  <c r="H30" i="577"/>
  <c r="H31" i="577"/>
  <c r="H34" i="577"/>
  <c r="D40" i="577"/>
  <c r="H35" i="577"/>
  <c r="H36" i="577"/>
  <c r="H37" i="577"/>
  <c r="H38" i="577"/>
  <c r="H39" i="577"/>
  <c r="H42" i="577"/>
  <c r="D46" i="577"/>
  <c r="H43" i="577"/>
  <c r="H44" i="577"/>
  <c r="D34" i="576"/>
  <c r="D26" i="576"/>
  <c r="D42" i="576"/>
  <c r="C45" i="576"/>
  <c r="C44" i="576"/>
  <c r="C43" i="576"/>
  <c r="C42" i="576"/>
  <c r="C39" i="576"/>
  <c r="C38" i="576"/>
  <c r="C37" i="576"/>
  <c r="C36" i="576"/>
  <c r="C35" i="576"/>
  <c r="C34" i="576"/>
  <c r="C31" i="576"/>
  <c r="C30" i="576"/>
  <c r="C29" i="576"/>
  <c r="C28" i="576"/>
  <c r="C27" i="576"/>
  <c r="C26" i="576"/>
  <c r="D24" i="576"/>
  <c r="C23" i="576"/>
  <c r="C22" i="576"/>
  <c r="C21" i="576"/>
  <c r="D19" i="576"/>
  <c r="E17" i="576" s="1"/>
  <c r="E18" i="576"/>
  <c r="C18" i="576"/>
  <c r="C17" i="576"/>
  <c r="E16" i="576"/>
  <c r="C16" i="576"/>
  <c r="C15" i="576"/>
  <c r="E14" i="576"/>
  <c r="C14" i="576"/>
  <c r="C13" i="576"/>
  <c r="E12" i="576"/>
  <c r="C12" i="576"/>
  <c r="C11" i="576"/>
  <c r="E10" i="576"/>
  <c r="C10" i="576"/>
  <c r="C7" i="576"/>
  <c r="G4" i="576"/>
  <c r="E4" i="576"/>
  <c r="I46" i="606" l="1"/>
  <c r="F46" i="606" s="1"/>
  <c r="G46" i="606" s="1"/>
  <c r="E11" i="576"/>
  <c r="E13" i="576"/>
  <c r="E15" i="576"/>
  <c r="I19" i="584"/>
  <c r="F19" i="584" s="1"/>
  <c r="G19" i="584" s="1"/>
  <c r="I32" i="584"/>
  <c r="F32" i="584" s="1"/>
  <c r="G32" i="584" s="1"/>
  <c r="I40" i="584"/>
  <c r="F40" i="584" s="1"/>
  <c r="G40" i="584" s="1"/>
  <c r="I46" i="584"/>
  <c r="F46" i="584" s="1"/>
  <c r="G46" i="584" s="1"/>
  <c r="I32" i="606"/>
  <c r="F32" i="606" s="1"/>
  <c r="G32" i="606" s="1"/>
  <c r="I24" i="606"/>
  <c r="F24" i="606" s="1"/>
  <c r="G24" i="606" s="1"/>
  <c r="I19" i="583"/>
  <c r="F19" i="583" s="1"/>
  <c r="G19" i="583" s="1"/>
  <c r="I32" i="583"/>
  <c r="F32" i="583" s="1"/>
  <c r="G32" i="583" s="1"/>
  <c r="I40" i="583"/>
  <c r="F40" i="583" s="1"/>
  <c r="G40" i="583" s="1"/>
  <c r="I46" i="583"/>
  <c r="F46" i="583" s="1"/>
  <c r="G46" i="583" s="1"/>
  <c r="I40" i="606"/>
  <c r="F40" i="606" s="1"/>
  <c r="G40" i="606" s="1"/>
  <c r="I19" i="606"/>
  <c r="F19" i="606" s="1"/>
  <c r="G19" i="606" s="1"/>
  <c r="A54" i="592"/>
  <c r="I51" i="592"/>
  <c r="F50" i="592"/>
  <c r="G6" i="592"/>
  <c r="G5" i="592"/>
  <c r="I50" i="591"/>
  <c r="F48" i="591"/>
  <c r="I50" i="590"/>
  <c r="F48" i="590"/>
  <c r="I50" i="589"/>
  <c r="F48" i="589"/>
  <c r="I50" i="588"/>
  <c r="F48" i="588"/>
  <c r="F24" i="587"/>
  <c r="G24" i="587" s="1"/>
  <c r="I48" i="587"/>
  <c r="F24" i="586"/>
  <c r="G24" i="586" s="1"/>
  <c r="I48" i="586"/>
  <c r="F24" i="585"/>
  <c r="G24" i="585" s="1"/>
  <c r="I48" i="585"/>
  <c r="I24" i="584"/>
  <c r="I24" i="583"/>
  <c r="I44" i="582"/>
  <c r="G44" i="582"/>
  <c r="I43" i="582"/>
  <c r="G43" i="582"/>
  <c r="I42" i="582"/>
  <c r="G42" i="582"/>
  <c r="I39" i="582"/>
  <c r="G39" i="582"/>
  <c r="I38" i="582"/>
  <c r="G38" i="582"/>
  <c r="I37" i="582"/>
  <c r="G37" i="582"/>
  <c r="I36" i="582"/>
  <c r="G36" i="582"/>
  <c r="I35" i="582"/>
  <c r="G35" i="582"/>
  <c r="I34" i="582"/>
  <c r="G34" i="582"/>
  <c r="I31" i="582"/>
  <c r="G31" i="582"/>
  <c r="I30" i="582"/>
  <c r="G30" i="582"/>
  <c r="I29" i="582"/>
  <c r="G29" i="582"/>
  <c r="I28" i="582"/>
  <c r="G28" i="582"/>
  <c r="I27" i="582"/>
  <c r="G27" i="582"/>
  <c r="I26" i="582"/>
  <c r="G26" i="582"/>
  <c r="I23" i="582"/>
  <c r="G23" i="582"/>
  <c r="I22" i="582"/>
  <c r="G22" i="582"/>
  <c r="I21" i="582"/>
  <c r="G21" i="582"/>
  <c r="I18" i="582"/>
  <c r="G18" i="582"/>
  <c r="I17" i="582"/>
  <c r="G17" i="582"/>
  <c r="I16" i="582"/>
  <c r="G16" i="582"/>
  <c r="I15" i="582"/>
  <c r="G15" i="582"/>
  <c r="I14" i="582"/>
  <c r="G14" i="582"/>
  <c r="I13" i="582"/>
  <c r="G13" i="582"/>
  <c r="I12" i="582"/>
  <c r="G12" i="582"/>
  <c r="I11" i="582"/>
  <c r="G11" i="582"/>
  <c r="I10" i="582"/>
  <c r="G10" i="582"/>
  <c r="F10" i="581"/>
  <c r="F11" i="581"/>
  <c r="F12" i="581"/>
  <c r="F13" i="581"/>
  <c r="F14" i="581"/>
  <c r="F15" i="581"/>
  <c r="F16" i="581"/>
  <c r="F17" i="581"/>
  <c r="F18" i="581"/>
  <c r="F21" i="581"/>
  <c r="F22" i="581"/>
  <c r="F23" i="581"/>
  <c r="F26" i="581"/>
  <c r="F27" i="581"/>
  <c r="F28" i="581"/>
  <c r="F29" i="581"/>
  <c r="F30" i="581"/>
  <c r="F31" i="581"/>
  <c r="F34" i="581"/>
  <c r="F35" i="581"/>
  <c r="F36" i="581"/>
  <c r="F37" i="581"/>
  <c r="F38" i="581"/>
  <c r="F39" i="581"/>
  <c r="F42" i="581"/>
  <c r="F43" i="581"/>
  <c r="F44" i="581"/>
  <c r="F45" i="581"/>
  <c r="G45" i="581" s="1"/>
  <c r="C24" i="580"/>
  <c r="C24" i="579"/>
  <c r="C24" i="578"/>
  <c r="H46" i="577"/>
  <c r="C46" i="577" s="1"/>
  <c r="H40" i="577"/>
  <c r="C40" i="577" s="1"/>
  <c r="D50" i="577"/>
  <c r="D48" i="577"/>
  <c r="H32" i="577"/>
  <c r="C32" i="577" s="1"/>
  <c r="H24" i="577"/>
  <c r="H19" i="577"/>
  <c r="C19" i="577" s="1"/>
  <c r="H10" i="576"/>
  <c r="H11" i="576"/>
  <c r="H12" i="576"/>
  <c r="H13" i="576"/>
  <c r="H14" i="576"/>
  <c r="H15" i="576"/>
  <c r="H16" i="576"/>
  <c r="H17" i="576"/>
  <c r="H18" i="576"/>
  <c r="E19" i="576"/>
  <c r="H21" i="576"/>
  <c r="H22" i="576"/>
  <c r="H23" i="576"/>
  <c r="H26" i="576"/>
  <c r="D32" i="576"/>
  <c r="H27" i="576"/>
  <c r="H28" i="576"/>
  <c r="H29" i="576"/>
  <c r="H30" i="576"/>
  <c r="H31" i="576"/>
  <c r="H34" i="576"/>
  <c r="D40" i="576"/>
  <c r="H35" i="576"/>
  <c r="H36" i="576"/>
  <c r="H37" i="576"/>
  <c r="H38" i="576"/>
  <c r="H39" i="576"/>
  <c r="H42" i="576"/>
  <c r="D46" i="576"/>
  <c r="H43" i="576"/>
  <c r="H44" i="576"/>
  <c r="D34" i="575"/>
  <c r="D26" i="575"/>
  <c r="D42" i="575"/>
  <c r="C45" i="575"/>
  <c r="C44" i="575"/>
  <c r="C43" i="575"/>
  <c r="C42" i="575"/>
  <c r="C39" i="575"/>
  <c r="C38" i="575"/>
  <c r="C37" i="575"/>
  <c r="C36" i="575"/>
  <c r="C35" i="575"/>
  <c r="C34" i="575"/>
  <c r="C31" i="575"/>
  <c r="C30" i="575"/>
  <c r="C29" i="575"/>
  <c r="C28" i="575"/>
  <c r="C27" i="575"/>
  <c r="C26" i="575"/>
  <c r="D24" i="575"/>
  <c r="C23" i="575"/>
  <c r="C22" i="575"/>
  <c r="C21" i="575"/>
  <c r="D19" i="575"/>
  <c r="E18" i="575" s="1"/>
  <c r="C18" i="575"/>
  <c r="C17" i="575"/>
  <c r="C16" i="575"/>
  <c r="C15" i="575"/>
  <c r="C14" i="575"/>
  <c r="C13" i="575"/>
  <c r="C12" i="575"/>
  <c r="C11" i="575"/>
  <c r="C10" i="575"/>
  <c r="C7" i="575"/>
  <c r="G4" i="575"/>
  <c r="E4" i="575"/>
  <c r="D46" i="574"/>
  <c r="C45" i="574"/>
  <c r="C44" i="574"/>
  <c r="C43" i="574"/>
  <c r="C42" i="574"/>
  <c r="D40" i="574"/>
  <c r="C39" i="574"/>
  <c r="C38" i="574"/>
  <c r="C37" i="574"/>
  <c r="C36" i="574"/>
  <c r="C35" i="574"/>
  <c r="C34" i="574"/>
  <c r="D32" i="574"/>
  <c r="C31" i="574"/>
  <c r="C30" i="574"/>
  <c r="C29" i="574"/>
  <c r="C28" i="574"/>
  <c r="C27" i="574"/>
  <c r="C26" i="574"/>
  <c r="D24" i="574"/>
  <c r="C23" i="574"/>
  <c r="C22" i="574"/>
  <c r="C21" i="574"/>
  <c r="D19" i="574"/>
  <c r="E18" i="574" s="1"/>
  <c r="C18" i="574"/>
  <c r="C17" i="574"/>
  <c r="C16" i="574"/>
  <c r="C15" i="574"/>
  <c r="C14" i="574"/>
  <c r="C13" i="574"/>
  <c r="C12" i="574"/>
  <c r="C11" i="574"/>
  <c r="C10" i="574"/>
  <c r="C7" i="574"/>
  <c r="G4" i="574"/>
  <c r="E4" i="574"/>
  <c r="D26" i="573"/>
  <c r="D31" i="573"/>
  <c r="D31" i="605" s="1"/>
  <c r="D46" i="573"/>
  <c r="C45" i="573"/>
  <c r="C44" i="573"/>
  <c r="C43" i="573"/>
  <c r="C42" i="573"/>
  <c r="D40" i="573"/>
  <c r="C39" i="573"/>
  <c r="C38" i="573"/>
  <c r="C37" i="573"/>
  <c r="C36" i="573"/>
  <c r="C35" i="573"/>
  <c r="C34" i="573"/>
  <c r="C31" i="573"/>
  <c r="C30" i="573"/>
  <c r="C29" i="573"/>
  <c r="C28" i="573"/>
  <c r="C27" i="573"/>
  <c r="C26" i="573"/>
  <c r="D24" i="573"/>
  <c r="C23" i="573"/>
  <c r="C22" i="573"/>
  <c r="C21" i="573"/>
  <c r="D19" i="573"/>
  <c r="E18" i="573" s="1"/>
  <c r="C18" i="573"/>
  <c r="C17" i="573"/>
  <c r="C16" i="573"/>
  <c r="C15" i="573"/>
  <c r="C14" i="573"/>
  <c r="C13" i="573"/>
  <c r="C12" i="573"/>
  <c r="E11" i="573"/>
  <c r="C11" i="573"/>
  <c r="C10" i="573"/>
  <c r="C7" i="573"/>
  <c r="G4" i="573"/>
  <c r="E4" i="573"/>
  <c r="D46" i="572"/>
  <c r="C45" i="572"/>
  <c r="C44" i="572"/>
  <c r="C43" i="572"/>
  <c r="C42" i="572"/>
  <c r="D40" i="572"/>
  <c r="C39" i="572"/>
  <c r="C38" i="572"/>
  <c r="C37" i="572"/>
  <c r="C36" i="572"/>
  <c r="C35" i="572"/>
  <c r="C34" i="572"/>
  <c r="D32" i="572"/>
  <c r="C31" i="572"/>
  <c r="C30" i="572"/>
  <c r="C29" i="572"/>
  <c r="C28" i="572"/>
  <c r="C27" i="572"/>
  <c r="C26" i="572"/>
  <c r="D24" i="572"/>
  <c r="C23" i="572"/>
  <c r="C22" i="572"/>
  <c r="C21" i="572"/>
  <c r="D19" i="572"/>
  <c r="E18" i="572" s="1"/>
  <c r="C18" i="572"/>
  <c r="C17" i="572"/>
  <c r="C16" i="572"/>
  <c r="C15" i="572"/>
  <c r="C14" i="572"/>
  <c r="C13" i="572"/>
  <c r="C12" i="572"/>
  <c r="C11" i="572"/>
  <c r="C10" i="572"/>
  <c r="C7" i="572"/>
  <c r="G4" i="572"/>
  <c r="E4" i="572"/>
  <c r="E10" i="574" l="1"/>
  <c r="E16" i="574"/>
  <c r="E14" i="574"/>
  <c r="E12" i="574"/>
  <c r="E11" i="574"/>
  <c r="E13" i="574"/>
  <c r="E15" i="574"/>
  <c r="E17" i="574"/>
  <c r="I19" i="582"/>
  <c r="F19" i="582" s="1"/>
  <c r="G19" i="582" s="1"/>
  <c r="I32" i="582"/>
  <c r="F32" i="582" s="1"/>
  <c r="G32" i="582" s="1"/>
  <c r="I40" i="582"/>
  <c r="F40" i="582" s="1"/>
  <c r="G40" i="582" s="1"/>
  <c r="I46" i="582"/>
  <c r="F46" i="582" s="1"/>
  <c r="G46" i="582" s="1"/>
  <c r="E11" i="572"/>
  <c r="E13" i="572"/>
  <c r="E15" i="572"/>
  <c r="E17" i="572"/>
  <c r="E10" i="572"/>
  <c r="E12" i="572"/>
  <c r="E14" i="572"/>
  <c r="E16" i="572"/>
  <c r="E11" i="575"/>
  <c r="E13" i="575"/>
  <c r="E15" i="575"/>
  <c r="E17" i="575"/>
  <c r="I48" i="606"/>
  <c r="E13" i="573"/>
  <c r="E15" i="573"/>
  <c r="E17" i="573"/>
  <c r="E10" i="573"/>
  <c r="E12" i="573"/>
  <c r="E14" i="573"/>
  <c r="E16" i="573"/>
  <c r="D32" i="573"/>
  <c r="D48" i="573" s="1"/>
  <c r="E24" i="573" s="1"/>
  <c r="E10" i="575"/>
  <c r="E12" i="575"/>
  <c r="E14" i="575"/>
  <c r="E16" i="575"/>
  <c r="D31" i="603"/>
  <c r="H31" i="605"/>
  <c r="A54" i="591"/>
  <c r="I51" i="591"/>
  <c r="F50" i="591"/>
  <c r="G6" i="591"/>
  <c r="G5" i="591"/>
  <c r="A54" i="590"/>
  <c r="I51" i="590"/>
  <c r="F50" i="590"/>
  <c r="G6" i="590"/>
  <c r="G5" i="590"/>
  <c r="A54" i="589"/>
  <c r="I51" i="589"/>
  <c r="F50" i="589"/>
  <c r="G6" i="589"/>
  <c r="G5" i="589"/>
  <c r="A54" i="588"/>
  <c r="I51" i="588"/>
  <c r="F50" i="588"/>
  <c r="G6" i="588"/>
  <c r="G5" i="588"/>
  <c r="I50" i="587"/>
  <c r="F48" i="587"/>
  <c r="I50" i="586"/>
  <c r="F48" i="586"/>
  <c r="I50" i="585"/>
  <c r="F48" i="585"/>
  <c r="F24" i="584"/>
  <c r="G24" i="584" s="1"/>
  <c r="I48" i="584"/>
  <c r="F48" i="584" s="1"/>
  <c r="F24" i="583"/>
  <c r="G24" i="583" s="1"/>
  <c r="I48" i="583"/>
  <c r="I24" i="582"/>
  <c r="I44" i="581"/>
  <c r="G44" i="581"/>
  <c r="I43" i="581"/>
  <c r="G43" i="581"/>
  <c r="I42" i="581"/>
  <c r="G42" i="581"/>
  <c r="I39" i="581"/>
  <c r="G39" i="581"/>
  <c r="I38" i="581"/>
  <c r="G38" i="581"/>
  <c r="I37" i="581"/>
  <c r="G37" i="581"/>
  <c r="I36" i="581"/>
  <c r="G36" i="581"/>
  <c r="I35" i="581"/>
  <c r="G35" i="581"/>
  <c r="I34" i="581"/>
  <c r="G34" i="581"/>
  <c r="I31" i="581"/>
  <c r="G31" i="581"/>
  <c r="I30" i="581"/>
  <c r="G30" i="581"/>
  <c r="I29" i="581"/>
  <c r="G29" i="581"/>
  <c r="I28" i="581"/>
  <c r="G28" i="581"/>
  <c r="I27" i="581"/>
  <c r="G27" i="581"/>
  <c r="I26" i="581"/>
  <c r="G26" i="581"/>
  <c r="I23" i="581"/>
  <c r="G23" i="581"/>
  <c r="I22" i="581"/>
  <c r="G22" i="581"/>
  <c r="I21" i="581"/>
  <c r="G21" i="581"/>
  <c r="I18" i="581"/>
  <c r="G18" i="581"/>
  <c r="I17" i="581"/>
  <c r="G17" i="581"/>
  <c r="I16" i="581"/>
  <c r="G16" i="581"/>
  <c r="I15" i="581"/>
  <c r="G15" i="581"/>
  <c r="I14" i="581"/>
  <c r="G14" i="581"/>
  <c r="I13" i="581"/>
  <c r="G13" i="581"/>
  <c r="I12" i="581"/>
  <c r="G12" i="581"/>
  <c r="I11" i="581"/>
  <c r="G11" i="581"/>
  <c r="I10" i="581"/>
  <c r="G10" i="581"/>
  <c r="C24" i="577"/>
  <c r="C48" i="577" s="1"/>
  <c r="H48" i="577"/>
  <c r="H50" i="577" s="1"/>
  <c r="E6" i="577" s="1"/>
  <c r="E45" i="577"/>
  <c r="E44" i="577"/>
  <c r="E43" i="577"/>
  <c r="E39" i="577"/>
  <c r="E38" i="577"/>
  <c r="E37" i="577"/>
  <c r="E36" i="577"/>
  <c r="E35" i="577"/>
  <c r="E31" i="577"/>
  <c r="E30" i="577"/>
  <c r="E29" i="577"/>
  <c r="E28" i="577"/>
  <c r="E27" i="577"/>
  <c r="E23" i="577"/>
  <c r="E22" i="577"/>
  <c r="E21" i="577"/>
  <c r="E24" i="577"/>
  <c r="E26" i="577"/>
  <c r="E34" i="577"/>
  <c r="E42" i="577"/>
  <c r="E46" i="577"/>
  <c r="A52" i="577" s="1"/>
  <c r="E40" i="577"/>
  <c r="E32" i="577"/>
  <c r="J50" i="577"/>
  <c r="E50" i="577"/>
  <c r="H46" i="576"/>
  <c r="C46" i="576" s="1"/>
  <c r="H40" i="576"/>
  <c r="C40" i="576" s="1"/>
  <c r="D50" i="576"/>
  <c r="D48" i="576"/>
  <c r="H32" i="576"/>
  <c r="C32" i="576" s="1"/>
  <c r="H24" i="576"/>
  <c r="H19" i="576"/>
  <c r="C19" i="576" s="1"/>
  <c r="H10" i="575"/>
  <c r="H11" i="575"/>
  <c r="H12" i="575"/>
  <c r="H13" i="575"/>
  <c r="H14" i="575"/>
  <c r="H15" i="575"/>
  <c r="H16" i="575"/>
  <c r="H17" i="575"/>
  <c r="H18" i="575"/>
  <c r="E19" i="575"/>
  <c r="H21" i="575"/>
  <c r="H22" i="575"/>
  <c r="H23" i="575"/>
  <c r="H26" i="575"/>
  <c r="D32" i="575"/>
  <c r="H27" i="575"/>
  <c r="H28" i="575"/>
  <c r="H29" i="575"/>
  <c r="H30" i="575"/>
  <c r="H31" i="575"/>
  <c r="H34" i="575"/>
  <c r="D40" i="575"/>
  <c r="H35" i="575"/>
  <c r="H36" i="575"/>
  <c r="H37" i="575"/>
  <c r="H38" i="575"/>
  <c r="H39" i="575"/>
  <c r="H42" i="575"/>
  <c r="D46" i="575"/>
  <c r="H43" i="575"/>
  <c r="H44" i="575"/>
  <c r="H10" i="574"/>
  <c r="H11" i="574"/>
  <c r="H12" i="574"/>
  <c r="H13" i="574"/>
  <c r="H14" i="574"/>
  <c r="H15" i="574"/>
  <c r="H16" i="574"/>
  <c r="H17" i="574"/>
  <c r="H18" i="574"/>
  <c r="D50" i="574"/>
  <c r="E19" i="574"/>
  <c r="H21" i="574"/>
  <c r="H22" i="574"/>
  <c r="H23" i="574"/>
  <c r="D48" i="574"/>
  <c r="E24" i="574" s="1"/>
  <c r="H26" i="574"/>
  <c r="H27" i="574"/>
  <c r="H28" i="574"/>
  <c r="H29" i="574"/>
  <c r="H30" i="574"/>
  <c r="H31" i="574"/>
  <c r="H34" i="574"/>
  <c r="H35" i="574"/>
  <c r="H36" i="574"/>
  <c r="H37" i="574"/>
  <c r="H38" i="574"/>
  <c r="H39" i="574"/>
  <c r="H42" i="574"/>
  <c r="H43" i="574"/>
  <c r="H44" i="574"/>
  <c r="H10" i="573"/>
  <c r="H11" i="573"/>
  <c r="H12" i="573"/>
  <c r="H13" i="573"/>
  <c r="H14" i="573"/>
  <c r="H15" i="573"/>
  <c r="H16" i="573"/>
  <c r="H17" i="573"/>
  <c r="H18" i="573"/>
  <c r="D50" i="573"/>
  <c r="E19" i="573"/>
  <c r="H21" i="573"/>
  <c r="H22" i="573"/>
  <c r="H23" i="573"/>
  <c r="H26" i="573"/>
  <c r="H27" i="573"/>
  <c r="H28" i="573"/>
  <c r="H29" i="573"/>
  <c r="H30" i="573"/>
  <c r="H31" i="573"/>
  <c r="H34" i="573"/>
  <c r="H35" i="573"/>
  <c r="H36" i="573"/>
  <c r="H37" i="573"/>
  <c r="H38" i="573"/>
  <c r="H39" i="573"/>
  <c r="H42" i="573"/>
  <c r="H43" i="573"/>
  <c r="H44" i="573"/>
  <c r="H10" i="572"/>
  <c r="H11" i="572"/>
  <c r="H12" i="572"/>
  <c r="H13" i="572"/>
  <c r="H14" i="572"/>
  <c r="H15" i="572"/>
  <c r="H16" i="572"/>
  <c r="H17" i="572"/>
  <c r="H18" i="572"/>
  <c r="D50" i="572"/>
  <c r="E19" i="572"/>
  <c r="H21" i="572"/>
  <c r="H22" i="572"/>
  <c r="H23" i="572"/>
  <c r="D48" i="572"/>
  <c r="E24" i="572" s="1"/>
  <c r="H26" i="572"/>
  <c r="H27" i="572"/>
  <c r="H28" i="572"/>
  <c r="H29" i="572"/>
  <c r="H30" i="572"/>
  <c r="H31" i="572"/>
  <c r="H34" i="572"/>
  <c r="H35" i="572"/>
  <c r="H36" i="572"/>
  <c r="H37" i="572"/>
  <c r="H38" i="572"/>
  <c r="H39" i="572"/>
  <c r="H42" i="572"/>
  <c r="H43" i="572"/>
  <c r="H44" i="572"/>
  <c r="D26" i="571"/>
  <c r="D15" i="571"/>
  <c r="D19" i="571" s="1"/>
  <c r="D46" i="571"/>
  <c r="C45" i="571"/>
  <c r="C44" i="571"/>
  <c r="C43" i="571"/>
  <c r="C42" i="571"/>
  <c r="D40" i="571"/>
  <c r="C39" i="571"/>
  <c r="C38" i="571"/>
  <c r="C37" i="571"/>
  <c r="C36" i="571"/>
  <c r="C35" i="571"/>
  <c r="C34" i="571"/>
  <c r="C31" i="571"/>
  <c r="C30" i="571"/>
  <c r="C29" i="571"/>
  <c r="C28" i="571"/>
  <c r="C27" i="571"/>
  <c r="C26" i="571"/>
  <c r="D24" i="571"/>
  <c r="C23" i="571"/>
  <c r="C22" i="571"/>
  <c r="C21" i="571"/>
  <c r="C18" i="571"/>
  <c r="C17" i="571"/>
  <c r="C16" i="571"/>
  <c r="C15" i="571"/>
  <c r="C14" i="571"/>
  <c r="C13" i="571"/>
  <c r="C12" i="571"/>
  <c r="C11" i="571"/>
  <c r="C10" i="571"/>
  <c r="C7" i="571"/>
  <c r="G4" i="571"/>
  <c r="E4" i="571"/>
  <c r="E17" i="571" l="1"/>
  <c r="E12" i="571"/>
  <c r="I19" i="581"/>
  <c r="F19" i="581" s="1"/>
  <c r="G19" i="581" s="1"/>
  <c r="I32" i="581"/>
  <c r="F32" i="581" s="1"/>
  <c r="G32" i="581" s="1"/>
  <c r="E10" i="571"/>
  <c r="E14" i="571"/>
  <c r="E32" i="573"/>
  <c r="E46" i="573"/>
  <c r="A52" i="573" s="1"/>
  <c r="E40" i="573"/>
  <c r="E32" i="572"/>
  <c r="E46" i="574"/>
  <c r="A52" i="574" s="1"/>
  <c r="E40" i="574"/>
  <c r="E16" i="571"/>
  <c r="E18" i="571"/>
  <c r="E32" i="574"/>
  <c r="E11" i="571"/>
  <c r="E13" i="571"/>
  <c r="E15" i="571"/>
  <c r="E46" i="572"/>
  <c r="A52" i="572" s="1"/>
  <c r="E40" i="572"/>
  <c r="I50" i="584"/>
  <c r="I50" i="606"/>
  <c r="F48" i="606"/>
  <c r="I40" i="581"/>
  <c r="F40" i="581" s="1"/>
  <c r="G40" i="581" s="1"/>
  <c r="I46" i="581"/>
  <c r="F46" i="581" s="1"/>
  <c r="G46" i="581" s="1"/>
  <c r="H31" i="603"/>
  <c r="A54" i="587"/>
  <c r="I51" i="587"/>
  <c r="F50" i="587"/>
  <c r="G6" i="587"/>
  <c r="G5" i="587"/>
  <c r="A54" i="586"/>
  <c r="I51" i="586"/>
  <c r="F50" i="586"/>
  <c r="G6" i="586"/>
  <c r="G5" i="586"/>
  <c r="A54" i="585"/>
  <c r="I51" i="585"/>
  <c r="F50" i="585"/>
  <c r="G6" i="585"/>
  <c r="G5" i="585"/>
  <c r="A54" i="584"/>
  <c r="I51" i="584"/>
  <c r="F50" i="584"/>
  <c r="G6" i="584"/>
  <c r="G5" i="584"/>
  <c r="I50" i="583"/>
  <c r="F48" i="583"/>
  <c r="F24" i="582"/>
  <c r="G24" i="582" s="1"/>
  <c r="I48" i="582"/>
  <c r="I24" i="581"/>
  <c r="E48" i="577"/>
  <c r="F10" i="577"/>
  <c r="F11" i="577"/>
  <c r="F12" i="577"/>
  <c r="F13" i="577"/>
  <c r="F14" i="577"/>
  <c r="F15" i="577"/>
  <c r="F16" i="577"/>
  <c r="F17" i="577"/>
  <c r="F18" i="577"/>
  <c r="F21" i="577"/>
  <c r="F22" i="577"/>
  <c r="F23" i="577"/>
  <c r="F26" i="577"/>
  <c r="F27" i="577"/>
  <c r="F28" i="577"/>
  <c r="F29" i="577"/>
  <c r="F30" i="577"/>
  <c r="F31" i="577"/>
  <c r="F34" i="577"/>
  <c r="F35" i="577"/>
  <c r="F36" i="577"/>
  <c r="F37" i="577"/>
  <c r="F38" i="577"/>
  <c r="F39" i="577"/>
  <c r="F42" i="577"/>
  <c r="F43" i="577"/>
  <c r="F44" i="577"/>
  <c r="F45" i="577"/>
  <c r="G45" i="577" s="1"/>
  <c r="C24" i="576"/>
  <c r="C48" i="576" s="1"/>
  <c r="H48" i="576"/>
  <c r="H50" i="576" s="1"/>
  <c r="E6" i="576" s="1"/>
  <c r="E45" i="576"/>
  <c r="E44" i="576"/>
  <c r="E43" i="576"/>
  <c r="E39" i="576"/>
  <c r="E38" i="576"/>
  <c r="E37" i="576"/>
  <c r="E36" i="576"/>
  <c r="E35" i="576"/>
  <c r="E31" i="576"/>
  <c r="E30" i="576"/>
  <c r="E29" i="576"/>
  <c r="E28" i="576"/>
  <c r="E27" i="576"/>
  <c r="E23" i="576"/>
  <c r="E22" i="576"/>
  <c r="E21" i="576"/>
  <c r="E24" i="576"/>
  <c r="E26" i="576"/>
  <c r="E34" i="576"/>
  <c r="E42" i="576"/>
  <c r="E46" i="576"/>
  <c r="A52" i="576" s="1"/>
  <c r="E40" i="576"/>
  <c r="E32" i="576"/>
  <c r="J50" i="576"/>
  <c r="E50" i="576"/>
  <c r="H46" i="575"/>
  <c r="C46" i="575" s="1"/>
  <c r="H40" i="575"/>
  <c r="C40" i="575" s="1"/>
  <c r="D50" i="575"/>
  <c r="D48" i="575"/>
  <c r="H32" i="575"/>
  <c r="C32" i="575" s="1"/>
  <c r="H24" i="575"/>
  <c r="H19" i="575"/>
  <c r="C19" i="575" s="1"/>
  <c r="H46" i="574"/>
  <c r="C46" i="574" s="1"/>
  <c r="H40" i="574"/>
  <c r="C40" i="574" s="1"/>
  <c r="H32" i="574"/>
  <c r="C32" i="574" s="1"/>
  <c r="E45" i="574"/>
  <c r="E44" i="574"/>
  <c r="E43" i="574"/>
  <c r="E42" i="574"/>
  <c r="E39" i="574"/>
  <c r="E38" i="574"/>
  <c r="E37" i="574"/>
  <c r="E36" i="574"/>
  <c r="E35" i="574"/>
  <c r="E34" i="574"/>
  <c r="E31" i="574"/>
  <c r="E30" i="574"/>
  <c r="E29" i="574"/>
  <c r="E28" i="574"/>
  <c r="E27" i="574"/>
  <c r="E26" i="574"/>
  <c r="E23" i="574"/>
  <c r="E22" i="574"/>
  <c r="E21" i="574"/>
  <c r="H24" i="574"/>
  <c r="J50" i="574"/>
  <c r="E50" i="574"/>
  <c r="H19" i="574"/>
  <c r="C19" i="574" s="1"/>
  <c r="H46" i="573"/>
  <c r="C46" i="573" s="1"/>
  <c r="H40" i="573"/>
  <c r="C40" i="573" s="1"/>
  <c r="H32" i="573"/>
  <c r="C32" i="573" s="1"/>
  <c r="E45" i="573"/>
  <c r="E44" i="573"/>
  <c r="E43" i="573"/>
  <c r="E42" i="573"/>
  <c r="E39" i="573"/>
  <c r="E38" i="573"/>
  <c r="E37" i="573"/>
  <c r="E36" i="573"/>
  <c r="E35" i="573"/>
  <c r="E34" i="573"/>
  <c r="E31" i="573"/>
  <c r="E30" i="573"/>
  <c r="E29" i="573"/>
  <c r="E28" i="573"/>
  <c r="E27" i="573"/>
  <c r="E26" i="573"/>
  <c r="E23" i="573"/>
  <c r="E22" i="573"/>
  <c r="E21" i="573"/>
  <c r="H24" i="573"/>
  <c r="J50" i="573"/>
  <c r="E50" i="573"/>
  <c r="H19" i="573"/>
  <c r="C19" i="573" s="1"/>
  <c r="H46" i="572"/>
  <c r="C46" i="572" s="1"/>
  <c r="H40" i="572"/>
  <c r="C40" i="572" s="1"/>
  <c r="H32" i="572"/>
  <c r="C32" i="572" s="1"/>
  <c r="E45" i="572"/>
  <c r="E44" i="572"/>
  <c r="E43" i="572"/>
  <c r="E42" i="572"/>
  <c r="E39" i="572"/>
  <c r="E38" i="572"/>
  <c r="E37" i="572"/>
  <c r="E36" i="572"/>
  <c r="E35" i="572"/>
  <c r="E34" i="572"/>
  <c r="E31" i="572"/>
  <c r="E30" i="572"/>
  <c r="E29" i="572"/>
  <c r="E28" i="572"/>
  <c r="E27" i="572"/>
  <c r="E26" i="572"/>
  <c r="E23" i="572"/>
  <c r="E22" i="572"/>
  <c r="E21" i="572"/>
  <c r="H24" i="572"/>
  <c r="J50" i="572"/>
  <c r="E50" i="572"/>
  <c r="H19" i="572"/>
  <c r="C19" i="572" s="1"/>
  <c r="H10" i="571"/>
  <c r="H11" i="571"/>
  <c r="H12" i="571"/>
  <c r="H13" i="571"/>
  <c r="H14" i="571"/>
  <c r="H15" i="571"/>
  <c r="H16" i="571"/>
  <c r="H17" i="571"/>
  <c r="H18" i="571"/>
  <c r="E19" i="571"/>
  <c r="H21" i="571"/>
  <c r="H22" i="571"/>
  <c r="H23" i="571"/>
  <c r="H26" i="571"/>
  <c r="D32" i="571"/>
  <c r="H27" i="571"/>
  <c r="H28" i="571"/>
  <c r="H29" i="571"/>
  <c r="H30" i="571"/>
  <c r="H31" i="571"/>
  <c r="H34" i="571"/>
  <c r="H35" i="571"/>
  <c r="H36" i="571"/>
  <c r="H37" i="571"/>
  <c r="H38" i="571"/>
  <c r="H39" i="571"/>
  <c r="H42" i="571"/>
  <c r="H43" i="571"/>
  <c r="H44" i="571"/>
  <c r="D34" i="570"/>
  <c r="D26" i="570"/>
  <c r="D42" i="570"/>
  <c r="C45" i="570"/>
  <c r="C44" i="570"/>
  <c r="C43" i="570"/>
  <c r="C42" i="570"/>
  <c r="C39" i="570"/>
  <c r="C38" i="570"/>
  <c r="C37" i="570"/>
  <c r="C36" i="570"/>
  <c r="C35" i="570"/>
  <c r="C34" i="570"/>
  <c r="C31" i="570"/>
  <c r="C30" i="570"/>
  <c r="C29" i="570"/>
  <c r="C28" i="570"/>
  <c r="C27" i="570"/>
  <c r="C26" i="570"/>
  <c r="D24" i="570"/>
  <c r="C23" i="570"/>
  <c r="C22" i="570"/>
  <c r="C21" i="570"/>
  <c r="D19" i="570"/>
  <c r="E18" i="570"/>
  <c r="C18" i="570"/>
  <c r="E17" i="570"/>
  <c r="C17" i="570"/>
  <c r="E16" i="570"/>
  <c r="C16" i="570"/>
  <c r="E15" i="570"/>
  <c r="C15" i="570"/>
  <c r="E14" i="570"/>
  <c r="C14" i="570"/>
  <c r="E13" i="570"/>
  <c r="C13" i="570"/>
  <c r="E12" i="570"/>
  <c r="C12" i="570"/>
  <c r="E11" i="570"/>
  <c r="C11" i="570"/>
  <c r="E10" i="570"/>
  <c r="C10" i="570"/>
  <c r="C7" i="570"/>
  <c r="G4" i="570"/>
  <c r="E4" i="570"/>
  <c r="D46" i="569"/>
  <c r="C45" i="569"/>
  <c r="C44" i="569"/>
  <c r="C43" i="569"/>
  <c r="C42" i="569"/>
  <c r="D40" i="569"/>
  <c r="C39" i="569"/>
  <c r="C38" i="569"/>
  <c r="C37" i="569"/>
  <c r="C36" i="569"/>
  <c r="C35" i="569"/>
  <c r="C34" i="569"/>
  <c r="D32" i="569"/>
  <c r="C31" i="569"/>
  <c r="C30" i="569"/>
  <c r="C29" i="569"/>
  <c r="C28" i="569"/>
  <c r="C27" i="569"/>
  <c r="C26" i="569"/>
  <c r="D24" i="569"/>
  <c r="C23" i="569"/>
  <c r="C22" i="569"/>
  <c r="C21" i="569"/>
  <c r="D19" i="569"/>
  <c r="E18" i="569" s="1"/>
  <c r="C18" i="569"/>
  <c r="C17" i="569"/>
  <c r="C16" i="569"/>
  <c r="C15" i="569"/>
  <c r="C14" i="569"/>
  <c r="C13" i="569"/>
  <c r="C12" i="569"/>
  <c r="C11" i="569"/>
  <c r="C10" i="569"/>
  <c r="C7" i="569"/>
  <c r="G4" i="569"/>
  <c r="E4" i="569"/>
  <c r="C45" i="568"/>
  <c r="C44" i="568"/>
  <c r="C43" i="568"/>
  <c r="C42" i="568"/>
  <c r="D40" i="568"/>
  <c r="C39" i="568"/>
  <c r="C38" i="568"/>
  <c r="C37" i="568"/>
  <c r="C36" i="568"/>
  <c r="C35" i="568"/>
  <c r="C34" i="568"/>
  <c r="C31" i="568"/>
  <c r="C30" i="568"/>
  <c r="C29" i="568"/>
  <c r="C28" i="568"/>
  <c r="C27" i="568"/>
  <c r="C26" i="568"/>
  <c r="D24" i="568"/>
  <c r="C23" i="568"/>
  <c r="C22" i="568"/>
  <c r="C21" i="568"/>
  <c r="D19" i="568"/>
  <c r="E18" i="568" s="1"/>
  <c r="C18" i="568"/>
  <c r="C17" i="568"/>
  <c r="C16" i="568"/>
  <c r="C15" i="568"/>
  <c r="C14" i="568"/>
  <c r="C13" i="568"/>
  <c r="C12" i="568"/>
  <c r="C11" i="568"/>
  <c r="C10" i="568"/>
  <c r="C7" i="568"/>
  <c r="G4" i="568"/>
  <c r="E4" i="568"/>
  <c r="D26" i="567"/>
  <c r="D46" i="567"/>
  <c r="C45" i="567"/>
  <c r="C44" i="567"/>
  <c r="C43" i="567"/>
  <c r="C42" i="567"/>
  <c r="D40" i="567"/>
  <c r="C39" i="567"/>
  <c r="C38" i="567"/>
  <c r="C37" i="567"/>
  <c r="C36" i="567"/>
  <c r="C35" i="567"/>
  <c r="C34" i="567"/>
  <c r="D32" i="567"/>
  <c r="C31" i="567"/>
  <c r="C30" i="567"/>
  <c r="C29" i="567"/>
  <c r="C28" i="567"/>
  <c r="C27" i="567"/>
  <c r="C26" i="567"/>
  <c r="D24" i="567"/>
  <c r="C23" i="567"/>
  <c r="C22" i="567"/>
  <c r="C21" i="567"/>
  <c r="D19" i="567"/>
  <c r="E17" i="567" s="1"/>
  <c r="C18" i="567"/>
  <c r="C17" i="567"/>
  <c r="C16" i="567"/>
  <c r="E15" i="567"/>
  <c r="C15" i="567"/>
  <c r="E14" i="567"/>
  <c r="C14" i="567"/>
  <c r="E13" i="567"/>
  <c r="C13" i="567"/>
  <c r="E12" i="567"/>
  <c r="C12" i="567"/>
  <c r="E11" i="567"/>
  <c r="C11" i="567"/>
  <c r="E10" i="567"/>
  <c r="C10" i="567"/>
  <c r="C7" i="567"/>
  <c r="G4" i="567"/>
  <c r="E4" i="567"/>
  <c r="E13" i="568" l="1"/>
  <c r="E17" i="568"/>
  <c r="E11" i="568"/>
  <c r="E15" i="568"/>
  <c r="E10" i="568"/>
  <c r="E12" i="568"/>
  <c r="E14" i="568"/>
  <c r="E16" i="568"/>
  <c r="E11" i="569"/>
  <c r="E13" i="569"/>
  <c r="E15" i="569"/>
  <c r="E17" i="569"/>
  <c r="E10" i="569"/>
  <c r="E12" i="569"/>
  <c r="E14" i="569"/>
  <c r="E16" i="569"/>
  <c r="E48" i="573"/>
  <c r="E48" i="574"/>
  <c r="E16" i="567"/>
  <c r="E18" i="567"/>
  <c r="I51" i="606"/>
  <c r="G5" i="606"/>
  <c r="F50" i="606"/>
  <c r="G6" i="606"/>
  <c r="A54" i="606"/>
  <c r="E48" i="572"/>
  <c r="A54" i="583"/>
  <c r="I51" i="583"/>
  <c r="F50" i="583"/>
  <c r="G6" i="583"/>
  <c r="G5" i="583"/>
  <c r="I50" i="582"/>
  <c r="F48" i="582"/>
  <c r="F24" i="581"/>
  <c r="G24" i="581" s="1"/>
  <c r="I48" i="581"/>
  <c r="I44" i="577"/>
  <c r="G44" i="577"/>
  <c r="I43" i="577"/>
  <c r="G43" i="577"/>
  <c r="I42" i="577"/>
  <c r="G42" i="577"/>
  <c r="I39" i="577"/>
  <c r="G39" i="577"/>
  <c r="I38" i="577"/>
  <c r="G38" i="577"/>
  <c r="I37" i="577"/>
  <c r="G37" i="577"/>
  <c r="I36" i="577"/>
  <c r="G36" i="577"/>
  <c r="I35" i="577"/>
  <c r="G35" i="577"/>
  <c r="I34" i="577"/>
  <c r="G34" i="577"/>
  <c r="I31" i="577"/>
  <c r="G31" i="577"/>
  <c r="I30" i="577"/>
  <c r="G30" i="577"/>
  <c r="I29" i="577"/>
  <c r="G29" i="577"/>
  <c r="I28" i="577"/>
  <c r="G28" i="577"/>
  <c r="I27" i="577"/>
  <c r="G27" i="577"/>
  <c r="I26" i="577"/>
  <c r="G26" i="577"/>
  <c r="I23" i="577"/>
  <c r="G23" i="577"/>
  <c r="I22" i="577"/>
  <c r="G22" i="577"/>
  <c r="I21" i="577"/>
  <c r="G21" i="577"/>
  <c r="I18" i="577"/>
  <c r="G18" i="577"/>
  <c r="I17" i="577"/>
  <c r="G17" i="577"/>
  <c r="I16" i="577"/>
  <c r="G16" i="577"/>
  <c r="I15" i="577"/>
  <c r="G15" i="577"/>
  <c r="I14" i="577"/>
  <c r="G14" i="577"/>
  <c r="I13" i="577"/>
  <c r="G13" i="577"/>
  <c r="I12" i="577"/>
  <c r="G12" i="577"/>
  <c r="I11" i="577"/>
  <c r="G11" i="577"/>
  <c r="I10" i="577"/>
  <c r="G10" i="577"/>
  <c r="E48" i="576"/>
  <c r="F10" i="576"/>
  <c r="F11" i="576"/>
  <c r="F12" i="576"/>
  <c r="F13" i="576"/>
  <c r="F14" i="576"/>
  <c r="F15" i="576"/>
  <c r="F16" i="576"/>
  <c r="F17" i="576"/>
  <c r="F18" i="576"/>
  <c r="F21" i="576"/>
  <c r="F22" i="576"/>
  <c r="F23" i="576"/>
  <c r="F26" i="576"/>
  <c r="F27" i="576"/>
  <c r="F28" i="576"/>
  <c r="F29" i="576"/>
  <c r="F30" i="576"/>
  <c r="F31" i="576"/>
  <c r="F34" i="576"/>
  <c r="F35" i="576"/>
  <c r="F36" i="576"/>
  <c r="F37" i="576"/>
  <c r="F38" i="576"/>
  <c r="F39" i="576"/>
  <c r="F42" i="576"/>
  <c r="F43" i="576"/>
  <c r="F44" i="576"/>
  <c r="F45" i="576"/>
  <c r="G45" i="576" s="1"/>
  <c r="C24" i="575"/>
  <c r="C48" i="575" s="1"/>
  <c r="H48" i="575"/>
  <c r="H50" i="575" s="1"/>
  <c r="E6" i="575" s="1"/>
  <c r="E45" i="575"/>
  <c r="E44" i="575"/>
  <c r="E43" i="575"/>
  <c r="E39" i="575"/>
  <c r="E38" i="575"/>
  <c r="E37" i="575"/>
  <c r="E36" i="575"/>
  <c r="E35" i="575"/>
  <c r="E31" i="575"/>
  <c r="E30" i="575"/>
  <c r="E29" i="575"/>
  <c r="E28" i="575"/>
  <c r="E27" i="575"/>
  <c r="E23" i="575"/>
  <c r="E22" i="575"/>
  <c r="E21" i="575"/>
  <c r="E24" i="575"/>
  <c r="E26" i="575"/>
  <c r="E34" i="575"/>
  <c r="E42" i="575"/>
  <c r="E46" i="575"/>
  <c r="A52" i="575" s="1"/>
  <c r="E40" i="575"/>
  <c r="E32" i="575"/>
  <c r="J50" i="575"/>
  <c r="E50" i="575"/>
  <c r="C24" i="574"/>
  <c r="C48" i="574" s="1"/>
  <c r="H48" i="574"/>
  <c r="H50" i="574" s="1"/>
  <c r="E6" i="574" s="1"/>
  <c r="C24" i="573"/>
  <c r="C48" i="573" s="1"/>
  <c r="H48" i="573"/>
  <c r="H50" i="573" s="1"/>
  <c r="E6" i="573" s="1"/>
  <c r="C24" i="572"/>
  <c r="C48" i="572" s="1"/>
  <c r="H48" i="572"/>
  <c r="H50" i="572" s="1"/>
  <c r="E6" i="572" s="1"/>
  <c r="H46" i="571"/>
  <c r="C46" i="571" s="1"/>
  <c r="H40" i="571"/>
  <c r="C40" i="571" s="1"/>
  <c r="D50" i="571"/>
  <c r="D48" i="571"/>
  <c r="H32" i="571"/>
  <c r="C32" i="571" s="1"/>
  <c r="H24" i="571"/>
  <c r="H19" i="571"/>
  <c r="C19" i="571" s="1"/>
  <c r="H10" i="570"/>
  <c r="H11" i="570"/>
  <c r="H12" i="570"/>
  <c r="H13" i="570"/>
  <c r="H14" i="570"/>
  <c r="H15" i="570"/>
  <c r="H16" i="570"/>
  <c r="H17" i="570"/>
  <c r="H18" i="570"/>
  <c r="E19" i="570"/>
  <c r="H21" i="570"/>
  <c r="H22" i="570"/>
  <c r="H23" i="570"/>
  <c r="H26" i="570"/>
  <c r="D32" i="570"/>
  <c r="H27" i="570"/>
  <c r="H28" i="570"/>
  <c r="H29" i="570"/>
  <c r="H30" i="570"/>
  <c r="H31" i="570"/>
  <c r="H34" i="570"/>
  <c r="D40" i="570"/>
  <c r="H35" i="570"/>
  <c r="H36" i="570"/>
  <c r="H37" i="570"/>
  <c r="H38" i="570"/>
  <c r="H39" i="570"/>
  <c r="H42" i="570"/>
  <c r="D46" i="570"/>
  <c r="H43" i="570"/>
  <c r="H44" i="570"/>
  <c r="H10" i="569"/>
  <c r="H11" i="569"/>
  <c r="H12" i="569"/>
  <c r="H13" i="569"/>
  <c r="H14" i="569"/>
  <c r="H15" i="569"/>
  <c r="H16" i="569"/>
  <c r="H17" i="569"/>
  <c r="H18" i="569"/>
  <c r="D50" i="569"/>
  <c r="E19" i="569"/>
  <c r="H21" i="569"/>
  <c r="H22" i="569"/>
  <c r="H23" i="569"/>
  <c r="D48" i="569"/>
  <c r="E24" i="569" s="1"/>
  <c r="H26" i="569"/>
  <c r="H27" i="569"/>
  <c r="H28" i="569"/>
  <c r="H29" i="569"/>
  <c r="H30" i="569"/>
  <c r="H31" i="569"/>
  <c r="H34" i="569"/>
  <c r="H35" i="569"/>
  <c r="H36" i="569"/>
  <c r="H37" i="569"/>
  <c r="H38" i="569"/>
  <c r="H39" i="569"/>
  <c r="H42" i="569"/>
  <c r="H43" i="569"/>
  <c r="H44" i="569"/>
  <c r="H10" i="568"/>
  <c r="H11" i="568"/>
  <c r="H12" i="568"/>
  <c r="H13" i="568"/>
  <c r="H14" i="568"/>
  <c r="H15" i="568"/>
  <c r="H16" i="568"/>
  <c r="H17" i="568"/>
  <c r="H18" i="568"/>
  <c r="E19" i="568"/>
  <c r="H21" i="568"/>
  <c r="H22" i="568"/>
  <c r="H23" i="568"/>
  <c r="H26" i="568"/>
  <c r="D32" i="568"/>
  <c r="H27" i="568"/>
  <c r="H28" i="568"/>
  <c r="H29" i="568"/>
  <c r="H30" i="568"/>
  <c r="H31" i="568"/>
  <c r="H34" i="568"/>
  <c r="H35" i="568"/>
  <c r="H36" i="568"/>
  <c r="H37" i="568"/>
  <c r="H38" i="568"/>
  <c r="H39" i="568"/>
  <c r="H42" i="568"/>
  <c r="D46" i="568"/>
  <c r="H43" i="568"/>
  <c r="H44" i="568"/>
  <c r="H10" i="567"/>
  <c r="H11" i="567"/>
  <c r="H12" i="567"/>
  <c r="H13" i="567"/>
  <c r="H14" i="567"/>
  <c r="H15" i="567"/>
  <c r="H16" i="567"/>
  <c r="H17" i="567"/>
  <c r="H18" i="567"/>
  <c r="D50" i="567"/>
  <c r="E19" i="567"/>
  <c r="H21" i="567"/>
  <c r="H22" i="567"/>
  <c r="H23" i="567"/>
  <c r="D48" i="567"/>
  <c r="E24" i="567" s="1"/>
  <c r="H26" i="567"/>
  <c r="H27" i="567"/>
  <c r="H28" i="567"/>
  <c r="H29" i="567"/>
  <c r="H30" i="567"/>
  <c r="H31" i="567"/>
  <c r="H34" i="567"/>
  <c r="H35" i="567"/>
  <c r="H36" i="567"/>
  <c r="H37" i="567"/>
  <c r="H38" i="567"/>
  <c r="H39" i="567"/>
  <c r="H42" i="567"/>
  <c r="H43" i="567"/>
  <c r="H44" i="567"/>
  <c r="D34" i="566"/>
  <c r="D40" i="566" s="1"/>
  <c r="D26" i="566"/>
  <c r="D42" i="566"/>
  <c r="D46" i="566" s="1"/>
  <c r="C45" i="566"/>
  <c r="C44" i="566"/>
  <c r="C43" i="566"/>
  <c r="C42" i="566"/>
  <c r="C39" i="566"/>
  <c r="C38" i="566"/>
  <c r="C37" i="566"/>
  <c r="C36" i="566"/>
  <c r="C35" i="566"/>
  <c r="C34" i="566"/>
  <c r="C31" i="566"/>
  <c r="C30" i="566"/>
  <c r="C29" i="566"/>
  <c r="C28" i="566"/>
  <c r="C27" i="566"/>
  <c r="C26" i="566"/>
  <c r="D24" i="566"/>
  <c r="C23" i="566"/>
  <c r="C22" i="566"/>
  <c r="C21" i="566"/>
  <c r="D19" i="566"/>
  <c r="E18" i="566" s="1"/>
  <c r="C18" i="566"/>
  <c r="C17" i="566"/>
  <c r="C16" i="566"/>
  <c r="C15" i="566"/>
  <c r="C14" i="566"/>
  <c r="C13" i="566"/>
  <c r="C12" i="566"/>
  <c r="C11" i="566"/>
  <c r="C10" i="566"/>
  <c r="C7" i="566"/>
  <c r="G4" i="566"/>
  <c r="E4" i="566"/>
  <c r="E32" i="569" l="1"/>
  <c r="E17" i="566"/>
  <c r="E32" i="567"/>
  <c r="E46" i="569"/>
  <c r="A52" i="569" s="1"/>
  <c r="E40" i="569"/>
  <c r="E46" i="567"/>
  <c r="A52" i="567" s="1"/>
  <c r="E40" i="567"/>
  <c r="E11" i="566"/>
  <c r="E13" i="566"/>
  <c r="E15" i="566"/>
  <c r="E10" i="566"/>
  <c r="E12" i="566"/>
  <c r="E14" i="566"/>
  <c r="I19" i="577"/>
  <c r="F19" i="577" s="1"/>
  <c r="G19" i="577" s="1"/>
  <c r="I32" i="577"/>
  <c r="F32" i="577" s="1"/>
  <c r="G32" i="577" s="1"/>
  <c r="I40" i="577"/>
  <c r="F40" i="577" s="1"/>
  <c r="G40" i="577" s="1"/>
  <c r="I46" i="577"/>
  <c r="F46" i="577" s="1"/>
  <c r="G46" i="577" s="1"/>
  <c r="E16" i="566"/>
  <c r="A54" i="582"/>
  <c r="I51" i="582"/>
  <c r="F50" i="582"/>
  <c r="G6" i="582"/>
  <c r="G5" i="582"/>
  <c r="I50" i="581"/>
  <c r="F48" i="581"/>
  <c r="I24" i="577"/>
  <c r="I44" i="576"/>
  <c r="G44" i="576"/>
  <c r="I43" i="576"/>
  <c r="G43" i="576"/>
  <c r="I42" i="576"/>
  <c r="G42" i="576"/>
  <c r="I39" i="576"/>
  <c r="G39" i="576"/>
  <c r="I38" i="576"/>
  <c r="G38" i="576"/>
  <c r="I37" i="576"/>
  <c r="G37" i="576"/>
  <c r="I36" i="576"/>
  <c r="G36" i="576"/>
  <c r="I35" i="576"/>
  <c r="G35" i="576"/>
  <c r="I34" i="576"/>
  <c r="G34" i="576"/>
  <c r="I31" i="576"/>
  <c r="G31" i="576"/>
  <c r="I30" i="576"/>
  <c r="G30" i="576"/>
  <c r="I29" i="576"/>
  <c r="G29" i="576"/>
  <c r="I28" i="576"/>
  <c r="G28" i="576"/>
  <c r="I27" i="576"/>
  <c r="G27" i="576"/>
  <c r="I26" i="576"/>
  <c r="G26" i="576"/>
  <c r="I23" i="576"/>
  <c r="G23" i="576"/>
  <c r="I22" i="576"/>
  <c r="G22" i="576"/>
  <c r="I21" i="576"/>
  <c r="G21" i="576"/>
  <c r="I18" i="576"/>
  <c r="G18" i="576"/>
  <c r="I17" i="576"/>
  <c r="G17" i="576"/>
  <c r="I16" i="576"/>
  <c r="G16" i="576"/>
  <c r="I15" i="576"/>
  <c r="G15" i="576"/>
  <c r="I14" i="576"/>
  <c r="G14" i="576"/>
  <c r="I13" i="576"/>
  <c r="G13" i="576"/>
  <c r="I12" i="576"/>
  <c r="G12" i="576"/>
  <c r="I11" i="576"/>
  <c r="G11" i="576"/>
  <c r="I10" i="576"/>
  <c r="G10" i="576"/>
  <c r="E48" i="575"/>
  <c r="F10" i="575"/>
  <c r="F11" i="575"/>
  <c r="F12" i="575"/>
  <c r="F13" i="575"/>
  <c r="F14" i="575"/>
  <c r="F15" i="575"/>
  <c r="F16" i="575"/>
  <c r="F17" i="575"/>
  <c r="F18" i="575"/>
  <c r="F21" i="575"/>
  <c r="F22" i="575"/>
  <c r="F23" i="575"/>
  <c r="F26" i="575"/>
  <c r="F27" i="575"/>
  <c r="F28" i="575"/>
  <c r="F29" i="575"/>
  <c r="F30" i="575"/>
  <c r="F31" i="575"/>
  <c r="F34" i="575"/>
  <c r="F35" i="575"/>
  <c r="F36" i="575"/>
  <c r="F37" i="575"/>
  <c r="F38" i="575"/>
  <c r="F39" i="575"/>
  <c r="F42" i="575"/>
  <c r="F43" i="575"/>
  <c r="F44" i="575"/>
  <c r="F45" i="575"/>
  <c r="G45" i="575" s="1"/>
  <c r="F10" i="574"/>
  <c r="F11" i="574"/>
  <c r="F12" i="574"/>
  <c r="F13" i="574"/>
  <c r="F14" i="574"/>
  <c r="F15" i="574"/>
  <c r="F16" i="574"/>
  <c r="F17" i="574"/>
  <c r="F18" i="574"/>
  <c r="F21" i="574"/>
  <c r="F22" i="574"/>
  <c r="F23" i="574"/>
  <c r="F26" i="574"/>
  <c r="F27" i="574"/>
  <c r="F28" i="574"/>
  <c r="F29" i="574"/>
  <c r="F30" i="574"/>
  <c r="F31" i="574"/>
  <c r="F34" i="574"/>
  <c r="F35" i="574"/>
  <c r="F36" i="574"/>
  <c r="F37" i="574"/>
  <c r="F38" i="574"/>
  <c r="F39" i="574"/>
  <c r="F42" i="574"/>
  <c r="F43" i="574"/>
  <c r="F44" i="574"/>
  <c r="F45" i="574"/>
  <c r="G45" i="574" s="1"/>
  <c r="F10" i="573"/>
  <c r="F11" i="573"/>
  <c r="F12" i="573"/>
  <c r="F13" i="573"/>
  <c r="F14" i="573"/>
  <c r="F15" i="573"/>
  <c r="F16" i="573"/>
  <c r="F17" i="573"/>
  <c r="F18" i="573"/>
  <c r="F21" i="573"/>
  <c r="F22" i="573"/>
  <c r="F23" i="573"/>
  <c r="F26" i="573"/>
  <c r="F27" i="573"/>
  <c r="F28" i="573"/>
  <c r="F29" i="573"/>
  <c r="F30" i="573"/>
  <c r="F31" i="573"/>
  <c r="F34" i="573"/>
  <c r="F35" i="573"/>
  <c r="F36" i="573"/>
  <c r="F37" i="573"/>
  <c r="F38" i="573"/>
  <c r="F39" i="573"/>
  <c r="F42" i="573"/>
  <c r="F43" i="573"/>
  <c r="F44" i="573"/>
  <c r="F45" i="573"/>
  <c r="G45" i="573" s="1"/>
  <c r="F10" i="572"/>
  <c r="F11" i="572"/>
  <c r="F12" i="572"/>
  <c r="F13" i="572"/>
  <c r="F14" i="572"/>
  <c r="F15" i="572"/>
  <c r="F16" i="572"/>
  <c r="F17" i="572"/>
  <c r="F18" i="572"/>
  <c r="F21" i="572"/>
  <c r="F22" i="572"/>
  <c r="F23" i="572"/>
  <c r="F26" i="572"/>
  <c r="F27" i="572"/>
  <c r="F28" i="572"/>
  <c r="F29" i="572"/>
  <c r="F30" i="572"/>
  <c r="F31" i="572"/>
  <c r="F34" i="572"/>
  <c r="F35" i="572"/>
  <c r="F36" i="572"/>
  <c r="F37" i="572"/>
  <c r="F38" i="572"/>
  <c r="F39" i="572"/>
  <c r="F42" i="572"/>
  <c r="F43" i="572"/>
  <c r="F44" i="572"/>
  <c r="F45" i="572"/>
  <c r="G45" i="572" s="1"/>
  <c r="C24" i="571"/>
  <c r="C48" i="571" s="1"/>
  <c r="H48" i="571"/>
  <c r="H50" i="571" s="1"/>
  <c r="E6" i="571" s="1"/>
  <c r="E45" i="571"/>
  <c r="E44" i="571"/>
  <c r="E43" i="571"/>
  <c r="E42" i="571"/>
  <c r="E39" i="571"/>
  <c r="E38" i="571"/>
  <c r="E37" i="571"/>
  <c r="E36" i="571"/>
  <c r="E35" i="571"/>
  <c r="E34" i="571"/>
  <c r="E31" i="571"/>
  <c r="E30" i="571"/>
  <c r="E29" i="571"/>
  <c r="E28" i="571"/>
  <c r="E27" i="571"/>
  <c r="E23" i="571"/>
  <c r="E22" i="571"/>
  <c r="E21" i="571"/>
  <c r="E24" i="571"/>
  <c r="E26" i="571"/>
  <c r="E40" i="571"/>
  <c r="E46" i="571"/>
  <c r="A52" i="571" s="1"/>
  <c r="E32" i="571"/>
  <c r="J50" i="571"/>
  <c r="E50" i="571"/>
  <c r="H46" i="570"/>
  <c r="C46" i="570" s="1"/>
  <c r="H40" i="570"/>
  <c r="C40" i="570" s="1"/>
  <c r="D50" i="570"/>
  <c r="D48" i="570"/>
  <c r="H32" i="570"/>
  <c r="C32" i="570" s="1"/>
  <c r="H24" i="570"/>
  <c r="H19" i="570"/>
  <c r="C19" i="570" s="1"/>
  <c r="H46" i="569"/>
  <c r="C46" i="569" s="1"/>
  <c r="H40" i="569"/>
  <c r="C40" i="569" s="1"/>
  <c r="H32" i="569"/>
  <c r="C32" i="569" s="1"/>
  <c r="E45" i="569"/>
  <c r="E44" i="569"/>
  <c r="E43" i="569"/>
  <c r="E42" i="569"/>
  <c r="E39" i="569"/>
  <c r="E38" i="569"/>
  <c r="E37" i="569"/>
  <c r="E36" i="569"/>
  <c r="E35" i="569"/>
  <c r="E34" i="569"/>
  <c r="E31" i="569"/>
  <c r="E30" i="569"/>
  <c r="E29" i="569"/>
  <c r="E28" i="569"/>
  <c r="E27" i="569"/>
  <c r="E26" i="569"/>
  <c r="E23" i="569"/>
  <c r="E22" i="569"/>
  <c r="E21" i="569"/>
  <c r="H24" i="569"/>
  <c r="J50" i="569"/>
  <c r="E50" i="569"/>
  <c r="H19" i="569"/>
  <c r="C19" i="569" s="1"/>
  <c r="H46" i="568"/>
  <c r="C46" i="568" s="1"/>
  <c r="H40" i="568"/>
  <c r="C40" i="568" s="1"/>
  <c r="D50" i="568"/>
  <c r="D48" i="568"/>
  <c r="H32" i="568"/>
  <c r="C32" i="568" s="1"/>
  <c r="H24" i="568"/>
  <c r="H19" i="568"/>
  <c r="C19" i="568" s="1"/>
  <c r="H46" i="567"/>
  <c r="C46" i="567" s="1"/>
  <c r="H40" i="567"/>
  <c r="C40" i="567" s="1"/>
  <c r="H32" i="567"/>
  <c r="C32" i="567" s="1"/>
  <c r="E45" i="567"/>
  <c r="E44" i="567"/>
  <c r="E43" i="567"/>
  <c r="E42" i="567"/>
  <c r="E39" i="567"/>
  <c r="E38" i="567"/>
  <c r="E37" i="567"/>
  <c r="E36" i="567"/>
  <c r="E35" i="567"/>
  <c r="E34" i="567"/>
  <c r="E31" i="567"/>
  <c r="E30" i="567"/>
  <c r="E29" i="567"/>
  <c r="E28" i="567"/>
  <c r="E27" i="567"/>
  <c r="E26" i="567"/>
  <c r="E23" i="567"/>
  <c r="E22" i="567"/>
  <c r="E21" i="567"/>
  <c r="H24" i="567"/>
  <c r="J50" i="567"/>
  <c r="E50" i="567"/>
  <c r="H19" i="567"/>
  <c r="C19" i="567" s="1"/>
  <c r="H10" i="566"/>
  <c r="H11" i="566"/>
  <c r="H12" i="566"/>
  <c r="H13" i="566"/>
  <c r="H14" i="566"/>
  <c r="H15" i="566"/>
  <c r="H16" i="566"/>
  <c r="H17" i="566"/>
  <c r="H18" i="566"/>
  <c r="E19" i="566"/>
  <c r="H21" i="566"/>
  <c r="H22" i="566"/>
  <c r="H23" i="566"/>
  <c r="H26" i="566"/>
  <c r="D32" i="566"/>
  <c r="H27" i="566"/>
  <c r="H28" i="566"/>
  <c r="H29" i="566"/>
  <c r="H30" i="566"/>
  <c r="H31" i="566"/>
  <c r="H34" i="566"/>
  <c r="H35" i="566"/>
  <c r="H36" i="566"/>
  <c r="H37" i="566"/>
  <c r="H38" i="566"/>
  <c r="H39" i="566"/>
  <c r="H42" i="566"/>
  <c r="H43" i="566"/>
  <c r="H44" i="566"/>
  <c r="D34" i="565"/>
  <c r="D26" i="565"/>
  <c r="D42" i="565"/>
  <c r="C45" i="565"/>
  <c r="C44" i="565"/>
  <c r="C43" i="565"/>
  <c r="C42" i="565"/>
  <c r="C39" i="565"/>
  <c r="C38" i="565"/>
  <c r="C37" i="565"/>
  <c r="C36" i="565"/>
  <c r="C35" i="565"/>
  <c r="C34" i="565"/>
  <c r="C31" i="565"/>
  <c r="C30" i="565"/>
  <c r="C29" i="565"/>
  <c r="C28" i="565"/>
  <c r="C27" i="565"/>
  <c r="C26" i="565"/>
  <c r="D24" i="565"/>
  <c r="C23" i="565"/>
  <c r="C22" i="565"/>
  <c r="C21" i="565"/>
  <c r="D19" i="565"/>
  <c r="E17" i="565" s="1"/>
  <c r="E18" i="565"/>
  <c r="C18" i="565"/>
  <c r="C17" i="565"/>
  <c r="E16" i="565"/>
  <c r="C16" i="565"/>
  <c r="C15" i="565"/>
  <c r="E14" i="565"/>
  <c r="C14" i="565"/>
  <c r="C13" i="565"/>
  <c r="E12" i="565"/>
  <c r="C12" i="565"/>
  <c r="C11" i="565"/>
  <c r="E10" i="565"/>
  <c r="C10" i="565"/>
  <c r="C7" i="565"/>
  <c r="G4" i="565"/>
  <c r="E4" i="565"/>
  <c r="D46" i="564"/>
  <c r="C45" i="564"/>
  <c r="C44" i="564"/>
  <c r="C43" i="564"/>
  <c r="C42" i="564"/>
  <c r="D40" i="564"/>
  <c r="C39" i="564"/>
  <c r="C38" i="564"/>
  <c r="C37" i="564"/>
  <c r="C36" i="564"/>
  <c r="C35" i="564"/>
  <c r="C34" i="564"/>
  <c r="C31" i="564"/>
  <c r="C30" i="564"/>
  <c r="C29" i="564"/>
  <c r="C28" i="564"/>
  <c r="C27" i="564"/>
  <c r="C26" i="564"/>
  <c r="D24" i="564"/>
  <c r="C23" i="564"/>
  <c r="C22" i="564"/>
  <c r="C21" i="564"/>
  <c r="D19" i="564"/>
  <c r="E18" i="564" s="1"/>
  <c r="C18" i="564"/>
  <c r="E17" i="564"/>
  <c r="C17" i="564"/>
  <c r="E16" i="564"/>
  <c r="C16" i="564"/>
  <c r="E15" i="564"/>
  <c r="C15" i="564"/>
  <c r="E14" i="564"/>
  <c r="C14" i="564"/>
  <c r="E13" i="564"/>
  <c r="C13" i="564"/>
  <c r="E12" i="564"/>
  <c r="C12" i="564"/>
  <c r="E11" i="564"/>
  <c r="C11" i="564"/>
  <c r="E10" i="564"/>
  <c r="C10" i="564"/>
  <c r="C7" i="564"/>
  <c r="G4" i="564"/>
  <c r="E4" i="564"/>
  <c r="D26" i="563"/>
  <c r="D46" i="563"/>
  <c r="C45" i="563"/>
  <c r="C44" i="563"/>
  <c r="C43" i="563"/>
  <c r="C42" i="563"/>
  <c r="D40" i="563"/>
  <c r="C39" i="563"/>
  <c r="C38" i="563"/>
  <c r="C37" i="563"/>
  <c r="C36" i="563"/>
  <c r="C35" i="563"/>
  <c r="C34" i="563"/>
  <c r="C31" i="563"/>
  <c r="C30" i="563"/>
  <c r="C29" i="563"/>
  <c r="C28" i="563"/>
  <c r="C27" i="563"/>
  <c r="C26" i="563"/>
  <c r="D24" i="563"/>
  <c r="C23" i="563"/>
  <c r="C22" i="563"/>
  <c r="C21" i="563"/>
  <c r="D19" i="563"/>
  <c r="E18" i="563" s="1"/>
  <c r="C18" i="563"/>
  <c r="E17" i="563"/>
  <c r="C17" i="563"/>
  <c r="E16" i="563"/>
  <c r="C16" i="563"/>
  <c r="E15" i="563"/>
  <c r="C15" i="563"/>
  <c r="E14" i="563"/>
  <c r="C14" i="563"/>
  <c r="E13" i="563"/>
  <c r="C13" i="563"/>
  <c r="E12" i="563"/>
  <c r="C12" i="563"/>
  <c r="E11" i="563"/>
  <c r="C11" i="563"/>
  <c r="E10" i="563"/>
  <c r="C10" i="563"/>
  <c r="C7" i="563"/>
  <c r="G4" i="563"/>
  <c r="E4" i="563"/>
  <c r="E11" i="565" l="1"/>
  <c r="E13" i="565"/>
  <c r="E15" i="565"/>
  <c r="E48" i="567"/>
  <c r="I19" i="576"/>
  <c r="F19" i="576" s="1"/>
  <c r="G19" i="576" s="1"/>
  <c r="I32" i="576"/>
  <c r="F32" i="576" s="1"/>
  <c r="G32" i="576" s="1"/>
  <c r="I40" i="576"/>
  <c r="F40" i="576" s="1"/>
  <c r="G40" i="576" s="1"/>
  <c r="I46" i="576"/>
  <c r="F46" i="576" s="1"/>
  <c r="G46" i="576" s="1"/>
  <c r="E48" i="569"/>
  <c r="A54" i="581"/>
  <c r="I51" i="581"/>
  <c r="F50" i="581"/>
  <c r="G6" i="581"/>
  <c r="G5" i="581"/>
  <c r="F24" i="577"/>
  <c r="G24" i="577" s="1"/>
  <c r="I48" i="577"/>
  <c r="I24" i="576"/>
  <c r="I44" i="575"/>
  <c r="G44" i="575"/>
  <c r="I43" i="575"/>
  <c r="G43" i="575"/>
  <c r="I42" i="575"/>
  <c r="G42" i="575"/>
  <c r="I39" i="575"/>
  <c r="G39" i="575"/>
  <c r="I38" i="575"/>
  <c r="G38" i="575"/>
  <c r="I37" i="575"/>
  <c r="G37" i="575"/>
  <c r="I36" i="575"/>
  <c r="G36" i="575"/>
  <c r="I35" i="575"/>
  <c r="G35" i="575"/>
  <c r="I34" i="575"/>
  <c r="G34" i="575"/>
  <c r="I31" i="575"/>
  <c r="G31" i="575"/>
  <c r="I30" i="575"/>
  <c r="G30" i="575"/>
  <c r="I29" i="575"/>
  <c r="G29" i="575"/>
  <c r="I28" i="575"/>
  <c r="G28" i="575"/>
  <c r="I27" i="575"/>
  <c r="G27" i="575"/>
  <c r="I26" i="575"/>
  <c r="G26" i="575"/>
  <c r="I23" i="575"/>
  <c r="G23" i="575"/>
  <c r="I22" i="575"/>
  <c r="G22" i="575"/>
  <c r="I21" i="575"/>
  <c r="G21" i="575"/>
  <c r="I18" i="575"/>
  <c r="G18" i="575"/>
  <c r="I17" i="575"/>
  <c r="G17" i="575"/>
  <c r="I16" i="575"/>
  <c r="G16" i="575"/>
  <c r="I15" i="575"/>
  <c r="G15" i="575"/>
  <c r="I14" i="575"/>
  <c r="G14" i="575"/>
  <c r="I13" i="575"/>
  <c r="G13" i="575"/>
  <c r="I12" i="575"/>
  <c r="G12" i="575"/>
  <c r="I11" i="575"/>
  <c r="G11" i="575"/>
  <c r="I10" i="575"/>
  <c r="G10" i="575"/>
  <c r="I44" i="574"/>
  <c r="G44" i="574"/>
  <c r="I43" i="574"/>
  <c r="G43" i="574"/>
  <c r="I42" i="574"/>
  <c r="G42" i="574"/>
  <c r="I39" i="574"/>
  <c r="G39" i="574"/>
  <c r="I38" i="574"/>
  <c r="G38" i="574"/>
  <c r="I37" i="574"/>
  <c r="G37" i="574"/>
  <c r="I36" i="574"/>
  <c r="G36" i="574"/>
  <c r="I35" i="574"/>
  <c r="G35" i="574"/>
  <c r="I34" i="574"/>
  <c r="G34" i="574"/>
  <c r="I31" i="574"/>
  <c r="G31" i="574"/>
  <c r="I30" i="574"/>
  <c r="G30" i="574"/>
  <c r="I29" i="574"/>
  <c r="G29" i="574"/>
  <c r="I28" i="574"/>
  <c r="G28" i="574"/>
  <c r="I27" i="574"/>
  <c r="G27" i="574"/>
  <c r="I26" i="574"/>
  <c r="G26" i="574"/>
  <c r="I23" i="574"/>
  <c r="G23" i="574"/>
  <c r="I22" i="574"/>
  <c r="G22" i="574"/>
  <c r="I21" i="574"/>
  <c r="G21" i="574"/>
  <c r="I18" i="574"/>
  <c r="G18" i="574"/>
  <c r="I17" i="574"/>
  <c r="G17" i="574"/>
  <c r="I16" i="574"/>
  <c r="G16" i="574"/>
  <c r="I15" i="574"/>
  <c r="G15" i="574"/>
  <c r="I14" i="574"/>
  <c r="G14" i="574"/>
  <c r="I13" i="574"/>
  <c r="G13" i="574"/>
  <c r="I12" i="574"/>
  <c r="G12" i="574"/>
  <c r="I11" i="574"/>
  <c r="G11" i="574"/>
  <c r="I10" i="574"/>
  <c r="G10" i="574"/>
  <c r="I44" i="573"/>
  <c r="G44" i="573"/>
  <c r="I43" i="573"/>
  <c r="G43" i="573"/>
  <c r="I42" i="573"/>
  <c r="G42" i="573"/>
  <c r="I39" i="573"/>
  <c r="G39" i="573"/>
  <c r="I38" i="573"/>
  <c r="G38" i="573"/>
  <c r="I37" i="573"/>
  <c r="G37" i="573"/>
  <c r="I36" i="573"/>
  <c r="G36" i="573"/>
  <c r="I35" i="573"/>
  <c r="G35" i="573"/>
  <c r="I34" i="573"/>
  <c r="G34" i="573"/>
  <c r="I31" i="573"/>
  <c r="G31" i="573"/>
  <c r="I30" i="573"/>
  <c r="G30" i="573"/>
  <c r="I29" i="573"/>
  <c r="G29" i="573"/>
  <c r="I28" i="573"/>
  <c r="G28" i="573"/>
  <c r="I27" i="573"/>
  <c r="G27" i="573"/>
  <c r="I26" i="573"/>
  <c r="G26" i="573"/>
  <c r="I23" i="573"/>
  <c r="G23" i="573"/>
  <c r="I22" i="573"/>
  <c r="G22" i="573"/>
  <c r="I21" i="573"/>
  <c r="G21" i="573"/>
  <c r="I18" i="573"/>
  <c r="G18" i="573"/>
  <c r="I17" i="573"/>
  <c r="G17" i="573"/>
  <c r="I16" i="573"/>
  <c r="G16" i="573"/>
  <c r="I15" i="573"/>
  <c r="G15" i="573"/>
  <c r="I14" i="573"/>
  <c r="G14" i="573"/>
  <c r="I13" i="573"/>
  <c r="G13" i="573"/>
  <c r="I12" i="573"/>
  <c r="G12" i="573"/>
  <c r="I11" i="573"/>
  <c r="G11" i="573"/>
  <c r="I10" i="573"/>
  <c r="G10" i="573"/>
  <c r="I44" i="572"/>
  <c r="G44" i="572"/>
  <c r="I43" i="572"/>
  <c r="G43" i="572"/>
  <c r="I42" i="572"/>
  <c r="G42" i="572"/>
  <c r="I39" i="572"/>
  <c r="G39" i="572"/>
  <c r="I38" i="572"/>
  <c r="G38" i="572"/>
  <c r="I37" i="572"/>
  <c r="G37" i="572"/>
  <c r="I36" i="572"/>
  <c r="G36" i="572"/>
  <c r="I35" i="572"/>
  <c r="G35" i="572"/>
  <c r="I34" i="572"/>
  <c r="G34" i="572"/>
  <c r="I31" i="572"/>
  <c r="G31" i="572"/>
  <c r="I30" i="572"/>
  <c r="G30" i="572"/>
  <c r="I29" i="572"/>
  <c r="G29" i="572"/>
  <c r="I28" i="572"/>
  <c r="G28" i="572"/>
  <c r="I27" i="572"/>
  <c r="G27" i="572"/>
  <c r="I26" i="572"/>
  <c r="G26" i="572"/>
  <c r="I23" i="572"/>
  <c r="G23" i="572"/>
  <c r="I22" i="572"/>
  <c r="G22" i="572"/>
  <c r="I21" i="572"/>
  <c r="G21" i="572"/>
  <c r="I18" i="572"/>
  <c r="G18" i="572"/>
  <c r="I17" i="572"/>
  <c r="G17" i="572"/>
  <c r="I16" i="572"/>
  <c r="G16" i="572"/>
  <c r="I15" i="572"/>
  <c r="G15" i="572"/>
  <c r="I14" i="572"/>
  <c r="G14" i="572"/>
  <c r="I13" i="572"/>
  <c r="G13" i="572"/>
  <c r="I12" i="572"/>
  <c r="G12" i="572"/>
  <c r="I11" i="572"/>
  <c r="G11" i="572"/>
  <c r="I10" i="572"/>
  <c r="G10" i="572"/>
  <c r="E48" i="571"/>
  <c r="F10" i="571"/>
  <c r="F11" i="571"/>
  <c r="F12" i="571"/>
  <c r="F13" i="571"/>
  <c r="F14" i="571"/>
  <c r="F15" i="571"/>
  <c r="F16" i="571"/>
  <c r="F17" i="571"/>
  <c r="F18" i="571"/>
  <c r="F21" i="571"/>
  <c r="F22" i="571"/>
  <c r="F23" i="571"/>
  <c r="F26" i="571"/>
  <c r="F27" i="571"/>
  <c r="F28" i="571"/>
  <c r="F29" i="571"/>
  <c r="F30" i="571"/>
  <c r="F31" i="571"/>
  <c r="F34" i="571"/>
  <c r="F35" i="571"/>
  <c r="F36" i="571"/>
  <c r="F37" i="571"/>
  <c r="F38" i="571"/>
  <c r="F39" i="571"/>
  <c r="F42" i="571"/>
  <c r="F43" i="571"/>
  <c r="F44" i="571"/>
  <c r="F45" i="571"/>
  <c r="G45" i="571" s="1"/>
  <c r="C24" i="570"/>
  <c r="C48" i="570" s="1"/>
  <c r="H48" i="570"/>
  <c r="H50" i="570" s="1"/>
  <c r="E6" i="570" s="1"/>
  <c r="E45" i="570"/>
  <c r="E44" i="570"/>
  <c r="E43" i="570"/>
  <c r="E39" i="570"/>
  <c r="E38" i="570"/>
  <c r="E37" i="570"/>
  <c r="E36" i="570"/>
  <c r="E35" i="570"/>
  <c r="E31" i="570"/>
  <c r="E30" i="570"/>
  <c r="E29" i="570"/>
  <c r="E28" i="570"/>
  <c r="E27" i="570"/>
  <c r="E23" i="570"/>
  <c r="E22" i="570"/>
  <c r="E21" i="570"/>
  <c r="E24" i="570"/>
  <c r="E26" i="570"/>
  <c r="E34" i="570"/>
  <c r="E42" i="570"/>
  <c r="E46" i="570"/>
  <c r="A52" i="570" s="1"/>
  <c r="E40" i="570"/>
  <c r="E32" i="570"/>
  <c r="J50" i="570"/>
  <c r="E50" i="570"/>
  <c r="C24" i="569"/>
  <c r="C48" i="569" s="1"/>
  <c r="H48" i="569"/>
  <c r="H50" i="569" s="1"/>
  <c r="E6" i="569" s="1"/>
  <c r="C24" i="568"/>
  <c r="C48" i="568" s="1"/>
  <c r="H48" i="568"/>
  <c r="H50" i="568" s="1"/>
  <c r="E6" i="568" s="1"/>
  <c r="E45" i="568"/>
  <c r="E44" i="568"/>
  <c r="E43" i="568"/>
  <c r="E39" i="568"/>
  <c r="E38" i="568"/>
  <c r="E37" i="568"/>
  <c r="E36" i="568"/>
  <c r="E35" i="568"/>
  <c r="E34" i="568"/>
  <c r="E31" i="568"/>
  <c r="E30" i="568"/>
  <c r="E29" i="568"/>
  <c r="E28" i="568"/>
  <c r="E27" i="568"/>
  <c r="E23" i="568"/>
  <c r="E22" i="568"/>
  <c r="E21" i="568"/>
  <c r="E24" i="568"/>
  <c r="E26" i="568"/>
  <c r="E40" i="568"/>
  <c r="E42" i="568"/>
  <c r="E46" i="568"/>
  <c r="A52" i="568" s="1"/>
  <c r="E32" i="568"/>
  <c r="J50" i="568"/>
  <c r="E50" i="568"/>
  <c r="C24" i="567"/>
  <c r="C48" i="567" s="1"/>
  <c r="H48" i="567"/>
  <c r="H50" i="567" s="1"/>
  <c r="E6" i="567" s="1"/>
  <c r="H46" i="566"/>
  <c r="C46" i="566" s="1"/>
  <c r="H40" i="566"/>
  <c r="C40" i="566" s="1"/>
  <c r="D50" i="566"/>
  <c r="D48" i="566"/>
  <c r="H32" i="566"/>
  <c r="C32" i="566" s="1"/>
  <c r="H24" i="566"/>
  <c r="H19" i="566"/>
  <c r="C19" i="566" s="1"/>
  <c r="H10" i="565"/>
  <c r="H11" i="565"/>
  <c r="H12" i="565"/>
  <c r="H13" i="565"/>
  <c r="H14" i="565"/>
  <c r="H15" i="565"/>
  <c r="H16" i="565"/>
  <c r="H17" i="565"/>
  <c r="H18" i="565"/>
  <c r="E19" i="565"/>
  <c r="H21" i="565"/>
  <c r="H22" i="565"/>
  <c r="H23" i="565"/>
  <c r="H26" i="565"/>
  <c r="D32" i="565"/>
  <c r="H27" i="565"/>
  <c r="H28" i="565"/>
  <c r="H29" i="565"/>
  <c r="H30" i="565"/>
  <c r="H31" i="565"/>
  <c r="H34" i="565"/>
  <c r="D40" i="565"/>
  <c r="H35" i="565"/>
  <c r="H36" i="565"/>
  <c r="H37" i="565"/>
  <c r="H38" i="565"/>
  <c r="H39" i="565"/>
  <c r="H42" i="565"/>
  <c r="D46" i="565"/>
  <c r="H43" i="565"/>
  <c r="H44" i="565"/>
  <c r="H10" i="564"/>
  <c r="H11" i="564"/>
  <c r="H12" i="564"/>
  <c r="H13" i="564"/>
  <c r="H14" i="564"/>
  <c r="H15" i="564"/>
  <c r="H16" i="564"/>
  <c r="H17" i="564"/>
  <c r="H18" i="564"/>
  <c r="E19" i="564"/>
  <c r="H21" i="564"/>
  <c r="H22" i="564"/>
  <c r="H23" i="564"/>
  <c r="H26" i="564"/>
  <c r="D32" i="564"/>
  <c r="H27" i="564"/>
  <c r="H28" i="564"/>
  <c r="H29" i="564"/>
  <c r="H30" i="564"/>
  <c r="H31" i="564"/>
  <c r="H34" i="564"/>
  <c r="H35" i="564"/>
  <c r="H36" i="564"/>
  <c r="H37" i="564"/>
  <c r="H38" i="564"/>
  <c r="H39" i="564"/>
  <c r="H42" i="564"/>
  <c r="H43" i="564"/>
  <c r="H44" i="564"/>
  <c r="H10" i="563"/>
  <c r="H11" i="563"/>
  <c r="H12" i="563"/>
  <c r="H13" i="563"/>
  <c r="H14" i="563"/>
  <c r="H15" i="563"/>
  <c r="H16" i="563"/>
  <c r="H17" i="563"/>
  <c r="H18" i="563"/>
  <c r="E19" i="563"/>
  <c r="H21" i="563"/>
  <c r="H22" i="563"/>
  <c r="H23" i="563"/>
  <c r="H26" i="563"/>
  <c r="D32" i="563"/>
  <c r="H27" i="563"/>
  <c r="H28" i="563"/>
  <c r="H29" i="563"/>
  <c r="H30" i="563"/>
  <c r="H31" i="563"/>
  <c r="H34" i="563"/>
  <c r="H35" i="563"/>
  <c r="H36" i="563"/>
  <c r="H37" i="563"/>
  <c r="H38" i="563"/>
  <c r="H39" i="563"/>
  <c r="H42" i="563"/>
  <c r="H43" i="563"/>
  <c r="H44" i="563"/>
  <c r="D26" i="562"/>
  <c r="C45" i="562"/>
  <c r="C44" i="562"/>
  <c r="C43" i="562"/>
  <c r="C42" i="562"/>
  <c r="C39" i="562"/>
  <c r="C38" i="562"/>
  <c r="C37" i="562"/>
  <c r="C36" i="562"/>
  <c r="C35" i="562"/>
  <c r="C34" i="562"/>
  <c r="C31" i="562"/>
  <c r="C30" i="562"/>
  <c r="C29" i="562"/>
  <c r="C28" i="562"/>
  <c r="C27" i="562"/>
  <c r="C26" i="562"/>
  <c r="D24" i="562"/>
  <c r="C23" i="562"/>
  <c r="C22" i="562"/>
  <c r="C21" i="562"/>
  <c r="D19" i="562"/>
  <c r="E18" i="562"/>
  <c r="C18" i="562"/>
  <c r="E17" i="562"/>
  <c r="C17" i="562"/>
  <c r="E16" i="562"/>
  <c r="C16" i="562"/>
  <c r="E15" i="562"/>
  <c r="C15" i="562"/>
  <c r="E14" i="562"/>
  <c r="C14" i="562"/>
  <c r="E13" i="562"/>
  <c r="C13" i="562"/>
  <c r="E12" i="562"/>
  <c r="C12" i="562"/>
  <c r="E11" i="562"/>
  <c r="C11" i="562"/>
  <c r="E10" i="562"/>
  <c r="C10" i="562"/>
  <c r="C7" i="562"/>
  <c r="G4" i="562"/>
  <c r="E4" i="562"/>
  <c r="I19" i="572" l="1"/>
  <c r="F19" i="572" s="1"/>
  <c r="G19" i="572" s="1"/>
  <c r="I40" i="572"/>
  <c r="F40" i="572" s="1"/>
  <c r="G40" i="572" s="1"/>
  <c r="I46" i="572"/>
  <c r="F46" i="572" s="1"/>
  <c r="G46" i="572" s="1"/>
  <c r="I19" i="574"/>
  <c r="F19" i="574" s="1"/>
  <c r="G19" i="574" s="1"/>
  <c r="I32" i="572"/>
  <c r="F32" i="572" s="1"/>
  <c r="G32" i="572" s="1"/>
  <c r="I32" i="574"/>
  <c r="F32" i="574" s="1"/>
  <c r="G32" i="574" s="1"/>
  <c r="I40" i="574"/>
  <c r="F40" i="574" s="1"/>
  <c r="G40" i="574" s="1"/>
  <c r="I46" i="574"/>
  <c r="F46" i="574" s="1"/>
  <c r="G46" i="574" s="1"/>
  <c r="I19" i="573"/>
  <c r="F19" i="573" s="1"/>
  <c r="G19" i="573" s="1"/>
  <c r="I32" i="573"/>
  <c r="F32" i="573" s="1"/>
  <c r="G32" i="573" s="1"/>
  <c r="I40" i="573"/>
  <c r="F40" i="573" s="1"/>
  <c r="G40" i="573" s="1"/>
  <c r="I46" i="573"/>
  <c r="F46" i="573" s="1"/>
  <c r="G46" i="573" s="1"/>
  <c r="I19" i="575"/>
  <c r="F19" i="575" s="1"/>
  <c r="G19" i="575" s="1"/>
  <c r="I32" i="575"/>
  <c r="F32" i="575" s="1"/>
  <c r="G32" i="575" s="1"/>
  <c r="I40" i="575"/>
  <c r="F40" i="575" s="1"/>
  <c r="G40" i="575" s="1"/>
  <c r="I46" i="575"/>
  <c r="F46" i="575" s="1"/>
  <c r="G46" i="575" s="1"/>
  <c r="I50" i="577"/>
  <c r="F48" i="577"/>
  <c r="F24" i="576"/>
  <c r="G24" i="576" s="1"/>
  <c r="I48" i="576"/>
  <c r="I24" i="575"/>
  <c r="I24" i="574"/>
  <c r="I24" i="573"/>
  <c r="I24" i="572"/>
  <c r="I44" i="571"/>
  <c r="G44" i="571"/>
  <c r="I43" i="571"/>
  <c r="G43" i="571"/>
  <c r="I42" i="571"/>
  <c r="G42" i="571"/>
  <c r="I39" i="571"/>
  <c r="G39" i="571"/>
  <c r="I38" i="571"/>
  <c r="G38" i="571"/>
  <c r="I37" i="571"/>
  <c r="G37" i="571"/>
  <c r="I36" i="571"/>
  <c r="G36" i="571"/>
  <c r="I35" i="571"/>
  <c r="G35" i="571"/>
  <c r="I34" i="571"/>
  <c r="G34" i="571"/>
  <c r="I31" i="571"/>
  <c r="G31" i="571"/>
  <c r="I30" i="571"/>
  <c r="G30" i="571"/>
  <c r="I29" i="571"/>
  <c r="G29" i="571"/>
  <c r="I28" i="571"/>
  <c r="G28" i="571"/>
  <c r="I27" i="571"/>
  <c r="G27" i="571"/>
  <c r="I26" i="571"/>
  <c r="G26" i="571"/>
  <c r="I23" i="571"/>
  <c r="G23" i="571"/>
  <c r="I22" i="571"/>
  <c r="G22" i="571"/>
  <c r="I21" i="571"/>
  <c r="G21" i="571"/>
  <c r="I18" i="571"/>
  <c r="G18" i="571"/>
  <c r="I17" i="571"/>
  <c r="G17" i="571"/>
  <c r="I16" i="571"/>
  <c r="G16" i="571"/>
  <c r="I15" i="571"/>
  <c r="G15" i="571"/>
  <c r="I14" i="571"/>
  <c r="G14" i="571"/>
  <c r="I13" i="571"/>
  <c r="G13" i="571"/>
  <c r="I12" i="571"/>
  <c r="G12" i="571"/>
  <c r="I11" i="571"/>
  <c r="G11" i="571"/>
  <c r="I10" i="571"/>
  <c r="G10" i="571"/>
  <c r="E48" i="570"/>
  <c r="F10" i="570"/>
  <c r="F11" i="570"/>
  <c r="F12" i="570"/>
  <c r="F13" i="570"/>
  <c r="F14" i="570"/>
  <c r="F15" i="570"/>
  <c r="F16" i="570"/>
  <c r="F17" i="570"/>
  <c r="F18" i="570"/>
  <c r="F21" i="570"/>
  <c r="F22" i="570"/>
  <c r="F23" i="570"/>
  <c r="F26" i="570"/>
  <c r="F27" i="570"/>
  <c r="F28" i="570"/>
  <c r="F29" i="570"/>
  <c r="F30" i="570"/>
  <c r="F31" i="570"/>
  <c r="F34" i="570"/>
  <c r="F35" i="570"/>
  <c r="F36" i="570"/>
  <c r="F37" i="570"/>
  <c r="F38" i="570"/>
  <c r="F39" i="570"/>
  <c r="F42" i="570"/>
  <c r="F43" i="570"/>
  <c r="F44" i="570"/>
  <c r="F45" i="570"/>
  <c r="G45" i="570" s="1"/>
  <c r="F10" i="569"/>
  <c r="F11" i="569"/>
  <c r="F12" i="569"/>
  <c r="F13" i="569"/>
  <c r="F14" i="569"/>
  <c r="F15" i="569"/>
  <c r="F16" i="569"/>
  <c r="F17" i="569"/>
  <c r="F18" i="569"/>
  <c r="F21" i="569"/>
  <c r="F22" i="569"/>
  <c r="F23" i="569"/>
  <c r="F26" i="569"/>
  <c r="F27" i="569"/>
  <c r="F28" i="569"/>
  <c r="F29" i="569"/>
  <c r="F30" i="569"/>
  <c r="F31" i="569"/>
  <c r="F34" i="569"/>
  <c r="F35" i="569"/>
  <c r="F36" i="569"/>
  <c r="F37" i="569"/>
  <c r="F38" i="569"/>
  <c r="F39" i="569"/>
  <c r="F42" i="569"/>
  <c r="F43" i="569"/>
  <c r="F44" i="569"/>
  <c r="F45" i="569"/>
  <c r="G45" i="569" s="1"/>
  <c r="E48" i="568"/>
  <c r="F10" i="568"/>
  <c r="F11" i="568"/>
  <c r="F12" i="568"/>
  <c r="F13" i="568"/>
  <c r="F14" i="568"/>
  <c r="F15" i="568"/>
  <c r="F16" i="568"/>
  <c r="F17" i="568"/>
  <c r="F18" i="568"/>
  <c r="F21" i="568"/>
  <c r="F22" i="568"/>
  <c r="F23" i="568"/>
  <c r="F26" i="568"/>
  <c r="F27" i="568"/>
  <c r="F28" i="568"/>
  <c r="F29" i="568"/>
  <c r="F30" i="568"/>
  <c r="F31" i="568"/>
  <c r="F34" i="568"/>
  <c r="F35" i="568"/>
  <c r="F36" i="568"/>
  <c r="F37" i="568"/>
  <c r="F38" i="568"/>
  <c r="F39" i="568"/>
  <c r="F42" i="568"/>
  <c r="F43" i="568"/>
  <c r="F44" i="568"/>
  <c r="F45" i="568"/>
  <c r="G45" i="568" s="1"/>
  <c r="F10" i="567"/>
  <c r="F11" i="567"/>
  <c r="F12" i="567"/>
  <c r="F13" i="567"/>
  <c r="F14" i="567"/>
  <c r="F15" i="567"/>
  <c r="F16" i="567"/>
  <c r="F17" i="567"/>
  <c r="F18" i="567"/>
  <c r="F21" i="567"/>
  <c r="F22" i="567"/>
  <c r="F23" i="567"/>
  <c r="F26" i="567"/>
  <c r="F27" i="567"/>
  <c r="F28" i="567"/>
  <c r="F29" i="567"/>
  <c r="F30" i="567"/>
  <c r="F31" i="567"/>
  <c r="F34" i="567"/>
  <c r="F35" i="567"/>
  <c r="F36" i="567"/>
  <c r="F37" i="567"/>
  <c r="F38" i="567"/>
  <c r="F39" i="567"/>
  <c r="F42" i="567"/>
  <c r="F43" i="567"/>
  <c r="F44" i="567"/>
  <c r="F45" i="567"/>
  <c r="G45" i="567" s="1"/>
  <c r="C24" i="566"/>
  <c r="C48" i="566" s="1"/>
  <c r="H48" i="566"/>
  <c r="H50" i="566" s="1"/>
  <c r="E6" i="566" s="1"/>
  <c r="E45" i="566"/>
  <c r="E44" i="566"/>
  <c r="E43" i="566"/>
  <c r="E42" i="566"/>
  <c r="E39" i="566"/>
  <c r="E38" i="566"/>
  <c r="E37" i="566"/>
  <c r="E36" i="566"/>
  <c r="E35" i="566"/>
  <c r="E34" i="566"/>
  <c r="E31" i="566"/>
  <c r="E30" i="566"/>
  <c r="E29" i="566"/>
  <c r="E28" i="566"/>
  <c r="E27" i="566"/>
  <c r="E23" i="566"/>
  <c r="E22" i="566"/>
  <c r="E21" i="566"/>
  <c r="E24" i="566"/>
  <c r="E26" i="566"/>
  <c r="E40" i="566"/>
  <c r="E46" i="566"/>
  <c r="A52" i="566" s="1"/>
  <c r="E32" i="566"/>
  <c r="J50" i="566"/>
  <c r="E50" i="566"/>
  <c r="H46" i="565"/>
  <c r="C46" i="565" s="1"/>
  <c r="H40" i="565"/>
  <c r="C40" i="565" s="1"/>
  <c r="D50" i="565"/>
  <c r="D48" i="565"/>
  <c r="H32" i="565"/>
  <c r="C32" i="565" s="1"/>
  <c r="H24" i="565"/>
  <c r="H19" i="565"/>
  <c r="C19" i="565" s="1"/>
  <c r="H46" i="564"/>
  <c r="C46" i="564" s="1"/>
  <c r="H40" i="564"/>
  <c r="C40" i="564" s="1"/>
  <c r="D50" i="564"/>
  <c r="D48" i="564"/>
  <c r="H32" i="564"/>
  <c r="C32" i="564" s="1"/>
  <c r="H24" i="564"/>
  <c r="H19" i="564"/>
  <c r="C19" i="564" s="1"/>
  <c r="H46" i="563"/>
  <c r="C46" i="563" s="1"/>
  <c r="H40" i="563"/>
  <c r="C40" i="563" s="1"/>
  <c r="D50" i="563"/>
  <c r="D48" i="563"/>
  <c r="H32" i="563"/>
  <c r="C32" i="563" s="1"/>
  <c r="H24" i="563"/>
  <c r="H19" i="563"/>
  <c r="C19" i="563" s="1"/>
  <c r="H10" i="562"/>
  <c r="H11" i="562"/>
  <c r="H12" i="562"/>
  <c r="H13" i="562"/>
  <c r="H14" i="562"/>
  <c r="H15" i="562"/>
  <c r="H16" i="562"/>
  <c r="H17" i="562"/>
  <c r="H18" i="562"/>
  <c r="E19" i="562"/>
  <c r="H21" i="562"/>
  <c r="H22" i="562"/>
  <c r="H23" i="562"/>
  <c r="H26" i="562"/>
  <c r="D32" i="562"/>
  <c r="H27" i="562"/>
  <c r="H28" i="562"/>
  <c r="H29" i="562"/>
  <c r="H30" i="562"/>
  <c r="H31" i="562"/>
  <c r="H34" i="562"/>
  <c r="D40" i="562"/>
  <c r="H35" i="562"/>
  <c r="H36" i="562"/>
  <c r="H37" i="562"/>
  <c r="H38" i="562"/>
  <c r="H39" i="562"/>
  <c r="H42" i="562"/>
  <c r="D46" i="562"/>
  <c r="H43" i="562"/>
  <c r="H44" i="562"/>
  <c r="C7" i="478"/>
  <c r="I19" i="571" l="1"/>
  <c r="F19" i="571" s="1"/>
  <c r="G19" i="571" s="1"/>
  <c r="I32" i="571"/>
  <c r="F32" i="571" s="1"/>
  <c r="G32" i="571" s="1"/>
  <c r="I40" i="571"/>
  <c r="F40" i="571" s="1"/>
  <c r="G40" i="571" s="1"/>
  <c r="I46" i="571"/>
  <c r="F46" i="571" s="1"/>
  <c r="G46" i="571" s="1"/>
  <c r="F24" i="573"/>
  <c r="G24" i="573" s="1"/>
  <c r="I48" i="573"/>
  <c r="F48" i="573" s="1"/>
  <c r="A54" i="577"/>
  <c r="I51" i="577"/>
  <c r="F50" i="577"/>
  <c r="G6" i="577"/>
  <c r="G5" i="577"/>
  <c r="I50" i="576"/>
  <c r="F48" i="576"/>
  <c r="F24" i="575"/>
  <c r="G24" i="575" s="1"/>
  <c r="I48" i="575"/>
  <c r="F24" i="574"/>
  <c r="G24" i="574" s="1"/>
  <c r="I48" i="574"/>
  <c r="I50" i="573"/>
  <c r="F24" i="572"/>
  <c r="G24" i="572" s="1"/>
  <c r="I48" i="572"/>
  <c r="I24" i="571"/>
  <c r="I44" i="570"/>
  <c r="G44" i="570"/>
  <c r="I43" i="570"/>
  <c r="G43" i="570"/>
  <c r="I42" i="570"/>
  <c r="G42" i="570"/>
  <c r="I39" i="570"/>
  <c r="G39" i="570"/>
  <c r="I38" i="570"/>
  <c r="G38" i="570"/>
  <c r="I37" i="570"/>
  <c r="G37" i="570"/>
  <c r="I36" i="570"/>
  <c r="G36" i="570"/>
  <c r="I35" i="570"/>
  <c r="G35" i="570"/>
  <c r="I34" i="570"/>
  <c r="G34" i="570"/>
  <c r="I31" i="570"/>
  <c r="G31" i="570"/>
  <c r="I30" i="570"/>
  <c r="G30" i="570"/>
  <c r="I29" i="570"/>
  <c r="G29" i="570"/>
  <c r="I28" i="570"/>
  <c r="G28" i="570"/>
  <c r="I27" i="570"/>
  <c r="G27" i="570"/>
  <c r="I26" i="570"/>
  <c r="G26" i="570"/>
  <c r="I23" i="570"/>
  <c r="G23" i="570"/>
  <c r="I22" i="570"/>
  <c r="G22" i="570"/>
  <c r="I21" i="570"/>
  <c r="G21" i="570"/>
  <c r="I18" i="570"/>
  <c r="G18" i="570"/>
  <c r="I17" i="570"/>
  <c r="G17" i="570"/>
  <c r="I16" i="570"/>
  <c r="G16" i="570"/>
  <c r="I15" i="570"/>
  <c r="G15" i="570"/>
  <c r="I14" i="570"/>
  <c r="G14" i="570"/>
  <c r="I13" i="570"/>
  <c r="G13" i="570"/>
  <c r="I12" i="570"/>
  <c r="G12" i="570"/>
  <c r="I11" i="570"/>
  <c r="G11" i="570"/>
  <c r="I10" i="570"/>
  <c r="G10" i="570"/>
  <c r="I44" i="569"/>
  <c r="G44" i="569"/>
  <c r="I43" i="569"/>
  <c r="G43" i="569"/>
  <c r="I42" i="569"/>
  <c r="G42" i="569"/>
  <c r="I39" i="569"/>
  <c r="G39" i="569"/>
  <c r="I38" i="569"/>
  <c r="G38" i="569"/>
  <c r="I37" i="569"/>
  <c r="G37" i="569"/>
  <c r="I36" i="569"/>
  <c r="G36" i="569"/>
  <c r="I35" i="569"/>
  <c r="G35" i="569"/>
  <c r="I34" i="569"/>
  <c r="G34" i="569"/>
  <c r="I31" i="569"/>
  <c r="G31" i="569"/>
  <c r="I30" i="569"/>
  <c r="G30" i="569"/>
  <c r="I29" i="569"/>
  <c r="G29" i="569"/>
  <c r="I28" i="569"/>
  <c r="G28" i="569"/>
  <c r="I27" i="569"/>
  <c r="G27" i="569"/>
  <c r="I26" i="569"/>
  <c r="G26" i="569"/>
  <c r="I23" i="569"/>
  <c r="G23" i="569"/>
  <c r="I22" i="569"/>
  <c r="G22" i="569"/>
  <c r="I21" i="569"/>
  <c r="G21" i="569"/>
  <c r="I18" i="569"/>
  <c r="G18" i="569"/>
  <c r="I17" i="569"/>
  <c r="G17" i="569"/>
  <c r="I16" i="569"/>
  <c r="G16" i="569"/>
  <c r="I15" i="569"/>
  <c r="G15" i="569"/>
  <c r="I14" i="569"/>
  <c r="G14" i="569"/>
  <c r="I13" i="569"/>
  <c r="G13" i="569"/>
  <c r="I12" i="569"/>
  <c r="G12" i="569"/>
  <c r="I11" i="569"/>
  <c r="G11" i="569"/>
  <c r="I10" i="569"/>
  <c r="G10" i="569"/>
  <c r="I44" i="568"/>
  <c r="G44" i="568"/>
  <c r="I43" i="568"/>
  <c r="G43" i="568"/>
  <c r="I42" i="568"/>
  <c r="G42" i="568"/>
  <c r="I39" i="568"/>
  <c r="G39" i="568"/>
  <c r="I38" i="568"/>
  <c r="G38" i="568"/>
  <c r="I37" i="568"/>
  <c r="G37" i="568"/>
  <c r="I36" i="568"/>
  <c r="G36" i="568"/>
  <c r="I35" i="568"/>
  <c r="G35" i="568"/>
  <c r="I34" i="568"/>
  <c r="G34" i="568"/>
  <c r="I31" i="568"/>
  <c r="G31" i="568"/>
  <c r="I30" i="568"/>
  <c r="G30" i="568"/>
  <c r="I29" i="568"/>
  <c r="G29" i="568"/>
  <c r="I28" i="568"/>
  <c r="G28" i="568"/>
  <c r="I27" i="568"/>
  <c r="G27" i="568"/>
  <c r="I26" i="568"/>
  <c r="G26" i="568"/>
  <c r="I23" i="568"/>
  <c r="G23" i="568"/>
  <c r="I22" i="568"/>
  <c r="G22" i="568"/>
  <c r="I21" i="568"/>
  <c r="G21" i="568"/>
  <c r="I18" i="568"/>
  <c r="G18" i="568"/>
  <c r="I17" i="568"/>
  <c r="G17" i="568"/>
  <c r="I16" i="568"/>
  <c r="G16" i="568"/>
  <c r="I15" i="568"/>
  <c r="G15" i="568"/>
  <c r="I14" i="568"/>
  <c r="G14" i="568"/>
  <c r="I13" i="568"/>
  <c r="G13" i="568"/>
  <c r="I12" i="568"/>
  <c r="G12" i="568"/>
  <c r="I11" i="568"/>
  <c r="G11" i="568"/>
  <c r="I10" i="568"/>
  <c r="G10" i="568"/>
  <c r="I44" i="567"/>
  <c r="G44" i="567"/>
  <c r="I43" i="567"/>
  <c r="G43" i="567"/>
  <c r="I42" i="567"/>
  <c r="G42" i="567"/>
  <c r="I39" i="567"/>
  <c r="G39" i="567"/>
  <c r="I38" i="567"/>
  <c r="G38" i="567"/>
  <c r="I37" i="567"/>
  <c r="G37" i="567"/>
  <c r="I36" i="567"/>
  <c r="G36" i="567"/>
  <c r="I35" i="567"/>
  <c r="G35" i="567"/>
  <c r="I34" i="567"/>
  <c r="G34" i="567"/>
  <c r="I31" i="567"/>
  <c r="G31" i="567"/>
  <c r="I30" i="567"/>
  <c r="G30" i="567"/>
  <c r="I29" i="567"/>
  <c r="G29" i="567"/>
  <c r="I28" i="567"/>
  <c r="G28" i="567"/>
  <c r="I27" i="567"/>
  <c r="G27" i="567"/>
  <c r="I26" i="567"/>
  <c r="G26" i="567"/>
  <c r="I23" i="567"/>
  <c r="G23" i="567"/>
  <c r="I22" i="567"/>
  <c r="G22" i="567"/>
  <c r="I21" i="567"/>
  <c r="G21" i="567"/>
  <c r="I18" i="567"/>
  <c r="G18" i="567"/>
  <c r="I17" i="567"/>
  <c r="G17" i="567"/>
  <c r="I16" i="567"/>
  <c r="G16" i="567"/>
  <c r="I15" i="567"/>
  <c r="G15" i="567"/>
  <c r="I14" i="567"/>
  <c r="G14" i="567"/>
  <c r="I13" i="567"/>
  <c r="G13" i="567"/>
  <c r="I12" i="567"/>
  <c r="G12" i="567"/>
  <c r="I11" i="567"/>
  <c r="G11" i="567"/>
  <c r="I10" i="567"/>
  <c r="G10" i="567"/>
  <c r="E48" i="566"/>
  <c r="F10" i="566"/>
  <c r="F11" i="566"/>
  <c r="F12" i="566"/>
  <c r="F13" i="566"/>
  <c r="F14" i="566"/>
  <c r="F15" i="566"/>
  <c r="F16" i="566"/>
  <c r="F17" i="566"/>
  <c r="F18" i="566"/>
  <c r="F21" i="566"/>
  <c r="F22" i="566"/>
  <c r="F23" i="566"/>
  <c r="F26" i="566"/>
  <c r="F27" i="566"/>
  <c r="F28" i="566"/>
  <c r="F29" i="566"/>
  <c r="F30" i="566"/>
  <c r="F31" i="566"/>
  <c r="F34" i="566"/>
  <c r="F35" i="566"/>
  <c r="F36" i="566"/>
  <c r="F37" i="566"/>
  <c r="F38" i="566"/>
  <c r="F39" i="566"/>
  <c r="F42" i="566"/>
  <c r="F43" i="566"/>
  <c r="F44" i="566"/>
  <c r="F45" i="566"/>
  <c r="G45" i="566" s="1"/>
  <c r="C24" i="565"/>
  <c r="C48" i="565" s="1"/>
  <c r="H48" i="565"/>
  <c r="H50" i="565" s="1"/>
  <c r="E6" i="565" s="1"/>
  <c r="E45" i="565"/>
  <c r="E44" i="565"/>
  <c r="E43" i="565"/>
  <c r="E39" i="565"/>
  <c r="E38" i="565"/>
  <c r="E37" i="565"/>
  <c r="E36" i="565"/>
  <c r="E35" i="565"/>
  <c r="E31" i="565"/>
  <c r="E30" i="565"/>
  <c r="E29" i="565"/>
  <c r="E28" i="565"/>
  <c r="E27" i="565"/>
  <c r="E23" i="565"/>
  <c r="E22" i="565"/>
  <c r="E21" i="565"/>
  <c r="E24" i="565"/>
  <c r="E26" i="565"/>
  <c r="E34" i="565"/>
  <c r="E42" i="565"/>
  <c r="E46" i="565"/>
  <c r="A52" i="565" s="1"/>
  <c r="E40" i="565"/>
  <c r="E32" i="565"/>
  <c r="J50" i="565"/>
  <c r="E50" i="565"/>
  <c r="C24" i="564"/>
  <c r="C48" i="564" s="1"/>
  <c r="H48" i="564"/>
  <c r="H50" i="564" s="1"/>
  <c r="E6" i="564" s="1"/>
  <c r="E45" i="564"/>
  <c r="E44" i="564"/>
  <c r="E43" i="564"/>
  <c r="E42" i="564"/>
  <c r="E39" i="564"/>
  <c r="E38" i="564"/>
  <c r="E37" i="564"/>
  <c r="E36" i="564"/>
  <c r="E35" i="564"/>
  <c r="E34" i="564"/>
  <c r="E31" i="564"/>
  <c r="E30" i="564"/>
  <c r="E29" i="564"/>
  <c r="E28" i="564"/>
  <c r="E27" i="564"/>
  <c r="E23" i="564"/>
  <c r="E22" i="564"/>
  <c r="E21" i="564"/>
  <c r="E24" i="564"/>
  <c r="E26" i="564"/>
  <c r="E40" i="564"/>
  <c r="E46" i="564"/>
  <c r="A52" i="564" s="1"/>
  <c r="E32" i="564"/>
  <c r="J50" i="564"/>
  <c r="E50" i="564"/>
  <c r="C24" i="563"/>
  <c r="C48" i="563" s="1"/>
  <c r="H48" i="563"/>
  <c r="H50" i="563" s="1"/>
  <c r="E6" i="563" s="1"/>
  <c r="E45" i="563"/>
  <c r="E44" i="563"/>
  <c r="E43" i="563"/>
  <c r="E42" i="563"/>
  <c r="E39" i="563"/>
  <c r="E38" i="563"/>
  <c r="E37" i="563"/>
  <c r="E36" i="563"/>
  <c r="E35" i="563"/>
  <c r="E34" i="563"/>
  <c r="E31" i="563"/>
  <c r="E30" i="563"/>
  <c r="E29" i="563"/>
  <c r="E28" i="563"/>
  <c r="E27" i="563"/>
  <c r="E23" i="563"/>
  <c r="E22" i="563"/>
  <c r="E21" i="563"/>
  <c r="E24" i="563"/>
  <c r="E26" i="563"/>
  <c r="E40" i="563"/>
  <c r="E46" i="563"/>
  <c r="A52" i="563" s="1"/>
  <c r="E32" i="563"/>
  <c r="J50" i="563"/>
  <c r="E50" i="563"/>
  <c r="H46" i="562"/>
  <c r="C46" i="562" s="1"/>
  <c r="H40" i="562"/>
  <c r="C40" i="562" s="1"/>
  <c r="D50" i="562"/>
  <c r="D48" i="562"/>
  <c r="H32" i="562"/>
  <c r="C32" i="562" s="1"/>
  <c r="H24" i="562"/>
  <c r="H19" i="562"/>
  <c r="C19" i="562" s="1"/>
  <c r="D26" i="560"/>
  <c r="D34" i="560"/>
  <c r="D34" i="605" s="1"/>
  <c r="D42" i="560"/>
  <c r="C45" i="560"/>
  <c r="C44" i="560"/>
  <c r="C43" i="560"/>
  <c r="C42" i="560"/>
  <c r="C39" i="560"/>
  <c r="C38" i="560"/>
  <c r="C37" i="560"/>
  <c r="C36" i="560"/>
  <c r="C35" i="560"/>
  <c r="C34" i="560"/>
  <c r="C31" i="560"/>
  <c r="C30" i="560"/>
  <c r="C29" i="560"/>
  <c r="C28" i="560"/>
  <c r="C27" i="560"/>
  <c r="C26" i="560"/>
  <c r="D24" i="560"/>
  <c r="C23" i="560"/>
  <c r="C22" i="560"/>
  <c r="C21" i="560"/>
  <c r="D19" i="560"/>
  <c r="E17" i="560" s="1"/>
  <c r="C18" i="560"/>
  <c r="C17" i="560"/>
  <c r="C16" i="560"/>
  <c r="C15" i="560"/>
  <c r="C14" i="560"/>
  <c r="C13" i="560"/>
  <c r="C12" i="560"/>
  <c r="C11" i="560"/>
  <c r="C10" i="560"/>
  <c r="C7" i="560"/>
  <c r="G4" i="560"/>
  <c r="E4" i="560"/>
  <c r="D34" i="559"/>
  <c r="D26" i="559"/>
  <c r="D42" i="559"/>
  <c r="C45" i="559"/>
  <c r="C44" i="559"/>
  <c r="C43" i="559"/>
  <c r="C42" i="559"/>
  <c r="C39" i="559"/>
  <c r="C38" i="559"/>
  <c r="C37" i="559"/>
  <c r="C36" i="559"/>
  <c r="C35" i="559"/>
  <c r="C34" i="559"/>
  <c r="C31" i="559"/>
  <c r="C30" i="559"/>
  <c r="C29" i="559"/>
  <c r="C28" i="559"/>
  <c r="C27" i="559"/>
  <c r="C26" i="559"/>
  <c r="D24" i="559"/>
  <c r="C23" i="559"/>
  <c r="C22" i="559"/>
  <c r="C21" i="559"/>
  <c r="D19" i="559"/>
  <c r="E18" i="559" s="1"/>
  <c r="C18" i="559"/>
  <c r="C17" i="559"/>
  <c r="C16" i="559"/>
  <c r="C15" i="559"/>
  <c r="C14" i="559"/>
  <c r="C13" i="559"/>
  <c r="C12" i="559"/>
  <c r="C11" i="559"/>
  <c r="C10" i="559"/>
  <c r="C7" i="559"/>
  <c r="G4" i="559"/>
  <c r="E4" i="559"/>
  <c r="E10" i="560" l="1"/>
  <c r="E12" i="560"/>
  <c r="E14" i="560"/>
  <c r="E16" i="560"/>
  <c r="E18" i="560"/>
  <c r="E11" i="560"/>
  <c r="E13" i="560"/>
  <c r="E15" i="560"/>
  <c r="I19" i="570"/>
  <c r="F19" i="570" s="1"/>
  <c r="G19" i="570" s="1"/>
  <c r="I32" i="570"/>
  <c r="F32" i="570" s="1"/>
  <c r="G32" i="570" s="1"/>
  <c r="I40" i="570"/>
  <c r="F40" i="570" s="1"/>
  <c r="G40" i="570" s="1"/>
  <c r="I46" i="570"/>
  <c r="F46" i="570" s="1"/>
  <c r="G46" i="570" s="1"/>
  <c r="I19" i="568"/>
  <c r="F19" i="568" s="1"/>
  <c r="G19" i="568" s="1"/>
  <c r="I32" i="568"/>
  <c r="F32" i="568" s="1"/>
  <c r="G32" i="568" s="1"/>
  <c r="I40" i="568"/>
  <c r="F40" i="568" s="1"/>
  <c r="G40" i="568" s="1"/>
  <c r="I46" i="568"/>
  <c r="F46" i="568" s="1"/>
  <c r="G46" i="568" s="1"/>
  <c r="E11" i="559"/>
  <c r="E13" i="559"/>
  <c r="E15" i="559"/>
  <c r="E17" i="559"/>
  <c r="E10" i="559"/>
  <c r="E12" i="559"/>
  <c r="E14" i="559"/>
  <c r="E16" i="559"/>
  <c r="H34" i="605"/>
  <c r="H40" i="605" s="1"/>
  <c r="D40" i="605"/>
  <c r="I19" i="567"/>
  <c r="F19" i="567" s="1"/>
  <c r="G19" i="567" s="1"/>
  <c r="I32" i="567"/>
  <c r="F32" i="567" s="1"/>
  <c r="G32" i="567" s="1"/>
  <c r="I40" i="567"/>
  <c r="F40" i="567" s="1"/>
  <c r="G40" i="567" s="1"/>
  <c r="I46" i="567"/>
  <c r="F46" i="567" s="1"/>
  <c r="G46" i="567" s="1"/>
  <c r="I19" i="569"/>
  <c r="F19" i="569" s="1"/>
  <c r="G19" i="569" s="1"/>
  <c r="I32" i="569"/>
  <c r="F32" i="569" s="1"/>
  <c r="G32" i="569" s="1"/>
  <c r="I40" i="569"/>
  <c r="F40" i="569" s="1"/>
  <c r="G40" i="569" s="1"/>
  <c r="I46" i="569"/>
  <c r="F46" i="569" s="1"/>
  <c r="G46" i="569" s="1"/>
  <c r="A54" i="576"/>
  <c r="I51" i="576"/>
  <c r="F50" i="576"/>
  <c r="G6" i="576"/>
  <c r="G5" i="576"/>
  <c r="I50" i="575"/>
  <c r="F48" i="575"/>
  <c r="I50" i="574"/>
  <c r="F48" i="574"/>
  <c r="A54" i="573"/>
  <c r="I51" i="573"/>
  <c r="F50" i="573"/>
  <c r="G6" i="573"/>
  <c r="G5" i="573"/>
  <c r="I50" i="572"/>
  <c r="F48" i="572"/>
  <c r="F24" i="571"/>
  <c r="G24" i="571" s="1"/>
  <c r="I48" i="571"/>
  <c r="I24" i="570"/>
  <c r="I24" i="569"/>
  <c r="I24" i="568"/>
  <c r="I24" i="567"/>
  <c r="I44" i="566"/>
  <c r="G44" i="566"/>
  <c r="I43" i="566"/>
  <c r="G43" i="566"/>
  <c r="I42" i="566"/>
  <c r="G42" i="566"/>
  <c r="I39" i="566"/>
  <c r="G39" i="566"/>
  <c r="I38" i="566"/>
  <c r="G38" i="566"/>
  <c r="I37" i="566"/>
  <c r="G37" i="566"/>
  <c r="I36" i="566"/>
  <c r="G36" i="566"/>
  <c r="I35" i="566"/>
  <c r="G35" i="566"/>
  <c r="I34" i="566"/>
  <c r="G34" i="566"/>
  <c r="I31" i="566"/>
  <c r="G31" i="566"/>
  <c r="I30" i="566"/>
  <c r="G30" i="566"/>
  <c r="I29" i="566"/>
  <c r="G29" i="566"/>
  <c r="I28" i="566"/>
  <c r="G28" i="566"/>
  <c r="I27" i="566"/>
  <c r="G27" i="566"/>
  <c r="I26" i="566"/>
  <c r="G26" i="566"/>
  <c r="I23" i="566"/>
  <c r="G23" i="566"/>
  <c r="I22" i="566"/>
  <c r="G22" i="566"/>
  <c r="I21" i="566"/>
  <c r="G21" i="566"/>
  <c r="I18" i="566"/>
  <c r="G18" i="566"/>
  <c r="I17" i="566"/>
  <c r="G17" i="566"/>
  <c r="I16" i="566"/>
  <c r="G16" i="566"/>
  <c r="I15" i="566"/>
  <c r="G15" i="566"/>
  <c r="I14" i="566"/>
  <c r="G14" i="566"/>
  <c r="I13" i="566"/>
  <c r="G13" i="566"/>
  <c r="I12" i="566"/>
  <c r="G12" i="566"/>
  <c r="I11" i="566"/>
  <c r="G11" i="566"/>
  <c r="I10" i="566"/>
  <c r="G10" i="566"/>
  <c r="E48" i="565"/>
  <c r="F10" i="565"/>
  <c r="F11" i="565"/>
  <c r="F12" i="565"/>
  <c r="F13" i="565"/>
  <c r="F14" i="565"/>
  <c r="F15" i="565"/>
  <c r="F16" i="565"/>
  <c r="F17" i="565"/>
  <c r="F18" i="565"/>
  <c r="F21" i="565"/>
  <c r="F22" i="565"/>
  <c r="F23" i="565"/>
  <c r="F26" i="565"/>
  <c r="F27" i="565"/>
  <c r="F28" i="565"/>
  <c r="F29" i="565"/>
  <c r="F30" i="565"/>
  <c r="F31" i="565"/>
  <c r="F34" i="565"/>
  <c r="F35" i="565"/>
  <c r="F36" i="565"/>
  <c r="F37" i="565"/>
  <c r="F38" i="565"/>
  <c r="F39" i="565"/>
  <c r="F42" i="565"/>
  <c r="F43" i="565"/>
  <c r="F44" i="565"/>
  <c r="F45" i="565"/>
  <c r="G45" i="565" s="1"/>
  <c r="E48" i="564"/>
  <c r="F10" i="564"/>
  <c r="F11" i="564"/>
  <c r="F12" i="564"/>
  <c r="F13" i="564"/>
  <c r="F14" i="564"/>
  <c r="F15" i="564"/>
  <c r="F16" i="564"/>
  <c r="F17" i="564"/>
  <c r="F18" i="564"/>
  <c r="F21" i="564"/>
  <c r="F22" i="564"/>
  <c r="F23" i="564"/>
  <c r="F26" i="564"/>
  <c r="F27" i="564"/>
  <c r="F28" i="564"/>
  <c r="F29" i="564"/>
  <c r="F30" i="564"/>
  <c r="F31" i="564"/>
  <c r="F34" i="564"/>
  <c r="F35" i="564"/>
  <c r="F36" i="564"/>
  <c r="F37" i="564"/>
  <c r="F38" i="564"/>
  <c r="F39" i="564"/>
  <c r="F42" i="564"/>
  <c r="F43" i="564"/>
  <c r="F44" i="564"/>
  <c r="F45" i="564"/>
  <c r="G45" i="564" s="1"/>
  <c r="E48" i="563"/>
  <c r="F10" i="563"/>
  <c r="F11" i="563"/>
  <c r="F12" i="563"/>
  <c r="F13" i="563"/>
  <c r="F14" i="563"/>
  <c r="F15" i="563"/>
  <c r="F16" i="563"/>
  <c r="F17" i="563"/>
  <c r="F18" i="563"/>
  <c r="F21" i="563"/>
  <c r="F22" i="563"/>
  <c r="F23" i="563"/>
  <c r="F26" i="563"/>
  <c r="F27" i="563"/>
  <c r="F28" i="563"/>
  <c r="F29" i="563"/>
  <c r="F30" i="563"/>
  <c r="F31" i="563"/>
  <c r="F34" i="563"/>
  <c r="F35" i="563"/>
  <c r="F36" i="563"/>
  <c r="F37" i="563"/>
  <c r="F38" i="563"/>
  <c r="F39" i="563"/>
  <c r="F42" i="563"/>
  <c r="F43" i="563"/>
  <c r="F44" i="563"/>
  <c r="F45" i="563"/>
  <c r="G45" i="563" s="1"/>
  <c r="C24" i="562"/>
  <c r="C48" i="562" s="1"/>
  <c r="H48" i="562"/>
  <c r="H50" i="562" s="1"/>
  <c r="E6" i="562" s="1"/>
  <c r="E45" i="562"/>
  <c r="E44" i="562"/>
  <c r="E43" i="562"/>
  <c r="E39" i="562"/>
  <c r="E38" i="562"/>
  <c r="E37" i="562"/>
  <c r="E36" i="562"/>
  <c r="E35" i="562"/>
  <c r="E31" i="562"/>
  <c r="E30" i="562"/>
  <c r="E29" i="562"/>
  <c r="E28" i="562"/>
  <c r="E27" i="562"/>
  <c r="E23" i="562"/>
  <c r="E22" i="562"/>
  <c r="E21" i="562"/>
  <c r="E24" i="562"/>
  <c r="E26" i="562"/>
  <c r="E34" i="562"/>
  <c r="E42" i="562"/>
  <c r="E46" i="562"/>
  <c r="A52" i="562" s="1"/>
  <c r="E40" i="562"/>
  <c r="E32" i="562"/>
  <c r="J50" i="562"/>
  <c r="E50" i="562"/>
  <c r="H10" i="560"/>
  <c r="H11" i="560"/>
  <c r="H12" i="560"/>
  <c r="H13" i="560"/>
  <c r="H14" i="560"/>
  <c r="H15" i="560"/>
  <c r="H16" i="560"/>
  <c r="H17" i="560"/>
  <c r="H18" i="560"/>
  <c r="E19" i="560"/>
  <c r="H21" i="560"/>
  <c r="H22" i="560"/>
  <c r="H23" i="560"/>
  <c r="H26" i="560"/>
  <c r="D32" i="560"/>
  <c r="H27" i="560"/>
  <c r="H28" i="560"/>
  <c r="H29" i="560"/>
  <c r="H30" i="560"/>
  <c r="H31" i="560"/>
  <c r="H34" i="560"/>
  <c r="D40" i="560"/>
  <c r="H35" i="560"/>
  <c r="H36" i="560"/>
  <c r="H37" i="560"/>
  <c r="H38" i="560"/>
  <c r="H39" i="560"/>
  <c r="H42" i="560"/>
  <c r="D46" i="560"/>
  <c r="H43" i="560"/>
  <c r="H44" i="560"/>
  <c r="H10" i="559"/>
  <c r="H11" i="559"/>
  <c r="H12" i="559"/>
  <c r="H13" i="559"/>
  <c r="H14" i="559"/>
  <c r="H15" i="559"/>
  <c r="H16" i="559"/>
  <c r="H17" i="559"/>
  <c r="H18" i="559"/>
  <c r="E19" i="559"/>
  <c r="H21" i="559"/>
  <c r="H22" i="559"/>
  <c r="H23" i="559"/>
  <c r="H26" i="559"/>
  <c r="D32" i="559"/>
  <c r="H27" i="559"/>
  <c r="H28" i="559"/>
  <c r="H29" i="559"/>
  <c r="H30" i="559"/>
  <c r="H31" i="559"/>
  <c r="H34" i="559"/>
  <c r="D40" i="559"/>
  <c r="H35" i="559"/>
  <c r="H36" i="559"/>
  <c r="H37" i="559"/>
  <c r="H38" i="559"/>
  <c r="H39" i="559"/>
  <c r="H42" i="559"/>
  <c r="D46" i="559"/>
  <c r="H43" i="559"/>
  <c r="H44" i="559"/>
  <c r="D42" i="558"/>
  <c r="D46" i="558" s="1"/>
  <c r="D26" i="558"/>
  <c r="C45" i="558"/>
  <c r="C44" i="558"/>
  <c r="C43" i="558"/>
  <c r="C42" i="558"/>
  <c r="D40" i="558"/>
  <c r="C39" i="558"/>
  <c r="C38" i="558"/>
  <c r="C37" i="558"/>
  <c r="C36" i="558"/>
  <c r="C35" i="558"/>
  <c r="C34" i="558"/>
  <c r="C31" i="558"/>
  <c r="C30" i="558"/>
  <c r="C29" i="558"/>
  <c r="C28" i="558"/>
  <c r="C27" i="558"/>
  <c r="C26" i="558"/>
  <c r="D24" i="558"/>
  <c r="C23" i="558"/>
  <c r="C22" i="558"/>
  <c r="C21" i="558"/>
  <c r="D19" i="558"/>
  <c r="E18" i="558" s="1"/>
  <c r="C18" i="558"/>
  <c r="C17" i="558"/>
  <c r="C16" i="558"/>
  <c r="C15" i="558"/>
  <c r="C14" i="558"/>
  <c r="C13" i="558"/>
  <c r="C12" i="558"/>
  <c r="C11" i="558"/>
  <c r="C10" i="558"/>
  <c r="C7" i="558"/>
  <c r="G4" i="558"/>
  <c r="E4" i="558"/>
  <c r="D46" i="557"/>
  <c r="C45" i="557"/>
  <c r="C44" i="557"/>
  <c r="C43" i="557"/>
  <c r="C42" i="557"/>
  <c r="D40" i="557"/>
  <c r="C39" i="557"/>
  <c r="C38" i="557"/>
  <c r="C37" i="557"/>
  <c r="C36" i="557"/>
  <c r="C35" i="557"/>
  <c r="C34" i="557"/>
  <c r="C31" i="557"/>
  <c r="C30" i="557"/>
  <c r="C29" i="557"/>
  <c r="C28" i="557"/>
  <c r="C27" i="557"/>
  <c r="C26" i="557"/>
  <c r="D24" i="557"/>
  <c r="C23" i="557"/>
  <c r="C22" i="557"/>
  <c r="C21" i="557"/>
  <c r="D19" i="557"/>
  <c r="E18" i="557" s="1"/>
  <c r="C18" i="557"/>
  <c r="C17" i="557"/>
  <c r="C16" i="557"/>
  <c r="C15" i="557"/>
  <c r="C14" i="557"/>
  <c r="E13" i="557"/>
  <c r="C13" i="557"/>
  <c r="C12" i="557"/>
  <c r="C11" i="557"/>
  <c r="C10" i="557"/>
  <c r="C7" i="557"/>
  <c r="G4" i="557"/>
  <c r="E4" i="557"/>
  <c r="E15" i="558" l="1"/>
  <c r="E11" i="558"/>
  <c r="E13" i="558"/>
  <c r="E11" i="557"/>
  <c r="E17" i="558"/>
  <c r="E17" i="557"/>
  <c r="E15" i="557"/>
  <c r="C40" i="605"/>
  <c r="D42" i="605"/>
  <c r="E10" i="557"/>
  <c r="E12" i="557"/>
  <c r="E14" i="557"/>
  <c r="E16" i="557"/>
  <c r="E10" i="558"/>
  <c r="E12" i="558"/>
  <c r="E14" i="558"/>
  <c r="E16" i="558"/>
  <c r="D32" i="558"/>
  <c r="D50" i="558" s="1"/>
  <c r="I19" i="566"/>
  <c r="F19" i="566" s="1"/>
  <c r="G19" i="566" s="1"/>
  <c r="I32" i="566"/>
  <c r="F32" i="566" s="1"/>
  <c r="G32" i="566" s="1"/>
  <c r="I40" i="566"/>
  <c r="F40" i="566" s="1"/>
  <c r="G40" i="566" s="1"/>
  <c r="I46" i="566"/>
  <c r="F46" i="566" s="1"/>
  <c r="G46" i="566" s="1"/>
  <c r="A54" i="575"/>
  <c r="I51" i="575"/>
  <c r="F50" i="575"/>
  <c r="G6" i="575"/>
  <c r="G5" i="575"/>
  <c r="A54" i="574"/>
  <c r="I51" i="574"/>
  <c r="F50" i="574"/>
  <c r="G6" i="574"/>
  <c r="G5" i="574"/>
  <c r="A54" i="572"/>
  <c r="I51" i="572"/>
  <c r="F50" i="572"/>
  <c r="G6" i="572"/>
  <c r="G5" i="572"/>
  <c r="I50" i="571"/>
  <c r="F48" i="571"/>
  <c r="F24" i="570"/>
  <c r="G24" i="570" s="1"/>
  <c r="I48" i="570"/>
  <c r="F24" i="569"/>
  <c r="G24" i="569" s="1"/>
  <c r="I48" i="569"/>
  <c r="F24" i="568"/>
  <c r="G24" i="568" s="1"/>
  <c r="I48" i="568"/>
  <c r="F24" i="567"/>
  <c r="G24" i="567" s="1"/>
  <c r="I48" i="567"/>
  <c r="I24" i="566"/>
  <c r="I44" i="565"/>
  <c r="G44" i="565"/>
  <c r="I43" i="565"/>
  <c r="G43" i="565"/>
  <c r="I42" i="565"/>
  <c r="G42" i="565"/>
  <c r="I39" i="565"/>
  <c r="G39" i="565"/>
  <c r="I38" i="565"/>
  <c r="G38" i="565"/>
  <c r="I37" i="565"/>
  <c r="G37" i="565"/>
  <c r="I36" i="565"/>
  <c r="G36" i="565"/>
  <c r="I35" i="565"/>
  <c r="G35" i="565"/>
  <c r="I34" i="565"/>
  <c r="G34" i="565"/>
  <c r="I31" i="565"/>
  <c r="G31" i="565"/>
  <c r="I30" i="565"/>
  <c r="G30" i="565"/>
  <c r="I29" i="565"/>
  <c r="G29" i="565"/>
  <c r="I28" i="565"/>
  <c r="G28" i="565"/>
  <c r="I27" i="565"/>
  <c r="G27" i="565"/>
  <c r="I26" i="565"/>
  <c r="G26" i="565"/>
  <c r="I23" i="565"/>
  <c r="G23" i="565"/>
  <c r="I22" i="565"/>
  <c r="G22" i="565"/>
  <c r="I21" i="565"/>
  <c r="G21" i="565"/>
  <c r="I18" i="565"/>
  <c r="G18" i="565"/>
  <c r="I17" i="565"/>
  <c r="G17" i="565"/>
  <c r="I16" i="565"/>
  <c r="G16" i="565"/>
  <c r="I15" i="565"/>
  <c r="G15" i="565"/>
  <c r="I14" i="565"/>
  <c r="G14" i="565"/>
  <c r="I13" i="565"/>
  <c r="G13" i="565"/>
  <c r="I12" i="565"/>
  <c r="G12" i="565"/>
  <c r="I11" i="565"/>
  <c r="G11" i="565"/>
  <c r="I10" i="565"/>
  <c r="G10" i="565"/>
  <c r="I44" i="564"/>
  <c r="G44" i="564"/>
  <c r="I43" i="564"/>
  <c r="G43" i="564"/>
  <c r="I42" i="564"/>
  <c r="G42" i="564"/>
  <c r="I39" i="564"/>
  <c r="G39" i="564"/>
  <c r="I38" i="564"/>
  <c r="G38" i="564"/>
  <c r="I37" i="564"/>
  <c r="G37" i="564"/>
  <c r="I36" i="564"/>
  <c r="G36" i="564"/>
  <c r="I35" i="564"/>
  <c r="G35" i="564"/>
  <c r="I34" i="564"/>
  <c r="G34" i="564"/>
  <c r="I31" i="564"/>
  <c r="G31" i="564"/>
  <c r="I30" i="564"/>
  <c r="G30" i="564"/>
  <c r="I29" i="564"/>
  <c r="G29" i="564"/>
  <c r="I28" i="564"/>
  <c r="G28" i="564"/>
  <c r="I27" i="564"/>
  <c r="G27" i="564"/>
  <c r="I26" i="564"/>
  <c r="G26" i="564"/>
  <c r="I23" i="564"/>
  <c r="G23" i="564"/>
  <c r="I22" i="564"/>
  <c r="G22" i="564"/>
  <c r="I21" i="564"/>
  <c r="G21" i="564"/>
  <c r="I18" i="564"/>
  <c r="G18" i="564"/>
  <c r="I17" i="564"/>
  <c r="G17" i="564"/>
  <c r="I16" i="564"/>
  <c r="G16" i="564"/>
  <c r="I15" i="564"/>
  <c r="G15" i="564"/>
  <c r="I14" i="564"/>
  <c r="G14" i="564"/>
  <c r="I13" i="564"/>
  <c r="G13" i="564"/>
  <c r="I12" i="564"/>
  <c r="G12" i="564"/>
  <c r="I11" i="564"/>
  <c r="G11" i="564"/>
  <c r="I10" i="564"/>
  <c r="G10" i="564"/>
  <c r="I44" i="563"/>
  <c r="G44" i="563"/>
  <c r="I43" i="563"/>
  <c r="G43" i="563"/>
  <c r="I42" i="563"/>
  <c r="G42" i="563"/>
  <c r="I39" i="563"/>
  <c r="G39" i="563"/>
  <c r="I38" i="563"/>
  <c r="G38" i="563"/>
  <c r="I37" i="563"/>
  <c r="G37" i="563"/>
  <c r="I36" i="563"/>
  <c r="G36" i="563"/>
  <c r="I35" i="563"/>
  <c r="G35" i="563"/>
  <c r="I34" i="563"/>
  <c r="G34" i="563"/>
  <c r="I31" i="563"/>
  <c r="G31" i="563"/>
  <c r="I30" i="563"/>
  <c r="G30" i="563"/>
  <c r="I29" i="563"/>
  <c r="G29" i="563"/>
  <c r="I28" i="563"/>
  <c r="G28" i="563"/>
  <c r="I27" i="563"/>
  <c r="G27" i="563"/>
  <c r="I26" i="563"/>
  <c r="G26" i="563"/>
  <c r="I23" i="563"/>
  <c r="G23" i="563"/>
  <c r="I22" i="563"/>
  <c r="G22" i="563"/>
  <c r="I21" i="563"/>
  <c r="G21" i="563"/>
  <c r="I18" i="563"/>
  <c r="G18" i="563"/>
  <c r="I17" i="563"/>
  <c r="G17" i="563"/>
  <c r="I16" i="563"/>
  <c r="G16" i="563"/>
  <c r="I15" i="563"/>
  <c r="G15" i="563"/>
  <c r="I14" i="563"/>
  <c r="G14" i="563"/>
  <c r="I13" i="563"/>
  <c r="G13" i="563"/>
  <c r="I12" i="563"/>
  <c r="G12" i="563"/>
  <c r="I11" i="563"/>
  <c r="G11" i="563"/>
  <c r="I10" i="563"/>
  <c r="G10" i="563"/>
  <c r="E48" i="562"/>
  <c r="F10" i="562"/>
  <c r="F11" i="562"/>
  <c r="F12" i="562"/>
  <c r="F13" i="562"/>
  <c r="F14" i="562"/>
  <c r="F15" i="562"/>
  <c r="F16" i="562"/>
  <c r="F17" i="562"/>
  <c r="F18" i="562"/>
  <c r="F21" i="562"/>
  <c r="F22" i="562"/>
  <c r="F23" i="562"/>
  <c r="F26" i="562"/>
  <c r="F27" i="562"/>
  <c r="F28" i="562"/>
  <c r="F29" i="562"/>
  <c r="F30" i="562"/>
  <c r="F31" i="562"/>
  <c r="F34" i="562"/>
  <c r="F35" i="562"/>
  <c r="F36" i="562"/>
  <c r="F37" i="562"/>
  <c r="F38" i="562"/>
  <c r="F39" i="562"/>
  <c r="F42" i="562"/>
  <c r="F43" i="562"/>
  <c r="F44" i="562"/>
  <c r="F45" i="562"/>
  <c r="G45" i="562" s="1"/>
  <c r="H46" i="560"/>
  <c r="C46" i="560" s="1"/>
  <c r="H40" i="560"/>
  <c r="C40" i="560" s="1"/>
  <c r="D50" i="560"/>
  <c r="D48" i="560"/>
  <c r="H32" i="560"/>
  <c r="C32" i="560" s="1"/>
  <c r="H24" i="560"/>
  <c r="H19" i="560"/>
  <c r="C19" i="560" s="1"/>
  <c r="H46" i="559"/>
  <c r="C46" i="559" s="1"/>
  <c r="H40" i="559"/>
  <c r="C40" i="559" s="1"/>
  <c r="D50" i="559"/>
  <c r="D48" i="559"/>
  <c r="H32" i="559"/>
  <c r="C32" i="559" s="1"/>
  <c r="H24" i="559"/>
  <c r="H19" i="559"/>
  <c r="C19" i="559" s="1"/>
  <c r="H10" i="558"/>
  <c r="H11" i="558"/>
  <c r="H12" i="558"/>
  <c r="H13" i="558"/>
  <c r="H14" i="558"/>
  <c r="H15" i="558"/>
  <c r="H16" i="558"/>
  <c r="H17" i="558"/>
  <c r="H18" i="558"/>
  <c r="E19" i="558"/>
  <c r="H21" i="558"/>
  <c r="H22" i="558"/>
  <c r="H23" i="558"/>
  <c r="H26" i="558"/>
  <c r="H27" i="558"/>
  <c r="H28" i="558"/>
  <c r="H29" i="558"/>
  <c r="H30" i="558"/>
  <c r="H31" i="558"/>
  <c r="H34" i="558"/>
  <c r="H35" i="558"/>
  <c r="H36" i="558"/>
  <c r="H37" i="558"/>
  <c r="H38" i="558"/>
  <c r="H39" i="558"/>
  <c r="H42" i="558"/>
  <c r="H43" i="558"/>
  <c r="H44" i="558"/>
  <c r="H10" i="557"/>
  <c r="H11" i="557"/>
  <c r="H12" i="557"/>
  <c r="H13" i="557"/>
  <c r="H14" i="557"/>
  <c r="H15" i="557"/>
  <c r="H16" i="557"/>
  <c r="H17" i="557"/>
  <c r="H18" i="557"/>
  <c r="E19" i="557"/>
  <c r="H21" i="557"/>
  <c r="H22" i="557"/>
  <c r="H23" i="557"/>
  <c r="H26" i="557"/>
  <c r="D32" i="557"/>
  <c r="H27" i="557"/>
  <c r="H28" i="557"/>
  <c r="H29" i="557"/>
  <c r="H30" i="557"/>
  <c r="H31" i="557"/>
  <c r="H34" i="557"/>
  <c r="H35" i="557"/>
  <c r="H36" i="557"/>
  <c r="H37" i="557"/>
  <c r="H38" i="557"/>
  <c r="H39" i="557"/>
  <c r="H42" i="557"/>
  <c r="H43" i="557"/>
  <c r="H44" i="557"/>
  <c r="D26" i="556"/>
  <c r="D15" i="556"/>
  <c r="D15" i="605" s="1"/>
  <c r="D46" i="556"/>
  <c r="C45" i="556"/>
  <c r="C44" i="556"/>
  <c r="C43" i="556"/>
  <c r="C42" i="556"/>
  <c r="D40" i="556"/>
  <c r="C39" i="556"/>
  <c r="C38" i="556"/>
  <c r="C37" i="556"/>
  <c r="C36" i="556"/>
  <c r="C35" i="556"/>
  <c r="C34" i="556"/>
  <c r="C31" i="556"/>
  <c r="C30" i="556"/>
  <c r="C29" i="556"/>
  <c r="C28" i="556"/>
  <c r="C27" i="556"/>
  <c r="C26" i="556"/>
  <c r="D24" i="556"/>
  <c r="C23" i="556"/>
  <c r="C22" i="556"/>
  <c r="C21" i="556"/>
  <c r="C18" i="556"/>
  <c r="C17" i="556"/>
  <c r="C16" i="556"/>
  <c r="C15" i="556"/>
  <c r="C14" i="556"/>
  <c r="C13" i="556"/>
  <c r="C12" i="556"/>
  <c r="C11" i="556"/>
  <c r="C10" i="556"/>
  <c r="C7" i="556"/>
  <c r="G4" i="556"/>
  <c r="E4" i="556"/>
  <c r="D26" i="555"/>
  <c r="D32" i="555" s="1"/>
  <c r="D46" i="555"/>
  <c r="C45" i="555"/>
  <c r="C44" i="555"/>
  <c r="C43" i="555"/>
  <c r="C42" i="555"/>
  <c r="D40" i="555"/>
  <c r="C39" i="555"/>
  <c r="C38" i="555"/>
  <c r="C37" i="555"/>
  <c r="C36" i="555"/>
  <c r="C35" i="555"/>
  <c r="C34" i="555"/>
  <c r="C31" i="555"/>
  <c r="C30" i="555"/>
  <c r="C29" i="555"/>
  <c r="C28" i="555"/>
  <c r="C27" i="555"/>
  <c r="C26" i="555"/>
  <c r="D24" i="555"/>
  <c r="C23" i="555"/>
  <c r="C22" i="555"/>
  <c r="C21" i="555"/>
  <c r="D19" i="555"/>
  <c r="E17" i="555" s="1"/>
  <c r="C18" i="555"/>
  <c r="C17" i="555"/>
  <c r="C16" i="555"/>
  <c r="C15" i="555"/>
  <c r="C14" i="555"/>
  <c r="C13" i="555"/>
  <c r="C12" i="555"/>
  <c r="C11" i="555"/>
  <c r="C10" i="555"/>
  <c r="C7" i="555"/>
  <c r="G4" i="555"/>
  <c r="E4" i="555"/>
  <c r="D26" i="554"/>
  <c r="D32" i="554" s="1"/>
  <c r="D46" i="554"/>
  <c r="C45" i="554"/>
  <c r="C44" i="554"/>
  <c r="C43" i="554"/>
  <c r="C42" i="554"/>
  <c r="D40" i="554"/>
  <c r="C39" i="554"/>
  <c r="C38" i="554"/>
  <c r="C37" i="554"/>
  <c r="C36" i="554"/>
  <c r="C35" i="554"/>
  <c r="C34" i="554"/>
  <c r="C31" i="554"/>
  <c r="C30" i="554"/>
  <c r="C29" i="554"/>
  <c r="C28" i="554"/>
  <c r="C27" i="554"/>
  <c r="C26" i="554"/>
  <c r="D24" i="554"/>
  <c r="C23" i="554"/>
  <c r="C22" i="554"/>
  <c r="C21" i="554"/>
  <c r="D19" i="554"/>
  <c r="E18" i="554" s="1"/>
  <c r="C18" i="554"/>
  <c r="C17" i="554"/>
  <c r="C16" i="554"/>
  <c r="C15" i="554"/>
  <c r="C14" i="554"/>
  <c r="C13" i="554"/>
  <c r="C12" i="554"/>
  <c r="C11" i="554"/>
  <c r="C10" i="554"/>
  <c r="C7" i="554"/>
  <c r="G4" i="554"/>
  <c r="E4" i="554"/>
  <c r="D46" i="553"/>
  <c r="C45" i="553"/>
  <c r="C44" i="553"/>
  <c r="C43" i="553"/>
  <c r="C42" i="553"/>
  <c r="D40" i="553"/>
  <c r="C39" i="553"/>
  <c r="C38" i="553"/>
  <c r="C37" i="553"/>
  <c r="C36" i="553"/>
  <c r="C35" i="553"/>
  <c r="C34" i="553"/>
  <c r="D32" i="553"/>
  <c r="C31" i="553"/>
  <c r="C30" i="553"/>
  <c r="C29" i="553"/>
  <c r="C28" i="553"/>
  <c r="C27" i="553"/>
  <c r="C26" i="553"/>
  <c r="D24" i="553"/>
  <c r="C23" i="553"/>
  <c r="C22" i="553"/>
  <c r="C21" i="553"/>
  <c r="D19" i="553"/>
  <c r="E18" i="553" s="1"/>
  <c r="C18" i="553"/>
  <c r="C17" i="553"/>
  <c r="C16" i="553"/>
  <c r="C15" i="553"/>
  <c r="C14" i="553"/>
  <c r="C13" i="553"/>
  <c r="C12" i="553"/>
  <c r="C11" i="553"/>
  <c r="C10" i="553"/>
  <c r="C7" i="553"/>
  <c r="G4" i="553"/>
  <c r="E4" i="553"/>
  <c r="D48" i="558" l="1"/>
  <c r="E40" i="558" s="1"/>
  <c r="E11" i="554"/>
  <c r="E13" i="554"/>
  <c r="E15" i="554"/>
  <c r="E17" i="554"/>
  <c r="E10" i="555"/>
  <c r="E12" i="555"/>
  <c r="E14" i="555"/>
  <c r="E16" i="555"/>
  <c r="E18" i="555"/>
  <c r="E32" i="558"/>
  <c r="I19" i="564"/>
  <c r="F19" i="564" s="1"/>
  <c r="G19" i="564" s="1"/>
  <c r="I32" i="564"/>
  <c r="F32" i="564" s="1"/>
  <c r="G32" i="564" s="1"/>
  <c r="I40" i="564"/>
  <c r="F40" i="564" s="1"/>
  <c r="G40" i="564" s="1"/>
  <c r="I46" i="564"/>
  <c r="F46" i="564" s="1"/>
  <c r="G46" i="564" s="1"/>
  <c r="E10" i="554"/>
  <c r="E12" i="554"/>
  <c r="E14" i="554"/>
  <c r="E16" i="554"/>
  <c r="E11" i="555"/>
  <c r="E13" i="555"/>
  <c r="E15" i="555"/>
  <c r="D15" i="603"/>
  <c r="D19" i="605"/>
  <c r="E12" i="605" s="1"/>
  <c r="H15" i="605"/>
  <c r="H19" i="605" s="1"/>
  <c r="E11" i="553"/>
  <c r="E13" i="553"/>
  <c r="E15" i="553"/>
  <c r="E17" i="553"/>
  <c r="D19" i="556"/>
  <c r="E24" i="558"/>
  <c r="I19" i="563"/>
  <c r="F19" i="563" s="1"/>
  <c r="G19" i="563" s="1"/>
  <c r="I32" i="563"/>
  <c r="F32" i="563" s="1"/>
  <c r="G32" i="563" s="1"/>
  <c r="I40" i="563"/>
  <c r="F40" i="563" s="1"/>
  <c r="G40" i="563" s="1"/>
  <c r="I46" i="563"/>
  <c r="F46" i="563" s="1"/>
  <c r="G46" i="563" s="1"/>
  <c r="I19" i="565"/>
  <c r="F19" i="565" s="1"/>
  <c r="G19" i="565" s="1"/>
  <c r="I32" i="565"/>
  <c r="F32" i="565" s="1"/>
  <c r="G32" i="565" s="1"/>
  <c r="I40" i="565"/>
  <c r="F40" i="565" s="1"/>
  <c r="G40" i="565" s="1"/>
  <c r="I46" i="565"/>
  <c r="F46" i="565" s="1"/>
  <c r="G46" i="565" s="1"/>
  <c r="H42" i="605"/>
  <c r="H46" i="605" s="1"/>
  <c r="C46" i="605" s="1"/>
  <c r="D46" i="605"/>
  <c r="E10" i="553"/>
  <c r="E12" i="553"/>
  <c r="E14" i="553"/>
  <c r="E16" i="553"/>
  <c r="E46" i="558"/>
  <c r="A52" i="558" s="1"/>
  <c r="A54" i="571"/>
  <c r="I51" i="571"/>
  <c r="F50" i="571"/>
  <c r="G6" i="571"/>
  <c r="G5" i="571"/>
  <c r="I50" i="570"/>
  <c r="F48" i="570"/>
  <c r="I50" i="569"/>
  <c r="F48" i="569"/>
  <c r="I50" i="568"/>
  <c r="F48" i="568"/>
  <c r="I50" i="567"/>
  <c r="F48" i="567"/>
  <c r="F24" i="566"/>
  <c r="G24" i="566" s="1"/>
  <c r="I48" i="566"/>
  <c r="I24" i="565"/>
  <c r="I24" i="564"/>
  <c r="I24" i="563"/>
  <c r="I44" i="562"/>
  <c r="G44" i="562"/>
  <c r="I43" i="562"/>
  <c r="G43" i="562"/>
  <c r="I42" i="562"/>
  <c r="G42" i="562"/>
  <c r="I39" i="562"/>
  <c r="G39" i="562"/>
  <c r="I38" i="562"/>
  <c r="G38" i="562"/>
  <c r="I37" i="562"/>
  <c r="G37" i="562"/>
  <c r="I36" i="562"/>
  <c r="G36" i="562"/>
  <c r="I35" i="562"/>
  <c r="G35" i="562"/>
  <c r="I34" i="562"/>
  <c r="G34" i="562"/>
  <c r="I31" i="562"/>
  <c r="G31" i="562"/>
  <c r="I30" i="562"/>
  <c r="G30" i="562"/>
  <c r="I29" i="562"/>
  <c r="G29" i="562"/>
  <c r="I28" i="562"/>
  <c r="G28" i="562"/>
  <c r="I27" i="562"/>
  <c r="G27" i="562"/>
  <c r="I26" i="562"/>
  <c r="G26" i="562"/>
  <c r="I23" i="562"/>
  <c r="G23" i="562"/>
  <c r="I22" i="562"/>
  <c r="G22" i="562"/>
  <c r="I21" i="562"/>
  <c r="G21" i="562"/>
  <c r="I18" i="562"/>
  <c r="G18" i="562"/>
  <c r="I17" i="562"/>
  <c r="G17" i="562"/>
  <c r="I16" i="562"/>
  <c r="G16" i="562"/>
  <c r="I15" i="562"/>
  <c r="G15" i="562"/>
  <c r="I14" i="562"/>
  <c r="G14" i="562"/>
  <c r="I13" i="562"/>
  <c r="G13" i="562"/>
  <c r="I12" i="562"/>
  <c r="G12" i="562"/>
  <c r="I11" i="562"/>
  <c r="G11" i="562"/>
  <c r="I10" i="562"/>
  <c r="G10" i="562"/>
  <c r="C24" i="560"/>
  <c r="C48" i="560" s="1"/>
  <c r="H48" i="560"/>
  <c r="H50" i="560" s="1"/>
  <c r="E6" i="560" s="1"/>
  <c r="E45" i="560"/>
  <c r="E44" i="560"/>
  <c r="E43" i="560"/>
  <c r="E39" i="560"/>
  <c r="E38" i="560"/>
  <c r="E37" i="560"/>
  <c r="E36" i="560"/>
  <c r="E35" i="560"/>
  <c r="E31" i="560"/>
  <c r="E30" i="560"/>
  <c r="E29" i="560"/>
  <c r="E28" i="560"/>
  <c r="E27" i="560"/>
  <c r="E23" i="560"/>
  <c r="E22" i="560"/>
  <c r="E21" i="560"/>
  <c r="E24" i="560"/>
  <c r="E26" i="560"/>
  <c r="E34" i="560"/>
  <c r="E42" i="560"/>
  <c r="E46" i="560"/>
  <c r="A52" i="560" s="1"/>
  <c r="E40" i="560"/>
  <c r="E32" i="560"/>
  <c r="J50" i="560"/>
  <c r="E50" i="560"/>
  <c r="C24" i="559"/>
  <c r="C48" i="559" s="1"/>
  <c r="H48" i="559"/>
  <c r="H50" i="559" s="1"/>
  <c r="E6" i="559" s="1"/>
  <c r="E45" i="559"/>
  <c r="E44" i="559"/>
  <c r="E43" i="559"/>
  <c r="E39" i="559"/>
  <c r="E38" i="559"/>
  <c r="E37" i="559"/>
  <c r="E36" i="559"/>
  <c r="E35" i="559"/>
  <c r="E31" i="559"/>
  <c r="E30" i="559"/>
  <c r="E29" i="559"/>
  <c r="E28" i="559"/>
  <c r="E27" i="559"/>
  <c r="E23" i="559"/>
  <c r="E22" i="559"/>
  <c r="E21" i="559"/>
  <c r="E24" i="559"/>
  <c r="E26" i="559"/>
  <c r="E34" i="559"/>
  <c r="E42" i="559"/>
  <c r="E46" i="559"/>
  <c r="A52" i="559" s="1"/>
  <c r="E40" i="559"/>
  <c r="E32" i="559"/>
  <c r="J50" i="559"/>
  <c r="E50" i="559"/>
  <c r="H46" i="558"/>
  <c r="C46" i="558" s="1"/>
  <c r="H40" i="558"/>
  <c r="C40" i="558" s="1"/>
  <c r="H32" i="558"/>
  <c r="C32" i="558" s="1"/>
  <c r="E45" i="558"/>
  <c r="E44" i="558"/>
  <c r="E43" i="558"/>
  <c r="E42" i="558"/>
  <c r="E39" i="558"/>
  <c r="E38" i="558"/>
  <c r="E37" i="558"/>
  <c r="E36" i="558"/>
  <c r="E35" i="558"/>
  <c r="E34" i="558"/>
  <c r="E31" i="558"/>
  <c r="E30" i="558"/>
  <c r="E29" i="558"/>
  <c r="E28" i="558"/>
  <c r="E27" i="558"/>
  <c r="E26" i="558"/>
  <c r="E23" i="558"/>
  <c r="E22" i="558"/>
  <c r="E21" i="558"/>
  <c r="H24" i="558"/>
  <c r="J50" i="558"/>
  <c r="E50" i="558"/>
  <c r="H19" i="558"/>
  <c r="C19" i="558" s="1"/>
  <c r="H46" i="557"/>
  <c r="C46" i="557" s="1"/>
  <c r="H40" i="557"/>
  <c r="C40" i="557" s="1"/>
  <c r="D50" i="557"/>
  <c r="D48" i="557"/>
  <c r="H32" i="557"/>
  <c r="C32" i="557" s="1"/>
  <c r="H24" i="557"/>
  <c r="H19" i="557"/>
  <c r="C19" i="557" s="1"/>
  <c r="H10" i="556"/>
  <c r="H11" i="556"/>
  <c r="H12" i="556"/>
  <c r="H13" i="556"/>
  <c r="H14" i="556"/>
  <c r="H15" i="556"/>
  <c r="H16" i="556"/>
  <c r="H17" i="556"/>
  <c r="H18" i="556"/>
  <c r="E19" i="556"/>
  <c r="H21" i="556"/>
  <c r="H22" i="556"/>
  <c r="H23" i="556"/>
  <c r="H26" i="556"/>
  <c r="D32" i="556"/>
  <c r="H27" i="556"/>
  <c r="H28" i="556"/>
  <c r="H29" i="556"/>
  <c r="H30" i="556"/>
  <c r="H31" i="556"/>
  <c r="H34" i="556"/>
  <c r="H35" i="556"/>
  <c r="H36" i="556"/>
  <c r="H37" i="556"/>
  <c r="H38" i="556"/>
  <c r="H39" i="556"/>
  <c r="H42" i="556"/>
  <c r="H43" i="556"/>
  <c r="H44" i="556"/>
  <c r="H10" i="555"/>
  <c r="H11" i="555"/>
  <c r="H12" i="555"/>
  <c r="H13" i="555"/>
  <c r="H14" i="555"/>
  <c r="H15" i="555"/>
  <c r="H16" i="555"/>
  <c r="H17" i="555"/>
  <c r="H18" i="555"/>
  <c r="D50" i="555"/>
  <c r="E19" i="555"/>
  <c r="H21" i="555"/>
  <c r="H22" i="555"/>
  <c r="H23" i="555"/>
  <c r="D48" i="555"/>
  <c r="E24" i="555"/>
  <c r="H26" i="555"/>
  <c r="H27" i="555"/>
  <c r="H28" i="555"/>
  <c r="H29" i="555"/>
  <c r="H30" i="555"/>
  <c r="H31" i="555"/>
  <c r="E32" i="555"/>
  <c r="H34" i="555"/>
  <c r="H35" i="555"/>
  <c r="H36" i="555"/>
  <c r="H37" i="555"/>
  <c r="H38" i="555"/>
  <c r="H39" i="555"/>
  <c r="E40" i="555"/>
  <c r="H42" i="555"/>
  <c r="H43" i="555"/>
  <c r="H44" i="555"/>
  <c r="E46" i="555"/>
  <c r="A52" i="555" s="1"/>
  <c r="H10" i="554"/>
  <c r="H11" i="554"/>
  <c r="H12" i="554"/>
  <c r="H13" i="554"/>
  <c r="H14" i="554"/>
  <c r="H15" i="554"/>
  <c r="H16" i="554"/>
  <c r="H17" i="554"/>
  <c r="H18" i="554"/>
  <c r="D50" i="554"/>
  <c r="E19" i="554"/>
  <c r="H21" i="554"/>
  <c r="H22" i="554"/>
  <c r="H23" i="554"/>
  <c r="D48" i="554"/>
  <c r="E40" i="554" s="1"/>
  <c r="E24" i="554"/>
  <c r="H26" i="554"/>
  <c r="H27" i="554"/>
  <c r="H28" i="554"/>
  <c r="H29" i="554"/>
  <c r="H30" i="554"/>
  <c r="H31" i="554"/>
  <c r="E32" i="554"/>
  <c r="H34" i="554"/>
  <c r="H35" i="554"/>
  <c r="H36" i="554"/>
  <c r="H37" i="554"/>
  <c r="H38" i="554"/>
  <c r="H39" i="554"/>
  <c r="H42" i="554"/>
  <c r="H43" i="554"/>
  <c r="H44" i="554"/>
  <c r="H10" i="553"/>
  <c r="H11" i="553"/>
  <c r="H12" i="553"/>
  <c r="H13" i="553"/>
  <c r="H14" i="553"/>
  <c r="H15" i="553"/>
  <c r="H16" i="553"/>
  <c r="H17" i="553"/>
  <c r="H18" i="553"/>
  <c r="D50" i="553"/>
  <c r="E19" i="553"/>
  <c r="H21" i="553"/>
  <c r="H22" i="553"/>
  <c r="H23" i="553"/>
  <c r="D48" i="553"/>
  <c r="E40" i="553" s="1"/>
  <c r="E24" i="553"/>
  <c r="H26" i="553"/>
  <c r="H27" i="553"/>
  <c r="H28" i="553"/>
  <c r="H29" i="553"/>
  <c r="H30" i="553"/>
  <c r="H31" i="553"/>
  <c r="E32" i="553"/>
  <c r="H34" i="553"/>
  <c r="H35" i="553"/>
  <c r="H36" i="553"/>
  <c r="H37" i="553"/>
  <c r="H38" i="553"/>
  <c r="H39" i="553"/>
  <c r="H42" i="553"/>
  <c r="H43" i="553"/>
  <c r="H44" i="553"/>
  <c r="D34" i="552"/>
  <c r="D26" i="552"/>
  <c r="D42" i="552"/>
  <c r="C45" i="552"/>
  <c r="C44" i="552"/>
  <c r="C43" i="552"/>
  <c r="C42" i="552"/>
  <c r="C39" i="552"/>
  <c r="C38" i="552"/>
  <c r="C37" i="552"/>
  <c r="C36" i="552"/>
  <c r="C35" i="552"/>
  <c r="C34" i="552"/>
  <c r="C31" i="552"/>
  <c r="C30" i="552"/>
  <c r="C29" i="552"/>
  <c r="C28" i="552"/>
  <c r="C27" i="552"/>
  <c r="C26" i="552"/>
  <c r="D24" i="552"/>
  <c r="C23" i="552"/>
  <c r="C22" i="552"/>
  <c r="C21" i="552"/>
  <c r="D19" i="552"/>
  <c r="E17" i="552" s="1"/>
  <c r="C18" i="552"/>
  <c r="C17" i="552"/>
  <c r="C16" i="552"/>
  <c r="C15" i="552"/>
  <c r="C14" i="552"/>
  <c r="C13" i="552"/>
  <c r="C12" i="552"/>
  <c r="C11" i="552"/>
  <c r="C10" i="552"/>
  <c r="C7" i="552"/>
  <c r="C19" i="605" l="1"/>
  <c r="E46" i="553"/>
  <c r="A52" i="553" s="1"/>
  <c r="E46" i="554"/>
  <c r="A52" i="554" s="1"/>
  <c r="E10" i="552"/>
  <c r="E12" i="552"/>
  <c r="E14" i="552"/>
  <c r="E11" i="552"/>
  <c r="E13" i="552"/>
  <c r="E48" i="558"/>
  <c r="E11" i="605"/>
  <c r="E13" i="605"/>
  <c r="E17" i="605"/>
  <c r="E10" i="605"/>
  <c r="E14" i="605"/>
  <c r="E16" i="605"/>
  <c r="E18" i="605"/>
  <c r="E19" i="605"/>
  <c r="E16" i="552"/>
  <c r="E18" i="552"/>
  <c r="I19" i="562"/>
  <c r="F19" i="562" s="1"/>
  <c r="G19" i="562" s="1"/>
  <c r="I32" i="562"/>
  <c r="F32" i="562" s="1"/>
  <c r="G32" i="562" s="1"/>
  <c r="I40" i="562"/>
  <c r="F40" i="562" s="1"/>
  <c r="G40" i="562" s="1"/>
  <c r="I46" i="562"/>
  <c r="F46" i="562" s="1"/>
  <c r="G46" i="562" s="1"/>
  <c r="E17" i="556"/>
  <c r="E15" i="556"/>
  <c r="E13" i="556"/>
  <c r="E11" i="556"/>
  <c r="E18" i="556"/>
  <c r="E16" i="556"/>
  <c r="E14" i="556"/>
  <c r="E12" i="556"/>
  <c r="E10" i="556"/>
  <c r="E15" i="605"/>
  <c r="H15" i="603"/>
  <c r="H19" i="603" s="1"/>
  <c r="D19" i="603"/>
  <c r="E15" i="552"/>
  <c r="A54" i="570"/>
  <c r="I51" i="570"/>
  <c r="F50" i="570"/>
  <c r="G6" i="570"/>
  <c r="G5" i="570"/>
  <c r="A54" i="569"/>
  <c r="I51" i="569"/>
  <c r="F50" i="569"/>
  <c r="G6" i="569"/>
  <c r="G5" i="569"/>
  <c r="A54" i="568"/>
  <c r="I51" i="568"/>
  <c r="F50" i="568"/>
  <c r="G6" i="568"/>
  <c r="G5" i="568"/>
  <c r="A54" i="567"/>
  <c r="I51" i="567"/>
  <c r="F50" i="567"/>
  <c r="G6" i="567"/>
  <c r="G5" i="567"/>
  <c r="I50" i="566"/>
  <c r="F48" i="566"/>
  <c r="F24" i="565"/>
  <c r="G24" i="565" s="1"/>
  <c r="I48" i="565"/>
  <c r="F48" i="565" s="1"/>
  <c r="F24" i="564"/>
  <c r="G24" i="564" s="1"/>
  <c r="I48" i="564"/>
  <c r="F24" i="563"/>
  <c r="G24" i="563" s="1"/>
  <c r="I48" i="563"/>
  <c r="I24" i="562"/>
  <c r="E48" i="560"/>
  <c r="F10" i="560"/>
  <c r="F11" i="560"/>
  <c r="F12" i="560"/>
  <c r="F13" i="560"/>
  <c r="F14" i="560"/>
  <c r="F15" i="560"/>
  <c r="F16" i="560"/>
  <c r="F17" i="560"/>
  <c r="F18" i="560"/>
  <c r="F21" i="560"/>
  <c r="F22" i="560"/>
  <c r="F23" i="560"/>
  <c r="F26" i="560"/>
  <c r="F27" i="560"/>
  <c r="F28" i="560"/>
  <c r="F29" i="560"/>
  <c r="F30" i="560"/>
  <c r="F31" i="560"/>
  <c r="F34" i="560"/>
  <c r="F35" i="560"/>
  <c r="F36" i="560"/>
  <c r="F37" i="560"/>
  <c r="F38" i="560"/>
  <c r="F39" i="560"/>
  <c r="F42" i="560"/>
  <c r="F43" i="560"/>
  <c r="F44" i="560"/>
  <c r="F45" i="560"/>
  <c r="G45" i="560" s="1"/>
  <c r="E48" i="559"/>
  <c r="F10" i="559"/>
  <c r="F11" i="559"/>
  <c r="F12" i="559"/>
  <c r="F13" i="559"/>
  <c r="F14" i="559"/>
  <c r="F15" i="559"/>
  <c r="F16" i="559"/>
  <c r="F17" i="559"/>
  <c r="F18" i="559"/>
  <c r="F21" i="559"/>
  <c r="F22" i="559"/>
  <c r="F23" i="559"/>
  <c r="F26" i="559"/>
  <c r="F27" i="559"/>
  <c r="F28" i="559"/>
  <c r="F29" i="559"/>
  <c r="F30" i="559"/>
  <c r="F31" i="559"/>
  <c r="F34" i="559"/>
  <c r="F35" i="559"/>
  <c r="F36" i="559"/>
  <c r="F37" i="559"/>
  <c r="F38" i="559"/>
  <c r="F39" i="559"/>
  <c r="F42" i="559"/>
  <c r="F43" i="559"/>
  <c r="F44" i="559"/>
  <c r="F45" i="559"/>
  <c r="G45" i="559" s="1"/>
  <c r="C24" i="558"/>
  <c r="C48" i="558" s="1"/>
  <c r="H48" i="558"/>
  <c r="H50" i="558" s="1"/>
  <c r="E6" i="558" s="1"/>
  <c r="C24" i="557"/>
  <c r="C48" i="557" s="1"/>
  <c r="H48" i="557"/>
  <c r="H50" i="557" s="1"/>
  <c r="E6" i="557" s="1"/>
  <c r="E45" i="557"/>
  <c r="E44" i="557"/>
  <c r="E43" i="557"/>
  <c r="E42" i="557"/>
  <c r="E39" i="557"/>
  <c r="E38" i="557"/>
  <c r="E37" i="557"/>
  <c r="E36" i="557"/>
  <c r="E35" i="557"/>
  <c r="E34" i="557"/>
  <c r="E31" i="557"/>
  <c r="E30" i="557"/>
  <c r="E29" i="557"/>
  <c r="E28" i="557"/>
  <c r="E27" i="557"/>
  <c r="E23" i="557"/>
  <c r="E22" i="557"/>
  <c r="E21" i="557"/>
  <c r="E24" i="557"/>
  <c r="E26" i="557"/>
  <c r="E40" i="557"/>
  <c r="E46" i="557"/>
  <c r="A52" i="557" s="1"/>
  <c r="E32" i="557"/>
  <c r="J50" i="557"/>
  <c r="E50" i="557"/>
  <c r="H46" i="556"/>
  <c r="C46" i="556" s="1"/>
  <c r="H40" i="556"/>
  <c r="C40" i="556" s="1"/>
  <c r="D50" i="556"/>
  <c r="D48" i="556"/>
  <c r="H32" i="556"/>
  <c r="C32" i="556" s="1"/>
  <c r="H24" i="556"/>
  <c r="H19" i="556"/>
  <c r="C19" i="556" s="1"/>
  <c r="H46" i="555"/>
  <c r="C46" i="555" s="1"/>
  <c r="H40" i="555"/>
  <c r="C40" i="555" s="1"/>
  <c r="H32" i="555"/>
  <c r="C32" i="555" s="1"/>
  <c r="E45" i="555"/>
  <c r="E44" i="555"/>
  <c r="E43" i="555"/>
  <c r="E42" i="555"/>
  <c r="E39" i="555"/>
  <c r="E38" i="555"/>
  <c r="E37" i="555"/>
  <c r="E36" i="555"/>
  <c r="E35" i="555"/>
  <c r="E34" i="555"/>
  <c r="E31" i="555"/>
  <c r="E30" i="555"/>
  <c r="E29" i="555"/>
  <c r="E28" i="555"/>
  <c r="E27" i="555"/>
  <c r="E26" i="555"/>
  <c r="E23" i="555"/>
  <c r="E22" i="555"/>
  <c r="E21" i="555"/>
  <c r="H24" i="555"/>
  <c r="J50" i="555"/>
  <c r="E50" i="555"/>
  <c r="H19" i="555"/>
  <c r="C19" i="555" s="1"/>
  <c r="H46" i="554"/>
  <c r="C46" i="554" s="1"/>
  <c r="H40" i="554"/>
  <c r="C40" i="554" s="1"/>
  <c r="H32" i="554"/>
  <c r="C32" i="554" s="1"/>
  <c r="E45" i="554"/>
  <c r="E44" i="554"/>
  <c r="E43" i="554"/>
  <c r="E42" i="554"/>
  <c r="E39" i="554"/>
  <c r="E38" i="554"/>
  <c r="E37" i="554"/>
  <c r="E36" i="554"/>
  <c r="E35" i="554"/>
  <c r="E34" i="554"/>
  <c r="E31" i="554"/>
  <c r="E30" i="554"/>
  <c r="E29" i="554"/>
  <c r="E28" i="554"/>
  <c r="E27" i="554"/>
  <c r="E26" i="554"/>
  <c r="E23" i="554"/>
  <c r="E22" i="554"/>
  <c r="E21" i="554"/>
  <c r="H24" i="554"/>
  <c r="J50" i="554"/>
  <c r="E50" i="554"/>
  <c r="H19" i="554"/>
  <c r="C19" i="554" s="1"/>
  <c r="H46" i="553"/>
  <c r="C46" i="553" s="1"/>
  <c r="H40" i="553"/>
  <c r="C40" i="553" s="1"/>
  <c r="H32" i="553"/>
  <c r="C32" i="553" s="1"/>
  <c r="E45" i="553"/>
  <c r="E44" i="553"/>
  <c r="E43" i="553"/>
  <c r="E42" i="553"/>
  <c r="E39" i="553"/>
  <c r="E38" i="553"/>
  <c r="E37" i="553"/>
  <c r="E36" i="553"/>
  <c r="E35" i="553"/>
  <c r="E34" i="553"/>
  <c r="E31" i="553"/>
  <c r="E30" i="553"/>
  <c r="E29" i="553"/>
  <c r="E28" i="553"/>
  <c r="E27" i="553"/>
  <c r="E26" i="553"/>
  <c r="E23" i="553"/>
  <c r="E22" i="553"/>
  <c r="E21" i="553"/>
  <c r="H24" i="553"/>
  <c r="J50" i="553"/>
  <c r="E50" i="553"/>
  <c r="H19" i="553"/>
  <c r="C19" i="553" s="1"/>
  <c r="G4" i="552"/>
  <c r="E4" i="552"/>
  <c r="H10" i="552"/>
  <c r="H11" i="552"/>
  <c r="H12" i="552"/>
  <c r="H13" i="552"/>
  <c r="H14" i="552"/>
  <c r="H15" i="552"/>
  <c r="H16" i="552"/>
  <c r="H17" i="552"/>
  <c r="H18" i="552"/>
  <c r="E19" i="552"/>
  <c r="H21" i="552"/>
  <c r="H22" i="552"/>
  <c r="H23" i="552"/>
  <c r="H26" i="552"/>
  <c r="D32" i="552"/>
  <c r="H27" i="552"/>
  <c r="H28" i="552"/>
  <c r="H29" i="552"/>
  <c r="H30" i="552"/>
  <c r="H31" i="552"/>
  <c r="H34" i="552"/>
  <c r="D40" i="552"/>
  <c r="H35" i="552"/>
  <c r="H36" i="552"/>
  <c r="H37" i="552"/>
  <c r="H38" i="552"/>
  <c r="H39" i="552"/>
  <c r="H42" i="552"/>
  <c r="D46" i="552"/>
  <c r="H43" i="552"/>
  <c r="H44" i="552"/>
  <c r="D34" i="551"/>
  <c r="D40" i="551" s="1"/>
  <c r="D42" i="551"/>
  <c r="D46" i="551" s="1"/>
  <c r="C45" i="551"/>
  <c r="C44" i="551"/>
  <c r="C43" i="551"/>
  <c r="C42" i="551"/>
  <c r="C39" i="551"/>
  <c r="C38" i="551"/>
  <c r="C37" i="551"/>
  <c r="C36" i="551"/>
  <c r="C35" i="551"/>
  <c r="C34" i="551"/>
  <c r="D32" i="551"/>
  <c r="C31" i="551"/>
  <c r="C30" i="551"/>
  <c r="C29" i="551"/>
  <c r="C28" i="551"/>
  <c r="C27" i="551"/>
  <c r="C26" i="551"/>
  <c r="D24" i="551"/>
  <c r="C23" i="551"/>
  <c r="C22" i="551"/>
  <c r="C21" i="551"/>
  <c r="D19" i="551"/>
  <c r="E17" i="551" s="1"/>
  <c r="C18" i="551"/>
  <c r="C17" i="551"/>
  <c r="C16" i="551"/>
  <c r="C15" i="551"/>
  <c r="C14" i="551"/>
  <c r="C13" i="551"/>
  <c r="C12" i="551"/>
  <c r="C11" i="551"/>
  <c r="C10" i="551"/>
  <c r="C7" i="551"/>
  <c r="G4" i="551"/>
  <c r="E4" i="551"/>
  <c r="C45" i="550"/>
  <c r="C44" i="550"/>
  <c r="C43" i="550"/>
  <c r="C42" i="550"/>
  <c r="C39" i="550"/>
  <c r="C38" i="550"/>
  <c r="C37" i="550"/>
  <c r="C36" i="550"/>
  <c r="C35" i="550"/>
  <c r="C34" i="550"/>
  <c r="C31" i="550"/>
  <c r="C30" i="550"/>
  <c r="C29" i="550"/>
  <c r="C28" i="550"/>
  <c r="C27" i="550"/>
  <c r="C26" i="550"/>
  <c r="D24" i="550"/>
  <c r="C23" i="550"/>
  <c r="C22" i="550"/>
  <c r="C21" i="550"/>
  <c r="D19" i="550"/>
  <c r="E18" i="550" s="1"/>
  <c r="C18" i="550"/>
  <c r="C17" i="550"/>
  <c r="C16" i="550"/>
  <c r="C15" i="550"/>
  <c r="C14" i="550"/>
  <c r="C13" i="550"/>
  <c r="C12" i="550"/>
  <c r="C11" i="550"/>
  <c r="C10" i="550"/>
  <c r="C7" i="550"/>
  <c r="G4" i="550"/>
  <c r="E4" i="550"/>
  <c r="D34" i="549"/>
  <c r="D42" i="549"/>
  <c r="C45" i="549"/>
  <c r="C44" i="549"/>
  <c r="C43" i="549"/>
  <c r="C42" i="549"/>
  <c r="C39" i="549"/>
  <c r="C38" i="549"/>
  <c r="C37" i="549"/>
  <c r="C36" i="549"/>
  <c r="C35" i="549"/>
  <c r="C34" i="549"/>
  <c r="C31" i="549"/>
  <c r="C30" i="549"/>
  <c r="C29" i="549"/>
  <c r="C28" i="549"/>
  <c r="C27" i="549"/>
  <c r="C26" i="549"/>
  <c r="D24" i="549"/>
  <c r="C23" i="549"/>
  <c r="C22" i="549"/>
  <c r="C21" i="549"/>
  <c r="D19" i="549"/>
  <c r="E17" i="549" s="1"/>
  <c r="C18" i="549"/>
  <c r="C17" i="549"/>
  <c r="C16" i="549"/>
  <c r="C15" i="549"/>
  <c r="C14" i="549"/>
  <c r="C13" i="549"/>
  <c r="C12" i="549"/>
  <c r="C11" i="549"/>
  <c r="C10" i="549"/>
  <c r="C7" i="549"/>
  <c r="G4" i="549"/>
  <c r="E4" i="549"/>
  <c r="C19" i="603" l="1"/>
  <c r="E10" i="549"/>
  <c r="E12" i="549"/>
  <c r="E14" i="549"/>
  <c r="E16" i="549"/>
  <c r="E18" i="549"/>
  <c r="E10" i="550"/>
  <c r="E12" i="550"/>
  <c r="E14" i="550"/>
  <c r="E16" i="550"/>
  <c r="E10" i="551"/>
  <c r="E12" i="551"/>
  <c r="E14" i="551"/>
  <c r="E16" i="551"/>
  <c r="E18" i="551"/>
  <c r="E48" i="553"/>
  <c r="E48" i="555"/>
  <c r="E11" i="549"/>
  <c r="E13" i="549"/>
  <c r="E15" i="549"/>
  <c r="E11" i="550"/>
  <c r="E13" i="550"/>
  <c r="E15" i="550"/>
  <c r="E11" i="551"/>
  <c r="E13" i="551"/>
  <c r="E15" i="551"/>
  <c r="E17" i="550"/>
  <c r="E48" i="554"/>
  <c r="I50" i="565"/>
  <c r="I51" i="565" s="1"/>
  <c r="E10" i="603"/>
  <c r="E12" i="603"/>
  <c r="E14" i="603"/>
  <c r="E16" i="603"/>
  <c r="E18" i="603"/>
  <c r="E11" i="603"/>
  <c r="E13" i="603"/>
  <c r="E17" i="603"/>
  <c r="E19" i="603"/>
  <c r="E15" i="603"/>
  <c r="A54" i="566"/>
  <c r="I51" i="566"/>
  <c r="F50" i="566"/>
  <c r="G6" i="566"/>
  <c r="G5" i="566"/>
  <c r="A54" i="565"/>
  <c r="I50" i="564"/>
  <c r="F48" i="564"/>
  <c r="I50" i="563"/>
  <c r="F48" i="563"/>
  <c r="F24" i="562"/>
  <c r="G24" i="562" s="1"/>
  <c r="I48" i="562"/>
  <c r="F48" i="562" s="1"/>
  <c r="I44" i="560"/>
  <c r="G44" i="560"/>
  <c r="I43" i="560"/>
  <c r="G43" i="560"/>
  <c r="I42" i="560"/>
  <c r="G42" i="560"/>
  <c r="I39" i="560"/>
  <c r="G39" i="560"/>
  <c r="I38" i="560"/>
  <c r="G38" i="560"/>
  <c r="I37" i="560"/>
  <c r="G37" i="560"/>
  <c r="I36" i="560"/>
  <c r="G36" i="560"/>
  <c r="I35" i="560"/>
  <c r="G35" i="560"/>
  <c r="I34" i="560"/>
  <c r="G34" i="560"/>
  <c r="I31" i="560"/>
  <c r="G31" i="560"/>
  <c r="I30" i="560"/>
  <c r="G30" i="560"/>
  <c r="I29" i="560"/>
  <c r="G29" i="560"/>
  <c r="I28" i="560"/>
  <c r="G28" i="560"/>
  <c r="I27" i="560"/>
  <c r="G27" i="560"/>
  <c r="I26" i="560"/>
  <c r="G26" i="560"/>
  <c r="I23" i="560"/>
  <c r="G23" i="560"/>
  <c r="I22" i="560"/>
  <c r="G22" i="560"/>
  <c r="I21" i="560"/>
  <c r="G21" i="560"/>
  <c r="I18" i="560"/>
  <c r="G18" i="560"/>
  <c r="I17" i="560"/>
  <c r="G17" i="560"/>
  <c r="I16" i="560"/>
  <c r="G16" i="560"/>
  <c r="I15" i="560"/>
  <c r="G15" i="560"/>
  <c r="I14" i="560"/>
  <c r="G14" i="560"/>
  <c r="I13" i="560"/>
  <c r="G13" i="560"/>
  <c r="I12" i="560"/>
  <c r="G12" i="560"/>
  <c r="I11" i="560"/>
  <c r="G11" i="560"/>
  <c r="I10" i="560"/>
  <c r="G10" i="560"/>
  <c r="I44" i="559"/>
  <c r="G44" i="559"/>
  <c r="I43" i="559"/>
  <c r="G43" i="559"/>
  <c r="I42" i="559"/>
  <c r="G42" i="559"/>
  <c r="I39" i="559"/>
  <c r="G39" i="559"/>
  <c r="I38" i="559"/>
  <c r="G38" i="559"/>
  <c r="I37" i="559"/>
  <c r="G37" i="559"/>
  <c r="I36" i="559"/>
  <c r="G36" i="559"/>
  <c r="I35" i="559"/>
  <c r="G35" i="559"/>
  <c r="I34" i="559"/>
  <c r="G34" i="559"/>
  <c r="I31" i="559"/>
  <c r="G31" i="559"/>
  <c r="I30" i="559"/>
  <c r="G30" i="559"/>
  <c r="I29" i="559"/>
  <c r="G29" i="559"/>
  <c r="I28" i="559"/>
  <c r="G28" i="559"/>
  <c r="I27" i="559"/>
  <c r="G27" i="559"/>
  <c r="I26" i="559"/>
  <c r="G26" i="559"/>
  <c r="I23" i="559"/>
  <c r="G23" i="559"/>
  <c r="I22" i="559"/>
  <c r="G22" i="559"/>
  <c r="I21" i="559"/>
  <c r="G21" i="559"/>
  <c r="I18" i="559"/>
  <c r="G18" i="559"/>
  <c r="I17" i="559"/>
  <c r="G17" i="559"/>
  <c r="I16" i="559"/>
  <c r="G16" i="559"/>
  <c r="I15" i="559"/>
  <c r="G15" i="559"/>
  <c r="I14" i="559"/>
  <c r="G14" i="559"/>
  <c r="I13" i="559"/>
  <c r="G13" i="559"/>
  <c r="I12" i="559"/>
  <c r="G12" i="559"/>
  <c r="I11" i="559"/>
  <c r="G11" i="559"/>
  <c r="I10" i="559"/>
  <c r="G10" i="559"/>
  <c r="F10" i="558"/>
  <c r="F11" i="558"/>
  <c r="F12" i="558"/>
  <c r="F13" i="558"/>
  <c r="F14" i="558"/>
  <c r="F15" i="558"/>
  <c r="F16" i="558"/>
  <c r="F17" i="558"/>
  <c r="F18" i="558"/>
  <c r="F21" i="558"/>
  <c r="F22" i="558"/>
  <c r="F23" i="558"/>
  <c r="F26" i="558"/>
  <c r="F27" i="558"/>
  <c r="F28" i="558"/>
  <c r="F29" i="558"/>
  <c r="F30" i="558"/>
  <c r="F31" i="558"/>
  <c r="F34" i="558"/>
  <c r="F35" i="558"/>
  <c r="F36" i="558"/>
  <c r="F37" i="558"/>
  <c r="F38" i="558"/>
  <c r="F39" i="558"/>
  <c r="F42" i="558"/>
  <c r="F43" i="558"/>
  <c r="F44" i="558"/>
  <c r="F45" i="558"/>
  <c r="G45" i="558" s="1"/>
  <c r="E48" i="557"/>
  <c r="F10" i="557"/>
  <c r="F11" i="557"/>
  <c r="F12" i="557"/>
  <c r="F13" i="557"/>
  <c r="F14" i="557"/>
  <c r="F15" i="557"/>
  <c r="F16" i="557"/>
  <c r="F17" i="557"/>
  <c r="F18" i="557"/>
  <c r="F21" i="557"/>
  <c r="F22" i="557"/>
  <c r="F23" i="557"/>
  <c r="F26" i="557"/>
  <c r="F27" i="557"/>
  <c r="F28" i="557"/>
  <c r="F29" i="557"/>
  <c r="F30" i="557"/>
  <c r="F31" i="557"/>
  <c r="F34" i="557"/>
  <c r="F35" i="557"/>
  <c r="F36" i="557"/>
  <c r="F37" i="557"/>
  <c r="F38" i="557"/>
  <c r="F39" i="557"/>
  <c r="F42" i="557"/>
  <c r="F43" i="557"/>
  <c r="F44" i="557"/>
  <c r="F45" i="557"/>
  <c r="G45" i="557" s="1"/>
  <c r="C24" i="556"/>
  <c r="C48" i="556" s="1"/>
  <c r="H48" i="556"/>
  <c r="H50" i="556" s="1"/>
  <c r="E6" i="556" s="1"/>
  <c r="E45" i="556"/>
  <c r="E44" i="556"/>
  <c r="E43" i="556"/>
  <c r="E42" i="556"/>
  <c r="E39" i="556"/>
  <c r="E38" i="556"/>
  <c r="E37" i="556"/>
  <c r="E36" i="556"/>
  <c r="E35" i="556"/>
  <c r="E34" i="556"/>
  <c r="E31" i="556"/>
  <c r="E30" i="556"/>
  <c r="E29" i="556"/>
  <c r="E28" i="556"/>
  <c r="E27" i="556"/>
  <c r="E23" i="556"/>
  <c r="E22" i="556"/>
  <c r="E21" i="556"/>
  <c r="E24" i="556"/>
  <c r="E26" i="556"/>
  <c r="E40" i="556"/>
  <c r="E46" i="556"/>
  <c r="A52" i="556" s="1"/>
  <c r="E32" i="556"/>
  <c r="J50" i="556"/>
  <c r="E50" i="556"/>
  <c r="C24" i="555"/>
  <c r="C48" i="555" s="1"/>
  <c r="H48" i="555"/>
  <c r="H50" i="555" s="1"/>
  <c r="E6" i="555" s="1"/>
  <c r="C24" i="554"/>
  <c r="C48" i="554" s="1"/>
  <c r="H48" i="554"/>
  <c r="H50" i="554" s="1"/>
  <c r="E6" i="554" s="1"/>
  <c r="C24" i="553"/>
  <c r="C48" i="553" s="1"/>
  <c r="H48" i="553"/>
  <c r="H50" i="553" s="1"/>
  <c r="E6" i="553" s="1"/>
  <c r="H46" i="552"/>
  <c r="C46" i="552" s="1"/>
  <c r="H40" i="552"/>
  <c r="C40" i="552" s="1"/>
  <c r="D50" i="552"/>
  <c r="D48" i="552"/>
  <c r="H32" i="552"/>
  <c r="C32" i="552" s="1"/>
  <c r="H24" i="552"/>
  <c r="H19" i="552"/>
  <c r="C19" i="552" s="1"/>
  <c r="H10" i="551"/>
  <c r="H11" i="551"/>
  <c r="H12" i="551"/>
  <c r="H13" i="551"/>
  <c r="H14" i="551"/>
  <c r="H15" i="551"/>
  <c r="H16" i="551"/>
  <c r="H17" i="551"/>
  <c r="H18" i="551"/>
  <c r="D50" i="551"/>
  <c r="E19" i="551"/>
  <c r="H21" i="551"/>
  <c r="H22" i="551"/>
  <c r="H23" i="551"/>
  <c r="D48" i="551"/>
  <c r="E24" i="551" s="1"/>
  <c r="H26" i="551"/>
  <c r="H27" i="551"/>
  <c r="H28" i="551"/>
  <c r="H29" i="551"/>
  <c r="H30" i="551"/>
  <c r="H31" i="551"/>
  <c r="H34" i="551"/>
  <c r="H35" i="551"/>
  <c r="H36" i="551"/>
  <c r="H37" i="551"/>
  <c r="H38" i="551"/>
  <c r="H39" i="551"/>
  <c r="H42" i="551"/>
  <c r="H43" i="551"/>
  <c r="H44" i="551"/>
  <c r="H10" i="550"/>
  <c r="H11" i="550"/>
  <c r="H12" i="550"/>
  <c r="H13" i="550"/>
  <c r="H14" i="550"/>
  <c r="H15" i="550"/>
  <c r="H16" i="550"/>
  <c r="H17" i="550"/>
  <c r="H18" i="550"/>
  <c r="E19" i="550"/>
  <c r="H21" i="550"/>
  <c r="H22" i="550"/>
  <c r="H23" i="550"/>
  <c r="H26" i="550"/>
  <c r="D32" i="550"/>
  <c r="H27" i="550"/>
  <c r="H28" i="550"/>
  <c r="H29" i="550"/>
  <c r="H30" i="550"/>
  <c r="H31" i="550"/>
  <c r="H34" i="550"/>
  <c r="D40" i="550"/>
  <c r="H35" i="550"/>
  <c r="H36" i="550"/>
  <c r="H37" i="550"/>
  <c r="H38" i="550"/>
  <c r="H39" i="550"/>
  <c r="H42" i="550"/>
  <c r="D46" i="550"/>
  <c r="H43" i="550"/>
  <c r="H44" i="550"/>
  <c r="H10" i="549"/>
  <c r="H11" i="549"/>
  <c r="H12" i="549"/>
  <c r="H13" i="549"/>
  <c r="H14" i="549"/>
  <c r="H15" i="549"/>
  <c r="H16" i="549"/>
  <c r="H17" i="549"/>
  <c r="H18" i="549"/>
  <c r="E19" i="549"/>
  <c r="H21" i="549"/>
  <c r="H22" i="549"/>
  <c r="H23" i="549"/>
  <c r="H26" i="549"/>
  <c r="D32" i="549"/>
  <c r="H27" i="549"/>
  <c r="H28" i="549"/>
  <c r="H29" i="549"/>
  <c r="H30" i="549"/>
  <c r="H31" i="549"/>
  <c r="H34" i="549"/>
  <c r="D40" i="549"/>
  <c r="H35" i="549"/>
  <c r="H36" i="549"/>
  <c r="H37" i="549"/>
  <c r="H38" i="549"/>
  <c r="H39" i="549"/>
  <c r="H42" i="549"/>
  <c r="D46" i="549"/>
  <c r="H43" i="549"/>
  <c r="H44" i="549"/>
  <c r="D34" i="548"/>
  <c r="D34" i="604" s="1"/>
  <c r="D26" i="548"/>
  <c r="D42" i="548"/>
  <c r="D42" i="604" s="1"/>
  <c r="G5" i="565" l="1"/>
  <c r="I50" i="562"/>
  <c r="G6" i="565"/>
  <c r="F50" i="565"/>
  <c r="I19" i="560"/>
  <c r="F19" i="560" s="1"/>
  <c r="G19" i="560" s="1"/>
  <c r="I32" i="560"/>
  <c r="F32" i="560" s="1"/>
  <c r="G32" i="560" s="1"/>
  <c r="E32" i="551"/>
  <c r="D42" i="603"/>
  <c r="H42" i="604"/>
  <c r="H46" i="604" s="1"/>
  <c r="D46" i="604"/>
  <c r="D34" i="603"/>
  <c r="H34" i="604"/>
  <c r="H40" i="604" s="1"/>
  <c r="D40" i="604"/>
  <c r="E46" i="551"/>
  <c r="A52" i="551" s="1"/>
  <c r="E40" i="551"/>
  <c r="I19" i="559"/>
  <c r="F19" i="559" s="1"/>
  <c r="G19" i="559" s="1"/>
  <c r="I32" i="559"/>
  <c r="F32" i="559" s="1"/>
  <c r="G32" i="559" s="1"/>
  <c r="I40" i="559"/>
  <c r="F40" i="559" s="1"/>
  <c r="G40" i="559" s="1"/>
  <c r="I46" i="559"/>
  <c r="F46" i="559" s="1"/>
  <c r="G46" i="559" s="1"/>
  <c r="I40" i="560"/>
  <c r="F40" i="560" s="1"/>
  <c r="G40" i="560" s="1"/>
  <c r="I46" i="560"/>
  <c r="F46" i="560" s="1"/>
  <c r="G46" i="560" s="1"/>
  <c r="A54" i="564"/>
  <c r="I51" i="564"/>
  <c r="F50" i="564"/>
  <c r="G6" i="564"/>
  <c r="G5" i="564"/>
  <c r="A54" i="563"/>
  <c r="I51" i="563"/>
  <c r="F50" i="563"/>
  <c r="G6" i="563"/>
  <c r="G5" i="563"/>
  <c r="A54" i="562"/>
  <c r="I51" i="562"/>
  <c r="F50" i="562"/>
  <c r="G6" i="562"/>
  <c r="G5" i="562"/>
  <c r="I24" i="560"/>
  <c r="I24" i="559"/>
  <c r="I44" i="558"/>
  <c r="G44" i="558"/>
  <c r="I43" i="558"/>
  <c r="G43" i="558"/>
  <c r="I42" i="558"/>
  <c r="G42" i="558"/>
  <c r="I39" i="558"/>
  <c r="G39" i="558"/>
  <c r="I38" i="558"/>
  <c r="G38" i="558"/>
  <c r="I37" i="558"/>
  <c r="G37" i="558"/>
  <c r="I36" i="558"/>
  <c r="G36" i="558"/>
  <c r="I35" i="558"/>
  <c r="G35" i="558"/>
  <c r="I34" i="558"/>
  <c r="G34" i="558"/>
  <c r="I31" i="558"/>
  <c r="G31" i="558"/>
  <c r="I30" i="558"/>
  <c r="G30" i="558"/>
  <c r="I29" i="558"/>
  <c r="G29" i="558"/>
  <c r="I28" i="558"/>
  <c r="G28" i="558"/>
  <c r="I27" i="558"/>
  <c r="G27" i="558"/>
  <c r="I26" i="558"/>
  <c r="G26" i="558"/>
  <c r="I23" i="558"/>
  <c r="G23" i="558"/>
  <c r="I22" i="558"/>
  <c r="G22" i="558"/>
  <c r="I21" i="558"/>
  <c r="G21" i="558"/>
  <c r="I18" i="558"/>
  <c r="G18" i="558"/>
  <c r="I17" i="558"/>
  <c r="G17" i="558"/>
  <c r="I16" i="558"/>
  <c r="G16" i="558"/>
  <c r="I15" i="558"/>
  <c r="G15" i="558"/>
  <c r="I14" i="558"/>
  <c r="G14" i="558"/>
  <c r="I13" i="558"/>
  <c r="G13" i="558"/>
  <c r="I12" i="558"/>
  <c r="G12" i="558"/>
  <c r="I11" i="558"/>
  <c r="G11" i="558"/>
  <c r="I10" i="558"/>
  <c r="G10" i="558"/>
  <c r="I44" i="557"/>
  <c r="G44" i="557"/>
  <c r="I43" i="557"/>
  <c r="G43" i="557"/>
  <c r="I42" i="557"/>
  <c r="G42" i="557"/>
  <c r="I39" i="557"/>
  <c r="G39" i="557"/>
  <c r="I38" i="557"/>
  <c r="G38" i="557"/>
  <c r="I37" i="557"/>
  <c r="G37" i="557"/>
  <c r="I36" i="557"/>
  <c r="G36" i="557"/>
  <c r="I35" i="557"/>
  <c r="G35" i="557"/>
  <c r="I34" i="557"/>
  <c r="G34" i="557"/>
  <c r="I31" i="557"/>
  <c r="G31" i="557"/>
  <c r="I30" i="557"/>
  <c r="G30" i="557"/>
  <c r="I29" i="557"/>
  <c r="G29" i="557"/>
  <c r="I28" i="557"/>
  <c r="G28" i="557"/>
  <c r="I27" i="557"/>
  <c r="G27" i="557"/>
  <c r="I26" i="557"/>
  <c r="G26" i="557"/>
  <c r="I23" i="557"/>
  <c r="G23" i="557"/>
  <c r="I22" i="557"/>
  <c r="G22" i="557"/>
  <c r="I21" i="557"/>
  <c r="G21" i="557"/>
  <c r="I18" i="557"/>
  <c r="G18" i="557"/>
  <c r="I17" i="557"/>
  <c r="G17" i="557"/>
  <c r="I16" i="557"/>
  <c r="G16" i="557"/>
  <c r="I15" i="557"/>
  <c r="G15" i="557"/>
  <c r="I14" i="557"/>
  <c r="G14" i="557"/>
  <c r="I13" i="557"/>
  <c r="G13" i="557"/>
  <c r="I12" i="557"/>
  <c r="G12" i="557"/>
  <c r="I11" i="557"/>
  <c r="G11" i="557"/>
  <c r="I10" i="557"/>
  <c r="G10" i="557"/>
  <c r="E48" i="556"/>
  <c r="F10" i="556"/>
  <c r="F11" i="556"/>
  <c r="F12" i="556"/>
  <c r="F13" i="556"/>
  <c r="F14" i="556"/>
  <c r="F15" i="556"/>
  <c r="F16" i="556"/>
  <c r="F17" i="556"/>
  <c r="F18" i="556"/>
  <c r="F21" i="556"/>
  <c r="F22" i="556"/>
  <c r="F23" i="556"/>
  <c r="F26" i="556"/>
  <c r="F27" i="556"/>
  <c r="F28" i="556"/>
  <c r="F29" i="556"/>
  <c r="F30" i="556"/>
  <c r="F31" i="556"/>
  <c r="F34" i="556"/>
  <c r="F35" i="556"/>
  <c r="F36" i="556"/>
  <c r="F37" i="556"/>
  <c r="F38" i="556"/>
  <c r="F39" i="556"/>
  <c r="F42" i="556"/>
  <c r="F43" i="556"/>
  <c r="F44" i="556"/>
  <c r="F45" i="556"/>
  <c r="G45" i="556" s="1"/>
  <c r="F10" i="555"/>
  <c r="F11" i="555"/>
  <c r="F12" i="555"/>
  <c r="F13" i="555"/>
  <c r="F14" i="555"/>
  <c r="F15" i="555"/>
  <c r="F16" i="555"/>
  <c r="F17" i="555"/>
  <c r="F18" i="555"/>
  <c r="F21" i="555"/>
  <c r="F22" i="555"/>
  <c r="F23" i="555"/>
  <c r="F26" i="555"/>
  <c r="F27" i="555"/>
  <c r="F28" i="555"/>
  <c r="F29" i="555"/>
  <c r="F30" i="555"/>
  <c r="F31" i="555"/>
  <c r="F34" i="555"/>
  <c r="F35" i="555"/>
  <c r="F36" i="555"/>
  <c r="F37" i="555"/>
  <c r="F38" i="555"/>
  <c r="F39" i="555"/>
  <c r="F42" i="555"/>
  <c r="F43" i="555"/>
  <c r="F44" i="555"/>
  <c r="F45" i="555"/>
  <c r="G45" i="555" s="1"/>
  <c r="F10" i="554"/>
  <c r="F11" i="554"/>
  <c r="F12" i="554"/>
  <c r="F13" i="554"/>
  <c r="F14" i="554"/>
  <c r="F15" i="554"/>
  <c r="F16" i="554"/>
  <c r="F17" i="554"/>
  <c r="F18" i="554"/>
  <c r="F21" i="554"/>
  <c r="F22" i="554"/>
  <c r="F23" i="554"/>
  <c r="F26" i="554"/>
  <c r="F27" i="554"/>
  <c r="F28" i="554"/>
  <c r="F29" i="554"/>
  <c r="F30" i="554"/>
  <c r="F31" i="554"/>
  <c r="F34" i="554"/>
  <c r="F35" i="554"/>
  <c r="F36" i="554"/>
  <c r="F37" i="554"/>
  <c r="F38" i="554"/>
  <c r="F39" i="554"/>
  <c r="F42" i="554"/>
  <c r="F43" i="554"/>
  <c r="F44" i="554"/>
  <c r="F45" i="554"/>
  <c r="G45" i="554" s="1"/>
  <c r="F10" i="553"/>
  <c r="F11" i="553"/>
  <c r="F12" i="553"/>
  <c r="F13" i="553"/>
  <c r="F14" i="553"/>
  <c r="F15" i="553"/>
  <c r="F16" i="553"/>
  <c r="F17" i="553"/>
  <c r="F18" i="553"/>
  <c r="F21" i="553"/>
  <c r="F22" i="553"/>
  <c r="F23" i="553"/>
  <c r="F26" i="553"/>
  <c r="F27" i="553"/>
  <c r="F28" i="553"/>
  <c r="F29" i="553"/>
  <c r="F30" i="553"/>
  <c r="F31" i="553"/>
  <c r="F34" i="553"/>
  <c r="F35" i="553"/>
  <c r="F36" i="553"/>
  <c r="F37" i="553"/>
  <c r="F38" i="553"/>
  <c r="F39" i="553"/>
  <c r="F42" i="553"/>
  <c r="F43" i="553"/>
  <c r="F44" i="553"/>
  <c r="F45" i="553"/>
  <c r="G45" i="553" s="1"/>
  <c r="C24" i="552"/>
  <c r="C48" i="552" s="1"/>
  <c r="H48" i="552"/>
  <c r="H50" i="552" s="1"/>
  <c r="E6" i="552" s="1"/>
  <c r="E45" i="552"/>
  <c r="E44" i="552"/>
  <c r="E43" i="552"/>
  <c r="E39" i="552"/>
  <c r="E38" i="552"/>
  <c r="E37" i="552"/>
  <c r="E36" i="552"/>
  <c r="E35" i="552"/>
  <c r="E31" i="552"/>
  <c r="E30" i="552"/>
  <c r="E29" i="552"/>
  <c r="E28" i="552"/>
  <c r="E27" i="552"/>
  <c r="E23" i="552"/>
  <c r="E22" i="552"/>
  <c r="E21" i="552"/>
  <c r="E24" i="552"/>
  <c r="E26" i="552"/>
  <c r="E34" i="552"/>
  <c r="E42" i="552"/>
  <c r="E46" i="552"/>
  <c r="A52" i="552" s="1"/>
  <c r="E40" i="552"/>
  <c r="E32" i="552"/>
  <c r="J50" i="552"/>
  <c r="E50" i="552"/>
  <c r="H46" i="551"/>
  <c r="C46" i="551" s="1"/>
  <c r="H40" i="551"/>
  <c r="C40" i="551" s="1"/>
  <c r="H32" i="551"/>
  <c r="C32" i="551" s="1"/>
  <c r="E45" i="551"/>
  <c r="E44" i="551"/>
  <c r="E43" i="551"/>
  <c r="E42" i="551"/>
  <c r="E39" i="551"/>
  <c r="E38" i="551"/>
  <c r="E37" i="551"/>
  <c r="E36" i="551"/>
  <c r="E35" i="551"/>
  <c r="E34" i="551"/>
  <c r="E31" i="551"/>
  <c r="E30" i="551"/>
  <c r="E29" i="551"/>
  <c r="E28" i="551"/>
  <c r="E27" i="551"/>
  <c r="E26" i="551"/>
  <c r="E23" i="551"/>
  <c r="E22" i="551"/>
  <c r="E21" i="551"/>
  <c r="H24" i="551"/>
  <c r="J50" i="551"/>
  <c r="E50" i="551"/>
  <c r="H19" i="551"/>
  <c r="C19" i="551" s="1"/>
  <c r="H46" i="550"/>
  <c r="C46" i="550" s="1"/>
  <c r="H40" i="550"/>
  <c r="C40" i="550" s="1"/>
  <c r="D50" i="550"/>
  <c r="D48" i="550"/>
  <c r="H32" i="550"/>
  <c r="C32" i="550" s="1"/>
  <c r="H24" i="550"/>
  <c r="H19" i="550"/>
  <c r="C19" i="550" s="1"/>
  <c r="H46" i="549"/>
  <c r="C46" i="549" s="1"/>
  <c r="H40" i="549"/>
  <c r="C40" i="549" s="1"/>
  <c r="D50" i="549"/>
  <c r="D48" i="549"/>
  <c r="H32" i="549"/>
  <c r="C32" i="549" s="1"/>
  <c r="H24" i="549"/>
  <c r="H19" i="549"/>
  <c r="C19" i="549" s="1"/>
  <c r="C45" i="548"/>
  <c r="C44" i="548"/>
  <c r="C43" i="548"/>
  <c r="C42" i="548"/>
  <c r="C39" i="548"/>
  <c r="C38" i="548"/>
  <c r="C37" i="548"/>
  <c r="C36" i="548"/>
  <c r="C35" i="548"/>
  <c r="C34" i="548"/>
  <c r="C31" i="548"/>
  <c r="C30" i="548"/>
  <c r="C29" i="548"/>
  <c r="C28" i="548"/>
  <c r="C27" i="548"/>
  <c r="C26" i="548"/>
  <c r="D24" i="548"/>
  <c r="C23" i="548"/>
  <c r="C22" i="548"/>
  <c r="C21" i="548"/>
  <c r="D19" i="548"/>
  <c r="E17" i="548" s="1"/>
  <c r="C18" i="548"/>
  <c r="C17" i="548"/>
  <c r="E16" i="548"/>
  <c r="C16" i="548"/>
  <c r="C15" i="548"/>
  <c r="E14" i="548"/>
  <c r="C14" i="548"/>
  <c r="C13" i="548"/>
  <c r="E12" i="548"/>
  <c r="C12" i="548"/>
  <c r="C11" i="548"/>
  <c r="E10" i="548"/>
  <c r="C10" i="548"/>
  <c r="C7" i="548"/>
  <c r="G4" i="548"/>
  <c r="E4" i="548"/>
  <c r="E18" i="548" l="1"/>
  <c r="I19" i="558"/>
  <c r="F19" i="558" s="1"/>
  <c r="G19" i="558" s="1"/>
  <c r="I32" i="558"/>
  <c r="F32" i="558" s="1"/>
  <c r="G32" i="558" s="1"/>
  <c r="E11" i="548"/>
  <c r="E13" i="548"/>
  <c r="E15" i="548"/>
  <c r="C40" i="604"/>
  <c r="E48" i="551"/>
  <c r="C46" i="604"/>
  <c r="I40" i="558"/>
  <c r="F40" i="558" s="1"/>
  <c r="G40" i="558" s="1"/>
  <c r="I46" i="558"/>
  <c r="F46" i="558" s="1"/>
  <c r="G46" i="558" s="1"/>
  <c r="I19" i="557"/>
  <c r="F19" i="557" s="1"/>
  <c r="G19" i="557" s="1"/>
  <c r="I32" i="557"/>
  <c r="F32" i="557" s="1"/>
  <c r="G32" i="557" s="1"/>
  <c r="I40" i="557"/>
  <c r="F40" i="557" s="1"/>
  <c r="G40" i="557" s="1"/>
  <c r="I46" i="557"/>
  <c r="F46" i="557" s="1"/>
  <c r="G46" i="557" s="1"/>
  <c r="H34" i="603"/>
  <c r="H40" i="603" s="1"/>
  <c r="D40" i="603"/>
  <c r="D46" i="603"/>
  <c r="H42" i="603"/>
  <c r="H46" i="603" s="1"/>
  <c r="F24" i="560"/>
  <c r="G24" i="560" s="1"/>
  <c r="I48" i="560"/>
  <c r="F48" i="560" s="1"/>
  <c r="F24" i="559"/>
  <c r="G24" i="559" s="1"/>
  <c r="I48" i="559"/>
  <c r="I24" i="558"/>
  <c r="I24" i="557"/>
  <c r="I44" i="556"/>
  <c r="G44" i="556"/>
  <c r="I43" i="556"/>
  <c r="G43" i="556"/>
  <c r="I42" i="556"/>
  <c r="G42" i="556"/>
  <c r="I39" i="556"/>
  <c r="G39" i="556"/>
  <c r="I38" i="556"/>
  <c r="G38" i="556"/>
  <c r="I37" i="556"/>
  <c r="G37" i="556"/>
  <c r="I36" i="556"/>
  <c r="G36" i="556"/>
  <c r="I35" i="556"/>
  <c r="G35" i="556"/>
  <c r="I34" i="556"/>
  <c r="G34" i="556"/>
  <c r="I31" i="556"/>
  <c r="G31" i="556"/>
  <c r="I30" i="556"/>
  <c r="G30" i="556"/>
  <c r="I29" i="556"/>
  <c r="G29" i="556"/>
  <c r="I28" i="556"/>
  <c r="G28" i="556"/>
  <c r="I27" i="556"/>
  <c r="G27" i="556"/>
  <c r="I26" i="556"/>
  <c r="G26" i="556"/>
  <c r="I23" i="556"/>
  <c r="G23" i="556"/>
  <c r="I22" i="556"/>
  <c r="G22" i="556"/>
  <c r="I21" i="556"/>
  <c r="G21" i="556"/>
  <c r="I18" i="556"/>
  <c r="G18" i="556"/>
  <c r="I17" i="556"/>
  <c r="G17" i="556"/>
  <c r="I16" i="556"/>
  <c r="G16" i="556"/>
  <c r="I15" i="556"/>
  <c r="G15" i="556"/>
  <c r="I14" i="556"/>
  <c r="G14" i="556"/>
  <c r="I13" i="556"/>
  <c r="G13" i="556"/>
  <c r="I12" i="556"/>
  <c r="G12" i="556"/>
  <c r="I11" i="556"/>
  <c r="G11" i="556"/>
  <c r="I10" i="556"/>
  <c r="G10" i="556"/>
  <c r="I44" i="555"/>
  <c r="G44" i="555"/>
  <c r="I43" i="555"/>
  <c r="G43" i="555"/>
  <c r="I42" i="555"/>
  <c r="G42" i="555"/>
  <c r="I39" i="555"/>
  <c r="G39" i="555"/>
  <c r="I38" i="555"/>
  <c r="G38" i="555"/>
  <c r="I37" i="555"/>
  <c r="G37" i="555"/>
  <c r="I36" i="555"/>
  <c r="G36" i="555"/>
  <c r="I35" i="555"/>
  <c r="G35" i="555"/>
  <c r="I34" i="555"/>
  <c r="G34" i="555"/>
  <c r="I31" i="555"/>
  <c r="G31" i="555"/>
  <c r="I30" i="555"/>
  <c r="G30" i="555"/>
  <c r="I29" i="555"/>
  <c r="G29" i="555"/>
  <c r="I28" i="555"/>
  <c r="G28" i="555"/>
  <c r="I27" i="555"/>
  <c r="G27" i="555"/>
  <c r="I26" i="555"/>
  <c r="G26" i="555"/>
  <c r="I23" i="555"/>
  <c r="G23" i="555"/>
  <c r="I22" i="555"/>
  <c r="G22" i="555"/>
  <c r="I21" i="555"/>
  <c r="G21" i="555"/>
  <c r="I18" i="555"/>
  <c r="G18" i="555"/>
  <c r="I17" i="555"/>
  <c r="G17" i="555"/>
  <c r="I16" i="555"/>
  <c r="G16" i="555"/>
  <c r="I15" i="555"/>
  <c r="G15" i="555"/>
  <c r="I14" i="555"/>
  <c r="G14" i="555"/>
  <c r="I13" i="555"/>
  <c r="G13" i="555"/>
  <c r="I12" i="555"/>
  <c r="G12" i="555"/>
  <c r="I11" i="555"/>
  <c r="G11" i="555"/>
  <c r="I10" i="555"/>
  <c r="G10" i="555"/>
  <c r="I44" i="554"/>
  <c r="G44" i="554"/>
  <c r="I43" i="554"/>
  <c r="G43" i="554"/>
  <c r="I42" i="554"/>
  <c r="G42" i="554"/>
  <c r="I39" i="554"/>
  <c r="G39" i="554"/>
  <c r="I38" i="554"/>
  <c r="G38" i="554"/>
  <c r="I37" i="554"/>
  <c r="G37" i="554"/>
  <c r="I36" i="554"/>
  <c r="G36" i="554"/>
  <c r="I35" i="554"/>
  <c r="G35" i="554"/>
  <c r="I34" i="554"/>
  <c r="G34" i="554"/>
  <c r="I31" i="554"/>
  <c r="G31" i="554"/>
  <c r="I30" i="554"/>
  <c r="G30" i="554"/>
  <c r="I29" i="554"/>
  <c r="G29" i="554"/>
  <c r="I28" i="554"/>
  <c r="G28" i="554"/>
  <c r="I27" i="554"/>
  <c r="G27" i="554"/>
  <c r="I26" i="554"/>
  <c r="G26" i="554"/>
  <c r="I23" i="554"/>
  <c r="G23" i="554"/>
  <c r="I22" i="554"/>
  <c r="G22" i="554"/>
  <c r="I21" i="554"/>
  <c r="G21" i="554"/>
  <c r="I18" i="554"/>
  <c r="G18" i="554"/>
  <c r="I17" i="554"/>
  <c r="G17" i="554"/>
  <c r="I16" i="554"/>
  <c r="G16" i="554"/>
  <c r="I15" i="554"/>
  <c r="G15" i="554"/>
  <c r="I14" i="554"/>
  <c r="G14" i="554"/>
  <c r="I13" i="554"/>
  <c r="G13" i="554"/>
  <c r="I12" i="554"/>
  <c r="G12" i="554"/>
  <c r="I11" i="554"/>
  <c r="G11" i="554"/>
  <c r="I10" i="554"/>
  <c r="G10" i="554"/>
  <c r="I44" i="553"/>
  <c r="G44" i="553"/>
  <c r="I43" i="553"/>
  <c r="G43" i="553"/>
  <c r="I42" i="553"/>
  <c r="G42" i="553"/>
  <c r="I39" i="553"/>
  <c r="G39" i="553"/>
  <c r="I38" i="553"/>
  <c r="G38" i="553"/>
  <c r="I37" i="553"/>
  <c r="G37" i="553"/>
  <c r="I36" i="553"/>
  <c r="G36" i="553"/>
  <c r="I35" i="553"/>
  <c r="G35" i="553"/>
  <c r="I34" i="553"/>
  <c r="G34" i="553"/>
  <c r="I31" i="553"/>
  <c r="G31" i="553"/>
  <c r="I30" i="553"/>
  <c r="G30" i="553"/>
  <c r="I29" i="553"/>
  <c r="G29" i="553"/>
  <c r="I28" i="553"/>
  <c r="G28" i="553"/>
  <c r="I27" i="553"/>
  <c r="G27" i="553"/>
  <c r="I26" i="553"/>
  <c r="G26" i="553"/>
  <c r="I23" i="553"/>
  <c r="G23" i="553"/>
  <c r="I22" i="553"/>
  <c r="G22" i="553"/>
  <c r="I21" i="553"/>
  <c r="G21" i="553"/>
  <c r="I18" i="553"/>
  <c r="G18" i="553"/>
  <c r="I17" i="553"/>
  <c r="G17" i="553"/>
  <c r="I16" i="553"/>
  <c r="G16" i="553"/>
  <c r="I15" i="553"/>
  <c r="G15" i="553"/>
  <c r="I14" i="553"/>
  <c r="G14" i="553"/>
  <c r="I13" i="553"/>
  <c r="G13" i="553"/>
  <c r="I12" i="553"/>
  <c r="G12" i="553"/>
  <c r="I11" i="553"/>
  <c r="G11" i="553"/>
  <c r="I10" i="553"/>
  <c r="G10" i="553"/>
  <c r="E48" i="552"/>
  <c r="F10" i="552"/>
  <c r="F11" i="552"/>
  <c r="F12" i="552"/>
  <c r="F13" i="552"/>
  <c r="F14" i="552"/>
  <c r="F15" i="552"/>
  <c r="F16" i="552"/>
  <c r="F17" i="552"/>
  <c r="F18" i="552"/>
  <c r="F21" i="552"/>
  <c r="F22" i="552"/>
  <c r="F23" i="552"/>
  <c r="F26" i="552"/>
  <c r="F27" i="552"/>
  <c r="F28" i="552"/>
  <c r="F29" i="552"/>
  <c r="F30" i="552"/>
  <c r="F31" i="552"/>
  <c r="F34" i="552"/>
  <c r="F35" i="552"/>
  <c r="F36" i="552"/>
  <c r="F37" i="552"/>
  <c r="F38" i="552"/>
  <c r="F39" i="552"/>
  <c r="F42" i="552"/>
  <c r="F43" i="552"/>
  <c r="F44" i="552"/>
  <c r="F45" i="552"/>
  <c r="G45" i="552" s="1"/>
  <c r="C24" i="551"/>
  <c r="C48" i="551" s="1"/>
  <c r="H48" i="551"/>
  <c r="H50" i="551" s="1"/>
  <c r="E6" i="551" s="1"/>
  <c r="C24" i="550"/>
  <c r="C48" i="550" s="1"/>
  <c r="H48" i="550"/>
  <c r="H50" i="550" s="1"/>
  <c r="E6" i="550" s="1"/>
  <c r="E45" i="550"/>
  <c r="E44" i="550"/>
  <c r="E43" i="550"/>
  <c r="E39" i="550"/>
  <c r="E38" i="550"/>
  <c r="E37" i="550"/>
  <c r="E36" i="550"/>
  <c r="E35" i="550"/>
  <c r="E31" i="550"/>
  <c r="E30" i="550"/>
  <c r="E29" i="550"/>
  <c r="E28" i="550"/>
  <c r="E27" i="550"/>
  <c r="E23" i="550"/>
  <c r="E22" i="550"/>
  <c r="E21" i="550"/>
  <c r="E24" i="550"/>
  <c r="E26" i="550"/>
  <c r="E34" i="550"/>
  <c r="E42" i="550"/>
  <c r="E46" i="550"/>
  <c r="A52" i="550" s="1"/>
  <c r="E40" i="550"/>
  <c r="E32" i="550"/>
  <c r="J50" i="550"/>
  <c r="E50" i="550"/>
  <c r="C24" i="549"/>
  <c r="C48" i="549" s="1"/>
  <c r="H48" i="549"/>
  <c r="H50" i="549" s="1"/>
  <c r="E6" i="549" s="1"/>
  <c r="E45" i="549"/>
  <c r="E44" i="549"/>
  <c r="E43" i="549"/>
  <c r="E39" i="549"/>
  <c r="E38" i="549"/>
  <c r="E37" i="549"/>
  <c r="E36" i="549"/>
  <c r="E35" i="549"/>
  <c r="E31" i="549"/>
  <c r="E30" i="549"/>
  <c r="E29" i="549"/>
  <c r="E28" i="549"/>
  <c r="E27" i="549"/>
  <c r="E23" i="549"/>
  <c r="E22" i="549"/>
  <c r="E21" i="549"/>
  <c r="E24" i="549"/>
  <c r="E26" i="549"/>
  <c r="E34" i="549"/>
  <c r="E42" i="549"/>
  <c r="E46" i="549"/>
  <c r="A52" i="549" s="1"/>
  <c r="E40" i="549"/>
  <c r="E32" i="549"/>
  <c r="J50" i="549"/>
  <c r="E50" i="549"/>
  <c r="H10" i="548"/>
  <c r="H11" i="548"/>
  <c r="H12" i="548"/>
  <c r="H13" i="548"/>
  <c r="H14" i="548"/>
  <c r="H15" i="548"/>
  <c r="H16" i="548"/>
  <c r="H17" i="548"/>
  <c r="H18" i="548"/>
  <c r="E19" i="548"/>
  <c r="H21" i="548"/>
  <c r="H22" i="548"/>
  <c r="H23" i="548"/>
  <c r="H26" i="548"/>
  <c r="D32" i="548"/>
  <c r="H27" i="548"/>
  <c r="H28" i="548"/>
  <c r="H29" i="548"/>
  <c r="H30" i="548"/>
  <c r="H31" i="548"/>
  <c r="H34" i="548"/>
  <c r="D40" i="548"/>
  <c r="H35" i="548"/>
  <c r="H36" i="548"/>
  <c r="H37" i="548"/>
  <c r="H38" i="548"/>
  <c r="H39" i="548"/>
  <c r="H42" i="548"/>
  <c r="D46" i="548"/>
  <c r="H43" i="548"/>
  <c r="H44" i="548"/>
  <c r="D26" i="547"/>
  <c r="D26" i="605" s="1"/>
  <c r="D46" i="547"/>
  <c r="C45" i="547"/>
  <c r="C44" i="547"/>
  <c r="C43" i="547"/>
  <c r="C42" i="547"/>
  <c r="D40" i="547"/>
  <c r="C39" i="547"/>
  <c r="C38" i="547"/>
  <c r="C37" i="547"/>
  <c r="C36" i="547"/>
  <c r="C35" i="547"/>
  <c r="C34" i="547"/>
  <c r="D32" i="547"/>
  <c r="C31" i="547"/>
  <c r="C30" i="547"/>
  <c r="C29" i="547"/>
  <c r="C28" i="547"/>
  <c r="C27" i="547"/>
  <c r="C26" i="547"/>
  <c r="D24" i="547"/>
  <c r="C23" i="547"/>
  <c r="C22" i="547"/>
  <c r="C21" i="547"/>
  <c r="D19" i="547"/>
  <c r="E17" i="547" s="1"/>
  <c r="C18" i="547"/>
  <c r="C17" i="547"/>
  <c r="C16" i="547"/>
  <c r="C15" i="547"/>
  <c r="C14" i="547"/>
  <c r="E13" i="547"/>
  <c r="C13" i="547"/>
  <c r="E12" i="547"/>
  <c r="C12" i="547"/>
  <c r="E11" i="547"/>
  <c r="C11" i="547"/>
  <c r="E10" i="547"/>
  <c r="C10" i="547"/>
  <c r="C7" i="547"/>
  <c r="G4" i="547"/>
  <c r="E4" i="547"/>
  <c r="D46" i="546"/>
  <c r="C45" i="546"/>
  <c r="C44" i="546"/>
  <c r="C43" i="546"/>
  <c r="C42" i="546"/>
  <c r="D40" i="546"/>
  <c r="C39" i="546"/>
  <c r="C38" i="546"/>
  <c r="C37" i="546"/>
  <c r="C36" i="546"/>
  <c r="C35" i="546"/>
  <c r="C34" i="546"/>
  <c r="C31" i="546"/>
  <c r="C30" i="546"/>
  <c r="C29" i="546"/>
  <c r="C28" i="546"/>
  <c r="C27" i="546"/>
  <c r="C26" i="546"/>
  <c r="D24" i="546"/>
  <c r="C23" i="546"/>
  <c r="C22" i="546"/>
  <c r="C21" i="546"/>
  <c r="D19" i="546"/>
  <c r="E17" i="546" s="1"/>
  <c r="C18" i="546"/>
  <c r="C17" i="546"/>
  <c r="C16" i="546"/>
  <c r="C15" i="546"/>
  <c r="C14" i="546"/>
  <c r="C13" i="546"/>
  <c r="C12" i="546"/>
  <c r="C11" i="546"/>
  <c r="C10" i="546"/>
  <c r="C7" i="546"/>
  <c r="G4" i="546"/>
  <c r="E4" i="546"/>
  <c r="E10" i="546" l="1"/>
  <c r="E12" i="546"/>
  <c r="E14" i="546"/>
  <c r="E16" i="546"/>
  <c r="E18" i="546"/>
  <c r="E14" i="547"/>
  <c r="E16" i="547"/>
  <c r="E18" i="547"/>
  <c r="C46" i="603"/>
  <c r="E11" i="546"/>
  <c r="E13" i="546"/>
  <c r="E15" i="546"/>
  <c r="E15" i="547"/>
  <c r="C40" i="603"/>
  <c r="I19" i="554"/>
  <c r="F19" i="554" s="1"/>
  <c r="G19" i="554" s="1"/>
  <c r="I32" i="554"/>
  <c r="F32" i="554" s="1"/>
  <c r="G32" i="554" s="1"/>
  <c r="I40" i="554"/>
  <c r="F40" i="554" s="1"/>
  <c r="G40" i="554" s="1"/>
  <c r="I46" i="554"/>
  <c r="F46" i="554" s="1"/>
  <c r="G46" i="554" s="1"/>
  <c r="I19" i="556"/>
  <c r="F19" i="556" s="1"/>
  <c r="G19" i="556" s="1"/>
  <c r="I50" i="560"/>
  <c r="A54" i="560" s="1"/>
  <c r="I32" i="556"/>
  <c r="F32" i="556" s="1"/>
  <c r="G32" i="556" s="1"/>
  <c r="D32" i="605"/>
  <c r="H26" i="605"/>
  <c r="I40" i="556"/>
  <c r="F40" i="556" s="1"/>
  <c r="G40" i="556" s="1"/>
  <c r="I46" i="556"/>
  <c r="F46" i="556" s="1"/>
  <c r="G46" i="556" s="1"/>
  <c r="I19" i="553"/>
  <c r="F19" i="553" s="1"/>
  <c r="G19" i="553" s="1"/>
  <c r="I32" i="553"/>
  <c r="F32" i="553" s="1"/>
  <c r="G32" i="553" s="1"/>
  <c r="I40" i="553"/>
  <c r="F40" i="553" s="1"/>
  <c r="G40" i="553" s="1"/>
  <c r="I46" i="553"/>
  <c r="F46" i="553" s="1"/>
  <c r="G46" i="553" s="1"/>
  <c r="I19" i="555"/>
  <c r="F19" i="555" s="1"/>
  <c r="G19" i="555" s="1"/>
  <c r="I32" i="555"/>
  <c r="F32" i="555" s="1"/>
  <c r="G32" i="555" s="1"/>
  <c r="I40" i="555"/>
  <c r="F40" i="555" s="1"/>
  <c r="G40" i="555" s="1"/>
  <c r="I46" i="555"/>
  <c r="F46" i="555" s="1"/>
  <c r="G46" i="555" s="1"/>
  <c r="I50" i="559"/>
  <c r="F48" i="559"/>
  <c r="F24" i="558"/>
  <c r="G24" i="558" s="1"/>
  <c r="I48" i="558"/>
  <c r="I50" i="558" s="1"/>
  <c r="F24" i="557"/>
  <c r="G24" i="557" s="1"/>
  <c r="I48" i="557"/>
  <c r="I24" i="556"/>
  <c r="I24" i="555"/>
  <c r="I24" i="554"/>
  <c r="I24" i="553"/>
  <c r="I44" i="552"/>
  <c r="G44" i="552"/>
  <c r="I43" i="552"/>
  <c r="G43" i="552"/>
  <c r="I42" i="552"/>
  <c r="G42" i="552"/>
  <c r="I39" i="552"/>
  <c r="G39" i="552"/>
  <c r="I38" i="552"/>
  <c r="G38" i="552"/>
  <c r="I37" i="552"/>
  <c r="G37" i="552"/>
  <c r="I36" i="552"/>
  <c r="G36" i="552"/>
  <c r="I35" i="552"/>
  <c r="G35" i="552"/>
  <c r="I34" i="552"/>
  <c r="G34" i="552"/>
  <c r="I31" i="552"/>
  <c r="G31" i="552"/>
  <c r="I30" i="552"/>
  <c r="G30" i="552"/>
  <c r="I29" i="552"/>
  <c r="G29" i="552"/>
  <c r="I28" i="552"/>
  <c r="G28" i="552"/>
  <c r="I27" i="552"/>
  <c r="G27" i="552"/>
  <c r="I26" i="552"/>
  <c r="G26" i="552"/>
  <c r="I23" i="552"/>
  <c r="G23" i="552"/>
  <c r="I22" i="552"/>
  <c r="G22" i="552"/>
  <c r="I21" i="552"/>
  <c r="G21" i="552"/>
  <c r="I18" i="552"/>
  <c r="G18" i="552"/>
  <c r="I17" i="552"/>
  <c r="G17" i="552"/>
  <c r="I16" i="552"/>
  <c r="G16" i="552"/>
  <c r="I15" i="552"/>
  <c r="G15" i="552"/>
  <c r="I14" i="552"/>
  <c r="G14" i="552"/>
  <c r="I13" i="552"/>
  <c r="G13" i="552"/>
  <c r="I12" i="552"/>
  <c r="G12" i="552"/>
  <c r="I11" i="552"/>
  <c r="G11" i="552"/>
  <c r="I10" i="552"/>
  <c r="G10" i="552"/>
  <c r="F10" i="551"/>
  <c r="F11" i="551"/>
  <c r="F12" i="551"/>
  <c r="F13" i="551"/>
  <c r="F14" i="551"/>
  <c r="F15" i="551"/>
  <c r="F16" i="551"/>
  <c r="F17" i="551"/>
  <c r="F18" i="551"/>
  <c r="F21" i="551"/>
  <c r="F22" i="551"/>
  <c r="F23" i="551"/>
  <c r="F26" i="551"/>
  <c r="F27" i="551"/>
  <c r="F28" i="551"/>
  <c r="F29" i="551"/>
  <c r="F30" i="551"/>
  <c r="F31" i="551"/>
  <c r="F34" i="551"/>
  <c r="F35" i="551"/>
  <c r="F36" i="551"/>
  <c r="F37" i="551"/>
  <c r="F38" i="551"/>
  <c r="F39" i="551"/>
  <c r="F42" i="551"/>
  <c r="F43" i="551"/>
  <c r="F44" i="551"/>
  <c r="F45" i="551"/>
  <c r="G45" i="551" s="1"/>
  <c r="E48" i="550"/>
  <c r="F10" i="550"/>
  <c r="F11" i="550"/>
  <c r="F12" i="550"/>
  <c r="F13" i="550"/>
  <c r="F14" i="550"/>
  <c r="F15" i="550"/>
  <c r="F16" i="550"/>
  <c r="F17" i="550"/>
  <c r="F18" i="550"/>
  <c r="F21" i="550"/>
  <c r="F22" i="550"/>
  <c r="F23" i="550"/>
  <c r="F26" i="550"/>
  <c r="F27" i="550"/>
  <c r="F28" i="550"/>
  <c r="F29" i="550"/>
  <c r="F30" i="550"/>
  <c r="F31" i="550"/>
  <c r="F34" i="550"/>
  <c r="F35" i="550"/>
  <c r="F36" i="550"/>
  <c r="F37" i="550"/>
  <c r="F38" i="550"/>
  <c r="F39" i="550"/>
  <c r="F42" i="550"/>
  <c r="F43" i="550"/>
  <c r="F44" i="550"/>
  <c r="F45" i="550"/>
  <c r="G45" i="550" s="1"/>
  <c r="E48" i="549"/>
  <c r="F10" i="549"/>
  <c r="F11" i="549"/>
  <c r="F12" i="549"/>
  <c r="F13" i="549"/>
  <c r="F14" i="549"/>
  <c r="F15" i="549"/>
  <c r="F16" i="549"/>
  <c r="F17" i="549"/>
  <c r="F18" i="549"/>
  <c r="F21" i="549"/>
  <c r="F22" i="549"/>
  <c r="F23" i="549"/>
  <c r="F26" i="549"/>
  <c r="F27" i="549"/>
  <c r="F28" i="549"/>
  <c r="F29" i="549"/>
  <c r="F30" i="549"/>
  <c r="F31" i="549"/>
  <c r="F34" i="549"/>
  <c r="F35" i="549"/>
  <c r="F36" i="549"/>
  <c r="F37" i="549"/>
  <c r="F38" i="549"/>
  <c r="F39" i="549"/>
  <c r="F42" i="549"/>
  <c r="F43" i="549"/>
  <c r="F44" i="549"/>
  <c r="F45" i="549"/>
  <c r="G45" i="549" s="1"/>
  <c r="H46" i="548"/>
  <c r="C46" i="548" s="1"/>
  <c r="H40" i="548"/>
  <c r="C40" i="548" s="1"/>
  <c r="D50" i="548"/>
  <c r="D48" i="548"/>
  <c r="H32" i="548"/>
  <c r="C32" i="548" s="1"/>
  <c r="H24" i="548"/>
  <c r="H19" i="548"/>
  <c r="C19" i="548" s="1"/>
  <c r="H10" i="547"/>
  <c r="H11" i="547"/>
  <c r="H12" i="547"/>
  <c r="H13" i="547"/>
  <c r="H14" i="547"/>
  <c r="H15" i="547"/>
  <c r="H16" i="547"/>
  <c r="H17" i="547"/>
  <c r="H18" i="547"/>
  <c r="D50" i="547"/>
  <c r="E19" i="547"/>
  <c r="H21" i="547"/>
  <c r="H22" i="547"/>
  <c r="H23" i="547"/>
  <c r="D48" i="547"/>
  <c r="E40" i="547" s="1"/>
  <c r="H26" i="547"/>
  <c r="H27" i="547"/>
  <c r="H28" i="547"/>
  <c r="H29" i="547"/>
  <c r="H30" i="547"/>
  <c r="H31" i="547"/>
  <c r="H34" i="547"/>
  <c r="H35" i="547"/>
  <c r="H36" i="547"/>
  <c r="H37" i="547"/>
  <c r="H38" i="547"/>
  <c r="H39" i="547"/>
  <c r="H42" i="547"/>
  <c r="H43" i="547"/>
  <c r="H44" i="547"/>
  <c r="H10" i="546"/>
  <c r="H11" i="546"/>
  <c r="H12" i="546"/>
  <c r="H13" i="546"/>
  <c r="H14" i="546"/>
  <c r="H15" i="546"/>
  <c r="H16" i="546"/>
  <c r="H17" i="546"/>
  <c r="H18" i="546"/>
  <c r="E19" i="546"/>
  <c r="H21" i="546"/>
  <c r="H22" i="546"/>
  <c r="H23" i="546"/>
  <c r="H26" i="546"/>
  <c r="D32" i="546"/>
  <c r="H27" i="546"/>
  <c r="H28" i="546"/>
  <c r="H29" i="546"/>
  <c r="H30" i="546"/>
  <c r="H31" i="546"/>
  <c r="H34" i="546"/>
  <c r="H35" i="546"/>
  <c r="H36" i="546"/>
  <c r="H37" i="546"/>
  <c r="H38" i="546"/>
  <c r="H39" i="546"/>
  <c r="H42" i="546"/>
  <c r="H43" i="546"/>
  <c r="H44" i="546"/>
  <c r="D26" i="545"/>
  <c r="D32" i="545" s="1"/>
  <c r="D46" i="545"/>
  <c r="C45" i="545"/>
  <c r="C44" i="545"/>
  <c r="C43" i="545"/>
  <c r="C42" i="545"/>
  <c r="D40" i="545"/>
  <c r="C39" i="545"/>
  <c r="C38" i="545"/>
  <c r="C37" i="545"/>
  <c r="C36" i="545"/>
  <c r="C35" i="545"/>
  <c r="C34" i="545"/>
  <c r="C31" i="545"/>
  <c r="C30" i="545"/>
  <c r="C29" i="545"/>
  <c r="C28" i="545"/>
  <c r="C27" i="545"/>
  <c r="C26" i="545"/>
  <c r="D24" i="545"/>
  <c r="C23" i="545"/>
  <c r="C22" i="545"/>
  <c r="C21" i="545"/>
  <c r="D19" i="545"/>
  <c r="E18" i="545" s="1"/>
  <c r="C18" i="545"/>
  <c r="C17" i="545"/>
  <c r="C16" i="545"/>
  <c r="C15" i="545"/>
  <c r="C14" i="545"/>
  <c r="C13" i="545"/>
  <c r="C12" i="545"/>
  <c r="C11" i="545"/>
  <c r="C10" i="545"/>
  <c r="C7" i="545"/>
  <c r="G4" i="545"/>
  <c r="E4" i="545"/>
  <c r="G6" i="560" l="1"/>
  <c r="F50" i="560"/>
  <c r="I19" i="552"/>
  <c r="F19" i="552" s="1"/>
  <c r="G19" i="552" s="1"/>
  <c r="I32" i="552"/>
  <c r="F32" i="552" s="1"/>
  <c r="G32" i="552" s="1"/>
  <c r="I40" i="552"/>
  <c r="F40" i="552" s="1"/>
  <c r="G40" i="552" s="1"/>
  <c r="I51" i="560"/>
  <c r="G5" i="560"/>
  <c r="I46" i="552"/>
  <c r="F46" i="552" s="1"/>
  <c r="G46" i="552" s="1"/>
  <c r="E11" i="545"/>
  <c r="E13" i="545"/>
  <c r="E15" i="545"/>
  <c r="E17" i="545"/>
  <c r="E10" i="545"/>
  <c r="E12" i="545"/>
  <c r="E14" i="545"/>
  <c r="E16" i="545"/>
  <c r="E32" i="547"/>
  <c r="E24" i="547"/>
  <c r="F48" i="558"/>
  <c r="H32" i="605"/>
  <c r="C32" i="605" s="1"/>
  <c r="C48" i="605" s="1"/>
  <c r="E46" i="547"/>
  <c r="A52" i="547" s="1"/>
  <c r="D48" i="605"/>
  <c r="E32" i="605" s="1"/>
  <c r="D50" i="605"/>
  <c r="A54" i="559"/>
  <c r="I51" i="559"/>
  <c r="F50" i="559"/>
  <c r="G6" i="559"/>
  <c r="G5" i="559"/>
  <c r="A54" i="558"/>
  <c r="I51" i="558"/>
  <c r="F50" i="558"/>
  <c r="G6" i="558"/>
  <c r="G5" i="558"/>
  <c r="I50" i="557"/>
  <c r="F48" i="557"/>
  <c r="F24" i="556"/>
  <c r="G24" i="556" s="1"/>
  <c r="I48" i="556"/>
  <c r="F24" i="555"/>
  <c r="G24" i="555" s="1"/>
  <c r="I48" i="555"/>
  <c r="F24" i="554"/>
  <c r="G24" i="554" s="1"/>
  <c r="I48" i="554"/>
  <c r="F24" i="553"/>
  <c r="G24" i="553" s="1"/>
  <c r="I48" i="553"/>
  <c r="I24" i="552"/>
  <c r="I44" i="551"/>
  <c r="G44" i="551"/>
  <c r="I43" i="551"/>
  <c r="G43" i="551"/>
  <c r="I42" i="551"/>
  <c r="G42" i="551"/>
  <c r="I39" i="551"/>
  <c r="G39" i="551"/>
  <c r="I38" i="551"/>
  <c r="G38" i="551"/>
  <c r="I37" i="551"/>
  <c r="G37" i="551"/>
  <c r="I36" i="551"/>
  <c r="G36" i="551"/>
  <c r="I35" i="551"/>
  <c r="G35" i="551"/>
  <c r="I34" i="551"/>
  <c r="G34" i="551"/>
  <c r="I31" i="551"/>
  <c r="G31" i="551"/>
  <c r="I30" i="551"/>
  <c r="G30" i="551"/>
  <c r="I29" i="551"/>
  <c r="G29" i="551"/>
  <c r="I28" i="551"/>
  <c r="G28" i="551"/>
  <c r="I27" i="551"/>
  <c r="G27" i="551"/>
  <c r="I26" i="551"/>
  <c r="G26" i="551"/>
  <c r="I23" i="551"/>
  <c r="G23" i="551"/>
  <c r="I22" i="551"/>
  <c r="G22" i="551"/>
  <c r="I21" i="551"/>
  <c r="G21" i="551"/>
  <c r="I18" i="551"/>
  <c r="G18" i="551"/>
  <c r="I17" i="551"/>
  <c r="G17" i="551"/>
  <c r="I16" i="551"/>
  <c r="G16" i="551"/>
  <c r="I15" i="551"/>
  <c r="G15" i="551"/>
  <c r="I14" i="551"/>
  <c r="G14" i="551"/>
  <c r="I13" i="551"/>
  <c r="G13" i="551"/>
  <c r="I12" i="551"/>
  <c r="G12" i="551"/>
  <c r="I11" i="551"/>
  <c r="G11" i="551"/>
  <c r="I10" i="551"/>
  <c r="G10" i="551"/>
  <c r="I44" i="550"/>
  <c r="G44" i="550"/>
  <c r="I43" i="550"/>
  <c r="G43" i="550"/>
  <c r="I42" i="550"/>
  <c r="G42" i="550"/>
  <c r="I39" i="550"/>
  <c r="G39" i="550"/>
  <c r="I38" i="550"/>
  <c r="G38" i="550"/>
  <c r="I37" i="550"/>
  <c r="G37" i="550"/>
  <c r="I36" i="550"/>
  <c r="G36" i="550"/>
  <c r="I35" i="550"/>
  <c r="G35" i="550"/>
  <c r="I34" i="550"/>
  <c r="G34" i="550"/>
  <c r="I31" i="550"/>
  <c r="G31" i="550"/>
  <c r="I30" i="550"/>
  <c r="G30" i="550"/>
  <c r="I29" i="550"/>
  <c r="G29" i="550"/>
  <c r="I28" i="550"/>
  <c r="G28" i="550"/>
  <c r="I27" i="550"/>
  <c r="G27" i="550"/>
  <c r="I26" i="550"/>
  <c r="G26" i="550"/>
  <c r="I23" i="550"/>
  <c r="G23" i="550"/>
  <c r="I22" i="550"/>
  <c r="G22" i="550"/>
  <c r="I21" i="550"/>
  <c r="G21" i="550"/>
  <c r="I18" i="550"/>
  <c r="G18" i="550"/>
  <c r="I17" i="550"/>
  <c r="G17" i="550"/>
  <c r="I16" i="550"/>
  <c r="G16" i="550"/>
  <c r="I15" i="550"/>
  <c r="G15" i="550"/>
  <c r="I14" i="550"/>
  <c r="G14" i="550"/>
  <c r="I13" i="550"/>
  <c r="G13" i="550"/>
  <c r="I12" i="550"/>
  <c r="G12" i="550"/>
  <c r="I11" i="550"/>
  <c r="G11" i="550"/>
  <c r="I10" i="550"/>
  <c r="G10" i="550"/>
  <c r="I44" i="549"/>
  <c r="G44" i="549"/>
  <c r="I43" i="549"/>
  <c r="G43" i="549"/>
  <c r="I42" i="549"/>
  <c r="G42" i="549"/>
  <c r="I39" i="549"/>
  <c r="G39" i="549"/>
  <c r="I38" i="549"/>
  <c r="G38" i="549"/>
  <c r="I37" i="549"/>
  <c r="G37" i="549"/>
  <c r="I36" i="549"/>
  <c r="G36" i="549"/>
  <c r="I35" i="549"/>
  <c r="G35" i="549"/>
  <c r="I34" i="549"/>
  <c r="G34" i="549"/>
  <c r="I31" i="549"/>
  <c r="G31" i="549"/>
  <c r="I30" i="549"/>
  <c r="G30" i="549"/>
  <c r="I29" i="549"/>
  <c r="G29" i="549"/>
  <c r="I28" i="549"/>
  <c r="G28" i="549"/>
  <c r="I27" i="549"/>
  <c r="G27" i="549"/>
  <c r="I26" i="549"/>
  <c r="G26" i="549"/>
  <c r="I23" i="549"/>
  <c r="G23" i="549"/>
  <c r="I22" i="549"/>
  <c r="G22" i="549"/>
  <c r="I21" i="549"/>
  <c r="G21" i="549"/>
  <c r="I18" i="549"/>
  <c r="G18" i="549"/>
  <c r="I17" i="549"/>
  <c r="G17" i="549"/>
  <c r="I16" i="549"/>
  <c r="G16" i="549"/>
  <c r="I15" i="549"/>
  <c r="G15" i="549"/>
  <c r="I14" i="549"/>
  <c r="G14" i="549"/>
  <c r="I13" i="549"/>
  <c r="G13" i="549"/>
  <c r="I12" i="549"/>
  <c r="G12" i="549"/>
  <c r="I11" i="549"/>
  <c r="G11" i="549"/>
  <c r="I10" i="549"/>
  <c r="G10" i="549"/>
  <c r="C24" i="548"/>
  <c r="C48" i="548" s="1"/>
  <c r="H48" i="548"/>
  <c r="H50" i="548" s="1"/>
  <c r="E6" i="548" s="1"/>
  <c r="E45" i="548"/>
  <c r="E44" i="548"/>
  <c r="E43" i="548"/>
  <c r="E39" i="548"/>
  <c r="E38" i="548"/>
  <c r="E37" i="548"/>
  <c r="E36" i="548"/>
  <c r="E35" i="548"/>
  <c r="E31" i="548"/>
  <c r="E30" i="548"/>
  <c r="E29" i="548"/>
  <c r="E28" i="548"/>
  <c r="E27" i="548"/>
  <c r="E23" i="548"/>
  <c r="E22" i="548"/>
  <c r="E21" i="548"/>
  <c r="E24" i="548"/>
  <c r="E26" i="548"/>
  <c r="E34" i="548"/>
  <c r="E42" i="548"/>
  <c r="E46" i="548"/>
  <c r="A52" i="548" s="1"/>
  <c r="E40" i="548"/>
  <c r="E32" i="548"/>
  <c r="J50" i="548"/>
  <c r="E50" i="548"/>
  <c r="H46" i="547"/>
  <c r="C46" i="547" s="1"/>
  <c r="H40" i="547"/>
  <c r="C40" i="547" s="1"/>
  <c r="H32" i="547"/>
  <c r="C32" i="547" s="1"/>
  <c r="E45" i="547"/>
  <c r="E44" i="547"/>
  <c r="E43" i="547"/>
  <c r="E42" i="547"/>
  <c r="E39" i="547"/>
  <c r="E38" i="547"/>
  <c r="E37" i="547"/>
  <c r="E36" i="547"/>
  <c r="E35" i="547"/>
  <c r="E34" i="547"/>
  <c r="E31" i="547"/>
  <c r="E30" i="547"/>
  <c r="E29" i="547"/>
  <c r="E28" i="547"/>
  <c r="E27" i="547"/>
  <c r="E26" i="547"/>
  <c r="E23" i="547"/>
  <c r="E22" i="547"/>
  <c r="E21" i="547"/>
  <c r="H24" i="547"/>
  <c r="J50" i="547"/>
  <c r="E50" i="547"/>
  <c r="H19" i="547"/>
  <c r="C19" i="547" s="1"/>
  <c r="H46" i="546"/>
  <c r="C46" i="546" s="1"/>
  <c r="H40" i="546"/>
  <c r="C40" i="546" s="1"/>
  <c r="D50" i="546"/>
  <c r="D48" i="546"/>
  <c r="H32" i="546"/>
  <c r="C32" i="546" s="1"/>
  <c r="H24" i="546"/>
  <c r="H19" i="546"/>
  <c r="C19" i="546" s="1"/>
  <c r="H10" i="545"/>
  <c r="H11" i="545"/>
  <c r="H12" i="545"/>
  <c r="H13" i="545"/>
  <c r="H14" i="545"/>
  <c r="H15" i="545"/>
  <c r="H16" i="545"/>
  <c r="H17" i="545"/>
  <c r="H18" i="545"/>
  <c r="D50" i="545"/>
  <c r="E19" i="545"/>
  <c r="H21" i="545"/>
  <c r="H22" i="545"/>
  <c r="H23" i="545"/>
  <c r="D48" i="545"/>
  <c r="E24" i="545" s="1"/>
  <c r="H26" i="545"/>
  <c r="H27" i="545"/>
  <c r="H28" i="545"/>
  <c r="H29" i="545"/>
  <c r="H30" i="545"/>
  <c r="H31" i="545"/>
  <c r="E32" i="545"/>
  <c r="H34" i="545"/>
  <c r="H35" i="545"/>
  <c r="H36" i="545"/>
  <c r="H37" i="545"/>
  <c r="H38" i="545"/>
  <c r="H39" i="545"/>
  <c r="H42" i="545"/>
  <c r="H43" i="545"/>
  <c r="H44" i="545"/>
  <c r="E3" i="541"/>
  <c r="D43" i="541"/>
  <c r="D45" i="541"/>
  <c r="D35" i="541"/>
  <c r="D36" i="541"/>
  <c r="D37" i="541"/>
  <c r="D38" i="541"/>
  <c r="D39" i="541"/>
  <c r="D31" i="541"/>
  <c r="D22" i="541"/>
  <c r="D23" i="541"/>
  <c r="D21" i="541"/>
  <c r="D11" i="541"/>
  <c r="D12" i="541"/>
  <c r="D13" i="541"/>
  <c r="D14" i="541"/>
  <c r="D15" i="541"/>
  <c r="D16" i="541"/>
  <c r="D17" i="541"/>
  <c r="D18" i="541"/>
  <c r="D10" i="541"/>
  <c r="D46" i="544"/>
  <c r="C45" i="544"/>
  <c r="C44" i="544"/>
  <c r="C43" i="544"/>
  <c r="C42" i="544"/>
  <c r="D40" i="544"/>
  <c r="C39" i="544"/>
  <c r="C38" i="544"/>
  <c r="C37" i="544"/>
  <c r="C36" i="544"/>
  <c r="C35" i="544"/>
  <c r="C34" i="544"/>
  <c r="C31" i="544"/>
  <c r="C30" i="544"/>
  <c r="C29" i="544"/>
  <c r="C28" i="544"/>
  <c r="C27" i="544"/>
  <c r="C26" i="544"/>
  <c r="D24" i="544"/>
  <c r="C23" i="544"/>
  <c r="C22" i="544"/>
  <c r="C21" i="544"/>
  <c r="D19" i="544"/>
  <c r="E17" i="544" s="1"/>
  <c r="C18" i="544"/>
  <c r="C17" i="544"/>
  <c r="C16" i="544"/>
  <c r="C15" i="544"/>
  <c r="C14" i="544"/>
  <c r="C13" i="544"/>
  <c r="C12" i="544"/>
  <c r="C11" i="544"/>
  <c r="C10" i="544"/>
  <c r="C7" i="544"/>
  <c r="G4" i="544"/>
  <c r="E4" i="544"/>
  <c r="D26" i="543"/>
  <c r="D26" i="604" s="1"/>
  <c r="D46" i="543"/>
  <c r="C45" i="543"/>
  <c r="C44" i="543"/>
  <c r="C43" i="543"/>
  <c r="C42" i="543"/>
  <c r="D40" i="543"/>
  <c r="C39" i="543"/>
  <c r="C38" i="543"/>
  <c r="C37" i="543"/>
  <c r="C36" i="543"/>
  <c r="C35" i="543"/>
  <c r="C34" i="543"/>
  <c r="C31" i="543"/>
  <c r="C30" i="543"/>
  <c r="C29" i="543"/>
  <c r="C28" i="543"/>
  <c r="C27" i="543"/>
  <c r="C26" i="543"/>
  <c r="D24" i="543"/>
  <c r="C23" i="543"/>
  <c r="C22" i="543"/>
  <c r="C21" i="543"/>
  <c r="D19" i="543"/>
  <c r="E18" i="543" s="1"/>
  <c r="C18" i="543"/>
  <c r="C17" i="543"/>
  <c r="C16" i="543"/>
  <c r="C15" i="543"/>
  <c r="C14" i="543"/>
  <c r="C13" i="543"/>
  <c r="C12" i="543"/>
  <c r="C11" i="543"/>
  <c r="C10" i="543"/>
  <c r="C7" i="543"/>
  <c r="G4" i="543"/>
  <c r="E4" i="543"/>
  <c r="E46" i="545" l="1"/>
  <c r="A52" i="545" s="1"/>
  <c r="E40" i="545"/>
  <c r="I19" i="550"/>
  <c r="F19" i="550" s="1"/>
  <c r="G19" i="550" s="1"/>
  <c r="I32" i="550"/>
  <c r="F32" i="550" s="1"/>
  <c r="G32" i="550" s="1"/>
  <c r="I40" i="550"/>
  <c r="F40" i="550" s="1"/>
  <c r="G40" i="550" s="1"/>
  <c r="I46" i="550"/>
  <c r="F46" i="550" s="1"/>
  <c r="G46" i="550" s="1"/>
  <c r="H48" i="605"/>
  <c r="H50" i="605" s="1"/>
  <c r="E6" i="605" s="1"/>
  <c r="F12" i="605" s="1"/>
  <c r="D26" i="603"/>
  <c r="H26" i="604"/>
  <c r="D32" i="604"/>
  <c r="D50" i="604"/>
  <c r="E11" i="543"/>
  <c r="E13" i="543"/>
  <c r="E15" i="543"/>
  <c r="E17" i="543"/>
  <c r="E10" i="544"/>
  <c r="E12" i="544"/>
  <c r="E14" i="544"/>
  <c r="E16" i="544"/>
  <c r="E18" i="544"/>
  <c r="I19" i="549"/>
  <c r="F19" i="549" s="1"/>
  <c r="G19" i="549" s="1"/>
  <c r="I32" i="549"/>
  <c r="F32" i="549" s="1"/>
  <c r="G32" i="549" s="1"/>
  <c r="I40" i="549"/>
  <c r="F40" i="549" s="1"/>
  <c r="G40" i="549" s="1"/>
  <c r="I46" i="549"/>
  <c r="F46" i="549" s="1"/>
  <c r="G46" i="549" s="1"/>
  <c r="I19" i="551"/>
  <c r="F19" i="551" s="1"/>
  <c r="G19" i="551" s="1"/>
  <c r="I32" i="551"/>
  <c r="F32" i="551" s="1"/>
  <c r="G32" i="551" s="1"/>
  <c r="I40" i="551"/>
  <c r="F40" i="551" s="1"/>
  <c r="G40" i="551" s="1"/>
  <c r="I46" i="551"/>
  <c r="F46" i="551" s="1"/>
  <c r="G46" i="551" s="1"/>
  <c r="E24" i="605"/>
  <c r="E21" i="605"/>
  <c r="E27" i="605"/>
  <c r="E37" i="605"/>
  <c r="E43" i="605"/>
  <c r="E22" i="605"/>
  <c r="E28" i="605"/>
  <c r="E38" i="605"/>
  <c r="E44" i="605"/>
  <c r="E23" i="605"/>
  <c r="E35" i="605"/>
  <c r="E39" i="605"/>
  <c r="E45" i="605"/>
  <c r="E36" i="605"/>
  <c r="E29" i="605"/>
  <c r="E30" i="605"/>
  <c r="E31" i="605"/>
  <c r="E34" i="605"/>
  <c r="E40" i="605"/>
  <c r="E42" i="605"/>
  <c r="E46" i="605"/>
  <c r="A52" i="605" s="1"/>
  <c r="E26" i="605"/>
  <c r="E10" i="543"/>
  <c r="E12" i="543"/>
  <c r="E14" i="543"/>
  <c r="E16" i="543"/>
  <c r="D32" i="543"/>
  <c r="E11" i="544"/>
  <c r="E13" i="544"/>
  <c r="E15" i="544"/>
  <c r="E48" i="547"/>
  <c r="J50" i="605"/>
  <c r="E50" i="605"/>
  <c r="F38" i="605"/>
  <c r="F11" i="605"/>
  <c r="F21" i="605"/>
  <c r="F43" i="605"/>
  <c r="F13" i="605"/>
  <c r="F17" i="605"/>
  <c r="F23" i="605"/>
  <c r="F29" i="605"/>
  <c r="F35" i="605"/>
  <c r="F39" i="605"/>
  <c r="F45" i="605"/>
  <c r="G45" i="605" s="1"/>
  <c r="F10" i="605"/>
  <c r="F14" i="605"/>
  <c r="F18" i="605"/>
  <c r="F26" i="605"/>
  <c r="F30" i="605"/>
  <c r="F36" i="605"/>
  <c r="F42" i="605"/>
  <c r="F15" i="605"/>
  <c r="F27" i="605"/>
  <c r="F37" i="605"/>
  <c r="A54" i="557"/>
  <c r="I51" i="557"/>
  <c r="F50" i="557"/>
  <c r="G6" i="557"/>
  <c r="G5" i="557"/>
  <c r="I50" i="556"/>
  <c r="F48" i="556"/>
  <c r="I50" i="555"/>
  <c r="F48" i="555"/>
  <c r="I50" i="554"/>
  <c r="F48" i="554"/>
  <c r="I50" i="553"/>
  <c r="F48" i="553"/>
  <c r="F24" i="552"/>
  <c r="G24" i="552" s="1"/>
  <c r="I48" i="552"/>
  <c r="I24" i="551"/>
  <c r="I24" i="550"/>
  <c r="I24" i="549"/>
  <c r="E48" i="548"/>
  <c r="F10" i="548"/>
  <c r="F11" i="548"/>
  <c r="F12" i="548"/>
  <c r="F13" i="548"/>
  <c r="F14" i="548"/>
  <c r="F15" i="548"/>
  <c r="F16" i="548"/>
  <c r="F17" i="548"/>
  <c r="F18" i="548"/>
  <c r="F21" i="548"/>
  <c r="F22" i="548"/>
  <c r="F23" i="548"/>
  <c r="F26" i="548"/>
  <c r="F27" i="548"/>
  <c r="F28" i="548"/>
  <c r="F29" i="548"/>
  <c r="F30" i="548"/>
  <c r="F31" i="548"/>
  <c r="F34" i="548"/>
  <c r="F35" i="548"/>
  <c r="F36" i="548"/>
  <c r="F37" i="548"/>
  <c r="F38" i="548"/>
  <c r="F39" i="548"/>
  <c r="F42" i="548"/>
  <c r="F43" i="548"/>
  <c r="F44" i="548"/>
  <c r="F45" i="548"/>
  <c r="G45" i="548" s="1"/>
  <c r="C24" i="547"/>
  <c r="C48" i="547" s="1"/>
  <c r="H48" i="547"/>
  <c r="H50" i="547" s="1"/>
  <c r="E6" i="547" s="1"/>
  <c r="C24" i="546"/>
  <c r="C48" i="546" s="1"/>
  <c r="H48" i="546"/>
  <c r="H50" i="546" s="1"/>
  <c r="E6" i="546" s="1"/>
  <c r="E45" i="546"/>
  <c r="E44" i="546"/>
  <c r="E43" i="546"/>
  <c r="E42" i="546"/>
  <c r="E39" i="546"/>
  <c r="E38" i="546"/>
  <c r="E37" i="546"/>
  <c r="E36" i="546"/>
  <c r="E35" i="546"/>
  <c r="E34" i="546"/>
  <c r="E31" i="546"/>
  <c r="E30" i="546"/>
  <c r="E29" i="546"/>
  <c r="E28" i="546"/>
  <c r="E27" i="546"/>
  <c r="E23" i="546"/>
  <c r="E22" i="546"/>
  <c r="E21" i="546"/>
  <c r="E24" i="546"/>
  <c r="E26" i="546"/>
  <c r="E40" i="546"/>
  <c r="E46" i="546"/>
  <c r="A52" i="546" s="1"/>
  <c r="E32" i="546"/>
  <c r="J50" i="546"/>
  <c r="E50" i="546"/>
  <c r="H46" i="545"/>
  <c r="C46" i="545" s="1"/>
  <c r="H40" i="545"/>
  <c r="C40" i="545" s="1"/>
  <c r="H32" i="545"/>
  <c r="C32" i="545" s="1"/>
  <c r="E45" i="545"/>
  <c r="E44" i="545"/>
  <c r="E43" i="545"/>
  <c r="E42" i="545"/>
  <c r="E39" i="545"/>
  <c r="E38" i="545"/>
  <c r="E37" i="545"/>
  <c r="E36" i="545"/>
  <c r="E35" i="545"/>
  <c r="E34" i="545"/>
  <c r="E31" i="545"/>
  <c r="E30" i="545"/>
  <c r="E29" i="545"/>
  <c r="E28" i="545"/>
  <c r="E27" i="545"/>
  <c r="E26" i="545"/>
  <c r="E23" i="545"/>
  <c r="E22" i="545"/>
  <c r="E21" i="545"/>
  <c r="H24" i="545"/>
  <c r="J50" i="545"/>
  <c r="E50" i="545"/>
  <c r="H19" i="545"/>
  <c r="C19" i="545" s="1"/>
  <c r="H10" i="544"/>
  <c r="H11" i="544"/>
  <c r="H12" i="544"/>
  <c r="H13" i="544"/>
  <c r="H14" i="544"/>
  <c r="H15" i="544"/>
  <c r="H16" i="544"/>
  <c r="H17" i="544"/>
  <c r="H18" i="544"/>
  <c r="E19" i="544"/>
  <c r="H21" i="544"/>
  <c r="H22" i="544"/>
  <c r="H23" i="544"/>
  <c r="H26" i="544"/>
  <c r="D32" i="544"/>
  <c r="H27" i="544"/>
  <c r="H28" i="544"/>
  <c r="H29" i="544"/>
  <c r="H30" i="544"/>
  <c r="H31" i="544"/>
  <c r="H34" i="544"/>
  <c r="H35" i="544"/>
  <c r="H36" i="544"/>
  <c r="H37" i="544"/>
  <c r="H38" i="544"/>
  <c r="H39" i="544"/>
  <c r="H42" i="544"/>
  <c r="H43" i="544"/>
  <c r="H44" i="544"/>
  <c r="H10" i="543"/>
  <c r="H11" i="543"/>
  <c r="H12" i="543"/>
  <c r="H13" i="543"/>
  <c r="H14" i="543"/>
  <c r="H15" i="543"/>
  <c r="H16" i="543"/>
  <c r="H17" i="543"/>
  <c r="H18" i="543"/>
  <c r="D50" i="543"/>
  <c r="E19" i="543"/>
  <c r="H21" i="543"/>
  <c r="H22" i="543"/>
  <c r="H23" i="543"/>
  <c r="D48" i="543"/>
  <c r="E24" i="543" s="1"/>
  <c r="H26" i="543"/>
  <c r="H27" i="543"/>
  <c r="H28" i="543"/>
  <c r="H29" i="543"/>
  <c r="H30" i="543"/>
  <c r="H31" i="543"/>
  <c r="H34" i="543"/>
  <c r="H35" i="543"/>
  <c r="H36" i="543"/>
  <c r="H37" i="543"/>
  <c r="H38" i="543"/>
  <c r="H39" i="543"/>
  <c r="H42" i="543"/>
  <c r="H43" i="543"/>
  <c r="H44" i="543"/>
  <c r="D46" i="542"/>
  <c r="C45" i="542"/>
  <c r="C44" i="542"/>
  <c r="C43" i="542"/>
  <c r="C42" i="542"/>
  <c r="C39" i="542"/>
  <c r="C38" i="542"/>
  <c r="C37" i="542"/>
  <c r="C36" i="542"/>
  <c r="C35" i="542"/>
  <c r="C34" i="542"/>
  <c r="C31" i="542"/>
  <c r="C30" i="542"/>
  <c r="C29" i="542"/>
  <c r="C28" i="542"/>
  <c r="C27" i="542"/>
  <c r="C26" i="542"/>
  <c r="D24" i="542"/>
  <c r="C23" i="542"/>
  <c r="C22" i="542"/>
  <c r="C21" i="542"/>
  <c r="D19" i="542"/>
  <c r="E17" i="542" s="1"/>
  <c r="C18" i="542"/>
  <c r="C17" i="542"/>
  <c r="C16" i="542"/>
  <c r="C15" i="542"/>
  <c r="C14" i="542"/>
  <c r="C13" i="542"/>
  <c r="C12" i="542"/>
  <c r="C11" i="542"/>
  <c r="E10" i="542"/>
  <c r="C10" i="542"/>
  <c r="C7" i="542"/>
  <c r="G4" i="542"/>
  <c r="E4" i="542"/>
  <c r="C45" i="541"/>
  <c r="C44" i="541"/>
  <c r="C43" i="541"/>
  <c r="C42" i="541"/>
  <c r="C39" i="541"/>
  <c r="C38" i="541"/>
  <c r="C37" i="541"/>
  <c r="C36" i="541"/>
  <c r="C35" i="541"/>
  <c r="C34" i="541"/>
  <c r="C31" i="541"/>
  <c r="C30" i="541"/>
  <c r="C29" i="541"/>
  <c r="C28" i="541"/>
  <c r="C27" i="541"/>
  <c r="C26" i="541"/>
  <c r="C23" i="541"/>
  <c r="C22" i="541"/>
  <c r="C21" i="541"/>
  <c r="C18" i="541"/>
  <c r="C17" i="541"/>
  <c r="C16" i="541"/>
  <c r="C15" i="541"/>
  <c r="C14" i="541"/>
  <c r="C13" i="541"/>
  <c r="C12" i="541"/>
  <c r="C11" i="541"/>
  <c r="C10" i="541"/>
  <c r="C7" i="541"/>
  <c r="D26" i="540"/>
  <c r="D34" i="540"/>
  <c r="D42" i="540"/>
  <c r="C45" i="540"/>
  <c r="C44" i="540"/>
  <c r="C43" i="540"/>
  <c r="C42" i="540"/>
  <c r="C39" i="540"/>
  <c r="C38" i="540"/>
  <c r="C37" i="540"/>
  <c r="C36" i="540"/>
  <c r="C35" i="540"/>
  <c r="C34" i="540"/>
  <c r="C31" i="540"/>
  <c r="C30" i="540"/>
  <c r="C29" i="540"/>
  <c r="C28" i="540"/>
  <c r="C27" i="540"/>
  <c r="C26" i="540"/>
  <c r="D24" i="540"/>
  <c r="C23" i="540"/>
  <c r="C22" i="540"/>
  <c r="C21" i="540"/>
  <c r="D19" i="540"/>
  <c r="E18" i="540" s="1"/>
  <c r="C18" i="540"/>
  <c r="E17" i="540"/>
  <c r="C17" i="540"/>
  <c r="E16" i="540"/>
  <c r="C16" i="540"/>
  <c r="E15" i="540"/>
  <c r="C15" i="540"/>
  <c r="E14" i="540"/>
  <c r="C14" i="540"/>
  <c r="E13" i="540"/>
  <c r="C13" i="540"/>
  <c r="E12" i="540"/>
  <c r="C12" i="540"/>
  <c r="E11" i="540"/>
  <c r="C11" i="540"/>
  <c r="E10" i="540"/>
  <c r="C10" i="540"/>
  <c r="C7" i="540"/>
  <c r="G4" i="540"/>
  <c r="E4" i="540"/>
  <c r="F31" i="605" l="1"/>
  <c r="F28" i="605"/>
  <c r="F22" i="605"/>
  <c r="F44" i="605"/>
  <c r="G44" i="605" s="1"/>
  <c r="F16" i="605"/>
  <c r="F34" i="605"/>
  <c r="G34" i="605" s="1"/>
  <c r="E12" i="542"/>
  <c r="E16" i="542"/>
  <c r="E14" i="542"/>
  <c r="E18" i="542"/>
  <c r="E11" i="542"/>
  <c r="E13" i="542"/>
  <c r="E15" i="542"/>
  <c r="E32" i="543"/>
  <c r="E46" i="543"/>
  <c r="A52" i="543" s="1"/>
  <c r="E40" i="543"/>
  <c r="G42" i="605"/>
  <c r="I42" i="605"/>
  <c r="G18" i="605"/>
  <c r="I18" i="605"/>
  <c r="G39" i="605"/>
  <c r="I39" i="605"/>
  <c r="G17" i="605"/>
  <c r="I17" i="605"/>
  <c r="I21" i="605"/>
  <c r="G21" i="605"/>
  <c r="G12" i="605"/>
  <c r="I12" i="605"/>
  <c r="E48" i="605"/>
  <c r="J50" i="604"/>
  <c r="E50" i="604"/>
  <c r="I37" i="605"/>
  <c r="G37" i="605"/>
  <c r="G36" i="605"/>
  <c r="I36" i="605"/>
  <c r="G14" i="605"/>
  <c r="I14" i="605"/>
  <c r="G35" i="605"/>
  <c r="I35" i="605"/>
  <c r="G13" i="605"/>
  <c r="I13" i="605"/>
  <c r="I11" i="605"/>
  <c r="G11" i="605"/>
  <c r="G28" i="605"/>
  <c r="I28" i="605"/>
  <c r="D48" i="604"/>
  <c r="E32" i="604" s="1"/>
  <c r="I27" i="605"/>
  <c r="G27" i="605"/>
  <c r="G30" i="605"/>
  <c r="I30" i="605"/>
  <c r="G10" i="605"/>
  <c r="I10" i="605"/>
  <c r="G29" i="605"/>
  <c r="I29" i="605"/>
  <c r="I43" i="605"/>
  <c r="G43" i="605"/>
  <c r="G22" i="605"/>
  <c r="I22" i="605"/>
  <c r="H32" i="604"/>
  <c r="C32" i="604" s="1"/>
  <c r="C48" i="604" s="1"/>
  <c r="E48" i="545"/>
  <c r="I15" i="605"/>
  <c r="G15" i="605"/>
  <c r="G26" i="605"/>
  <c r="I26" i="605"/>
  <c r="G23" i="605"/>
  <c r="I23" i="605"/>
  <c r="I31" i="605"/>
  <c r="G31" i="605"/>
  <c r="G38" i="605"/>
  <c r="I38" i="605"/>
  <c r="G16" i="605"/>
  <c r="I16" i="605"/>
  <c r="H26" i="603"/>
  <c r="D32" i="603"/>
  <c r="A54" i="556"/>
  <c r="I51" i="556"/>
  <c r="F50" i="556"/>
  <c r="G6" i="556"/>
  <c r="G5" i="556"/>
  <c r="A54" i="555"/>
  <c r="I51" i="555"/>
  <c r="F50" i="555"/>
  <c r="G6" i="555"/>
  <c r="G5" i="555"/>
  <c r="A54" i="554"/>
  <c r="I51" i="554"/>
  <c r="F50" i="554"/>
  <c r="G6" i="554"/>
  <c r="G5" i="554"/>
  <c r="A54" i="553"/>
  <c r="I51" i="553"/>
  <c r="F50" i="553"/>
  <c r="G6" i="553"/>
  <c r="G5" i="553"/>
  <c r="I50" i="552"/>
  <c r="F48" i="552"/>
  <c r="F24" i="551"/>
  <c r="G24" i="551" s="1"/>
  <c r="I48" i="551"/>
  <c r="F24" i="550"/>
  <c r="G24" i="550" s="1"/>
  <c r="I48" i="550"/>
  <c r="F24" i="549"/>
  <c r="G24" i="549" s="1"/>
  <c r="I48" i="549"/>
  <c r="I44" i="548"/>
  <c r="G44" i="548"/>
  <c r="I43" i="548"/>
  <c r="G43" i="548"/>
  <c r="I42" i="548"/>
  <c r="G42" i="548"/>
  <c r="I39" i="548"/>
  <c r="G39" i="548"/>
  <c r="I38" i="548"/>
  <c r="G38" i="548"/>
  <c r="I37" i="548"/>
  <c r="G37" i="548"/>
  <c r="I36" i="548"/>
  <c r="G36" i="548"/>
  <c r="I35" i="548"/>
  <c r="G35" i="548"/>
  <c r="I34" i="548"/>
  <c r="G34" i="548"/>
  <c r="I31" i="548"/>
  <c r="G31" i="548"/>
  <c r="I30" i="548"/>
  <c r="G30" i="548"/>
  <c r="I29" i="548"/>
  <c r="G29" i="548"/>
  <c r="I28" i="548"/>
  <c r="G28" i="548"/>
  <c r="I27" i="548"/>
  <c r="G27" i="548"/>
  <c r="I26" i="548"/>
  <c r="G26" i="548"/>
  <c r="I23" i="548"/>
  <c r="G23" i="548"/>
  <c r="I22" i="548"/>
  <c r="G22" i="548"/>
  <c r="I21" i="548"/>
  <c r="G21" i="548"/>
  <c r="I18" i="548"/>
  <c r="G18" i="548"/>
  <c r="I17" i="548"/>
  <c r="G17" i="548"/>
  <c r="I16" i="548"/>
  <c r="G16" i="548"/>
  <c r="I15" i="548"/>
  <c r="G15" i="548"/>
  <c r="I14" i="548"/>
  <c r="G14" i="548"/>
  <c r="I13" i="548"/>
  <c r="G13" i="548"/>
  <c r="I12" i="548"/>
  <c r="G12" i="548"/>
  <c r="I11" i="548"/>
  <c r="G11" i="548"/>
  <c r="I10" i="548"/>
  <c r="G10" i="548"/>
  <c r="F10" i="547"/>
  <c r="F11" i="547"/>
  <c r="F12" i="547"/>
  <c r="F13" i="547"/>
  <c r="F14" i="547"/>
  <c r="F15" i="547"/>
  <c r="F16" i="547"/>
  <c r="F17" i="547"/>
  <c r="F18" i="547"/>
  <c r="F21" i="547"/>
  <c r="F22" i="547"/>
  <c r="F23" i="547"/>
  <c r="F26" i="547"/>
  <c r="F27" i="547"/>
  <c r="F28" i="547"/>
  <c r="F29" i="547"/>
  <c r="F30" i="547"/>
  <c r="F31" i="547"/>
  <c r="F34" i="547"/>
  <c r="F35" i="547"/>
  <c r="F36" i="547"/>
  <c r="F37" i="547"/>
  <c r="F38" i="547"/>
  <c r="F39" i="547"/>
  <c r="F42" i="547"/>
  <c r="F43" i="547"/>
  <c r="F44" i="547"/>
  <c r="F45" i="547"/>
  <c r="G45" i="547" s="1"/>
  <c r="E48" i="546"/>
  <c r="F10" i="546"/>
  <c r="F11" i="546"/>
  <c r="F12" i="546"/>
  <c r="F13" i="546"/>
  <c r="F14" i="546"/>
  <c r="F15" i="546"/>
  <c r="F16" i="546"/>
  <c r="F17" i="546"/>
  <c r="F18" i="546"/>
  <c r="F21" i="546"/>
  <c r="F22" i="546"/>
  <c r="F23" i="546"/>
  <c r="F26" i="546"/>
  <c r="F27" i="546"/>
  <c r="F28" i="546"/>
  <c r="F29" i="546"/>
  <c r="F30" i="546"/>
  <c r="F31" i="546"/>
  <c r="F34" i="546"/>
  <c r="F35" i="546"/>
  <c r="F36" i="546"/>
  <c r="F37" i="546"/>
  <c r="F38" i="546"/>
  <c r="F39" i="546"/>
  <c r="F42" i="546"/>
  <c r="F43" i="546"/>
  <c r="F44" i="546"/>
  <c r="F45" i="546"/>
  <c r="G45" i="546" s="1"/>
  <c r="C24" i="545"/>
  <c r="C48" i="545" s="1"/>
  <c r="H48" i="545"/>
  <c r="H50" i="545" s="1"/>
  <c r="E6" i="545" s="1"/>
  <c r="H46" i="544"/>
  <c r="C46" i="544" s="1"/>
  <c r="H40" i="544"/>
  <c r="C40" i="544" s="1"/>
  <c r="D50" i="544"/>
  <c r="D48" i="544"/>
  <c r="H32" i="544"/>
  <c r="C32" i="544" s="1"/>
  <c r="H24" i="544"/>
  <c r="H19" i="544"/>
  <c r="C19" i="544" s="1"/>
  <c r="H46" i="543"/>
  <c r="C46" i="543" s="1"/>
  <c r="H40" i="543"/>
  <c r="C40" i="543" s="1"/>
  <c r="H32" i="543"/>
  <c r="C32" i="543" s="1"/>
  <c r="E45" i="543"/>
  <c r="E44" i="543"/>
  <c r="E43" i="543"/>
  <c r="E42" i="543"/>
  <c r="E39" i="543"/>
  <c r="E38" i="543"/>
  <c r="E37" i="543"/>
  <c r="E36" i="543"/>
  <c r="E35" i="543"/>
  <c r="E34" i="543"/>
  <c r="E31" i="543"/>
  <c r="E30" i="543"/>
  <c r="E29" i="543"/>
  <c r="E28" i="543"/>
  <c r="E27" i="543"/>
  <c r="E26" i="543"/>
  <c r="E23" i="543"/>
  <c r="E22" i="543"/>
  <c r="E21" i="543"/>
  <c r="H24" i="543"/>
  <c r="J50" i="543"/>
  <c r="E50" i="543"/>
  <c r="H19" i="543"/>
  <c r="C19" i="543" s="1"/>
  <c r="H10" i="542"/>
  <c r="H11" i="542"/>
  <c r="H12" i="542"/>
  <c r="H13" i="542"/>
  <c r="H14" i="542"/>
  <c r="H15" i="542"/>
  <c r="H16" i="542"/>
  <c r="H17" i="542"/>
  <c r="H18" i="542"/>
  <c r="E19" i="542"/>
  <c r="H21" i="542"/>
  <c r="H22" i="542"/>
  <c r="H23" i="542"/>
  <c r="H26" i="542"/>
  <c r="D32" i="542"/>
  <c r="H27" i="542"/>
  <c r="H28" i="542"/>
  <c r="H29" i="542"/>
  <c r="H30" i="542"/>
  <c r="H31" i="542"/>
  <c r="H34" i="542"/>
  <c r="D40" i="542"/>
  <c r="H35" i="542"/>
  <c r="H36" i="542"/>
  <c r="H37" i="542"/>
  <c r="H38" i="542"/>
  <c r="H39" i="542"/>
  <c r="H42" i="542"/>
  <c r="H43" i="542"/>
  <c r="H44" i="542"/>
  <c r="H10" i="541"/>
  <c r="D19" i="541"/>
  <c r="E11" i="541" s="1"/>
  <c r="H11" i="541"/>
  <c r="H12" i="541"/>
  <c r="H13" i="541"/>
  <c r="H14" i="541"/>
  <c r="H15" i="541"/>
  <c r="H16" i="541"/>
  <c r="H17" i="541"/>
  <c r="H18" i="541"/>
  <c r="H21" i="541"/>
  <c r="D24" i="541"/>
  <c r="H22" i="541"/>
  <c r="H23" i="541"/>
  <c r="H31" i="541"/>
  <c r="H35" i="541"/>
  <c r="H36" i="541"/>
  <c r="H37" i="541"/>
  <c r="H38" i="541"/>
  <c r="H39" i="541"/>
  <c r="H43" i="541"/>
  <c r="H10" i="540"/>
  <c r="H11" i="540"/>
  <c r="H12" i="540"/>
  <c r="H13" i="540"/>
  <c r="H14" i="540"/>
  <c r="H15" i="540"/>
  <c r="H16" i="540"/>
  <c r="H17" i="540"/>
  <c r="H18" i="540"/>
  <c r="E19" i="540"/>
  <c r="H21" i="540"/>
  <c r="H22" i="540"/>
  <c r="H23" i="540"/>
  <c r="H26" i="540"/>
  <c r="D32" i="540"/>
  <c r="H27" i="540"/>
  <c r="H28" i="540"/>
  <c r="H29" i="540"/>
  <c r="H30" i="540"/>
  <c r="H31" i="540"/>
  <c r="H34" i="540"/>
  <c r="D40" i="540"/>
  <c r="H35" i="540"/>
  <c r="H36" i="540"/>
  <c r="H37" i="540"/>
  <c r="H38" i="540"/>
  <c r="H39" i="540"/>
  <c r="H42" i="540"/>
  <c r="D46" i="540"/>
  <c r="H43" i="540"/>
  <c r="H44" i="540"/>
  <c r="D34" i="539"/>
  <c r="D26" i="539"/>
  <c r="D42" i="539"/>
  <c r="D46" i="539" s="1"/>
  <c r="C45" i="539"/>
  <c r="C44" i="539"/>
  <c r="C43" i="539"/>
  <c r="C42" i="539"/>
  <c r="D40" i="539"/>
  <c r="C39" i="539"/>
  <c r="C38" i="539"/>
  <c r="C37" i="539"/>
  <c r="C36" i="539"/>
  <c r="C35" i="539"/>
  <c r="C34" i="539"/>
  <c r="C31" i="539"/>
  <c r="C30" i="539"/>
  <c r="C29" i="539"/>
  <c r="C28" i="539"/>
  <c r="C27" i="539"/>
  <c r="C26" i="539"/>
  <c r="D24" i="539"/>
  <c r="C23" i="539"/>
  <c r="C22" i="539"/>
  <c r="C21" i="539"/>
  <c r="D19" i="539"/>
  <c r="E17" i="539" s="1"/>
  <c r="C18" i="539"/>
  <c r="C17" i="539"/>
  <c r="C16" i="539"/>
  <c r="C15" i="539"/>
  <c r="C14" i="539"/>
  <c r="C13" i="539"/>
  <c r="C12" i="539"/>
  <c r="C11" i="539"/>
  <c r="C10" i="539"/>
  <c r="C7" i="539"/>
  <c r="G4" i="539"/>
  <c r="E4" i="539"/>
  <c r="D26" i="538"/>
  <c r="C45" i="538"/>
  <c r="C44" i="538"/>
  <c r="C43" i="538"/>
  <c r="C42" i="538"/>
  <c r="C39" i="538"/>
  <c r="C38" i="538"/>
  <c r="C37" i="538"/>
  <c r="C36" i="538"/>
  <c r="C35" i="538"/>
  <c r="C34" i="538"/>
  <c r="C31" i="538"/>
  <c r="C30" i="538"/>
  <c r="C29" i="538"/>
  <c r="C28" i="538"/>
  <c r="C27" i="538"/>
  <c r="C26" i="538"/>
  <c r="D24" i="538"/>
  <c r="C23" i="538"/>
  <c r="C22" i="538"/>
  <c r="C21" i="538"/>
  <c r="D19" i="538"/>
  <c r="E18" i="538" s="1"/>
  <c r="C18" i="538"/>
  <c r="C17" i="538"/>
  <c r="C16" i="538"/>
  <c r="C15" i="538"/>
  <c r="C14" i="538"/>
  <c r="C13" i="538"/>
  <c r="C12" i="538"/>
  <c r="C11" i="538"/>
  <c r="C10" i="538"/>
  <c r="C7" i="538"/>
  <c r="G4" i="538"/>
  <c r="E4" i="538"/>
  <c r="I44" i="605" l="1"/>
  <c r="I34" i="605"/>
  <c r="I40" i="605" s="1"/>
  <c r="F40" i="605" s="1"/>
  <c r="G40" i="605" s="1"/>
  <c r="E14" i="539"/>
  <c r="E48" i="543"/>
  <c r="E10" i="539"/>
  <c r="E11" i="538"/>
  <c r="E13" i="538"/>
  <c r="E15" i="538"/>
  <c r="E17" i="538"/>
  <c r="E12" i="539"/>
  <c r="E10" i="538"/>
  <c r="E12" i="538"/>
  <c r="E14" i="538"/>
  <c r="E16" i="538"/>
  <c r="E16" i="539"/>
  <c r="I19" i="548"/>
  <c r="F19" i="548" s="1"/>
  <c r="G19" i="548" s="1"/>
  <c r="I32" i="548"/>
  <c r="F32" i="548" s="1"/>
  <c r="G32" i="548" s="1"/>
  <c r="I40" i="548"/>
  <c r="F40" i="548" s="1"/>
  <c r="G40" i="548" s="1"/>
  <c r="H48" i="604"/>
  <c r="H50" i="604" s="1"/>
  <c r="E6" i="604" s="1"/>
  <c r="F21" i="604" s="1"/>
  <c r="D48" i="603"/>
  <c r="E32" i="603" s="1"/>
  <c r="E24" i="604"/>
  <c r="E23" i="604"/>
  <c r="E29" i="604"/>
  <c r="E35" i="604"/>
  <c r="E39" i="604"/>
  <c r="E45" i="604"/>
  <c r="E30" i="604"/>
  <c r="E36" i="604"/>
  <c r="E21" i="604"/>
  <c r="E27" i="604"/>
  <c r="E31" i="604"/>
  <c r="E37" i="604"/>
  <c r="E43" i="604"/>
  <c r="E22" i="604"/>
  <c r="E28" i="604"/>
  <c r="E38" i="604"/>
  <c r="E44" i="604"/>
  <c r="E42" i="604"/>
  <c r="E34" i="604"/>
  <c r="E40" i="604"/>
  <c r="E46" i="604"/>
  <c r="A52" i="604" s="1"/>
  <c r="E26" i="604"/>
  <c r="E18" i="539"/>
  <c r="E18" i="541"/>
  <c r="E16" i="541"/>
  <c r="E14" i="541"/>
  <c r="E12" i="541"/>
  <c r="E10" i="541"/>
  <c r="I46" i="548"/>
  <c r="F46" i="548" s="1"/>
  <c r="G46" i="548" s="1"/>
  <c r="H32" i="603"/>
  <c r="C32" i="603" s="1"/>
  <c r="C48" i="603" s="1"/>
  <c r="I19" i="605"/>
  <c r="F19" i="605" s="1"/>
  <c r="G19" i="605" s="1"/>
  <c r="D50" i="603"/>
  <c r="I32" i="605"/>
  <c r="F32" i="605" s="1"/>
  <c r="G32" i="605" s="1"/>
  <c r="I46" i="605"/>
  <c r="F46" i="605" s="1"/>
  <c r="G46" i="605" s="1"/>
  <c r="E11" i="539"/>
  <c r="E13" i="539"/>
  <c r="E15" i="539"/>
  <c r="E17" i="541"/>
  <c r="E15" i="541"/>
  <c r="E13" i="541"/>
  <c r="F15" i="604"/>
  <c r="F37" i="604"/>
  <c r="F12" i="604"/>
  <c r="F34" i="604"/>
  <c r="F42" i="604"/>
  <c r="F29" i="604"/>
  <c r="F10" i="604"/>
  <c r="I24" i="605"/>
  <c r="F24" i="605" s="1"/>
  <c r="G24" i="605" s="1"/>
  <c r="A54" i="552"/>
  <c r="I51" i="552"/>
  <c r="F50" i="552"/>
  <c r="G6" i="552"/>
  <c r="G5" i="552"/>
  <c r="I50" i="551"/>
  <c r="F48" i="551"/>
  <c r="I50" i="550"/>
  <c r="F48" i="550"/>
  <c r="I50" i="549"/>
  <c r="F48" i="549"/>
  <c r="I24" i="548"/>
  <c r="I44" i="547"/>
  <c r="G44" i="547"/>
  <c r="I43" i="547"/>
  <c r="G43" i="547"/>
  <c r="I42" i="547"/>
  <c r="I46" i="547" s="1"/>
  <c r="F46" i="547" s="1"/>
  <c r="G46" i="547" s="1"/>
  <c r="G42" i="547"/>
  <c r="I39" i="547"/>
  <c r="G39" i="547"/>
  <c r="I38" i="547"/>
  <c r="G38" i="547"/>
  <c r="I37" i="547"/>
  <c r="G37" i="547"/>
  <c r="I36" i="547"/>
  <c r="G36" i="547"/>
  <c r="I35" i="547"/>
  <c r="G35" i="547"/>
  <c r="I34" i="547"/>
  <c r="I40" i="547" s="1"/>
  <c r="F40" i="547" s="1"/>
  <c r="G40" i="547" s="1"/>
  <c r="G34" i="547"/>
  <c r="I31" i="547"/>
  <c r="G31" i="547"/>
  <c r="I30" i="547"/>
  <c r="G30" i="547"/>
  <c r="I29" i="547"/>
  <c r="G29" i="547"/>
  <c r="I28" i="547"/>
  <c r="G28" i="547"/>
  <c r="I27" i="547"/>
  <c r="G27" i="547"/>
  <c r="I26" i="547"/>
  <c r="I32" i="547" s="1"/>
  <c r="F32" i="547" s="1"/>
  <c r="G32" i="547" s="1"/>
  <c r="G26" i="547"/>
  <c r="I23" i="547"/>
  <c r="G23" i="547"/>
  <c r="I22" i="547"/>
  <c r="G22" i="547"/>
  <c r="I21" i="547"/>
  <c r="G21" i="547"/>
  <c r="I18" i="547"/>
  <c r="G18" i="547"/>
  <c r="I17" i="547"/>
  <c r="G17" i="547"/>
  <c r="I16" i="547"/>
  <c r="G16" i="547"/>
  <c r="I15" i="547"/>
  <c r="G15" i="547"/>
  <c r="I14" i="547"/>
  <c r="G14" i="547"/>
  <c r="I13" i="547"/>
  <c r="G13" i="547"/>
  <c r="I12" i="547"/>
  <c r="G12" i="547"/>
  <c r="I11" i="547"/>
  <c r="G11" i="547"/>
  <c r="I10" i="547"/>
  <c r="I19" i="547" s="1"/>
  <c r="F19" i="547" s="1"/>
  <c r="G19" i="547" s="1"/>
  <c r="G10" i="547"/>
  <c r="I44" i="546"/>
  <c r="G44" i="546"/>
  <c r="I43" i="546"/>
  <c r="G43" i="546"/>
  <c r="I42" i="546"/>
  <c r="G42" i="546"/>
  <c r="I39" i="546"/>
  <c r="G39" i="546"/>
  <c r="I38" i="546"/>
  <c r="G38" i="546"/>
  <c r="I37" i="546"/>
  <c r="G37" i="546"/>
  <c r="I36" i="546"/>
  <c r="G36" i="546"/>
  <c r="I35" i="546"/>
  <c r="G35" i="546"/>
  <c r="I34" i="546"/>
  <c r="G34" i="546"/>
  <c r="I31" i="546"/>
  <c r="G31" i="546"/>
  <c r="I30" i="546"/>
  <c r="G30" i="546"/>
  <c r="I29" i="546"/>
  <c r="G29" i="546"/>
  <c r="I28" i="546"/>
  <c r="G28" i="546"/>
  <c r="I27" i="546"/>
  <c r="G27" i="546"/>
  <c r="I26" i="546"/>
  <c r="G26" i="546"/>
  <c r="I23" i="546"/>
  <c r="G23" i="546"/>
  <c r="I22" i="546"/>
  <c r="G22" i="546"/>
  <c r="I21" i="546"/>
  <c r="G21" i="546"/>
  <c r="I18" i="546"/>
  <c r="G18" i="546"/>
  <c r="I17" i="546"/>
  <c r="G17" i="546"/>
  <c r="I16" i="546"/>
  <c r="G16" i="546"/>
  <c r="I15" i="546"/>
  <c r="G15" i="546"/>
  <c r="I14" i="546"/>
  <c r="G14" i="546"/>
  <c r="I13" i="546"/>
  <c r="G13" i="546"/>
  <c r="I12" i="546"/>
  <c r="G12" i="546"/>
  <c r="I11" i="546"/>
  <c r="G11" i="546"/>
  <c r="I10" i="546"/>
  <c r="G10" i="546"/>
  <c r="F10" i="545"/>
  <c r="F11" i="545"/>
  <c r="F12" i="545"/>
  <c r="F13" i="545"/>
  <c r="F14" i="545"/>
  <c r="F15" i="545"/>
  <c r="F16" i="545"/>
  <c r="F17" i="545"/>
  <c r="F18" i="545"/>
  <c r="F21" i="545"/>
  <c r="F22" i="545"/>
  <c r="F23" i="545"/>
  <c r="F26" i="545"/>
  <c r="F27" i="545"/>
  <c r="F28" i="545"/>
  <c r="F29" i="545"/>
  <c r="F30" i="545"/>
  <c r="F31" i="545"/>
  <c r="F34" i="545"/>
  <c r="F35" i="545"/>
  <c r="F36" i="545"/>
  <c r="F37" i="545"/>
  <c r="F38" i="545"/>
  <c r="F39" i="545"/>
  <c r="F42" i="545"/>
  <c r="F43" i="545"/>
  <c r="F44" i="545"/>
  <c r="F45" i="545"/>
  <c r="G45" i="545" s="1"/>
  <c r="C24" i="544"/>
  <c r="C48" i="544" s="1"/>
  <c r="H48" i="544"/>
  <c r="H50" i="544" s="1"/>
  <c r="E6" i="544" s="1"/>
  <c r="E45" i="544"/>
  <c r="E44" i="544"/>
  <c r="E43" i="544"/>
  <c r="E42" i="544"/>
  <c r="E39" i="544"/>
  <c r="E38" i="544"/>
  <c r="E37" i="544"/>
  <c r="E36" i="544"/>
  <c r="E35" i="544"/>
  <c r="E34" i="544"/>
  <c r="E31" i="544"/>
  <c r="E30" i="544"/>
  <c r="E29" i="544"/>
  <c r="E28" i="544"/>
  <c r="E27" i="544"/>
  <c r="E23" i="544"/>
  <c r="E22" i="544"/>
  <c r="E21" i="544"/>
  <c r="E24" i="544"/>
  <c r="E26" i="544"/>
  <c r="E40" i="544"/>
  <c r="E46" i="544"/>
  <c r="A52" i="544" s="1"/>
  <c r="E32" i="544"/>
  <c r="J50" i="544"/>
  <c r="E50" i="544"/>
  <c r="C24" i="543"/>
  <c r="C48" i="543" s="1"/>
  <c r="H48" i="543"/>
  <c r="H50" i="543" s="1"/>
  <c r="E6" i="543" s="1"/>
  <c r="H46" i="542"/>
  <c r="C46" i="542" s="1"/>
  <c r="H40" i="542"/>
  <c r="C40" i="542" s="1"/>
  <c r="D50" i="542"/>
  <c r="D48" i="542"/>
  <c r="H32" i="542"/>
  <c r="C32" i="542" s="1"/>
  <c r="H24" i="542"/>
  <c r="H19" i="542"/>
  <c r="C19" i="542" s="1"/>
  <c r="H24" i="541"/>
  <c r="E19" i="541"/>
  <c r="H19" i="541"/>
  <c r="C19" i="541" s="1"/>
  <c r="H46" i="540"/>
  <c r="C46" i="540" s="1"/>
  <c r="H40" i="540"/>
  <c r="C40" i="540" s="1"/>
  <c r="D50" i="540"/>
  <c r="D48" i="540"/>
  <c r="H32" i="540"/>
  <c r="C32" i="540" s="1"/>
  <c r="H24" i="540"/>
  <c r="H19" i="540"/>
  <c r="C19" i="540" s="1"/>
  <c r="H10" i="539"/>
  <c r="H11" i="539"/>
  <c r="H12" i="539"/>
  <c r="H13" i="539"/>
  <c r="H14" i="539"/>
  <c r="H15" i="539"/>
  <c r="H16" i="539"/>
  <c r="H17" i="539"/>
  <c r="H18" i="539"/>
  <c r="E19" i="539"/>
  <c r="H21" i="539"/>
  <c r="H22" i="539"/>
  <c r="H23" i="539"/>
  <c r="H26" i="539"/>
  <c r="D32" i="539"/>
  <c r="H27" i="539"/>
  <c r="H28" i="539"/>
  <c r="H29" i="539"/>
  <c r="H30" i="539"/>
  <c r="H31" i="539"/>
  <c r="H34" i="539"/>
  <c r="H35" i="539"/>
  <c r="H36" i="539"/>
  <c r="H37" i="539"/>
  <c r="H38" i="539"/>
  <c r="H39" i="539"/>
  <c r="H42" i="539"/>
  <c r="H43" i="539"/>
  <c r="H44" i="539"/>
  <c r="H10" i="538"/>
  <c r="H11" i="538"/>
  <c r="H12" i="538"/>
  <c r="H13" i="538"/>
  <c r="H14" i="538"/>
  <c r="H15" i="538"/>
  <c r="H16" i="538"/>
  <c r="H17" i="538"/>
  <c r="H18" i="538"/>
  <c r="E19" i="538"/>
  <c r="H21" i="538"/>
  <c r="H22" i="538"/>
  <c r="H23" i="538"/>
  <c r="H26" i="538"/>
  <c r="D32" i="538"/>
  <c r="H27" i="538"/>
  <c r="H28" i="538"/>
  <c r="H29" i="538"/>
  <c r="H30" i="538"/>
  <c r="H31" i="538"/>
  <c r="H34" i="538"/>
  <c r="D40" i="538"/>
  <c r="H35" i="538"/>
  <c r="H36" i="538"/>
  <c r="H37" i="538"/>
  <c r="H38" i="538"/>
  <c r="H39" i="538"/>
  <c r="H42" i="538"/>
  <c r="D46" i="538"/>
  <c r="H43" i="538"/>
  <c r="H44" i="538"/>
  <c r="D34" i="537"/>
  <c r="D26" i="537"/>
  <c r="D42" i="537"/>
  <c r="D46" i="537" s="1"/>
  <c r="C45" i="537"/>
  <c r="C44" i="537"/>
  <c r="C43" i="537"/>
  <c r="C42" i="537"/>
  <c r="D40" i="537"/>
  <c r="C39" i="537"/>
  <c r="C38" i="537"/>
  <c r="C37" i="537"/>
  <c r="C36" i="537"/>
  <c r="C35" i="537"/>
  <c r="C34" i="537"/>
  <c r="C31" i="537"/>
  <c r="C30" i="537"/>
  <c r="C29" i="537"/>
  <c r="C28" i="537"/>
  <c r="C27" i="537"/>
  <c r="C26" i="537"/>
  <c r="D24" i="537"/>
  <c r="C23" i="537"/>
  <c r="C22" i="537"/>
  <c r="C21" i="537"/>
  <c r="D19" i="537"/>
  <c r="E18" i="537" s="1"/>
  <c r="C18" i="537"/>
  <c r="C17" i="537"/>
  <c r="C16" i="537"/>
  <c r="C15" i="537"/>
  <c r="C14" i="537"/>
  <c r="C13" i="537"/>
  <c r="C12" i="537"/>
  <c r="C11" i="537"/>
  <c r="C10" i="537"/>
  <c r="C7" i="537"/>
  <c r="G4" i="537"/>
  <c r="E4" i="537"/>
  <c r="D26" i="536"/>
  <c r="D46" i="536"/>
  <c r="C45" i="536"/>
  <c r="C44" i="536"/>
  <c r="C43" i="536"/>
  <c r="C42" i="536"/>
  <c r="C39" i="536"/>
  <c r="C38" i="536"/>
  <c r="C37" i="536"/>
  <c r="C36" i="536"/>
  <c r="C35" i="536"/>
  <c r="C34" i="536"/>
  <c r="D32" i="536"/>
  <c r="C31" i="536"/>
  <c r="C30" i="536"/>
  <c r="C29" i="536"/>
  <c r="C28" i="536"/>
  <c r="C27" i="536"/>
  <c r="C26" i="536"/>
  <c r="D24" i="536"/>
  <c r="C23" i="536"/>
  <c r="C22" i="536"/>
  <c r="C21" i="536"/>
  <c r="D19" i="536"/>
  <c r="E18" i="536" s="1"/>
  <c r="C18" i="536"/>
  <c r="C17" i="536"/>
  <c r="C16" i="536"/>
  <c r="C15" i="536"/>
  <c r="C14" i="536"/>
  <c r="C13" i="536"/>
  <c r="C12" i="536"/>
  <c r="C11" i="536"/>
  <c r="C10" i="536"/>
  <c r="C7" i="536"/>
  <c r="G4" i="536"/>
  <c r="E4" i="536"/>
  <c r="D34" i="535"/>
  <c r="C45" i="535"/>
  <c r="C44" i="535"/>
  <c r="C43" i="535"/>
  <c r="C42" i="535"/>
  <c r="C39" i="535"/>
  <c r="C38" i="535"/>
  <c r="C37" i="535"/>
  <c r="C36" i="535"/>
  <c r="C35" i="535"/>
  <c r="C34" i="535"/>
  <c r="C31" i="535"/>
  <c r="C30" i="535"/>
  <c r="C29" i="535"/>
  <c r="C28" i="535"/>
  <c r="C27" i="535"/>
  <c r="C26" i="535"/>
  <c r="D24" i="535"/>
  <c r="C23" i="535"/>
  <c r="C22" i="535"/>
  <c r="C21" i="535"/>
  <c r="D19" i="535"/>
  <c r="E18" i="535" s="1"/>
  <c r="C18" i="535"/>
  <c r="C17" i="535"/>
  <c r="C16" i="535"/>
  <c r="C15" i="535"/>
  <c r="C14" i="535"/>
  <c r="C13" i="535"/>
  <c r="C12" i="535"/>
  <c r="C11" i="535"/>
  <c r="C10" i="535"/>
  <c r="C7" i="535"/>
  <c r="G4" i="535"/>
  <c r="E4" i="535"/>
  <c r="C45" i="534"/>
  <c r="C44" i="534"/>
  <c r="C43" i="534"/>
  <c r="C42" i="534"/>
  <c r="C39" i="534"/>
  <c r="C38" i="534"/>
  <c r="C37" i="534"/>
  <c r="C36" i="534"/>
  <c r="C35" i="534"/>
  <c r="C34" i="534"/>
  <c r="C31" i="534"/>
  <c r="C30" i="534"/>
  <c r="C29" i="534"/>
  <c r="C28" i="534"/>
  <c r="C27" i="534"/>
  <c r="C26" i="534"/>
  <c r="D24" i="534"/>
  <c r="C23" i="534"/>
  <c r="C22" i="534"/>
  <c r="C21" i="534"/>
  <c r="D19" i="534"/>
  <c r="E17" i="534" s="1"/>
  <c r="C18" i="534"/>
  <c r="C17" i="534"/>
  <c r="C16" i="534"/>
  <c r="C15" i="534"/>
  <c r="C14" i="534"/>
  <c r="C13" i="534"/>
  <c r="C12" i="534"/>
  <c r="C11" i="534"/>
  <c r="C10" i="534"/>
  <c r="C7" i="534"/>
  <c r="G4" i="534"/>
  <c r="E4" i="534"/>
  <c r="D34" i="533"/>
  <c r="D40" i="533" s="1"/>
  <c r="D26" i="533"/>
  <c r="D32" i="533" s="1"/>
  <c r="D42" i="533"/>
  <c r="D46" i="533" s="1"/>
  <c r="C45" i="533"/>
  <c r="C44" i="533"/>
  <c r="C43" i="533"/>
  <c r="C42" i="533"/>
  <c r="C39" i="533"/>
  <c r="C38" i="533"/>
  <c r="C37" i="533"/>
  <c r="C36" i="533"/>
  <c r="C35" i="533"/>
  <c r="C34" i="533"/>
  <c r="C31" i="533"/>
  <c r="C30" i="533"/>
  <c r="C29" i="533"/>
  <c r="C28" i="533"/>
  <c r="C27" i="533"/>
  <c r="C26" i="533"/>
  <c r="D24" i="533"/>
  <c r="C23" i="533"/>
  <c r="C22" i="533"/>
  <c r="C21" i="533"/>
  <c r="D19" i="533"/>
  <c r="E17" i="533" s="1"/>
  <c r="C18" i="533"/>
  <c r="C17" i="533"/>
  <c r="C16" i="533"/>
  <c r="C15" i="533"/>
  <c r="C14" i="533"/>
  <c r="C13" i="533"/>
  <c r="C12" i="533"/>
  <c r="C11" i="533"/>
  <c r="C10" i="533"/>
  <c r="C7" i="533"/>
  <c r="G4" i="533"/>
  <c r="E4" i="533"/>
  <c r="F45" i="604" l="1"/>
  <c r="G45" i="604" s="1"/>
  <c r="F23" i="604"/>
  <c r="F18" i="604"/>
  <c r="F28" i="604"/>
  <c r="I28" i="604" s="1"/>
  <c r="F30" i="604"/>
  <c r="F31" i="604"/>
  <c r="F11" i="604"/>
  <c r="F36" i="604"/>
  <c r="I36" i="604" s="1"/>
  <c r="F39" i="604"/>
  <c r="F17" i="604"/>
  <c r="F44" i="604"/>
  <c r="F22" i="604"/>
  <c r="I22" i="604" s="1"/>
  <c r="F14" i="604"/>
  <c r="F27" i="604"/>
  <c r="F26" i="604"/>
  <c r="F35" i="604"/>
  <c r="G35" i="604" s="1"/>
  <c r="F13" i="604"/>
  <c r="I13" i="604" s="1"/>
  <c r="F38" i="604"/>
  <c r="F16" i="604"/>
  <c r="F43" i="604"/>
  <c r="G43" i="604" s="1"/>
  <c r="E11" i="536"/>
  <c r="E13" i="536"/>
  <c r="E15" i="536"/>
  <c r="E17" i="536"/>
  <c r="E10" i="536"/>
  <c r="E12" i="536"/>
  <c r="E14" i="536"/>
  <c r="E16" i="536"/>
  <c r="E10" i="533"/>
  <c r="E12" i="533"/>
  <c r="E14" i="533"/>
  <c r="E16" i="533"/>
  <c r="E18" i="533"/>
  <c r="E10" i="534"/>
  <c r="E12" i="534"/>
  <c r="E14" i="534"/>
  <c r="E16" i="534"/>
  <c r="E18" i="534"/>
  <c r="E11" i="535"/>
  <c r="E13" i="535"/>
  <c r="E15" i="535"/>
  <c r="E17" i="535"/>
  <c r="E11" i="537"/>
  <c r="E13" i="537"/>
  <c r="E15" i="537"/>
  <c r="E17" i="537"/>
  <c r="I26" i="604"/>
  <c r="G26" i="604"/>
  <c r="G13" i="604"/>
  <c r="G38" i="604"/>
  <c r="I38" i="604"/>
  <c r="I16" i="604"/>
  <c r="G16" i="604"/>
  <c r="G21" i="604"/>
  <c r="I21" i="604"/>
  <c r="E48" i="604"/>
  <c r="I48" i="605"/>
  <c r="G10" i="604"/>
  <c r="I10" i="604"/>
  <c r="G29" i="604"/>
  <c r="I29" i="604"/>
  <c r="I42" i="604"/>
  <c r="G42" i="604"/>
  <c r="G34" i="604"/>
  <c r="I34" i="604"/>
  <c r="I12" i="604"/>
  <c r="G12" i="604"/>
  <c r="G37" i="604"/>
  <c r="I37" i="604"/>
  <c r="G15" i="604"/>
  <c r="I15" i="604"/>
  <c r="H48" i="603"/>
  <c r="H50" i="603" s="1"/>
  <c r="E6" i="603" s="1"/>
  <c r="E11" i="533"/>
  <c r="E13" i="533"/>
  <c r="E15" i="533"/>
  <c r="E11" i="534"/>
  <c r="E13" i="534"/>
  <c r="E15" i="534"/>
  <c r="E10" i="535"/>
  <c r="E12" i="535"/>
  <c r="E14" i="535"/>
  <c r="E16" i="535"/>
  <c r="E10" i="537"/>
  <c r="E12" i="537"/>
  <c r="E14" i="537"/>
  <c r="E16" i="537"/>
  <c r="I19" i="546"/>
  <c r="F19" i="546" s="1"/>
  <c r="G19" i="546" s="1"/>
  <c r="I32" i="546"/>
  <c r="F32" i="546" s="1"/>
  <c r="G32" i="546" s="1"/>
  <c r="I40" i="546"/>
  <c r="F40" i="546" s="1"/>
  <c r="G40" i="546" s="1"/>
  <c r="I46" i="546"/>
  <c r="F46" i="546" s="1"/>
  <c r="G46" i="546" s="1"/>
  <c r="G23" i="604"/>
  <c r="I23" i="604"/>
  <c r="G18" i="604"/>
  <c r="I18" i="604"/>
  <c r="I30" i="604"/>
  <c r="G30" i="604"/>
  <c r="G31" i="604"/>
  <c r="I31" i="604"/>
  <c r="G11" i="604"/>
  <c r="I11" i="604"/>
  <c r="E24" i="603"/>
  <c r="E21" i="603"/>
  <c r="E27" i="603"/>
  <c r="E37" i="603"/>
  <c r="E43" i="603"/>
  <c r="E22" i="603"/>
  <c r="E28" i="603"/>
  <c r="E38" i="603"/>
  <c r="E44" i="603"/>
  <c r="E23" i="603"/>
  <c r="E35" i="603"/>
  <c r="E39" i="603"/>
  <c r="E45" i="603"/>
  <c r="E36" i="603"/>
  <c r="E30" i="603"/>
  <c r="E29" i="603"/>
  <c r="E31" i="603"/>
  <c r="E42" i="603"/>
  <c r="E34" i="603"/>
  <c r="E46" i="603"/>
  <c r="A52" i="603" s="1"/>
  <c r="E40" i="603"/>
  <c r="E26" i="603"/>
  <c r="G39" i="604"/>
  <c r="I39" i="604"/>
  <c r="G17" i="604"/>
  <c r="I17" i="604"/>
  <c r="G44" i="604"/>
  <c r="I44" i="604"/>
  <c r="G14" i="604"/>
  <c r="I14" i="604"/>
  <c r="G27" i="604"/>
  <c r="I27" i="604"/>
  <c r="J50" i="603"/>
  <c r="E50" i="603"/>
  <c r="A54" i="551"/>
  <c r="I51" i="551"/>
  <c r="F50" i="551"/>
  <c r="G6" i="551"/>
  <c r="G5" i="551"/>
  <c r="A54" i="550"/>
  <c r="I51" i="550"/>
  <c r="F50" i="550"/>
  <c r="G6" i="550"/>
  <c r="G5" i="550"/>
  <c r="A54" i="549"/>
  <c r="I51" i="549"/>
  <c r="F50" i="549"/>
  <c r="G6" i="549"/>
  <c r="G5" i="549"/>
  <c r="F24" i="548"/>
  <c r="G24" i="548" s="1"/>
  <c r="I48" i="548"/>
  <c r="I24" i="547"/>
  <c r="I24" i="546"/>
  <c r="I44" i="545"/>
  <c r="G44" i="545"/>
  <c r="I43" i="545"/>
  <c r="G43" i="545"/>
  <c r="I42" i="545"/>
  <c r="G42" i="545"/>
  <c r="I39" i="545"/>
  <c r="G39" i="545"/>
  <c r="I38" i="545"/>
  <c r="G38" i="545"/>
  <c r="I37" i="545"/>
  <c r="G37" i="545"/>
  <c r="I36" i="545"/>
  <c r="G36" i="545"/>
  <c r="I35" i="545"/>
  <c r="G35" i="545"/>
  <c r="I34" i="545"/>
  <c r="G34" i="545"/>
  <c r="I31" i="545"/>
  <c r="G31" i="545"/>
  <c r="I30" i="545"/>
  <c r="G30" i="545"/>
  <c r="I29" i="545"/>
  <c r="G29" i="545"/>
  <c r="I28" i="545"/>
  <c r="G28" i="545"/>
  <c r="I27" i="545"/>
  <c r="G27" i="545"/>
  <c r="I26" i="545"/>
  <c r="G26" i="545"/>
  <c r="I23" i="545"/>
  <c r="G23" i="545"/>
  <c r="I22" i="545"/>
  <c r="G22" i="545"/>
  <c r="I21" i="545"/>
  <c r="G21" i="545"/>
  <c r="I18" i="545"/>
  <c r="G18" i="545"/>
  <c r="I17" i="545"/>
  <c r="G17" i="545"/>
  <c r="I16" i="545"/>
  <c r="G16" i="545"/>
  <c r="I15" i="545"/>
  <c r="G15" i="545"/>
  <c r="I14" i="545"/>
  <c r="G14" i="545"/>
  <c r="I13" i="545"/>
  <c r="G13" i="545"/>
  <c r="I12" i="545"/>
  <c r="G12" i="545"/>
  <c r="I11" i="545"/>
  <c r="G11" i="545"/>
  <c r="I10" i="545"/>
  <c r="G10" i="545"/>
  <c r="E48" i="544"/>
  <c r="F10" i="544"/>
  <c r="F11" i="544"/>
  <c r="F12" i="544"/>
  <c r="F13" i="544"/>
  <c r="F14" i="544"/>
  <c r="F15" i="544"/>
  <c r="F16" i="544"/>
  <c r="F17" i="544"/>
  <c r="F18" i="544"/>
  <c r="F21" i="544"/>
  <c r="F22" i="544"/>
  <c r="F23" i="544"/>
  <c r="F26" i="544"/>
  <c r="F27" i="544"/>
  <c r="F28" i="544"/>
  <c r="F29" i="544"/>
  <c r="F30" i="544"/>
  <c r="F31" i="544"/>
  <c r="F34" i="544"/>
  <c r="F35" i="544"/>
  <c r="F36" i="544"/>
  <c r="F37" i="544"/>
  <c r="F38" i="544"/>
  <c r="F39" i="544"/>
  <c r="F42" i="544"/>
  <c r="F43" i="544"/>
  <c r="F44" i="544"/>
  <c r="F45" i="544"/>
  <c r="G45" i="544" s="1"/>
  <c r="F10" i="543"/>
  <c r="F11" i="543"/>
  <c r="F12" i="543"/>
  <c r="F13" i="543"/>
  <c r="F14" i="543"/>
  <c r="F15" i="543"/>
  <c r="F16" i="543"/>
  <c r="F17" i="543"/>
  <c r="F18" i="543"/>
  <c r="F21" i="543"/>
  <c r="F22" i="543"/>
  <c r="F23" i="543"/>
  <c r="F26" i="543"/>
  <c r="F27" i="543"/>
  <c r="F28" i="543"/>
  <c r="F29" i="543"/>
  <c r="F30" i="543"/>
  <c r="F31" i="543"/>
  <c r="F34" i="543"/>
  <c r="F35" i="543"/>
  <c r="F36" i="543"/>
  <c r="F37" i="543"/>
  <c r="F38" i="543"/>
  <c r="F39" i="543"/>
  <c r="F42" i="543"/>
  <c r="F43" i="543"/>
  <c r="F44" i="543"/>
  <c r="F45" i="543"/>
  <c r="G45" i="543" s="1"/>
  <c r="C24" i="542"/>
  <c r="C48" i="542" s="1"/>
  <c r="H48" i="542"/>
  <c r="H50" i="542" s="1"/>
  <c r="E6" i="542" s="1"/>
  <c r="E45" i="542"/>
  <c r="E44" i="542"/>
  <c r="E43" i="542"/>
  <c r="E42" i="542"/>
  <c r="E39" i="542"/>
  <c r="E38" i="542"/>
  <c r="E37" i="542"/>
  <c r="E36" i="542"/>
  <c r="E35" i="542"/>
  <c r="E31" i="542"/>
  <c r="E30" i="542"/>
  <c r="E29" i="542"/>
  <c r="E28" i="542"/>
  <c r="E27" i="542"/>
  <c r="E23" i="542"/>
  <c r="E22" i="542"/>
  <c r="E21" i="542"/>
  <c r="E24" i="542"/>
  <c r="E26" i="542"/>
  <c r="E34" i="542"/>
  <c r="E46" i="542"/>
  <c r="A52" i="542" s="1"/>
  <c r="E40" i="542"/>
  <c r="E32" i="542"/>
  <c r="J50" i="542"/>
  <c r="E50" i="542"/>
  <c r="C24" i="541"/>
  <c r="C24" i="540"/>
  <c r="C48" i="540" s="1"/>
  <c r="H48" i="540"/>
  <c r="H50" i="540" s="1"/>
  <c r="E6" i="540" s="1"/>
  <c r="E45" i="540"/>
  <c r="E44" i="540"/>
  <c r="E43" i="540"/>
  <c r="E39" i="540"/>
  <c r="E38" i="540"/>
  <c r="E37" i="540"/>
  <c r="E36" i="540"/>
  <c r="E35" i="540"/>
  <c r="E31" i="540"/>
  <c r="E30" i="540"/>
  <c r="E29" i="540"/>
  <c r="E28" i="540"/>
  <c r="E27" i="540"/>
  <c r="E23" i="540"/>
  <c r="E22" i="540"/>
  <c r="E21" i="540"/>
  <c r="E24" i="540"/>
  <c r="E26" i="540"/>
  <c r="E34" i="540"/>
  <c r="E42" i="540"/>
  <c r="E46" i="540"/>
  <c r="A52" i="540" s="1"/>
  <c r="E40" i="540"/>
  <c r="E32" i="540"/>
  <c r="J50" i="540"/>
  <c r="E50" i="540"/>
  <c r="H46" i="539"/>
  <c r="C46" i="539" s="1"/>
  <c r="H40" i="539"/>
  <c r="C40" i="539" s="1"/>
  <c r="D50" i="539"/>
  <c r="D48" i="539"/>
  <c r="H32" i="539"/>
  <c r="C32" i="539" s="1"/>
  <c r="H24" i="539"/>
  <c r="H19" i="539"/>
  <c r="C19" i="539" s="1"/>
  <c r="H46" i="538"/>
  <c r="C46" i="538" s="1"/>
  <c r="H40" i="538"/>
  <c r="C40" i="538" s="1"/>
  <c r="D50" i="538"/>
  <c r="D48" i="538"/>
  <c r="H32" i="538"/>
  <c r="C32" i="538" s="1"/>
  <c r="H24" i="538"/>
  <c r="H19" i="538"/>
  <c r="C19" i="538" s="1"/>
  <c r="H10" i="537"/>
  <c r="H11" i="537"/>
  <c r="H12" i="537"/>
  <c r="H13" i="537"/>
  <c r="H14" i="537"/>
  <c r="H15" i="537"/>
  <c r="H16" i="537"/>
  <c r="H17" i="537"/>
  <c r="H18" i="537"/>
  <c r="E19" i="537"/>
  <c r="H21" i="537"/>
  <c r="H22" i="537"/>
  <c r="H23" i="537"/>
  <c r="H26" i="537"/>
  <c r="D32" i="537"/>
  <c r="H27" i="537"/>
  <c r="H28" i="537"/>
  <c r="H29" i="537"/>
  <c r="H30" i="537"/>
  <c r="H31" i="537"/>
  <c r="H34" i="537"/>
  <c r="H35" i="537"/>
  <c r="H36" i="537"/>
  <c r="H37" i="537"/>
  <c r="H38" i="537"/>
  <c r="H39" i="537"/>
  <c r="H42" i="537"/>
  <c r="H43" i="537"/>
  <c r="H44" i="537"/>
  <c r="H10" i="536"/>
  <c r="H11" i="536"/>
  <c r="H12" i="536"/>
  <c r="H13" i="536"/>
  <c r="H14" i="536"/>
  <c r="H15" i="536"/>
  <c r="H16" i="536"/>
  <c r="H17" i="536"/>
  <c r="H18" i="536"/>
  <c r="E19" i="536"/>
  <c r="H21" i="536"/>
  <c r="H22" i="536"/>
  <c r="H23" i="536"/>
  <c r="H26" i="536"/>
  <c r="H27" i="536"/>
  <c r="H28" i="536"/>
  <c r="H29" i="536"/>
  <c r="H30" i="536"/>
  <c r="H31" i="536"/>
  <c r="H34" i="536"/>
  <c r="D40" i="536"/>
  <c r="H35" i="536"/>
  <c r="H36" i="536"/>
  <c r="H37" i="536"/>
  <c r="H38" i="536"/>
  <c r="H39" i="536"/>
  <c r="H42" i="536"/>
  <c r="H43" i="536"/>
  <c r="H44" i="536"/>
  <c r="H10" i="535"/>
  <c r="H11" i="535"/>
  <c r="H12" i="535"/>
  <c r="H13" i="535"/>
  <c r="H14" i="535"/>
  <c r="H15" i="535"/>
  <c r="H16" i="535"/>
  <c r="H17" i="535"/>
  <c r="H18" i="535"/>
  <c r="E19" i="535"/>
  <c r="H21" i="535"/>
  <c r="H22" i="535"/>
  <c r="H23" i="535"/>
  <c r="H26" i="535"/>
  <c r="D32" i="535"/>
  <c r="H27" i="535"/>
  <c r="H28" i="535"/>
  <c r="H29" i="535"/>
  <c r="H30" i="535"/>
  <c r="H31" i="535"/>
  <c r="H34" i="535"/>
  <c r="D40" i="535"/>
  <c r="H35" i="535"/>
  <c r="H36" i="535"/>
  <c r="H37" i="535"/>
  <c r="H38" i="535"/>
  <c r="H39" i="535"/>
  <c r="H42" i="535"/>
  <c r="D46" i="535"/>
  <c r="H43" i="535"/>
  <c r="H44" i="535"/>
  <c r="H10" i="534"/>
  <c r="H11" i="534"/>
  <c r="H12" i="534"/>
  <c r="H13" i="534"/>
  <c r="H14" i="534"/>
  <c r="H15" i="534"/>
  <c r="H16" i="534"/>
  <c r="H17" i="534"/>
  <c r="H18" i="534"/>
  <c r="E19" i="534"/>
  <c r="H21" i="534"/>
  <c r="H22" i="534"/>
  <c r="H23" i="534"/>
  <c r="H26" i="534"/>
  <c r="D32" i="534"/>
  <c r="H27" i="534"/>
  <c r="H28" i="534"/>
  <c r="H29" i="534"/>
  <c r="H30" i="534"/>
  <c r="H31" i="534"/>
  <c r="H34" i="534"/>
  <c r="D40" i="534"/>
  <c r="H35" i="534"/>
  <c r="H36" i="534"/>
  <c r="H37" i="534"/>
  <c r="H38" i="534"/>
  <c r="H39" i="534"/>
  <c r="H42" i="534"/>
  <c r="D46" i="534"/>
  <c r="H43" i="534"/>
  <c r="H44" i="534"/>
  <c r="H10" i="533"/>
  <c r="H11" i="533"/>
  <c r="H12" i="533"/>
  <c r="H13" i="533"/>
  <c r="H14" i="533"/>
  <c r="H15" i="533"/>
  <c r="H16" i="533"/>
  <c r="H17" i="533"/>
  <c r="H18" i="533"/>
  <c r="D50" i="533"/>
  <c r="E19" i="533"/>
  <c r="H21" i="533"/>
  <c r="H22" i="533"/>
  <c r="H23" i="533"/>
  <c r="D48" i="533"/>
  <c r="E24" i="533" s="1"/>
  <c r="H26" i="533"/>
  <c r="H27" i="533"/>
  <c r="H28" i="533"/>
  <c r="H29" i="533"/>
  <c r="H30" i="533"/>
  <c r="H31" i="533"/>
  <c r="H34" i="533"/>
  <c r="H35" i="533"/>
  <c r="H36" i="533"/>
  <c r="H37" i="533"/>
  <c r="H38" i="533"/>
  <c r="H39" i="533"/>
  <c r="H42" i="533"/>
  <c r="H43" i="533"/>
  <c r="H44" i="533"/>
  <c r="D26" i="532"/>
  <c r="D32" i="532" s="1"/>
  <c r="D34" i="532"/>
  <c r="D42" i="532"/>
  <c r="C45" i="532"/>
  <c r="C44" i="532"/>
  <c r="C43" i="532"/>
  <c r="C42" i="532"/>
  <c r="C39" i="532"/>
  <c r="C38" i="532"/>
  <c r="C37" i="532"/>
  <c r="C36" i="532"/>
  <c r="C35" i="532"/>
  <c r="C34" i="532"/>
  <c r="C31" i="532"/>
  <c r="C30" i="532"/>
  <c r="C29" i="532"/>
  <c r="C28" i="532"/>
  <c r="C27" i="532"/>
  <c r="C26" i="532"/>
  <c r="D24" i="532"/>
  <c r="C23" i="532"/>
  <c r="C22" i="532"/>
  <c r="C21" i="532"/>
  <c r="D19" i="532"/>
  <c r="E17" i="532" s="1"/>
  <c r="C18" i="532"/>
  <c r="C17" i="532"/>
  <c r="C16" i="532"/>
  <c r="C15" i="532"/>
  <c r="C14" i="532"/>
  <c r="C13" i="532"/>
  <c r="C12" i="532"/>
  <c r="C11" i="532"/>
  <c r="C10" i="532"/>
  <c r="C7" i="532"/>
  <c r="G4" i="532"/>
  <c r="E4" i="532"/>
  <c r="E32" i="533" l="1"/>
  <c r="E16" i="532"/>
  <c r="E11" i="532"/>
  <c r="G28" i="604"/>
  <c r="E14" i="532"/>
  <c r="G22" i="604"/>
  <c r="G36" i="604"/>
  <c r="E10" i="532"/>
  <c r="E12" i="532"/>
  <c r="I43" i="604"/>
  <c r="I46" i="604" s="1"/>
  <c r="F46" i="604" s="1"/>
  <c r="G46" i="604" s="1"/>
  <c r="I35" i="604"/>
  <c r="I40" i="604" s="1"/>
  <c r="F40" i="604" s="1"/>
  <c r="G40" i="604" s="1"/>
  <c r="E18" i="532"/>
  <c r="E13" i="532"/>
  <c r="E15" i="532"/>
  <c r="E46" i="533"/>
  <c r="A52" i="533" s="1"/>
  <c r="E40" i="533"/>
  <c r="I50" i="605"/>
  <c r="F48" i="605"/>
  <c r="I19" i="545"/>
  <c r="F19" i="545" s="1"/>
  <c r="G19" i="545" s="1"/>
  <c r="I32" i="545"/>
  <c r="F32" i="545" s="1"/>
  <c r="G32" i="545" s="1"/>
  <c r="I40" i="545"/>
  <c r="F40" i="545" s="1"/>
  <c r="G40" i="545" s="1"/>
  <c r="I46" i="545"/>
  <c r="F46" i="545" s="1"/>
  <c r="G46" i="545" s="1"/>
  <c r="E48" i="603"/>
  <c r="F10" i="603"/>
  <c r="F14" i="603"/>
  <c r="F18" i="603"/>
  <c r="F26" i="603"/>
  <c r="F30" i="603"/>
  <c r="F36" i="603"/>
  <c r="F42" i="603"/>
  <c r="F23" i="603"/>
  <c r="F11" i="603"/>
  <c r="F15" i="603"/>
  <c r="F21" i="603"/>
  <c r="F27" i="603"/>
  <c r="F31" i="603"/>
  <c r="F37" i="603"/>
  <c r="F43" i="603"/>
  <c r="F17" i="603"/>
  <c r="F35" i="603"/>
  <c r="F45" i="603"/>
  <c r="G45" i="603" s="1"/>
  <c r="F12" i="603"/>
  <c r="F16" i="603"/>
  <c r="F22" i="603"/>
  <c r="F28" i="603"/>
  <c r="F34" i="603"/>
  <c r="F38" i="603"/>
  <c r="F44" i="603"/>
  <c r="F13" i="603"/>
  <c r="F29" i="603"/>
  <c r="F39" i="603"/>
  <c r="I19" i="604"/>
  <c r="F19" i="604" s="1"/>
  <c r="G19" i="604" s="1"/>
  <c r="I24" i="604"/>
  <c r="F24" i="604" s="1"/>
  <c r="G24" i="604" s="1"/>
  <c r="I32" i="604"/>
  <c r="F32" i="604" s="1"/>
  <c r="G32" i="604" s="1"/>
  <c r="F24" i="547"/>
  <c r="G24" i="547" s="1"/>
  <c r="I48" i="547"/>
  <c r="I50" i="547" s="1"/>
  <c r="I50" i="548"/>
  <c r="F48" i="548"/>
  <c r="F24" i="546"/>
  <c r="G24" i="546" s="1"/>
  <c r="I48" i="546"/>
  <c r="I24" i="545"/>
  <c r="I44" i="544"/>
  <c r="G44" i="544"/>
  <c r="I43" i="544"/>
  <c r="G43" i="544"/>
  <c r="I42" i="544"/>
  <c r="G42" i="544"/>
  <c r="I39" i="544"/>
  <c r="G39" i="544"/>
  <c r="I38" i="544"/>
  <c r="G38" i="544"/>
  <c r="I37" i="544"/>
  <c r="G37" i="544"/>
  <c r="I36" i="544"/>
  <c r="G36" i="544"/>
  <c r="I35" i="544"/>
  <c r="G35" i="544"/>
  <c r="I34" i="544"/>
  <c r="G34" i="544"/>
  <c r="I31" i="544"/>
  <c r="G31" i="544"/>
  <c r="I30" i="544"/>
  <c r="G30" i="544"/>
  <c r="I29" i="544"/>
  <c r="G29" i="544"/>
  <c r="I28" i="544"/>
  <c r="G28" i="544"/>
  <c r="I27" i="544"/>
  <c r="G27" i="544"/>
  <c r="I26" i="544"/>
  <c r="G26" i="544"/>
  <c r="I23" i="544"/>
  <c r="G23" i="544"/>
  <c r="I22" i="544"/>
  <c r="G22" i="544"/>
  <c r="I21" i="544"/>
  <c r="G21" i="544"/>
  <c r="I18" i="544"/>
  <c r="G18" i="544"/>
  <c r="I17" i="544"/>
  <c r="G17" i="544"/>
  <c r="I16" i="544"/>
  <c r="G16" i="544"/>
  <c r="I15" i="544"/>
  <c r="G15" i="544"/>
  <c r="I14" i="544"/>
  <c r="G14" i="544"/>
  <c r="I13" i="544"/>
  <c r="G13" i="544"/>
  <c r="I12" i="544"/>
  <c r="G12" i="544"/>
  <c r="I11" i="544"/>
  <c r="G11" i="544"/>
  <c r="I10" i="544"/>
  <c r="G10" i="544"/>
  <c r="I44" i="543"/>
  <c r="G44" i="543"/>
  <c r="I43" i="543"/>
  <c r="G43" i="543"/>
  <c r="I42" i="543"/>
  <c r="G42" i="543"/>
  <c r="I39" i="543"/>
  <c r="G39" i="543"/>
  <c r="I38" i="543"/>
  <c r="G38" i="543"/>
  <c r="I37" i="543"/>
  <c r="G37" i="543"/>
  <c r="I36" i="543"/>
  <c r="G36" i="543"/>
  <c r="I35" i="543"/>
  <c r="G35" i="543"/>
  <c r="I34" i="543"/>
  <c r="G34" i="543"/>
  <c r="I31" i="543"/>
  <c r="G31" i="543"/>
  <c r="I30" i="543"/>
  <c r="G30" i="543"/>
  <c r="I29" i="543"/>
  <c r="G29" i="543"/>
  <c r="I28" i="543"/>
  <c r="G28" i="543"/>
  <c r="I27" i="543"/>
  <c r="G27" i="543"/>
  <c r="I26" i="543"/>
  <c r="G26" i="543"/>
  <c r="I23" i="543"/>
  <c r="G23" i="543"/>
  <c r="I22" i="543"/>
  <c r="G22" i="543"/>
  <c r="I21" i="543"/>
  <c r="G21" i="543"/>
  <c r="I18" i="543"/>
  <c r="G18" i="543"/>
  <c r="I17" i="543"/>
  <c r="G17" i="543"/>
  <c r="I16" i="543"/>
  <c r="G16" i="543"/>
  <c r="I15" i="543"/>
  <c r="G15" i="543"/>
  <c r="I14" i="543"/>
  <c r="G14" i="543"/>
  <c r="I13" i="543"/>
  <c r="G13" i="543"/>
  <c r="I12" i="543"/>
  <c r="G12" i="543"/>
  <c r="I11" i="543"/>
  <c r="G11" i="543"/>
  <c r="I10" i="543"/>
  <c r="G10" i="543"/>
  <c r="E48" i="542"/>
  <c r="F10" i="542"/>
  <c r="F11" i="542"/>
  <c r="F12" i="542"/>
  <c r="F13" i="542"/>
  <c r="F14" i="542"/>
  <c r="F15" i="542"/>
  <c r="F16" i="542"/>
  <c r="F17" i="542"/>
  <c r="F18" i="542"/>
  <c r="F21" i="542"/>
  <c r="F22" i="542"/>
  <c r="F23" i="542"/>
  <c r="F26" i="542"/>
  <c r="F27" i="542"/>
  <c r="F28" i="542"/>
  <c r="F29" i="542"/>
  <c r="F30" i="542"/>
  <c r="F31" i="542"/>
  <c r="F34" i="542"/>
  <c r="F35" i="542"/>
  <c r="F36" i="542"/>
  <c r="F37" i="542"/>
  <c r="F38" i="542"/>
  <c r="F39" i="542"/>
  <c r="F42" i="542"/>
  <c r="F43" i="542"/>
  <c r="F44" i="542"/>
  <c r="F45" i="542"/>
  <c r="G45" i="542" s="1"/>
  <c r="E48" i="540"/>
  <c r="F10" i="540"/>
  <c r="F11" i="540"/>
  <c r="F12" i="540"/>
  <c r="F13" i="540"/>
  <c r="F14" i="540"/>
  <c r="F15" i="540"/>
  <c r="F16" i="540"/>
  <c r="F17" i="540"/>
  <c r="F18" i="540"/>
  <c r="F21" i="540"/>
  <c r="F22" i="540"/>
  <c r="F23" i="540"/>
  <c r="F26" i="540"/>
  <c r="F27" i="540"/>
  <c r="F28" i="540"/>
  <c r="F29" i="540"/>
  <c r="F30" i="540"/>
  <c r="F31" i="540"/>
  <c r="F34" i="540"/>
  <c r="F35" i="540"/>
  <c r="F36" i="540"/>
  <c r="F37" i="540"/>
  <c r="F38" i="540"/>
  <c r="F39" i="540"/>
  <c r="F42" i="540"/>
  <c r="F43" i="540"/>
  <c r="F44" i="540"/>
  <c r="F45" i="540"/>
  <c r="G45" i="540" s="1"/>
  <c r="C24" i="539"/>
  <c r="C48" i="539" s="1"/>
  <c r="H48" i="539"/>
  <c r="H50" i="539" s="1"/>
  <c r="E6" i="539" s="1"/>
  <c r="E45" i="539"/>
  <c r="E44" i="539"/>
  <c r="E43" i="539"/>
  <c r="E42" i="539"/>
  <c r="E39" i="539"/>
  <c r="E38" i="539"/>
  <c r="E37" i="539"/>
  <c r="E36" i="539"/>
  <c r="E35" i="539"/>
  <c r="E34" i="539"/>
  <c r="E31" i="539"/>
  <c r="E30" i="539"/>
  <c r="E29" i="539"/>
  <c r="E28" i="539"/>
  <c r="E27" i="539"/>
  <c r="E23" i="539"/>
  <c r="E22" i="539"/>
  <c r="E21" i="539"/>
  <c r="E24" i="539"/>
  <c r="E26" i="539"/>
  <c r="E40" i="539"/>
  <c r="E46" i="539"/>
  <c r="A52" i="539" s="1"/>
  <c r="E32" i="539"/>
  <c r="J50" i="539"/>
  <c r="E50" i="539"/>
  <c r="C24" i="538"/>
  <c r="C48" i="538" s="1"/>
  <c r="H48" i="538"/>
  <c r="H50" i="538" s="1"/>
  <c r="E6" i="538" s="1"/>
  <c r="E45" i="538"/>
  <c r="E44" i="538"/>
  <c r="E43" i="538"/>
  <c r="E39" i="538"/>
  <c r="E38" i="538"/>
  <c r="E37" i="538"/>
  <c r="E36" i="538"/>
  <c r="E35" i="538"/>
  <c r="E31" i="538"/>
  <c r="E30" i="538"/>
  <c r="E29" i="538"/>
  <c r="E28" i="538"/>
  <c r="E27" i="538"/>
  <c r="E23" i="538"/>
  <c r="E22" i="538"/>
  <c r="E21" i="538"/>
  <c r="E24" i="538"/>
  <c r="E26" i="538"/>
  <c r="E34" i="538"/>
  <c r="E42" i="538"/>
  <c r="E46" i="538"/>
  <c r="A52" i="538" s="1"/>
  <c r="E40" i="538"/>
  <c r="E32" i="538"/>
  <c r="J50" i="538"/>
  <c r="E50" i="538"/>
  <c r="H46" i="537"/>
  <c r="C46" i="537" s="1"/>
  <c r="H40" i="537"/>
  <c r="C40" i="537" s="1"/>
  <c r="D50" i="537"/>
  <c r="D48" i="537"/>
  <c r="H32" i="537"/>
  <c r="C32" i="537" s="1"/>
  <c r="H24" i="537"/>
  <c r="H19" i="537"/>
  <c r="C19" i="537" s="1"/>
  <c r="H46" i="536"/>
  <c r="C46" i="536" s="1"/>
  <c r="D50" i="536"/>
  <c r="D48" i="536"/>
  <c r="H40" i="536"/>
  <c r="C40" i="536" s="1"/>
  <c r="H32" i="536"/>
  <c r="C32" i="536" s="1"/>
  <c r="H24" i="536"/>
  <c r="H19" i="536"/>
  <c r="C19" i="536" s="1"/>
  <c r="H46" i="535"/>
  <c r="C46" i="535" s="1"/>
  <c r="H40" i="535"/>
  <c r="C40" i="535" s="1"/>
  <c r="D50" i="535"/>
  <c r="D48" i="535"/>
  <c r="H32" i="535"/>
  <c r="C32" i="535" s="1"/>
  <c r="H24" i="535"/>
  <c r="H19" i="535"/>
  <c r="C19" i="535" s="1"/>
  <c r="H46" i="534"/>
  <c r="C46" i="534" s="1"/>
  <c r="H40" i="534"/>
  <c r="C40" i="534" s="1"/>
  <c r="D50" i="534"/>
  <c r="D48" i="534"/>
  <c r="H32" i="534"/>
  <c r="C32" i="534" s="1"/>
  <c r="H24" i="534"/>
  <c r="H19" i="534"/>
  <c r="C19" i="534" s="1"/>
  <c r="H46" i="533"/>
  <c r="C46" i="533" s="1"/>
  <c r="H40" i="533"/>
  <c r="C40" i="533" s="1"/>
  <c r="H32" i="533"/>
  <c r="C32" i="533" s="1"/>
  <c r="E45" i="533"/>
  <c r="E44" i="533"/>
  <c r="E43" i="533"/>
  <c r="E42" i="533"/>
  <c r="E39" i="533"/>
  <c r="E38" i="533"/>
  <c r="E37" i="533"/>
  <c r="E36" i="533"/>
  <c r="E35" i="533"/>
  <c r="E34" i="533"/>
  <c r="E31" i="533"/>
  <c r="E30" i="533"/>
  <c r="E29" i="533"/>
  <c r="E28" i="533"/>
  <c r="E27" i="533"/>
  <c r="E26" i="533"/>
  <c r="E23" i="533"/>
  <c r="E22" i="533"/>
  <c r="E21" i="533"/>
  <c r="H24" i="533"/>
  <c r="J50" i="533"/>
  <c r="E50" i="533"/>
  <c r="H19" i="533"/>
  <c r="C19" i="533" s="1"/>
  <c r="H10" i="532"/>
  <c r="H11" i="532"/>
  <c r="H12" i="532"/>
  <c r="H13" i="532"/>
  <c r="H14" i="532"/>
  <c r="H15" i="532"/>
  <c r="H16" i="532"/>
  <c r="H17" i="532"/>
  <c r="H18" i="532"/>
  <c r="E19" i="532"/>
  <c r="H21" i="532"/>
  <c r="H22" i="532"/>
  <c r="H23" i="532"/>
  <c r="H26" i="532"/>
  <c r="H27" i="532"/>
  <c r="H28" i="532"/>
  <c r="H29" i="532"/>
  <c r="H30" i="532"/>
  <c r="H31" i="532"/>
  <c r="H34" i="532"/>
  <c r="D40" i="532"/>
  <c r="H35" i="532"/>
  <c r="H36" i="532"/>
  <c r="H37" i="532"/>
  <c r="H38" i="532"/>
  <c r="H39" i="532"/>
  <c r="H42" i="532"/>
  <c r="D46" i="532"/>
  <c r="H43" i="532"/>
  <c r="H44" i="532"/>
  <c r="D26" i="531"/>
  <c r="D34" i="531"/>
  <c r="D40" i="531" s="1"/>
  <c r="D42" i="531"/>
  <c r="C45" i="531"/>
  <c r="C44" i="531"/>
  <c r="C43" i="531"/>
  <c r="C42" i="531"/>
  <c r="C39" i="531"/>
  <c r="C38" i="531"/>
  <c r="C37" i="531"/>
  <c r="C36" i="531"/>
  <c r="C35" i="531"/>
  <c r="C34" i="531"/>
  <c r="C31" i="531"/>
  <c r="C30" i="531"/>
  <c r="C29" i="531"/>
  <c r="C28" i="531"/>
  <c r="C27" i="531"/>
  <c r="C26" i="531"/>
  <c r="D24" i="531"/>
  <c r="C23" i="531"/>
  <c r="C22" i="531"/>
  <c r="C21" i="531"/>
  <c r="D19" i="531"/>
  <c r="E18" i="531" s="1"/>
  <c r="C18" i="531"/>
  <c r="C17" i="531"/>
  <c r="C16" i="531"/>
  <c r="C15" i="531"/>
  <c r="C14" i="531"/>
  <c r="C13" i="531"/>
  <c r="C12" i="531"/>
  <c r="C11" i="531"/>
  <c r="C10" i="531"/>
  <c r="C7" i="531"/>
  <c r="G4" i="531"/>
  <c r="E4" i="531"/>
  <c r="D46" i="530"/>
  <c r="C45" i="530"/>
  <c r="C44" i="530"/>
  <c r="C43" i="530"/>
  <c r="C42" i="530"/>
  <c r="D40" i="530"/>
  <c r="C39" i="530"/>
  <c r="C38" i="530"/>
  <c r="C37" i="530"/>
  <c r="C36" i="530"/>
  <c r="C35" i="530"/>
  <c r="C34" i="530"/>
  <c r="D32" i="530"/>
  <c r="C31" i="530"/>
  <c r="C30" i="530"/>
  <c r="C29" i="530"/>
  <c r="C28" i="530"/>
  <c r="C27" i="530"/>
  <c r="C26" i="530"/>
  <c r="D24" i="530"/>
  <c r="C23" i="530"/>
  <c r="C22" i="530"/>
  <c r="C21" i="530"/>
  <c r="D19" i="530"/>
  <c r="E17" i="530" s="1"/>
  <c r="C18" i="530"/>
  <c r="C17" i="530"/>
  <c r="C16" i="530"/>
  <c r="C15" i="530"/>
  <c r="C14" i="530"/>
  <c r="C13" i="530"/>
  <c r="C12" i="530"/>
  <c r="C11" i="530"/>
  <c r="C10" i="530"/>
  <c r="C7" i="530"/>
  <c r="G4" i="530"/>
  <c r="E4" i="530"/>
  <c r="C45" i="529"/>
  <c r="C44" i="529"/>
  <c r="C43" i="529"/>
  <c r="C42" i="529"/>
  <c r="C39" i="529"/>
  <c r="C38" i="529"/>
  <c r="C37" i="529"/>
  <c r="C36" i="529"/>
  <c r="C35" i="529"/>
  <c r="C34" i="529"/>
  <c r="C31" i="529"/>
  <c r="C30" i="529"/>
  <c r="C29" i="529"/>
  <c r="C28" i="529"/>
  <c r="C27" i="529"/>
  <c r="C26" i="529"/>
  <c r="D24" i="529"/>
  <c r="C23" i="529"/>
  <c r="C22" i="529"/>
  <c r="C21" i="529"/>
  <c r="D19" i="529"/>
  <c r="E18" i="529" s="1"/>
  <c r="C18" i="529"/>
  <c r="C17" i="529"/>
  <c r="C16" i="529"/>
  <c r="C15" i="529"/>
  <c r="C14" i="529"/>
  <c r="C13" i="529"/>
  <c r="C12" i="529"/>
  <c r="C11" i="529"/>
  <c r="C10" i="529"/>
  <c r="C7" i="529"/>
  <c r="G4" i="529"/>
  <c r="E4" i="529"/>
  <c r="E10" i="530" l="1"/>
  <c r="E12" i="530"/>
  <c r="E14" i="530"/>
  <c r="E16" i="530"/>
  <c r="E18" i="530"/>
  <c r="E11" i="530"/>
  <c r="E13" i="530"/>
  <c r="E15" i="530"/>
  <c r="E11" i="529"/>
  <c r="E17" i="529"/>
  <c r="E13" i="529"/>
  <c r="E15" i="529"/>
  <c r="E10" i="529"/>
  <c r="E12" i="529"/>
  <c r="E14" i="529"/>
  <c r="E16" i="529"/>
  <c r="I19" i="544"/>
  <c r="F19" i="544" s="1"/>
  <c r="G19" i="544" s="1"/>
  <c r="I32" i="544"/>
  <c r="F32" i="544" s="1"/>
  <c r="G32" i="544" s="1"/>
  <c r="I40" i="544"/>
  <c r="F40" i="544" s="1"/>
  <c r="G40" i="544" s="1"/>
  <c r="I46" i="544"/>
  <c r="F46" i="544" s="1"/>
  <c r="G46" i="544" s="1"/>
  <c r="F48" i="547"/>
  <c r="E11" i="531"/>
  <c r="E13" i="531"/>
  <c r="E15" i="531"/>
  <c r="E17" i="531"/>
  <c r="E48" i="533"/>
  <c r="I19" i="543"/>
  <c r="F19" i="543" s="1"/>
  <c r="G19" i="543" s="1"/>
  <c r="I32" i="543"/>
  <c r="F32" i="543" s="1"/>
  <c r="G32" i="543" s="1"/>
  <c r="I40" i="543"/>
  <c r="F40" i="543" s="1"/>
  <c r="G40" i="543" s="1"/>
  <c r="I46" i="543"/>
  <c r="F46" i="543" s="1"/>
  <c r="G46" i="543" s="1"/>
  <c r="G29" i="603"/>
  <c r="I29" i="603"/>
  <c r="G34" i="603"/>
  <c r="I34" i="603"/>
  <c r="G12" i="603"/>
  <c r="I12" i="603"/>
  <c r="I43" i="603"/>
  <c r="G43" i="603"/>
  <c r="I21" i="603"/>
  <c r="G21" i="603"/>
  <c r="G42" i="603"/>
  <c r="I42" i="603"/>
  <c r="G18" i="603"/>
  <c r="I18" i="603"/>
  <c r="A54" i="605"/>
  <c r="G5" i="605"/>
  <c r="I51" i="605"/>
  <c r="F50" i="605"/>
  <c r="G6" i="605"/>
  <c r="I13" i="603"/>
  <c r="G13" i="603"/>
  <c r="G28" i="603"/>
  <c r="I28" i="603"/>
  <c r="I37" i="603"/>
  <c r="G37" i="603"/>
  <c r="I15" i="603"/>
  <c r="G15" i="603"/>
  <c r="G36" i="603"/>
  <c r="I36" i="603"/>
  <c r="G14" i="603"/>
  <c r="I14" i="603"/>
  <c r="E10" i="531"/>
  <c r="E12" i="531"/>
  <c r="E14" i="531"/>
  <c r="E16" i="531"/>
  <c r="D32" i="531"/>
  <c r="D46" i="531"/>
  <c r="D48" i="531" s="1"/>
  <c r="E24" i="531" s="1"/>
  <c r="I48" i="604"/>
  <c r="G44" i="603"/>
  <c r="I44" i="603"/>
  <c r="G22" i="603"/>
  <c r="I22" i="603"/>
  <c r="G35" i="603"/>
  <c r="I35" i="603"/>
  <c r="I31" i="603"/>
  <c r="G31" i="603"/>
  <c r="I11" i="603"/>
  <c r="G11" i="603"/>
  <c r="G30" i="603"/>
  <c r="I30" i="603"/>
  <c r="G10" i="603"/>
  <c r="I10" i="603"/>
  <c r="G39" i="603"/>
  <c r="I39" i="603"/>
  <c r="G38" i="603"/>
  <c r="I38" i="603"/>
  <c r="G16" i="603"/>
  <c r="I16" i="603"/>
  <c r="I17" i="603"/>
  <c r="G17" i="603"/>
  <c r="G27" i="603"/>
  <c r="I27" i="603"/>
  <c r="I23" i="603"/>
  <c r="G23" i="603"/>
  <c r="G26" i="603"/>
  <c r="I26" i="603"/>
  <c r="A54" i="548"/>
  <c r="I51" i="548"/>
  <c r="F50" i="548"/>
  <c r="G6" i="548"/>
  <c r="G5" i="548"/>
  <c r="A54" i="547"/>
  <c r="I51" i="547"/>
  <c r="F50" i="547"/>
  <c r="G6" i="547"/>
  <c r="G5" i="547"/>
  <c r="I50" i="546"/>
  <c r="F48" i="546"/>
  <c r="F24" i="545"/>
  <c r="G24" i="545" s="1"/>
  <c r="I48" i="545"/>
  <c r="I24" i="544"/>
  <c r="I24" i="543"/>
  <c r="I44" i="542"/>
  <c r="G44" i="542"/>
  <c r="I43" i="542"/>
  <c r="G43" i="542"/>
  <c r="I42" i="542"/>
  <c r="G42" i="542"/>
  <c r="I39" i="542"/>
  <c r="G39" i="542"/>
  <c r="I38" i="542"/>
  <c r="G38" i="542"/>
  <c r="I37" i="542"/>
  <c r="G37" i="542"/>
  <c r="I36" i="542"/>
  <c r="G36" i="542"/>
  <c r="I35" i="542"/>
  <c r="G35" i="542"/>
  <c r="I34" i="542"/>
  <c r="G34" i="542"/>
  <c r="I31" i="542"/>
  <c r="G31" i="542"/>
  <c r="I30" i="542"/>
  <c r="G30" i="542"/>
  <c r="I29" i="542"/>
  <c r="G29" i="542"/>
  <c r="I28" i="542"/>
  <c r="G28" i="542"/>
  <c r="I27" i="542"/>
  <c r="G27" i="542"/>
  <c r="I26" i="542"/>
  <c r="G26" i="542"/>
  <c r="I23" i="542"/>
  <c r="G23" i="542"/>
  <c r="I22" i="542"/>
  <c r="G22" i="542"/>
  <c r="I21" i="542"/>
  <c r="G21" i="542"/>
  <c r="I18" i="542"/>
  <c r="G18" i="542"/>
  <c r="I17" i="542"/>
  <c r="G17" i="542"/>
  <c r="I16" i="542"/>
  <c r="G16" i="542"/>
  <c r="I15" i="542"/>
  <c r="G15" i="542"/>
  <c r="I14" i="542"/>
  <c r="G14" i="542"/>
  <c r="I13" i="542"/>
  <c r="G13" i="542"/>
  <c r="I12" i="542"/>
  <c r="G12" i="542"/>
  <c r="I11" i="542"/>
  <c r="G11" i="542"/>
  <c r="I10" i="542"/>
  <c r="G10" i="542"/>
  <c r="I44" i="540"/>
  <c r="G44" i="540"/>
  <c r="I43" i="540"/>
  <c r="G43" i="540"/>
  <c r="I42" i="540"/>
  <c r="G42" i="540"/>
  <c r="I39" i="540"/>
  <c r="G39" i="540"/>
  <c r="I38" i="540"/>
  <c r="G38" i="540"/>
  <c r="I37" i="540"/>
  <c r="G37" i="540"/>
  <c r="I36" i="540"/>
  <c r="G36" i="540"/>
  <c r="I35" i="540"/>
  <c r="G35" i="540"/>
  <c r="I34" i="540"/>
  <c r="G34" i="540"/>
  <c r="I31" i="540"/>
  <c r="G31" i="540"/>
  <c r="I30" i="540"/>
  <c r="G30" i="540"/>
  <c r="I29" i="540"/>
  <c r="G29" i="540"/>
  <c r="I28" i="540"/>
  <c r="G28" i="540"/>
  <c r="I27" i="540"/>
  <c r="G27" i="540"/>
  <c r="I26" i="540"/>
  <c r="G26" i="540"/>
  <c r="I23" i="540"/>
  <c r="G23" i="540"/>
  <c r="I22" i="540"/>
  <c r="G22" i="540"/>
  <c r="I21" i="540"/>
  <c r="G21" i="540"/>
  <c r="I18" i="540"/>
  <c r="G18" i="540"/>
  <c r="I17" i="540"/>
  <c r="G17" i="540"/>
  <c r="I16" i="540"/>
  <c r="G16" i="540"/>
  <c r="I15" i="540"/>
  <c r="G15" i="540"/>
  <c r="I14" i="540"/>
  <c r="G14" i="540"/>
  <c r="I13" i="540"/>
  <c r="G13" i="540"/>
  <c r="I12" i="540"/>
  <c r="G12" i="540"/>
  <c r="I11" i="540"/>
  <c r="G11" i="540"/>
  <c r="I10" i="540"/>
  <c r="G10" i="540"/>
  <c r="E48" i="539"/>
  <c r="F10" i="539"/>
  <c r="F11" i="539"/>
  <c r="F12" i="539"/>
  <c r="F13" i="539"/>
  <c r="F14" i="539"/>
  <c r="F15" i="539"/>
  <c r="F16" i="539"/>
  <c r="F17" i="539"/>
  <c r="F18" i="539"/>
  <c r="F21" i="539"/>
  <c r="F22" i="539"/>
  <c r="F23" i="539"/>
  <c r="F26" i="539"/>
  <c r="F27" i="539"/>
  <c r="F28" i="539"/>
  <c r="F29" i="539"/>
  <c r="F30" i="539"/>
  <c r="F31" i="539"/>
  <c r="F34" i="539"/>
  <c r="F35" i="539"/>
  <c r="F36" i="539"/>
  <c r="F37" i="539"/>
  <c r="F38" i="539"/>
  <c r="F39" i="539"/>
  <c r="F42" i="539"/>
  <c r="F43" i="539"/>
  <c r="F44" i="539"/>
  <c r="F45" i="539"/>
  <c r="G45" i="539" s="1"/>
  <c r="E48" i="538"/>
  <c r="F10" i="538"/>
  <c r="F11" i="538"/>
  <c r="F12" i="538"/>
  <c r="F13" i="538"/>
  <c r="F14" i="538"/>
  <c r="F15" i="538"/>
  <c r="F16" i="538"/>
  <c r="F17" i="538"/>
  <c r="F18" i="538"/>
  <c r="F21" i="538"/>
  <c r="F22" i="538"/>
  <c r="F23" i="538"/>
  <c r="F26" i="538"/>
  <c r="F27" i="538"/>
  <c r="F28" i="538"/>
  <c r="F29" i="538"/>
  <c r="F30" i="538"/>
  <c r="F31" i="538"/>
  <c r="F34" i="538"/>
  <c r="F35" i="538"/>
  <c r="F36" i="538"/>
  <c r="F37" i="538"/>
  <c r="F38" i="538"/>
  <c r="F39" i="538"/>
  <c r="F42" i="538"/>
  <c r="F43" i="538"/>
  <c r="F44" i="538"/>
  <c r="F45" i="538"/>
  <c r="G45" i="538" s="1"/>
  <c r="C24" i="537"/>
  <c r="C48" i="537" s="1"/>
  <c r="H48" i="537"/>
  <c r="H50" i="537" s="1"/>
  <c r="E6" i="537" s="1"/>
  <c r="E45" i="537"/>
  <c r="E44" i="537"/>
  <c r="E43" i="537"/>
  <c r="E42" i="537"/>
  <c r="E39" i="537"/>
  <c r="E38" i="537"/>
  <c r="E37" i="537"/>
  <c r="E36" i="537"/>
  <c r="E35" i="537"/>
  <c r="E34" i="537"/>
  <c r="E31" i="537"/>
  <c r="E30" i="537"/>
  <c r="E29" i="537"/>
  <c r="E28" i="537"/>
  <c r="E27" i="537"/>
  <c r="E23" i="537"/>
  <c r="E22" i="537"/>
  <c r="E21" i="537"/>
  <c r="E24" i="537"/>
  <c r="E26" i="537"/>
  <c r="E40" i="537"/>
  <c r="E46" i="537"/>
  <c r="A52" i="537" s="1"/>
  <c r="E32" i="537"/>
  <c r="J50" i="537"/>
  <c r="E50" i="537"/>
  <c r="C24" i="536"/>
  <c r="C48" i="536" s="1"/>
  <c r="H48" i="536"/>
  <c r="H50" i="536" s="1"/>
  <c r="E6" i="536" s="1"/>
  <c r="E45" i="536"/>
  <c r="E44" i="536"/>
  <c r="E43" i="536"/>
  <c r="E42" i="536"/>
  <c r="E39" i="536"/>
  <c r="E38" i="536"/>
  <c r="E37" i="536"/>
  <c r="E36" i="536"/>
  <c r="E35" i="536"/>
  <c r="E31" i="536"/>
  <c r="E30" i="536"/>
  <c r="E29" i="536"/>
  <c r="E28" i="536"/>
  <c r="E27" i="536"/>
  <c r="E26" i="536"/>
  <c r="E23" i="536"/>
  <c r="E22" i="536"/>
  <c r="E21" i="536"/>
  <c r="E24" i="536"/>
  <c r="E32" i="536"/>
  <c r="E34" i="536"/>
  <c r="E46" i="536"/>
  <c r="A52" i="536" s="1"/>
  <c r="E40" i="536"/>
  <c r="J50" i="536"/>
  <c r="E50" i="536"/>
  <c r="C24" i="535"/>
  <c r="C48" i="535" s="1"/>
  <c r="H48" i="535"/>
  <c r="H50" i="535" s="1"/>
  <c r="E6" i="535" s="1"/>
  <c r="E45" i="535"/>
  <c r="E44" i="535"/>
  <c r="E43" i="535"/>
  <c r="E39" i="535"/>
  <c r="E38" i="535"/>
  <c r="E37" i="535"/>
  <c r="E36" i="535"/>
  <c r="E35" i="535"/>
  <c r="E31" i="535"/>
  <c r="E30" i="535"/>
  <c r="E29" i="535"/>
  <c r="E28" i="535"/>
  <c r="E27" i="535"/>
  <c r="E23" i="535"/>
  <c r="E22" i="535"/>
  <c r="E21" i="535"/>
  <c r="E24" i="535"/>
  <c r="E26" i="535"/>
  <c r="E34" i="535"/>
  <c r="E42" i="535"/>
  <c r="E46" i="535"/>
  <c r="A52" i="535" s="1"/>
  <c r="E40" i="535"/>
  <c r="E32" i="535"/>
  <c r="J50" i="535"/>
  <c r="E50" i="535"/>
  <c r="C24" i="534"/>
  <c r="C48" i="534" s="1"/>
  <c r="H48" i="534"/>
  <c r="H50" i="534" s="1"/>
  <c r="E6" i="534" s="1"/>
  <c r="E45" i="534"/>
  <c r="E44" i="534"/>
  <c r="E43" i="534"/>
  <c r="E39" i="534"/>
  <c r="E38" i="534"/>
  <c r="E37" i="534"/>
  <c r="E36" i="534"/>
  <c r="E35" i="534"/>
  <c r="E31" i="534"/>
  <c r="E30" i="534"/>
  <c r="E29" i="534"/>
  <c r="E28" i="534"/>
  <c r="E27" i="534"/>
  <c r="E23" i="534"/>
  <c r="E22" i="534"/>
  <c r="E21" i="534"/>
  <c r="E24" i="534"/>
  <c r="E26" i="534"/>
  <c r="E34" i="534"/>
  <c r="E42" i="534"/>
  <c r="E46" i="534"/>
  <c r="A52" i="534" s="1"/>
  <c r="E40" i="534"/>
  <c r="E32" i="534"/>
  <c r="J50" i="534"/>
  <c r="E50" i="534"/>
  <c r="C24" i="533"/>
  <c r="C48" i="533" s="1"/>
  <c r="H48" i="533"/>
  <c r="H50" i="533" s="1"/>
  <c r="E6" i="533" s="1"/>
  <c r="H46" i="532"/>
  <c r="C46" i="532" s="1"/>
  <c r="D50" i="532"/>
  <c r="D48" i="532"/>
  <c r="H40" i="532"/>
  <c r="C40" i="532" s="1"/>
  <c r="H32" i="532"/>
  <c r="C32" i="532" s="1"/>
  <c r="H24" i="532"/>
  <c r="H19" i="532"/>
  <c r="C19" i="532" s="1"/>
  <c r="H10" i="531"/>
  <c r="H11" i="531"/>
  <c r="H12" i="531"/>
  <c r="H13" i="531"/>
  <c r="H14" i="531"/>
  <c r="H15" i="531"/>
  <c r="H16" i="531"/>
  <c r="H17" i="531"/>
  <c r="H18" i="531"/>
  <c r="D50" i="531"/>
  <c r="E19" i="531"/>
  <c r="H21" i="531"/>
  <c r="H22" i="531"/>
  <c r="H23" i="531"/>
  <c r="H26" i="531"/>
  <c r="H27" i="531"/>
  <c r="H28" i="531"/>
  <c r="H29" i="531"/>
  <c r="H30" i="531"/>
  <c r="H31" i="531"/>
  <c r="H34" i="531"/>
  <c r="H35" i="531"/>
  <c r="H36" i="531"/>
  <c r="H37" i="531"/>
  <c r="H38" i="531"/>
  <c r="H39" i="531"/>
  <c r="H42" i="531"/>
  <c r="H43" i="531"/>
  <c r="H44" i="531"/>
  <c r="H10" i="530"/>
  <c r="H11" i="530"/>
  <c r="H12" i="530"/>
  <c r="H13" i="530"/>
  <c r="H14" i="530"/>
  <c r="H15" i="530"/>
  <c r="H16" i="530"/>
  <c r="H17" i="530"/>
  <c r="H18" i="530"/>
  <c r="D50" i="530"/>
  <c r="E19" i="530"/>
  <c r="H21" i="530"/>
  <c r="H22" i="530"/>
  <c r="H23" i="530"/>
  <c r="D48" i="530"/>
  <c r="E40" i="530" s="1"/>
  <c r="H26" i="530"/>
  <c r="H27" i="530"/>
  <c r="H28" i="530"/>
  <c r="H29" i="530"/>
  <c r="H30" i="530"/>
  <c r="H31" i="530"/>
  <c r="H34" i="530"/>
  <c r="H35" i="530"/>
  <c r="H36" i="530"/>
  <c r="H37" i="530"/>
  <c r="H38" i="530"/>
  <c r="H39" i="530"/>
  <c r="H42" i="530"/>
  <c r="H43" i="530"/>
  <c r="H44" i="530"/>
  <c r="H10" i="529"/>
  <c r="H11" i="529"/>
  <c r="H12" i="529"/>
  <c r="H13" i="529"/>
  <c r="H14" i="529"/>
  <c r="H15" i="529"/>
  <c r="H16" i="529"/>
  <c r="H17" i="529"/>
  <c r="H18" i="529"/>
  <c r="E19" i="529"/>
  <c r="H21" i="529"/>
  <c r="H22" i="529"/>
  <c r="H23" i="529"/>
  <c r="H26" i="529"/>
  <c r="D32" i="529"/>
  <c r="H27" i="529"/>
  <c r="H28" i="529"/>
  <c r="H29" i="529"/>
  <c r="H30" i="529"/>
  <c r="H31" i="529"/>
  <c r="H34" i="529"/>
  <c r="D40" i="529"/>
  <c r="H35" i="529"/>
  <c r="H36" i="529"/>
  <c r="H37" i="529"/>
  <c r="H38" i="529"/>
  <c r="H39" i="529"/>
  <c r="H42" i="529"/>
  <c r="D46" i="529"/>
  <c r="H43" i="529"/>
  <c r="H44" i="529"/>
  <c r="D26" i="528"/>
  <c r="G2" i="528"/>
  <c r="G4" i="528" s="1"/>
  <c r="D34" i="528"/>
  <c r="D42" i="528"/>
  <c r="C45" i="528"/>
  <c r="C44" i="528"/>
  <c r="C43" i="528"/>
  <c r="C42" i="528"/>
  <c r="C39" i="528"/>
  <c r="C38" i="528"/>
  <c r="C37" i="528"/>
  <c r="C36" i="528"/>
  <c r="C35" i="528"/>
  <c r="C34" i="528"/>
  <c r="C31" i="528"/>
  <c r="C30" i="528"/>
  <c r="C29" i="528"/>
  <c r="C28" i="528"/>
  <c r="C27" i="528"/>
  <c r="C26" i="528"/>
  <c r="D24" i="528"/>
  <c r="C23" i="528"/>
  <c r="C22" i="528"/>
  <c r="C21" i="528"/>
  <c r="D19" i="528"/>
  <c r="E18" i="528" s="1"/>
  <c r="C18" i="528"/>
  <c r="C17" i="528"/>
  <c r="C16" i="528"/>
  <c r="C15" i="528"/>
  <c r="C14" i="528"/>
  <c r="C13" i="528"/>
  <c r="C12" i="528"/>
  <c r="C11" i="528"/>
  <c r="C10" i="528"/>
  <c r="C7" i="528"/>
  <c r="I19" i="542" l="1"/>
  <c r="F19" i="542" s="1"/>
  <c r="G19" i="542" s="1"/>
  <c r="I32" i="542"/>
  <c r="F32" i="542" s="1"/>
  <c r="G32" i="542" s="1"/>
  <c r="E4" i="528"/>
  <c r="I40" i="542"/>
  <c r="F40" i="542" s="1"/>
  <c r="G40" i="542" s="1"/>
  <c r="I46" i="542"/>
  <c r="F46" i="542" s="1"/>
  <c r="G46" i="542" s="1"/>
  <c r="E11" i="528"/>
  <c r="E13" i="528"/>
  <c r="E15" i="528"/>
  <c r="E17" i="528"/>
  <c r="E32" i="530"/>
  <c r="E10" i="528"/>
  <c r="E12" i="528"/>
  <c r="E14" i="528"/>
  <c r="E16" i="528"/>
  <c r="I19" i="540"/>
  <c r="F19" i="540" s="1"/>
  <c r="G19" i="540" s="1"/>
  <c r="I32" i="540"/>
  <c r="F32" i="540" s="1"/>
  <c r="G32" i="540" s="1"/>
  <c r="I40" i="540"/>
  <c r="F40" i="540" s="1"/>
  <c r="G40" i="540" s="1"/>
  <c r="I46" i="540"/>
  <c r="F46" i="540" s="1"/>
  <c r="G46" i="540" s="1"/>
  <c r="E32" i="531"/>
  <c r="E24" i="530"/>
  <c r="E46" i="531"/>
  <c r="A52" i="531" s="1"/>
  <c r="E40" i="531"/>
  <c r="I50" i="604"/>
  <c r="F48" i="604"/>
  <c r="I24" i="603"/>
  <c r="F24" i="603" s="1"/>
  <c r="G24" i="603" s="1"/>
  <c r="G2" i="578"/>
  <c r="G2" i="541"/>
  <c r="I46" i="603"/>
  <c r="F46" i="603" s="1"/>
  <c r="G46" i="603" s="1"/>
  <c r="I40" i="603"/>
  <c r="F40" i="603" s="1"/>
  <c r="G40" i="603" s="1"/>
  <c r="E46" i="530"/>
  <c r="A52" i="530" s="1"/>
  <c r="I19" i="603"/>
  <c r="F19" i="603" s="1"/>
  <c r="G19" i="603" s="1"/>
  <c r="I32" i="603"/>
  <c r="F32" i="603" s="1"/>
  <c r="G32" i="603" s="1"/>
  <c r="A54" i="546"/>
  <c r="I51" i="546"/>
  <c r="F50" i="546"/>
  <c r="G6" i="546"/>
  <c r="G5" i="546"/>
  <c r="I50" i="545"/>
  <c r="F48" i="545"/>
  <c r="F24" i="544"/>
  <c r="G24" i="544" s="1"/>
  <c r="I48" i="544"/>
  <c r="F24" i="543"/>
  <c r="G24" i="543" s="1"/>
  <c r="I48" i="543"/>
  <c r="I24" i="542"/>
  <c r="I24" i="540"/>
  <c r="I44" i="539"/>
  <c r="G44" i="539"/>
  <c r="I43" i="539"/>
  <c r="G43" i="539"/>
  <c r="I42" i="539"/>
  <c r="G42" i="539"/>
  <c r="I39" i="539"/>
  <c r="G39" i="539"/>
  <c r="I38" i="539"/>
  <c r="G38" i="539"/>
  <c r="I37" i="539"/>
  <c r="G37" i="539"/>
  <c r="I36" i="539"/>
  <c r="G36" i="539"/>
  <c r="I35" i="539"/>
  <c r="G35" i="539"/>
  <c r="I34" i="539"/>
  <c r="G34" i="539"/>
  <c r="I31" i="539"/>
  <c r="G31" i="539"/>
  <c r="I30" i="539"/>
  <c r="G30" i="539"/>
  <c r="I29" i="539"/>
  <c r="G29" i="539"/>
  <c r="I28" i="539"/>
  <c r="G28" i="539"/>
  <c r="I27" i="539"/>
  <c r="G27" i="539"/>
  <c r="I26" i="539"/>
  <c r="G26" i="539"/>
  <c r="I23" i="539"/>
  <c r="G23" i="539"/>
  <c r="I22" i="539"/>
  <c r="G22" i="539"/>
  <c r="I21" i="539"/>
  <c r="G21" i="539"/>
  <c r="I18" i="539"/>
  <c r="G18" i="539"/>
  <c r="I17" i="539"/>
  <c r="G17" i="539"/>
  <c r="I16" i="539"/>
  <c r="G16" i="539"/>
  <c r="I15" i="539"/>
  <c r="G15" i="539"/>
  <c r="I14" i="539"/>
  <c r="G14" i="539"/>
  <c r="I13" i="539"/>
  <c r="G13" i="539"/>
  <c r="I12" i="539"/>
  <c r="G12" i="539"/>
  <c r="I11" i="539"/>
  <c r="G11" i="539"/>
  <c r="I10" i="539"/>
  <c r="G10" i="539"/>
  <c r="I44" i="538"/>
  <c r="G44" i="538"/>
  <c r="I43" i="538"/>
  <c r="G43" i="538"/>
  <c r="I42" i="538"/>
  <c r="G42" i="538"/>
  <c r="I39" i="538"/>
  <c r="G39" i="538"/>
  <c r="I38" i="538"/>
  <c r="G38" i="538"/>
  <c r="I37" i="538"/>
  <c r="G37" i="538"/>
  <c r="I36" i="538"/>
  <c r="G36" i="538"/>
  <c r="I35" i="538"/>
  <c r="G35" i="538"/>
  <c r="I34" i="538"/>
  <c r="G34" i="538"/>
  <c r="I31" i="538"/>
  <c r="G31" i="538"/>
  <c r="I30" i="538"/>
  <c r="G30" i="538"/>
  <c r="I29" i="538"/>
  <c r="G29" i="538"/>
  <c r="I28" i="538"/>
  <c r="G28" i="538"/>
  <c r="I27" i="538"/>
  <c r="G27" i="538"/>
  <c r="I26" i="538"/>
  <c r="G26" i="538"/>
  <c r="I23" i="538"/>
  <c r="G23" i="538"/>
  <c r="I22" i="538"/>
  <c r="G22" i="538"/>
  <c r="I21" i="538"/>
  <c r="G21" i="538"/>
  <c r="I18" i="538"/>
  <c r="G18" i="538"/>
  <c r="I17" i="538"/>
  <c r="G17" i="538"/>
  <c r="I16" i="538"/>
  <c r="G16" i="538"/>
  <c r="I15" i="538"/>
  <c r="G15" i="538"/>
  <c r="I14" i="538"/>
  <c r="G14" i="538"/>
  <c r="I13" i="538"/>
  <c r="G13" i="538"/>
  <c r="I12" i="538"/>
  <c r="G12" i="538"/>
  <c r="I11" i="538"/>
  <c r="G11" i="538"/>
  <c r="I10" i="538"/>
  <c r="G10" i="538"/>
  <c r="E48" i="537"/>
  <c r="F10" i="537"/>
  <c r="F11" i="537"/>
  <c r="F12" i="537"/>
  <c r="F13" i="537"/>
  <c r="F14" i="537"/>
  <c r="F15" i="537"/>
  <c r="F16" i="537"/>
  <c r="F17" i="537"/>
  <c r="F18" i="537"/>
  <c r="F21" i="537"/>
  <c r="F22" i="537"/>
  <c r="F23" i="537"/>
  <c r="F26" i="537"/>
  <c r="F27" i="537"/>
  <c r="F28" i="537"/>
  <c r="F29" i="537"/>
  <c r="F30" i="537"/>
  <c r="F31" i="537"/>
  <c r="F34" i="537"/>
  <c r="F35" i="537"/>
  <c r="F36" i="537"/>
  <c r="F37" i="537"/>
  <c r="F38" i="537"/>
  <c r="F39" i="537"/>
  <c r="F42" i="537"/>
  <c r="F43" i="537"/>
  <c r="F44" i="537"/>
  <c r="F45" i="537"/>
  <c r="G45" i="537" s="1"/>
  <c r="E48" i="536"/>
  <c r="F10" i="536"/>
  <c r="F11" i="536"/>
  <c r="F12" i="536"/>
  <c r="F13" i="536"/>
  <c r="F14" i="536"/>
  <c r="F15" i="536"/>
  <c r="F16" i="536"/>
  <c r="F17" i="536"/>
  <c r="F18" i="536"/>
  <c r="F21" i="536"/>
  <c r="F22" i="536"/>
  <c r="F23" i="536"/>
  <c r="F26" i="536"/>
  <c r="F27" i="536"/>
  <c r="F28" i="536"/>
  <c r="F29" i="536"/>
  <c r="F30" i="536"/>
  <c r="F31" i="536"/>
  <c r="F34" i="536"/>
  <c r="F35" i="536"/>
  <c r="F36" i="536"/>
  <c r="F37" i="536"/>
  <c r="F38" i="536"/>
  <c r="F39" i="536"/>
  <c r="F42" i="536"/>
  <c r="F43" i="536"/>
  <c r="F44" i="536"/>
  <c r="F45" i="536"/>
  <c r="G45" i="536" s="1"/>
  <c r="E48" i="535"/>
  <c r="F10" i="535"/>
  <c r="F11" i="535"/>
  <c r="F12" i="535"/>
  <c r="F13" i="535"/>
  <c r="F14" i="535"/>
  <c r="F15" i="535"/>
  <c r="F16" i="535"/>
  <c r="F17" i="535"/>
  <c r="F18" i="535"/>
  <c r="F21" i="535"/>
  <c r="F22" i="535"/>
  <c r="F23" i="535"/>
  <c r="F26" i="535"/>
  <c r="F27" i="535"/>
  <c r="F28" i="535"/>
  <c r="F29" i="535"/>
  <c r="F30" i="535"/>
  <c r="F31" i="535"/>
  <c r="F34" i="535"/>
  <c r="F35" i="535"/>
  <c r="F36" i="535"/>
  <c r="F37" i="535"/>
  <c r="F38" i="535"/>
  <c r="F39" i="535"/>
  <c r="F42" i="535"/>
  <c r="F43" i="535"/>
  <c r="F44" i="535"/>
  <c r="F45" i="535"/>
  <c r="G45" i="535" s="1"/>
  <c r="E48" i="534"/>
  <c r="F10" i="534"/>
  <c r="F11" i="534"/>
  <c r="F12" i="534"/>
  <c r="F13" i="534"/>
  <c r="F14" i="534"/>
  <c r="F15" i="534"/>
  <c r="F16" i="534"/>
  <c r="F17" i="534"/>
  <c r="F18" i="534"/>
  <c r="F21" i="534"/>
  <c r="F22" i="534"/>
  <c r="F23" i="534"/>
  <c r="F26" i="534"/>
  <c r="F27" i="534"/>
  <c r="F28" i="534"/>
  <c r="F29" i="534"/>
  <c r="F30" i="534"/>
  <c r="F31" i="534"/>
  <c r="F34" i="534"/>
  <c r="F35" i="534"/>
  <c r="F36" i="534"/>
  <c r="F37" i="534"/>
  <c r="F38" i="534"/>
  <c r="F39" i="534"/>
  <c r="F42" i="534"/>
  <c r="F43" i="534"/>
  <c r="F44" i="534"/>
  <c r="F45" i="534"/>
  <c r="G45" i="534" s="1"/>
  <c r="F10" i="533"/>
  <c r="F11" i="533"/>
  <c r="F12" i="533"/>
  <c r="F13" i="533"/>
  <c r="F14" i="533"/>
  <c r="F15" i="533"/>
  <c r="F16" i="533"/>
  <c r="F17" i="533"/>
  <c r="F18" i="533"/>
  <c r="F21" i="533"/>
  <c r="F22" i="533"/>
  <c r="F23" i="533"/>
  <c r="F26" i="533"/>
  <c r="F27" i="533"/>
  <c r="F28" i="533"/>
  <c r="F29" i="533"/>
  <c r="F30" i="533"/>
  <c r="F31" i="533"/>
  <c r="F34" i="533"/>
  <c r="F35" i="533"/>
  <c r="F36" i="533"/>
  <c r="F37" i="533"/>
  <c r="F38" i="533"/>
  <c r="F39" i="533"/>
  <c r="F42" i="533"/>
  <c r="F43" i="533"/>
  <c r="F44" i="533"/>
  <c r="F45" i="533"/>
  <c r="G45" i="533" s="1"/>
  <c r="C24" i="532"/>
  <c r="C48" i="532" s="1"/>
  <c r="H48" i="532"/>
  <c r="H50" i="532" s="1"/>
  <c r="E6" i="532" s="1"/>
  <c r="E45" i="532"/>
  <c r="E44" i="532"/>
  <c r="E43" i="532"/>
  <c r="E39" i="532"/>
  <c r="E38" i="532"/>
  <c r="E37" i="532"/>
  <c r="E36" i="532"/>
  <c r="E35" i="532"/>
  <c r="E31" i="532"/>
  <c r="E30" i="532"/>
  <c r="E29" i="532"/>
  <c r="E28" i="532"/>
  <c r="E27" i="532"/>
  <c r="E26" i="532"/>
  <c r="E23" i="532"/>
  <c r="E22" i="532"/>
  <c r="E21" i="532"/>
  <c r="E24" i="532"/>
  <c r="E32" i="532"/>
  <c r="E34" i="532"/>
  <c r="E42" i="532"/>
  <c r="E46" i="532"/>
  <c r="A52" i="532" s="1"/>
  <c r="E40" i="532"/>
  <c r="J50" i="532"/>
  <c r="E50" i="532"/>
  <c r="H46" i="531"/>
  <c r="C46" i="531" s="1"/>
  <c r="H40" i="531"/>
  <c r="C40" i="531" s="1"/>
  <c r="H32" i="531"/>
  <c r="C32" i="531" s="1"/>
  <c r="E45" i="531"/>
  <c r="E44" i="531"/>
  <c r="E43" i="531"/>
  <c r="E42" i="531"/>
  <c r="E39" i="531"/>
  <c r="E38" i="531"/>
  <c r="E37" i="531"/>
  <c r="E36" i="531"/>
  <c r="E35" i="531"/>
  <c r="E34" i="531"/>
  <c r="E31" i="531"/>
  <c r="E30" i="531"/>
  <c r="E29" i="531"/>
  <c r="E28" i="531"/>
  <c r="E27" i="531"/>
  <c r="E26" i="531"/>
  <c r="E23" i="531"/>
  <c r="E22" i="531"/>
  <c r="E21" i="531"/>
  <c r="H24" i="531"/>
  <c r="J50" i="531"/>
  <c r="E50" i="531"/>
  <c r="H19" i="531"/>
  <c r="C19" i="531" s="1"/>
  <c r="H46" i="530"/>
  <c r="C46" i="530" s="1"/>
  <c r="H40" i="530"/>
  <c r="C40" i="530" s="1"/>
  <c r="H32" i="530"/>
  <c r="C32" i="530" s="1"/>
  <c r="E45" i="530"/>
  <c r="E44" i="530"/>
  <c r="E43" i="530"/>
  <c r="E42" i="530"/>
  <c r="E39" i="530"/>
  <c r="E38" i="530"/>
  <c r="E37" i="530"/>
  <c r="E36" i="530"/>
  <c r="E35" i="530"/>
  <c r="E34" i="530"/>
  <c r="E31" i="530"/>
  <c r="E30" i="530"/>
  <c r="E29" i="530"/>
  <c r="E28" i="530"/>
  <c r="E27" i="530"/>
  <c r="E26" i="530"/>
  <c r="E23" i="530"/>
  <c r="E22" i="530"/>
  <c r="E21" i="530"/>
  <c r="H24" i="530"/>
  <c r="J50" i="530"/>
  <c r="E50" i="530"/>
  <c r="H19" i="530"/>
  <c r="C19" i="530" s="1"/>
  <c r="H46" i="529"/>
  <c r="C46" i="529" s="1"/>
  <c r="H40" i="529"/>
  <c r="C40" i="529" s="1"/>
  <c r="D50" i="529"/>
  <c r="D48" i="529"/>
  <c r="H32" i="529"/>
  <c r="C32" i="529" s="1"/>
  <c r="H24" i="529"/>
  <c r="H19" i="529"/>
  <c r="C19" i="529" s="1"/>
  <c r="H10" i="528"/>
  <c r="H11" i="528"/>
  <c r="H12" i="528"/>
  <c r="H13" i="528"/>
  <c r="H14" i="528"/>
  <c r="H15" i="528"/>
  <c r="H16" i="528"/>
  <c r="H17" i="528"/>
  <c r="H18" i="528"/>
  <c r="E19" i="528"/>
  <c r="H21" i="528"/>
  <c r="H22" i="528"/>
  <c r="H23" i="528"/>
  <c r="H26" i="528"/>
  <c r="D32" i="528"/>
  <c r="H27" i="528"/>
  <c r="H28" i="528"/>
  <c r="H29" i="528"/>
  <c r="H30" i="528"/>
  <c r="H31" i="528"/>
  <c r="H34" i="528"/>
  <c r="D40" i="528"/>
  <c r="H35" i="528"/>
  <c r="H36" i="528"/>
  <c r="H37" i="528"/>
  <c r="H38" i="528"/>
  <c r="H39" i="528"/>
  <c r="H42" i="528"/>
  <c r="D46" i="528"/>
  <c r="H43" i="528"/>
  <c r="H44" i="528"/>
  <c r="D34" i="527"/>
  <c r="D26" i="527"/>
  <c r="D42" i="527"/>
  <c r="C45" i="527"/>
  <c r="C44" i="527"/>
  <c r="C43" i="527"/>
  <c r="C42" i="527"/>
  <c r="C39" i="527"/>
  <c r="C38" i="527"/>
  <c r="C37" i="527"/>
  <c r="C36" i="527"/>
  <c r="C35" i="527"/>
  <c r="C34" i="527"/>
  <c r="C31" i="527"/>
  <c r="C30" i="527"/>
  <c r="C29" i="527"/>
  <c r="C28" i="527"/>
  <c r="C27" i="527"/>
  <c r="C26" i="527"/>
  <c r="D24" i="527"/>
  <c r="C23" i="527"/>
  <c r="C22" i="527"/>
  <c r="C21" i="527"/>
  <c r="D19" i="527"/>
  <c r="E17" i="527" s="1"/>
  <c r="C18" i="527"/>
  <c r="C17" i="527"/>
  <c r="C16" i="527"/>
  <c r="C15" i="527"/>
  <c r="C14" i="527"/>
  <c r="C13" i="527"/>
  <c r="C12" i="527"/>
  <c r="C11" i="527"/>
  <c r="C10" i="527"/>
  <c r="C7" i="527"/>
  <c r="G4" i="527"/>
  <c r="E4" i="527"/>
  <c r="D34" i="526"/>
  <c r="D26" i="526"/>
  <c r="D42" i="526"/>
  <c r="C45" i="526"/>
  <c r="C44" i="526"/>
  <c r="C43" i="526"/>
  <c r="C42" i="526"/>
  <c r="C39" i="526"/>
  <c r="C38" i="526"/>
  <c r="C37" i="526"/>
  <c r="C36" i="526"/>
  <c r="C35" i="526"/>
  <c r="C34" i="526"/>
  <c r="C31" i="526"/>
  <c r="C30" i="526"/>
  <c r="C29" i="526"/>
  <c r="C28" i="526"/>
  <c r="C27" i="526"/>
  <c r="C26" i="526"/>
  <c r="D24" i="526"/>
  <c r="C23" i="526"/>
  <c r="C22" i="526"/>
  <c r="C21" i="526"/>
  <c r="D19" i="526"/>
  <c r="E17" i="526" s="1"/>
  <c r="C18" i="526"/>
  <c r="C17" i="526"/>
  <c r="C16" i="526"/>
  <c r="C15" i="526"/>
  <c r="C14" i="526"/>
  <c r="C13" i="526"/>
  <c r="C12" i="526"/>
  <c r="C11" i="526"/>
  <c r="C10" i="526"/>
  <c r="C7" i="526"/>
  <c r="G4" i="526"/>
  <c r="E4" i="526"/>
  <c r="I19" i="539" l="1"/>
  <c r="F19" i="539" s="1"/>
  <c r="G19" i="539" s="1"/>
  <c r="I32" i="539"/>
  <c r="F32" i="539" s="1"/>
  <c r="G32" i="539" s="1"/>
  <c r="I40" i="539"/>
  <c r="F40" i="539" s="1"/>
  <c r="G40" i="539" s="1"/>
  <c r="I46" i="539"/>
  <c r="F46" i="539" s="1"/>
  <c r="G46" i="539" s="1"/>
  <c r="E16" i="526"/>
  <c r="E18" i="526"/>
  <c r="E10" i="526"/>
  <c r="E14" i="526"/>
  <c r="E12" i="526"/>
  <c r="E11" i="526"/>
  <c r="E13" i="526"/>
  <c r="E15" i="526"/>
  <c r="E15" i="527"/>
  <c r="E10" i="527"/>
  <c r="E12" i="527"/>
  <c r="E14" i="527"/>
  <c r="E16" i="527"/>
  <c r="E18" i="527"/>
  <c r="E48" i="531"/>
  <c r="G4" i="541"/>
  <c r="E4" i="541"/>
  <c r="E11" i="527"/>
  <c r="E4" i="578"/>
  <c r="G4" i="578"/>
  <c r="G6" i="604"/>
  <c r="A54" i="604"/>
  <c r="G5" i="604"/>
  <c r="I51" i="604"/>
  <c r="F50" i="604"/>
  <c r="E13" i="527"/>
  <c r="E48" i="530"/>
  <c r="I19" i="538"/>
  <c r="F19" i="538" s="1"/>
  <c r="G19" i="538" s="1"/>
  <c r="I32" i="538"/>
  <c r="F32" i="538" s="1"/>
  <c r="G32" i="538" s="1"/>
  <c r="I40" i="538"/>
  <c r="F40" i="538" s="1"/>
  <c r="G40" i="538" s="1"/>
  <c r="I46" i="538"/>
  <c r="F46" i="538" s="1"/>
  <c r="G46" i="538" s="1"/>
  <c r="I48" i="603"/>
  <c r="A54" i="545"/>
  <c r="I51" i="545"/>
  <c r="F50" i="545"/>
  <c r="G6" i="545"/>
  <c r="G5" i="545"/>
  <c r="I50" i="544"/>
  <c r="F48" i="544"/>
  <c r="I50" i="543"/>
  <c r="F48" i="543"/>
  <c r="F24" i="542"/>
  <c r="G24" i="542" s="1"/>
  <c r="I48" i="542"/>
  <c r="F24" i="540"/>
  <c r="G24" i="540" s="1"/>
  <c r="I48" i="540"/>
  <c r="I24" i="539"/>
  <c r="I24" i="538"/>
  <c r="I44" i="537"/>
  <c r="G44" i="537"/>
  <c r="I43" i="537"/>
  <c r="G43" i="537"/>
  <c r="I42" i="537"/>
  <c r="G42" i="537"/>
  <c r="I39" i="537"/>
  <c r="G39" i="537"/>
  <c r="I38" i="537"/>
  <c r="G38" i="537"/>
  <c r="I37" i="537"/>
  <c r="G37" i="537"/>
  <c r="I36" i="537"/>
  <c r="G36" i="537"/>
  <c r="I35" i="537"/>
  <c r="G35" i="537"/>
  <c r="I34" i="537"/>
  <c r="G34" i="537"/>
  <c r="I31" i="537"/>
  <c r="G31" i="537"/>
  <c r="I30" i="537"/>
  <c r="G30" i="537"/>
  <c r="I29" i="537"/>
  <c r="G29" i="537"/>
  <c r="I28" i="537"/>
  <c r="G28" i="537"/>
  <c r="I27" i="537"/>
  <c r="G27" i="537"/>
  <c r="I26" i="537"/>
  <c r="G26" i="537"/>
  <c r="I23" i="537"/>
  <c r="G23" i="537"/>
  <c r="I22" i="537"/>
  <c r="G22" i="537"/>
  <c r="I21" i="537"/>
  <c r="G21" i="537"/>
  <c r="I18" i="537"/>
  <c r="G18" i="537"/>
  <c r="I17" i="537"/>
  <c r="G17" i="537"/>
  <c r="I16" i="537"/>
  <c r="G16" i="537"/>
  <c r="I15" i="537"/>
  <c r="G15" i="537"/>
  <c r="I14" i="537"/>
  <c r="G14" i="537"/>
  <c r="I13" i="537"/>
  <c r="G13" i="537"/>
  <c r="I12" i="537"/>
  <c r="G12" i="537"/>
  <c r="I11" i="537"/>
  <c r="G11" i="537"/>
  <c r="I10" i="537"/>
  <c r="G10" i="537"/>
  <c r="I44" i="536"/>
  <c r="G44" i="536"/>
  <c r="I43" i="536"/>
  <c r="G43" i="536"/>
  <c r="I42" i="536"/>
  <c r="G42" i="536"/>
  <c r="I39" i="536"/>
  <c r="G39" i="536"/>
  <c r="I38" i="536"/>
  <c r="G38" i="536"/>
  <c r="I37" i="536"/>
  <c r="G37" i="536"/>
  <c r="I36" i="536"/>
  <c r="G36" i="536"/>
  <c r="I35" i="536"/>
  <c r="G35" i="536"/>
  <c r="I34" i="536"/>
  <c r="G34" i="536"/>
  <c r="I31" i="536"/>
  <c r="G31" i="536"/>
  <c r="I30" i="536"/>
  <c r="G30" i="536"/>
  <c r="I29" i="536"/>
  <c r="G29" i="536"/>
  <c r="I28" i="536"/>
  <c r="G28" i="536"/>
  <c r="I27" i="536"/>
  <c r="G27" i="536"/>
  <c r="I26" i="536"/>
  <c r="G26" i="536"/>
  <c r="I23" i="536"/>
  <c r="G23" i="536"/>
  <c r="I22" i="536"/>
  <c r="G22" i="536"/>
  <c r="I21" i="536"/>
  <c r="G21" i="536"/>
  <c r="I18" i="536"/>
  <c r="G18" i="536"/>
  <c r="I17" i="536"/>
  <c r="G17" i="536"/>
  <c r="I16" i="536"/>
  <c r="G16" i="536"/>
  <c r="I15" i="536"/>
  <c r="G15" i="536"/>
  <c r="I14" i="536"/>
  <c r="G14" i="536"/>
  <c r="I13" i="536"/>
  <c r="G13" i="536"/>
  <c r="I12" i="536"/>
  <c r="G12" i="536"/>
  <c r="I11" i="536"/>
  <c r="G11" i="536"/>
  <c r="I10" i="536"/>
  <c r="G10" i="536"/>
  <c r="I44" i="535"/>
  <c r="G44" i="535"/>
  <c r="I43" i="535"/>
  <c r="G43" i="535"/>
  <c r="I42" i="535"/>
  <c r="G42" i="535"/>
  <c r="I39" i="535"/>
  <c r="G39" i="535"/>
  <c r="I38" i="535"/>
  <c r="G38" i="535"/>
  <c r="I37" i="535"/>
  <c r="G37" i="535"/>
  <c r="I36" i="535"/>
  <c r="G36" i="535"/>
  <c r="I35" i="535"/>
  <c r="G35" i="535"/>
  <c r="I34" i="535"/>
  <c r="G34" i="535"/>
  <c r="I31" i="535"/>
  <c r="G31" i="535"/>
  <c r="I30" i="535"/>
  <c r="G30" i="535"/>
  <c r="I29" i="535"/>
  <c r="G29" i="535"/>
  <c r="I28" i="535"/>
  <c r="G28" i="535"/>
  <c r="I27" i="535"/>
  <c r="G27" i="535"/>
  <c r="I26" i="535"/>
  <c r="G26" i="535"/>
  <c r="I23" i="535"/>
  <c r="G23" i="535"/>
  <c r="I22" i="535"/>
  <c r="G22" i="535"/>
  <c r="I21" i="535"/>
  <c r="G21" i="535"/>
  <c r="I18" i="535"/>
  <c r="G18" i="535"/>
  <c r="I17" i="535"/>
  <c r="G17" i="535"/>
  <c r="I16" i="535"/>
  <c r="G16" i="535"/>
  <c r="I15" i="535"/>
  <c r="G15" i="535"/>
  <c r="I14" i="535"/>
  <c r="G14" i="535"/>
  <c r="I13" i="535"/>
  <c r="G13" i="535"/>
  <c r="I12" i="535"/>
  <c r="G12" i="535"/>
  <c r="I11" i="535"/>
  <c r="G11" i="535"/>
  <c r="I10" i="535"/>
  <c r="G10" i="535"/>
  <c r="I44" i="534"/>
  <c r="G44" i="534"/>
  <c r="I43" i="534"/>
  <c r="G43" i="534"/>
  <c r="I42" i="534"/>
  <c r="G42" i="534"/>
  <c r="I39" i="534"/>
  <c r="G39" i="534"/>
  <c r="I38" i="534"/>
  <c r="G38" i="534"/>
  <c r="I37" i="534"/>
  <c r="G37" i="534"/>
  <c r="I36" i="534"/>
  <c r="G36" i="534"/>
  <c r="I35" i="534"/>
  <c r="G35" i="534"/>
  <c r="I34" i="534"/>
  <c r="G34" i="534"/>
  <c r="I31" i="534"/>
  <c r="G31" i="534"/>
  <c r="I30" i="534"/>
  <c r="G30" i="534"/>
  <c r="I29" i="534"/>
  <c r="G29" i="534"/>
  <c r="I28" i="534"/>
  <c r="G28" i="534"/>
  <c r="I27" i="534"/>
  <c r="G27" i="534"/>
  <c r="I26" i="534"/>
  <c r="G26" i="534"/>
  <c r="I23" i="534"/>
  <c r="G23" i="534"/>
  <c r="I22" i="534"/>
  <c r="G22" i="534"/>
  <c r="I21" i="534"/>
  <c r="G21" i="534"/>
  <c r="I18" i="534"/>
  <c r="G18" i="534"/>
  <c r="I17" i="534"/>
  <c r="G17" i="534"/>
  <c r="I16" i="534"/>
  <c r="G16" i="534"/>
  <c r="I15" i="534"/>
  <c r="G15" i="534"/>
  <c r="I14" i="534"/>
  <c r="G14" i="534"/>
  <c r="I13" i="534"/>
  <c r="G13" i="534"/>
  <c r="I12" i="534"/>
  <c r="G12" i="534"/>
  <c r="I11" i="534"/>
  <c r="G11" i="534"/>
  <c r="I10" i="534"/>
  <c r="G10" i="534"/>
  <c r="I44" i="533"/>
  <c r="G44" i="533"/>
  <c r="I43" i="533"/>
  <c r="G43" i="533"/>
  <c r="I42" i="533"/>
  <c r="G42" i="533"/>
  <c r="I39" i="533"/>
  <c r="G39" i="533"/>
  <c r="I38" i="533"/>
  <c r="G38" i="533"/>
  <c r="I37" i="533"/>
  <c r="G37" i="533"/>
  <c r="I36" i="533"/>
  <c r="G36" i="533"/>
  <c r="I35" i="533"/>
  <c r="G35" i="533"/>
  <c r="I34" i="533"/>
  <c r="G34" i="533"/>
  <c r="I31" i="533"/>
  <c r="G31" i="533"/>
  <c r="I30" i="533"/>
  <c r="G30" i="533"/>
  <c r="I29" i="533"/>
  <c r="G29" i="533"/>
  <c r="I28" i="533"/>
  <c r="G28" i="533"/>
  <c r="I27" i="533"/>
  <c r="G27" i="533"/>
  <c r="I26" i="533"/>
  <c r="G26" i="533"/>
  <c r="I23" i="533"/>
  <c r="G23" i="533"/>
  <c r="I22" i="533"/>
  <c r="G22" i="533"/>
  <c r="I21" i="533"/>
  <c r="G21" i="533"/>
  <c r="I18" i="533"/>
  <c r="G18" i="533"/>
  <c r="I17" i="533"/>
  <c r="G17" i="533"/>
  <c r="I16" i="533"/>
  <c r="G16" i="533"/>
  <c r="I15" i="533"/>
  <c r="G15" i="533"/>
  <c r="I14" i="533"/>
  <c r="G14" i="533"/>
  <c r="I13" i="533"/>
  <c r="G13" i="533"/>
  <c r="I12" i="533"/>
  <c r="G12" i="533"/>
  <c r="I11" i="533"/>
  <c r="G11" i="533"/>
  <c r="I10" i="533"/>
  <c r="G10" i="533"/>
  <c r="E48" i="532"/>
  <c r="F10" i="532"/>
  <c r="F11" i="532"/>
  <c r="F12" i="532"/>
  <c r="F13" i="532"/>
  <c r="F14" i="532"/>
  <c r="F15" i="532"/>
  <c r="F16" i="532"/>
  <c r="F17" i="532"/>
  <c r="F18" i="532"/>
  <c r="F21" i="532"/>
  <c r="F22" i="532"/>
  <c r="F23" i="532"/>
  <c r="F26" i="532"/>
  <c r="F27" i="532"/>
  <c r="F28" i="532"/>
  <c r="F29" i="532"/>
  <c r="F30" i="532"/>
  <c r="F31" i="532"/>
  <c r="F34" i="532"/>
  <c r="F35" i="532"/>
  <c r="F36" i="532"/>
  <c r="F37" i="532"/>
  <c r="F38" i="532"/>
  <c r="F39" i="532"/>
  <c r="F42" i="532"/>
  <c r="F43" i="532"/>
  <c r="F44" i="532"/>
  <c r="F45" i="532"/>
  <c r="G45" i="532" s="1"/>
  <c r="C24" i="531"/>
  <c r="C48" i="531" s="1"/>
  <c r="H48" i="531"/>
  <c r="H50" i="531" s="1"/>
  <c r="E6" i="531" s="1"/>
  <c r="C24" i="530"/>
  <c r="C48" i="530" s="1"/>
  <c r="H48" i="530"/>
  <c r="H50" i="530" s="1"/>
  <c r="E6" i="530" s="1"/>
  <c r="C24" i="529"/>
  <c r="C48" i="529" s="1"/>
  <c r="H48" i="529"/>
  <c r="H50" i="529" s="1"/>
  <c r="E6" i="529" s="1"/>
  <c r="E45" i="529"/>
  <c r="E44" i="529"/>
  <c r="E43" i="529"/>
  <c r="E39" i="529"/>
  <c r="E38" i="529"/>
  <c r="E37" i="529"/>
  <c r="E36" i="529"/>
  <c r="E35" i="529"/>
  <c r="E31" i="529"/>
  <c r="E30" i="529"/>
  <c r="E29" i="529"/>
  <c r="E28" i="529"/>
  <c r="E27" i="529"/>
  <c r="E23" i="529"/>
  <c r="E22" i="529"/>
  <c r="E21" i="529"/>
  <c r="E24" i="529"/>
  <c r="E26" i="529"/>
  <c r="E34" i="529"/>
  <c r="E42" i="529"/>
  <c r="E46" i="529"/>
  <c r="A52" i="529" s="1"/>
  <c r="E40" i="529"/>
  <c r="E32" i="529"/>
  <c r="J50" i="529"/>
  <c r="E50" i="529"/>
  <c r="H46" i="528"/>
  <c r="C46" i="528" s="1"/>
  <c r="H40" i="528"/>
  <c r="C40" i="528" s="1"/>
  <c r="D50" i="528"/>
  <c r="D48" i="528"/>
  <c r="H32" i="528"/>
  <c r="C32" i="528" s="1"/>
  <c r="H24" i="528"/>
  <c r="H19" i="528"/>
  <c r="C19" i="528" s="1"/>
  <c r="H10" i="527"/>
  <c r="H11" i="527"/>
  <c r="H12" i="527"/>
  <c r="H13" i="527"/>
  <c r="H14" i="527"/>
  <c r="H15" i="527"/>
  <c r="H16" i="527"/>
  <c r="H17" i="527"/>
  <c r="H18" i="527"/>
  <c r="E19" i="527"/>
  <c r="H21" i="527"/>
  <c r="H22" i="527"/>
  <c r="H23" i="527"/>
  <c r="H26" i="527"/>
  <c r="D32" i="527"/>
  <c r="H27" i="527"/>
  <c r="H28" i="527"/>
  <c r="H29" i="527"/>
  <c r="H30" i="527"/>
  <c r="H31" i="527"/>
  <c r="H34" i="527"/>
  <c r="D40" i="527"/>
  <c r="H35" i="527"/>
  <c r="H36" i="527"/>
  <c r="H37" i="527"/>
  <c r="H38" i="527"/>
  <c r="H39" i="527"/>
  <c r="H42" i="527"/>
  <c r="D46" i="527"/>
  <c r="H43" i="527"/>
  <c r="H44" i="527"/>
  <c r="H10" i="526"/>
  <c r="H11" i="526"/>
  <c r="H12" i="526"/>
  <c r="H13" i="526"/>
  <c r="H14" i="526"/>
  <c r="H15" i="526"/>
  <c r="H16" i="526"/>
  <c r="H17" i="526"/>
  <c r="H18" i="526"/>
  <c r="E19" i="526"/>
  <c r="H21" i="526"/>
  <c r="H22" i="526"/>
  <c r="H23" i="526"/>
  <c r="H26" i="526"/>
  <c r="D32" i="526"/>
  <c r="H27" i="526"/>
  <c r="H28" i="526"/>
  <c r="H29" i="526"/>
  <c r="H30" i="526"/>
  <c r="H31" i="526"/>
  <c r="H34" i="526"/>
  <c r="D40" i="526"/>
  <c r="H35" i="526"/>
  <c r="H36" i="526"/>
  <c r="H37" i="526"/>
  <c r="H38" i="526"/>
  <c r="H39" i="526"/>
  <c r="H42" i="526"/>
  <c r="D46" i="526"/>
  <c r="H43" i="526"/>
  <c r="H44" i="526"/>
  <c r="D34" i="525"/>
  <c r="D26" i="525"/>
  <c r="D42" i="525"/>
  <c r="C45" i="525"/>
  <c r="C44" i="525"/>
  <c r="C43" i="525"/>
  <c r="C42" i="525"/>
  <c r="C39" i="525"/>
  <c r="C38" i="525"/>
  <c r="C37" i="525"/>
  <c r="C36" i="525"/>
  <c r="C35" i="525"/>
  <c r="C34" i="525"/>
  <c r="D32" i="525"/>
  <c r="C31" i="525"/>
  <c r="C30" i="525"/>
  <c r="C29" i="525"/>
  <c r="C28" i="525"/>
  <c r="C27" i="525"/>
  <c r="C26" i="525"/>
  <c r="D24" i="525"/>
  <c r="C23" i="525"/>
  <c r="C22" i="525"/>
  <c r="C21" i="525"/>
  <c r="D19" i="525"/>
  <c r="E17" i="525" s="1"/>
  <c r="C18" i="525"/>
  <c r="C17" i="525"/>
  <c r="C16" i="525"/>
  <c r="C15" i="525"/>
  <c r="C14" i="525"/>
  <c r="C13" i="525"/>
  <c r="C12" i="525"/>
  <c r="C11" i="525"/>
  <c r="C10" i="525"/>
  <c r="C7" i="525"/>
  <c r="G4" i="525"/>
  <c r="E4" i="525"/>
  <c r="D34" i="524"/>
  <c r="D40" i="524" s="1"/>
  <c r="D26" i="524"/>
  <c r="D46" i="524"/>
  <c r="C45" i="524"/>
  <c r="C44" i="524"/>
  <c r="C43" i="524"/>
  <c r="C42" i="524"/>
  <c r="C39" i="524"/>
  <c r="C38" i="524"/>
  <c r="C37" i="524"/>
  <c r="C36" i="524"/>
  <c r="C35" i="524"/>
  <c r="C34" i="524"/>
  <c r="C31" i="524"/>
  <c r="C30" i="524"/>
  <c r="C29" i="524"/>
  <c r="C28" i="524"/>
  <c r="C27" i="524"/>
  <c r="C26" i="524"/>
  <c r="D24" i="524"/>
  <c r="C23" i="524"/>
  <c r="C22" i="524"/>
  <c r="C21" i="524"/>
  <c r="D19" i="524"/>
  <c r="E17" i="524" s="1"/>
  <c r="C18" i="524"/>
  <c r="C17" i="524"/>
  <c r="C16" i="524"/>
  <c r="C15" i="524"/>
  <c r="C14" i="524"/>
  <c r="C13" i="524"/>
  <c r="C12" i="524"/>
  <c r="C11" i="524"/>
  <c r="C10" i="524"/>
  <c r="C7" i="524"/>
  <c r="G4" i="524"/>
  <c r="E4" i="524"/>
  <c r="I19" i="533" l="1"/>
  <c r="F19" i="533" s="1"/>
  <c r="G19" i="533" s="1"/>
  <c r="I32" i="533"/>
  <c r="F32" i="533" s="1"/>
  <c r="G32" i="533" s="1"/>
  <c r="I40" i="533"/>
  <c r="F40" i="533" s="1"/>
  <c r="G40" i="533" s="1"/>
  <c r="I46" i="533"/>
  <c r="F46" i="533" s="1"/>
  <c r="G46" i="533" s="1"/>
  <c r="I19" i="535"/>
  <c r="F19" i="535" s="1"/>
  <c r="G19" i="535" s="1"/>
  <c r="I32" i="535"/>
  <c r="F32" i="535" s="1"/>
  <c r="G32" i="535" s="1"/>
  <c r="I40" i="535"/>
  <c r="F40" i="535" s="1"/>
  <c r="G40" i="535" s="1"/>
  <c r="I46" i="535"/>
  <c r="F46" i="535" s="1"/>
  <c r="G46" i="535" s="1"/>
  <c r="I19" i="537"/>
  <c r="F19" i="537" s="1"/>
  <c r="G19" i="537" s="1"/>
  <c r="I32" i="537"/>
  <c r="F32" i="537" s="1"/>
  <c r="G32" i="537" s="1"/>
  <c r="I40" i="537"/>
  <c r="F40" i="537" s="1"/>
  <c r="G40" i="537" s="1"/>
  <c r="I46" i="537"/>
  <c r="F46" i="537" s="1"/>
  <c r="G46" i="537" s="1"/>
  <c r="E10" i="525"/>
  <c r="E12" i="525"/>
  <c r="E14" i="525"/>
  <c r="E16" i="525"/>
  <c r="E18" i="525"/>
  <c r="E11" i="525"/>
  <c r="E13" i="525"/>
  <c r="E15" i="525"/>
  <c r="E10" i="524"/>
  <c r="E12" i="524"/>
  <c r="E14" i="524"/>
  <c r="E16" i="524"/>
  <c r="E18" i="524"/>
  <c r="D32" i="524"/>
  <c r="E11" i="524"/>
  <c r="E13" i="524"/>
  <c r="E15" i="524"/>
  <c r="D46" i="525"/>
  <c r="I19" i="534"/>
  <c r="F19" i="534" s="1"/>
  <c r="G19" i="534" s="1"/>
  <c r="I32" i="534"/>
  <c r="F32" i="534" s="1"/>
  <c r="G32" i="534" s="1"/>
  <c r="I40" i="534"/>
  <c r="F40" i="534" s="1"/>
  <c r="G40" i="534" s="1"/>
  <c r="I46" i="534"/>
  <c r="F46" i="534" s="1"/>
  <c r="G46" i="534" s="1"/>
  <c r="I19" i="536"/>
  <c r="F19" i="536" s="1"/>
  <c r="G19" i="536" s="1"/>
  <c r="I32" i="536"/>
  <c r="F32" i="536" s="1"/>
  <c r="G32" i="536" s="1"/>
  <c r="I40" i="536"/>
  <c r="F40" i="536" s="1"/>
  <c r="G40" i="536" s="1"/>
  <c r="I46" i="536"/>
  <c r="F46" i="536" s="1"/>
  <c r="G46" i="536" s="1"/>
  <c r="I50" i="603"/>
  <c r="F48" i="603"/>
  <c r="A54" i="544"/>
  <c r="I51" i="544"/>
  <c r="F50" i="544"/>
  <c r="G6" i="544"/>
  <c r="G5" i="544"/>
  <c r="A54" i="543"/>
  <c r="I51" i="543"/>
  <c r="F50" i="543"/>
  <c r="G6" i="543"/>
  <c r="G5" i="543"/>
  <c r="I50" i="542"/>
  <c r="F48" i="542"/>
  <c r="I50" i="540"/>
  <c r="F48" i="540"/>
  <c r="F24" i="539"/>
  <c r="G24" i="539" s="1"/>
  <c r="I48" i="539"/>
  <c r="F24" i="538"/>
  <c r="G24" i="538" s="1"/>
  <c r="I48" i="538"/>
  <c r="I24" i="537"/>
  <c r="I24" i="536"/>
  <c r="I24" i="535"/>
  <c r="I24" i="534"/>
  <c r="I24" i="533"/>
  <c r="I44" i="532"/>
  <c r="G44" i="532"/>
  <c r="I43" i="532"/>
  <c r="G43" i="532"/>
  <c r="I42" i="532"/>
  <c r="G42" i="532"/>
  <c r="I39" i="532"/>
  <c r="G39" i="532"/>
  <c r="I38" i="532"/>
  <c r="G38" i="532"/>
  <c r="I37" i="532"/>
  <c r="G37" i="532"/>
  <c r="I36" i="532"/>
  <c r="G36" i="532"/>
  <c r="I35" i="532"/>
  <c r="G35" i="532"/>
  <c r="I34" i="532"/>
  <c r="G34" i="532"/>
  <c r="I31" i="532"/>
  <c r="G31" i="532"/>
  <c r="I30" i="532"/>
  <c r="G30" i="532"/>
  <c r="I29" i="532"/>
  <c r="G29" i="532"/>
  <c r="I28" i="532"/>
  <c r="G28" i="532"/>
  <c r="I27" i="532"/>
  <c r="G27" i="532"/>
  <c r="I26" i="532"/>
  <c r="G26" i="532"/>
  <c r="I23" i="532"/>
  <c r="G23" i="532"/>
  <c r="I22" i="532"/>
  <c r="G22" i="532"/>
  <c r="I21" i="532"/>
  <c r="G21" i="532"/>
  <c r="I18" i="532"/>
  <c r="G18" i="532"/>
  <c r="I17" i="532"/>
  <c r="G17" i="532"/>
  <c r="I16" i="532"/>
  <c r="G16" i="532"/>
  <c r="I15" i="532"/>
  <c r="G15" i="532"/>
  <c r="I14" i="532"/>
  <c r="G14" i="532"/>
  <c r="I13" i="532"/>
  <c r="G13" i="532"/>
  <c r="I12" i="532"/>
  <c r="G12" i="532"/>
  <c r="I11" i="532"/>
  <c r="G11" i="532"/>
  <c r="I10" i="532"/>
  <c r="G10" i="532"/>
  <c r="F10" i="531"/>
  <c r="F11" i="531"/>
  <c r="F12" i="531"/>
  <c r="F13" i="531"/>
  <c r="F14" i="531"/>
  <c r="F15" i="531"/>
  <c r="F16" i="531"/>
  <c r="F17" i="531"/>
  <c r="F18" i="531"/>
  <c r="F21" i="531"/>
  <c r="F22" i="531"/>
  <c r="F23" i="531"/>
  <c r="F26" i="531"/>
  <c r="F27" i="531"/>
  <c r="F28" i="531"/>
  <c r="F29" i="531"/>
  <c r="F30" i="531"/>
  <c r="F31" i="531"/>
  <c r="F34" i="531"/>
  <c r="F35" i="531"/>
  <c r="F36" i="531"/>
  <c r="F37" i="531"/>
  <c r="F38" i="531"/>
  <c r="F39" i="531"/>
  <c r="F42" i="531"/>
  <c r="F43" i="531"/>
  <c r="F44" i="531"/>
  <c r="F45" i="531"/>
  <c r="G45" i="531" s="1"/>
  <c r="F10" i="530"/>
  <c r="F11" i="530"/>
  <c r="F12" i="530"/>
  <c r="F13" i="530"/>
  <c r="F14" i="530"/>
  <c r="F15" i="530"/>
  <c r="F16" i="530"/>
  <c r="F17" i="530"/>
  <c r="F18" i="530"/>
  <c r="F21" i="530"/>
  <c r="F22" i="530"/>
  <c r="F23" i="530"/>
  <c r="F26" i="530"/>
  <c r="F27" i="530"/>
  <c r="F28" i="530"/>
  <c r="F29" i="530"/>
  <c r="F30" i="530"/>
  <c r="F31" i="530"/>
  <c r="F34" i="530"/>
  <c r="F35" i="530"/>
  <c r="F36" i="530"/>
  <c r="F37" i="530"/>
  <c r="F38" i="530"/>
  <c r="F39" i="530"/>
  <c r="F42" i="530"/>
  <c r="F43" i="530"/>
  <c r="F44" i="530"/>
  <c r="F45" i="530"/>
  <c r="G45" i="530" s="1"/>
  <c r="E48" i="529"/>
  <c r="F10" i="529"/>
  <c r="F11" i="529"/>
  <c r="F12" i="529"/>
  <c r="F13" i="529"/>
  <c r="F14" i="529"/>
  <c r="F15" i="529"/>
  <c r="F16" i="529"/>
  <c r="F17" i="529"/>
  <c r="F18" i="529"/>
  <c r="F21" i="529"/>
  <c r="F22" i="529"/>
  <c r="F23" i="529"/>
  <c r="F26" i="529"/>
  <c r="F27" i="529"/>
  <c r="F28" i="529"/>
  <c r="F29" i="529"/>
  <c r="F30" i="529"/>
  <c r="F31" i="529"/>
  <c r="F34" i="529"/>
  <c r="F35" i="529"/>
  <c r="F36" i="529"/>
  <c r="F37" i="529"/>
  <c r="F38" i="529"/>
  <c r="F39" i="529"/>
  <c r="F42" i="529"/>
  <c r="F43" i="529"/>
  <c r="F44" i="529"/>
  <c r="F45" i="529"/>
  <c r="G45" i="529" s="1"/>
  <c r="C24" i="528"/>
  <c r="C48" i="528" s="1"/>
  <c r="H48" i="528"/>
  <c r="H50" i="528" s="1"/>
  <c r="E6" i="528" s="1"/>
  <c r="E45" i="528"/>
  <c r="E44" i="528"/>
  <c r="E43" i="528"/>
  <c r="E39" i="528"/>
  <c r="E38" i="528"/>
  <c r="E37" i="528"/>
  <c r="E36" i="528"/>
  <c r="E35" i="528"/>
  <c r="E31" i="528"/>
  <c r="E30" i="528"/>
  <c r="E29" i="528"/>
  <c r="E27" i="528"/>
  <c r="E23" i="528"/>
  <c r="E22" i="528"/>
  <c r="E21" i="528"/>
  <c r="E24" i="528"/>
  <c r="E26" i="528"/>
  <c r="E28" i="528"/>
  <c r="E34" i="528"/>
  <c r="E42" i="528"/>
  <c r="E46" i="528"/>
  <c r="A52" i="528" s="1"/>
  <c r="E40" i="528"/>
  <c r="E32" i="528"/>
  <c r="J50" i="528"/>
  <c r="E50" i="528"/>
  <c r="H46" i="527"/>
  <c r="C46" i="527" s="1"/>
  <c r="H40" i="527"/>
  <c r="C40" i="527" s="1"/>
  <c r="D50" i="527"/>
  <c r="D48" i="527"/>
  <c r="H32" i="527"/>
  <c r="C32" i="527" s="1"/>
  <c r="H24" i="527"/>
  <c r="H19" i="527"/>
  <c r="C19" i="527" s="1"/>
  <c r="H46" i="526"/>
  <c r="C46" i="526" s="1"/>
  <c r="H40" i="526"/>
  <c r="C40" i="526" s="1"/>
  <c r="D50" i="526"/>
  <c r="D48" i="526"/>
  <c r="H32" i="526"/>
  <c r="C32" i="526" s="1"/>
  <c r="H24" i="526"/>
  <c r="H19" i="526"/>
  <c r="C19" i="526" s="1"/>
  <c r="H10" i="525"/>
  <c r="H11" i="525"/>
  <c r="H12" i="525"/>
  <c r="H13" i="525"/>
  <c r="H14" i="525"/>
  <c r="H15" i="525"/>
  <c r="H16" i="525"/>
  <c r="H17" i="525"/>
  <c r="H18" i="525"/>
  <c r="E19" i="525"/>
  <c r="H21" i="525"/>
  <c r="H22" i="525"/>
  <c r="H23" i="525"/>
  <c r="H26" i="525"/>
  <c r="H27" i="525"/>
  <c r="H28" i="525"/>
  <c r="H29" i="525"/>
  <c r="H30" i="525"/>
  <c r="H31" i="525"/>
  <c r="H34" i="525"/>
  <c r="D40" i="525"/>
  <c r="H35" i="525"/>
  <c r="H36" i="525"/>
  <c r="H37" i="525"/>
  <c r="H38" i="525"/>
  <c r="H39" i="525"/>
  <c r="H42" i="525"/>
  <c r="H43" i="525"/>
  <c r="H44" i="525"/>
  <c r="H10" i="524"/>
  <c r="H11" i="524"/>
  <c r="H12" i="524"/>
  <c r="H13" i="524"/>
  <c r="H14" i="524"/>
  <c r="H15" i="524"/>
  <c r="H16" i="524"/>
  <c r="H17" i="524"/>
  <c r="H18" i="524"/>
  <c r="D50" i="524"/>
  <c r="E19" i="524"/>
  <c r="H21" i="524"/>
  <c r="H22" i="524"/>
  <c r="H23" i="524"/>
  <c r="D48" i="524"/>
  <c r="E40" i="524" s="1"/>
  <c r="H26" i="524"/>
  <c r="H27" i="524"/>
  <c r="H28" i="524"/>
  <c r="H29" i="524"/>
  <c r="H30" i="524"/>
  <c r="H31" i="524"/>
  <c r="H34" i="524"/>
  <c r="H35" i="524"/>
  <c r="H36" i="524"/>
  <c r="H37" i="524"/>
  <c r="H38" i="524"/>
  <c r="H39" i="524"/>
  <c r="H42" i="524"/>
  <c r="H43" i="524"/>
  <c r="H44" i="524"/>
  <c r="D26" i="523"/>
  <c r="D34" i="523"/>
  <c r="D42" i="523"/>
  <c r="C45" i="523"/>
  <c r="C44" i="523"/>
  <c r="C43" i="523"/>
  <c r="C42" i="523"/>
  <c r="C39" i="523"/>
  <c r="C38" i="523"/>
  <c r="C37" i="523"/>
  <c r="C36" i="523"/>
  <c r="C35" i="523"/>
  <c r="C34" i="523"/>
  <c r="C31" i="523"/>
  <c r="C30" i="523"/>
  <c r="C29" i="523"/>
  <c r="C28" i="523"/>
  <c r="C27" i="523"/>
  <c r="C26" i="523"/>
  <c r="D24" i="523"/>
  <c r="C23" i="523"/>
  <c r="C22" i="523"/>
  <c r="C21" i="523"/>
  <c r="D19" i="523"/>
  <c r="E17" i="523" s="1"/>
  <c r="C18" i="523"/>
  <c r="C17" i="523"/>
  <c r="C16" i="523"/>
  <c r="C15" i="523"/>
  <c r="C14" i="523"/>
  <c r="C13" i="523"/>
  <c r="C12" i="523"/>
  <c r="C11" i="523"/>
  <c r="C10" i="523"/>
  <c r="C7" i="523"/>
  <c r="G4" i="523"/>
  <c r="E4" i="523"/>
  <c r="E10" i="523" l="1"/>
  <c r="E12" i="523"/>
  <c r="E14" i="523"/>
  <c r="E16" i="523"/>
  <c r="E18" i="523"/>
  <c r="I19" i="532"/>
  <c r="F19" i="532" s="1"/>
  <c r="G19" i="532" s="1"/>
  <c r="I32" i="532"/>
  <c r="F32" i="532" s="1"/>
  <c r="G32" i="532" s="1"/>
  <c r="I40" i="532"/>
  <c r="F40" i="532" s="1"/>
  <c r="G40" i="532" s="1"/>
  <c r="I46" i="532"/>
  <c r="F46" i="532" s="1"/>
  <c r="G46" i="532" s="1"/>
  <c r="E11" i="523"/>
  <c r="E13" i="523"/>
  <c r="E15" i="523"/>
  <c r="E32" i="524"/>
  <c r="E24" i="524"/>
  <c r="F50" i="603"/>
  <c r="I51" i="603"/>
  <c r="G6" i="603"/>
  <c r="A54" i="603"/>
  <c r="G5" i="603"/>
  <c r="E46" i="524"/>
  <c r="A52" i="524" s="1"/>
  <c r="A54" i="542"/>
  <c r="I51" i="542"/>
  <c r="F50" i="542"/>
  <c r="G6" i="542"/>
  <c r="G5" i="542"/>
  <c r="A54" i="540"/>
  <c r="I51" i="540"/>
  <c r="F50" i="540"/>
  <c r="G6" i="540"/>
  <c r="G5" i="540"/>
  <c r="I50" i="539"/>
  <c r="F48" i="539"/>
  <c r="I50" i="538"/>
  <c r="F48" i="538"/>
  <c r="F24" i="537"/>
  <c r="G24" i="537" s="1"/>
  <c r="I48" i="537"/>
  <c r="F24" i="536"/>
  <c r="G24" i="536" s="1"/>
  <c r="I48" i="536"/>
  <c r="F24" i="535"/>
  <c r="G24" i="535" s="1"/>
  <c r="I48" i="535"/>
  <c r="F24" i="534"/>
  <c r="G24" i="534" s="1"/>
  <c r="I48" i="534"/>
  <c r="F24" i="533"/>
  <c r="G24" i="533" s="1"/>
  <c r="I48" i="533"/>
  <c r="I24" i="532"/>
  <c r="I44" i="531"/>
  <c r="G44" i="531"/>
  <c r="I43" i="531"/>
  <c r="G43" i="531"/>
  <c r="I42" i="531"/>
  <c r="G42" i="531"/>
  <c r="I39" i="531"/>
  <c r="G39" i="531"/>
  <c r="I38" i="531"/>
  <c r="G38" i="531"/>
  <c r="I37" i="531"/>
  <c r="G37" i="531"/>
  <c r="I36" i="531"/>
  <c r="G36" i="531"/>
  <c r="I35" i="531"/>
  <c r="G35" i="531"/>
  <c r="I34" i="531"/>
  <c r="G34" i="531"/>
  <c r="I31" i="531"/>
  <c r="G31" i="531"/>
  <c r="I30" i="531"/>
  <c r="G30" i="531"/>
  <c r="I29" i="531"/>
  <c r="G29" i="531"/>
  <c r="I28" i="531"/>
  <c r="G28" i="531"/>
  <c r="I27" i="531"/>
  <c r="G27" i="531"/>
  <c r="I26" i="531"/>
  <c r="G26" i="531"/>
  <c r="I23" i="531"/>
  <c r="G23" i="531"/>
  <c r="I22" i="531"/>
  <c r="G22" i="531"/>
  <c r="I21" i="531"/>
  <c r="G21" i="531"/>
  <c r="I18" i="531"/>
  <c r="G18" i="531"/>
  <c r="I17" i="531"/>
  <c r="G17" i="531"/>
  <c r="I16" i="531"/>
  <c r="G16" i="531"/>
  <c r="I15" i="531"/>
  <c r="G15" i="531"/>
  <c r="I14" i="531"/>
  <c r="G14" i="531"/>
  <c r="I13" i="531"/>
  <c r="G13" i="531"/>
  <c r="I12" i="531"/>
  <c r="G12" i="531"/>
  <c r="I11" i="531"/>
  <c r="G11" i="531"/>
  <c r="I10" i="531"/>
  <c r="G10" i="531"/>
  <c r="I44" i="530"/>
  <c r="G44" i="530"/>
  <c r="I43" i="530"/>
  <c r="G43" i="530"/>
  <c r="I42" i="530"/>
  <c r="G42" i="530"/>
  <c r="I39" i="530"/>
  <c r="G39" i="530"/>
  <c r="I38" i="530"/>
  <c r="G38" i="530"/>
  <c r="I37" i="530"/>
  <c r="G37" i="530"/>
  <c r="I36" i="530"/>
  <c r="G36" i="530"/>
  <c r="I35" i="530"/>
  <c r="G35" i="530"/>
  <c r="I34" i="530"/>
  <c r="G34" i="530"/>
  <c r="I31" i="530"/>
  <c r="G31" i="530"/>
  <c r="I30" i="530"/>
  <c r="G30" i="530"/>
  <c r="I29" i="530"/>
  <c r="G29" i="530"/>
  <c r="I28" i="530"/>
  <c r="G28" i="530"/>
  <c r="I27" i="530"/>
  <c r="G27" i="530"/>
  <c r="I26" i="530"/>
  <c r="G26" i="530"/>
  <c r="I23" i="530"/>
  <c r="G23" i="530"/>
  <c r="I22" i="530"/>
  <c r="G22" i="530"/>
  <c r="I21" i="530"/>
  <c r="G21" i="530"/>
  <c r="I18" i="530"/>
  <c r="G18" i="530"/>
  <c r="I17" i="530"/>
  <c r="G17" i="530"/>
  <c r="I16" i="530"/>
  <c r="G16" i="530"/>
  <c r="I15" i="530"/>
  <c r="G15" i="530"/>
  <c r="I14" i="530"/>
  <c r="G14" i="530"/>
  <c r="I13" i="530"/>
  <c r="G13" i="530"/>
  <c r="I12" i="530"/>
  <c r="G12" i="530"/>
  <c r="I11" i="530"/>
  <c r="G11" i="530"/>
  <c r="I10" i="530"/>
  <c r="G10" i="530"/>
  <c r="I44" i="529"/>
  <c r="G44" i="529"/>
  <c r="I43" i="529"/>
  <c r="G43" i="529"/>
  <c r="I42" i="529"/>
  <c r="G42" i="529"/>
  <c r="I39" i="529"/>
  <c r="G39" i="529"/>
  <c r="I38" i="529"/>
  <c r="G38" i="529"/>
  <c r="I37" i="529"/>
  <c r="G37" i="529"/>
  <c r="I36" i="529"/>
  <c r="G36" i="529"/>
  <c r="I35" i="529"/>
  <c r="G35" i="529"/>
  <c r="I34" i="529"/>
  <c r="G34" i="529"/>
  <c r="I31" i="529"/>
  <c r="G31" i="529"/>
  <c r="I30" i="529"/>
  <c r="G30" i="529"/>
  <c r="I29" i="529"/>
  <c r="G29" i="529"/>
  <c r="I28" i="529"/>
  <c r="G28" i="529"/>
  <c r="I27" i="529"/>
  <c r="G27" i="529"/>
  <c r="I26" i="529"/>
  <c r="G26" i="529"/>
  <c r="I23" i="529"/>
  <c r="G23" i="529"/>
  <c r="I22" i="529"/>
  <c r="G22" i="529"/>
  <c r="I21" i="529"/>
  <c r="G21" i="529"/>
  <c r="I18" i="529"/>
  <c r="G18" i="529"/>
  <c r="I17" i="529"/>
  <c r="G17" i="529"/>
  <c r="I16" i="529"/>
  <c r="G16" i="529"/>
  <c r="I15" i="529"/>
  <c r="G15" i="529"/>
  <c r="I14" i="529"/>
  <c r="G14" i="529"/>
  <c r="I13" i="529"/>
  <c r="G13" i="529"/>
  <c r="I12" i="529"/>
  <c r="G12" i="529"/>
  <c r="I11" i="529"/>
  <c r="G11" i="529"/>
  <c r="I10" i="529"/>
  <c r="G10" i="529"/>
  <c r="E48" i="528"/>
  <c r="F10" i="528"/>
  <c r="F11" i="528"/>
  <c r="F12" i="528"/>
  <c r="F13" i="528"/>
  <c r="F14" i="528"/>
  <c r="F15" i="528"/>
  <c r="F16" i="528"/>
  <c r="F17" i="528"/>
  <c r="F18" i="528"/>
  <c r="F21" i="528"/>
  <c r="F22" i="528"/>
  <c r="F23" i="528"/>
  <c r="F26" i="528"/>
  <c r="F27" i="528"/>
  <c r="F28" i="528"/>
  <c r="F29" i="528"/>
  <c r="F30" i="528"/>
  <c r="F31" i="528"/>
  <c r="F34" i="528"/>
  <c r="F35" i="528"/>
  <c r="F36" i="528"/>
  <c r="F37" i="528"/>
  <c r="F38" i="528"/>
  <c r="F39" i="528"/>
  <c r="F42" i="528"/>
  <c r="F43" i="528"/>
  <c r="F44" i="528"/>
  <c r="F45" i="528"/>
  <c r="G45" i="528" s="1"/>
  <c r="C24" i="527"/>
  <c r="C48" i="527" s="1"/>
  <c r="H48" i="527"/>
  <c r="H50" i="527" s="1"/>
  <c r="E6" i="527" s="1"/>
  <c r="E45" i="527"/>
  <c r="E44" i="527"/>
  <c r="E43" i="527"/>
  <c r="E39" i="527"/>
  <c r="E38" i="527"/>
  <c r="E37" i="527"/>
  <c r="E36" i="527"/>
  <c r="E35" i="527"/>
  <c r="E31" i="527"/>
  <c r="E30" i="527"/>
  <c r="E29" i="527"/>
  <c r="E28" i="527"/>
  <c r="E27" i="527"/>
  <c r="E23" i="527"/>
  <c r="E22" i="527"/>
  <c r="E21" i="527"/>
  <c r="E24" i="527"/>
  <c r="E26" i="527"/>
  <c r="E34" i="527"/>
  <c r="E42" i="527"/>
  <c r="E46" i="527"/>
  <c r="A52" i="527" s="1"/>
  <c r="E40" i="527"/>
  <c r="E32" i="527"/>
  <c r="J50" i="527"/>
  <c r="E50" i="527"/>
  <c r="C24" i="526"/>
  <c r="C48" i="526" s="1"/>
  <c r="H48" i="526"/>
  <c r="H50" i="526" s="1"/>
  <c r="E6" i="526" s="1"/>
  <c r="E45" i="526"/>
  <c r="E44" i="526"/>
  <c r="E43" i="526"/>
  <c r="E39" i="526"/>
  <c r="E38" i="526"/>
  <c r="E37" i="526"/>
  <c r="E36" i="526"/>
  <c r="E35" i="526"/>
  <c r="E31" i="526"/>
  <c r="E30" i="526"/>
  <c r="E29" i="526"/>
  <c r="E28" i="526"/>
  <c r="E27" i="526"/>
  <c r="E23" i="526"/>
  <c r="E22" i="526"/>
  <c r="E21" i="526"/>
  <c r="E24" i="526"/>
  <c r="E26" i="526"/>
  <c r="E34" i="526"/>
  <c r="E42" i="526"/>
  <c r="E46" i="526"/>
  <c r="A52" i="526" s="1"/>
  <c r="E40" i="526"/>
  <c r="E32" i="526"/>
  <c r="J50" i="526"/>
  <c r="E50" i="526"/>
  <c r="H46" i="525"/>
  <c r="C46" i="525" s="1"/>
  <c r="D50" i="525"/>
  <c r="D48" i="525"/>
  <c r="H40" i="525"/>
  <c r="C40" i="525" s="1"/>
  <c r="H32" i="525"/>
  <c r="C32" i="525" s="1"/>
  <c r="H24" i="525"/>
  <c r="H19" i="525"/>
  <c r="C19" i="525" s="1"/>
  <c r="H46" i="524"/>
  <c r="C46" i="524" s="1"/>
  <c r="H40" i="524"/>
  <c r="C40" i="524" s="1"/>
  <c r="H32" i="524"/>
  <c r="C32" i="524" s="1"/>
  <c r="E45" i="524"/>
  <c r="E44" i="524"/>
  <c r="E43" i="524"/>
  <c r="E42" i="524"/>
  <c r="E39" i="524"/>
  <c r="E38" i="524"/>
  <c r="E37" i="524"/>
  <c r="E36" i="524"/>
  <c r="E35" i="524"/>
  <c r="E34" i="524"/>
  <c r="E31" i="524"/>
  <c r="E30" i="524"/>
  <c r="E29" i="524"/>
  <c r="E28" i="524"/>
  <c r="E27" i="524"/>
  <c r="E26" i="524"/>
  <c r="E23" i="524"/>
  <c r="E22" i="524"/>
  <c r="E21" i="524"/>
  <c r="H24" i="524"/>
  <c r="J50" i="524"/>
  <c r="E50" i="524"/>
  <c r="H19" i="524"/>
  <c r="C19" i="524" s="1"/>
  <c r="H10" i="523"/>
  <c r="H11" i="523"/>
  <c r="H12" i="523"/>
  <c r="H13" i="523"/>
  <c r="H14" i="523"/>
  <c r="H15" i="523"/>
  <c r="H16" i="523"/>
  <c r="H17" i="523"/>
  <c r="H18" i="523"/>
  <c r="E19" i="523"/>
  <c r="H21" i="523"/>
  <c r="H22" i="523"/>
  <c r="H23" i="523"/>
  <c r="H26" i="523"/>
  <c r="D32" i="523"/>
  <c r="H27" i="523"/>
  <c r="H28" i="523"/>
  <c r="H29" i="523"/>
  <c r="H30" i="523"/>
  <c r="H31" i="523"/>
  <c r="H34" i="523"/>
  <c r="D40" i="523"/>
  <c r="H35" i="523"/>
  <c r="H36" i="523"/>
  <c r="H37" i="523"/>
  <c r="H38" i="523"/>
  <c r="H39" i="523"/>
  <c r="H42" i="523"/>
  <c r="D46" i="523"/>
  <c r="H43" i="523"/>
  <c r="H44" i="523"/>
  <c r="D34" i="522"/>
  <c r="D42" i="522"/>
  <c r="C45" i="522"/>
  <c r="C44" i="522"/>
  <c r="C43" i="522"/>
  <c r="C42" i="522"/>
  <c r="C39" i="522"/>
  <c r="C38" i="522"/>
  <c r="C37" i="522"/>
  <c r="C36" i="522"/>
  <c r="C35" i="522"/>
  <c r="C34" i="522"/>
  <c r="D32" i="522"/>
  <c r="C31" i="522"/>
  <c r="C30" i="522"/>
  <c r="C29" i="522"/>
  <c r="C28" i="522"/>
  <c r="C27" i="522"/>
  <c r="C26" i="522"/>
  <c r="D24" i="522"/>
  <c r="C23" i="522"/>
  <c r="C22" i="522"/>
  <c r="C21" i="522"/>
  <c r="D19" i="522"/>
  <c r="E18" i="522"/>
  <c r="C18" i="522"/>
  <c r="E17" i="522"/>
  <c r="C17" i="522"/>
  <c r="E16" i="522"/>
  <c r="C16" i="522"/>
  <c r="E15" i="522"/>
  <c r="C15" i="522"/>
  <c r="E14" i="522"/>
  <c r="C14" i="522"/>
  <c r="E13" i="522"/>
  <c r="C13" i="522"/>
  <c r="E12" i="522"/>
  <c r="C12" i="522"/>
  <c r="E11" i="522"/>
  <c r="C11" i="522"/>
  <c r="E10" i="522"/>
  <c r="C10" i="522"/>
  <c r="C7" i="522"/>
  <c r="G4" i="522"/>
  <c r="E4" i="522"/>
  <c r="C45" i="521"/>
  <c r="C44" i="521"/>
  <c r="C43" i="521"/>
  <c r="C42" i="521"/>
  <c r="C39" i="521"/>
  <c r="C38" i="521"/>
  <c r="C37" i="521"/>
  <c r="C36" i="521"/>
  <c r="C35" i="521"/>
  <c r="C34" i="521"/>
  <c r="C31" i="521"/>
  <c r="C30" i="521"/>
  <c r="C29" i="521"/>
  <c r="C28" i="521"/>
  <c r="C27" i="521"/>
  <c r="C26" i="521"/>
  <c r="D24" i="521"/>
  <c r="C23" i="521"/>
  <c r="C22" i="521"/>
  <c r="C21" i="521"/>
  <c r="D19" i="521"/>
  <c r="E17" i="521" s="1"/>
  <c r="C18" i="521"/>
  <c r="C17" i="521"/>
  <c r="C16" i="521"/>
  <c r="C15" i="521"/>
  <c r="C14" i="521"/>
  <c r="C13" i="521"/>
  <c r="C12" i="521"/>
  <c r="C11" i="521"/>
  <c r="C10" i="521"/>
  <c r="C7" i="521"/>
  <c r="G4" i="521"/>
  <c r="E4" i="521"/>
  <c r="E16" i="521" l="1"/>
  <c r="E14" i="521"/>
  <c r="E12" i="521"/>
  <c r="E10" i="521"/>
  <c r="E18" i="521"/>
  <c r="E11" i="521"/>
  <c r="E13" i="521"/>
  <c r="E15" i="521"/>
  <c r="I19" i="529"/>
  <c r="F19" i="529" s="1"/>
  <c r="G19" i="529" s="1"/>
  <c r="I32" i="529"/>
  <c r="F32" i="529" s="1"/>
  <c r="G32" i="529" s="1"/>
  <c r="I40" i="529"/>
  <c r="F40" i="529" s="1"/>
  <c r="G40" i="529" s="1"/>
  <c r="I46" i="529"/>
  <c r="F46" i="529" s="1"/>
  <c r="G46" i="529" s="1"/>
  <c r="I19" i="531"/>
  <c r="F19" i="531" s="1"/>
  <c r="G19" i="531" s="1"/>
  <c r="I32" i="531"/>
  <c r="F32" i="531" s="1"/>
  <c r="G32" i="531" s="1"/>
  <c r="I40" i="531"/>
  <c r="F40" i="531" s="1"/>
  <c r="G40" i="531" s="1"/>
  <c r="E48" i="524"/>
  <c r="I46" i="531"/>
  <c r="F46" i="531" s="1"/>
  <c r="G46" i="531" s="1"/>
  <c r="I19" i="530"/>
  <c r="F19" i="530" s="1"/>
  <c r="G19" i="530" s="1"/>
  <c r="I32" i="530"/>
  <c r="F32" i="530" s="1"/>
  <c r="G32" i="530" s="1"/>
  <c r="I40" i="530"/>
  <c r="F40" i="530" s="1"/>
  <c r="G40" i="530" s="1"/>
  <c r="I46" i="530"/>
  <c r="F46" i="530" s="1"/>
  <c r="G46" i="530" s="1"/>
  <c r="A54" i="539"/>
  <c r="I51" i="539"/>
  <c r="F50" i="539"/>
  <c r="G6" i="539"/>
  <c r="G5" i="539"/>
  <c r="A54" i="538"/>
  <c r="I51" i="538"/>
  <c r="F50" i="538"/>
  <c r="G6" i="538"/>
  <c r="G5" i="538"/>
  <c r="I50" i="537"/>
  <c r="F48" i="537"/>
  <c r="I50" i="536"/>
  <c r="F48" i="536"/>
  <c r="I50" i="535"/>
  <c r="F48" i="535"/>
  <c r="I50" i="534"/>
  <c r="F48" i="534"/>
  <c r="I50" i="533"/>
  <c r="F48" i="533"/>
  <c r="F24" i="532"/>
  <c r="G24" i="532" s="1"/>
  <c r="I48" i="532"/>
  <c r="I24" i="531"/>
  <c r="I24" i="530"/>
  <c r="I24" i="529"/>
  <c r="I44" i="528"/>
  <c r="G44" i="528"/>
  <c r="I43" i="528"/>
  <c r="G43" i="528"/>
  <c r="I42" i="528"/>
  <c r="G42" i="528"/>
  <c r="I39" i="528"/>
  <c r="G39" i="528"/>
  <c r="I38" i="528"/>
  <c r="G38" i="528"/>
  <c r="I37" i="528"/>
  <c r="G37" i="528"/>
  <c r="I36" i="528"/>
  <c r="G36" i="528"/>
  <c r="I35" i="528"/>
  <c r="G35" i="528"/>
  <c r="I34" i="528"/>
  <c r="G34" i="528"/>
  <c r="I31" i="528"/>
  <c r="G31" i="528"/>
  <c r="I30" i="528"/>
  <c r="G30" i="528"/>
  <c r="I29" i="528"/>
  <c r="G29" i="528"/>
  <c r="I28" i="528"/>
  <c r="G28" i="528"/>
  <c r="I27" i="528"/>
  <c r="G27" i="528"/>
  <c r="I26" i="528"/>
  <c r="G26" i="528"/>
  <c r="I23" i="528"/>
  <c r="G23" i="528"/>
  <c r="I22" i="528"/>
  <c r="G22" i="528"/>
  <c r="I21" i="528"/>
  <c r="G21" i="528"/>
  <c r="I18" i="528"/>
  <c r="G18" i="528"/>
  <c r="I17" i="528"/>
  <c r="G17" i="528"/>
  <c r="I16" i="528"/>
  <c r="G16" i="528"/>
  <c r="I15" i="528"/>
  <c r="G15" i="528"/>
  <c r="I14" i="528"/>
  <c r="G14" i="528"/>
  <c r="I13" i="528"/>
  <c r="G13" i="528"/>
  <c r="I12" i="528"/>
  <c r="G12" i="528"/>
  <c r="I11" i="528"/>
  <c r="G11" i="528"/>
  <c r="I10" i="528"/>
  <c r="G10" i="528"/>
  <c r="E48" i="527"/>
  <c r="F10" i="527"/>
  <c r="F11" i="527"/>
  <c r="F12" i="527"/>
  <c r="F13" i="527"/>
  <c r="F14" i="527"/>
  <c r="F15" i="527"/>
  <c r="F16" i="527"/>
  <c r="F17" i="527"/>
  <c r="F18" i="527"/>
  <c r="F21" i="527"/>
  <c r="F22" i="527"/>
  <c r="F23" i="527"/>
  <c r="F26" i="527"/>
  <c r="F27" i="527"/>
  <c r="F28" i="527"/>
  <c r="F29" i="527"/>
  <c r="F30" i="527"/>
  <c r="F31" i="527"/>
  <c r="F34" i="527"/>
  <c r="F35" i="527"/>
  <c r="F36" i="527"/>
  <c r="F37" i="527"/>
  <c r="F38" i="527"/>
  <c r="F39" i="527"/>
  <c r="F42" i="527"/>
  <c r="F43" i="527"/>
  <c r="F44" i="527"/>
  <c r="F45" i="527"/>
  <c r="G45" i="527" s="1"/>
  <c r="E48" i="526"/>
  <c r="F10" i="526"/>
  <c r="F11" i="526"/>
  <c r="F12" i="526"/>
  <c r="F13" i="526"/>
  <c r="F14" i="526"/>
  <c r="F15" i="526"/>
  <c r="F16" i="526"/>
  <c r="F17" i="526"/>
  <c r="F18" i="526"/>
  <c r="F21" i="526"/>
  <c r="F22" i="526"/>
  <c r="F23" i="526"/>
  <c r="F26" i="526"/>
  <c r="F27" i="526"/>
  <c r="F28" i="526"/>
  <c r="F29" i="526"/>
  <c r="F30" i="526"/>
  <c r="F31" i="526"/>
  <c r="F34" i="526"/>
  <c r="F35" i="526"/>
  <c r="F36" i="526"/>
  <c r="F37" i="526"/>
  <c r="F38" i="526"/>
  <c r="F39" i="526"/>
  <c r="F42" i="526"/>
  <c r="F43" i="526"/>
  <c r="F44" i="526"/>
  <c r="F45" i="526"/>
  <c r="G45" i="526" s="1"/>
  <c r="C24" i="525"/>
  <c r="C48" i="525" s="1"/>
  <c r="H48" i="525"/>
  <c r="H50" i="525" s="1"/>
  <c r="E6" i="525" s="1"/>
  <c r="E45" i="525"/>
  <c r="E44" i="525"/>
  <c r="E43" i="525"/>
  <c r="E42" i="525"/>
  <c r="E39" i="525"/>
  <c r="E38" i="525"/>
  <c r="E37" i="525"/>
  <c r="E36" i="525"/>
  <c r="E35" i="525"/>
  <c r="E31" i="525"/>
  <c r="E30" i="525"/>
  <c r="E29" i="525"/>
  <c r="E28" i="525"/>
  <c r="E27" i="525"/>
  <c r="E26" i="525"/>
  <c r="E23" i="525"/>
  <c r="E22" i="525"/>
  <c r="E21" i="525"/>
  <c r="E24" i="525"/>
  <c r="E32" i="525"/>
  <c r="E34" i="525"/>
  <c r="E46" i="525"/>
  <c r="A52" i="525" s="1"/>
  <c r="E40" i="525"/>
  <c r="J50" i="525"/>
  <c r="E50" i="525"/>
  <c r="C24" i="524"/>
  <c r="C48" i="524" s="1"/>
  <c r="H48" i="524"/>
  <c r="H50" i="524" s="1"/>
  <c r="E6" i="524" s="1"/>
  <c r="H46" i="523"/>
  <c r="C46" i="523" s="1"/>
  <c r="H40" i="523"/>
  <c r="C40" i="523" s="1"/>
  <c r="D50" i="523"/>
  <c r="D48" i="523"/>
  <c r="H32" i="523"/>
  <c r="C32" i="523" s="1"/>
  <c r="H24" i="523"/>
  <c r="H19" i="523"/>
  <c r="C19" i="523" s="1"/>
  <c r="H10" i="522"/>
  <c r="H11" i="522"/>
  <c r="H12" i="522"/>
  <c r="H13" i="522"/>
  <c r="H14" i="522"/>
  <c r="H15" i="522"/>
  <c r="H16" i="522"/>
  <c r="H17" i="522"/>
  <c r="H18" i="522"/>
  <c r="E19" i="522"/>
  <c r="H21" i="522"/>
  <c r="H22" i="522"/>
  <c r="H23" i="522"/>
  <c r="H26" i="522"/>
  <c r="H27" i="522"/>
  <c r="H28" i="522"/>
  <c r="H29" i="522"/>
  <c r="H30" i="522"/>
  <c r="H31" i="522"/>
  <c r="H34" i="522"/>
  <c r="D40" i="522"/>
  <c r="H35" i="522"/>
  <c r="H36" i="522"/>
  <c r="H37" i="522"/>
  <c r="H38" i="522"/>
  <c r="H39" i="522"/>
  <c r="H42" i="522"/>
  <c r="D46" i="522"/>
  <c r="H43" i="522"/>
  <c r="H44" i="522"/>
  <c r="H10" i="521"/>
  <c r="H11" i="521"/>
  <c r="H12" i="521"/>
  <c r="H13" i="521"/>
  <c r="H14" i="521"/>
  <c r="H15" i="521"/>
  <c r="H16" i="521"/>
  <c r="H17" i="521"/>
  <c r="H18" i="521"/>
  <c r="E19" i="521"/>
  <c r="H21" i="521"/>
  <c r="H22" i="521"/>
  <c r="H23" i="521"/>
  <c r="H26" i="521"/>
  <c r="D32" i="521"/>
  <c r="H27" i="521"/>
  <c r="H28" i="521"/>
  <c r="H29" i="521"/>
  <c r="H30" i="521"/>
  <c r="H31" i="521"/>
  <c r="H34" i="521"/>
  <c r="D40" i="521"/>
  <c r="H35" i="521"/>
  <c r="H36" i="521"/>
  <c r="H37" i="521"/>
  <c r="H38" i="521"/>
  <c r="H39" i="521"/>
  <c r="H42" i="521"/>
  <c r="D46" i="521"/>
  <c r="H43" i="521"/>
  <c r="H44" i="521"/>
  <c r="D28" i="520"/>
  <c r="D42" i="520"/>
  <c r="D26" i="520"/>
  <c r="D34" i="520"/>
  <c r="D40" i="520" s="1"/>
  <c r="D46" i="520"/>
  <c r="C45" i="520"/>
  <c r="C44" i="520"/>
  <c r="C43" i="520"/>
  <c r="C42" i="520"/>
  <c r="C39" i="520"/>
  <c r="C38" i="520"/>
  <c r="C37" i="520"/>
  <c r="C36" i="520"/>
  <c r="C35" i="520"/>
  <c r="C34" i="520"/>
  <c r="C31" i="520"/>
  <c r="C30" i="520"/>
  <c r="C29" i="520"/>
  <c r="C28" i="520"/>
  <c r="C27" i="520"/>
  <c r="C26" i="520"/>
  <c r="D24" i="520"/>
  <c r="C23" i="520"/>
  <c r="C22" i="520"/>
  <c r="C21" i="520"/>
  <c r="D19" i="520"/>
  <c r="E18" i="520" s="1"/>
  <c r="C18" i="520"/>
  <c r="C17" i="520"/>
  <c r="C16" i="520"/>
  <c r="C15" i="520"/>
  <c r="C14" i="520"/>
  <c r="C13" i="520"/>
  <c r="C12" i="520"/>
  <c r="C11" i="520"/>
  <c r="C10" i="520"/>
  <c r="C7" i="520"/>
  <c r="G4" i="520"/>
  <c r="E4" i="520"/>
  <c r="D32" i="520" l="1"/>
  <c r="I19" i="528"/>
  <c r="F19" i="528" s="1"/>
  <c r="G19" i="528" s="1"/>
  <c r="I32" i="528"/>
  <c r="F32" i="528" s="1"/>
  <c r="G32" i="528" s="1"/>
  <c r="I40" i="528"/>
  <c r="F40" i="528" s="1"/>
  <c r="G40" i="528" s="1"/>
  <c r="I46" i="528"/>
  <c r="F46" i="528" s="1"/>
  <c r="G46" i="528" s="1"/>
  <c r="E11" i="520"/>
  <c r="E13" i="520"/>
  <c r="E15" i="520"/>
  <c r="E17" i="520"/>
  <c r="E10" i="520"/>
  <c r="E12" i="520"/>
  <c r="E14" i="520"/>
  <c r="E16" i="520"/>
  <c r="A54" i="537"/>
  <c r="I51" i="537"/>
  <c r="F50" i="537"/>
  <c r="G6" i="537"/>
  <c r="G5" i="537"/>
  <c r="A54" i="536"/>
  <c r="I51" i="536"/>
  <c r="F50" i="536"/>
  <c r="G6" i="536"/>
  <c r="G5" i="536"/>
  <c r="A54" i="535"/>
  <c r="I51" i="535"/>
  <c r="F50" i="535"/>
  <c r="G6" i="535"/>
  <c r="G5" i="535"/>
  <c r="A54" i="534"/>
  <c r="I51" i="534"/>
  <c r="F50" i="534"/>
  <c r="G6" i="534"/>
  <c r="G5" i="534"/>
  <c r="A54" i="533"/>
  <c r="I51" i="533"/>
  <c r="F50" i="533"/>
  <c r="G6" i="533"/>
  <c r="G5" i="533"/>
  <c r="I50" i="532"/>
  <c r="F48" i="532"/>
  <c r="F24" i="530"/>
  <c r="G24" i="530" s="1"/>
  <c r="I48" i="530"/>
  <c r="I50" i="530" s="1"/>
  <c r="F24" i="531"/>
  <c r="G24" i="531" s="1"/>
  <c r="I48" i="531"/>
  <c r="I50" i="531" s="1"/>
  <c r="F24" i="529"/>
  <c r="G24" i="529" s="1"/>
  <c r="I48" i="529"/>
  <c r="I24" i="528"/>
  <c r="I44" i="527"/>
  <c r="G44" i="527"/>
  <c r="I43" i="527"/>
  <c r="G43" i="527"/>
  <c r="I42" i="527"/>
  <c r="G42" i="527"/>
  <c r="I39" i="527"/>
  <c r="G39" i="527"/>
  <c r="I38" i="527"/>
  <c r="G38" i="527"/>
  <c r="I37" i="527"/>
  <c r="G37" i="527"/>
  <c r="I36" i="527"/>
  <c r="G36" i="527"/>
  <c r="I35" i="527"/>
  <c r="G35" i="527"/>
  <c r="I34" i="527"/>
  <c r="G34" i="527"/>
  <c r="I31" i="527"/>
  <c r="G31" i="527"/>
  <c r="I30" i="527"/>
  <c r="G30" i="527"/>
  <c r="I29" i="527"/>
  <c r="G29" i="527"/>
  <c r="I28" i="527"/>
  <c r="G28" i="527"/>
  <c r="I27" i="527"/>
  <c r="G27" i="527"/>
  <c r="I26" i="527"/>
  <c r="G26" i="527"/>
  <c r="I23" i="527"/>
  <c r="G23" i="527"/>
  <c r="I22" i="527"/>
  <c r="G22" i="527"/>
  <c r="I21" i="527"/>
  <c r="G21" i="527"/>
  <c r="I18" i="527"/>
  <c r="G18" i="527"/>
  <c r="I17" i="527"/>
  <c r="G17" i="527"/>
  <c r="I16" i="527"/>
  <c r="G16" i="527"/>
  <c r="I15" i="527"/>
  <c r="G15" i="527"/>
  <c r="I14" i="527"/>
  <c r="G14" i="527"/>
  <c r="I13" i="527"/>
  <c r="G13" i="527"/>
  <c r="I12" i="527"/>
  <c r="G12" i="527"/>
  <c r="I11" i="527"/>
  <c r="G11" i="527"/>
  <c r="I10" i="527"/>
  <c r="G10" i="527"/>
  <c r="I44" i="526"/>
  <c r="G44" i="526"/>
  <c r="I43" i="526"/>
  <c r="G43" i="526"/>
  <c r="I42" i="526"/>
  <c r="G42" i="526"/>
  <c r="I39" i="526"/>
  <c r="G39" i="526"/>
  <c r="I38" i="526"/>
  <c r="G38" i="526"/>
  <c r="I37" i="526"/>
  <c r="G37" i="526"/>
  <c r="I36" i="526"/>
  <c r="G36" i="526"/>
  <c r="I35" i="526"/>
  <c r="G35" i="526"/>
  <c r="I34" i="526"/>
  <c r="G34" i="526"/>
  <c r="I31" i="526"/>
  <c r="G31" i="526"/>
  <c r="I30" i="526"/>
  <c r="G30" i="526"/>
  <c r="I29" i="526"/>
  <c r="G29" i="526"/>
  <c r="I28" i="526"/>
  <c r="G28" i="526"/>
  <c r="I27" i="526"/>
  <c r="G27" i="526"/>
  <c r="I26" i="526"/>
  <c r="G26" i="526"/>
  <c r="I23" i="526"/>
  <c r="G23" i="526"/>
  <c r="I22" i="526"/>
  <c r="G22" i="526"/>
  <c r="I21" i="526"/>
  <c r="G21" i="526"/>
  <c r="I18" i="526"/>
  <c r="G18" i="526"/>
  <c r="I17" i="526"/>
  <c r="G17" i="526"/>
  <c r="I16" i="526"/>
  <c r="G16" i="526"/>
  <c r="I15" i="526"/>
  <c r="G15" i="526"/>
  <c r="I14" i="526"/>
  <c r="G14" i="526"/>
  <c r="I13" i="526"/>
  <c r="G13" i="526"/>
  <c r="I12" i="526"/>
  <c r="G12" i="526"/>
  <c r="I11" i="526"/>
  <c r="G11" i="526"/>
  <c r="I10" i="526"/>
  <c r="G10" i="526"/>
  <c r="E48" i="525"/>
  <c r="F10" i="525"/>
  <c r="F11" i="525"/>
  <c r="F12" i="525"/>
  <c r="F13" i="525"/>
  <c r="F14" i="525"/>
  <c r="F15" i="525"/>
  <c r="F16" i="525"/>
  <c r="F17" i="525"/>
  <c r="F18" i="525"/>
  <c r="F21" i="525"/>
  <c r="F22" i="525"/>
  <c r="F23" i="525"/>
  <c r="F26" i="525"/>
  <c r="F27" i="525"/>
  <c r="F28" i="525"/>
  <c r="F29" i="525"/>
  <c r="F30" i="525"/>
  <c r="F31" i="525"/>
  <c r="F34" i="525"/>
  <c r="F35" i="525"/>
  <c r="F36" i="525"/>
  <c r="F37" i="525"/>
  <c r="F38" i="525"/>
  <c r="F39" i="525"/>
  <c r="F42" i="525"/>
  <c r="F43" i="525"/>
  <c r="F44" i="525"/>
  <c r="F45" i="525"/>
  <c r="G45" i="525" s="1"/>
  <c r="F10" i="524"/>
  <c r="F11" i="524"/>
  <c r="F12" i="524"/>
  <c r="F13" i="524"/>
  <c r="F14" i="524"/>
  <c r="F15" i="524"/>
  <c r="F16" i="524"/>
  <c r="F17" i="524"/>
  <c r="F18" i="524"/>
  <c r="F21" i="524"/>
  <c r="F22" i="524"/>
  <c r="F23" i="524"/>
  <c r="F26" i="524"/>
  <c r="F27" i="524"/>
  <c r="F28" i="524"/>
  <c r="F29" i="524"/>
  <c r="F30" i="524"/>
  <c r="F31" i="524"/>
  <c r="F34" i="524"/>
  <c r="F35" i="524"/>
  <c r="F36" i="524"/>
  <c r="F37" i="524"/>
  <c r="F38" i="524"/>
  <c r="F39" i="524"/>
  <c r="F42" i="524"/>
  <c r="F43" i="524"/>
  <c r="F44" i="524"/>
  <c r="F45" i="524"/>
  <c r="G45" i="524" s="1"/>
  <c r="C24" i="523"/>
  <c r="C48" i="523" s="1"/>
  <c r="H48" i="523"/>
  <c r="H50" i="523" s="1"/>
  <c r="E6" i="523" s="1"/>
  <c r="E45" i="523"/>
  <c r="E44" i="523"/>
  <c r="E43" i="523"/>
  <c r="E39" i="523"/>
  <c r="E38" i="523"/>
  <c r="E37" i="523"/>
  <c r="E36" i="523"/>
  <c r="E35" i="523"/>
  <c r="E31" i="523"/>
  <c r="E30" i="523"/>
  <c r="E29" i="523"/>
  <c r="E27" i="523"/>
  <c r="E23" i="523"/>
  <c r="E22" i="523"/>
  <c r="E21" i="523"/>
  <c r="E24" i="523"/>
  <c r="E26" i="523"/>
  <c r="E28" i="523"/>
  <c r="E34" i="523"/>
  <c r="E42" i="523"/>
  <c r="E46" i="523"/>
  <c r="A52" i="523" s="1"/>
  <c r="E40" i="523"/>
  <c r="E32" i="523"/>
  <c r="J50" i="523"/>
  <c r="E50" i="523"/>
  <c r="H46" i="522"/>
  <c r="C46" i="522" s="1"/>
  <c r="D50" i="522"/>
  <c r="D48" i="522"/>
  <c r="H40" i="522"/>
  <c r="C40" i="522" s="1"/>
  <c r="H32" i="522"/>
  <c r="C32" i="522" s="1"/>
  <c r="H24" i="522"/>
  <c r="H19" i="522"/>
  <c r="C19" i="522" s="1"/>
  <c r="H46" i="521"/>
  <c r="C46" i="521" s="1"/>
  <c r="H40" i="521"/>
  <c r="C40" i="521" s="1"/>
  <c r="D50" i="521"/>
  <c r="D48" i="521"/>
  <c r="H32" i="521"/>
  <c r="C32" i="521" s="1"/>
  <c r="H24" i="521"/>
  <c r="H19" i="521"/>
  <c r="C19" i="521" s="1"/>
  <c r="H10" i="520"/>
  <c r="H11" i="520"/>
  <c r="H12" i="520"/>
  <c r="H13" i="520"/>
  <c r="H14" i="520"/>
  <c r="H15" i="520"/>
  <c r="H16" i="520"/>
  <c r="H17" i="520"/>
  <c r="H18" i="520"/>
  <c r="D50" i="520"/>
  <c r="E19" i="520"/>
  <c r="H21" i="520"/>
  <c r="H22" i="520"/>
  <c r="H23" i="520"/>
  <c r="D48" i="520"/>
  <c r="E24" i="520" s="1"/>
  <c r="H26" i="520"/>
  <c r="H27" i="520"/>
  <c r="H28" i="520"/>
  <c r="H29" i="520"/>
  <c r="H30" i="520"/>
  <c r="H31" i="520"/>
  <c r="H34" i="520"/>
  <c r="H35" i="520"/>
  <c r="H36" i="520"/>
  <c r="H37" i="520"/>
  <c r="H38" i="520"/>
  <c r="H39" i="520"/>
  <c r="H42" i="520"/>
  <c r="H43" i="520"/>
  <c r="H44" i="520"/>
  <c r="D26" i="519"/>
  <c r="D34" i="519"/>
  <c r="D42" i="519"/>
  <c r="C45" i="519"/>
  <c r="C44" i="519"/>
  <c r="C43" i="519"/>
  <c r="C42" i="519"/>
  <c r="C39" i="519"/>
  <c r="C38" i="519"/>
  <c r="C37" i="519"/>
  <c r="C36" i="519"/>
  <c r="C35" i="519"/>
  <c r="C34" i="519"/>
  <c r="C31" i="519"/>
  <c r="C30" i="519"/>
  <c r="C29" i="519"/>
  <c r="C28" i="519"/>
  <c r="C27" i="519"/>
  <c r="C26" i="519"/>
  <c r="D24" i="519"/>
  <c r="C23" i="519"/>
  <c r="C22" i="519"/>
  <c r="C21" i="519"/>
  <c r="D19" i="519"/>
  <c r="E17" i="519" s="1"/>
  <c r="C18" i="519"/>
  <c r="C17" i="519"/>
  <c r="C16" i="519"/>
  <c r="C15" i="519"/>
  <c r="C14" i="519"/>
  <c r="C13" i="519"/>
  <c r="C12" i="519"/>
  <c r="C11" i="519"/>
  <c r="C10" i="519"/>
  <c r="C7" i="519"/>
  <c r="G4" i="519"/>
  <c r="E4" i="519"/>
  <c r="E32" i="520" l="1"/>
  <c r="E46" i="520"/>
  <c r="A52" i="520" s="1"/>
  <c r="E40" i="520"/>
  <c r="I19" i="527"/>
  <c r="F19" i="527" s="1"/>
  <c r="G19" i="527" s="1"/>
  <c r="I32" i="527"/>
  <c r="F32" i="527" s="1"/>
  <c r="G32" i="527" s="1"/>
  <c r="F48" i="530"/>
  <c r="F48" i="531"/>
  <c r="I40" i="527"/>
  <c r="F40" i="527" s="1"/>
  <c r="G40" i="527" s="1"/>
  <c r="E10" i="519"/>
  <c r="E12" i="519"/>
  <c r="E14" i="519"/>
  <c r="E16" i="519"/>
  <c r="E18" i="519"/>
  <c r="I46" i="527"/>
  <c r="F46" i="527" s="1"/>
  <c r="G46" i="527" s="1"/>
  <c r="E11" i="519"/>
  <c r="E13" i="519"/>
  <c r="E15" i="519"/>
  <c r="I19" i="526"/>
  <c r="F19" i="526" s="1"/>
  <c r="G19" i="526" s="1"/>
  <c r="I32" i="526"/>
  <c r="F32" i="526" s="1"/>
  <c r="G32" i="526" s="1"/>
  <c r="I40" i="526"/>
  <c r="F40" i="526" s="1"/>
  <c r="G40" i="526" s="1"/>
  <c r="I46" i="526"/>
  <c r="F46" i="526" s="1"/>
  <c r="G46" i="526" s="1"/>
  <c r="A54" i="532"/>
  <c r="I51" i="532"/>
  <c r="F50" i="532"/>
  <c r="G6" i="532"/>
  <c r="G5" i="532"/>
  <c r="A54" i="531"/>
  <c r="I51" i="531"/>
  <c r="F50" i="531"/>
  <c r="G6" i="531"/>
  <c r="G5" i="531"/>
  <c r="A54" i="530"/>
  <c r="I51" i="530"/>
  <c r="F50" i="530"/>
  <c r="G6" i="530"/>
  <c r="G5" i="530"/>
  <c r="I50" i="529"/>
  <c r="F48" i="529"/>
  <c r="F24" i="528"/>
  <c r="G24" i="528" s="1"/>
  <c r="I48" i="528"/>
  <c r="I24" i="527"/>
  <c r="I24" i="526"/>
  <c r="I44" i="525"/>
  <c r="G44" i="525"/>
  <c r="I43" i="525"/>
  <c r="G43" i="525"/>
  <c r="I42" i="525"/>
  <c r="G42" i="525"/>
  <c r="I39" i="525"/>
  <c r="G39" i="525"/>
  <c r="I38" i="525"/>
  <c r="G38" i="525"/>
  <c r="I37" i="525"/>
  <c r="G37" i="525"/>
  <c r="I36" i="525"/>
  <c r="G36" i="525"/>
  <c r="I35" i="525"/>
  <c r="G35" i="525"/>
  <c r="I34" i="525"/>
  <c r="G34" i="525"/>
  <c r="I31" i="525"/>
  <c r="G31" i="525"/>
  <c r="I30" i="525"/>
  <c r="G30" i="525"/>
  <c r="I29" i="525"/>
  <c r="G29" i="525"/>
  <c r="I28" i="525"/>
  <c r="G28" i="525"/>
  <c r="I27" i="525"/>
  <c r="G27" i="525"/>
  <c r="I26" i="525"/>
  <c r="G26" i="525"/>
  <c r="I23" i="525"/>
  <c r="G23" i="525"/>
  <c r="I22" i="525"/>
  <c r="G22" i="525"/>
  <c r="I21" i="525"/>
  <c r="G21" i="525"/>
  <c r="I18" i="525"/>
  <c r="G18" i="525"/>
  <c r="I17" i="525"/>
  <c r="G17" i="525"/>
  <c r="I16" i="525"/>
  <c r="G16" i="525"/>
  <c r="I15" i="525"/>
  <c r="G15" i="525"/>
  <c r="I14" i="525"/>
  <c r="G14" i="525"/>
  <c r="I13" i="525"/>
  <c r="G13" i="525"/>
  <c r="I12" i="525"/>
  <c r="G12" i="525"/>
  <c r="I11" i="525"/>
  <c r="G11" i="525"/>
  <c r="I10" i="525"/>
  <c r="G10" i="525"/>
  <c r="I44" i="524"/>
  <c r="G44" i="524"/>
  <c r="I43" i="524"/>
  <c r="G43" i="524"/>
  <c r="I42" i="524"/>
  <c r="G42" i="524"/>
  <c r="I39" i="524"/>
  <c r="G39" i="524"/>
  <c r="I38" i="524"/>
  <c r="G38" i="524"/>
  <c r="I37" i="524"/>
  <c r="G37" i="524"/>
  <c r="I36" i="524"/>
  <c r="G36" i="524"/>
  <c r="I35" i="524"/>
  <c r="G35" i="524"/>
  <c r="I34" i="524"/>
  <c r="G34" i="524"/>
  <c r="I31" i="524"/>
  <c r="G31" i="524"/>
  <c r="I30" i="524"/>
  <c r="G30" i="524"/>
  <c r="I29" i="524"/>
  <c r="G29" i="524"/>
  <c r="I28" i="524"/>
  <c r="G28" i="524"/>
  <c r="I27" i="524"/>
  <c r="G27" i="524"/>
  <c r="I26" i="524"/>
  <c r="G26" i="524"/>
  <c r="I23" i="524"/>
  <c r="G23" i="524"/>
  <c r="I22" i="524"/>
  <c r="G22" i="524"/>
  <c r="I21" i="524"/>
  <c r="G21" i="524"/>
  <c r="I18" i="524"/>
  <c r="G18" i="524"/>
  <c r="I17" i="524"/>
  <c r="G17" i="524"/>
  <c r="I16" i="524"/>
  <c r="G16" i="524"/>
  <c r="I15" i="524"/>
  <c r="G15" i="524"/>
  <c r="I14" i="524"/>
  <c r="G14" i="524"/>
  <c r="I13" i="524"/>
  <c r="G13" i="524"/>
  <c r="I12" i="524"/>
  <c r="G12" i="524"/>
  <c r="I11" i="524"/>
  <c r="G11" i="524"/>
  <c r="I10" i="524"/>
  <c r="G10" i="524"/>
  <c r="E48" i="523"/>
  <c r="F10" i="523"/>
  <c r="F11" i="523"/>
  <c r="F12" i="523"/>
  <c r="F13" i="523"/>
  <c r="F14" i="523"/>
  <c r="F15" i="523"/>
  <c r="F16" i="523"/>
  <c r="F17" i="523"/>
  <c r="F18" i="523"/>
  <c r="F21" i="523"/>
  <c r="F22" i="523"/>
  <c r="F23" i="523"/>
  <c r="F26" i="523"/>
  <c r="F27" i="523"/>
  <c r="F28" i="523"/>
  <c r="F29" i="523"/>
  <c r="F30" i="523"/>
  <c r="F31" i="523"/>
  <c r="F34" i="523"/>
  <c r="F35" i="523"/>
  <c r="F36" i="523"/>
  <c r="F37" i="523"/>
  <c r="F38" i="523"/>
  <c r="F39" i="523"/>
  <c r="F42" i="523"/>
  <c r="F43" i="523"/>
  <c r="F44" i="523"/>
  <c r="F45" i="523"/>
  <c r="G45" i="523" s="1"/>
  <c r="C24" i="522"/>
  <c r="C48" i="522" s="1"/>
  <c r="H48" i="522"/>
  <c r="H50" i="522" s="1"/>
  <c r="E6" i="522" s="1"/>
  <c r="E45" i="522"/>
  <c r="E44" i="522"/>
  <c r="E43" i="522"/>
  <c r="E39" i="522"/>
  <c r="E38" i="522"/>
  <c r="E37" i="522"/>
  <c r="E36" i="522"/>
  <c r="E35" i="522"/>
  <c r="E31" i="522"/>
  <c r="E30" i="522"/>
  <c r="E29" i="522"/>
  <c r="E28" i="522"/>
  <c r="E27" i="522"/>
  <c r="E26" i="522"/>
  <c r="E23" i="522"/>
  <c r="E22" i="522"/>
  <c r="E21" i="522"/>
  <c r="E24" i="522"/>
  <c r="E32" i="522"/>
  <c r="E34" i="522"/>
  <c r="E42" i="522"/>
  <c r="E46" i="522"/>
  <c r="A52" i="522" s="1"/>
  <c r="E40" i="522"/>
  <c r="J50" i="522"/>
  <c r="E50" i="522"/>
  <c r="C24" i="521"/>
  <c r="C48" i="521" s="1"/>
  <c r="H48" i="521"/>
  <c r="H50" i="521" s="1"/>
  <c r="E6" i="521" s="1"/>
  <c r="E45" i="521"/>
  <c r="E44" i="521"/>
  <c r="E43" i="521"/>
  <c r="E39" i="521"/>
  <c r="E38" i="521"/>
  <c r="E37" i="521"/>
  <c r="E36" i="521"/>
  <c r="E35" i="521"/>
  <c r="E31" i="521"/>
  <c r="E30" i="521"/>
  <c r="E29" i="521"/>
  <c r="E28" i="521"/>
  <c r="E27" i="521"/>
  <c r="E23" i="521"/>
  <c r="E22" i="521"/>
  <c r="E21" i="521"/>
  <c r="E24" i="521"/>
  <c r="E26" i="521"/>
  <c r="E34" i="521"/>
  <c r="E42" i="521"/>
  <c r="E46" i="521"/>
  <c r="A52" i="521" s="1"/>
  <c r="E40" i="521"/>
  <c r="E32" i="521"/>
  <c r="J50" i="521"/>
  <c r="E50" i="521"/>
  <c r="H46" i="520"/>
  <c r="C46" i="520" s="1"/>
  <c r="H40" i="520"/>
  <c r="C40" i="520" s="1"/>
  <c r="H32" i="520"/>
  <c r="C32" i="520" s="1"/>
  <c r="E45" i="520"/>
  <c r="E44" i="520"/>
  <c r="E43" i="520"/>
  <c r="E42" i="520"/>
  <c r="E39" i="520"/>
  <c r="E38" i="520"/>
  <c r="E37" i="520"/>
  <c r="E36" i="520"/>
  <c r="E35" i="520"/>
  <c r="E34" i="520"/>
  <c r="E31" i="520"/>
  <c r="E30" i="520"/>
  <c r="E29" i="520"/>
  <c r="E28" i="520"/>
  <c r="E27" i="520"/>
  <c r="E26" i="520"/>
  <c r="E23" i="520"/>
  <c r="E22" i="520"/>
  <c r="E21" i="520"/>
  <c r="H24" i="520"/>
  <c r="J50" i="520"/>
  <c r="E50" i="520"/>
  <c r="H19" i="520"/>
  <c r="C19" i="520" s="1"/>
  <c r="H10" i="519"/>
  <c r="H11" i="519"/>
  <c r="H12" i="519"/>
  <c r="H13" i="519"/>
  <c r="H14" i="519"/>
  <c r="H15" i="519"/>
  <c r="H16" i="519"/>
  <c r="H17" i="519"/>
  <c r="H18" i="519"/>
  <c r="E19" i="519"/>
  <c r="H21" i="519"/>
  <c r="H22" i="519"/>
  <c r="H23" i="519"/>
  <c r="H26" i="519"/>
  <c r="D32" i="519"/>
  <c r="H27" i="519"/>
  <c r="H28" i="519"/>
  <c r="H29" i="519"/>
  <c r="H30" i="519"/>
  <c r="H31" i="519"/>
  <c r="H34" i="519"/>
  <c r="D40" i="519"/>
  <c r="H35" i="519"/>
  <c r="H36" i="519"/>
  <c r="H37" i="519"/>
  <c r="H38" i="519"/>
  <c r="H39" i="519"/>
  <c r="H42" i="519"/>
  <c r="D46" i="519"/>
  <c r="H43" i="519"/>
  <c r="H44" i="519"/>
  <c r="D26" i="518"/>
  <c r="D42" i="518"/>
  <c r="I19" i="525" l="1"/>
  <c r="F19" i="525" s="1"/>
  <c r="G19" i="525" s="1"/>
  <c r="I32" i="525"/>
  <c r="F32" i="525" s="1"/>
  <c r="G32" i="525" s="1"/>
  <c r="I40" i="525"/>
  <c r="F40" i="525" s="1"/>
  <c r="G40" i="525" s="1"/>
  <c r="I46" i="525"/>
  <c r="F46" i="525" s="1"/>
  <c r="G46" i="525" s="1"/>
  <c r="I19" i="524"/>
  <c r="F19" i="524" s="1"/>
  <c r="G19" i="524" s="1"/>
  <c r="I32" i="524"/>
  <c r="F32" i="524" s="1"/>
  <c r="G32" i="524" s="1"/>
  <c r="I40" i="524"/>
  <c r="F40" i="524" s="1"/>
  <c r="G40" i="524" s="1"/>
  <c r="I46" i="524"/>
  <c r="F46" i="524" s="1"/>
  <c r="G46" i="524" s="1"/>
  <c r="E48" i="520"/>
  <c r="A54" i="529"/>
  <c r="I51" i="529"/>
  <c r="F50" i="529"/>
  <c r="G6" i="529"/>
  <c r="G5" i="529"/>
  <c r="I50" i="528"/>
  <c r="F48" i="528"/>
  <c r="F24" i="527"/>
  <c r="G24" i="527" s="1"/>
  <c r="I48" i="527"/>
  <c r="F24" i="526"/>
  <c r="G24" i="526" s="1"/>
  <c r="I48" i="526"/>
  <c r="I24" i="525"/>
  <c r="I24" i="524"/>
  <c r="I44" i="523"/>
  <c r="G44" i="523"/>
  <c r="I43" i="523"/>
  <c r="G43" i="523"/>
  <c r="I42" i="523"/>
  <c r="G42" i="523"/>
  <c r="I39" i="523"/>
  <c r="G39" i="523"/>
  <c r="I38" i="523"/>
  <c r="G38" i="523"/>
  <c r="I37" i="523"/>
  <c r="G37" i="523"/>
  <c r="I36" i="523"/>
  <c r="G36" i="523"/>
  <c r="I35" i="523"/>
  <c r="G35" i="523"/>
  <c r="I34" i="523"/>
  <c r="G34" i="523"/>
  <c r="I31" i="523"/>
  <c r="G31" i="523"/>
  <c r="I30" i="523"/>
  <c r="G30" i="523"/>
  <c r="I29" i="523"/>
  <c r="G29" i="523"/>
  <c r="I28" i="523"/>
  <c r="G28" i="523"/>
  <c r="I27" i="523"/>
  <c r="G27" i="523"/>
  <c r="I26" i="523"/>
  <c r="G26" i="523"/>
  <c r="I23" i="523"/>
  <c r="G23" i="523"/>
  <c r="I22" i="523"/>
  <c r="G22" i="523"/>
  <c r="I21" i="523"/>
  <c r="G21" i="523"/>
  <c r="I18" i="523"/>
  <c r="G18" i="523"/>
  <c r="I17" i="523"/>
  <c r="G17" i="523"/>
  <c r="I16" i="523"/>
  <c r="G16" i="523"/>
  <c r="I15" i="523"/>
  <c r="G15" i="523"/>
  <c r="I14" i="523"/>
  <c r="G14" i="523"/>
  <c r="I13" i="523"/>
  <c r="G13" i="523"/>
  <c r="I12" i="523"/>
  <c r="G12" i="523"/>
  <c r="I11" i="523"/>
  <c r="G11" i="523"/>
  <c r="I10" i="523"/>
  <c r="G10" i="523"/>
  <c r="E48" i="522"/>
  <c r="F10" i="522"/>
  <c r="F11" i="522"/>
  <c r="F12" i="522"/>
  <c r="F13" i="522"/>
  <c r="F14" i="522"/>
  <c r="F15" i="522"/>
  <c r="F16" i="522"/>
  <c r="F17" i="522"/>
  <c r="F18" i="522"/>
  <c r="F21" i="522"/>
  <c r="F22" i="522"/>
  <c r="F23" i="522"/>
  <c r="F26" i="522"/>
  <c r="F27" i="522"/>
  <c r="F28" i="522"/>
  <c r="F29" i="522"/>
  <c r="F30" i="522"/>
  <c r="F31" i="522"/>
  <c r="F34" i="522"/>
  <c r="F35" i="522"/>
  <c r="F36" i="522"/>
  <c r="F37" i="522"/>
  <c r="F38" i="522"/>
  <c r="F39" i="522"/>
  <c r="F42" i="522"/>
  <c r="F43" i="522"/>
  <c r="F44" i="522"/>
  <c r="F45" i="522"/>
  <c r="G45" i="522" s="1"/>
  <c r="E48" i="521"/>
  <c r="F10" i="521"/>
  <c r="F11" i="521"/>
  <c r="F12" i="521"/>
  <c r="F13" i="521"/>
  <c r="F14" i="521"/>
  <c r="F15" i="521"/>
  <c r="F16" i="521"/>
  <c r="F17" i="521"/>
  <c r="F18" i="521"/>
  <c r="F21" i="521"/>
  <c r="F22" i="521"/>
  <c r="F23" i="521"/>
  <c r="F26" i="521"/>
  <c r="F27" i="521"/>
  <c r="F28" i="521"/>
  <c r="F29" i="521"/>
  <c r="F30" i="521"/>
  <c r="F31" i="521"/>
  <c r="F34" i="521"/>
  <c r="F35" i="521"/>
  <c r="F36" i="521"/>
  <c r="F37" i="521"/>
  <c r="F38" i="521"/>
  <c r="F39" i="521"/>
  <c r="F42" i="521"/>
  <c r="F43" i="521"/>
  <c r="F44" i="521"/>
  <c r="F45" i="521"/>
  <c r="G45" i="521" s="1"/>
  <c r="C24" i="520"/>
  <c r="C48" i="520" s="1"/>
  <c r="H48" i="520"/>
  <c r="H50" i="520" s="1"/>
  <c r="E6" i="520" s="1"/>
  <c r="H46" i="519"/>
  <c r="C46" i="519" s="1"/>
  <c r="H40" i="519"/>
  <c r="C40" i="519" s="1"/>
  <c r="D50" i="519"/>
  <c r="D48" i="519"/>
  <c r="H32" i="519"/>
  <c r="C32" i="519" s="1"/>
  <c r="H24" i="519"/>
  <c r="H19" i="519"/>
  <c r="C19" i="519" s="1"/>
  <c r="D34" i="518"/>
  <c r="D40" i="518" s="1"/>
  <c r="D28" i="518"/>
  <c r="E4" i="518"/>
  <c r="G4" i="518"/>
  <c r="C7" i="518"/>
  <c r="C10" i="518"/>
  <c r="H10" i="518"/>
  <c r="C11" i="518"/>
  <c r="H11" i="518"/>
  <c r="C12" i="518"/>
  <c r="H12" i="518" s="1"/>
  <c r="C13" i="518"/>
  <c r="H13" i="518"/>
  <c r="C14" i="518"/>
  <c r="H14" i="518" s="1"/>
  <c r="C15" i="518"/>
  <c r="H15" i="518"/>
  <c r="C16" i="518"/>
  <c r="H16" i="518" s="1"/>
  <c r="C17" i="518"/>
  <c r="H17" i="518" s="1"/>
  <c r="C18" i="518"/>
  <c r="H18" i="518" s="1"/>
  <c r="D19" i="518"/>
  <c r="E19" i="518" s="1"/>
  <c r="C21" i="518"/>
  <c r="H21" i="518" s="1"/>
  <c r="C22" i="518"/>
  <c r="H22" i="518" s="1"/>
  <c r="C23" i="518"/>
  <c r="H23" i="518" s="1"/>
  <c r="D24" i="518"/>
  <c r="C26" i="518"/>
  <c r="H26" i="518" s="1"/>
  <c r="C27" i="518"/>
  <c r="H27" i="518" s="1"/>
  <c r="C28" i="518"/>
  <c r="H28" i="518" s="1"/>
  <c r="C29" i="518"/>
  <c r="H29" i="518" s="1"/>
  <c r="C30" i="518"/>
  <c r="H30" i="518" s="1"/>
  <c r="C31" i="518"/>
  <c r="H31" i="518" s="1"/>
  <c r="D32" i="518"/>
  <c r="C34" i="518"/>
  <c r="C35" i="518"/>
  <c r="H35" i="518" s="1"/>
  <c r="C36" i="518"/>
  <c r="H36" i="518" s="1"/>
  <c r="C37" i="518"/>
  <c r="H37" i="518" s="1"/>
  <c r="C38" i="518"/>
  <c r="H38" i="518" s="1"/>
  <c r="C39" i="518"/>
  <c r="H39" i="518" s="1"/>
  <c r="C42" i="518"/>
  <c r="H42" i="518" s="1"/>
  <c r="C43" i="518"/>
  <c r="H43" i="518" s="1"/>
  <c r="C44" i="518"/>
  <c r="H44" i="518" s="1"/>
  <c r="C45" i="518"/>
  <c r="D46" i="518"/>
  <c r="H34" i="518" l="1"/>
  <c r="I19" i="523"/>
  <c r="F19" i="523" s="1"/>
  <c r="G19" i="523" s="1"/>
  <c r="I32" i="523"/>
  <c r="F32" i="523" s="1"/>
  <c r="G32" i="523" s="1"/>
  <c r="I40" i="523"/>
  <c r="F40" i="523" s="1"/>
  <c r="G40" i="523" s="1"/>
  <c r="I46" i="523"/>
  <c r="F46" i="523" s="1"/>
  <c r="G46" i="523" s="1"/>
  <c r="H19" i="518"/>
  <c r="C19" i="518" s="1"/>
  <c r="H32" i="518"/>
  <c r="C32" i="518" s="1"/>
  <c r="H24" i="518"/>
  <c r="C24" i="518" s="1"/>
  <c r="C48" i="518" s="1"/>
  <c r="H40" i="518"/>
  <c r="C40" i="518" s="1"/>
  <c r="H46" i="518"/>
  <c r="C46" i="518" s="1"/>
  <c r="D28" i="578"/>
  <c r="A54" i="528"/>
  <c r="I51" i="528"/>
  <c r="F50" i="528"/>
  <c r="G6" i="528"/>
  <c r="G5" i="528"/>
  <c r="I50" i="527"/>
  <c r="F48" i="527"/>
  <c r="I50" i="526"/>
  <c r="F48" i="526"/>
  <c r="F24" i="525"/>
  <c r="G24" i="525" s="1"/>
  <c r="I48" i="525"/>
  <c r="F24" i="524"/>
  <c r="G24" i="524" s="1"/>
  <c r="I48" i="524"/>
  <c r="I24" i="523"/>
  <c r="I44" i="522"/>
  <c r="G44" i="522"/>
  <c r="I43" i="522"/>
  <c r="G43" i="522"/>
  <c r="I42" i="522"/>
  <c r="G42" i="522"/>
  <c r="I39" i="522"/>
  <c r="G39" i="522"/>
  <c r="I38" i="522"/>
  <c r="G38" i="522"/>
  <c r="I37" i="522"/>
  <c r="G37" i="522"/>
  <c r="I36" i="522"/>
  <c r="G36" i="522"/>
  <c r="I35" i="522"/>
  <c r="G35" i="522"/>
  <c r="I34" i="522"/>
  <c r="G34" i="522"/>
  <c r="I31" i="522"/>
  <c r="G31" i="522"/>
  <c r="I30" i="522"/>
  <c r="G30" i="522"/>
  <c r="I29" i="522"/>
  <c r="G29" i="522"/>
  <c r="I28" i="522"/>
  <c r="G28" i="522"/>
  <c r="I27" i="522"/>
  <c r="G27" i="522"/>
  <c r="I26" i="522"/>
  <c r="G26" i="522"/>
  <c r="I23" i="522"/>
  <c r="G23" i="522"/>
  <c r="I22" i="522"/>
  <c r="G22" i="522"/>
  <c r="I21" i="522"/>
  <c r="G21" i="522"/>
  <c r="I18" i="522"/>
  <c r="G18" i="522"/>
  <c r="I17" i="522"/>
  <c r="G17" i="522"/>
  <c r="I16" i="522"/>
  <c r="G16" i="522"/>
  <c r="I15" i="522"/>
  <c r="G15" i="522"/>
  <c r="I14" i="522"/>
  <c r="G14" i="522"/>
  <c r="I13" i="522"/>
  <c r="G13" i="522"/>
  <c r="I12" i="522"/>
  <c r="G12" i="522"/>
  <c r="I11" i="522"/>
  <c r="G11" i="522"/>
  <c r="I10" i="522"/>
  <c r="G10" i="522"/>
  <c r="I44" i="521"/>
  <c r="G44" i="521"/>
  <c r="I43" i="521"/>
  <c r="G43" i="521"/>
  <c r="I42" i="521"/>
  <c r="G42" i="521"/>
  <c r="I39" i="521"/>
  <c r="G39" i="521"/>
  <c r="I38" i="521"/>
  <c r="G38" i="521"/>
  <c r="I37" i="521"/>
  <c r="G37" i="521"/>
  <c r="I36" i="521"/>
  <c r="G36" i="521"/>
  <c r="I35" i="521"/>
  <c r="G35" i="521"/>
  <c r="I34" i="521"/>
  <c r="G34" i="521"/>
  <c r="I31" i="521"/>
  <c r="G31" i="521"/>
  <c r="I30" i="521"/>
  <c r="G30" i="521"/>
  <c r="I29" i="521"/>
  <c r="G29" i="521"/>
  <c r="I28" i="521"/>
  <c r="G28" i="521"/>
  <c r="I27" i="521"/>
  <c r="G27" i="521"/>
  <c r="I26" i="521"/>
  <c r="G26" i="521"/>
  <c r="I23" i="521"/>
  <c r="G23" i="521"/>
  <c r="I22" i="521"/>
  <c r="G22" i="521"/>
  <c r="I21" i="521"/>
  <c r="G21" i="521"/>
  <c r="I18" i="521"/>
  <c r="G18" i="521"/>
  <c r="I17" i="521"/>
  <c r="G17" i="521"/>
  <c r="I16" i="521"/>
  <c r="G16" i="521"/>
  <c r="I15" i="521"/>
  <c r="G15" i="521"/>
  <c r="I14" i="521"/>
  <c r="G14" i="521"/>
  <c r="I13" i="521"/>
  <c r="G13" i="521"/>
  <c r="I12" i="521"/>
  <c r="G12" i="521"/>
  <c r="I11" i="521"/>
  <c r="G11" i="521"/>
  <c r="I10" i="521"/>
  <c r="G10" i="521"/>
  <c r="F10" i="520"/>
  <c r="F11" i="520"/>
  <c r="F12" i="520"/>
  <c r="F13" i="520"/>
  <c r="F14" i="520"/>
  <c r="F15" i="520"/>
  <c r="F16" i="520"/>
  <c r="F17" i="520"/>
  <c r="F18" i="520"/>
  <c r="F21" i="520"/>
  <c r="F22" i="520"/>
  <c r="F23" i="520"/>
  <c r="F26" i="520"/>
  <c r="F27" i="520"/>
  <c r="F28" i="520"/>
  <c r="F29" i="520"/>
  <c r="F30" i="520"/>
  <c r="F31" i="520"/>
  <c r="F34" i="520"/>
  <c r="F35" i="520"/>
  <c r="F36" i="520"/>
  <c r="F37" i="520"/>
  <c r="F38" i="520"/>
  <c r="F39" i="520"/>
  <c r="F42" i="520"/>
  <c r="F43" i="520"/>
  <c r="F44" i="520"/>
  <c r="F45" i="520"/>
  <c r="G45" i="520" s="1"/>
  <c r="C24" i="519"/>
  <c r="C48" i="519" s="1"/>
  <c r="H48" i="519"/>
  <c r="H50" i="519" s="1"/>
  <c r="E6" i="519" s="1"/>
  <c r="E45" i="519"/>
  <c r="E44" i="519"/>
  <c r="E43" i="519"/>
  <c r="E39" i="519"/>
  <c r="E38" i="519"/>
  <c r="E37" i="519"/>
  <c r="E36" i="519"/>
  <c r="E35" i="519"/>
  <c r="E31" i="519"/>
  <c r="E30" i="519"/>
  <c r="E29" i="519"/>
  <c r="E28" i="519"/>
  <c r="E27" i="519"/>
  <c r="E23" i="519"/>
  <c r="E22" i="519"/>
  <c r="E21" i="519"/>
  <c r="E24" i="519"/>
  <c r="E26" i="519"/>
  <c r="E34" i="519"/>
  <c r="E42" i="519"/>
  <c r="E46" i="519"/>
  <c r="A52" i="519" s="1"/>
  <c r="E40" i="519"/>
  <c r="E32" i="519"/>
  <c r="J50" i="519"/>
  <c r="E50" i="519"/>
  <c r="D48" i="518"/>
  <c r="D50" i="518"/>
  <c r="E10" i="518"/>
  <c r="E11" i="518"/>
  <c r="E12" i="518"/>
  <c r="E13" i="518"/>
  <c r="E14" i="518"/>
  <c r="E15" i="518"/>
  <c r="E16" i="518"/>
  <c r="E17" i="518"/>
  <c r="E18" i="518"/>
  <c r="D46" i="517"/>
  <c r="C45" i="517"/>
  <c r="C44" i="517"/>
  <c r="C43" i="517"/>
  <c r="C42" i="517"/>
  <c r="D40" i="517"/>
  <c r="C39" i="517"/>
  <c r="C38" i="517"/>
  <c r="C37" i="517"/>
  <c r="C36" i="517"/>
  <c r="C35" i="517"/>
  <c r="C34" i="517"/>
  <c r="D32" i="517"/>
  <c r="C31" i="517"/>
  <c r="C30" i="517"/>
  <c r="C29" i="517"/>
  <c r="C28" i="517"/>
  <c r="C27" i="517"/>
  <c r="C26" i="517"/>
  <c r="D24" i="517"/>
  <c r="C23" i="517"/>
  <c r="C22" i="517"/>
  <c r="C21" i="517"/>
  <c r="D19" i="517"/>
  <c r="E17" i="517" s="1"/>
  <c r="C18" i="517"/>
  <c r="C17" i="517"/>
  <c r="C16" i="517"/>
  <c r="C15" i="517"/>
  <c r="C14" i="517"/>
  <c r="C13" i="517"/>
  <c r="C12" i="517"/>
  <c r="C11" i="517"/>
  <c r="C10" i="517"/>
  <c r="C7" i="517"/>
  <c r="G4" i="517"/>
  <c r="E4" i="517"/>
  <c r="D34" i="516"/>
  <c r="D26" i="516"/>
  <c r="D42" i="516"/>
  <c r="C45" i="516"/>
  <c r="C44" i="516"/>
  <c r="C43" i="516"/>
  <c r="C42" i="516"/>
  <c r="C39" i="516"/>
  <c r="C38" i="516"/>
  <c r="C37" i="516"/>
  <c r="C36" i="516"/>
  <c r="C35" i="516"/>
  <c r="C34" i="516"/>
  <c r="C31" i="516"/>
  <c r="C30" i="516"/>
  <c r="C29" i="516"/>
  <c r="C28" i="516"/>
  <c r="C27" i="516"/>
  <c r="C26" i="516"/>
  <c r="D24" i="516"/>
  <c r="C23" i="516"/>
  <c r="C22" i="516"/>
  <c r="C21" i="516"/>
  <c r="D19" i="516"/>
  <c r="E17" i="516" s="1"/>
  <c r="C18" i="516"/>
  <c r="C17" i="516"/>
  <c r="C16" i="516"/>
  <c r="C15" i="516"/>
  <c r="C14" i="516"/>
  <c r="C13" i="516"/>
  <c r="C12" i="516"/>
  <c r="C11" i="516"/>
  <c r="C10" i="516"/>
  <c r="C7" i="516"/>
  <c r="G4" i="516"/>
  <c r="E4" i="516"/>
  <c r="H48" i="518" l="1"/>
  <c r="H50" i="518" s="1"/>
  <c r="E6" i="518" s="1"/>
  <c r="E12" i="517"/>
  <c r="E10" i="516"/>
  <c r="E12" i="516"/>
  <c r="E14" i="516"/>
  <c r="E16" i="516"/>
  <c r="E18" i="516"/>
  <c r="E16" i="517"/>
  <c r="E11" i="516"/>
  <c r="E13" i="516"/>
  <c r="E15" i="516"/>
  <c r="E14" i="517"/>
  <c r="E10" i="517"/>
  <c r="E18" i="517"/>
  <c r="I19" i="522"/>
  <c r="F19" i="522" s="1"/>
  <c r="G19" i="522" s="1"/>
  <c r="I32" i="522"/>
  <c r="F32" i="522" s="1"/>
  <c r="G32" i="522" s="1"/>
  <c r="I40" i="522"/>
  <c r="F40" i="522" s="1"/>
  <c r="G40" i="522" s="1"/>
  <c r="I46" i="522"/>
  <c r="F46" i="522" s="1"/>
  <c r="G46" i="522" s="1"/>
  <c r="E11" i="517"/>
  <c r="E13" i="517"/>
  <c r="E15" i="517"/>
  <c r="I19" i="521"/>
  <c r="F19" i="521" s="1"/>
  <c r="G19" i="521" s="1"/>
  <c r="I32" i="521"/>
  <c r="F32" i="521" s="1"/>
  <c r="G32" i="521" s="1"/>
  <c r="I40" i="521"/>
  <c r="F40" i="521" s="1"/>
  <c r="G40" i="521" s="1"/>
  <c r="I46" i="521"/>
  <c r="F46" i="521" s="1"/>
  <c r="G46" i="521" s="1"/>
  <c r="H28" i="578"/>
  <c r="A54" i="527"/>
  <c r="I51" i="527"/>
  <c r="F50" i="527"/>
  <c r="G6" i="527"/>
  <c r="G5" i="527"/>
  <c r="A54" i="526"/>
  <c r="I51" i="526"/>
  <c r="F50" i="526"/>
  <c r="G6" i="526"/>
  <c r="G5" i="526"/>
  <c r="I50" i="525"/>
  <c r="F48" i="525"/>
  <c r="I50" i="524"/>
  <c r="F48" i="524"/>
  <c r="F24" i="523"/>
  <c r="G24" i="523" s="1"/>
  <c r="I48" i="523"/>
  <c r="I24" i="522"/>
  <c r="I24" i="521"/>
  <c r="I44" i="520"/>
  <c r="G44" i="520"/>
  <c r="I43" i="520"/>
  <c r="G43" i="520"/>
  <c r="I42" i="520"/>
  <c r="G42" i="520"/>
  <c r="I39" i="520"/>
  <c r="G39" i="520"/>
  <c r="I38" i="520"/>
  <c r="G38" i="520"/>
  <c r="I37" i="520"/>
  <c r="G37" i="520"/>
  <c r="I36" i="520"/>
  <c r="G36" i="520"/>
  <c r="I35" i="520"/>
  <c r="G35" i="520"/>
  <c r="I34" i="520"/>
  <c r="G34" i="520"/>
  <c r="I31" i="520"/>
  <c r="G31" i="520"/>
  <c r="I30" i="520"/>
  <c r="G30" i="520"/>
  <c r="I29" i="520"/>
  <c r="G29" i="520"/>
  <c r="I28" i="520"/>
  <c r="G28" i="520"/>
  <c r="I27" i="520"/>
  <c r="G27" i="520"/>
  <c r="I26" i="520"/>
  <c r="G26" i="520"/>
  <c r="I23" i="520"/>
  <c r="G23" i="520"/>
  <c r="I22" i="520"/>
  <c r="G22" i="520"/>
  <c r="I21" i="520"/>
  <c r="G21" i="520"/>
  <c r="I18" i="520"/>
  <c r="G18" i="520"/>
  <c r="I17" i="520"/>
  <c r="G17" i="520"/>
  <c r="I16" i="520"/>
  <c r="G16" i="520"/>
  <c r="I15" i="520"/>
  <c r="G15" i="520"/>
  <c r="I14" i="520"/>
  <c r="G14" i="520"/>
  <c r="I13" i="520"/>
  <c r="G13" i="520"/>
  <c r="I12" i="520"/>
  <c r="G12" i="520"/>
  <c r="I11" i="520"/>
  <c r="G11" i="520"/>
  <c r="I10" i="520"/>
  <c r="G10" i="520"/>
  <c r="E48" i="519"/>
  <c r="F10" i="519"/>
  <c r="F11" i="519"/>
  <c r="F12" i="519"/>
  <c r="F13" i="519"/>
  <c r="F14" i="519"/>
  <c r="F15" i="519"/>
  <c r="F16" i="519"/>
  <c r="F17" i="519"/>
  <c r="F18" i="519"/>
  <c r="F21" i="519"/>
  <c r="F22" i="519"/>
  <c r="F23" i="519"/>
  <c r="F26" i="519"/>
  <c r="F27" i="519"/>
  <c r="F28" i="519"/>
  <c r="F29" i="519"/>
  <c r="F30" i="519"/>
  <c r="F31" i="519"/>
  <c r="F34" i="519"/>
  <c r="F35" i="519"/>
  <c r="F36" i="519"/>
  <c r="F37" i="519"/>
  <c r="F38" i="519"/>
  <c r="F39" i="519"/>
  <c r="F42" i="519"/>
  <c r="F43" i="519"/>
  <c r="F44" i="519"/>
  <c r="F45" i="519"/>
  <c r="G45" i="519" s="1"/>
  <c r="E50" i="518"/>
  <c r="J50" i="518"/>
  <c r="F10" i="518"/>
  <c r="F11" i="518"/>
  <c r="F12" i="518"/>
  <c r="F13" i="518"/>
  <c r="F14" i="518"/>
  <c r="F15" i="518"/>
  <c r="F16" i="518"/>
  <c r="F17" i="518"/>
  <c r="F18" i="518"/>
  <c r="F21" i="518"/>
  <c r="F22" i="518"/>
  <c r="F23" i="518"/>
  <c r="F26" i="518"/>
  <c r="F27" i="518"/>
  <c r="F28" i="518"/>
  <c r="F29" i="518"/>
  <c r="F30" i="518"/>
  <c r="F31" i="518"/>
  <c r="F34" i="518"/>
  <c r="F35" i="518"/>
  <c r="F36" i="518"/>
  <c r="F37" i="518"/>
  <c r="F38" i="518"/>
  <c r="F39" i="518"/>
  <c r="F42" i="518"/>
  <c r="F43" i="518"/>
  <c r="F44" i="518"/>
  <c r="F45" i="518"/>
  <c r="G45" i="518" s="1"/>
  <c r="E21" i="518"/>
  <c r="E22" i="518"/>
  <c r="E23" i="518"/>
  <c r="E24" i="518"/>
  <c r="E26" i="518"/>
  <c r="E27" i="518"/>
  <c r="E28" i="518"/>
  <c r="E29" i="518"/>
  <c r="E30" i="518"/>
  <c r="E31" i="518"/>
  <c r="E32" i="518"/>
  <c r="E34" i="518"/>
  <c r="E35" i="518"/>
  <c r="E36" i="518"/>
  <c r="E37" i="518"/>
  <c r="E38" i="518"/>
  <c r="E39" i="518"/>
  <c r="E40" i="518"/>
  <c r="E42" i="518"/>
  <c r="E43" i="518"/>
  <c r="E44" i="518"/>
  <c r="E45" i="518"/>
  <c r="E46" i="518"/>
  <c r="A52" i="518" s="1"/>
  <c r="H10" i="517"/>
  <c r="H11" i="517"/>
  <c r="H12" i="517"/>
  <c r="H13" i="517"/>
  <c r="H14" i="517"/>
  <c r="H15" i="517"/>
  <c r="H16" i="517"/>
  <c r="H17" i="517"/>
  <c r="H18" i="517"/>
  <c r="D50" i="517"/>
  <c r="E19" i="517"/>
  <c r="H21" i="517"/>
  <c r="H22" i="517"/>
  <c r="H23" i="517"/>
  <c r="D48" i="517"/>
  <c r="E40" i="517" s="1"/>
  <c r="E24" i="517"/>
  <c r="H26" i="517"/>
  <c r="H27" i="517"/>
  <c r="H28" i="517"/>
  <c r="H29" i="517"/>
  <c r="H30" i="517"/>
  <c r="H31" i="517"/>
  <c r="E32" i="517"/>
  <c r="H34" i="517"/>
  <c r="H35" i="517"/>
  <c r="H36" i="517"/>
  <c r="H37" i="517"/>
  <c r="H38" i="517"/>
  <c r="H39" i="517"/>
  <c r="H42" i="517"/>
  <c r="H43" i="517"/>
  <c r="H44" i="517"/>
  <c r="H10" i="516"/>
  <c r="H11" i="516"/>
  <c r="H12" i="516"/>
  <c r="H13" i="516"/>
  <c r="H14" i="516"/>
  <c r="H15" i="516"/>
  <c r="H16" i="516"/>
  <c r="H17" i="516"/>
  <c r="H18" i="516"/>
  <c r="E19" i="516"/>
  <c r="H21" i="516"/>
  <c r="H22" i="516"/>
  <c r="H23" i="516"/>
  <c r="H26" i="516"/>
  <c r="D32" i="516"/>
  <c r="H27" i="516"/>
  <c r="H28" i="516"/>
  <c r="H29" i="516"/>
  <c r="H30" i="516"/>
  <c r="H31" i="516"/>
  <c r="H34" i="516"/>
  <c r="D40" i="516"/>
  <c r="H35" i="516"/>
  <c r="H36" i="516"/>
  <c r="H37" i="516"/>
  <c r="H38" i="516"/>
  <c r="H39" i="516"/>
  <c r="H42" i="516"/>
  <c r="D46" i="516"/>
  <c r="H43" i="516"/>
  <c r="H44" i="516"/>
  <c r="D42" i="515"/>
  <c r="D34" i="515"/>
  <c r="D26" i="515"/>
  <c r="C45" i="515"/>
  <c r="C44" i="515"/>
  <c r="C43" i="515"/>
  <c r="C42" i="515"/>
  <c r="C39" i="515"/>
  <c r="C38" i="515"/>
  <c r="C37" i="515"/>
  <c r="C36" i="515"/>
  <c r="C35" i="515"/>
  <c r="C34" i="515"/>
  <c r="C31" i="515"/>
  <c r="C30" i="515"/>
  <c r="C29" i="515"/>
  <c r="C28" i="515"/>
  <c r="C27" i="515"/>
  <c r="C26" i="515"/>
  <c r="D24" i="515"/>
  <c r="C23" i="515"/>
  <c r="C22" i="515"/>
  <c r="C21" i="515"/>
  <c r="D19" i="515"/>
  <c r="E17" i="515" s="1"/>
  <c r="C18" i="515"/>
  <c r="C17" i="515"/>
  <c r="C16" i="515"/>
  <c r="C15" i="515"/>
  <c r="C14" i="515"/>
  <c r="C13" i="515"/>
  <c r="C12" i="515"/>
  <c r="C11" i="515"/>
  <c r="C10" i="515"/>
  <c r="C7" i="515"/>
  <c r="G4" i="515"/>
  <c r="E4" i="515"/>
  <c r="D34" i="514"/>
  <c r="D40" i="514" s="1"/>
  <c r="D42" i="514"/>
  <c r="D46" i="514"/>
  <c r="C45" i="514"/>
  <c r="C44" i="514"/>
  <c r="C43" i="514"/>
  <c r="C42" i="514"/>
  <c r="C39" i="514"/>
  <c r="C38" i="514"/>
  <c r="C37" i="514"/>
  <c r="C36" i="514"/>
  <c r="C35" i="514"/>
  <c r="C34" i="514"/>
  <c r="D32" i="514"/>
  <c r="C31" i="514"/>
  <c r="C30" i="514"/>
  <c r="C29" i="514"/>
  <c r="C28" i="514"/>
  <c r="C27" i="514"/>
  <c r="C26" i="514"/>
  <c r="D24" i="514"/>
  <c r="C23" i="514"/>
  <c r="C22" i="514"/>
  <c r="C21" i="514"/>
  <c r="D19" i="514"/>
  <c r="E17" i="514" s="1"/>
  <c r="C18" i="514"/>
  <c r="C17" i="514"/>
  <c r="C16" i="514"/>
  <c r="C15" i="514"/>
  <c r="C14" i="514"/>
  <c r="C13" i="514"/>
  <c r="C12" i="514"/>
  <c r="C11" i="514"/>
  <c r="C10" i="514"/>
  <c r="C7" i="514"/>
  <c r="G4" i="514"/>
  <c r="E4" i="514"/>
  <c r="C45" i="513"/>
  <c r="C44" i="513"/>
  <c r="C43" i="513"/>
  <c r="C42" i="513"/>
  <c r="C39" i="513"/>
  <c r="C38" i="513"/>
  <c r="C37" i="513"/>
  <c r="C36" i="513"/>
  <c r="C35" i="513"/>
  <c r="C34" i="513"/>
  <c r="C31" i="513"/>
  <c r="C30" i="513"/>
  <c r="C29" i="513"/>
  <c r="C28" i="513"/>
  <c r="C27" i="513"/>
  <c r="C26" i="513"/>
  <c r="D24" i="513"/>
  <c r="C23" i="513"/>
  <c r="C22" i="513"/>
  <c r="C21" i="513"/>
  <c r="D19" i="513"/>
  <c r="E17" i="513" s="1"/>
  <c r="E18" i="513"/>
  <c r="C18" i="513"/>
  <c r="C17" i="513"/>
  <c r="C16" i="513"/>
  <c r="C15" i="513"/>
  <c r="C14" i="513"/>
  <c r="C13" i="513"/>
  <c r="C12" i="513"/>
  <c r="C11" i="513"/>
  <c r="E10" i="513"/>
  <c r="C10" i="513"/>
  <c r="C7" i="513"/>
  <c r="G4" i="513"/>
  <c r="E4" i="513"/>
  <c r="E16" i="513" l="1"/>
  <c r="E14" i="513"/>
  <c r="E46" i="517"/>
  <c r="A52" i="517" s="1"/>
  <c r="E12" i="513"/>
  <c r="E11" i="513"/>
  <c r="E13" i="513"/>
  <c r="E15" i="513"/>
  <c r="E10" i="514"/>
  <c r="E12" i="514"/>
  <c r="E14" i="514"/>
  <c r="E16" i="514"/>
  <c r="E18" i="514"/>
  <c r="E11" i="514"/>
  <c r="E13" i="514"/>
  <c r="E15" i="514"/>
  <c r="I19" i="520"/>
  <c r="F19" i="520" s="1"/>
  <c r="G19" i="520" s="1"/>
  <c r="I32" i="520"/>
  <c r="F32" i="520" s="1"/>
  <c r="G32" i="520" s="1"/>
  <c r="I40" i="520"/>
  <c r="F40" i="520" s="1"/>
  <c r="G40" i="520" s="1"/>
  <c r="I46" i="520"/>
  <c r="F46" i="520" s="1"/>
  <c r="G46" i="520" s="1"/>
  <c r="E10" i="515"/>
  <c r="E12" i="515"/>
  <c r="E14" i="515"/>
  <c r="E16" i="515"/>
  <c r="E18" i="515"/>
  <c r="D32" i="515"/>
  <c r="E11" i="515"/>
  <c r="E13" i="515"/>
  <c r="E15" i="515"/>
  <c r="A54" i="525"/>
  <c r="I51" i="525"/>
  <c r="F50" i="525"/>
  <c r="G6" i="525"/>
  <c r="G5" i="525"/>
  <c r="A54" i="524"/>
  <c r="I51" i="524"/>
  <c r="F50" i="524"/>
  <c r="G6" i="524"/>
  <c r="G5" i="524"/>
  <c r="I50" i="523"/>
  <c r="F48" i="523"/>
  <c r="F24" i="522"/>
  <c r="G24" i="522" s="1"/>
  <c r="I48" i="522"/>
  <c r="F24" i="521"/>
  <c r="G24" i="521" s="1"/>
  <c r="I48" i="521"/>
  <c r="I24" i="520"/>
  <c r="I44" i="519"/>
  <c r="G44" i="519"/>
  <c r="I43" i="519"/>
  <c r="G43" i="519"/>
  <c r="I42" i="519"/>
  <c r="G42" i="519"/>
  <c r="I39" i="519"/>
  <c r="G39" i="519"/>
  <c r="I38" i="519"/>
  <c r="G38" i="519"/>
  <c r="I37" i="519"/>
  <c r="G37" i="519"/>
  <c r="I36" i="519"/>
  <c r="G36" i="519"/>
  <c r="I35" i="519"/>
  <c r="G35" i="519"/>
  <c r="I34" i="519"/>
  <c r="G34" i="519"/>
  <c r="I31" i="519"/>
  <c r="G31" i="519"/>
  <c r="I30" i="519"/>
  <c r="G30" i="519"/>
  <c r="I29" i="519"/>
  <c r="G29" i="519"/>
  <c r="I28" i="519"/>
  <c r="G28" i="519"/>
  <c r="I27" i="519"/>
  <c r="G27" i="519"/>
  <c r="I26" i="519"/>
  <c r="G26" i="519"/>
  <c r="I23" i="519"/>
  <c r="G23" i="519"/>
  <c r="I22" i="519"/>
  <c r="G22" i="519"/>
  <c r="I21" i="519"/>
  <c r="G21" i="519"/>
  <c r="I18" i="519"/>
  <c r="G18" i="519"/>
  <c r="I17" i="519"/>
  <c r="G17" i="519"/>
  <c r="I16" i="519"/>
  <c r="G16" i="519"/>
  <c r="I15" i="519"/>
  <c r="G15" i="519"/>
  <c r="I14" i="519"/>
  <c r="G14" i="519"/>
  <c r="I13" i="519"/>
  <c r="G13" i="519"/>
  <c r="I12" i="519"/>
  <c r="G12" i="519"/>
  <c r="I11" i="519"/>
  <c r="G11" i="519"/>
  <c r="I10" i="519"/>
  <c r="G10" i="519"/>
  <c r="E48" i="518"/>
  <c r="G44" i="518"/>
  <c r="I44" i="518"/>
  <c r="G43" i="518"/>
  <c r="I43" i="518"/>
  <c r="G42" i="518"/>
  <c r="I42" i="518"/>
  <c r="G39" i="518"/>
  <c r="I39" i="518"/>
  <c r="G38" i="518"/>
  <c r="I38" i="518"/>
  <c r="G37" i="518"/>
  <c r="I37" i="518"/>
  <c r="G36" i="518"/>
  <c r="I36" i="518"/>
  <c r="G35" i="518"/>
  <c r="I35" i="518"/>
  <c r="G34" i="518"/>
  <c r="I34" i="518"/>
  <c r="G31" i="518"/>
  <c r="I31" i="518"/>
  <c r="G30" i="518"/>
  <c r="I30" i="518"/>
  <c r="G29" i="518"/>
  <c r="I29" i="518"/>
  <c r="G28" i="518"/>
  <c r="I28" i="518"/>
  <c r="G27" i="518"/>
  <c r="I27" i="518"/>
  <c r="G26" i="518"/>
  <c r="I26" i="518"/>
  <c r="G23" i="518"/>
  <c r="I23" i="518"/>
  <c r="G22" i="518"/>
  <c r="I22" i="518"/>
  <c r="G21" i="518"/>
  <c r="I21" i="518"/>
  <c r="G18" i="518"/>
  <c r="I18" i="518"/>
  <c r="G17" i="518"/>
  <c r="I17" i="518"/>
  <c r="G16" i="518"/>
  <c r="I16" i="518"/>
  <c r="G15" i="518"/>
  <c r="I15" i="518"/>
  <c r="G14" i="518"/>
  <c r="I14" i="518"/>
  <c r="G13" i="518"/>
  <c r="I13" i="518"/>
  <c r="G12" i="518"/>
  <c r="I12" i="518"/>
  <c r="G11" i="518"/>
  <c r="I11" i="518"/>
  <c r="G10" i="518"/>
  <c r="I10" i="518"/>
  <c r="H46" i="517"/>
  <c r="C46" i="517" s="1"/>
  <c r="H40" i="517"/>
  <c r="C40" i="517" s="1"/>
  <c r="H32" i="517"/>
  <c r="C32" i="517" s="1"/>
  <c r="E45" i="517"/>
  <c r="E44" i="517"/>
  <c r="E43" i="517"/>
  <c r="E42" i="517"/>
  <c r="E39" i="517"/>
  <c r="E38" i="517"/>
  <c r="E37" i="517"/>
  <c r="E36" i="517"/>
  <c r="E35" i="517"/>
  <c r="E34" i="517"/>
  <c r="E31" i="517"/>
  <c r="E30" i="517"/>
  <c r="E29" i="517"/>
  <c r="E28" i="517"/>
  <c r="E27" i="517"/>
  <c r="E26" i="517"/>
  <c r="E23" i="517"/>
  <c r="E22" i="517"/>
  <c r="E21" i="517"/>
  <c r="H24" i="517"/>
  <c r="J50" i="517"/>
  <c r="E50" i="517"/>
  <c r="H19" i="517"/>
  <c r="C19" i="517" s="1"/>
  <c r="H46" i="516"/>
  <c r="C46" i="516" s="1"/>
  <c r="H40" i="516"/>
  <c r="C40" i="516" s="1"/>
  <c r="D50" i="516"/>
  <c r="D48" i="516"/>
  <c r="H32" i="516"/>
  <c r="C32" i="516" s="1"/>
  <c r="H24" i="516"/>
  <c r="H19" i="516"/>
  <c r="C19" i="516" s="1"/>
  <c r="H10" i="515"/>
  <c r="H11" i="515"/>
  <c r="H12" i="515"/>
  <c r="H13" i="515"/>
  <c r="H14" i="515"/>
  <c r="H15" i="515"/>
  <c r="H16" i="515"/>
  <c r="H17" i="515"/>
  <c r="H18" i="515"/>
  <c r="E19" i="515"/>
  <c r="H21" i="515"/>
  <c r="H22" i="515"/>
  <c r="H23" i="515"/>
  <c r="H26" i="515"/>
  <c r="H27" i="515"/>
  <c r="H28" i="515"/>
  <c r="H29" i="515"/>
  <c r="H30" i="515"/>
  <c r="H31" i="515"/>
  <c r="H34" i="515"/>
  <c r="D40" i="515"/>
  <c r="H35" i="515"/>
  <c r="H36" i="515"/>
  <c r="H37" i="515"/>
  <c r="H38" i="515"/>
  <c r="H39" i="515"/>
  <c r="H42" i="515"/>
  <c r="D46" i="515"/>
  <c r="H43" i="515"/>
  <c r="H44" i="515"/>
  <c r="H10" i="514"/>
  <c r="H11" i="514"/>
  <c r="H12" i="514"/>
  <c r="H13" i="514"/>
  <c r="H14" i="514"/>
  <c r="H15" i="514"/>
  <c r="H16" i="514"/>
  <c r="H17" i="514"/>
  <c r="H18" i="514"/>
  <c r="D50" i="514"/>
  <c r="E19" i="514"/>
  <c r="H21" i="514"/>
  <c r="H22" i="514"/>
  <c r="H23" i="514"/>
  <c r="D48" i="514"/>
  <c r="E24" i="514" s="1"/>
  <c r="H26" i="514"/>
  <c r="H27" i="514"/>
  <c r="H28" i="514"/>
  <c r="H29" i="514"/>
  <c r="H30" i="514"/>
  <c r="H31" i="514"/>
  <c r="H34" i="514"/>
  <c r="H35" i="514"/>
  <c r="H36" i="514"/>
  <c r="H37" i="514"/>
  <c r="H38" i="514"/>
  <c r="H39" i="514"/>
  <c r="H42" i="514"/>
  <c r="H43" i="514"/>
  <c r="H44" i="514"/>
  <c r="H10" i="513"/>
  <c r="H11" i="513"/>
  <c r="H12" i="513"/>
  <c r="H13" i="513"/>
  <c r="H14" i="513"/>
  <c r="H15" i="513"/>
  <c r="H16" i="513"/>
  <c r="H17" i="513"/>
  <c r="H18" i="513"/>
  <c r="E19" i="513"/>
  <c r="H21" i="513"/>
  <c r="H22" i="513"/>
  <c r="H23" i="513"/>
  <c r="H26" i="513"/>
  <c r="D32" i="513"/>
  <c r="H27" i="513"/>
  <c r="H28" i="513"/>
  <c r="H29" i="513"/>
  <c r="H30" i="513"/>
  <c r="H31" i="513"/>
  <c r="H34" i="513"/>
  <c r="D40" i="513"/>
  <c r="H35" i="513"/>
  <c r="H36" i="513"/>
  <c r="H37" i="513"/>
  <c r="H38" i="513"/>
  <c r="H39" i="513"/>
  <c r="H42" i="513"/>
  <c r="D46" i="513"/>
  <c r="H43" i="513"/>
  <c r="H44" i="513"/>
  <c r="E32" i="514" l="1"/>
  <c r="E40" i="514"/>
  <c r="E46" i="514"/>
  <c r="A52" i="514" s="1"/>
  <c r="I19" i="518"/>
  <c r="F19" i="518" s="1"/>
  <c r="G19" i="518" s="1"/>
  <c r="I32" i="518"/>
  <c r="F32" i="518" s="1"/>
  <c r="G32" i="518" s="1"/>
  <c r="I40" i="518"/>
  <c r="F40" i="518" s="1"/>
  <c r="G40" i="518" s="1"/>
  <c r="I46" i="518"/>
  <c r="F46" i="518" s="1"/>
  <c r="G46" i="518" s="1"/>
  <c r="I19" i="519"/>
  <c r="F19" i="519" s="1"/>
  <c r="G19" i="519" s="1"/>
  <c r="I32" i="519"/>
  <c r="F32" i="519" s="1"/>
  <c r="G32" i="519" s="1"/>
  <c r="I40" i="519"/>
  <c r="F40" i="519" s="1"/>
  <c r="G40" i="519" s="1"/>
  <c r="I46" i="519"/>
  <c r="F46" i="519" s="1"/>
  <c r="G46" i="519" s="1"/>
  <c r="E48" i="517"/>
  <c r="A54" i="523"/>
  <c r="I51" i="523"/>
  <c r="F50" i="523"/>
  <c r="G6" i="523"/>
  <c r="G5" i="523"/>
  <c r="I50" i="522"/>
  <c r="F48" i="522"/>
  <c r="I50" i="521"/>
  <c r="F48" i="521"/>
  <c r="F24" i="520"/>
  <c r="G24" i="520" s="1"/>
  <c r="I48" i="520"/>
  <c r="I24" i="519"/>
  <c r="I24" i="518"/>
  <c r="C24" i="517"/>
  <c r="C48" i="517" s="1"/>
  <c r="H48" i="517"/>
  <c r="H50" i="517" s="1"/>
  <c r="E6" i="517" s="1"/>
  <c r="C24" i="516"/>
  <c r="C48" i="516" s="1"/>
  <c r="H48" i="516"/>
  <c r="H50" i="516" s="1"/>
  <c r="E6" i="516" s="1"/>
  <c r="E45" i="516"/>
  <c r="E44" i="516"/>
  <c r="E43" i="516"/>
  <c r="E39" i="516"/>
  <c r="E38" i="516"/>
  <c r="E37" i="516"/>
  <c r="E36" i="516"/>
  <c r="E35" i="516"/>
  <c r="E31" i="516"/>
  <c r="E30" i="516"/>
  <c r="E29" i="516"/>
  <c r="E28" i="516"/>
  <c r="E27" i="516"/>
  <c r="E23" i="516"/>
  <c r="E22" i="516"/>
  <c r="E21" i="516"/>
  <c r="E24" i="516"/>
  <c r="E26" i="516"/>
  <c r="E34" i="516"/>
  <c r="E42" i="516"/>
  <c r="E46" i="516"/>
  <c r="A52" i="516" s="1"/>
  <c r="E40" i="516"/>
  <c r="E32" i="516"/>
  <c r="J50" i="516"/>
  <c r="E50" i="516"/>
  <c r="H46" i="515"/>
  <c r="C46" i="515" s="1"/>
  <c r="D50" i="515"/>
  <c r="D48" i="515"/>
  <c r="H40" i="515"/>
  <c r="C40" i="515" s="1"/>
  <c r="H32" i="515"/>
  <c r="C32" i="515" s="1"/>
  <c r="H24" i="515"/>
  <c r="H19" i="515"/>
  <c r="C19" i="515" s="1"/>
  <c r="H46" i="514"/>
  <c r="C46" i="514" s="1"/>
  <c r="H40" i="514"/>
  <c r="C40" i="514" s="1"/>
  <c r="H32" i="514"/>
  <c r="C32" i="514" s="1"/>
  <c r="E45" i="514"/>
  <c r="E44" i="514"/>
  <c r="E43" i="514"/>
  <c r="E42" i="514"/>
  <c r="E39" i="514"/>
  <c r="E38" i="514"/>
  <c r="E37" i="514"/>
  <c r="E36" i="514"/>
  <c r="E35" i="514"/>
  <c r="E34" i="514"/>
  <c r="E31" i="514"/>
  <c r="E30" i="514"/>
  <c r="E29" i="514"/>
  <c r="E28" i="514"/>
  <c r="E27" i="514"/>
  <c r="E26" i="514"/>
  <c r="E23" i="514"/>
  <c r="E22" i="514"/>
  <c r="E21" i="514"/>
  <c r="H24" i="514"/>
  <c r="J50" i="514"/>
  <c r="E50" i="514"/>
  <c r="H19" i="514"/>
  <c r="C19" i="514" s="1"/>
  <c r="H46" i="513"/>
  <c r="C46" i="513" s="1"/>
  <c r="H40" i="513"/>
  <c r="C40" i="513" s="1"/>
  <c r="D50" i="513"/>
  <c r="D48" i="513"/>
  <c r="H32" i="513"/>
  <c r="C32" i="513" s="1"/>
  <c r="H24" i="513"/>
  <c r="H19" i="513"/>
  <c r="C19" i="513" s="1"/>
  <c r="D26" i="510"/>
  <c r="D29" i="510"/>
  <c r="D27" i="510"/>
  <c r="D28" i="510"/>
  <c r="E48" i="514" l="1"/>
  <c r="D28" i="580"/>
  <c r="D29" i="580"/>
  <c r="A54" i="522"/>
  <c r="I51" i="522"/>
  <c r="F50" i="522"/>
  <c r="G6" i="522"/>
  <c r="G5" i="522"/>
  <c r="A54" i="521"/>
  <c r="I51" i="521"/>
  <c r="F50" i="521"/>
  <c r="G6" i="521"/>
  <c r="G5" i="521"/>
  <c r="I50" i="520"/>
  <c r="F48" i="520"/>
  <c r="F24" i="519"/>
  <c r="G24" i="519" s="1"/>
  <c r="I48" i="519"/>
  <c r="F24" i="518"/>
  <c r="G24" i="518" s="1"/>
  <c r="I48" i="518"/>
  <c r="F10" i="517"/>
  <c r="F11" i="517"/>
  <c r="F12" i="517"/>
  <c r="F13" i="517"/>
  <c r="F14" i="517"/>
  <c r="F15" i="517"/>
  <c r="F16" i="517"/>
  <c r="F17" i="517"/>
  <c r="F18" i="517"/>
  <c r="F21" i="517"/>
  <c r="F22" i="517"/>
  <c r="F23" i="517"/>
  <c r="F26" i="517"/>
  <c r="F27" i="517"/>
  <c r="F28" i="517"/>
  <c r="F29" i="517"/>
  <c r="F30" i="517"/>
  <c r="F31" i="517"/>
  <c r="F34" i="517"/>
  <c r="F35" i="517"/>
  <c r="F36" i="517"/>
  <c r="F37" i="517"/>
  <c r="F38" i="517"/>
  <c r="F39" i="517"/>
  <c r="F42" i="517"/>
  <c r="F43" i="517"/>
  <c r="F44" i="517"/>
  <c r="F45" i="517"/>
  <c r="G45" i="517" s="1"/>
  <c r="E48" i="516"/>
  <c r="F10" i="516"/>
  <c r="F11" i="516"/>
  <c r="F12" i="516"/>
  <c r="F13" i="516"/>
  <c r="F14" i="516"/>
  <c r="F15" i="516"/>
  <c r="F16" i="516"/>
  <c r="F17" i="516"/>
  <c r="F18" i="516"/>
  <c r="F21" i="516"/>
  <c r="F22" i="516"/>
  <c r="F23" i="516"/>
  <c r="F26" i="516"/>
  <c r="F27" i="516"/>
  <c r="F28" i="516"/>
  <c r="F29" i="516"/>
  <c r="F30" i="516"/>
  <c r="F31" i="516"/>
  <c r="F34" i="516"/>
  <c r="F35" i="516"/>
  <c r="F36" i="516"/>
  <c r="F37" i="516"/>
  <c r="F38" i="516"/>
  <c r="F39" i="516"/>
  <c r="F42" i="516"/>
  <c r="F43" i="516"/>
  <c r="F44" i="516"/>
  <c r="F45" i="516"/>
  <c r="G45" i="516" s="1"/>
  <c r="C24" i="515"/>
  <c r="C48" i="515" s="1"/>
  <c r="H48" i="515"/>
  <c r="H50" i="515" s="1"/>
  <c r="E6" i="515" s="1"/>
  <c r="E45" i="515"/>
  <c r="E44" i="515"/>
  <c r="E43" i="515"/>
  <c r="E39" i="515"/>
  <c r="E38" i="515"/>
  <c r="E37" i="515"/>
  <c r="E36" i="515"/>
  <c r="E35" i="515"/>
  <c r="E31" i="515"/>
  <c r="E30" i="515"/>
  <c r="E29" i="515"/>
  <c r="E28" i="515"/>
  <c r="E27" i="515"/>
  <c r="E26" i="515"/>
  <c r="E23" i="515"/>
  <c r="E22" i="515"/>
  <c r="E21" i="515"/>
  <c r="E24" i="515"/>
  <c r="E32" i="515"/>
  <c r="E34" i="515"/>
  <c r="E42" i="515"/>
  <c r="E46" i="515"/>
  <c r="A52" i="515" s="1"/>
  <c r="E40" i="515"/>
  <c r="J50" i="515"/>
  <c r="E50" i="515"/>
  <c r="C24" i="514"/>
  <c r="C48" i="514" s="1"/>
  <c r="H48" i="514"/>
  <c r="H50" i="514" s="1"/>
  <c r="E6" i="514" s="1"/>
  <c r="C24" i="513"/>
  <c r="C48" i="513" s="1"/>
  <c r="H48" i="513"/>
  <c r="H50" i="513" s="1"/>
  <c r="E6" i="513" s="1"/>
  <c r="E45" i="513"/>
  <c r="E44" i="513"/>
  <c r="E43" i="513"/>
  <c r="E39" i="513"/>
  <c r="E38" i="513"/>
  <c r="E37" i="513"/>
  <c r="E36" i="513"/>
  <c r="E35" i="513"/>
  <c r="E31" i="513"/>
  <c r="E30" i="513"/>
  <c r="E23" i="513"/>
  <c r="E22" i="513"/>
  <c r="E21" i="513"/>
  <c r="E24" i="513"/>
  <c r="E26" i="513"/>
  <c r="E27" i="513"/>
  <c r="E28" i="513"/>
  <c r="E29" i="513"/>
  <c r="E34" i="513"/>
  <c r="E42" i="513"/>
  <c r="E46" i="513"/>
  <c r="A52" i="513" s="1"/>
  <c r="E40" i="513"/>
  <c r="E32" i="513"/>
  <c r="J50" i="513"/>
  <c r="E50" i="513"/>
  <c r="C45" i="510"/>
  <c r="C44" i="510"/>
  <c r="C43" i="510"/>
  <c r="C42" i="510"/>
  <c r="C39" i="510"/>
  <c r="C38" i="510"/>
  <c r="C37" i="510"/>
  <c r="C36" i="510"/>
  <c r="C35" i="510"/>
  <c r="C34" i="510"/>
  <c r="C31" i="510"/>
  <c r="C30" i="510"/>
  <c r="C29" i="510"/>
  <c r="C28" i="510"/>
  <c r="C27" i="510"/>
  <c r="C26" i="510"/>
  <c r="D24" i="510"/>
  <c r="C23" i="510"/>
  <c r="C22" i="510"/>
  <c r="C21" i="510"/>
  <c r="D19" i="510"/>
  <c r="E18" i="510" s="1"/>
  <c r="C18" i="510"/>
  <c r="C17" i="510"/>
  <c r="C16" i="510"/>
  <c r="C15" i="510"/>
  <c r="C14" i="510"/>
  <c r="C13" i="510"/>
  <c r="C12" i="510"/>
  <c r="C11" i="510"/>
  <c r="C10" i="510"/>
  <c r="C7" i="510"/>
  <c r="G4" i="510"/>
  <c r="E4" i="510"/>
  <c r="E13" i="510" l="1"/>
  <c r="E11" i="510"/>
  <c r="E17" i="510"/>
  <c r="E15" i="510"/>
  <c r="E10" i="510"/>
  <c r="E12" i="510"/>
  <c r="E14" i="510"/>
  <c r="E16" i="510"/>
  <c r="H29" i="580"/>
  <c r="H28" i="580"/>
  <c r="A54" i="520"/>
  <c r="I51" i="520"/>
  <c r="F50" i="520"/>
  <c r="G6" i="520"/>
  <c r="G5" i="520"/>
  <c r="I50" i="519"/>
  <c r="F48" i="519"/>
  <c r="I50" i="518"/>
  <c r="F48" i="518"/>
  <c r="I44" i="517"/>
  <c r="G44" i="517"/>
  <c r="I43" i="517"/>
  <c r="G43" i="517"/>
  <c r="I42" i="517"/>
  <c r="G42" i="517"/>
  <c r="I39" i="517"/>
  <c r="G39" i="517"/>
  <c r="I38" i="517"/>
  <c r="G38" i="517"/>
  <c r="I37" i="517"/>
  <c r="G37" i="517"/>
  <c r="I36" i="517"/>
  <c r="G36" i="517"/>
  <c r="I35" i="517"/>
  <c r="G35" i="517"/>
  <c r="I34" i="517"/>
  <c r="G34" i="517"/>
  <c r="I31" i="517"/>
  <c r="G31" i="517"/>
  <c r="I30" i="517"/>
  <c r="G30" i="517"/>
  <c r="I29" i="517"/>
  <c r="G29" i="517"/>
  <c r="I28" i="517"/>
  <c r="G28" i="517"/>
  <c r="I27" i="517"/>
  <c r="G27" i="517"/>
  <c r="I26" i="517"/>
  <c r="G26" i="517"/>
  <c r="I23" i="517"/>
  <c r="G23" i="517"/>
  <c r="I22" i="517"/>
  <c r="G22" i="517"/>
  <c r="I21" i="517"/>
  <c r="G21" i="517"/>
  <c r="I18" i="517"/>
  <c r="G18" i="517"/>
  <c r="I17" i="517"/>
  <c r="G17" i="517"/>
  <c r="I16" i="517"/>
  <c r="G16" i="517"/>
  <c r="I15" i="517"/>
  <c r="G15" i="517"/>
  <c r="I14" i="517"/>
  <c r="G14" i="517"/>
  <c r="I13" i="517"/>
  <c r="G13" i="517"/>
  <c r="I12" i="517"/>
  <c r="G12" i="517"/>
  <c r="I11" i="517"/>
  <c r="G11" i="517"/>
  <c r="I10" i="517"/>
  <c r="G10" i="517"/>
  <c r="I44" i="516"/>
  <c r="G44" i="516"/>
  <c r="I43" i="516"/>
  <c r="G43" i="516"/>
  <c r="I42" i="516"/>
  <c r="G42" i="516"/>
  <c r="I39" i="516"/>
  <c r="G39" i="516"/>
  <c r="I38" i="516"/>
  <c r="G38" i="516"/>
  <c r="I37" i="516"/>
  <c r="G37" i="516"/>
  <c r="I36" i="516"/>
  <c r="G36" i="516"/>
  <c r="I35" i="516"/>
  <c r="G35" i="516"/>
  <c r="I34" i="516"/>
  <c r="G34" i="516"/>
  <c r="I31" i="516"/>
  <c r="G31" i="516"/>
  <c r="I30" i="516"/>
  <c r="G30" i="516"/>
  <c r="I29" i="516"/>
  <c r="G29" i="516"/>
  <c r="I28" i="516"/>
  <c r="G28" i="516"/>
  <c r="I27" i="516"/>
  <c r="G27" i="516"/>
  <c r="I26" i="516"/>
  <c r="G26" i="516"/>
  <c r="I23" i="516"/>
  <c r="G23" i="516"/>
  <c r="I22" i="516"/>
  <c r="G22" i="516"/>
  <c r="I21" i="516"/>
  <c r="G21" i="516"/>
  <c r="I18" i="516"/>
  <c r="G18" i="516"/>
  <c r="I17" i="516"/>
  <c r="G17" i="516"/>
  <c r="I16" i="516"/>
  <c r="G16" i="516"/>
  <c r="I15" i="516"/>
  <c r="G15" i="516"/>
  <c r="I14" i="516"/>
  <c r="G14" i="516"/>
  <c r="I13" i="516"/>
  <c r="G13" i="516"/>
  <c r="I12" i="516"/>
  <c r="G12" i="516"/>
  <c r="I11" i="516"/>
  <c r="G11" i="516"/>
  <c r="I10" i="516"/>
  <c r="G10" i="516"/>
  <c r="E48" i="515"/>
  <c r="F10" i="515"/>
  <c r="F11" i="515"/>
  <c r="F12" i="515"/>
  <c r="F13" i="515"/>
  <c r="F14" i="515"/>
  <c r="F15" i="515"/>
  <c r="F16" i="515"/>
  <c r="F17" i="515"/>
  <c r="F18" i="515"/>
  <c r="F21" i="515"/>
  <c r="F22" i="515"/>
  <c r="F23" i="515"/>
  <c r="F26" i="515"/>
  <c r="F27" i="515"/>
  <c r="F28" i="515"/>
  <c r="F29" i="515"/>
  <c r="F30" i="515"/>
  <c r="F31" i="515"/>
  <c r="F34" i="515"/>
  <c r="F35" i="515"/>
  <c r="F36" i="515"/>
  <c r="F37" i="515"/>
  <c r="F38" i="515"/>
  <c r="F39" i="515"/>
  <c r="F42" i="515"/>
  <c r="F43" i="515"/>
  <c r="F44" i="515"/>
  <c r="F45" i="515"/>
  <c r="G45" i="515" s="1"/>
  <c r="F10" i="514"/>
  <c r="F11" i="514"/>
  <c r="F12" i="514"/>
  <c r="F13" i="514"/>
  <c r="F14" i="514"/>
  <c r="F15" i="514"/>
  <c r="F16" i="514"/>
  <c r="F17" i="514"/>
  <c r="F18" i="514"/>
  <c r="F21" i="514"/>
  <c r="F22" i="514"/>
  <c r="F23" i="514"/>
  <c r="F26" i="514"/>
  <c r="F27" i="514"/>
  <c r="F28" i="514"/>
  <c r="F29" i="514"/>
  <c r="F30" i="514"/>
  <c r="F31" i="514"/>
  <c r="F34" i="514"/>
  <c r="F35" i="514"/>
  <c r="F36" i="514"/>
  <c r="F37" i="514"/>
  <c r="F38" i="514"/>
  <c r="F39" i="514"/>
  <c r="F42" i="514"/>
  <c r="F43" i="514"/>
  <c r="F44" i="514"/>
  <c r="F45" i="514"/>
  <c r="G45" i="514" s="1"/>
  <c r="E48" i="513"/>
  <c r="F10" i="513"/>
  <c r="F11" i="513"/>
  <c r="F12" i="513"/>
  <c r="F13" i="513"/>
  <c r="F14" i="513"/>
  <c r="F15" i="513"/>
  <c r="F16" i="513"/>
  <c r="F17" i="513"/>
  <c r="F18" i="513"/>
  <c r="F21" i="513"/>
  <c r="F22" i="513"/>
  <c r="F23" i="513"/>
  <c r="F26" i="513"/>
  <c r="F27" i="513"/>
  <c r="F28" i="513"/>
  <c r="F29" i="513"/>
  <c r="F30" i="513"/>
  <c r="F31" i="513"/>
  <c r="F34" i="513"/>
  <c r="F35" i="513"/>
  <c r="F36" i="513"/>
  <c r="F37" i="513"/>
  <c r="F38" i="513"/>
  <c r="F39" i="513"/>
  <c r="F42" i="513"/>
  <c r="F43" i="513"/>
  <c r="F44" i="513"/>
  <c r="F45" i="513"/>
  <c r="G45" i="513" s="1"/>
  <c r="H10" i="510"/>
  <c r="H11" i="510"/>
  <c r="H12" i="510"/>
  <c r="H13" i="510"/>
  <c r="H14" i="510"/>
  <c r="H15" i="510"/>
  <c r="H16" i="510"/>
  <c r="H17" i="510"/>
  <c r="H18" i="510"/>
  <c r="E19" i="510"/>
  <c r="H21" i="510"/>
  <c r="H22" i="510"/>
  <c r="H23" i="510"/>
  <c r="H26" i="510"/>
  <c r="D32" i="510"/>
  <c r="H27" i="510"/>
  <c r="H28" i="510"/>
  <c r="H29" i="510"/>
  <c r="H30" i="510"/>
  <c r="H31" i="510"/>
  <c r="H34" i="510"/>
  <c r="D40" i="510"/>
  <c r="H35" i="510"/>
  <c r="H36" i="510"/>
  <c r="H37" i="510"/>
  <c r="H38" i="510"/>
  <c r="H39" i="510"/>
  <c r="H42" i="510"/>
  <c r="D46" i="510"/>
  <c r="H43" i="510"/>
  <c r="H44" i="510"/>
  <c r="D34" i="509"/>
  <c r="D27" i="509"/>
  <c r="D42" i="509"/>
  <c r="C45" i="509"/>
  <c r="C44" i="509"/>
  <c r="C43" i="509"/>
  <c r="C42" i="509"/>
  <c r="C39" i="509"/>
  <c r="C38" i="509"/>
  <c r="C37" i="509"/>
  <c r="C36" i="509"/>
  <c r="C35" i="509"/>
  <c r="C34" i="509"/>
  <c r="C31" i="509"/>
  <c r="C30" i="509"/>
  <c r="C29" i="509"/>
  <c r="C28" i="509"/>
  <c r="C27" i="509"/>
  <c r="C26" i="509"/>
  <c r="D24" i="509"/>
  <c r="C23" i="509"/>
  <c r="C22" i="509"/>
  <c r="C21" i="509"/>
  <c r="D19" i="509"/>
  <c r="E18" i="509" s="1"/>
  <c r="C18" i="509"/>
  <c r="C17" i="509"/>
  <c r="C16" i="509"/>
  <c r="C15" i="509"/>
  <c r="C14" i="509"/>
  <c r="C13" i="509"/>
  <c r="C12" i="509"/>
  <c r="C11" i="509"/>
  <c r="C10" i="509"/>
  <c r="C7" i="509"/>
  <c r="G4" i="509"/>
  <c r="E4" i="509"/>
  <c r="E11" i="509" l="1"/>
  <c r="E17" i="509"/>
  <c r="I19" i="516"/>
  <c r="F19" i="516" s="1"/>
  <c r="G19" i="516" s="1"/>
  <c r="I32" i="516"/>
  <c r="F32" i="516" s="1"/>
  <c r="G32" i="516" s="1"/>
  <c r="I40" i="516"/>
  <c r="F40" i="516" s="1"/>
  <c r="G40" i="516" s="1"/>
  <c r="E13" i="509"/>
  <c r="E15" i="509"/>
  <c r="E10" i="509"/>
  <c r="E12" i="509"/>
  <c r="E14" i="509"/>
  <c r="E16" i="509"/>
  <c r="I46" i="516"/>
  <c r="F46" i="516" s="1"/>
  <c r="G46" i="516" s="1"/>
  <c r="I19" i="517"/>
  <c r="F19" i="517" s="1"/>
  <c r="G19" i="517" s="1"/>
  <c r="I32" i="517"/>
  <c r="F32" i="517" s="1"/>
  <c r="G32" i="517" s="1"/>
  <c r="I40" i="517"/>
  <c r="F40" i="517" s="1"/>
  <c r="G40" i="517" s="1"/>
  <c r="I46" i="517"/>
  <c r="F46" i="517" s="1"/>
  <c r="G46" i="517" s="1"/>
  <c r="A54" i="519"/>
  <c r="I51" i="519"/>
  <c r="F50" i="519"/>
  <c r="G6" i="519"/>
  <c r="G5" i="519"/>
  <c r="A54" i="518"/>
  <c r="F50" i="518"/>
  <c r="I51" i="518"/>
  <c r="G5" i="518"/>
  <c r="G6" i="518"/>
  <c r="I24" i="517"/>
  <c r="I24" i="516"/>
  <c r="I44" i="515"/>
  <c r="G44" i="515"/>
  <c r="I43" i="515"/>
  <c r="G43" i="515"/>
  <c r="I42" i="515"/>
  <c r="G42" i="515"/>
  <c r="I39" i="515"/>
  <c r="G39" i="515"/>
  <c r="I38" i="515"/>
  <c r="G38" i="515"/>
  <c r="I37" i="515"/>
  <c r="G37" i="515"/>
  <c r="I36" i="515"/>
  <c r="G36" i="515"/>
  <c r="I35" i="515"/>
  <c r="G35" i="515"/>
  <c r="I34" i="515"/>
  <c r="G34" i="515"/>
  <c r="I31" i="515"/>
  <c r="G31" i="515"/>
  <c r="I30" i="515"/>
  <c r="G30" i="515"/>
  <c r="I29" i="515"/>
  <c r="G29" i="515"/>
  <c r="I28" i="515"/>
  <c r="G28" i="515"/>
  <c r="I27" i="515"/>
  <c r="G27" i="515"/>
  <c r="I26" i="515"/>
  <c r="G26" i="515"/>
  <c r="I23" i="515"/>
  <c r="G23" i="515"/>
  <c r="I22" i="515"/>
  <c r="G22" i="515"/>
  <c r="I21" i="515"/>
  <c r="G21" i="515"/>
  <c r="I18" i="515"/>
  <c r="G18" i="515"/>
  <c r="I17" i="515"/>
  <c r="G17" i="515"/>
  <c r="I16" i="515"/>
  <c r="G16" i="515"/>
  <c r="I15" i="515"/>
  <c r="G15" i="515"/>
  <c r="I14" i="515"/>
  <c r="G14" i="515"/>
  <c r="I13" i="515"/>
  <c r="G13" i="515"/>
  <c r="I12" i="515"/>
  <c r="G12" i="515"/>
  <c r="I11" i="515"/>
  <c r="G11" i="515"/>
  <c r="I10" i="515"/>
  <c r="G10" i="515"/>
  <c r="I44" i="514"/>
  <c r="G44" i="514"/>
  <c r="I43" i="514"/>
  <c r="G43" i="514"/>
  <c r="I42" i="514"/>
  <c r="G42" i="514"/>
  <c r="I39" i="514"/>
  <c r="G39" i="514"/>
  <c r="I38" i="514"/>
  <c r="G38" i="514"/>
  <c r="I37" i="514"/>
  <c r="G37" i="514"/>
  <c r="I36" i="514"/>
  <c r="G36" i="514"/>
  <c r="I35" i="514"/>
  <c r="G35" i="514"/>
  <c r="I34" i="514"/>
  <c r="G34" i="514"/>
  <c r="I31" i="514"/>
  <c r="G31" i="514"/>
  <c r="I30" i="514"/>
  <c r="G30" i="514"/>
  <c r="I29" i="514"/>
  <c r="G29" i="514"/>
  <c r="I28" i="514"/>
  <c r="G28" i="514"/>
  <c r="I27" i="514"/>
  <c r="G27" i="514"/>
  <c r="I26" i="514"/>
  <c r="G26" i="514"/>
  <c r="I23" i="514"/>
  <c r="G23" i="514"/>
  <c r="I22" i="514"/>
  <c r="G22" i="514"/>
  <c r="I21" i="514"/>
  <c r="G21" i="514"/>
  <c r="I18" i="514"/>
  <c r="G18" i="514"/>
  <c r="I17" i="514"/>
  <c r="G17" i="514"/>
  <c r="I16" i="514"/>
  <c r="G16" i="514"/>
  <c r="I15" i="514"/>
  <c r="G15" i="514"/>
  <c r="I14" i="514"/>
  <c r="G14" i="514"/>
  <c r="I13" i="514"/>
  <c r="G13" i="514"/>
  <c r="I12" i="514"/>
  <c r="G12" i="514"/>
  <c r="I11" i="514"/>
  <c r="G11" i="514"/>
  <c r="I10" i="514"/>
  <c r="G10" i="514"/>
  <c r="I44" i="513"/>
  <c r="G44" i="513"/>
  <c r="I43" i="513"/>
  <c r="G43" i="513"/>
  <c r="I42" i="513"/>
  <c r="G42" i="513"/>
  <c r="I39" i="513"/>
  <c r="G39" i="513"/>
  <c r="I38" i="513"/>
  <c r="G38" i="513"/>
  <c r="I37" i="513"/>
  <c r="G37" i="513"/>
  <c r="I36" i="513"/>
  <c r="G36" i="513"/>
  <c r="I35" i="513"/>
  <c r="G35" i="513"/>
  <c r="I34" i="513"/>
  <c r="G34" i="513"/>
  <c r="I31" i="513"/>
  <c r="G31" i="513"/>
  <c r="I30" i="513"/>
  <c r="G30" i="513"/>
  <c r="I29" i="513"/>
  <c r="G29" i="513"/>
  <c r="I28" i="513"/>
  <c r="G28" i="513"/>
  <c r="I27" i="513"/>
  <c r="G27" i="513"/>
  <c r="I26" i="513"/>
  <c r="G26" i="513"/>
  <c r="I23" i="513"/>
  <c r="G23" i="513"/>
  <c r="I22" i="513"/>
  <c r="G22" i="513"/>
  <c r="I21" i="513"/>
  <c r="G21" i="513"/>
  <c r="I18" i="513"/>
  <c r="G18" i="513"/>
  <c r="I17" i="513"/>
  <c r="G17" i="513"/>
  <c r="I16" i="513"/>
  <c r="G16" i="513"/>
  <c r="I15" i="513"/>
  <c r="G15" i="513"/>
  <c r="I14" i="513"/>
  <c r="G14" i="513"/>
  <c r="I13" i="513"/>
  <c r="G13" i="513"/>
  <c r="I12" i="513"/>
  <c r="G12" i="513"/>
  <c r="I11" i="513"/>
  <c r="G11" i="513"/>
  <c r="I10" i="513"/>
  <c r="G10" i="513"/>
  <c r="H46" i="510"/>
  <c r="C46" i="510" s="1"/>
  <c r="H40" i="510"/>
  <c r="C40" i="510" s="1"/>
  <c r="D50" i="510"/>
  <c r="D48" i="510"/>
  <c r="H32" i="510"/>
  <c r="C32" i="510" s="1"/>
  <c r="H24" i="510"/>
  <c r="H19" i="510"/>
  <c r="C19" i="510" s="1"/>
  <c r="H10" i="509"/>
  <c r="H11" i="509"/>
  <c r="H12" i="509"/>
  <c r="H13" i="509"/>
  <c r="H14" i="509"/>
  <c r="H15" i="509"/>
  <c r="H16" i="509"/>
  <c r="H17" i="509"/>
  <c r="H18" i="509"/>
  <c r="E19" i="509"/>
  <c r="H21" i="509"/>
  <c r="H22" i="509"/>
  <c r="H23" i="509"/>
  <c r="H26" i="509"/>
  <c r="D32" i="509"/>
  <c r="H27" i="509"/>
  <c r="H28" i="509"/>
  <c r="H29" i="509"/>
  <c r="H30" i="509"/>
  <c r="H31" i="509"/>
  <c r="H34" i="509"/>
  <c r="D40" i="509"/>
  <c r="H35" i="509"/>
  <c r="H36" i="509"/>
  <c r="H37" i="509"/>
  <c r="H38" i="509"/>
  <c r="H39" i="509"/>
  <c r="H42" i="509"/>
  <c r="D46" i="509"/>
  <c r="H43" i="509"/>
  <c r="H44" i="509"/>
  <c r="D34" i="508"/>
  <c r="D26" i="508"/>
  <c r="D42" i="508"/>
  <c r="C45" i="508"/>
  <c r="C44" i="508"/>
  <c r="C43" i="508"/>
  <c r="C42" i="508"/>
  <c r="C39" i="508"/>
  <c r="C38" i="508"/>
  <c r="C37" i="508"/>
  <c r="C36" i="508"/>
  <c r="C35" i="508"/>
  <c r="C34" i="508"/>
  <c r="C31" i="508"/>
  <c r="C30" i="508"/>
  <c r="C29" i="508"/>
  <c r="C28" i="508"/>
  <c r="C27" i="508"/>
  <c r="C26" i="508"/>
  <c r="D24" i="508"/>
  <c r="C23" i="508"/>
  <c r="C22" i="508"/>
  <c r="C21" i="508"/>
  <c r="D19" i="508"/>
  <c r="E17" i="508" s="1"/>
  <c r="C18" i="508"/>
  <c r="C17" i="508"/>
  <c r="C16" i="508"/>
  <c r="C15" i="508"/>
  <c r="C14" i="508"/>
  <c r="C13" i="508"/>
  <c r="C12" i="508"/>
  <c r="C11" i="508"/>
  <c r="C10" i="508"/>
  <c r="C7" i="508"/>
  <c r="G4" i="508"/>
  <c r="E4" i="508"/>
  <c r="I19" i="513" l="1"/>
  <c r="F19" i="513" s="1"/>
  <c r="G19" i="513" s="1"/>
  <c r="I32" i="513"/>
  <c r="F32" i="513" s="1"/>
  <c r="G32" i="513" s="1"/>
  <c r="I40" i="513"/>
  <c r="F40" i="513" s="1"/>
  <c r="G40" i="513" s="1"/>
  <c r="I46" i="513"/>
  <c r="F46" i="513" s="1"/>
  <c r="G46" i="513" s="1"/>
  <c r="I19" i="515"/>
  <c r="F19" i="515" s="1"/>
  <c r="G19" i="515" s="1"/>
  <c r="I32" i="515"/>
  <c r="F32" i="515" s="1"/>
  <c r="G32" i="515" s="1"/>
  <c r="I40" i="515"/>
  <c r="F40" i="515" s="1"/>
  <c r="G40" i="515" s="1"/>
  <c r="I46" i="515"/>
  <c r="F46" i="515" s="1"/>
  <c r="G46" i="515" s="1"/>
  <c r="E10" i="508"/>
  <c r="E12" i="508"/>
  <c r="E14" i="508"/>
  <c r="E16" i="508"/>
  <c r="E18" i="508"/>
  <c r="E11" i="508"/>
  <c r="E13" i="508"/>
  <c r="E15" i="508"/>
  <c r="I19" i="514"/>
  <c r="F19" i="514" s="1"/>
  <c r="G19" i="514" s="1"/>
  <c r="I32" i="514"/>
  <c r="F32" i="514" s="1"/>
  <c r="G32" i="514" s="1"/>
  <c r="I40" i="514"/>
  <c r="F40" i="514" s="1"/>
  <c r="G40" i="514" s="1"/>
  <c r="I46" i="514"/>
  <c r="F46" i="514" s="1"/>
  <c r="G46" i="514" s="1"/>
  <c r="F24" i="517"/>
  <c r="G24" i="517" s="1"/>
  <c r="I48" i="517"/>
  <c r="I50" i="517" s="1"/>
  <c r="F24" i="516"/>
  <c r="G24" i="516" s="1"/>
  <c r="I48" i="516"/>
  <c r="I24" i="515"/>
  <c r="I24" i="514"/>
  <c r="I24" i="513"/>
  <c r="C24" i="510"/>
  <c r="C48" i="510" s="1"/>
  <c r="H48" i="510"/>
  <c r="H50" i="510" s="1"/>
  <c r="E6" i="510" s="1"/>
  <c r="E45" i="510"/>
  <c r="E44" i="510"/>
  <c r="E43" i="510"/>
  <c r="E39" i="510"/>
  <c r="E38" i="510"/>
  <c r="E37" i="510"/>
  <c r="E36" i="510"/>
  <c r="E35" i="510"/>
  <c r="E31" i="510"/>
  <c r="E30" i="510"/>
  <c r="E29" i="510"/>
  <c r="E28" i="510"/>
  <c r="E23" i="510"/>
  <c r="E22" i="510"/>
  <c r="E21" i="510"/>
  <c r="E24" i="510"/>
  <c r="E26" i="510"/>
  <c r="E27" i="510"/>
  <c r="E34" i="510"/>
  <c r="E42" i="510"/>
  <c r="E46" i="510"/>
  <c r="A52" i="510" s="1"/>
  <c r="E40" i="510"/>
  <c r="E32" i="510"/>
  <c r="J50" i="510"/>
  <c r="E50" i="510"/>
  <c r="H46" i="509"/>
  <c r="C46" i="509" s="1"/>
  <c r="H40" i="509"/>
  <c r="C40" i="509" s="1"/>
  <c r="D50" i="509"/>
  <c r="D48" i="509"/>
  <c r="H32" i="509"/>
  <c r="C32" i="509" s="1"/>
  <c r="H24" i="509"/>
  <c r="H19" i="509"/>
  <c r="C19" i="509" s="1"/>
  <c r="H10" i="508"/>
  <c r="H11" i="508"/>
  <c r="H12" i="508"/>
  <c r="H13" i="508"/>
  <c r="H14" i="508"/>
  <c r="H15" i="508"/>
  <c r="H16" i="508"/>
  <c r="H17" i="508"/>
  <c r="H18" i="508"/>
  <c r="E19" i="508"/>
  <c r="H21" i="508"/>
  <c r="H22" i="508"/>
  <c r="H23" i="508"/>
  <c r="H26" i="508"/>
  <c r="D32" i="508"/>
  <c r="H27" i="508"/>
  <c r="H28" i="508"/>
  <c r="H29" i="508"/>
  <c r="H30" i="508"/>
  <c r="H31" i="508"/>
  <c r="H34" i="508"/>
  <c r="D40" i="508"/>
  <c r="H35" i="508"/>
  <c r="H36" i="508"/>
  <c r="H37" i="508"/>
  <c r="H38" i="508"/>
  <c r="H39" i="508"/>
  <c r="H42" i="508"/>
  <c r="D46" i="508"/>
  <c r="H43" i="508"/>
  <c r="H44" i="508"/>
  <c r="C45" i="507"/>
  <c r="C44" i="507"/>
  <c r="C43" i="507"/>
  <c r="C42" i="507"/>
  <c r="C39" i="507"/>
  <c r="C38" i="507"/>
  <c r="C37" i="507"/>
  <c r="C36" i="507"/>
  <c r="C35" i="507"/>
  <c r="C34" i="507"/>
  <c r="D32" i="507"/>
  <c r="C31" i="507"/>
  <c r="C30" i="507"/>
  <c r="C29" i="507"/>
  <c r="C28" i="507"/>
  <c r="C27" i="507"/>
  <c r="C26" i="507"/>
  <c r="D24" i="507"/>
  <c r="C23" i="507"/>
  <c r="C22" i="507"/>
  <c r="C21" i="507"/>
  <c r="D19" i="507"/>
  <c r="E17" i="507" s="1"/>
  <c r="C18" i="507"/>
  <c r="C17" i="507"/>
  <c r="E16" i="507"/>
  <c r="C16" i="507"/>
  <c r="C15" i="507"/>
  <c r="E14" i="507"/>
  <c r="C14" i="507"/>
  <c r="C13" i="507"/>
  <c r="E12" i="507"/>
  <c r="C12" i="507"/>
  <c r="C11" i="507"/>
  <c r="E10" i="507"/>
  <c r="C10" i="507"/>
  <c r="C7" i="507"/>
  <c r="G4" i="507"/>
  <c r="E4" i="507"/>
  <c r="E18" i="507" l="1"/>
  <c r="F48" i="517"/>
  <c r="E11" i="507"/>
  <c r="E13" i="507"/>
  <c r="E15" i="507"/>
  <c r="F24" i="514"/>
  <c r="G24" i="514" s="1"/>
  <c r="I48" i="514"/>
  <c r="I50" i="514" s="1"/>
  <c r="F24" i="513"/>
  <c r="G24" i="513" s="1"/>
  <c r="I48" i="513"/>
  <c r="I50" i="513" s="1"/>
  <c r="F24" i="515"/>
  <c r="G24" i="515" s="1"/>
  <c r="I48" i="515"/>
  <c r="F48" i="515" s="1"/>
  <c r="A54" i="517"/>
  <c r="I51" i="517"/>
  <c r="F50" i="517"/>
  <c r="G6" i="517"/>
  <c r="G5" i="517"/>
  <c r="I50" i="516"/>
  <c r="F48" i="516"/>
  <c r="I50" i="515"/>
  <c r="F48" i="513"/>
  <c r="E48" i="510"/>
  <c r="F10" i="510"/>
  <c r="F11" i="510"/>
  <c r="F12" i="510"/>
  <c r="F13" i="510"/>
  <c r="F14" i="510"/>
  <c r="F15" i="510"/>
  <c r="F16" i="510"/>
  <c r="F17" i="510"/>
  <c r="F18" i="510"/>
  <c r="F21" i="510"/>
  <c r="F22" i="510"/>
  <c r="F23" i="510"/>
  <c r="F26" i="510"/>
  <c r="F27" i="510"/>
  <c r="F28" i="510"/>
  <c r="F29" i="510"/>
  <c r="F30" i="510"/>
  <c r="F31" i="510"/>
  <c r="F34" i="510"/>
  <c r="F35" i="510"/>
  <c r="F36" i="510"/>
  <c r="F37" i="510"/>
  <c r="F38" i="510"/>
  <c r="F39" i="510"/>
  <c r="F42" i="510"/>
  <c r="F43" i="510"/>
  <c r="F44" i="510"/>
  <c r="F45" i="510"/>
  <c r="G45" i="510" s="1"/>
  <c r="C24" i="509"/>
  <c r="C48" i="509" s="1"/>
  <c r="H48" i="509"/>
  <c r="H50" i="509" s="1"/>
  <c r="E6" i="509" s="1"/>
  <c r="E45" i="509"/>
  <c r="E44" i="509"/>
  <c r="E43" i="509"/>
  <c r="E39" i="509"/>
  <c r="E38" i="509"/>
  <c r="E37" i="509"/>
  <c r="E36" i="509"/>
  <c r="E35" i="509"/>
  <c r="E31" i="509"/>
  <c r="E30" i="509"/>
  <c r="E29" i="509"/>
  <c r="E28" i="509"/>
  <c r="E27" i="509"/>
  <c r="E23" i="509"/>
  <c r="E22" i="509"/>
  <c r="E21" i="509"/>
  <c r="E24" i="509"/>
  <c r="E26" i="509"/>
  <c r="E34" i="509"/>
  <c r="E42" i="509"/>
  <c r="E46" i="509"/>
  <c r="A52" i="509" s="1"/>
  <c r="E40" i="509"/>
  <c r="E32" i="509"/>
  <c r="J50" i="509"/>
  <c r="E50" i="509"/>
  <c r="H46" i="508"/>
  <c r="C46" i="508" s="1"/>
  <c r="H40" i="508"/>
  <c r="C40" i="508" s="1"/>
  <c r="D50" i="508"/>
  <c r="D48" i="508"/>
  <c r="H32" i="508"/>
  <c r="C32" i="508" s="1"/>
  <c r="H24" i="508"/>
  <c r="H19" i="508"/>
  <c r="C19" i="508" s="1"/>
  <c r="H10" i="507"/>
  <c r="H11" i="507"/>
  <c r="H12" i="507"/>
  <c r="H13" i="507"/>
  <c r="H14" i="507"/>
  <c r="H15" i="507"/>
  <c r="H16" i="507"/>
  <c r="H17" i="507"/>
  <c r="H18" i="507"/>
  <c r="E19" i="507"/>
  <c r="H21" i="507"/>
  <c r="H22" i="507"/>
  <c r="H23" i="507"/>
  <c r="H26" i="507"/>
  <c r="H27" i="507"/>
  <c r="H28" i="507"/>
  <c r="H29" i="507"/>
  <c r="H30" i="507"/>
  <c r="H31" i="507"/>
  <c r="H34" i="507"/>
  <c r="D40" i="507"/>
  <c r="H35" i="507"/>
  <c r="H36" i="507"/>
  <c r="H37" i="507"/>
  <c r="H38" i="507"/>
  <c r="H39" i="507"/>
  <c r="H42" i="507"/>
  <c r="D46" i="507"/>
  <c r="H43" i="507"/>
  <c r="H44" i="507"/>
  <c r="D26" i="505"/>
  <c r="D28" i="505"/>
  <c r="D46" i="505"/>
  <c r="C45" i="505"/>
  <c r="C44" i="505"/>
  <c r="C43" i="505"/>
  <c r="C42" i="505"/>
  <c r="D40" i="505"/>
  <c r="C39" i="505"/>
  <c r="C38" i="505"/>
  <c r="C37" i="505"/>
  <c r="C36" i="505"/>
  <c r="C35" i="505"/>
  <c r="C34" i="505"/>
  <c r="D32" i="505"/>
  <c r="C31" i="505"/>
  <c r="C30" i="505"/>
  <c r="C29" i="505"/>
  <c r="C28" i="505"/>
  <c r="C27" i="505"/>
  <c r="C26" i="505"/>
  <c r="D24" i="505"/>
  <c r="C23" i="505"/>
  <c r="C22" i="505"/>
  <c r="C21" i="505"/>
  <c r="D19" i="505"/>
  <c r="E18" i="505" s="1"/>
  <c r="C18" i="505"/>
  <c r="C17" i="505"/>
  <c r="C16" i="505"/>
  <c r="C15" i="505"/>
  <c r="C14" i="505"/>
  <c r="C13" i="505"/>
  <c r="C12" i="505"/>
  <c r="C11" i="505"/>
  <c r="E10" i="505"/>
  <c r="C10" i="505"/>
  <c r="C7" i="505"/>
  <c r="G4" i="505"/>
  <c r="E4" i="505"/>
  <c r="F48" i="514" l="1"/>
  <c r="E11" i="505"/>
  <c r="E13" i="505"/>
  <c r="E12" i="505"/>
  <c r="E14" i="505"/>
  <c r="E15" i="505"/>
  <c r="E17" i="505"/>
  <c r="E16" i="505"/>
  <c r="A54" i="516"/>
  <c r="I51" i="516"/>
  <c r="F50" i="516"/>
  <c r="G6" i="516"/>
  <c r="G5" i="516"/>
  <c r="A54" i="515"/>
  <c r="I51" i="515"/>
  <c r="F50" i="515"/>
  <c r="G6" i="515"/>
  <c r="G5" i="515"/>
  <c r="A54" i="514"/>
  <c r="I51" i="514"/>
  <c r="F50" i="514"/>
  <c r="G6" i="514"/>
  <c r="G5" i="514"/>
  <c r="A54" i="513"/>
  <c r="I51" i="513"/>
  <c r="F50" i="513"/>
  <c r="G6" i="513"/>
  <c r="G5" i="513"/>
  <c r="I44" i="510"/>
  <c r="G44" i="510"/>
  <c r="I43" i="510"/>
  <c r="G43" i="510"/>
  <c r="I42" i="510"/>
  <c r="G42" i="510"/>
  <c r="I39" i="510"/>
  <c r="G39" i="510"/>
  <c r="I38" i="510"/>
  <c r="G38" i="510"/>
  <c r="I37" i="510"/>
  <c r="G37" i="510"/>
  <c r="I36" i="510"/>
  <c r="G36" i="510"/>
  <c r="I35" i="510"/>
  <c r="G35" i="510"/>
  <c r="I34" i="510"/>
  <c r="G34" i="510"/>
  <c r="I31" i="510"/>
  <c r="G31" i="510"/>
  <c r="I30" i="510"/>
  <c r="G30" i="510"/>
  <c r="I29" i="510"/>
  <c r="G29" i="510"/>
  <c r="I28" i="510"/>
  <c r="G28" i="510"/>
  <c r="I27" i="510"/>
  <c r="G27" i="510"/>
  <c r="I26" i="510"/>
  <c r="G26" i="510"/>
  <c r="I23" i="510"/>
  <c r="G23" i="510"/>
  <c r="I22" i="510"/>
  <c r="G22" i="510"/>
  <c r="I21" i="510"/>
  <c r="G21" i="510"/>
  <c r="I18" i="510"/>
  <c r="G18" i="510"/>
  <c r="I17" i="510"/>
  <c r="G17" i="510"/>
  <c r="I16" i="510"/>
  <c r="G16" i="510"/>
  <c r="I15" i="510"/>
  <c r="G15" i="510"/>
  <c r="I14" i="510"/>
  <c r="G14" i="510"/>
  <c r="I13" i="510"/>
  <c r="G13" i="510"/>
  <c r="I12" i="510"/>
  <c r="G12" i="510"/>
  <c r="I11" i="510"/>
  <c r="G11" i="510"/>
  <c r="I10" i="510"/>
  <c r="G10" i="510"/>
  <c r="E48" i="509"/>
  <c r="F10" i="509"/>
  <c r="F11" i="509"/>
  <c r="F12" i="509"/>
  <c r="F13" i="509"/>
  <c r="F14" i="509"/>
  <c r="F15" i="509"/>
  <c r="F16" i="509"/>
  <c r="F17" i="509"/>
  <c r="F18" i="509"/>
  <c r="F21" i="509"/>
  <c r="F22" i="509"/>
  <c r="F23" i="509"/>
  <c r="F26" i="509"/>
  <c r="F27" i="509"/>
  <c r="F28" i="509"/>
  <c r="F29" i="509"/>
  <c r="F30" i="509"/>
  <c r="F31" i="509"/>
  <c r="F34" i="509"/>
  <c r="F35" i="509"/>
  <c r="F36" i="509"/>
  <c r="F37" i="509"/>
  <c r="F38" i="509"/>
  <c r="F39" i="509"/>
  <c r="F42" i="509"/>
  <c r="F43" i="509"/>
  <c r="F44" i="509"/>
  <c r="F45" i="509"/>
  <c r="G45" i="509" s="1"/>
  <c r="C24" i="508"/>
  <c r="C48" i="508" s="1"/>
  <c r="H48" i="508"/>
  <c r="H50" i="508" s="1"/>
  <c r="E6" i="508" s="1"/>
  <c r="E45" i="508"/>
  <c r="E44" i="508"/>
  <c r="E43" i="508"/>
  <c r="E39" i="508"/>
  <c r="E38" i="508"/>
  <c r="E37" i="508"/>
  <c r="E36" i="508"/>
  <c r="E35" i="508"/>
  <c r="E31" i="508"/>
  <c r="E30" i="508"/>
  <c r="E29" i="508"/>
  <c r="E28" i="508"/>
  <c r="E23" i="508"/>
  <c r="E22" i="508"/>
  <c r="E21" i="508"/>
  <c r="E24" i="508"/>
  <c r="E26" i="508"/>
  <c r="E27" i="508"/>
  <c r="E34" i="508"/>
  <c r="E42" i="508"/>
  <c r="E46" i="508"/>
  <c r="A52" i="508" s="1"/>
  <c r="E40" i="508"/>
  <c r="E32" i="508"/>
  <c r="J50" i="508"/>
  <c r="E50" i="508"/>
  <c r="H46" i="507"/>
  <c r="C46" i="507" s="1"/>
  <c r="D50" i="507"/>
  <c r="D48" i="507"/>
  <c r="H40" i="507"/>
  <c r="C40" i="507" s="1"/>
  <c r="H32" i="507"/>
  <c r="C32" i="507" s="1"/>
  <c r="H24" i="507"/>
  <c r="H19" i="507"/>
  <c r="C19" i="507" s="1"/>
  <c r="H10" i="505"/>
  <c r="H11" i="505"/>
  <c r="H12" i="505"/>
  <c r="H13" i="505"/>
  <c r="H14" i="505"/>
  <c r="H15" i="505"/>
  <c r="H16" i="505"/>
  <c r="H17" i="505"/>
  <c r="H18" i="505"/>
  <c r="D50" i="505"/>
  <c r="E19" i="505"/>
  <c r="H21" i="505"/>
  <c r="H22" i="505"/>
  <c r="H23" i="505"/>
  <c r="D48" i="505"/>
  <c r="E24" i="505" s="1"/>
  <c r="H26" i="505"/>
  <c r="H27" i="505"/>
  <c r="H28" i="505"/>
  <c r="H29" i="505"/>
  <c r="H30" i="505"/>
  <c r="H31" i="505"/>
  <c r="H34" i="505"/>
  <c r="H35" i="505"/>
  <c r="H36" i="505"/>
  <c r="H37" i="505"/>
  <c r="H38" i="505"/>
  <c r="H39" i="505"/>
  <c r="H42" i="505"/>
  <c r="H43" i="505"/>
  <c r="H44" i="505"/>
  <c r="D42" i="503"/>
  <c r="D27" i="503"/>
  <c r="D34" i="503"/>
  <c r="I19" i="510" l="1"/>
  <c r="F19" i="510" s="1"/>
  <c r="G19" i="510" s="1"/>
  <c r="I32" i="510"/>
  <c r="F32" i="510" s="1"/>
  <c r="G32" i="510" s="1"/>
  <c r="I40" i="510"/>
  <c r="F40" i="510" s="1"/>
  <c r="G40" i="510" s="1"/>
  <c r="I46" i="510"/>
  <c r="F46" i="510" s="1"/>
  <c r="G46" i="510" s="1"/>
  <c r="E32" i="505"/>
  <c r="E46" i="505"/>
  <c r="A52" i="505" s="1"/>
  <c r="E40" i="505"/>
  <c r="D27" i="580"/>
  <c r="I24" i="510"/>
  <c r="I44" i="509"/>
  <c r="G44" i="509"/>
  <c r="I43" i="509"/>
  <c r="G43" i="509"/>
  <c r="I42" i="509"/>
  <c r="G42" i="509"/>
  <c r="I39" i="509"/>
  <c r="G39" i="509"/>
  <c r="I38" i="509"/>
  <c r="G38" i="509"/>
  <c r="I37" i="509"/>
  <c r="G37" i="509"/>
  <c r="I36" i="509"/>
  <c r="G36" i="509"/>
  <c r="I35" i="509"/>
  <c r="G35" i="509"/>
  <c r="I34" i="509"/>
  <c r="G34" i="509"/>
  <c r="I31" i="509"/>
  <c r="G31" i="509"/>
  <c r="I30" i="509"/>
  <c r="G30" i="509"/>
  <c r="I29" i="509"/>
  <c r="G29" i="509"/>
  <c r="I28" i="509"/>
  <c r="G28" i="509"/>
  <c r="I27" i="509"/>
  <c r="G27" i="509"/>
  <c r="I26" i="509"/>
  <c r="G26" i="509"/>
  <c r="I23" i="509"/>
  <c r="G23" i="509"/>
  <c r="I22" i="509"/>
  <c r="G22" i="509"/>
  <c r="I21" i="509"/>
  <c r="G21" i="509"/>
  <c r="I18" i="509"/>
  <c r="G18" i="509"/>
  <c r="I17" i="509"/>
  <c r="G17" i="509"/>
  <c r="I16" i="509"/>
  <c r="G16" i="509"/>
  <c r="I15" i="509"/>
  <c r="G15" i="509"/>
  <c r="I14" i="509"/>
  <c r="G14" i="509"/>
  <c r="I13" i="509"/>
  <c r="G13" i="509"/>
  <c r="I12" i="509"/>
  <c r="G12" i="509"/>
  <c r="I11" i="509"/>
  <c r="G11" i="509"/>
  <c r="I10" i="509"/>
  <c r="G10" i="509"/>
  <c r="E48" i="508"/>
  <c r="F10" i="508"/>
  <c r="F11" i="508"/>
  <c r="F12" i="508"/>
  <c r="F13" i="508"/>
  <c r="F14" i="508"/>
  <c r="F15" i="508"/>
  <c r="F16" i="508"/>
  <c r="F17" i="508"/>
  <c r="F18" i="508"/>
  <c r="F21" i="508"/>
  <c r="F22" i="508"/>
  <c r="F23" i="508"/>
  <c r="F26" i="508"/>
  <c r="F27" i="508"/>
  <c r="F28" i="508"/>
  <c r="F29" i="508"/>
  <c r="F30" i="508"/>
  <c r="F31" i="508"/>
  <c r="F34" i="508"/>
  <c r="F35" i="508"/>
  <c r="F36" i="508"/>
  <c r="F37" i="508"/>
  <c r="F38" i="508"/>
  <c r="F39" i="508"/>
  <c r="F42" i="508"/>
  <c r="F43" i="508"/>
  <c r="F44" i="508"/>
  <c r="F45" i="508"/>
  <c r="G45" i="508" s="1"/>
  <c r="C24" i="507"/>
  <c r="C48" i="507" s="1"/>
  <c r="H48" i="507"/>
  <c r="H50" i="507" s="1"/>
  <c r="E6" i="507" s="1"/>
  <c r="E45" i="507"/>
  <c r="E44" i="507"/>
  <c r="E43" i="507"/>
  <c r="E39" i="507"/>
  <c r="E38" i="507"/>
  <c r="E37" i="507"/>
  <c r="E36" i="507"/>
  <c r="E35" i="507"/>
  <c r="E31" i="507"/>
  <c r="E30" i="507"/>
  <c r="E29" i="507"/>
  <c r="E28" i="507"/>
  <c r="E27" i="507"/>
  <c r="E26" i="507"/>
  <c r="E23" i="507"/>
  <c r="E22" i="507"/>
  <c r="E21" i="507"/>
  <c r="E24" i="507"/>
  <c r="E32" i="507"/>
  <c r="E34" i="507"/>
  <c r="E42" i="507"/>
  <c r="E46" i="507"/>
  <c r="A52" i="507" s="1"/>
  <c r="E40" i="507"/>
  <c r="J50" i="507"/>
  <c r="E50" i="507"/>
  <c r="H46" i="505"/>
  <c r="C46" i="505" s="1"/>
  <c r="H40" i="505"/>
  <c r="C40" i="505" s="1"/>
  <c r="H32" i="505"/>
  <c r="C32" i="505" s="1"/>
  <c r="E45" i="505"/>
  <c r="E44" i="505"/>
  <c r="E43" i="505"/>
  <c r="E42" i="505"/>
  <c r="E39" i="505"/>
  <c r="E38" i="505"/>
  <c r="E37" i="505"/>
  <c r="E36" i="505"/>
  <c r="E35" i="505"/>
  <c r="E34" i="505"/>
  <c r="E31" i="505"/>
  <c r="E30" i="505"/>
  <c r="E29" i="505"/>
  <c r="E28" i="505"/>
  <c r="E27" i="505"/>
  <c r="E26" i="505"/>
  <c r="E23" i="505"/>
  <c r="E22" i="505"/>
  <c r="E21" i="505"/>
  <c r="H24" i="505"/>
  <c r="J50" i="505"/>
  <c r="E50" i="505"/>
  <c r="H19" i="505"/>
  <c r="C19" i="505" s="1"/>
  <c r="D42" i="504"/>
  <c r="D42" i="580" s="1"/>
  <c r="D34" i="504"/>
  <c r="D34" i="580" s="1"/>
  <c r="D26" i="504"/>
  <c r="I19" i="509" l="1"/>
  <c r="F19" i="509" s="1"/>
  <c r="G19" i="509" s="1"/>
  <c r="I32" i="509"/>
  <c r="F32" i="509" s="1"/>
  <c r="G32" i="509" s="1"/>
  <c r="I40" i="509"/>
  <c r="F40" i="509" s="1"/>
  <c r="G40" i="509" s="1"/>
  <c r="I46" i="509"/>
  <c r="F46" i="509" s="1"/>
  <c r="G46" i="509" s="1"/>
  <c r="H34" i="580"/>
  <c r="H40" i="580" s="1"/>
  <c r="D40" i="580"/>
  <c r="H42" i="580"/>
  <c r="H46" i="580" s="1"/>
  <c r="D46" i="580"/>
  <c r="H27" i="580"/>
  <c r="E48" i="505"/>
  <c r="F24" i="510"/>
  <c r="G24" i="510" s="1"/>
  <c r="I48" i="510"/>
  <c r="I24" i="509"/>
  <c r="I44" i="508"/>
  <c r="G44" i="508"/>
  <c r="I43" i="508"/>
  <c r="G43" i="508"/>
  <c r="I42" i="508"/>
  <c r="G42" i="508"/>
  <c r="I39" i="508"/>
  <c r="G39" i="508"/>
  <c r="I38" i="508"/>
  <c r="G38" i="508"/>
  <c r="I37" i="508"/>
  <c r="G37" i="508"/>
  <c r="I36" i="508"/>
  <c r="G36" i="508"/>
  <c r="I35" i="508"/>
  <c r="G35" i="508"/>
  <c r="I34" i="508"/>
  <c r="G34" i="508"/>
  <c r="I31" i="508"/>
  <c r="G31" i="508"/>
  <c r="I30" i="508"/>
  <c r="G30" i="508"/>
  <c r="I29" i="508"/>
  <c r="G29" i="508"/>
  <c r="I28" i="508"/>
  <c r="G28" i="508"/>
  <c r="I27" i="508"/>
  <c r="G27" i="508"/>
  <c r="I26" i="508"/>
  <c r="G26" i="508"/>
  <c r="I23" i="508"/>
  <c r="G23" i="508"/>
  <c r="I22" i="508"/>
  <c r="G22" i="508"/>
  <c r="I21" i="508"/>
  <c r="G21" i="508"/>
  <c r="I18" i="508"/>
  <c r="G18" i="508"/>
  <c r="I17" i="508"/>
  <c r="G17" i="508"/>
  <c r="I16" i="508"/>
  <c r="G16" i="508"/>
  <c r="I15" i="508"/>
  <c r="G15" i="508"/>
  <c r="I14" i="508"/>
  <c r="G14" i="508"/>
  <c r="I13" i="508"/>
  <c r="G13" i="508"/>
  <c r="I12" i="508"/>
  <c r="G12" i="508"/>
  <c r="I11" i="508"/>
  <c r="G11" i="508"/>
  <c r="I10" i="508"/>
  <c r="G10" i="508"/>
  <c r="E48" i="507"/>
  <c r="F10" i="507"/>
  <c r="F11" i="507"/>
  <c r="F12" i="507"/>
  <c r="F13" i="507"/>
  <c r="F14" i="507"/>
  <c r="F15" i="507"/>
  <c r="F16" i="507"/>
  <c r="F17" i="507"/>
  <c r="F18" i="507"/>
  <c r="F21" i="507"/>
  <c r="F22" i="507"/>
  <c r="F23" i="507"/>
  <c r="F26" i="507"/>
  <c r="F27" i="507"/>
  <c r="F28" i="507"/>
  <c r="F29" i="507"/>
  <c r="F30" i="507"/>
  <c r="F31" i="507"/>
  <c r="F34" i="507"/>
  <c r="F35" i="507"/>
  <c r="F36" i="507"/>
  <c r="F37" i="507"/>
  <c r="F38" i="507"/>
  <c r="F39" i="507"/>
  <c r="F42" i="507"/>
  <c r="F43" i="507"/>
  <c r="F44" i="507"/>
  <c r="F45" i="507"/>
  <c r="G45" i="507" s="1"/>
  <c r="C24" i="505"/>
  <c r="C48" i="505" s="1"/>
  <c r="H48" i="505"/>
  <c r="H50" i="505" s="1"/>
  <c r="E6" i="505" s="1"/>
  <c r="D46" i="504"/>
  <c r="E4" i="504"/>
  <c r="G4" i="504"/>
  <c r="C7" i="504"/>
  <c r="C10" i="504"/>
  <c r="C11" i="504"/>
  <c r="C12" i="504"/>
  <c r="H12" i="504" s="1"/>
  <c r="C13" i="504"/>
  <c r="C14" i="504"/>
  <c r="H14" i="504" s="1"/>
  <c r="C15" i="504"/>
  <c r="H15" i="504" s="1"/>
  <c r="C16" i="504"/>
  <c r="C17" i="504"/>
  <c r="C18" i="504"/>
  <c r="D19" i="504"/>
  <c r="E17" i="504" s="1"/>
  <c r="C21" i="504"/>
  <c r="C22" i="504"/>
  <c r="H22" i="504" s="1"/>
  <c r="C23" i="504"/>
  <c r="H23" i="504" s="1"/>
  <c r="D24" i="504"/>
  <c r="C26" i="504"/>
  <c r="H26" i="504" s="1"/>
  <c r="C27" i="504"/>
  <c r="H27" i="504" s="1"/>
  <c r="C28" i="504"/>
  <c r="C29" i="504"/>
  <c r="H29" i="504" s="1"/>
  <c r="C30" i="504"/>
  <c r="H30" i="504" s="1"/>
  <c r="C31" i="504"/>
  <c r="D32" i="504"/>
  <c r="C34" i="504"/>
  <c r="C35" i="504"/>
  <c r="H35" i="504" s="1"/>
  <c r="C36" i="504"/>
  <c r="H36" i="504" s="1"/>
  <c r="C37" i="504"/>
  <c r="C38" i="504"/>
  <c r="C39" i="504"/>
  <c r="C42" i="504"/>
  <c r="C43" i="504"/>
  <c r="C44" i="504"/>
  <c r="C45" i="504"/>
  <c r="C40" i="580" l="1"/>
  <c r="C46" i="580"/>
  <c r="I19" i="508"/>
  <c r="F19" i="508" s="1"/>
  <c r="G19" i="508" s="1"/>
  <c r="I32" i="508"/>
  <c r="F32" i="508" s="1"/>
  <c r="G32" i="508" s="1"/>
  <c r="I40" i="508"/>
  <c r="F40" i="508" s="1"/>
  <c r="G40" i="508" s="1"/>
  <c r="I46" i="508"/>
  <c r="F46" i="508" s="1"/>
  <c r="G46" i="508" s="1"/>
  <c r="I50" i="510"/>
  <c r="F48" i="510"/>
  <c r="F24" i="509"/>
  <c r="G24" i="509" s="1"/>
  <c r="I48" i="509"/>
  <c r="I24" i="508"/>
  <c r="I44" i="507"/>
  <c r="G44" i="507"/>
  <c r="I43" i="507"/>
  <c r="G43" i="507"/>
  <c r="I42" i="507"/>
  <c r="G42" i="507"/>
  <c r="I39" i="507"/>
  <c r="G39" i="507"/>
  <c r="I38" i="507"/>
  <c r="G38" i="507"/>
  <c r="I37" i="507"/>
  <c r="G37" i="507"/>
  <c r="I36" i="507"/>
  <c r="G36" i="507"/>
  <c r="I35" i="507"/>
  <c r="G35" i="507"/>
  <c r="I34" i="507"/>
  <c r="G34" i="507"/>
  <c r="I31" i="507"/>
  <c r="G31" i="507"/>
  <c r="I30" i="507"/>
  <c r="G30" i="507"/>
  <c r="I29" i="507"/>
  <c r="G29" i="507"/>
  <c r="I28" i="507"/>
  <c r="G28" i="507"/>
  <c r="I27" i="507"/>
  <c r="G27" i="507"/>
  <c r="I26" i="507"/>
  <c r="G26" i="507"/>
  <c r="I23" i="507"/>
  <c r="G23" i="507"/>
  <c r="I22" i="507"/>
  <c r="G22" i="507"/>
  <c r="I21" i="507"/>
  <c r="G21" i="507"/>
  <c r="I18" i="507"/>
  <c r="G18" i="507"/>
  <c r="I17" i="507"/>
  <c r="G17" i="507"/>
  <c r="I16" i="507"/>
  <c r="G16" i="507"/>
  <c r="I15" i="507"/>
  <c r="G15" i="507"/>
  <c r="I14" i="507"/>
  <c r="G14" i="507"/>
  <c r="I13" i="507"/>
  <c r="G13" i="507"/>
  <c r="I12" i="507"/>
  <c r="G12" i="507"/>
  <c r="I11" i="507"/>
  <c r="G11" i="507"/>
  <c r="I10" i="507"/>
  <c r="G10" i="507"/>
  <c r="F10" i="505"/>
  <c r="F11" i="505"/>
  <c r="F12" i="505"/>
  <c r="F13" i="505"/>
  <c r="F14" i="505"/>
  <c r="F15" i="505"/>
  <c r="F16" i="505"/>
  <c r="F17" i="505"/>
  <c r="F18" i="505"/>
  <c r="F21" i="505"/>
  <c r="F22" i="505"/>
  <c r="F23" i="505"/>
  <c r="F26" i="505"/>
  <c r="F27" i="505"/>
  <c r="F28" i="505"/>
  <c r="F29" i="505"/>
  <c r="F30" i="505"/>
  <c r="F31" i="505"/>
  <c r="F34" i="505"/>
  <c r="F35" i="505"/>
  <c r="F36" i="505"/>
  <c r="F37" i="505"/>
  <c r="F38" i="505"/>
  <c r="F39" i="505"/>
  <c r="F42" i="505"/>
  <c r="F43" i="505"/>
  <c r="F44" i="505"/>
  <c r="F45" i="505"/>
  <c r="G45" i="505" s="1"/>
  <c r="H11" i="504"/>
  <c r="E14" i="504"/>
  <c r="H43" i="504"/>
  <c r="H37" i="504"/>
  <c r="H31" i="504"/>
  <c r="E19" i="504"/>
  <c r="H16" i="504"/>
  <c r="D40" i="504"/>
  <c r="D48" i="504" s="1"/>
  <c r="E46" i="504" s="1"/>
  <c r="A52" i="504" s="1"/>
  <c r="E11" i="504"/>
  <c r="H34" i="504"/>
  <c r="H28" i="504"/>
  <c r="H13" i="504"/>
  <c r="E16" i="504"/>
  <c r="H39" i="504"/>
  <c r="H10" i="504"/>
  <c r="H18" i="504"/>
  <c r="E13" i="504"/>
  <c r="H42" i="504"/>
  <c r="H21" i="504"/>
  <c r="E18" i="504"/>
  <c r="E10" i="504"/>
  <c r="E15" i="504"/>
  <c r="H44" i="504"/>
  <c r="H38" i="504"/>
  <c r="H17" i="504"/>
  <c r="E12" i="504"/>
  <c r="D40" i="503"/>
  <c r="D46" i="503"/>
  <c r="C45" i="503"/>
  <c r="C44" i="503"/>
  <c r="C43" i="503"/>
  <c r="C42" i="503"/>
  <c r="C39" i="503"/>
  <c r="C38" i="503"/>
  <c r="C37" i="503"/>
  <c r="C36" i="503"/>
  <c r="C35" i="503"/>
  <c r="C34" i="503"/>
  <c r="D32" i="503"/>
  <c r="C31" i="503"/>
  <c r="C30" i="503"/>
  <c r="C29" i="503"/>
  <c r="C28" i="503"/>
  <c r="C27" i="503"/>
  <c r="C26" i="503"/>
  <c r="D24" i="503"/>
  <c r="C23" i="503"/>
  <c r="C22" i="503"/>
  <c r="C21" i="503"/>
  <c r="D19" i="503"/>
  <c r="E18" i="503" s="1"/>
  <c r="C18" i="503"/>
  <c r="C17" i="503"/>
  <c r="C16" i="503"/>
  <c r="C15" i="503"/>
  <c r="C14" i="503"/>
  <c r="C13" i="503"/>
  <c r="C12" i="503"/>
  <c r="C11" i="503"/>
  <c r="C10" i="503"/>
  <c r="C7" i="503"/>
  <c r="G4" i="503"/>
  <c r="E4" i="503"/>
  <c r="H32" i="504" l="1"/>
  <c r="C32" i="504" s="1"/>
  <c r="I19" i="507"/>
  <c r="F19" i="507" s="1"/>
  <c r="G19" i="507" s="1"/>
  <c r="I32" i="507"/>
  <c r="F32" i="507" s="1"/>
  <c r="G32" i="507" s="1"/>
  <c r="I40" i="507"/>
  <c r="F40" i="507" s="1"/>
  <c r="G40" i="507" s="1"/>
  <c r="E13" i="503"/>
  <c r="E15" i="503"/>
  <c r="E12" i="503"/>
  <c r="E14" i="503"/>
  <c r="E16" i="503"/>
  <c r="I46" i="507"/>
  <c r="F46" i="507" s="1"/>
  <c r="G46" i="507" s="1"/>
  <c r="A54" i="510"/>
  <c r="I51" i="510"/>
  <c r="F50" i="510"/>
  <c r="G6" i="510"/>
  <c r="G5" i="510"/>
  <c r="I50" i="509"/>
  <c r="F48" i="509"/>
  <c r="F24" i="508"/>
  <c r="G24" i="508" s="1"/>
  <c r="I48" i="508"/>
  <c r="I24" i="507"/>
  <c r="I44" i="505"/>
  <c r="G44" i="505"/>
  <c r="I43" i="505"/>
  <c r="G43" i="505"/>
  <c r="I42" i="505"/>
  <c r="G42" i="505"/>
  <c r="I39" i="505"/>
  <c r="G39" i="505"/>
  <c r="I38" i="505"/>
  <c r="G38" i="505"/>
  <c r="I37" i="505"/>
  <c r="G37" i="505"/>
  <c r="I36" i="505"/>
  <c r="G36" i="505"/>
  <c r="I35" i="505"/>
  <c r="G35" i="505"/>
  <c r="I34" i="505"/>
  <c r="G34" i="505"/>
  <c r="I31" i="505"/>
  <c r="G31" i="505"/>
  <c r="I30" i="505"/>
  <c r="G30" i="505"/>
  <c r="I29" i="505"/>
  <c r="G29" i="505"/>
  <c r="I28" i="505"/>
  <c r="G28" i="505"/>
  <c r="I27" i="505"/>
  <c r="G27" i="505"/>
  <c r="I26" i="505"/>
  <c r="G26" i="505"/>
  <c r="I23" i="505"/>
  <c r="G23" i="505"/>
  <c r="I22" i="505"/>
  <c r="G22" i="505"/>
  <c r="I21" i="505"/>
  <c r="G21" i="505"/>
  <c r="I18" i="505"/>
  <c r="G18" i="505"/>
  <c r="I17" i="505"/>
  <c r="G17" i="505"/>
  <c r="I16" i="505"/>
  <c r="G16" i="505"/>
  <c r="I15" i="505"/>
  <c r="G15" i="505"/>
  <c r="I14" i="505"/>
  <c r="G14" i="505"/>
  <c r="I13" i="505"/>
  <c r="G13" i="505"/>
  <c r="I12" i="505"/>
  <c r="G12" i="505"/>
  <c r="I11" i="505"/>
  <c r="G11" i="505"/>
  <c r="I10" i="505"/>
  <c r="G10" i="505"/>
  <c r="H40" i="504"/>
  <c r="C40" i="504" s="1"/>
  <c r="E10" i="503"/>
  <c r="E11" i="503"/>
  <c r="H46" i="504"/>
  <c r="C46" i="504" s="1"/>
  <c r="E24" i="504"/>
  <c r="E32" i="504"/>
  <c r="H24" i="504"/>
  <c r="C24" i="504" s="1"/>
  <c r="E40" i="504"/>
  <c r="H19" i="504"/>
  <c r="C19" i="504" s="1"/>
  <c r="E34" i="504"/>
  <c r="E17" i="503"/>
  <c r="D50" i="504"/>
  <c r="E21" i="504"/>
  <c r="E36" i="504"/>
  <c r="E42" i="504"/>
  <c r="E30" i="504"/>
  <c r="E39" i="504"/>
  <c r="E45" i="504"/>
  <c r="E28" i="504"/>
  <c r="E22" i="504"/>
  <c r="E27" i="504"/>
  <c r="E31" i="504"/>
  <c r="E37" i="504"/>
  <c r="E43" i="504"/>
  <c r="E26" i="504"/>
  <c r="E38" i="504"/>
  <c r="E44" i="504"/>
  <c r="E29" i="504"/>
  <c r="E35" i="504"/>
  <c r="E23" i="504"/>
  <c r="H10" i="503"/>
  <c r="H11" i="503"/>
  <c r="H12" i="503"/>
  <c r="H13" i="503"/>
  <c r="H14" i="503"/>
  <c r="H15" i="503"/>
  <c r="H16" i="503"/>
  <c r="H17" i="503"/>
  <c r="H18" i="503"/>
  <c r="D50" i="503"/>
  <c r="E19" i="503"/>
  <c r="H21" i="503"/>
  <c r="H22" i="503"/>
  <c r="H23" i="503"/>
  <c r="D48" i="503"/>
  <c r="E40" i="503" s="1"/>
  <c r="H26" i="503"/>
  <c r="H27" i="503"/>
  <c r="H28" i="503"/>
  <c r="H29" i="503"/>
  <c r="H30" i="503"/>
  <c r="H31" i="503"/>
  <c r="H34" i="503"/>
  <c r="H35" i="503"/>
  <c r="H36" i="503"/>
  <c r="H37" i="503"/>
  <c r="H38" i="503"/>
  <c r="H39" i="503"/>
  <c r="H42" i="503"/>
  <c r="H43" i="503"/>
  <c r="H44" i="503"/>
  <c r="D46" i="502"/>
  <c r="C45" i="502"/>
  <c r="C44" i="502"/>
  <c r="C43" i="502"/>
  <c r="C42" i="502"/>
  <c r="D40" i="502"/>
  <c r="C39" i="502"/>
  <c r="C38" i="502"/>
  <c r="C37" i="502"/>
  <c r="C36" i="502"/>
  <c r="C35" i="502"/>
  <c r="C34" i="502"/>
  <c r="D32" i="502"/>
  <c r="C31" i="502"/>
  <c r="C30" i="502"/>
  <c r="C29" i="502"/>
  <c r="C28" i="502"/>
  <c r="C27" i="502"/>
  <c r="C26" i="502"/>
  <c r="D24" i="502"/>
  <c r="C23" i="502"/>
  <c r="C22" i="502"/>
  <c r="C21" i="502"/>
  <c r="D19" i="502"/>
  <c r="E14" i="502" s="1"/>
  <c r="C18" i="502"/>
  <c r="C17" i="502"/>
  <c r="C16" i="502"/>
  <c r="C15" i="502"/>
  <c r="C14" i="502"/>
  <c r="C13" i="502"/>
  <c r="C12" i="502"/>
  <c r="C11" i="502"/>
  <c r="C10" i="502"/>
  <c r="C7" i="502"/>
  <c r="G4" i="502"/>
  <c r="E4" i="502"/>
  <c r="H48" i="504" l="1"/>
  <c r="E10" i="502"/>
  <c r="E16" i="502"/>
  <c r="E18" i="502"/>
  <c r="E17" i="502"/>
  <c r="E15" i="502"/>
  <c r="E46" i="503"/>
  <c r="A52" i="503" s="1"/>
  <c r="E24" i="503"/>
  <c r="C48" i="504"/>
  <c r="I19" i="505"/>
  <c r="F19" i="505" s="1"/>
  <c r="G19" i="505" s="1"/>
  <c r="I32" i="505"/>
  <c r="F32" i="505" s="1"/>
  <c r="G32" i="505" s="1"/>
  <c r="I40" i="505"/>
  <c r="F40" i="505" s="1"/>
  <c r="G40" i="505" s="1"/>
  <c r="I46" i="505"/>
  <c r="F46" i="505" s="1"/>
  <c r="G46" i="505" s="1"/>
  <c r="A54" i="509"/>
  <c r="I51" i="509"/>
  <c r="F50" i="509"/>
  <c r="G6" i="509"/>
  <c r="G5" i="509"/>
  <c r="I50" i="508"/>
  <c r="F48" i="508"/>
  <c r="F24" i="507"/>
  <c r="G24" i="507" s="1"/>
  <c r="I48" i="507"/>
  <c r="I24" i="505"/>
  <c r="E32" i="503"/>
  <c r="E11" i="502"/>
  <c r="E13" i="502"/>
  <c r="E12" i="502"/>
  <c r="E48" i="504"/>
  <c r="E50" i="504"/>
  <c r="J50" i="504"/>
  <c r="H50" i="504"/>
  <c r="E6" i="504" s="1"/>
  <c r="H46" i="503"/>
  <c r="C46" i="503" s="1"/>
  <c r="H40" i="503"/>
  <c r="C40" i="503" s="1"/>
  <c r="H32" i="503"/>
  <c r="C32" i="503" s="1"/>
  <c r="E45" i="503"/>
  <c r="E44" i="503"/>
  <c r="E43" i="503"/>
  <c r="E42" i="503"/>
  <c r="E39" i="503"/>
  <c r="E38" i="503"/>
  <c r="E37" i="503"/>
  <c r="E36" i="503"/>
  <c r="E35" i="503"/>
  <c r="E34" i="503"/>
  <c r="E31" i="503"/>
  <c r="E30" i="503"/>
  <c r="E29" i="503"/>
  <c r="E28" i="503"/>
  <c r="E27" i="503"/>
  <c r="E26" i="503"/>
  <c r="E23" i="503"/>
  <c r="E22" i="503"/>
  <c r="E21" i="503"/>
  <c r="H24" i="503"/>
  <c r="J50" i="503"/>
  <c r="E50" i="503"/>
  <c r="H19" i="503"/>
  <c r="C19" i="503" s="1"/>
  <c r="H10" i="502"/>
  <c r="H11" i="502"/>
  <c r="H12" i="502"/>
  <c r="H13" i="502"/>
  <c r="H14" i="502"/>
  <c r="H15" i="502"/>
  <c r="H16" i="502"/>
  <c r="H17" i="502"/>
  <c r="H18" i="502"/>
  <c r="D50" i="502"/>
  <c r="E19" i="502"/>
  <c r="H21" i="502"/>
  <c r="H22" i="502"/>
  <c r="H23" i="502"/>
  <c r="D48" i="502"/>
  <c r="E32" i="502" s="1"/>
  <c r="H26" i="502"/>
  <c r="H27" i="502"/>
  <c r="H28" i="502"/>
  <c r="H29" i="502"/>
  <c r="H30" i="502"/>
  <c r="H31" i="502"/>
  <c r="H34" i="502"/>
  <c r="H35" i="502"/>
  <c r="H36" i="502"/>
  <c r="H37" i="502"/>
  <c r="H38" i="502"/>
  <c r="H39" i="502"/>
  <c r="H42" i="502"/>
  <c r="H43" i="502"/>
  <c r="H44" i="502"/>
  <c r="D27" i="501"/>
  <c r="D34" i="501"/>
  <c r="D26" i="501"/>
  <c r="D42" i="501"/>
  <c r="C45" i="501"/>
  <c r="C44" i="501"/>
  <c r="C43" i="501"/>
  <c r="C42" i="501"/>
  <c r="C39" i="501"/>
  <c r="C38" i="501"/>
  <c r="C37" i="501"/>
  <c r="C36" i="501"/>
  <c r="C35" i="501"/>
  <c r="C34" i="501"/>
  <c r="C31" i="501"/>
  <c r="C30" i="501"/>
  <c r="C29" i="501"/>
  <c r="C28" i="501"/>
  <c r="C27" i="501"/>
  <c r="C26" i="501"/>
  <c r="D24" i="501"/>
  <c r="C23" i="501"/>
  <c r="C22" i="501"/>
  <c r="C21" i="501"/>
  <c r="D19" i="501"/>
  <c r="E14" i="501" s="1"/>
  <c r="C18" i="501"/>
  <c r="C17" i="501"/>
  <c r="C16" i="501"/>
  <c r="C15" i="501"/>
  <c r="C14" i="501"/>
  <c r="C13" i="501"/>
  <c r="C12" i="501"/>
  <c r="C11" i="501"/>
  <c r="C10" i="501"/>
  <c r="C7" i="501"/>
  <c r="G4" i="501"/>
  <c r="E4" i="501"/>
  <c r="E16" i="501" l="1"/>
  <c r="E40" i="502"/>
  <c r="E24" i="502"/>
  <c r="E18" i="501"/>
  <c r="D27" i="578"/>
  <c r="A54" i="508"/>
  <c r="I51" i="508"/>
  <c r="F50" i="508"/>
  <c r="G6" i="508"/>
  <c r="G5" i="508"/>
  <c r="I50" i="507"/>
  <c r="F48" i="507"/>
  <c r="F24" i="505"/>
  <c r="G24" i="505" s="1"/>
  <c r="I48" i="505"/>
  <c r="E10" i="501"/>
  <c r="E48" i="503"/>
  <c r="E15" i="501"/>
  <c r="E46" i="502"/>
  <c r="A52" i="502" s="1"/>
  <c r="E17" i="501"/>
  <c r="E11" i="501"/>
  <c r="E12" i="501"/>
  <c r="E13" i="501"/>
  <c r="F27" i="504"/>
  <c r="F30" i="504"/>
  <c r="F15" i="504"/>
  <c r="F42" i="504"/>
  <c r="F28" i="504"/>
  <c r="F34" i="504"/>
  <c r="F23" i="504"/>
  <c r="F26" i="504"/>
  <c r="F14" i="504"/>
  <c r="F29" i="504"/>
  <c r="F35" i="504"/>
  <c r="F36" i="504"/>
  <c r="F18" i="504"/>
  <c r="F43" i="504"/>
  <c r="F44" i="504"/>
  <c r="F45" i="504"/>
  <c r="G45" i="504" s="1"/>
  <c r="F10" i="504"/>
  <c r="F17" i="504"/>
  <c r="F16" i="504"/>
  <c r="F12" i="504"/>
  <c r="F21" i="504"/>
  <c r="F37" i="504"/>
  <c r="F22" i="504"/>
  <c r="F39" i="504"/>
  <c r="F38" i="504"/>
  <c r="F13" i="504"/>
  <c r="F11" i="504"/>
  <c r="F31" i="504"/>
  <c r="C24" i="503"/>
  <c r="C48" i="503" s="1"/>
  <c r="H48" i="503"/>
  <c r="H50" i="503" s="1"/>
  <c r="E6" i="503" s="1"/>
  <c r="H46" i="502"/>
  <c r="C46" i="502" s="1"/>
  <c r="H40" i="502"/>
  <c r="C40" i="502" s="1"/>
  <c r="H32" i="502"/>
  <c r="C32" i="502" s="1"/>
  <c r="E45" i="502"/>
  <c r="E44" i="502"/>
  <c r="E43" i="502"/>
  <c r="E42" i="502"/>
  <c r="E39" i="502"/>
  <c r="E38" i="502"/>
  <c r="E37" i="502"/>
  <c r="E36" i="502"/>
  <c r="E35" i="502"/>
  <c r="E34" i="502"/>
  <c r="E31" i="502"/>
  <c r="E30" i="502"/>
  <c r="E29" i="502"/>
  <c r="E28" i="502"/>
  <c r="E27" i="502"/>
  <c r="E26" i="502"/>
  <c r="E23" i="502"/>
  <c r="E22" i="502"/>
  <c r="E21" i="502"/>
  <c r="H24" i="502"/>
  <c r="J50" i="502"/>
  <c r="E50" i="502"/>
  <c r="H19" i="502"/>
  <c r="C19" i="502" s="1"/>
  <c r="H10" i="501"/>
  <c r="H11" i="501"/>
  <c r="H12" i="501"/>
  <c r="H13" i="501"/>
  <c r="H14" i="501"/>
  <c r="H15" i="501"/>
  <c r="H16" i="501"/>
  <c r="H17" i="501"/>
  <c r="H18" i="501"/>
  <c r="E19" i="501"/>
  <c r="H21" i="501"/>
  <c r="H22" i="501"/>
  <c r="H23" i="501"/>
  <c r="H26" i="501"/>
  <c r="D32" i="501"/>
  <c r="H27" i="501"/>
  <c r="H28" i="501"/>
  <c r="H29" i="501"/>
  <c r="H30" i="501"/>
  <c r="H31" i="501"/>
  <c r="H34" i="501"/>
  <c r="D40" i="501"/>
  <c r="H35" i="501"/>
  <c r="H36" i="501"/>
  <c r="H37" i="501"/>
  <c r="H38" i="501"/>
  <c r="H39" i="501"/>
  <c r="H42" i="501"/>
  <c r="D46" i="501"/>
  <c r="H43" i="501"/>
  <c r="H44" i="501"/>
  <c r="D34" i="500"/>
  <c r="D42" i="500"/>
  <c r="C45" i="500"/>
  <c r="C44" i="500"/>
  <c r="C43" i="500"/>
  <c r="C42" i="500"/>
  <c r="C39" i="500"/>
  <c r="C38" i="500"/>
  <c r="C37" i="500"/>
  <c r="C36" i="500"/>
  <c r="C35" i="500"/>
  <c r="C34" i="500"/>
  <c r="D32" i="500"/>
  <c r="C31" i="500"/>
  <c r="C30" i="500"/>
  <c r="C29" i="500"/>
  <c r="C28" i="500"/>
  <c r="C27" i="500"/>
  <c r="C26" i="500"/>
  <c r="D24" i="500"/>
  <c r="C23" i="500"/>
  <c r="C22" i="500"/>
  <c r="C21" i="500"/>
  <c r="D19" i="500"/>
  <c r="E13" i="500" s="1"/>
  <c r="C18" i="500"/>
  <c r="C17" i="500"/>
  <c r="C16" i="500"/>
  <c r="C15" i="500"/>
  <c r="C14" i="500"/>
  <c r="C13" i="500"/>
  <c r="C12" i="500"/>
  <c r="C11" i="500"/>
  <c r="C10" i="500"/>
  <c r="C7" i="500"/>
  <c r="G4" i="500"/>
  <c r="E4" i="500"/>
  <c r="E16" i="500" l="1"/>
  <c r="E14" i="500"/>
  <c r="E15" i="500"/>
  <c r="E18" i="500"/>
  <c r="E17" i="500"/>
  <c r="H27" i="578"/>
  <c r="A54" i="507"/>
  <c r="I51" i="507"/>
  <c r="F50" i="507"/>
  <c r="G6" i="507"/>
  <c r="G5" i="507"/>
  <c r="I50" i="505"/>
  <c r="F48" i="505"/>
  <c r="E11" i="500"/>
  <c r="E10" i="500"/>
  <c r="I38" i="504"/>
  <c r="G38" i="504"/>
  <c r="G14" i="504"/>
  <c r="I14" i="504"/>
  <c r="I34" i="504"/>
  <c r="G34" i="504"/>
  <c r="I28" i="504"/>
  <c r="G28" i="504"/>
  <c r="E48" i="502"/>
  <c r="I42" i="504"/>
  <c r="G42" i="504"/>
  <c r="I22" i="504"/>
  <c r="G22" i="504"/>
  <c r="I15" i="504"/>
  <c r="G15" i="504"/>
  <c r="I17" i="504"/>
  <c r="G17" i="504"/>
  <c r="I30" i="504"/>
  <c r="G30" i="504"/>
  <c r="I37" i="504"/>
  <c r="G37" i="504"/>
  <c r="I10" i="504"/>
  <c r="G10" i="504"/>
  <c r="G27" i="504"/>
  <c r="I27" i="504"/>
  <c r="I26" i="504"/>
  <c r="G26" i="504"/>
  <c r="G12" i="504"/>
  <c r="I12" i="504"/>
  <c r="G44" i="504"/>
  <c r="I44" i="504"/>
  <c r="G23" i="504"/>
  <c r="I23" i="504"/>
  <c r="I43" i="504"/>
  <c r="G43" i="504"/>
  <c r="I21" i="504"/>
  <c r="G21" i="504"/>
  <c r="I16" i="504"/>
  <c r="G16" i="504"/>
  <c r="I18" i="504"/>
  <c r="G18" i="504"/>
  <c r="I31" i="504"/>
  <c r="G31" i="504"/>
  <c r="I36" i="504"/>
  <c r="G36" i="504"/>
  <c r="I11" i="504"/>
  <c r="G11" i="504"/>
  <c r="I35" i="504"/>
  <c r="G35" i="504"/>
  <c r="I39" i="504"/>
  <c r="G39" i="504"/>
  <c r="E12" i="500"/>
  <c r="I13" i="504"/>
  <c r="G13" i="504"/>
  <c r="I29" i="504"/>
  <c r="G29" i="504"/>
  <c r="F10" i="503"/>
  <c r="F11" i="503"/>
  <c r="F12" i="503"/>
  <c r="F13" i="503"/>
  <c r="F14" i="503"/>
  <c r="F15" i="503"/>
  <c r="F16" i="503"/>
  <c r="F17" i="503"/>
  <c r="F18" i="503"/>
  <c r="F21" i="503"/>
  <c r="F22" i="503"/>
  <c r="F23" i="503"/>
  <c r="F26" i="503"/>
  <c r="F27" i="503"/>
  <c r="F28" i="503"/>
  <c r="F29" i="503"/>
  <c r="F30" i="503"/>
  <c r="F31" i="503"/>
  <c r="F34" i="503"/>
  <c r="F35" i="503"/>
  <c r="F36" i="503"/>
  <c r="F37" i="503"/>
  <c r="F38" i="503"/>
  <c r="F39" i="503"/>
  <c r="F42" i="503"/>
  <c r="F43" i="503"/>
  <c r="F44" i="503"/>
  <c r="F45" i="503"/>
  <c r="G45" i="503" s="1"/>
  <c r="C24" i="502"/>
  <c r="C48" i="502" s="1"/>
  <c r="H48" i="502"/>
  <c r="H50" i="502" s="1"/>
  <c r="E6" i="502" s="1"/>
  <c r="H46" i="501"/>
  <c r="C46" i="501" s="1"/>
  <c r="H40" i="501"/>
  <c r="C40" i="501" s="1"/>
  <c r="D50" i="501"/>
  <c r="D48" i="501"/>
  <c r="H32" i="501"/>
  <c r="C32" i="501" s="1"/>
  <c r="H24" i="501"/>
  <c r="H19" i="501"/>
  <c r="C19" i="501" s="1"/>
  <c r="H10" i="500"/>
  <c r="H11" i="500"/>
  <c r="H12" i="500"/>
  <c r="H13" i="500"/>
  <c r="H14" i="500"/>
  <c r="H15" i="500"/>
  <c r="H16" i="500"/>
  <c r="H17" i="500"/>
  <c r="H18" i="500"/>
  <c r="E19" i="500"/>
  <c r="H21" i="500"/>
  <c r="H22" i="500"/>
  <c r="H23" i="500"/>
  <c r="H26" i="500"/>
  <c r="H27" i="500"/>
  <c r="H28" i="500"/>
  <c r="H29" i="500"/>
  <c r="H30" i="500"/>
  <c r="H31" i="500"/>
  <c r="H34" i="500"/>
  <c r="D40" i="500"/>
  <c r="H35" i="500"/>
  <c r="H36" i="500"/>
  <c r="H37" i="500"/>
  <c r="H38" i="500"/>
  <c r="H39" i="500"/>
  <c r="H42" i="500"/>
  <c r="D46" i="500"/>
  <c r="H43" i="500"/>
  <c r="H44" i="500"/>
  <c r="D42" i="499"/>
  <c r="D34" i="499"/>
  <c r="C45" i="499"/>
  <c r="C44" i="499"/>
  <c r="C43" i="499"/>
  <c r="C42" i="499"/>
  <c r="C39" i="499"/>
  <c r="C38" i="499"/>
  <c r="C37" i="499"/>
  <c r="C36" i="499"/>
  <c r="C35" i="499"/>
  <c r="C34" i="499"/>
  <c r="D32" i="499"/>
  <c r="C31" i="499"/>
  <c r="C30" i="499"/>
  <c r="C29" i="499"/>
  <c r="C28" i="499"/>
  <c r="C27" i="499"/>
  <c r="C26" i="499"/>
  <c r="D24" i="499"/>
  <c r="C23" i="499"/>
  <c r="C22" i="499"/>
  <c r="C21" i="499"/>
  <c r="D19" i="499"/>
  <c r="E12" i="499" s="1"/>
  <c r="C18" i="499"/>
  <c r="C17" i="499"/>
  <c r="C16" i="499"/>
  <c r="C15" i="499"/>
  <c r="C14" i="499"/>
  <c r="C13" i="499"/>
  <c r="C12" i="499"/>
  <c r="C11" i="499"/>
  <c r="C10" i="499"/>
  <c r="C7" i="499"/>
  <c r="G4" i="499"/>
  <c r="E4" i="499"/>
  <c r="D46" i="498"/>
  <c r="C45" i="498"/>
  <c r="C44" i="498"/>
  <c r="C43" i="498"/>
  <c r="C42" i="498"/>
  <c r="D40" i="498"/>
  <c r="C39" i="498"/>
  <c r="C38" i="498"/>
  <c r="C37" i="498"/>
  <c r="C36" i="498"/>
  <c r="C35" i="498"/>
  <c r="C34" i="498"/>
  <c r="C31" i="498"/>
  <c r="C30" i="498"/>
  <c r="C29" i="498"/>
  <c r="C28" i="498"/>
  <c r="C27" i="498"/>
  <c r="C26" i="498"/>
  <c r="D24" i="498"/>
  <c r="C23" i="498"/>
  <c r="C22" i="498"/>
  <c r="C21" i="498"/>
  <c r="D19" i="498"/>
  <c r="E18" i="498" s="1"/>
  <c r="C18" i="498"/>
  <c r="C17" i="498"/>
  <c r="C16" i="498"/>
  <c r="C15" i="498"/>
  <c r="C14" i="498"/>
  <c r="C13" i="498"/>
  <c r="C12" i="498"/>
  <c r="C11" i="498"/>
  <c r="C10" i="498"/>
  <c r="C7" i="498"/>
  <c r="G4" i="498"/>
  <c r="E4" i="498"/>
  <c r="E14" i="499" l="1"/>
  <c r="E16" i="499"/>
  <c r="E18" i="499"/>
  <c r="D40" i="499"/>
  <c r="D50" i="499" s="1"/>
  <c r="E15" i="499"/>
  <c r="E17" i="499"/>
  <c r="D46" i="499"/>
  <c r="A54" i="505"/>
  <c r="I51" i="505"/>
  <c r="F50" i="505"/>
  <c r="G6" i="505"/>
  <c r="G5" i="505"/>
  <c r="E13" i="498"/>
  <c r="E12" i="498"/>
  <c r="E11" i="498"/>
  <c r="E14" i="498"/>
  <c r="E10" i="499"/>
  <c r="E16" i="498"/>
  <c r="E17" i="498"/>
  <c r="E15" i="498"/>
  <c r="E10" i="498"/>
  <c r="E13" i="499"/>
  <c r="I32" i="504"/>
  <c r="F32" i="504" s="1"/>
  <c r="G32" i="504" s="1"/>
  <c r="I46" i="504"/>
  <c r="F46" i="504" s="1"/>
  <c r="G46" i="504" s="1"/>
  <c r="I19" i="504"/>
  <c r="F19" i="504" s="1"/>
  <c r="G19" i="504" s="1"/>
  <c r="I40" i="504"/>
  <c r="F40" i="504" s="1"/>
  <c r="G40" i="504" s="1"/>
  <c r="I24" i="504"/>
  <c r="F24" i="504" s="1"/>
  <c r="G24" i="504" s="1"/>
  <c r="E11" i="499"/>
  <c r="I44" i="503"/>
  <c r="G44" i="503"/>
  <c r="I43" i="503"/>
  <c r="G43" i="503"/>
  <c r="I42" i="503"/>
  <c r="G42" i="503"/>
  <c r="I39" i="503"/>
  <c r="G39" i="503"/>
  <c r="I38" i="503"/>
  <c r="G38" i="503"/>
  <c r="I37" i="503"/>
  <c r="G37" i="503"/>
  <c r="I36" i="503"/>
  <c r="G36" i="503"/>
  <c r="I35" i="503"/>
  <c r="G35" i="503"/>
  <c r="I34" i="503"/>
  <c r="G34" i="503"/>
  <c r="I31" i="503"/>
  <c r="G31" i="503"/>
  <c r="I30" i="503"/>
  <c r="G30" i="503"/>
  <c r="I29" i="503"/>
  <c r="G29" i="503"/>
  <c r="I28" i="503"/>
  <c r="G28" i="503"/>
  <c r="I27" i="503"/>
  <c r="G27" i="503"/>
  <c r="I26" i="503"/>
  <c r="G26" i="503"/>
  <c r="I23" i="503"/>
  <c r="G23" i="503"/>
  <c r="I22" i="503"/>
  <c r="G22" i="503"/>
  <c r="I21" i="503"/>
  <c r="G21" i="503"/>
  <c r="I18" i="503"/>
  <c r="G18" i="503"/>
  <c r="I17" i="503"/>
  <c r="G17" i="503"/>
  <c r="I16" i="503"/>
  <c r="G16" i="503"/>
  <c r="I15" i="503"/>
  <c r="G15" i="503"/>
  <c r="I14" i="503"/>
  <c r="G14" i="503"/>
  <c r="I13" i="503"/>
  <c r="G13" i="503"/>
  <c r="I12" i="503"/>
  <c r="G12" i="503"/>
  <c r="I11" i="503"/>
  <c r="G11" i="503"/>
  <c r="I10" i="503"/>
  <c r="G10" i="503"/>
  <c r="F10" i="502"/>
  <c r="F11" i="502"/>
  <c r="F12" i="502"/>
  <c r="F13" i="502"/>
  <c r="F14" i="502"/>
  <c r="F15" i="502"/>
  <c r="F16" i="502"/>
  <c r="F17" i="502"/>
  <c r="F18" i="502"/>
  <c r="F21" i="502"/>
  <c r="F22" i="502"/>
  <c r="F23" i="502"/>
  <c r="F26" i="502"/>
  <c r="F27" i="502"/>
  <c r="F28" i="502"/>
  <c r="F29" i="502"/>
  <c r="F30" i="502"/>
  <c r="F31" i="502"/>
  <c r="F34" i="502"/>
  <c r="F35" i="502"/>
  <c r="F36" i="502"/>
  <c r="F37" i="502"/>
  <c r="F38" i="502"/>
  <c r="F39" i="502"/>
  <c r="F42" i="502"/>
  <c r="F43" i="502"/>
  <c r="F44" i="502"/>
  <c r="F45" i="502"/>
  <c r="G45" i="502" s="1"/>
  <c r="C24" i="501"/>
  <c r="C48" i="501" s="1"/>
  <c r="H48" i="501"/>
  <c r="H50" i="501" s="1"/>
  <c r="E6" i="501" s="1"/>
  <c r="E45" i="501"/>
  <c r="E44" i="501"/>
  <c r="E43" i="501"/>
  <c r="E39" i="501"/>
  <c r="E38" i="501"/>
  <c r="E37" i="501"/>
  <c r="E36" i="501"/>
  <c r="E35" i="501"/>
  <c r="E31" i="501"/>
  <c r="E30" i="501"/>
  <c r="E29" i="501"/>
  <c r="E28" i="501"/>
  <c r="E27" i="501"/>
  <c r="E23" i="501"/>
  <c r="E22" i="501"/>
  <c r="E21" i="501"/>
  <c r="E24" i="501"/>
  <c r="E26" i="501"/>
  <c r="E34" i="501"/>
  <c r="E42" i="501"/>
  <c r="E46" i="501"/>
  <c r="A52" i="501" s="1"/>
  <c r="E40" i="501"/>
  <c r="E32" i="501"/>
  <c r="J50" i="501"/>
  <c r="E50" i="501"/>
  <c r="H46" i="500"/>
  <c r="C46" i="500" s="1"/>
  <c r="D50" i="500"/>
  <c r="D48" i="500"/>
  <c r="H40" i="500"/>
  <c r="C40" i="500" s="1"/>
  <c r="H32" i="500"/>
  <c r="C32" i="500" s="1"/>
  <c r="H24" i="500"/>
  <c r="H19" i="500"/>
  <c r="C19" i="500" s="1"/>
  <c r="H10" i="499"/>
  <c r="H11" i="499"/>
  <c r="H12" i="499"/>
  <c r="H13" i="499"/>
  <c r="H14" i="499"/>
  <c r="H15" i="499"/>
  <c r="H16" i="499"/>
  <c r="H17" i="499"/>
  <c r="H18" i="499"/>
  <c r="E19" i="499"/>
  <c r="H21" i="499"/>
  <c r="H22" i="499"/>
  <c r="H23" i="499"/>
  <c r="H26" i="499"/>
  <c r="H27" i="499"/>
  <c r="H28" i="499"/>
  <c r="H29" i="499"/>
  <c r="H30" i="499"/>
  <c r="H31" i="499"/>
  <c r="H34" i="499"/>
  <c r="H35" i="499"/>
  <c r="H36" i="499"/>
  <c r="H37" i="499"/>
  <c r="H38" i="499"/>
  <c r="H39" i="499"/>
  <c r="H42" i="499"/>
  <c r="H43" i="499"/>
  <c r="H44" i="499"/>
  <c r="H10" i="498"/>
  <c r="H11" i="498"/>
  <c r="H12" i="498"/>
  <c r="H13" i="498"/>
  <c r="H14" i="498"/>
  <c r="H15" i="498"/>
  <c r="H16" i="498"/>
  <c r="H17" i="498"/>
  <c r="H18" i="498"/>
  <c r="E19" i="498"/>
  <c r="H21" i="498"/>
  <c r="H22" i="498"/>
  <c r="H23" i="498"/>
  <c r="H26" i="498"/>
  <c r="D32" i="498"/>
  <c r="H27" i="498"/>
  <c r="H28" i="498"/>
  <c r="H29" i="498"/>
  <c r="H30" i="498"/>
  <c r="H31" i="498"/>
  <c r="H34" i="498"/>
  <c r="H35" i="498"/>
  <c r="H36" i="498"/>
  <c r="H37" i="498"/>
  <c r="H38" i="498"/>
  <c r="H39" i="498"/>
  <c r="H42" i="498"/>
  <c r="H43" i="498"/>
  <c r="H44" i="498"/>
  <c r="D42" i="497"/>
  <c r="D42" i="579" s="1"/>
  <c r="D34" i="497"/>
  <c r="D40" i="497" s="1"/>
  <c r="C45" i="497"/>
  <c r="C44" i="497"/>
  <c r="C43" i="497"/>
  <c r="C42" i="497"/>
  <c r="C39" i="497"/>
  <c r="C38" i="497"/>
  <c r="C37" i="497"/>
  <c r="C36" i="497"/>
  <c r="C35" i="497"/>
  <c r="C34" i="497"/>
  <c r="D32" i="497"/>
  <c r="C31" i="497"/>
  <c r="C30" i="497"/>
  <c r="C29" i="497"/>
  <c r="C28" i="497"/>
  <c r="C27" i="497"/>
  <c r="C26" i="497"/>
  <c r="D24" i="497"/>
  <c r="C23" i="497"/>
  <c r="C22" i="497"/>
  <c r="C21" i="497"/>
  <c r="D19" i="497"/>
  <c r="E15" i="497" s="1"/>
  <c r="C18" i="497"/>
  <c r="C17" i="497"/>
  <c r="C16" i="497"/>
  <c r="C15" i="497"/>
  <c r="C14" i="497"/>
  <c r="C13" i="497"/>
  <c r="C12" i="497"/>
  <c r="C11" i="497"/>
  <c r="C10" i="497"/>
  <c r="C7" i="497"/>
  <c r="G4" i="497"/>
  <c r="E4" i="497"/>
  <c r="D46" i="496"/>
  <c r="C45" i="496"/>
  <c r="C44" i="496"/>
  <c r="C43" i="496"/>
  <c r="C42" i="496"/>
  <c r="D40" i="496"/>
  <c r="C39" i="496"/>
  <c r="C38" i="496"/>
  <c r="C37" i="496"/>
  <c r="C36" i="496"/>
  <c r="C35" i="496"/>
  <c r="C34" i="496"/>
  <c r="D32" i="496"/>
  <c r="C31" i="496"/>
  <c r="C30" i="496"/>
  <c r="C29" i="496"/>
  <c r="C28" i="496"/>
  <c r="C27" i="496"/>
  <c r="C26" i="496"/>
  <c r="D24" i="496"/>
  <c r="C23" i="496"/>
  <c r="C22" i="496"/>
  <c r="C21" i="496"/>
  <c r="D19" i="496"/>
  <c r="E18" i="496" s="1"/>
  <c r="C18" i="496"/>
  <c r="C17" i="496"/>
  <c r="C16" i="496"/>
  <c r="C15" i="496"/>
  <c r="C14" i="496"/>
  <c r="C13" i="496"/>
  <c r="C12" i="496"/>
  <c r="C11" i="496"/>
  <c r="C10" i="496"/>
  <c r="C7" i="496"/>
  <c r="G4" i="496"/>
  <c r="E4" i="496"/>
  <c r="D46" i="495"/>
  <c r="C45" i="495"/>
  <c r="C44" i="495"/>
  <c r="C43" i="495"/>
  <c r="C42" i="495"/>
  <c r="D40" i="495"/>
  <c r="C39" i="495"/>
  <c r="C38" i="495"/>
  <c r="C37" i="495"/>
  <c r="C36" i="495"/>
  <c r="C35" i="495"/>
  <c r="C34" i="495"/>
  <c r="C31" i="495"/>
  <c r="C30" i="495"/>
  <c r="C29" i="495"/>
  <c r="C28" i="495"/>
  <c r="C27" i="495"/>
  <c r="C26" i="495"/>
  <c r="D24" i="495"/>
  <c r="C23" i="495"/>
  <c r="C22" i="495"/>
  <c r="C21" i="495"/>
  <c r="D19" i="495"/>
  <c r="E16" i="495" s="1"/>
  <c r="C18" i="495"/>
  <c r="C17" i="495"/>
  <c r="C16" i="495"/>
  <c r="C15" i="495"/>
  <c r="C14" i="495"/>
  <c r="C13" i="495"/>
  <c r="C12" i="495"/>
  <c r="C11" i="495"/>
  <c r="C10" i="495"/>
  <c r="C7" i="495"/>
  <c r="G4" i="495"/>
  <c r="E4" i="495"/>
  <c r="D26" i="494"/>
  <c r="D32" i="494" s="1"/>
  <c r="D46" i="494"/>
  <c r="C45" i="494"/>
  <c r="C44" i="494"/>
  <c r="C43" i="494"/>
  <c r="C42" i="494"/>
  <c r="D40" i="494"/>
  <c r="C39" i="494"/>
  <c r="C38" i="494"/>
  <c r="C37" i="494"/>
  <c r="C36" i="494"/>
  <c r="C35" i="494"/>
  <c r="C34" i="494"/>
  <c r="C31" i="494"/>
  <c r="C30" i="494"/>
  <c r="C29" i="494"/>
  <c r="C28" i="494"/>
  <c r="C27" i="494"/>
  <c r="C26" i="494"/>
  <c r="D24" i="494"/>
  <c r="C23" i="494"/>
  <c r="C22" i="494"/>
  <c r="C21" i="494"/>
  <c r="D19" i="494"/>
  <c r="E13" i="494" s="1"/>
  <c r="C18" i="494"/>
  <c r="C17" i="494"/>
  <c r="C16" i="494"/>
  <c r="C15" i="494"/>
  <c r="C14" i="494"/>
  <c r="C13" i="494"/>
  <c r="C12" i="494"/>
  <c r="C11" i="494"/>
  <c r="C10" i="494"/>
  <c r="C7" i="494"/>
  <c r="G4" i="494"/>
  <c r="E4" i="494"/>
  <c r="D48" i="499" l="1"/>
  <c r="D46" i="497"/>
  <c r="E16" i="494"/>
  <c r="E17" i="494"/>
  <c r="E24" i="499"/>
  <c r="E15" i="496"/>
  <c r="E14" i="496"/>
  <c r="E16" i="496"/>
  <c r="E10" i="497"/>
  <c r="E18" i="495"/>
  <c r="E10" i="495"/>
  <c r="E17" i="495"/>
  <c r="E16" i="497"/>
  <c r="H42" i="579"/>
  <c r="E18" i="497"/>
  <c r="D34" i="579"/>
  <c r="E18" i="494"/>
  <c r="E17" i="497"/>
  <c r="I46" i="503"/>
  <c r="F46" i="503" s="1"/>
  <c r="G46" i="503" s="1"/>
  <c r="E11" i="497"/>
  <c r="E12" i="497"/>
  <c r="E13" i="497"/>
  <c r="E11" i="496"/>
  <c r="E14" i="497"/>
  <c r="E10" i="494"/>
  <c r="E12" i="496"/>
  <c r="E13" i="496"/>
  <c r="E40" i="499"/>
  <c r="I19" i="503"/>
  <c r="F19" i="503" s="1"/>
  <c r="G19" i="503" s="1"/>
  <c r="E12" i="495"/>
  <c r="I40" i="503"/>
  <c r="F40" i="503" s="1"/>
  <c r="G40" i="503" s="1"/>
  <c r="E11" i="495"/>
  <c r="E11" i="494"/>
  <c r="E14" i="495"/>
  <c r="I48" i="504"/>
  <c r="E12" i="494"/>
  <c r="E14" i="494"/>
  <c r="E15" i="495"/>
  <c r="E17" i="496"/>
  <c r="I32" i="503"/>
  <c r="F32" i="503" s="1"/>
  <c r="G32" i="503" s="1"/>
  <c r="E13" i="495"/>
  <c r="E15" i="494"/>
  <c r="E10" i="496"/>
  <c r="I24" i="503"/>
  <c r="I44" i="502"/>
  <c r="G44" i="502"/>
  <c r="I43" i="502"/>
  <c r="G43" i="502"/>
  <c r="I42" i="502"/>
  <c r="G42" i="502"/>
  <c r="I39" i="502"/>
  <c r="G39" i="502"/>
  <c r="I38" i="502"/>
  <c r="G38" i="502"/>
  <c r="I37" i="502"/>
  <c r="G37" i="502"/>
  <c r="I36" i="502"/>
  <c r="G36" i="502"/>
  <c r="I35" i="502"/>
  <c r="G35" i="502"/>
  <c r="I34" i="502"/>
  <c r="G34" i="502"/>
  <c r="I31" i="502"/>
  <c r="G31" i="502"/>
  <c r="I30" i="502"/>
  <c r="G30" i="502"/>
  <c r="I29" i="502"/>
  <c r="G29" i="502"/>
  <c r="I28" i="502"/>
  <c r="G28" i="502"/>
  <c r="I27" i="502"/>
  <c r="G27" i="502"/>
  <c r="I26" i="502"/>
  <c r="G26" i="502"/>
  <c r="I23" i="502"/>
  <c r="G23" i="502"/>
  <c r="I22" i="502"/>
  <c r="G22" i="502"/>
  <c r="I21" i="502"/>
  <c r="G21" i="502"/>
  <c r="I18" i="502"/>
  <c r="G18" i="502"/>
  <c r="I17" i="502"/>
  <c r="G17" i="502"/>
  <c r="I16" i="502"/>
  <c r="G16" i="502"/>
  <c r="I15" i="502"/>
  <c r="G15" i="502"/>
  <c r="I14" i="502"/>
  <c r="G14" i="502"/>
  <c r="I13" i="502"/>
  <c r="G13" i="502"/>
  <c r="I12" i="502"/>
  <c r="G12" i="502"/>
  <c r="I11" i="502"/>
  <c r="G11" i="502"/>
  <c r="I10" i="502"/>
  <c r="G10" i="502"/>
  <c r="E48" i="501"/>
  <c r="F10" i="501"/>
  <c r="F11" i="501"/>
  <c r="F12" i="501"/>
  <c r="F13" i="501"/>
  <c r="F14" i="501"/>
  <c r="F15" i="501"/>
  <c r="F16" i="501"/>
  <c r="F17" i="501"/>
  <c r="F18" i="501"/>
  <c r="F21" i="501"/>
  <c r="F22" i="501"/>
  <c r="F23" i="501"/>
  <c r="F26" i="501"/>
  <c r="F27" i="501"/>
  <c r="F28" i="501"/>
  <c r="F29" i="501"/>
  <c r="F30" i="501"/>
  <c r="F31" i="501"/>
  <c r="F34" i="501"/>
  <c r="F35" i="501"/>
  <c r="F36" i="501"/>
  <c r="F37" i="501"/>
  <c r="F38" i="501"/>
  <c r="F39" i="501"/>
  <c r="F42" i="501"/>
  <c r="F43" i="501"/>
  <c r="F44" i="501"/>
  <c r="F45" i="501"/>
  <c r="G45" i="501" s="1"/>
  <c r="C24" i="500"/>
  <c r="C48" i="500" s="1"/>
  <c r="H48" i="500"/>
  <c r="H50" i="500" s="1"/>
  <c r="E6" i="500" s="1"/>
  <c r="E45" i="500"/>
  <c r="E44" i="500"/>
  <c r="E43" i="500"/>
  <c r="E39" i="500"/>
  <c r="E38" i="500"/>
  <c r="E37" i="500"/>
  <c r="E36" i="500"/>
  <c r="E35" i="500"/>
  <c r="E31" i="500"/>
  <c r="E30" i="500"/>
  <c r="E29" i="500"/>
  <c r="E28" i="500"/>
  <c r="E27" i="500"/>
  <c r="E26" i="500"/>
  <c r="E23" i="500"/>
  <c r="E22" i="500"/>
  <c r="E21" i="500"/>
  <c r="E24" i="500"/>
  <c r="E32" i="500"/>
  <c r="E34" i="500"/>
  <c r="E42" i="500"/>
  <c r="E46" i="500"/>
  <c r="A52" i="500" s="1"/>
  <c r="E40" i="500"/>
  <c r="J50" i="500"/>
  <c r="E50" i="500"/>
  <c r="H46" i="499"/>
  <c r="C46" i="499" s="1"/>
  <c r="H40" i="499"/>
  <c r="C40" i="499" s="1"/>
  <c r="H32" i="499"/>
  <c r="C32" i="499" s="1"/>
  <c r="E45" i="499"/>
  <c r="E44" i="499"/>
  <c r="E43" i="499"/>
  <c r="E42" i="499"/>
  <c r="E39" i="499"/>
  <c r="E38" i="499"/>
  <c r="E37" i="499"/>
  <c r="E36" i="499"/>
  <c r="E35" i="499"/>
  <c r="E34" i="499"/>
  <c r="E31" i="499"/>
  <c r="E30" i="499"/>
  <c r="E29" i="499"/>
  <c r="E28" i="499"/>
  <c r="E27" i="499"/>
  <c r="E26" i="499"/>
  <c r="E23" i="499"/>
  <c r="E22" i="499"/>
  <c r="E21" i="499"/>
  <c r="H24" i="499"/>
  <c r="J50" i="499"/>
  <c r="E50" i="499"/>
  <c r="H19" i="499"/>
  <c r="C19" i="499" s="1"/>
  <c r="H46" i="498"/>
  <c r="C46" i="498" s="1"/>
  <c r="H40" i="498"/>
  <c r="C40" i="498" s="1"/>
  <c r="D50" i="498"/>
  <c r="D48" i="498"/>
  <c r="H32" i="498"/>
  <c r="C32" i="498" s="1"/>
  <c r="H24" i="498"/>
  <c r="H19" i="498"/>
  <c r="C19" i="498" s="1"/>
  <c r="H10" i="497"/>
  <c r="H11" i="497"/>
  <c r="H12" i="497"/>
  <c r="H13" i="497"/>
  <c r="H14" i="497"/>
  <c r="H15" i="497"/>
  <c r="H16" i="497"/>
  <c r="H17" i="497"/>
  <c r="H18" i="497"/>
  <c r="D50" i="497"/>
  <c r="E19" i="497"/>
  <c r="H21" i="497"/>
  <c r="H22" i="497"/>
  <c r="H23" i="497"/>
  <c r="D48" i="497"/>
  <c r="E46" i="497" s="1"/>
  <c r="A52" i="497" s="1"/>
  <c r="H26" i="497"/>
  <c r="H27" i="497"/>
  <c r="H28" i="497"/>
  <c r="H29" i="497"/>
  <c r="H30" i="497"/>
  <c r="H31" i="497"/>
  <c r="H34" i="497"/>
  <c r="H35" i="497"/>
  <c r="H36" i="497"/>
  <c r="H37" i="497"/>
  <c r="H38" i="497"/>
  <c r="H39" i="497"/>
  <c r="H42" i="497"/>
  <c r="H43" i="497"/>
  <c r="H44" i="497"/>
  <c r="H10" i="496"/>
  <c r="H11" i="496"/>
  <c r="H12" i="496"/>
  <c r="H13" i="496"/>
  <c r="H14" i="496"/>
  <c r="H15" i="496"/>
  <c r="H16" i="496"/>
  <c r="H17" i="496"/>
  <c r="H18" i="496"/>
  <c r="D50" i="496"/>
  <c r="E19" i="496"/>
  <c r="H21" i="496"/>
  <c r="H22" i="496"/>
  <c r="H23" i="496"/>
  <c r="D48" i="496"/>
  <c r="E24" i="496" s="1"/>
  <c r="H26" i="496"/>
  <c r="H27" i="496"/>
  <c r="H28" i="496"/>
  <c r="H29" i="496"/>
  <c r="H30" i="496"/>
  <c r="H31" i="496"/>
  <c r="H34" i="496"/>
  <c r="H35" i="496"/>
  <c r="H36" i="496"/>
  <c r="H37" i="496"/>
  <c r="H38" i="496"/>
  <c r="H39" i="496"/>
  <c r="H42" i="496"/>
  <c r="H43" i="496"/>
  <c r="H44" i="496"/>
  <c r="H10" i="495"/>
  <c r="H11" i="495"/>
  <c r="H12" i="495"/>
  <c r="H13" i="495"/>
  <c r="H14" i="495"/>
  <c r="H15" i="495"/>
  <c r="H16" i="495"/>
  <c r="H17" i="495"/>
  <c r="H18" i="495"/>
  <c r="E19" i="495"/>
  <c r="H21" i="495"/>
  <c r="H22" i="495"/>
  <c r="H23" i="495"/>
  <c r="H26" i="495"/>
  <c r="H27" i="495"/>
  <c r="H28" i="495"/>
  <c r="D32" i="495"/>
  <c r="H29" i="495"/>
  <c r="H30" i="495"/>
  <c r="H31" i="495"/>
  <c r="H34" i="495"/>
  <c r="H35" i="495"/>
  <c r="H36" i="495"/>
  <c r="H37" i="495"/>
  <c r="H38" i="495"/>
  <c r="H39" i="495"/>
  <c r="H42" i="495"/>
  <c r="H43" i="495"/>
  <c r="H44" i="495"/>
  <c r="H10" i="494"/>
  <c r="H11" i="494"/>
  <c r="H12" i="494"/>
  <c r="H13" i="494"/>
  <c r="H14" i="494"/>
  <c r="H15" i="494"/>
  <c r="H16" i="494"/>
  <c r="H17" i="494"/>
  <c r="H18" i="494"/>
  <c r="D50" i="494"/>
  <c r="E19" i="494"/>
  <c r="H21" i="494"/>
  <c r="H22" i="494"/>
  <c r="H23" i="494"/>
  <c r="D48" i="494"/>
  <c r="E46" i="494" s="1"/>
  <c r="A52" i="494" s="1"/>
  <c r="H26" i="494"/>
  <c r="H27" i="494"/>
  <c r="H28" i="494"/>
  <c r="H29" i="494"/>
  <c r="H30" i="494"/>
  <c r="H31" i="494"/>
  <c r="H34" i="494"/>
  <c r="H35" i="494"/>
  <c r="H36" i="494"/>
  <c r="H37" i="494"/>
  <c r="H38" i="494"/>
  <c r="H39" i="494"/>
  <c r="H42" i="494"/>
  <c r="H43" i="494"/>
  <c r="H44" i="494"/>
  <c r="D29" i="493"/>
  <c r="D27" i="493"/>
  <c r="D28" i="493"/>
  <c r="D30" i="493"/>
  <c r="D26" i="493"/>
  <c r="D46" i="493"/>
  <c r="C45" i="493"/>
  <c r="C44" i="493"/>
  <c r="C43" i="493"/>
  <c r="C42" i="493"/>
  <c r="D40" i="493"/>
  <c r="C39" i="493"/>
  <c r="C38" i="493"/>
  <c r="C37" i="493"/>
  <c r="C36" i="493"/>
  <c r="C35" i="493"/>
  <c r="C34" i="493"/>
  <c r="C31" i="493"/>
  <c r="C30" i="493"/>
  <c r="C29" i="493"/>
  <c r="C28" i="493"/>
  <c r="C27" i="493"/>
  <c r="C26" i="493"/>
  <c r="D24" i="493"/>
  <c r="C23" i="493"/>
  <c r="C22" i="493"/>
  <c r="C21" i="493"/>
  <c r="D19" i="493"/>
  <c r="E17" i="493" s="1"/>
  <c r="C18" i="493"/>
  <c r="C17" i="493"/>
  <c r="C16" i="493"/>
  <c r="E15" i="493"/>
  <c r="C15" i="493"/>
  <c r="C14" i="493"/>
  <c r="C13" i="493"/>
  <c r="C12" i="493"/>
  <c r="C11" i="493"/>
  <c r="C10" i="493"/>
  <c r="C7" i="493"/>
  <c r="G4" i="493"/>
  <c r="E4" i="493"/>
  <c r="D46" i="492"/>
  <c r="C45" i="492"/>
  <c r="C44" i="492"/>
  <c r="C43" i="492"/>
  <c r="C42" i="492"/>
  <c r="D40" i="492"/>
  <c r="C39" i="492"/>
  <c r="C38" i="492"/>
  <c r="C37" i="492"/>
  <c r="C36" i="492"/>
  <c r="C35" i="492"/>
  <c r="C34" i="492"/>
  <c r="C31" i="492"/>
  <c r="C30" i="492"/>
  <c r="C29" i="492"/>
  <c r="C28" i="492"/>
  <c r="C27" i="492"/>
  <c r="C26" i="492"/>
  <c r="D24" i="492"/>
  <c r="C23" i="492"/>
  <c r="C22" i="492"/>
  <c r="C21" i="492"/>
  <c r="D19" i="492"/>
  <c r="E15" i="492" s="1"/>
  <c r="C18" i="492"/>
  <c r="C17" i="492"/>
  <c r="C16" i="492"/>
  <c r="C15" i="492"/>
  <c r="C14" i="492"/>
  <c r="C13" i="492"/>
  <c r="C12" i="492"/>
  <c r="C11" i="492"/>
  <c r="C10" i="492"/>
  <c r="C7" i="492"/>
  <c r="G4" i="492"/>
  <c r="E4" i="492"/>
  <c r="D26" i="491"/>
  <c r="C45" i="491"/>
  <c r="C44" i="491"/>
  <c r="C43" i="491"/>
  <c r="C42" i="491"/>
  <c r="D40" i="491"/>
  <c r="C39" i="491"/>
  <c r="C38" i="491"/>
  <c r="C37" i="491"/>
  <c r="C36" i="491"/>
  <c r="C35" i="491"/>
  <c r="C34" i="491"/>
  <c r="C31" i="491"/>
  <c r="C30" i="491"/>
  <c r="C29" i="491"/>
  <c r="C28" i="491"/>
  <c r="C27" i="491"/>
  <c r="C26" i="491"/>
  <c r="D24" i="491"/>
  <c r="C23" i="491"/>
  <c r="C22" i="491"/>
  <c r="C21" i="491"/>
  <c r="D19" i="491"/>
  <c r="E14" i="491" s="1"/>
  <c r="C18" i="491"/>
  <c r="C17" i="491"/>
  <c r="C16" i="491"/>
  <c r="C15" i="491"/>
  <c r="C14" i="491"/>
  <c r="C13" i="491"/>
  <c r="C12" i="491"/>
  <c r="C11" i="491"/>
  <c r="C10" i="491"/>
  <c r="C7" i="491"/>
  <c r="G4" i="491"/>
  <c r="E4" i="491"/>
  <c r="E32" i="499" l="1"/>
  <c r="E46" i="499"/>
  <c r="A52" i="499" s="1"/>
  <c r="E11" i="493"/>
  <c r="E32" i="494"/>
  <c r="E32" i="496"/>
  <c r="E14" i="493"/>
  <c r="E12" i="493"/>
  <c r="I46" i="502"/>
  <c r="F46" i="502" s="1"/>
  <c r="G46" i="502" s="1"/>
  <c r="D32" i="491"/>
  <c r="D26" i="580"/>
  <c r="E13" i="492"/>
  <c r="D27" i="579"/>
  <c r="D27" i="541"/>
  <c r="D32" i="493"/>
  <c r="D29" i="579"/>
  <c r="E18" i="492"/>
  <c r="D30" i="579"/>
  <c r="D30" i="541"/>
  <c r="E32" i="497"/>
  <c r="H34" i="579"/>
  <c r="H40" i="579" s="1"/>
  <c r="D40" i="579"/>
  <c r="E40" i="496"/>
  <c r="E40" i="497"/>
  <c r="E10" i="492"/>
  <c r="E40" i="494"/>
  <c r="E12" i="492"/>
  <c r="E16" i="492"/>
  <c r="E10" i="493"/>
  <c r="E18" i="493"/>
  <c r="E24" i="494"/>
  <c r="E12" i="491"/>
  <c r="E15" i="491"/>
  <c r="E24" i="497"/>
  <c r="E17" i="492"/>
  <c r="E16" i="491"/>
  <c r="I32" i="502"/>
  <c r="F32" i="502" s="1"/>
  <c r="G32" i="502" s="1"/>
  <c r="E11" i="491"/>
  <c r="E17" i="491"/>
  <c r="E11" i="492"/>
  <c r="E13" i="493"/>
  <c r="E10" i="491"/>
  <c r="E18" i="491"/>
  <c r="I50" i="504"/>
  <c r="F48" i="504"/>
  <c r="I19" i="502"/>
  <c r="F19" i="502" s="1"/>
  <c r="G19" i="502" s="1"/>
  <c r="E14" i="492"/>
  <c r="E16" i="493"/>
  <c r="E48" i="499"/>
  <c r="E46" i="496"/>
  <c r="A52" i="496" s="1"/>
  <c r="E13" i="491"/>
  <c r="I40" i="502"/>
  <c r="F40" i="502" s="1"/>
  <c r="G40" i="502" s="1"/>
  <c r="F24" i="503"/>
  <c r="G24" i="503" s="1"/>
  <c r="I48" i="503"/>
  <c r="I24" i="502"/>
  <c r="I44" i="501"/>
  <c r="G44" i="501"/>
  <c r="I43" i="501"/>
  <c r="G43" i="501"/>
  <c r="I42" i="501"/>
  <c r="G42" i="501"/>
  <c r="I39" i="501"/>
  <c r="G39" i="501"/>
  <c r="I38" i="501"/>
  <c r="G38" i="501"/>
  <c r="I37" i="501"/>
  <c r="G37" i="501"/>
  <c r="I36" i="501"/>
  <c r="G36" i="501"/>
  <c r="I35" i="501"/>
  <c r="G35" i="501"/>
  <c r="I34" i="501"/>
  <c r="G34" i="501"/>
  <c r="I31" i="501"/>
  <c r="G31" i="501"/>
  <c r="I30" i="501"/>
  <c r="G30" i="501"/>
  <c r="I29" i="501"/>
  <c r="G29" i="501"/>
  <c r="I28" i="501"/>
  <c r="G28" i="501"/>
  <c r="I27" i="501"/>
  <c r="G27" i="501"/>
  <c r="I26" i="501"/>
  <c r="G26" i="501"/>
  <c r="I23" i="501"/>
  <c r="G23" i="501"/>
  <c r="I22" i="501"/>
  <c r="G22" i="501"/>
  <c r="I21" i="501"/>
  <c r="G21" i="501"/>
  <c r="I18" i="501"/>
  <c r="G18" i="501"/>
  <c r="I17" i="501"/>
  <c r="G17" i="501"/>
  <c r="I16" i="501"/>
  <c r="G16" i="501"/>
  <c r="I15" i="501"/>
  <c r="G15" i="501"/>
  <c r="I14" i="501"/>
  <c r="G14" i="501"/>
  <c r="I13" i="501"/>
  <c r="G13" i="501"/>
  <c r="I12" i="501"/>
  <c r="G12" i="501"/>
  <c r="I11" i="501"/>
  <c r="G11" i="501"/>
  <c r="I10" i="501"/>
  <c r="G10" i="501"/>
  <c r="E48" i="500"/>
  <c r="F10" i="500"/>
  <c r="F11" i="500"/>
  <c r="F12" i="500"/>
  <c r="F13" i="500"/>
  <c r="F14" i="500"/>
  <c r="F15" i="500"/>
  <c r="F16" i="500"/>
  <c r="F17" i="500"/>
  <c r="F18" i="500"/>
  <c r="F21" i="500"/>
  <c r="F22" i="500"/>
  <c r="F23" i="500"/>
  <c r="F26" i="500"/>
  <c r="F27" i="500"/>
  <c r="F28" i="500"/>
  <c r="F29" i="500"/>
  <c r="F30" i="500"/>
  <c r="F31" i="500"/>
  <c r="F34" i="500"/>
  <c r="F35" i="500"/>
  <c r="F36" i="500"/>
  <c r="F37" i="500"/>
  <c r="F38" i="500"/>
  <c r="F39" i="500"/>
  <c r="F42" i="500"/>
  <c r="F43" i="500"/>
  <c r="F44" i="500"/>
  <c r="F45" i="500"/>
  <c r="G45" i="500" s="1"/>
  <c r="C24" i="499"/>
  <c r="C48" i="499" s="1"/>
  <c r="H48" i="499"/>
  <c r="H50" i="499" s="1"/>
  <c r="E6" i="499" s="1"/>
  <c r="C24" i="498"/>
  <c r="C48" i="498" s="1"/>
  <c r="H48" i="498"/>
  <c r="H50" i="498" s="1"/>
  <c r="E6" i="498" s="1"/>
  <c r="E45" i="498"/>
  <c r="E44" i="498"/>
  <c r="E43" i="498"/>
  <c r="E42" i="498"/>
  <c r="E39" i="498"/>
  <c r="E38" i="498"/>
  <c r="E37" i="498"/>
  <c r="E36" i="498"/>
  <c r="E35" i="498"/>
  <c r="E34" i="498"/>
  <c r="E31" i="498"/>
  <c r="E30" i="498"/>
  <c r="E29" i="498"/>
  <c r="E28" i="498"/>
  <c r="E27" i="498"/>
  <c r="E23" i="498"/>
  <c r="E22" i="498"/>
  <c r="E21" i="498"/>
  <c r="E24" i="498"/>
  <c r="E26" i="498"/>
  <c r="E40" i="498"/>
  <c r="E46" i="498"/>
  <c r="A52" i="498" s="1"/>
  <c r="E32" i="498"/>
  <c r="J50" i="498"/>
  <c r="E50" i="498"/>
  <c r="H46" i="497"/>
  <c r="C46" i="497" s="1"/>
  <c r="H40" i="497"/>
  <c r="C40" i="497" s="1"/>
  <c r="H32" i="497"/>
  <c r="C32" i="497" s="1"/>
  <c r="E45" i="497"/>
  <c r="E44" i="497"/>
  <c r="E43" i="497"/>
  <c r="E42" i="497"/>
  <c r="E39" i="497"/>
  <c r="E38" i="497"/>
  <c r="E37" i="497"/>
  <c r="E36" i="497"/>
  <c r="E35" i="497"/>
  <c r="E34" i="497"/>
  <c r="E31" i="497"/>
  <c r="E30" i="497"/>
  <c r="E29" i="497"/>
  <c r="E28" i="497"/>
  <c r="E27" i="497"/>
  <c r="E26" i="497"/>
  <c r="E23" i="497"/>
  <c r="E22" i="497"/>
  <c r="E21" i="497"/>
  <c r="H24" i="497"/>
  <c r="J50" i="497"/>
  <c r="E50" i="497"/>
  <c r="H19" i="497"/>
  <c r="C19" i="497" s="1"/>
  <c r="H46" i="496"/>
  <c r="C46" i="496" s="1"/>
  <c r="H40" i="496"/>
  <c r="C40" i="496" s="1"/>
  <c r="H32" i="496"/>
  <c r="C32" i="496" s="1"/>
  <c r="E45" i="496"/>
  <c r="E44" i="496"/>
  <c r="E43" i="496"/>
  <c r="E42" i="496"/>
  <c r="E39" i="496"/>
  <c r="E38" i="496"/>
  <c r="E37" i="496"/>
  <c r="E36" i="496"/>
  <c r="E35" i="496"/>
  <c r="E34" i="496"/>
  <c r="E31" i="496"/>
  <c r="E30" i="496"/>
  <c r="E29" i="496"/>
  <c r="E28" i="496"/>
  <c r="E27" i="496"/>
  <c r="E26" i="496"/>
  <c r="E23" i="496"/>
  <c r="E22" i="496"/>
  <c r="E21" i="496"/>
  <c r="H24" i="496"/>
  <c r="J50" i="496"/>
  <c r="E50" i="496"/>
  <c r="H19" i="496"/>
  <c r="C19" i="496" s="1"/>
  <c r="H46" i="495"/>
  <c r="C46" i="495" s="1"/>
  <c r="H40" i="495"/>
  <c r="C40" i="495" s="1"/>
  <c r="D50" i="495"/>
  <c r="D48" i="495"/>
  <c r="H32" i="495"/>
  <c r="C32" i="495" s="1"/>
  <c r="H24" i="495"/>
  <c r="H19" i="495"/>
  <c r="C19" i="495" s="1"/>
  <c r="H46" i="494"/>
  <c r="C46" i="494" s="1"/>
  <c r="H40" i="494"/>
  <c r="C40" i="494" s="1"/>
  <c r="H32" i="494"/>
  <c r="C32" i="494" s="1"/>
  <c r="E45" i="494"/>
  <c r="E44" i="494"/>
  <c r="E43" i="494"/>
  <c r="E42" i="494"/>
  <c r="E39" i="494"/>
  <c r="E38" i="494"/>
  <c r="E37" i="494"/>
  <c r="E36" i="494"/>
  <c r="E35" i="494"/>
  <c r="E34" i="494"/>
  <c r="E31" i="494"/>
  <c r="E30" i="494"/>
  <c r="E29" i="494"/>
  <c r="E28" i="494"/>
  <c r="E27" i="494"/>
  <c r="E26" i="494"/>
  <c r="E23" i="494"/>
  <c r="E22" i="494"/>
  <c r="E21" i="494"/>
  <c r="H24" i="494"/>
  <c r="J50" i="494"/>
  <c r="E50" i="494"/>
  <c r="H19" i="494"/>
  <c r="C19" i="494" s="1"/>
  <c r="H10" i="493"/>
  <c r="H11" i="493"/>
  <c r="H12" i="493"/>
  <c r="H13" i="493"/>
  <c r="H14" i="493"/>
  <c r="H15" i="493"/>
  <c r="H16" i="493"/>
  <c r="H17" i="493"/>
  <c r="H18" i="493"/>
  <c r="D50" i="493"/>
  <c r="E19" i="493"/>
  <c r="H21" i="493"/>
  <c r="H22" i="493"/>
  <c r="H23" i="493"/>
  <c r="D48" i="493"/>
  <c r="E24" i="493" s="1"/>
  <c r="H26" i="493"/>
  <c r="H27" i="493"/>
  <c r="H28" i="493"/>
  <c r="H29" i="493"/>
  <c r="H30" i="493"/>
  <c r="H31" i="493"/>
  <c r="H34" i="493"/>
  <c r="H35" i="493"/>
  <c r="H36" i="493"/>
  <c r="H37" i="493"/>
  <c r="H38" i="493"/>
  <c r="H39" i="493"/>
  <c r="H42" i="493"/>
  <c r="H43" i="493"/>
  <c r="H44" i="493"/>
  <c r="H10" i="492"/>
  <c r="H11" i="492"/>
  <c r="H12" i="492"/>
  <c r="H13" i="492"/>
  <c r="H14" i="492"/>
  <c r="H15" i="492"/>
  <c r="H16" i="492"/>
  <c r="H17" i="492"/>
  <c r="H18" i="492"/>
  <c r="E19" i="492"/>
  <c r="H21" i="492"/>
  <c r="H22" i="492"/>
  <c r="H23" i="492"/>
  <c r="H26" i="492"/>
  <c r="D32" i="492"/>
  <c r="H27" i="492"/>
  <c r="H28" i="492"/>
  <c r="H29" i="492"/>
  <c r="H30" i="492"/>
  <c r="H31" i="492"/>
  <c r="H34" i="492"/>
  <c r="H35" i="492"/>
  <c r="H36" i="492"/>
  <c r="H37" i="492"/>
  <c r="H38" i="492"/>
  <c r="H39" i="492"/>
  <c r="H42" i="492"/>
  <c r="H43" i="492"/>
  <c r="H44" i="492"/>
  <c r="H10" i="491"/>
  <c r="H11" i="491"/>
  <c r="H12" i="491"/>
  <c r="H13" i="491"/>
  <c r="H14" i="491"/>
  <c r="H15" i="491"/>
  <c r="H16" i="491"/>
  <c r="H17" i="491"/>
  <c r="H18" i="491"/>
  <c r="E19" i="491"/>
  <c r="H21" i="491"/>
  <c r="H22" i="491"/>
  <c r="H23" i="491"/>
  <c r="H26" i="491"/>
  <c r="H27" i="491"/>
  <c r="H28" i="491"/>
  <c r="H29" i="491"/>
  <c r="H30" i="491"/>
  <c r="H31" i="491"/>
  <c r="H34" i="491"/>
  <c r="H35" i="491"/>
  <c r="H36" i="491"/>
  <c r="H37" i="491"/>
  <c r="H38" i="491"/>
  <c r="H39" i="491"/>
  <c r="H42" i="491"/>
  <c r="H43" i="491"/>
  <c r="H44" i="491"/>
  <c r="D46" i="491"/>
  <c r="D29" i="490"/>
  <c r="D29" i="578" s="1"/>
  <c r="D34" i="490"/>
  <c r="D26" i="490"/>
  <c r="D42" i="490"/>
  <c r="C45" i="490"/>
  <c r="C44" i="490"/>
  <c r="C43" i="490"/>
  <c r="C42" i="490"/>
  <c r="C39" i="490"/>
  <c r="C38" i="490"/>
  <c r="C37" i="490"/>
  <c r="C36" i="490"/>
  <c r="C35" i="490"/>
  <c r="C34" i="490"/>
  <c r="C31" i="490"/>
  <c r="C30" i="490"/>
  <c r="C29" i="490"/>
  <c r="C28" i="490"/>
  <c r="C27" i="490"/>
  <c r="C26" i="490"/>
  <c r="D24" i="490"/>
  <c r="C23" i="490"/>
  <c r="C22" i="490"/>
  <c r="C21" i="490"/>
  <c r="D19" i="490"/>
  <c r="E13" i="490" s="1"/>
  <c r="C18" i="490"/>
  <c r="C17" i="490"/>
  <c r="C16" i="490"/>
  <c r="C15" i="490"/>
  <c r="C14" i="490"/>
  <c r="C13" i="490"/>
  <c r="C12" i="490"/>
  <c r="C11" i="490"/>
  <c r="C10" i="490"/>
  <c r="C7" i="490"/>
  <c r="G4" i="490"/>
  <c r="E4" i="490"/>
  <c r="E17" i="490" l="1"/>
  <c r="E15" i="490"/>
  <c r="C40" i="579"/>
  <c r="H30" i="579"/>
  <c r="H27" i="579"/>
  <c r="H29" i="578"/>
  <c r="E14" i="490"/>
  <c r="E16" i="490"/>
  <c r="D29" i="541"/>
  <c r="H26" i="580"/>
  <c r="D32" i="580"/>
  <c r="D50" i="580"/>
  <c r="H30" i="541"/>
  <c r="H29" i="579"/>
  <c r="H27" i="541"/>
  <c r="I40" i="501"/>
  <c r="F40" i="501" s="1"/>
  <c r="G40" i="501" s="1"/>
  <c r="E48" i="496"/>
  <c r="E40" i="493"/>
  <c r="E48" i="494"/>
  <c r="I32" i="501"/>
  <c r="F32" i="501" s="1"/>
  <c r="G32" i="501" s="1"/>
  <c r="E10" i="490"/>
  <c r="E11" i="490"/>
  <c r="E32" i="493"/>
  <c r="E12" i="490"/>
  <c r="E46" i="493"/>
  <c r="A52" i="493" s="1"/>
  <c r="E18" i="490"/>
  <c r="E48" i="497"/>
  <c r="I19" i="501"/>
  <c r="F19" i="501" s="1"/>
  <c r="G19" i="501" s="1"/>
  <c r="I46" i="501"/>
  <c r="F46" i="501" s="1"/>
  <c r="G46" i="501" s="1"/>
  <c r="A54" i="504"/>
  <c r="F50" i="504"/>
  <c r="G6" i="504"/>
  <c r="I51" i="504"/>
  <c r="G5" i="504"/>
  <c r="I50" i="503"/>
  <c r="F48" i="503"/>
  <c r="F24" i="502"/>
  <c r="G24" i="502" s="1"/>
  <c r="I48" i="502"/>
  <c r="I24" i="501"/>
  <c r="I44" i="500"/>
  <c r="G44" i="500"/>
  <c r="I43" i="500"/>
  <c r="G43" i="500"/>
  <c r="I42" i="500"/>
  <c r="G42" i="500"/>
  <c r="I39" i="500"/>
  <c r="G39" i="500"/>
  <c r="I38" i="500"/>
  <c r="G38" i="500"/>
  <c r="I37" i="500"/>
  <c r="G37" i="500"/>
  <c r="I36" i="500"/>
  <c r="G36" i="500"/>
  <c r="I35" i="500"/>
  <c r="G35" i="500"/>
  <c r="I34" i="500"/>
  <c r="G34" i="500"/>
  <c r="I31" i="500"/>
  <c r="G31" i="500"/>
  <c r="I30" i="500"/>
  <c r="G30" i="500"/>
  <c r="I29" i="500"/>
  <c r="G29" i="500"/>
  <c r="I28" i="500"/>
  <c r="G28" i="500"/>
  <c r="I27" i="500"/>
  <c r="G27" i="500"/>
  <c r="I26" i="500"/>
  <c r="G26" i="500"/>
  <c r="I23" i="500"/>
  <c r="G23" i="500"/>
  <c r="I22" i="500"/>
  <c r="G22" i="500"/>
  <c r="I21" i="500"/>
  <c r="G21" i="500"/>
  <c r="I18" i="500"/>
  <c r="G18" i="500"/>
  <c r="I17" i="500"/>
  <c r="G17" i="500"/>
  <c r="I16" i="500"/>
  <c r="G16" i="500"/>
  <c r="I15" i="500"/>
  <c r="G15" i="500"/>
  <c r="I14" i="500"/>
  <c r="G14" i="500"/>
  <c r="I13" i="500"/>
  <c r="G13" i="500"/>
  <c r="I12" i="500"/>
  <c r="G12" i="500"/>
  <c r="I11" i="500"/>
  <c r="G11" i="500"/>
  <c r="I10" i="500"/>
  <c r="G10" i="500"/>
  <c r="F10" i="499"/>
  <c r="F11" i="499"/>
  <c r="F12" i="499"/>
  <c r="F13" i="499"/>
  <c r="F14" i="499"/>
  <c r="F15" i="499"/>
  <c r="F16" i="499"/>
  <c r="F17" i="499"/>
  <c r="F18" i="499"/>
  <c r="F21" i="499"/>
  <c r="F22" i="499"/>
  <c r="F23" i="499"/>
  <c r="F26" i="499"/>
  <c r="F27" i="499"/>
  <c r="F28" i="499"/>
  <c r="F29" i="499"/>
  <c r="F30" i="499"/>
  <c r="F31" i="499"/>
  <c r="F34" i="499"/>
  <c r="F35" i="499"/>
  <c r="F36" i="499"/>
  <c r="F37" i="499"/>
  <c r="F38" i="499"/>
  <c r="F39" i="499"/>
  <c r="F42" i="499"/>
  <c r="F43" i="499"/>
  <c r="F44" i="499"/>
  <c r="F45" i="499"/>
  <c r="G45" i="499" s="1"/>
  <c r="E48" i="498"/>
  <c r="F10" i="498"/>
  <c r="F11" i="498"/>
  <c r="F12" i="498"/>
  <c r="F13" i="498"/>
  <c r="F14" i="498"/>
  <c r="F15" i="498"/>
  <c r="F16" i="498"/>
  <c r="F17" i="498"/>
  <c r="F18" i="498"/>
  <c r="F21" i="498"/>
  <c r="F22" i="498"/>
  <c r="F23" i="498"/>
  <c r="F26" i="498"/>
  <c r="F27" i="498"/>
  <c r="F28" i="498"/>
  <c r="F29" i="498"/>
  <c r="F30" i="498"/>
  <c r="F31" i="498"/>
  <c r="F34" i="498"/>
  <c r="F35" i="498"/>
  <c r="F36" i="498"/>
  <c r="F37" i="498"/>
  <c r="F38" i="498"/>
  <c r="F39" i="498"/>
  <c r="F42" i="498"/>
  <c r="F43" i="498"/>
  <c r="F44" i="498"/>
  <c r="F45" i="498"/>
  <c r="G45" i="498" s="1"/>
  <c r="C24" i="497"/>
  <c r="C48" i="497" s="1"/>
  <c r="H48" i="497"/>
  <c r="H50" i="497" s="1"/>
  <c r="E6" i="497" s="1"/>
  <c r="C24" i="496"/>
  <c r="C48" i="496" s="1"/>
  <c r="H48" i="496"/>
  <c r="H50" i="496" s="1"/>
  <c r="E6" i="496" s="1"/>
  <c r="C24" i="495"/>
  <c r="C48" i="495" s="1"/>
  <c r="H48" i="495"/>
  <c r="H50" i="495" s="1"/>
  <c r="E6" i="495" s="1"/>
  <c r="E45" i="495"/>
  <c r="E44" i="495"/>
  <c r="E43" i="495"/>
  <c r="E42" i="495"/>
  <c r="E39" i="495"/>
  <c r="E38" i="495"/>
  <c r="E37" i="495"/>
  <c r="E36" i="495"/>
  <c r="E35" i="495"/>
  <c r="E34" i="495"/>
  <c r="E31" i="495"/>
  <c r="E30" i="495"/>
  <c r="E29" i="495"/>
  <c r="E27" i="495"/>
  <c r="E26" i="495"/>
  <c r="E23" i="495"/>
  <c r="E22" i="495"/>
  <c r="E21" i="495"/>
  <c r="E24" i="495"/>
  <c r="E28" i="495"/>
  <c r="E40" i="495"/>
  <c r="E46" i="495"/>
  <c r="A52" i="495" s="1"/>
  <c r="E32" i="495"/>
  <c r="J50" i="495"/>
  <c r="E50" i="495"/>
  <c r="C24" i="494"/>
  <c r="C48" i="494" s="1"/>
  <c r="H48" i="494"/>
  <c r="H50" i="494" s="1"/>
  <c r="E6" i="494" s="1"/>
  <c r="H46" i="493"/>
  <c r="C46" i="493" s="1"/>
  <c r="H40" i="493"/>
  <c r="C40" i="493" s="1"/>
  <c r="H32" i="493"/>
  <c r="C32" i="493" s="1"/>
  <c r="E45" i="493"/>
  <c r="E44" i="493"/>
  <c r="E43" i="493"/>
  <c r="E42" i="493"/>
  <c r="E39" i="493"/>
  <c r="E38" i="493"/>
  <c r="E37" i="493"/>
  <c r="E36" i="493"/>
  <c r="E35" i="493"/>
  <c r="E34" i="493"/>
  <c r="E31" i="493"/>
  <c r="E30" i="493"/>
  <c r="E29" i="493"/>
  <c r="E28" i="493"/>
  <c r="E27" i="493"/>
  <c r="E26" i="493"/>
  <c r="E23" i="493"/>
  <c r="E22" i="493"/>
  <c r="E21" i="493"/>
  <c r="H24" i="493"/>
  <c r="J50" i="493"/>
  <c r="E50" i="493"/>
  <c r="H19" i="493"/>
  <c r="C19" i="493" s="1"/>
  <c r="H46" i="492"/>
  <c r="C46" i="492" s="1"/>
  <c r="H40" i="492"/>
  <c r="C40" i="492" s="1"/>
  <c r="D50" i="492"/>
  <c r="D48" i="492"/>
  <c r="H32" i="492"/>
  <c r="C32" i="492" s="1"/>
  <c r="H24" i="492"/>
  <c r="H19" i="492"/>
  <c r="C19" i="492" s="1"/>
  <c r="D50" i="491"/>
  <c r="D48" i="491"/>
  <c r="H46" i="491"/>
  <c r="C46" i="491" s="1"/>
  <c r="H40" i="491"/>
  <c r="C40" i="491" s="1"/>
  <c r="H32" i="491"/>
  <c r="C32" i="491" s="1"/>
  <c r="H24" i="491"/>
  <c r="H19" i="491"/>
  <c r="C19" i="491" s="1"/>
  <c r="H10" i="490"/>
  <c r="H11" i="490"/>
  <c r="H12" i="490"/>
  <c r="H13" i="490"/>
  <c r="H14" i="490"/>
  <c r="H15" i="490"/>
  <c r="H16" i="490"/>
  <c r="H17" i="490"/>
  <c r="H18" i="490"/>
  <c r="E19" i="490"/>
  <c r="H21" i="490"/>
  <c r="H22" i="490"/>
  <c r="H23" i="490"/>
  <c r="H26" i="490"/>
  <c r="D32" i="490"/>
  <c r="H27" i="490"/>
  <c r="H28" i="490"/>
  <c r="H29" i="490"/>
  <c r="H30" i="490"/>
  <c r="H31" i="490"/>
  <c r="H34" i="490"/>
  <c r="D40" i="490"/>
  <c r="H35" i="490"/>
  <c r="H36" i="490"/>
  <c r="H37" i="490"/>
  <c r="H38" i="490"/>
  <c r="H39" i="490"/>
  <c r="H42" i="490"/>
  <c r="D46" i="490"/>
  <c r="H43" i="490"/>
  <c r="H44" i="490"/>
  <c r="D34" i="489"/>
  <c r="D42" i="489"/>
  <c r="D43" i="489"/>
  <c r="D45" i="489"/>
  <c r="D31" i="489"/>
  <c r="D30" i="489"/>
  <c r="D29" i="489"/>
  <c r="D28" i="489"/>
  <c r="D27" i="489"/>
  <c r="D26" i="489"/>
  <c r="D23" i="489"/>
  <c r="D21" i="489"/>
  <c r="D22" i="489"/>
  <c r="E3" i="489"/>
  <c r="D44" i="489"/>
  <c r="D35" i="489"/>
  <c r="D36" i="489"/>
  <c r="D37" i="489"/>
  <c r="D38" i="489"/>
  <c r="D39" i="489"/>
  <c r="D11" i="489"/>
  <c r="D12" i="489"/>
  <c r="D13" i="489"/>
  <c r="D14" i="489"/>
  <c r="D15" i="489"/>
  <c r="D16" i="489"/>
  <c r="D17" i="489"/>
  <c r="D18" i="489"/>
  <c r="D10" i="489"/>
  <c r="C45" i="489"/>
  <c r="C44" i="489"/>
  <c r="C43" i="489"/>
  <c r="C42" i="489"/>
  <c r="C39" i="489"/>
  <c r="C38" i="489"/>
  <c r="C37" i="489"/>
  <c r="C36" i="489"/>
  <c r="C35" i="489"/>
  <c r="C34" i="489"/>
  <c r="C31" i="489"/>
  <c r="C30" i="489"/>
  <c r="C29" i="489"/>
  <c r="C28" i="489"/>
  <c r="C27" i="489"/>
  <c r="C26" i="489"/>
  <c r="C23" i="489"/>
  <c r="C22" i="489"/>
  <c r="C21" i="489"/>
  <c r="C18" i="489"/>
  <c r="C17" i="489"/>
  <c r="C16" i="489"/>
  <c r="C15" i="489"/>
  <c r="C14" i="489"/>
  <c r="C13" i="489"/>
  <c r="C12" i="489"/>
  <c r="C11" i="489"/>
  <c r="C10" i="489"/>
  <c r="C7" i="489"/>
  <c r="D28" i="488"/>
  <c r="D26" i="488"/>
  <c r="D46" i="488"/>
  <c r="C45" i="488"/>
  <c r="C44" i="488"/>
  <c r="C43" i="488"/>
  <c r="C42" i="488"/>
  <c r="D40" i="488"/>
  <c r="C39" i="488"/>
  <c r="C38" i="488"/>
  <c r="C37" i="488"/>
  <c r="C36" i="488"/>
  <c r="C35" i="488"/>
  <c r="C34" i="488"/>
  <c r="C31" i="488"/>
  <c r="C30" i="488"/>
  <c r="C29" i="488"/>
  <c r="C28" i="488"/>
  <c r="C27" i="488"/>
  <c r="C26" i="488"/>
  <c r="D24" i="488"/>
  <c r="C23" i="488"/>
  <c r="C22" i="488"/>
  <c r="C21" i="488"/>
  <c r="D19" i="488"/>
  <c r="E18" i="488" s="1"/>
  <c r="C18" i="488"/>
  <c r="C17" i="488"/>
  <c r="C16" i="488"/>
  <c r="C15" i="488"/>
  <c r="C14" i="488"/>
  <c r="C13" i="488"/>
  <c r="C12" i="488"/>
  <c r="C11" i="488"/>
  <c r="C10" i="488"/>
  <c r="C7" i="488"/>
  <c r="G4" i="488"/>
  <c r="E4" i="488"/>
  <c r="D26" i="487"/>
  <c r="D46" i="487"/>
  <c r="C45" i="487"/>
  <c r="C44" i="487"/>
  <c r="C43" i="487"/>
  <c r="C42" i="487"/>
  <c r="D40" i="487"/>
  <c r="C39" i="487"/>
  <c r="C38" i="487"/>
  <c r="C37" i="487"/>
  <c r="C36" i="487"/>
  <c r="C35" i="487"/>
  <c r="C34" i="487"/>
  <c r="C31" i="487"/>
  <c r="C30" i="487"/>
  <c r="C29" i="487"/>
  <c r="C28" i="487"/>
  <c r="C27" i="487"/>
  <c r="C26" i="487"/>
  <c r="D24" i="487"/>
  <c r="C23" i="487"/>
  <c r="C22" i="487"/>
  <c r="C21" i="487"/>
  <c r="D19" i="487"/>
  <c r="E18" i="487" s="1"/>
  <c r="C18" i="487"/>
  <c r="C17" i="487"/>
  <c r="C16" i="487"/>
  <c r="C15" i="487"/>
  <c r="C14" i="487"/>
  <c r="C13" i="487"/>
  <c r="C12" i="487"/>
  <c r="C11" i="487"/>
  <c r="C10" i="487"/>
  <c r="C7" i="487"/>
  <c r="G4" i="487"/>
  <c r="E4" i="487"/>
  <c r="C45" i="486"/>
  <c r="C44" i="486"/>
  <c r="C43" i="486"/>
  <c r="C42" i="486"/>
  <c r="C39" i="486"/>
  <c r="C38" i="486"/>
  <c r="C37" i="486"/>
  <c r="C36" i="486"/>
  <c r="C35" i="486"/>
  <c r="C34" i="486"/>
  <c r="D32" i="486"/>
  <c r="C31" i="486"/>
  <c r="C30" i="486"/>
  <c r="C29" i="486"/>
  <c r="C28" i="486"/>
  <c r="C27" i="486"/>
  <c r="C26" i="486"/>
  <c r="D24" i="486"/>
  <c r="C23" i="486"/>
  <c r="C22" i="486"/>
  <c r="C21" i="486"/>
  <c r="D19" i="486"/>
  <c r="E16" i="486" s="1"/>
  <c r="C18" i="486"/>
  <c r="C17" i="486"/>
  <c r="C16" i="486"/>
  <c r="C15" i="486"/>
  <c r="C14" i="486"/>
  <c r="C13" i="486"/>
  <c r="C12" i="486"/>
  <c r="C11" i="486"/>
  <c r="C10" i="486"/>
  <c r="C7" i="486"/>
  <c r="G4" i="486"/>
  <c r="E4" i="486"/>
  <c r="E10" i="488" l="1"/>
  <c r="E17" i="486"/>
  <c r="E16" i="488"/>
  <c r="E14" i="488"/>
  <c r="E12" i="488"/>
  <c r="E11" i="488"/>
  <c r="E13" i="488"/>
  <c r="E15" i="488"/>
  <c r="E17" i="488"/>
  <c r="I46" i="500"/>
  <c r="F46" i="500" s="1"/>
  <c r="G46" i="500" s="1"/>
  <c r="E18" i="486"/>
  <c r="H32" i="580"/>
  <c r="C32" i="580" s="1"/>
  <c r="C48" i="580" s="1"/>
  <c r="H29" i="541"/>
  <c r="J50" i="580"/>
  <c r="E50" i="580"/>
  <c r="D32" i="487"/>
  <c r="D50" i="487" s="1"/>
  <c r="D26" i="579"/>
  <c r="D48" i="580"/>
  <c r="E32" i="580" s="1"/>
  <c r="E11" i="487"/>
  <c r="E14" i="487"/>
  <c r="E13" i="487"/>
  <c r="E12" i="487"/>
  <c r="E15" i="487"/>
  <c r="E10" i="487"/>
  <c r="E10" i="486"/>
  <c r="E16" i="487"/>
  <c r="I19" i="500"/>
  <c r="F19" i="500" s="1"/>
  <c r="G19" i="500" s="1"/>
  <c r="E48" i="493"/>
  <c r="I40" i="500"/>
  <c r="F40" i="500" s="1"/>
  <c r="G40" i="500" s="1"/>
  <c r="E11" i="486"/>
  <c r="E13" i="486"/>
  <c r="E12" i="486"/>
  <c r="E14" i="486"/>
  <c r="I32" i="500"/>
  <c r="F32" i="500" s="1"/>
  <c r="G32" i="500" s="1"/>
  <c r="E17" i="487"/>
  <c r="E15" i="486"/>
  <c r="A54" i="503"/>
  <c r="I51" i="503"/>
  <c r="F50" i="503"/>
  <c r="G6" i="503"/>
  <c r="G5" i="503"/>
  <c r="I50" i="502"/>
  <c r="F48" i="502"/>
  <c r="F24" i="501"/>
  <c r="G24" i="501" s="1"/>
  <c r="I48" i="501"/>
  <c r="I24" i="500"/>
  <c r="I44" i="499"/>
  <c r="G44" i="499"/>
  <c r="I43" i="499"/>
  <c r="G43" i="499"/>
  <c r="I42" i="499"/>
  <c r="G42" i="499"/>
  <c r="I39" i="499"/>
  <c r="G39" i="499"/>
  <c r="I38" i="499"/>
  <c r="G38" i="499"/>
  <c r="I37" i="499"/>
  <c r="G37" i="499"/>
  <c r="I36" i="499"/>
  <c r="G36" i="499"/>
  <c r="I35" i="499"/>
  <c r="G35" i="499"/>
  <c r="I34" i="499"/>
  <c r="G34" i="499"/>
  <c r="I31" i="499"/>
  <c r="G31" i="499"/>
  <c r="I30" i="499"/>
  <c r="G30" i="499"/>
  <c r="I29" i="499"/>
  <c r="G29" i="499"/>
  <c r="I28" i="499"/>
  <c r="G28" i="499"/>
  <c r="I27" i="499"/>
  <c r="G27" i="499"/>
  <c r="I26" i="499"/>
  <c r="G26" i="499"/>
  <c r="I23" i="499"/>
  <c r="G23" i="499"/>
  <c r="I22" i="499"/>
  <c r="G22" i="499"/>
  <c r="I21" i="499"/>
  <c r="G21" i="499"/>
  <c r="I18" i="499"/>
  <c r="G18" i="499"/>
  <c r="I17" i="499"/>
  <c r="G17" i="499"/>
  <c r="I16" i="499"/>
  <c r="G16" i="499"/>
  <c r="I15" i="499"/>
  <c r="G15" i="499"/>
  <c r="I14" i="499"/>
  <c r="G14" i="499"/>
  <c r="I13" i="499"/>
  <c r="G13" i="499"/>
  <c r="I12" i="499"/>
  <c r="G12" i="499"/>
  <c r="I11" i="499"/>
  <c r="G11" i="499"/>
  <c r="I10" i="499"/>
  <c r="G10" i="499"/>
  <c r="I44" i="498"/>
  <c r="G44" i="498"/>
  <c r="I43" i="498"/>
  <c r="G43" i="498"/>
  <c r="I42" i="498"/>
  <c r="G42" i="498"/>
  <c r="I39" i="498"/>
  <c r="G39" i="498"/>
  <c r="I38" i="498"/>
  <c r="G38" i="498"/>
  <c r="I37" i="498"/>
  <c r="G37" i="498"/>
  <c r="I36" i="498"/>
  <c r="G36" i="498"/>
  <c r="I35" i="498"/>
  <c r="G35" i="498"/>
  <c r="I34" i="498"/>
  <c r="G34" i="498"/>
  <c r="I31" i="498"/>
  <c r="G31" i="498"/>
  <c r="I30" i="498"/>
  <c r="G30" i="498"/>
  <c r="I29" i="498"/>
  <c r="G29" i="498"/>
  <c r="I28" i="498"/>
  <c r="G28" i="498"/>
  <c r="I27" i="498"/>
  <c r="G27" i="498"/>
  <c r="I26" i="498"/>
  <c r="G26" i="498"/>
  <c r="I23" i="498"/>
  <c r="G23" i="498"/>
  <c r="I22" i="498"/>
  <c r="G22" i="498"/>
  <c r="I21" i="498"/>
  <c r="G21" i="498"/>
  <c r="I18" i="498"/>
  <c r="G18" i="498"/>
  <c r="I17" i="498"/>
  <c r="G17" i="498"/>
  <c r="I16" i="498"/>
  <c r="G16" i="498"/>
  <c r="I15" i="498"/>
  <c r="G15" i="498"/>
  <c r="I14" i="498"/>
  <c r="G14" i="498"/>
  <c r="I13" i="498"/>
  <c r="G13" i="498"/>
  <c r="I12" i="498"/>
  <c r="G12" i="498"/>
  <c r="I11" i="498"/>
  <c r="G11" i="498"/>
  <c r="I10" i="498"/>
  <c r="G10" i="498"/>
  <c r="F10" i="497"/>
  <c r="F11" i="497"/>
  <c r="F12" i="497"/>
  <c r="F13" i="497"/>
  <c r="F14" i="497"/>
  <c r="F15" i="497"/>
  <c r="F16" i="497"/>
  <c r="F17" i="497"/>
  <c r="F18" i="497"/>
  <c r="F21" i="497"/>
  <c r="F22" i="497"/>
  <c r="F23" i="497"/>
  <c r="F26" i="497"/>
  <c r="F27" i="497"/>
  <c r="F28" i="497"/>
  <c r="F29" i="497"/>
  <c r="F30" i="497"/>
  <c r="F31" i="497"/>
  <c r="F34" i="497"/>
  <c r="F35" i="497"/>
  <c r="F36" i="497"/>
  <c r="F37" i="497"/>
  <c r="F38" i="497"/>
  <c r="F39" i="497"/>
  <c r="F42" i="497"/>
  <c r="F43" i="497"/>
  <c r="F44" i="497"/>
  <c r="F45" i="497"/>
  <c r="G45" i="497" s="1"/>
  <c r="F10" i="496"/>
  <c r="F11" i="496"/>
  <c r="F12" i="496"/>
  <c r="F13" i="496"/>
  <c r="F14" i="496"/>
  <c r="F15" i="496"/>
  <c r="F16" i="496"/>
  <c r="F17" i="496"/>
  <c r="F18" i="496"/>
  <c r="F21" i="496"/>
  <c r="F22" i="496"/>
  <c r="F23" i="496"/>
  <c r="F26" i="496"/>
  <c r="F27" i="496"/>
  <c r="F28" i="496"/>
  <c r="F29" i="496"/>
  <c r="F30" i="496"/>
  <c r="F31" i="496"/>
  <c r="F34" i="496"/>
  <c r="F35" i="496"/>
  <c r="F36" i="496"/>
  <c r="F37" i="496"/>
  <c r="F38" i="496"/>
  <c r="F39" i="496"/>
  <c r="F42" i="496"/>
  <c r="F43" i="496"/>
  <c r="F44" i="496"/>
  <c r="F45" i="496"/>
  <c r="G45" i="496" s="1"/>
  <c r="E48" i="495"/>
  <c r="F10" i="495"/>
  <c r="F11" i="495"/>
  <c r="F12" i="495"/>
  <c r="F13" i="495"/>
  <c r="F14" i="495"/>
  <c r="F15" i="495"/>
  <c r="F16" i="495"/>
  <c r="F17" i="495"/>
  <c r="F18" i="495"/>
  <c r="F21" i="495"/>
  <c r="F22" i="495"/>
  <c r="F23" i="495"/>
  <c r="F26" i="495"/>
  <c r="F27" i="495"/>
  <c r="F28" i="495"/>
  <c r="F29" i="495"/>
  <c r="F30" i="495"/>
  <c r="F31" i="495"/>
  <c r="F34" i="495"/>
  <c r="F35" i="495"/>
  <c r="F36" i="495"/>
  <c r="F37" i="495"/>
  <c r="F38" i="495"/>
  <c r="F39" i="495"/>
  <c r="F42" i="495"/>
  <c r="F43" i="495"/>
  <c r="F44" i="495"/>
  <c r="F45" i="495"/>
  <c r="G45" i="495" s="1"/>
  <c r="F10" i="494"/>
  <c r="F11" i="494"/>
  <c r="F12" i="494"/>
  <c r="F13" i="494"/>
  <c r="F14" i="494"/>
  <c r="F15" i="494"/>
  <c r="F16" i="494"/>
  <c r="F17" i="494"/>
  <c r="F18" i="494"/>
  <c r="F21" i="494"/>
  <c r="F22" i="494"/>
  <c r="F23" i="494"/>
  <c r="F26" i="494"/>
  <c r="F27" i="494"/>
  <c r="F28" i="494"/>
  <c r="F29" i="494"/>
  <c r="F30" i="494"/>
  <c r="F31" i="494"/>
  <c r="F34" i="494"/>
  <c r="F35" i="494"/>
  <c r="F36" i="494"/>
  <c r="F37" i="494"/>
  <c r="F38" i="494"/>
  <c r="F39" i="494"/>
  <c r="F42" i="494"/>
  <c r="F43" i="494"/>
  <c r="F44" i="494"/>
  <c r="F45" i="494"/>
  <c r="G45" i="494" s="1"/>
  <c r="C24" i="493"/>
  <c r="C48" i="493" s="1"/>
  <c r="H48" i="493"/>
  <c r="H50" i="493" s="1"/>
  <c r="E6" i="493" s="1"/>
  <c r="C24" i="492"/>
  <c r="C48" i="492" s="1"/>
  <c r="H48" i="492"/>
  <c r="H50" i="492" s="1"/>
  <c r="E6" i="492" s="1"/>
  <c r="E45" i="492"/>
  <c r="E44" i="492"/>
  <c r="E43" i="492"/>
  <c r="E42" i="492"/>
  <c r="E39" i="492"/>
  <c r="E38" i="492"/>
  <c r="E37" i="492"/>
  <c r="E36" i="492"/>
  <c r="E35" i="492"/>
  <c r="E34" i="492"/>
  <c r="E31" i="492"/>
  <c r="E30" i="492"/>
  <c r="E29" i="492"/>
  <c r="E28" i="492"/>
  <c r="E27" i="492"/>
  <c r="E23" i="492"/>
  <c r="E22" i="492"/>
  <c r="E21" i="492"/>
  <c r="E24" i="492"/>
  <c r="E26" i="492"/>
  <c r="E40" i="492"/>
  <c r="E46" i="492"/>
  <c r="A52" i="492" s="1"/>
  <c r="E32" i="492"/>
  <c r="J50" i="492"/>
  <c r="E50" i="492"/>
  <c r="C24" i="491"/>
  <c r="C48" i="491" s="1"/>
  <c r="H48" i="491"/>
  <c r="H50" i="491" s="1"/>
  <c r="E6" i="491" s="1"/>
  <c r="E45" i="491"/>
  <c r="E43" i="491"/>
  <c r="E42" i="491"/>
  <c r="E39" i="491"/>
  <c r="E38" i="491"/>
  <c r="E37" i="491"/>
  <c r="E36" i="491"/>
  <c r="E35" i="491"/>
  <c r="E34" i="491"/>
  <c r="E31" i="491"/>
  <c r="E30" i="491"/>
  <c r="E29" i="491"/>
  <c r="E28" i="491"/>
  <c r="E27" i="491"/>
  <c r="E26" i="491"/>
  <c r="E23" i="491"/>
  <c r="E22" i="491"/>
  <c r="E21" i="491"/>
  <c r="E24" i="491"/>
  <c r="E32" i="491"/>
  <c r="E40" i="491"/>
  <c r="E44" i="491"/>
  <c r="E46" i="491"/>
  <c r="A52" i="491" s="1"/>
  <c r="J50" i="491"/>
  <c r="E50" i="491"/>
  <c r="H46" i="490"/>
  <c r="C46" i="490" s="1"/>
  <c r="H40" i="490"/>
  <c r="C40" i="490" s="1"/>
  <c r="D50" i="490"/>
  <c r="D48" i="490"/>
  <c r="H32" i="490"/>
  <c r="C32" i="490" s="1"/>
  <c r="H24" i="490"/>
  <c r="H19" i="490"/>
  <c r="C19" i="490" s="1"/>
  <c r="H10" i="489"/>
  <c r="D19" i="489"/>
  <c r="E16" i="489" s="1"/>
  <c r="H11" i="489"/>
  <c r="H12" i="489"/>
  <c r="H13" i="489"/>
  <c r="H14" i="489"/>
  <c r="H15" i="489"/>
  <c r="H16" i="489"/>
  <c r="H17" i="489"/>
  <c r="H18" i="489"/>
  <c r="H21" i="489"/>
  <c r="D24" i="489"/>
  <c r="H22" i="489"/>
  <c r="H23" i="489"/>
  <c r="H26" i="489"/>
  <c r="D32" i="489"/>
  <c r="H27" i="489"/>
  <c r="H28" i="489"/>
  <c r="H29" i="489"/>
  <c r="H30" i="489"/>
  <c r="H31" i="489"/>
  <c r="H34" i="489"/>
  <c r="D40" i="489"/>
  <c r="H35" i="489"/>
  <c r="H36" i="489"/>
  <c r="H37" i="489"/>
  <c r="H38" i="489"/>
  <c r="H39" i="489"/>
  <c r="H42" i="489"/>
  <c r="D46" i="489"/>
  <c r="H43" i="489"/>
  <c r="H44" i="489"/>
  <c r="H10" i="488"/>
  <c r="H11" i="488"/>
  <c r="H12" i="488"/>
  <c r="H13" i="488"/>
  <c r="H14" i="488"/>
  <c r="H15" i="488"/>
  <c r="H16" i="488"/>
  <c r="H17" i="488"/>
  <c r="H18" i="488"/>
  <c r="E19" i="488"/>
  <c r="H21" i="488"/>
  <c r="H22" i="488"/>
  <c r="H23" i="488"/>
  <c r="H26" i="488"/>
  <c r="H27" i="488"/>
  <c r="H28" i="488"/>
  <c r="D32" i="488"/>
  <c r="H29" i="488"/>
  <c r="H30" i="488"/>
  <c r="H31" i="488"/>
  <c r="H34" i="488"/>
  <c r="H35" i="488"/>
  <c r="H36" i="488"/>
  <c r="H37" i="488"/>
  <c r="H38" i="488"/>
  <c r="H39" i="488"/>
  <c r="H42" i="488"/>
  <c r="H43" i="488"/>
  <c r="H44" i="488"/>
  <c r="H10" i="487"/>
  <c r="H11" i="487"/>
  <c r="H12" i="487"/>
  <c r="H13" i="487"/>
  <c r="H14" i="487"/>
  <c r="H15" i="487"/>
  <c r="H16" i="487"/>
  <c r="H17" i="487"/>
  <c r="H18" i="487"/>
  <c r="E19" i="487"/>
  <c r="H21" i="487"/>
  <c r="H22" i="487"/>
  <c r="H23" i="487"/>
  <c r="H26" i="487"/>
  <c r="H27" i="487"/>
  <c r="H28" i="487"/>
  <c r="H29" i="487"/>
  <c r="H30" i="487"/>
  <c r="H31" i="487"/>
  <c r="H34" i="487"/>
  <c r="H35" i="487"/>
  <c r="H36" i="487"/>
  <c r="H37" i="487"/>
  <c r="H38" i="487"/>
  <c r="H39" i="487"/>
  <c r="H42" i="487"/>
  <c r="H43" i="487"/>
  <c r="H44" i="487"/>
  <c r="H10" i="486"/>
  <c r="H11" i="486"/>
  <c r="H12" i="486"/>
  <c r="H13" i="486"/>
  <c r="H14" i="486"/>
  <c r="H15" i="486"/>
  <c r="H16" i="486"/>
  <c r="H17" i="486"/>
  <c r="H18" i="486"/>
  <c r="E19" i="486"/>
  <c r="H21" i="486"/>
  <c r="H22" i="486"/>
  <c r="H23" i="486"/>
  <c r="H26" i="486"/>
  <c r="H27" i="486"/>
  <c r="H28" i="486"/>
  <c r="H29" i="486"/>
  <c r="H30" i="486"/>
  <c r="H31" i="486"/>
  <c r="H34" i="486"/>
  <c r="D40" i="486"/>
  <c r="H35" i="486"/>
  <c r="H36" i="486"/>
  <c r="H37" i="486"/>
  <c r="H38" i="486"/>
  <c r="H39" i="486"/>
  <c r="H42" i="486"/>
  <c r="D46" i="486"/>
  <c r="H43" i="486"/>
  <c r="H44" i="486"/>
  <c r="D34" i="485"/>
  <c r="D42" i="485"/>
  <c r="C45" i="485"/>
  <c r="C44" i="485"/>
  <c r="C43" i="485"/>
  <c r="C42" i="485"/>
  <c r="C39" i="485"/>
  <c r="C38" i="485"/>
  <c r="C37" i="485"/>
  <c r="C36" i="485"/>
  <c r="C35" i="485"/>
  <c r="C34" i="485"/>
  <c r="D32" i="485"/>
  <c r="C31" i="485"/>
  <c r="C30" i="485"/>
  <c r="C29" i="485"/>
  <c r="C28" i="485"/>
  <c r="C27" i="485"/>
  <c r="C26" i="485"/>
  <c r="D24" i="485"/>
  <c r="C23" i="485"/>
  <c r="C22" i="485"/>
  <c r="C21" i="485"/>
  <c r="D19" i="485"/>
  <c r="E18" i="485" s="1"/>
  <c r="C18" i="485"/>
  <c r="C17" i="485"/>
  <c r="C16" i="485"/>
  <c r="C15" i="485"/>
  <c r="C14" i="485"/>
  <c r="C13" i="485"/>
  <c r="C12" i="485"/>
  <c r="C11" i="485"/>
  <c r="C10" i="485"/>
  <c r="C7" i="485"/>
  <c r="G4" i="485"/>
  <c r="E4" i="485"/>
  <c r="D48" i="487" l="1"/>
  <c r="E40" i="487" s="1"/>
  <c r="H48" i="580"/>
  <c r="H50" i="580" s="1"/>
  <c r="E6" i="580" s="1"/>
  <c r="F27" i="580" s="1"/>
  <c r="E11" i="489"/>
  <c r="H26" i="579"/>
  <c r="E12" i="489"/>
  <c r="E10" i="489"/>
  <c r="I46" i="498"/>
  <c r="F46" i="498" s="1"/>
  <c r="G46" i="498" s="1"/>
  <c r="F12" i="580"/>
  <c r="F38" i="580"/>
  <c r="F44" i="580"/>
  <c r="F17" i="580"/>
  <c r="F23" i="580"/>
  <c r="F29" i="580"/>
  <c r="F39" i="580"/>
  <c r="F45" i="580"/>
  <c r="G45" i="580" s="1"/>
  <c r="F10" i="580"/>
  <c r="F14" i="580"/>
  <c r="F18" i="580"/>
  <c r="F26" i="580"/>
  <c r="F30" i="580"/>
  <c r="F36" i="580"/>
  <c r="F42" i="580"/>
  <c r="E24" i="580"/>
  <c r="E30" i="580"/>
  <c r="E36" i="580"/>
  <c r="E21" i="580"/>
  <c r="E31" i="580"/>
  <c r="E37" i="580"/>
  <c r="E43" i="580"/>
  <c r="E22" i="580"/>
  <c r="E38" i="580"/>
  <c r="E44" i="580"/>
  <c r="E23" i="580"/>
  <c r="E35" i="580"/>
  <c r="E39" i="580"/>
  <c r="E45" i="580"/>
  <c r="E29" i="580"/>
  <c r="E28" i="580"/>
  <c r="E42" i="580"/>
  <c r="E27" i="580"/>
  <c r="E34" i="580"/>
  <c r="E40" i="580"/>
  <c r="E46" i="580"/>
  <c r="A52" i="580" s="1"/>
  <c r="E26" i="580"/>
  <c r="E46" i="487"/>
  <c r="A52" i="487" s="1"/>
  <c r="E24" i="487"/>
  <c r="E18" i="489"/>
  <c r="I19" i="498"/>
  <c r="F19" i="498" s="1"/>
  <c r="G19" i="498" s="1"/>
  <c r="E15" i="489"/>
  <c r="E32" i="487"/>
  <c r="E14" i="489"/>
  <c r="I40" i="498"/>
  <c r="F40" i="498" s="1"/>
  <c r="G40" i="498" s="1"/>
  <c r="E13" i="489"/>
  <c r="I46" i="499"/>
  <c r="F46" i="499" s="1"/>
  <c r="G46" i="499" s="1"/>
  <c r="E13" i="485"/>
  <c r="I19" i="499"/>
  <c r="F19" i="499" s="1"/>
  <c r="G19" i="499" s="1"/>
  <c r="I32" i="498"/>
  <c r="F32" i="498" s="1"/>
  <c r="G32" i="498" s="1"/>
  <c r="E14" i="485"/>
  <c r="E12" i="485"/>
  <c r="I40" i="499"/>
  <c r="F40" i="499" s="1"/>
  <c r="G40" i="499" s="1"/>
  <c r="E15" i="485"/>
  <c r="E11" i="485"/>
  <c r="E16" i="485"/>
  <c r="E17" i="485"/>
  <c r="E17" i="489"/>
  <c r="E10" i="485"/>
  <c r="I32" i="499"/>
  <c r="F32" i="499" s="1"/>
  <c r="G32" i="499" s="1"/>
  <c r="A54" i="502"/>
  <c r="I51" i="502"/>
  <c r="F50" i="502"/>
  <c r="G6" i="502"/>
  <c r="G5" i="502"/>
  <c r="I50" i="501"/>
  <c r="F48" i="501"/>
  <c r="F24" i="500"/>
  <c r="G24" i="500" s="1"/>
  <c r="I48" i="500"/>
  <c r="I24" i="499"/>
  <c r="I24" i="498"/>
  <c r="I44" i="497"/>
  <c r="G44" i="497"/>
  <c r="I43" i="497"/>
  <c r="G43" i="497"/>
  <c r="I42" i="497"/>
  <c r="I46" i="497" s="1"/>
  <c r="F46" i="497" s="1"/>
  <c r="G46" i="497" s="1"/>
  <c r="G42" i="497"/>
  <c r="I39" i="497"/>
  <c r="G39" i="497"/>
  <c r="I38" i="497"/>
  <c r="G38" i="497"/>
  <c r="I37" i="497"/>
  <c r="G37" i="497"/>
  <c r="I36" i="497"/>
  <c r="G36" i="497"/>
  <c r="I35" i="497"/>
  <c r="G35" i="497"/>
  <c r="I34" i="497"/>
  <c r="G34" i="497"/>
  <c r="I31" i="497"/>
  <c r="G31" i="497"/>
  <c r="I30" i="497"/>
  <c r="G30" i="497"/>
  <c r="I29" i="497"/>
  <c r="G29" i="497"/>
  <c r="I28" i="497"/>
  <c r="G28" i="497"/>
  <c r="I27" i="497"/>
  <c r="G27" i="497"/>
  <c r="I26" i="497"/>
  <c r="G26" i="497"/>
  <c r="I23" i="497"/>
  <c r="G23" i="497"/>
  <c r="I22" i="497"/>
  <c r="G22" i="497"/>
  <c r="I21" i="497"/>
  <c r="G21" i="497"/>
  <c r="I18" i="497"/>
  <c r="G18" i="497"/>
  <c r="I17" i="497"/>
  <c r="G17" i="497"/>
  <c r="I16" i="497"/>
  <c r="G16" i="497"/>
  <c r="I15" i="497"/>
  <c r="G15" i="497"/>
  <c r="I14" i="497"/>
  <c r="G14" i="497"/>
  <c r="I13" i="497"/>
  <c r="G13" i="497"/>
  <c r="I12" i="497"/>
  <c r="G12" i="497"/>
  <c r="I11" i="497"/>
  <c r="G11" i="497"/>
  <c r="I10" i="497"/>
  <c r="G10" i="497"/>
  <c r="I44" i="496"/>
  <c r="G44" i="496"/>
  <c r="I43" i="496"/>
  <c r="G43" i="496"/>
  <c r="I42" i="496"/>
  <c r="G42" i="496"/>
  <c r="I39" i="496"/>
  <c r="G39" i="496"/>
  <c r="I38" i="496"/>
  <c r="G38" i="496"/>
  <c r="I37" i="496"/>
  <c r="G37" i="496"/>
  <c r="I36" i="496"/>
  <c r="G36" i="496"/>
  <c r="I35" i="496"/>
  <c r="G35" i="496"/>
  <c r="I34" i="496"/>
  <c r="G34" i="496"/>
  <c r="I31" i="496"/>
  <c r="G31" i="496"/>
  <c r="I30" i="496"/>
  <c r="G30" i="496"/>
  <c r="I29" i="496"/>
  <c r="G29" i="496"/>
  <c r="I28" i="496"/>
  <c r="G28" i="496"/>
  <c r="I27" i="496"/>
  <c r="G27" i="496"/>
  <c r="I26" i="496"/>
  <c r="G26" i="496"/>
  <c r="I23" i="496"/>
  <c r="G23" i="496"/>
  <c r="I22" i="496"/>
  <c r="G22" i="496"/>
  <c r="I21" i="496"/>
  <c r="G21" i="496"/>
  <c r="I18" i="496"/>
  <c r="G18" i="496"/>
  <c r="I17" i="496"/>
  <c r="G17" i="496"/>
  <c r="I16" i="496"/>
  <c r="G16" i="496"/>
  <c r="I15" i="496"/>
  <c r="G15" i="496"/>
  <c r="I14" i="496"/>
  <c r="G14" i="496"/>
  <c r="I13" i="496"/>
  <c r="G13" i="496"/>
  <c r="I12" i="496"/>
  <c r="G12" i="496"/>
  <c r="I11" i="496"/>
  <c r="G11" i="496"/>
  <c r="I10" i="496"/>
  <c r="G10" i="496"/>
  <c r="I44" i="495"/>
  <c r="G44" i="495"/>
  <c r="I43" i="495"/>
  <c r="G43" i="495"/>
  <c r="I42" i="495"/>
  <c r="G42" i="495"/>
  <c r="I39" i="495"/>
  <c r="G39" i="495"/>
  <c r="I38" i="495"/>
  <c r="G38" i="495"/>
  <c r="I37" i="495"/>
  <c r="G37" i="495"/>
  <c r="I36" i="495"/>
  <c r="G36" i="495"/>
  <c r="I35" i="495"/>
  <c r="G35" i="495"/>
  <c r="I34" i="495"/>
  <c r="G34" i="495"/>
  <c r="I31" i="495"/>
  <c r="G31" i="495"/>
  <c r="I30" i="495"/>
  <c r="G30" i="495"/>
  <c r="I29" i="495"/>
  <c r="G29" i="495"/>
  <c r="I28" i="495"/>
  <c r="G28" i="495"/>
  <c r="I27" i="495"/>
  <c r="G27" i="495"/>
  <c r="I26" i="495"/>
  <c r="G26" i="495"/>
  <c r="I23" i="495"/>
  <c r="G23" i="495"/>
  <c r="I22" i="495"/>
  <c r="G22" i="495"/>
  <c r="I21" i="495"/>
  <c r="G21" i="495"/>
  <c r="I18" i="495"/>
  <c r="G18" i="495"/>
  <c r="I17" i="495"/>
  <c r="G17" i="495"/>
  <c r="I16" i="495"/>
  <c r="G16" i="495"/>
  <c r="I15" i="495"/>
  <c r="G15" i="495"/>
  <c r="I14" i="495"/>
  <c r="G14" i="495"/>
  <c r="I13" i="495"/>
  <c r="G13" i="495"/>
  <c r="I12" i="495"/>
  <c r="G12" i="495"/>
  <c r="I11" i="495"/>
  <c r="G11" i="495"/>
  <c r="I10" i="495"/>
  <c r="G10" i="495"/>
  <c r="I44" i="494"/>
  <c r="G44" i="494"/>
  <c r="I43" i="494"/>
  <c r="G43" i="494"/>
  <c r="I42" i="494"/>
  <c r="G42" i="494"/>
  <c r="I39" i="494"/>
  <c r="G39" i="494"/>
  <c r="I38" i="494"/>
  <c r="G38" i="494"/>
  <c r="I37" i="494"/>
  <c r="G37" i="494"/>
  <c r="I36" i="494"/>
  <c r="G36" i="494"/>
  <c r="I35" i="494"/>
  <c r="G35" i="494"/>
  <c r="I34" i="494"/>
  <c r="G34" i="494"/>
  <c r="I31" i="494"/>
  <c r="G31" i="494"/>
  <c r="I30" i="494"/>
  <c r="G30" i="494"/>
  <c r="I29" i="494"/>
  <c r="G29" i="494"/>
  <c r="I28" i="494"/>
  <c r="G28" i="494"/>
  <c r="I27" i="494"/>
  <c r="G27" i="494"/>
  <c r="I26" i="494"/>
  <c r="G26" i="494"/>
  <c r="I23" i="494"/>
  <c r="G23" i="494"/>
  <c r="I22" i="494"/>
  <c r="G22" i="494"/>
  <c r="I21" i="494"/>
  <c r="G21" i="494"/>
  <c r="I18" i="494"/>
  <c r="G18" i="494"/>
  <c r="I17" i="494"/>
  <c r="G17" i="494"/>
  <c r="I16" i="494"/>
  <c r="G16" i="494"/>
  <c r="I15" i="494"/>
  <c r="G15" i="494"/>
  <c r="I14" i="494"/>
  <c r="G14" i="494"/>
  <c r="I13" i="494"/>
  <c r="G13" i="494"/>
  <c r="I12" i="494"/>
  <c r="G12" i="494"/>
  <c r="I11" i="494"/>
  <c r="G11" i="494"/>
  <c r="I10" i="494"/>
  <c r="G10" i="494"/>
  <c r="F10" i="493"/>
  <c r="F11" i="493"/>
  <c r="F12" i="493"/>
  <c r="F13" i="493"/>
  <c r="F14" i="493"/>
  <c r="F15" i="493"/>
  <c r="F16" i="493"/>
  <c r="F17" i="493"/>
  <c r="F18" i="493"/>
  <c r="F21" i="493"/>
  <c r="F22" i="493"/>
  <c r="F23" i="493"/>
  <c r="F26" i="493"/>
  <c r="F27" i="493"/>
  <c r="F28" i="493"/>
  <c r="F29" i="493"/>
  <c r="F30" i="493"/>
  <c r="F31" i="493"/>
  <c r="F34" i="493"/>
  <c r="F35" i="493"/>
  <c r="F36" i="493"/>
  <c r="F37" i="493"/>
  <c r="F38" i="493"/>
  <c r="F39" i="493"/>
  <c r="F42" i="493"/>
  <c r="F43" i="493"/>
  <c r="F44" i="493"/>
  <c r="F45" i="493"/>
  <c r="G45" i="493" s="1"/>
  <c r="E48" i="492"/>
  <c r="F10" i="492"/>
  <c r="F11" i="492"/>
  <c r="F12" i="492"/>
  <c r="F13" i="492"/>
  <c r="F14" i="492"/>
  <c r="F15" i="492"/>
  <c r="F16" i="492"/>
  <c r="F17" i="492"/>
  <c r="F18" i="492"/>
  <c r="F21" i="492"/>
  <c r="F22" i="492"/>
  <c r="F23" i="492"/>
  <c r="F26" i="492"/>
  <c r="F27" i="492"/>
  <c r="F28" i="492"/>
  <c r="F29" i="492"/>
  <c r="F30" i="492"/>
  <c r="F31" i="492"/>
  <c r="F34" i="492"/>
  <c r="F35" i="492"/>
  <c r="F36" i="492"/>
  <c r="F37" i="492"/>
  <c r="F38" i="492"/>
  <c r="F39" i="492"/>
  <c r="F42" i="492"/>
  <c r="F43" i="492"/>
  <c r="F44" i="492"/>
  <c r="F45" i="492"/>
  <c r="G45" i="492" s="1"/>
  <c r="E48" i="491"/>
  <c r="F10" i="491"/>
  <c r="F11" i="491"/>
  <c r="F12" i="491"/>
  <c r="F13" i="491"/>
  <c r="F14" i="491"/>
  <c r="F15" i="491"/>
  <c r="F16" i="491"/>
  <c r="F17" i="491"/>
  <c r="F18" i="491"/>
  <c r="F21" i="491"/>
  <c r="F22" i="491"/>
  <c r="F23" i="491"/>
  <c r="F26" i="491"/>
  <c r="F27" i="491"/>
  <c r="F28" i="491"/>
  <c r="F29" i="491"/>
  <c r="F30" i="491"/>
  <c r="F31" i="491"/>
  <c r="F34" i="491"/>
  <c r="F35" i="491"/>
  <c r="F36" i="491"/>
  <c r="F37" i="491"/>
  <c r="F38" i="491"/>
  <c r="F39" i="491"/>
  <c r="F42" i="491"/>
  <c r="F43" i="491"/>
  <c r="F44" i="491"/>
  <c r="F45" i="491"/>
  <c r="G45" i="491" s="1"/>
  <c r="C24" i="490"/>
  <c r="C48" i="490" s="1"/>
  <c r="H48" i="490"/>
  <c r="H50" i="490" s="1"/>
  <c r="E6" i="490" s="1"/>
  <c r="E45" i="490"/>
  <c r="E44" i="490"/>
  <c r="E43" i="490"/>
  <c r="E39" i="490"/>
  <c r="E38" i="490"/>
  <c r="E37" i="490"/>
  <c r="E36" i="490"/>
  <c r="E35" i="490"/>
  <c r="E31" i="490"/>
  <c r="E30" i="490"/>
  <c r="E29" i="490"/>
  <c r="E28" i="490"/>
  <c r="E27" i="490"/>
  <c r="E23" i="490"/>
  <c r="E22" i="490"/>
  <c r="E21" i="490"/>
  <c r="E24" i="490"/>
  <c r="E26" i="490"/>
  <c r="E34" i="490"/>
  <c r="E42" i="490"/>
  <c r="E46" i="490"/>
  <c r="A52" i="490" s="1"/>
  <c r="E40" i="490"/>
  <c r="E32" i="490"/>
  <c r="J50" i="490"/>
  <c r="E50" i="490"/>
  <c r="H46" i="489"/>
  <c r="C46" i="489" s="1"/>
  <c r="H40" i="489"/>
  <c r="C40" i="489" s="1"/>
  <c r="H32" i="489"/>
  <c r="C32" i="489" s="1"/>
  <c r="D48" i="489"/>
  <c r="E24" i="489" s="1"/>
  <c r="H24" i="489"/>
  <c r="E19" i="489"/>
  <c r="D50" i="489"/>
  <c r="H19" i="489"/>
  <c r="C19" i="489" s="1"/>
  <c r="H46" i="488"/>
  <c r="C46" i="488" s="1"/>
  <c r="H40" i="488"/>
  <c r="C40" i="488" s="1"/>
  <c r="D50" i="488"/>
  <c r="D48" i="488"/>
  <c r="H32" i="488"/>
  <c r="C32" i="488" s="1"/>
  <c r="H24" i="488"/>
  <c r="H19" i="488"/>
  <c r="C19" i="488" s="1"/>
  <c r="H46" i="487"/>
  <c r="C46" i="487" s="1"/>
  <c r="H40" i="487"/>
  <c r="C40" i="487" s="1"/>
  <c r="H32" i="487"/>
  <c r="C32" i="487" s="1"/>
  <c r="E45" i="487"/>
  <c r="E44" i="487"/>
  <c r="E43" i="487"/>
  <c r="E42" i="487"/>
  <c r="E39" i="487"/>
  <c r="E38" i="487"/>
  <c r="E37" i="487"/>
  <c r="E36" i="487"/>
  <c r="E35" i="487"/>
  <c r="E34" i="487"/>
  <c r="E31" i="487"/>
  <c r="E30" i="487"/>
  <c r="E29" i="487"/>
  <c r="E28" i="487"/>
  <c r="E27" i="487"/>
  <c r="E26" i="487"/>
  <c r="E23" i="487"/>
  <c r="E22" i="487"/>
  <c r="E21" i="487"/>
  <c r="H24" i="487"/>
  <c r="J50" i="487"/>
  <c r="E50" i="487"/>
  <c r="H19" i="487"/>
  <c r="C19" i="487" s="1"/>
  <c r="H46" i="486"/>
  <c r="C46" i="486" s="1"/>
  <c r="D50" i="486"/>
  <c r="D48" i="486"/>
  <c r="H40" i="486"/>
  <c r="C40" i="486" s="1"/>
  <c r="H32" i="486"/>
  <c r="C32" i="486" s="1"/>
  <c r="H24" i="486"/>
  <c r="H19" i="486"/>
  <c r="C19" i="486" s="1"/>
  <c r="H10" i="485"/>
  <c r="H11" i="485"/>
  <c r="H12" i="485"/>
  <c r="H13" i="485"/>
  <c r="H14" i="485"/>
  <c r="H15" i="485"/>
  <c r="H16" i="485"/>
  <c r="H17" i="485"/>
  <c r="H18" i="485"/>
  <c r="E19" i="485"/>
  <c r="H21" i="485"/>
  <c r="H22" i="485"/>
  <c r="H23" i="485"/>
  <c r="H26" i="485"/>
  <c r="H27" i="485"/>
  <c r="H28" i="485"/>
  <c r="H29" i="485"/>
  <c r="H30" i="485"/>
  <c r="H31" i="485"/>
  <c r="H34" i="485"/>
  <c r="D40" i="485"/>
  <c r="H35" i="485"/>
  <c r="H36" i="485"/>
  <c r="H37" i="485"/>
  <c r="H38" i="485"/>
  <c r="H39" i="485"/>
  <c r="H42" i="485"/>
  <c r="D46" i="485"/>
  <c r="H43" i="485"/>
  <c r="H44" i="485"/>
  <c r="D34" i="484"/>
  <c r="D42" i="484"/>
  <c r="C45" i="484"/>
  <c r="C44" i="484"/>
  <c r="C43" i="484"/>
  <c r="C42" i="484"/>
  <c r="C39" i="484"/>
  <c r="C38" i="484"/>
  <c r="C37" i="484"/>
  <c r="C36" i="484"/>
  <c r="C35" i="484"/>
  <c r="C34" i="484"/>
  <c r="D32" i="484"/>
  <c r="C31" i="484"/>
  <c r="C30" i="484"/>
  <c r="C29" i="484"/>
  <c r="C28" i="484"/>
  <c r="C27" i="484"/>
  <c r="C26" i="484"/>
  <c r="D24" i="484"/>
  <c r="C23" i="484"/>
  <c r="C22" i="484"/>
  <c r="C21" i="484"/>
  <c r="D19" i="484"/>
  <c r="E14" i="484" s="1"/>
  <c r="C18" i="484"/>
  <c r="C17" i="484"/>
  <c r="C16" i="484"/>
  <c r="C15" i="484"/>
  <c r="C14" i="484"/>
  <c r="C13" i="484"/>
  <c r="C12" i="484"/>
  <c r="C11" i="484"/>
  <c r="C10" i="484"/>
  <c r="C7" i="484"/>
  <c r="G4" i="484"/>
  <c r="E4" i="484"/>
  <c r="F34" i="580" l="1"/>
  <c r="F35" i="580"/>
  <c r="F13" i="580"/>
  <c r="F16" i="580"/>
  <c r="I16" i="580" s="1"/>
  <c r="F28" i="580"/>
  <c r="I28" i="580" s="1"/>
  <c r="F37" i="580"/>
  <c r="F22" i="580"/>
  <c r="I22" i="580" s="1"/>
  <c r="F31" i="580"/>
  <c r="G31" i="580" s="1"/>
  <c r="F21" i="580"/>
  <c r="I21" i="580" s="1"/>
  <c r="F43" i="580"/>
  <c r="F15" i="580"/>
  <c r="G15" i="580" s="1"/>
  <c r="F11" i="580"/>
  <c r="I11" i="580" s="1"/>
  <c r="E16" i="484"/>
  <c r="E10" i="484"/>
  <c r="E18" i="484"/>
  <c r="E48" i="580"/>
  <c r="I30" i="580"/>
  <c r="G30" i="580"/>
  <c r="I10" i="580"/>
  <c r="G10" i="580"/>
  <c r="I29" i="580"/>
  <c r="G29" i="580"/>
  <c r="I44" i="580"/>
  <c r="G44" i="580"/>
  <c r="G22" i="580"/>
  <c r="I37" i="580"/>
  <c r="G37" i="580"/>
  <c r="E15" i="484"/>
  <c r="E17" i="484"/>
  <c r="I46" i="494"/>
  <c r="F46" i="494" s="1"/>
  <c r="G46" i="494" s="1"/>
  <c r="I26" i="580"/>
  <c r="G26" i="580"/>
  <c r="I23" i="580"/>
  <c r="G23" i="580"/>
  <c r="I38" i="580"/>
  <c r="G38" i="580"/>
  <c r="I31" i="580"/>
  <c r="I42" i="580"/>
  <c r="G42" i="580"/>
  <c r="I18" i="580"/>
  <c r="G18" i="580"/>
  <c r="I39" i="580"/>
  <c r="G39" i="580"/>
  <c r="I17" i="580"/>
  <c r="G17" i="580"/>
  <c r="I34" i="580"/>
  <c r="G34" i="580"/>
  <c r="I12" i="580"/>
  <c r="G12" i="580"/>
  <c r="I27" i="580"/>
  <c r="G27" i="580"/>
  <c r="I36" i="580"/>
  <c r="G36" i="580"/>
  <c r="I14" i="580"/>
  <c r="G14" i="580"/>
  <c r="I35" i="580"/>
  <c r="G35" i="580"/>
  <c r="I13" i="580"/>
  <c r="G13" i="580"/>
  <c r="I43" i="580"/>
  <c r="G43" i="580"/>
  <c r="I40" i="496"/>
  <c r="F40" i="496" s="1"/>
  <c r="G40" i="496" s="1"/>
  <c r="I46" i="495"/>
  <c r="F46" i="495" s="1"/>
  <c r="G46" i="495" s="1"/>
  <c r="I19" i="494"/>
  <c r="F19" i="494" s="1"/>
  <c r="G19" i="494" s="1"/>
  <c r="I40" i="494"/>
  <c r="F40" i="494" s="1"/>
  <c r="G40" i="494" s="1"/>
  <c r="I32" i="496"/>
  <c r="F32" i="496" s="1"/>
  <c r="G32" i="496" s="1"/>
  <c r="I19" i="497"/>
  <c r="F19" i="497" s="1"/>
  <c r="G19" i="497" s="1"/>
  <c r="I19" i="495"/>
  <c r="F19" i="495" s="1"/>
  <c r="G19" i="495" s="1"/>
  <c r="I40" i="497"/>
  <c r="F40" i="497" s="1"/>
  <c r="G40" i="497" s="1"/>
  <c r="E48" i="487"/>
  <c r="I32" i="494"/>
  <c r="F32" i="494" s="1"/>
  <c r="G32" i="494" s="1"/>
  <c r="E12" i="484"/>
  <c r="I40" i="495"/>
  <c r="F40" i="495" s="1"/>
  <c r="G40" i="495" s="1"/>
  <c r="I32" i="497"/>
  <c r="F32" i="497" s="1"/>
  <c r="G32" i="497" s="1"/>
  <c r="E13" i="484"/>
  <c r="I19" i="496"/>
  <c r="F19" i="496" s="1"/>
  <c r="G19" i="496" s="1"/>
  <c r="I46" i="496"/>
  <c r="F46" i="496" s="1"/>
  <c r="G46" i="496" s="1"/>
  <c r="E11" i="484"/>
  <c r="I32" i="495"/>
  <c r="F32" i="495" s="1"/>
  <c r="G32" i="495" s="1"/>
  <c r="A54" i="501"/>
  <c r="I51" i="501"/>
  <c r="F50" i="501"/>
  <c r="G6" i="501"/>
  <c r="G5" i="501"/>
  <c r="I50" i="500"/>
  <c r="F48" i="500"/>
  <c r="F24" i="499"/>
  <c r="G24" i="499" s="1"/>
  <c r="I48" i="499"/>
  <c r="F24" i="498"/>
  <c r="G24" i="498" s="1"/>
  <c r="I48" i="498"/>
  <c r="I24" i="497"/>
  <c r="I24" i="496"/>
  <c r="I24" i="495"/>
  <c r="I24" i="494"/>
  <c r="I44" i="493"/>
  <c r="G44" i="493"/>
  <c r="I43" i="493"/>
  <c r="G43" i="493"/>
  <c r="I42" i="493"/>
  <c r="G42" i="493"/>
  <c r="I39" i="493"/>
  <c r="G39" i="493"/>
  <c r="I38" i="493"/>
  <c r="G38" i="493"/>
  <c r="I37" i="493"/>
  <c r="G37" i="493"/>
  <c r="I36" i="493"/>
  <c r="G36" i="493"/>
  <c r="I35" i="493"/>
  <c r="G35" i="493"/>
  <c r="I34" i="493"/>
  <c r="G34" i="493"/>
  <c r="I31" i="493"/>
  <c r="G31" i="493"/>
  <c r="I30" i="493"/>
  <c r="G30" i="493"/>
  <c r="I29" i="493"/>
  <c r="G29" i="493"/>
  <c r="I28" i="493"/>
  <c r="G28" i="493"/>
  <c r="I27" i="493"/>
  <c r="G27" i="493"/>
  <c r="I26" i="493"/>
  <c r="G26" i="493"/>
  <c r="I23" i="493"/>
  <c r="G23" i="493"/>
  <c r="I22" i="493"/>
  <c r="G22" i="493"/>
  <c r="I21" i="493"/>
  <c r="G21" i="493"/>
  <c r="I18" i="493"/>
  <c r="G18" i="493"/>
  <c r="I17" i="493"/>
  <c r="G17" i="493"/>
  <c r="I16" i="493"/>
  <c r="G16" i="493"/>
  <c r="I15" i="493"/>
  <c r="G15" i="493"/>
  <c r="I14" i="493"/>
  <c r="G14" i="493"/>
  <c r="I13" i="493"/>
  <c r="G13" i="493"/>
  <c r="I12" i="493"/>
  <c r="G12" i="493"/>
  <c r="I11" i="493"/>
  <c r="G11" i="493"/>
  <c r="I10" i="493"/>
  <c r="G10" i="493"/>
  <c r="I44" i="492"/>
  <c r="G44" i="492"/>
  <c r="I43" i="492"/>
  <c r="G43" i="492"/>
  <c r="I42" i="492"/>
  <c r="G42" i="492"/>
  <c r="I39" i="492"/>
  <c r="G39" i="492"/>
  <c r="I38" i="492"/>
  <c r="G38" i="492"/>
  <c r="I37" i="492"/>
  <c r="G37" i="492"/>
  <c r="I36" i="492"/>
  <c r="G36" i="492"/>
  <c r="I35" i="492"/>
  <c r="G35" i="492"/>
  <c r="I34" i="492"/>
  <c r="G34" i="492"/>
  <c r="I31" i="492"/>
  <c r="G31" i="492"/>
  <c r="I30" i="492"/>
  <c r="G30" i="492"/>
  <c r="I29" i="492"/>
  <c r="G29" i="492"/>
  <c r="I28" i="492"/>
  <c r="G28" i="492"/>
  <c r="I27" i="492"/>
  <c r="G27" i="492"/>
  <c r="I26" i="492"/>
  <c r="G26" i="492"/>
  <c r="I23" i="492"/>
  <c r="G23" i="492"/>
  <c r="I22" i="492"/>
  <c r="G22" i="492"/>
  <c r="I21" i="492"/>
  <c r="G21" i="492"/>
  <c r="I18" i="492"/>
  <c r="G18" i="492"/>
  <c r="I17" i="492"/>
  <c r="G17" i="492"/>
  <c r="I16" i="492"/>
  <c r="G16" i="492"/>
  <c r="I15" i="492"/>
  <c r="G15" i="492"/>
  <c r="I14" i="492"/>
  <c r="G14" i="492"/>
  <c r="I13" i="492"/>
  <c r="G13" i="492"/>
  <c r="I12" i="492"/>
  <c r="G12" i="492"/>
  <c r="I11" i="492"/>
  <c r="G11" i="492"/>
  <c r="I10" i="492"/>
  <c r="G10" i="492"/>
  <c r="I44" i="491"/>
  <c r="G44" i="491"/>
  <c r="I43" i="491"/>
  <c r="G43" i="491"/>
  <c r="I42" i="491"/>
  <c r="G42" i="491"/>
  <c r="I39" i="491"/>
  <c r="G39" i="491"/>
  <c r="I38" i="491"/>
  <c r="G38" i="491"/>
  <c r="I37" i="491"/>
  <c r="G37" i="491"/>
  <c r="I36" i="491"/>
  <c r="G36" i="491"/>
  <c r="I35" i="491"/>
  <c r="G35" i="491"/>
  <c r="I34" i="491"/>
  <c r="G34" i="491"/>
  <c r="I31" i="491"/>
  <c r="G31" i="491"/>
  <c r="I30" i="491"/>
  <c r="G30" i="491"/>
  <c r="I29" i="491"/>
  <c r="G29" i="491"/>
  <c r="I28" i="491"/>
  <c r="G28" i="491"/>
  <c r="I27" i="491"/>
  <c r="G27" i="491"/>
  <c r="I26" i="491"/>
  <c r="G26" i="491"/>
  <c r="I23" i="491"/>
  <c r="G23" i="491"/>
  <c r="I22" i="491"/>
  <c r="G22" i="491"/>
  <c r="I21" i="491"/>
  <c r="G21" i="491"/>
  <c r="I18" i="491"/>
  <c r="G18" i="491"/>
  <c r="I17" i="491"/>
  <c r="G17" i="491"/>
  <c r="I16" i="491"/>
  <c r="G16" i="491"/>
  <c r="I15" i="491"/>
  <c r="G15" i="491"/>
  <c r="I14" i="491"/>
  <c r="G14" i="491"/>
  <c r="I13" i="491"/>
  <c r="G13" i="491"/>
  <c r="I12" i="491"/>
  <c r="G12" i="491"/>
  <c r="I11" i="491"/>
  <c r="G11" i="491"/>
  <c r="I10" i="491"/>
  <c r="G10" i="491"/>
  <c r="E48" i="490"/>
  <c r="F10" i="490"/>
  <c r="F11" i="490"/>
  <c r="F12" i="490"/>
  <c r="F13" i="490"/>
  <c r="F14" i="490"/>
  <c r="F15" i="490"/>
  <c r="F16" i="490"/>
  <c r="F17" i="490"/>
  <c r="F18" i="490"/>
  <c r="F21" i="490"/>
  <c r="F22" i="490"/>
  <c r="F23" i="490"/>
  <c r="F26" i="490"/>
  <c r="F27" i="490"/>
  <c r="F28" i="490"/>
  <c r="F29" i="490"/>
  <c r="F30" i="490"/>
  <c r="F31" i="490"/>
  <c r="F34" i="490"/>
  <c r="F35" i="490"/>
  <c r="F36" i="490"/>
  <c r="F37" i="490"/>
  <c r="F38" i="490"/>
  <c r="F39" i="490"/>
  <c r="F42" i="490"/>
  <c r="F43" i="490"/>
  <c r="F44" i="490"/>
  <c r="F45" i="490"/>
  <c r="G45" i="490" s="1"/>
  <c r="C24" i="489"/>
  <c r="C48" i="489" s="1"/>
  <c r="H48" i="489"/>
  <c r="H50" i="489" s="1"/>
  <c r="E21" i="489"/>
  <c r="E22" i="489"/>
  <c r="E23" i="489"/>
  <c r="E26" i="489"/>
  <c r="E27" i="489"/>
  <c r="E28" i="489"/>
  <c r="E29" i="489"/>
  <c r="E30" i="489"/>
  <c r="E31" i="489"/>
  <c r="E34" i="489"/>
  <c r="E35" i="489"/>
  <c r="E36" i="489"/>
  <c r="E37" i="489"/>
  <c r="E38" i="489"/>
  <c r="E39" i="489"/>
  <c r="E42" i="489"/>
  <c r="E43" i="489"/>
  <c r="E44" i="489"/>
  <c r="E45" i="489"/>
  <c r="E46" i="489"/>
  <c r="A52" i="489" s="1"/>
  <c r="E40" i="489"/>
  <c r="E32" i="489"/>
  <c r="C24" i="488"/>
  <c r="C48" i="488" s="1"/>
  <c r="H48" i="488"/>
  <c r="H50" i="488" s="1"/>
  <c r="E6" i="488" s="1"/>
  <c r="E45" i="488"/>
  <c r="E44" i="488"/>
  <c r="E43" i="488"/>
  <c r="E42" i="488"/>
  <c r="E39" i="488"/>
  <c r="E38" i="488"/>
  <c r="E37" i="488"/>
  <c r="E36" i="488"/>
  <c r="E35" i="488"/>
  <c r="E34" i="488"/>
  <c r="E31" i="488"/>
  <c r="E30" i="488"/>
  <c r="E29" i="488"/>
  <c r="E27" i="488"/>
  <c r="E26" i="488"/>
  <c r="E23" i="488"/>
  <c r="E22" i="488"/>
  <c r="E21" i="488"/>
  <c r="E24" i="488"/>
  <c r="E28" i="488"/>
  <c r="E40" i="488"/>
  <c r="E46" i="488"/>
  <c r="A52" i="488" s="1"/>
  <c r="E32" i="488"/>
  <c r="J50" i="488"/>
  <c r="E50" i="488"/>
  <c r="C24" i="487"/>
  <c r="C48" i="487" s="1"/>
  <c r="H48" i="487"/>
  <c r="H50" i="487" s="1"/>
  <c r="E6" i="487" s="1"/>
  <c r="C24" i="486"/>
  <c r="C48" i="486" s="1"/>
  <c r="H48" i="486"/>
  <c r="H50" i="486" s="1"/>
  <c r="E6" i="486" s="1"/>
  <c r="E45" i="486"/>
  <c r="E44" i="486"/>
  <c r="E43" i="486"/>
  <c r="E39" i="486"/>
  <c r="E38" i="486"/>
  <c r="E37" i="486"/>
  <c r="E36" i="486"/>
  <c r="E35" i="486"/>
  <c r="E31" i="486"/>
  <c r="E30" i="486"/>
  <c r="E29" i="486"/>
  <c r="E28" i="486"/>
  <c r="E27" i="486"/>
  <c r="E26" i="486"/>
  <c r="E23" i="486"/>
  <c r="E22" i="486"/>
  <c r="E21" i="486"/>
  <c r="E24" i="486"/>
  <c r="E32" i="486"/>
  <c r="E34" i="486"/>
  <c r="E42" i="486"/>
  <c r="E46" i="486"/>
  <c r="A52" i="486" s="1"/>
  <c r="E40" i="486"/>
  <c r="J50" i="486"/>
  <c r="E50" i="486"/>
  <c r="H46" i="485"/>
  <c r="C46" i="485" s="1"/>
  <c r="D50" i="485"/>
  <c r="D48" i="485"/>
  <c r="H40" i="485"/>
  <c r="C40" i="485" s="1"/>
  <c r="H32" i="485"/>
  <c r="C32" i="485" s="1"/>
  <c r="H24" i="485"/>
  <c r="H19" i="485"/>
  <c r="C19" i="485" s="1"/>
  <c r="H10" i="484"/>
  <c r="H11" i="484"/>
  <c r="H12" i="484"/>
  <c r="H13" i="484"/>
  <c r="H14" i="484"/>
  <c r="H15" i="484"/>
  <c r="H16" i="484"/>
  <c r="H17" i="484"/>
  <c r="H18" i="484"/>
  <c r="E19" i="484"/>
  <c r="H21" i="484"/>
  <c r="H22" i="484"/>
  <c r="H23" i="484"/>
  <c r="H26" i="484"/>
  <c r="H27" i="484"/>
  <c r="H28" i="484"/>
  <c r="H29" i="484"/>
  <c r="H30" i="484"/>
  <c r="H31" i="484"/>
  <c r="H34" i="484"/>
  <c r="D40" i="484"/>
  <c r="H35" i="484"/>
  <c r="H36" i="484"/>
  <c r="H37" i="484"/>
  <c r="H38" i="484"/>
  <c r="H39" i="484"/>
  <c r="H42" i="484"/>
  <c r="D46" i="484"/>
  <c r="H43" i="484"/>
  <c r="H44" i="484"/>
  <c r="D34" i="483"/>
  <c r="D26" i="483"/>
  <c r="D42" i="483"/>
  <c r="C45" i="483"/>
  <c r="C44" i="483"/>
  <c r="C43" i="483"/>
  <c r="C42" i="483"/>
  <c r="C39" i="483"/>
  <c r="C38" i="483"/>
  <c r="C37" i="483"/>
  <c r="C36" i="483"/>
  <c r="C35" i="483"/>
  <c r="C34" i="483"/>
  <c r="C31" i="483"/>
  <c r="C30" i="483"/>
  <c r="C29" i="483"/>
  <c r="C28" i="483"/>
  <c r="C27" i="483"/>
  <c r="C26" i="483"/>
  <c r="D24" i="483"/>
  <c r="C23" i="483"/>
  <c r="C22" i="483"/>
  <c r="C21" i="483"/>
  <c r="D19" i="483"/>
  <c r="E15" i="483" s="1"/>
  <c r="C18" i="483"/>
  <c r="C17" i="483"/>
  <c r="C16" i="483"/>
  <c r="C15" i="483"/>
  <c r="C14" i="483"/>
  <c r="C13" i="483"/>
  <c r="C12" i="483"/>
  <c r="C11" i="483"/>
  <c r="C10" i="483"/>
  <c r="C7" i="483"/>
  <c r="G4" i="483"/>
  <c r="E4" i="483"/>
  <c r="G16" i="580" l="1"/>
  <c r="I15" i="580"/>
  <c r="G21" i="580"/>
  <c r="G28" i="580"/>
  <c r="G11" i="580"/>
  <c r="I40" i="580"/>
  <c r="F40" i="580" s="1"/>
  <c r="G40" i="580" s="1"/>
  <c r="I46" i="580"/>
  <c r="F46" i="580" s="1"/>
  <c r="G46" i="580" s="1"/>
  <c r="I46" i="492"/>
  <c r="F46" i="492" s="1"/>
  <c r="G46" i="492" s="1"/>
  <c r="I32" i="580"/>
  <c r="F32" i="580" s="1"/>
  <c r="G32" i="580" s="1"/>
  <c r="I24" i="580"/>
  <c r="F24" i="580" s="1"/>
  <c r="G24" i="580" s="1"/>
  <c r="I19" i="580"/>
  <c r="F19" i="580" s="1"/>
  <c r="G19" i="580" s="1"/>
  <c r="D32" i="483"/>
  <c r="E18" i="483"/>
  <c r="E10" i="483"/>
  <c r="I32" i="492"/>
  <c r="F32" i="492" s="1"/>
  <c r="G32" i="492" s="1"/>
  <c r="I46" i="491"/>
  <c r="F46" i="491" s="1"/>
  <c r="G46" i="491" s="1"/>
  <c r="I40" i="493"/>
  <c r="F40" i="493" s="1"/>
  <c r="G40" i="493" s="1"/>
  <c r="E16" i="483"/>
  <c r="E17" i="483"/>
  <c r="I19" i="491"/>
  <c r="F19" i="491" s="1"/>
  <c r="G19" i="491" s="1"/>
  <c r="I40" i="491"/>
  <c r="F40" i="491" s="1"/>
  <c r="G40" i="491" s="1"/>
  <c r="I32" i="493"/>
  <c r="F32" i="493" s="1"/>
  <c r="G32" i="493" s="1"/>
  <c r="E11" i="483"/>
  <c r="I19" i="492"/>
  <c r="F19" i="492" s="1"/>
  <c r="G19" i="492" s="1"/>
  <c r="I32" i="491"/>
  <c r="F32" i="491" s="1"/>
  <c r="G32" i="491" s="1"/>
  <c r="E13" i="483"/>
  <c r="I40" i="492"/>
  <c r="F40" i="492" s="1"/>
  <c r="G40" i="492" s="1"/>
  <c r="E12" i="483"/>
  <c r="E14" i="483"/>
  <c r="I19" i="493"/>
  <c r="F19" i="493" s="1"/>
  <c r="G19" i="493" s="1"/>
  <c r="I46" i="493"/>
  <c r="F46" i="493" s="1"/>
  <c r="G46" i="493" s="1"/>
  <c r="A54" i="500"/>
  <c r="I51" i="500"/>
  <c r="F50" i="500"/>
  <c r="G6" i="500"/>
  <c r="G5" i="500"/>
  <c r="I50" i="499"/>
  <c r="F48" i="499"/>
  <c r="I50" i="498"/>
  <c r="F48" i="498"/>
  <c r="F24" i="497"/>
  <c r="G24" i="497" s="1"/>
  <c r="I48" i="497"/>
  <c r="F24" i="496"/>
  <c r="G24" i="496" s="1"/>
  <c r="I48" i="496"/>
  <c r="F24" i="495"/>
  <c r="G24" i="495" s="1"/>
  <c r="I48" i="495"/>
  <c r="F24" i="494"/>
  <c r="G24" i="494" s="1"/>
  <c r="I48" i="494"/>
  <c r="I24" i="493"/>
  <c r="I24" i="492"/>
  <c r="I24" i="491"/>
  <c r="I44" i="490"/>
  <c r="G44" i="490"/>
  <c r="I43" i="490"/>
  <c r="G43" i="490"/>
  <c r="I42" i="490"/>
  <c r="G42" i="490"/>
  <c r="I39" i="490"/>
  <c r="G39" i="490"/>
  <c r="I38" i="490"/>
  <c r="G38" i="490"/>
  <c r="I37" i="490"/>
  <c r="G37" i="490"/>
  <c r="I36" i="490"/>
  <c r="G36" i="490"/>
  <c r="I35" i="490"/>
  <c r="G35" i="490"/>
  <c r="I34" i="490"/>
  <c r="G34" i="490"/>
  <c r="I31" i="490"/>
  <c r="G31" i="490"/>
  <c r="I30" i="490"/>
  <c r="G30" i="490"/>
  <c r="I29" i="490"/>
  <c r="G29" i="490"/>
  <c r="I28" i="490"/>
  <c r="G28" i="490"/>
  <c r="I27" i="490"/>
  <c r="G27" i="490"/>
  <c r="I26" i="490"/>
  <c r="G26" i="490"/>
  <c r="I23" i="490"/>
  <c r="G23" i="490"/>
  <c r="I22" i="490"/>
  <c r="G22" i="490"/>
  <c r="I21" i="490"/>
  <c r="G21" i="490"/>
  <c r="I18" i="490"/>
  <c r="G18" i="490"/>
  <c r="I17" i="490"/>
  <c r="G17" i="490"/>
  <c r="I16" i="490"/>
  <c r="G16" i="490"/>
  <c r="I15" i="490"/>
  <c r="G15" i="490"/>
  <c r="I14" i="490"/>
  <c r="G14" i="490"/>
  <c r="I13" i="490"/>
  <c r="G13" i="490"/>
  <c r="I12" i="490"/>
  <c r="G12" i="490"/>
  <c r="I11" i="490"/>
  <c r="G11" i="490"/>
  <c r="I10" i="490"/>
  <c r="G10" i="490"/>
  <c r="E48" i="489"/>
  <c r="E48" i="488"/>
  <c r="F10" i="488"/>
  <c r="F11" i="488"/>
  <c r="F12" i="488"/>
  <c r="F13" i="488"/>
  <c r="F14" i="488"/>
  <c r="F15" i="488"/>
  <c r="F16" i="488"/>
  <c r="F17" i="488"/>
  <c r="F18" i="488"/>
  <c r="F21" i="488"/>
  <c r="F22" i="488"/>
  <c r="F23" i="488"/>
  <c r="F26" i="488"/>
  <c r="F27" i="488"/>
  <c r="F28" i="488"/>
  <c r="F29" i="488"/>
  <c r="F30" i="488"/>
  <c r="F31" i="488"/>
  <c r="F34" i="488"/>
  <c r="F35" i="488"/>
  <c r="F36" i="488"/>
  <c r="F37" i="488"/>
  <c r="F38" i="488"/>
  <c r="F39" i="488"/>
  <c r="F42" i="488"/>
  <c r="F43" i="488"/>
  <c r="F44" i="488"/>
  <c r="F45" i="488"/>
  <c r="G45" i="488" s="1"/>
  <c r="F10" i="487"/>
  <c r="F11" i="487"/>
  <c r="F12" i="487"/>
  <c r="F13" i="487"/>
  <c r="F14" i="487"/>
  <c r="F15" i="487"/>
  <c r="F16" i="487"/>
  <c r="F17" i="487"/>
  <c r="F18" i="487"/>
  <c r="F21" i="487"/>
  <c r="F22" i="487"/>
  <c r="F23" i="487"/>
  <c r="F26" i="487"/>
  <c r="F27" i="487"/>
  <c r="F28" i="487"/>
  <c r="F29" i="487"/>
  <c r="F30" i="487"/>
  <c r="F31" i="487"/>
  <c r="F34" i="487"/>
  <c r="F35" i="487"/>
  <c r="F36" i="487"/>
  <c r="F37" i="487"/>
  <c r="F38" i="487"/>
  <c r="F39" i="487"/>
  <c r="F42" i="487"/>
  <c r="F43" i="487"/>
  <c r="F44" i="487"/>
  <c r="F45" i="487"/>
  <c r="G45" i="487" s="1"/>
  <c r="E48" i="486"/>
  <c r="F10" i="486"/>
  <c r="F11" i="486"/>
  <c r="F12" i="486"/>
  <c r="F13" i="486"/>
  <c r="F14" i="486"/>
  <c r="F15" i="486"/>
  <c r="F16" i="486"/>
  <c r="F17" i="486"/>
  <c r="F18" i="486"/>
  <c r="F21" i="486"/>
  <c r="F22" i="486"/>
  <c r="F23" i="486"/>
  <c r="F26" i="486"/>
  <c r="F27" i="486"/>
  <c r="F28" i="486"/>
  <c r="F29" i="486"/>
  <c r="F30" i="486"/>
  <c r="F31" i="486"/>
  <c r="F34" i="486"/>
  <c r="F35" i="486"/>
  <c r="F36" i="486"/>
  <c r="F37" i="486"/>
  <c r="F38" i="486"/>
  <c r="F39" i="486"/>
  <c r="F42" i="486"/>
  <c r="F43" i="486"/>
  <c r="F44" i="486"/>
  <c r="F45" i="486"/>
  <c r="G45" i="486" s="1"/>
  <c r="C24" i="485"/>
  <c r="C48" i="485" s="1"/>
  <c r="H48" i="485"/>
  <c r="H50" i="485" s="1"/>
  <c r="E6" i="485" s="1"/>
  <c r="E45" i="485"/>
  <c r="E44" i="485"/>
  <c r="E43" i="485"/>
  <c r="E39" i="485"/>
  <c r="E38" i="485"/>
  <c r="E37" i="485"/>
  <c r="E36" i="485"/>
  <c r="E35" i="485"/>
  <c r="E31" i="485"/>
  <c r="E30" i="485"/>
  <c r="E29" i="485"/>
  <c r="E28" i="485"/>
  <c r="E27" i="485"/>
  <c r="E26" i="485"/>
  <c r="E23" i="485"/>
  <c r="E22" i="485"/>
  <c r="E21" i="485"/>
  <c r="E24" i="485"/>
  <c r="E32" i="485"/>
  <c r="E34" i="485"/>
  <c r="E42" i="485"/>
  <c r="E46" i="485"/>
  <c r="A52" i="485" s="1"/>
  <c r="E40" i="485"/>
  <c r="J50" i="485"/>
  <c r="E50" i="485"/>
  <c r="H46" i="484"/>
  <c r="C46" i="484" s="1"/>
  <c r="D50" i="484"/>
  <c r="D48" i="484"/>
  <c r="H40" i="484"/>
  <c r="C40" i="484" s="1"/>
  <c r="H32" i="484"/>
  <c r="C32" i="484" s="1"/>
  <c r="H24" i="484"/>
  <c r="H19" i="484"/>
  <c r="C19" i="484" s="1"/>
  <c r="H10" i="483"/>
  <c r="H11" i="483"/>
  <c r="H12" i="483"/>
  <c r="H13" i="483"/>
  <c r="H14" i="483"/>
  <c r="H15" i="483"/>
  <c r="H16" i="483"/>
  <c r="H17" i="483"/>
  <c r="H18" i="483"/>
  <c r="E19" i="483"/>
  <c r="H21" i="483"/>
  <c r="H22" i="483"/>
  <c r="H23" i="483"/>
  <c r="H26" i="483"/>
  <c r="H27" i="483"/>
  <c r="H28" i="483"/>
  <c r="H29" i="483"/>
  <c r="H30" i="483"/>
  <c r="H31" i="483"/>
  <c r="H34" i="483"/>
  <c r="D40" i="483"/>
  <c r="H35" i="483"/>
  <c r="H36" i="483"/>
  <c r="H37" i="483"/>
  <c r="H38" i="483"/>
  <c r="H39" i="483"/>
  <c r="H42" i="483"/>
  <c r="D46" i="483"/>
  <c r="H43" i="483"/>
  <c r="H44" i="483"/>
  <c r="D34" i="482"/>
  <c r="D42" i="482"/>
  <c r="C45" i="482"/>
  <c r="C44" i="482"/>
  <c r="C43" i="482"/>
  <c r="C42" i="482"/>
  <c r="C39" i="482"/>
  <c r="C38" i="482"/>
  <c r="C37" i="482"/>
  <c r="C36" i="482"/>
  <c r="C35" i="482"/>
  <c r="C34" i="482"/>
  <c r="C31" i="482"/>
  <c r="C30" i="482"/>
  <c r="C29" i="482"/>
  <c r="C28" i="482"/>
  <c r="C27" i="482"/>
  <c r="C26" i="482"/>
  <c r="D24" i="482"/>
  <c r="C23" i="482"/>
  <c r="C22" i="482"/>
  <c r="C21" i="482"/>
  <c r="D19" i="482"/>
  <c r="E18" i="482" s="1"/>
  <c r="C18" i="482"/>
  <c r="C17" i="482"/>
  <c r="C16" i="482"/>
  <c r="C15" i="482"/>
  <c r="C14" i="482"/>
  <c r="C13" i="482"/>
  <c r="C12" i="482"/>
  <c r="C11" i="482"/>
  <c r="C10" i="482"/>
  <c r="C7" i="482"/>
  <c r="G4" i="482"/>
  <c r="E4" i="482"/>
  <c r="E15" i="482" l="1"/>
  <c r="I46" i="490"/>
  <c r="F46" i="490" s="1"/>
  <c r="G46" i="490" s="1"/>
  <c r="I48" i="580"/>
  <c r="E16" i="482"/>
  <c r="E12" i="482"/>
  <c r="E11" i="482"/>
  <c r="I32" i="490"/>
  <c r="F32" i="490" s="1"/>
  <c r="G32" i="490" s="1"/>
  <c r="E13" i="482"/>
  <c r="E14" i="482"/>
  <c r="I19" i="490"/>
  <c r="F19" i="490" s="1"/>
  <c r="G19" i="490" s="1"/>
  <c r="E17" i="482"/>
  <c r="E10" i="482"/>
  <c r="I40" i="490"/>
  <c r="F40" i="490" s="1"/>
  <c r="G40" i="490" s="1"/>
  <c r="A54" i="499"/>
  <c r="I51" i="499"/>
  <c r="F50" i="499"/>
  <c r="G6" i="499"/>
  <c r="G5" i="499"/>
  <c r="A54" i="498"/>
  <c r="I51" i="498"/>
  <c r="F50" i="498"/>
  <c r="G6" i="498"/>
  <c r="G5" i="498"/>
  <c r="I50" i="497"/>
  <c r="F48" i="497"/>
  <c r="I50" i="496"/>
  <c r="F48" i="496"/>
  <c r="I50" i="495"/>
  <c r="F48" i="495"/>
  <c r="I50" i="494"/>
  <c r="F48" i="494"/>
  <c r="F24" i="493"/>
  <c r="G24" i="493" s="1"/>
  <c r="I48" i="493"/>
  <c r="F24" i="492"/>
  <c r="G24" i="492" s="1"/>
  <c r="I48" i="492"/>
  <c r="F24" i="491"/>
  <c r="G24" i="491" s="1"/>
  <c r="I48" i="491"/>
  <c r="I24" i="490"/>
  <c r="I44" i="488"/>
  <c r="G44" i="488"/>
  <c r="I43" i="488"/>
  <c r="G43" i="488"/>
  <c r="I42" i="488"/>
  <c r="G42" i="488"/>
  <c r="I39" i="488"/>
  <c r="G39" i="488"/>
  <c r="I38" i="488"/>
  <c r="G38" i="488"/>
  <c r="I37" i="488"/>
  <c r="G37" i="488"/>
  <c r="I36" i="488"/>
  <c r="G36" i="488"/>
  <c r="I35" i="488"/>
  <c r="G35" i="488"/>
  <c r="I34" i="488"/>
  <c r="G34" i="488"/>
  <c r="I31" i="488"/>
  <c r="G31" i="488"/>
  <c r="I30" i="488"/>
  <c r="G30" i="488"/>
  <c r="I29" i="488"/>
  <c r="G29" i="488"/>
  <c r="I28" i="488"/>
  <c r="G28" i="488"/>
  <c r="I27" i="488"/>
  <c r="G27" i="488"/>
  <c r="I26" i="488"/>
  <c r="G26" i="488"/>
  <c r="I23" i="488"/>
  <c r="G23" i="488"/>
  <c r="I22" i="488"/>
  <c r="G22" i="488"/>
  <c r="I21" i="488"/>
  <c r="G21" i="488"/>
  <c r="I18" i="488"/>
  <c r="G18" i="488"/>
  <c r="I17" i="488"/>
  <c r="G17" i="488"/>
  <c r="I16" i="488"/>
  <c r="G16" i="488"/>
  <c r="I15" i="488"/>
  <c r="G15" i="488"/>
  <c r="I14" i="488"/>
  <c r="G14" i="488"/>
  <c r="I13" i="488"/>
  <c r="G13" i="488"/>
  <c r="I12" i="488"/>
  <c r="G12" i="488"/>
  <c r="I11" i="488"/>
  <c r="G11" i="488"/>
  <c r="I10" i="488"/>
  <c r="G10" i="488"/>
  <c r="I44" i="487"/>
  <c r="G44" i="487"/>
  <c r="I43" i="487"/>
  <c r="G43" i="487"/>
  <c r="I42" i="487"/>
  <c r="G42" i="487"/>
  <c r="I39" i="487"/>
  <c r="G39" i="487"/>
  <c r="I38" i="487"/>
  <c r="G38" i="487"/>
  <c r="I37" i="487"/>
  <c r="G37" i="487"/>
  <c r="I36" i="487"/>
  <c r="G36" i="487"/>
  <c r="I35" i="487"/>
  <c r="G35" i="487"/>
  <c r="I34" i="487"/>
  <c r="G34" i="487"/>
  <c r="I31" i="487"/>
  <c r="G31" i="487"/>
  <c r="I30" i="487"/>
  <c r="G30" i="487"/>
  <c r="I29" i="487"/>
  <c r="G29" i="487"/>
  <c r="I28" i="487"/>
  <c r="G28" i="487"/>
  <c r="I27" i="487"/>
  <c r="G27" i="487"/>
  <c r="I26" i="487"/>
  <c r="G26" i="487"/>
  <c r="I23" i="487"/>
  <c r="G23" i="487"/>
  <c r="I22" i="487"/>
  <c r="G22" i="487"/>
  <c r="I21" i="487"/>
  <c r="G21" i="487"/>
  <c r="I18" i="487"/>
  <c r="G18" i="487"/>
  <c r="I17" i="487"/>
  <c r="G17" i="487"/>
  <c r="I16" i="487"/>
  <c r="G16" i="487"/>
  <c r="I15" i="487"/>
  <c r="G15" i="487"/>
  <c r="I14" i="487"/>
  <c r="G14" i="487"/>
  <c r="I13" i="487"/>
  <c r="G13" i="487"/>
  <c r="I12" i="487"/>
  <c r="G12" i="487"/>
  <c r="I11" i="487"/>
  <c r="G11" i="487"/>
  <c r="I10" i="487"/>
  <c r="G10" i="487"/>
  <c r="I44" i="486"/>
  <c r="G44" i="486"/>
  <c r="I43" i="486"/>
  <c r="G43" i="486"/>
  <c r="I42" i="486"/>
  <c r="G42" i="486"/>
  <c r="I39" i="486"/>
  <c r="G39" i="486"/>
  <c r="I38" i="486"/>
  <c r="G38" i="486"/>
  <c r="I37" i="486"/>
  <c r="G37" i="486"/>
  <c r="I36" i="486"/>
  <c r="G36" i="486"/>
  <c r="I35" i="486"/>
  <c r="G35" i="486"/>
  <c r="I34" i="486"/>
  <c r="G34" i="486"/>
  <c r="I31" i="486"/>
  <c r="G31" i="486"/>
  <c r="I30" i="486"/>
  <c r="G30" i="486"/>
  <c r="I29" i="486"/>
  <c r="G29" i="486"/>
  <c r="I28" i="486"/>
  <c r="G28" i="486"/>
  <c r="I27" i="486"/>
  <c r="G27" i="486"/>
  <c r="I26" i="486"/>
  <c r="G26" i="486"/>
  <c r="I23" i="486"/>
  <c r="G23" i="486"/>
  <c r="I22" i="486"/>
  <c r="G22" i="486"/>
  <c r="I21" i="486"/>
  <c r="G21" i="486"/>
  <c r="I18" i="486"/>
  <c r="G18" i="486"/>
  <c r="I17" i="486"/>
  <c r="G17" i="486"/>
  <c r="I16" i="486"/>
  <c r="G16" i="486"/>
  <c r="I15" i="486"/>
  <c r="G15" i="486"/>
  <c r="I14" i="486"/>
  <c r="G14" i="486"/>
  <c r="I13" i="486"/>
  <c r="G13" i="486"/>
  <c r="I12" i="486"/>
  <c r="G12" i="486"/>
  <c r="I11" i="486"/>
  <c r="G11" i="486"/>
  <c r="I10" i="486"/>
  <c r="G10" i="486"/>
  <c r="E48" i="485"/>
  <c r="F10" i="485"/>
  <c r="F11" i="485"/>
  <c r="F12" i="485"/>
  <c r="F13" i="485"/>
  <c r="F14" i="485"/>
  <c r="F15" i="485"/>
  <c r="F16" i="485"/>
  <c r="F17" i="485"/>
  <c r="F18" i="485"/>
  <c r="F21" i="485"/>
  <c r="F22" i="485"/>
  <c r="F23" i="485"/>
  <c r="F26" i="485"/>
  <c r="F27" i="485"/>
  <c r="F28" i="485"/>
  <c r="F29" i="485"/>
  <c r="F30" i="485"/>
  <c r="F31" i="485"/>
  <c r="F34" i="485"/>
  <c r="F35" i="485"/>
  <c r="F36" i="485"/>
  <c r="F37" i="485"/>
  <c r="F38" i="485"/>
  <c r="F39" i="485"/>
  <c r="F42" i="485"/>
  <c r="F43" i="485"/>
  <c r="F44" i="485"/>
  <c r="F45" i="485"/>
  <c r="G45" i="485" s="1"/>
  <c r="C24" i="484"/>
  <c r="C48" i="484" s="1"/>
  <c r="H48" i="484"/>
  <c r="H50" i="484" s="1"/>
  <c r="E6" i="484" s="1"/>
  <c r="E45" i="484"/>
  <c r="E44" i="484"/>
  <c r="E43" i="484"/>
  <c r="E39" i="484"/>
  <c r="E38" i="484"/>
  <c r="E37" i="484"/>
  <c r="E36" i="484"/>
  <c r="E35" i="484"/>
  <c r="E31" i="484"/>
  <c r="E30" i="484"/>
  <c r="E29" i="484"/>
  <c r="E28" i="484"/>
  <c r="E27" i="484"/>
  <c r="E26" i="484"/>
  <c r="E23" i="484"/>
  <c r="E22" i="484"/>
  <c r="E21" i="484"/>
  <c r="E24" i="484"/>
  <c r="E32" i="484"/>
  <c r="E34" i="484"/>
  <c r="E42" i="484"/>
  <c r="E46" i="484"/>
  <c r="A52" i="484" s="1"/>
  <c r="E40" i="484"/>
  <c r="J50" i="484"/>
  <c r="E50" i="484"/>
  <c r="H46" i="483"/>
  <c r="C46" i="483" s="1"/>
  <c r="D50" i="483"/>
  <c r="D48" i="483"/>
  <c r="H40" i="483"/>
  <c r="C40" i="483" s="1"/>
  <c r="H32" i="483"/>
  <c r="C32" i="483" s="1"/>
  <c r="H24" i="483"/>
  <c r="H19" i="483"/>
  <c r="C19" i="483" s="1"/>
  <c r="H10" i="482"/>
  <c r="H11" i="482"/>
  <c r="H12" i="482"/>
  <c r="H13" i="482"/>
  <c r="H14" i="482"/>
  <c r="H15" i="482"/>
  <c r="H16" i="482"/>
  <c r="H17" i="482"/>
  <c r="H18" i="482"/>
  <c r="E19" i="482"/>
  <c r="H21" i="482"/>
  <c r="H22" i="482"/>
  <c r="H23" i="482"/>
  <c r="H26" i="482"/>
  <c r="D32" i="482"/>
  <c r="H27" i="482"/>
  <c r="H28" i="482"/>
  <c r="H29" i="482"/>
  <c r="H30" i="482"/>
  <c r="H31" i="482"/>
  <c r="H34" i="482"/>
  <c r="D40" i="482"/>
  <c r="H35" i="482"/>
  <c r="H36" i="482"/>
  <c r="H37" i="482"/>
  <c r="H38" i="482"/>
  <c r="H39" i="482"/>
  <c r="H42" i="482"/>
  <c r="D46" i="482"/>
  <c r="H43" i="482"/>
  <c r="H44" i="482"/>
  <c r="D34" i="481"/>
  <c r="D34" i="578" s="1"/>
  <c r="D26" i="481"/>
  <c r="D42" i="481"/>
  <c r="D42" i="541" s="1"/>
  <c r="D46" i="481"/>
  <c r="C45" i="481"/>
  <c r="C44" i="481"/>
  <c r="C43" i="481"/>
  <c r="C42" i="481"/>
  <c r="D40" i="481"/>
  <c r="C39" i="481"/>
  <c r="C38" i="481"/>
  <c r="C37" i="481"/>
  <c r="C36" i="481"/>
  <c r="C35" i="481"/>
  <c r="C34" i="481"/>
  <c r="C31" i="481"/>
  <c r="C30" i="481"/>
  <c r="C29" i="481"/>
  <c r="C28" i="481"/>
  <c r="C27" i="481"/>
  <c r="C26" i="481"/>
  <c r="D24" i="481"/>
  <c r="C23" i="481"/>
  <c r="C22" i="481"/>
  <c r="C21" i="481"/>
  <c r="D19" i="481"/>
  <c r="E16" i="481" s="1"/>
  <c r="C18" i="481"/>
  <c r="C17" i="481"/>
  <c r="C16" i="481"/>
  <c r="C15" i="481"/>
  <c r="C14" i="481"/>
  <c r="C13" i="481"/>
  <c r="C12" i="481"/>
  <c r="C11" i="481"/>
  <c r="C10" i="481"/>
  <c r="C7" i="481"/>
  <c r="G4" i="481"/>
  <c r="E4" i="481"/>
  <c r="D28" i="480"/>
  <c r="D46" i="480"/>
  <c r="C45" i="480"/>
  <c r="C44" i="480"/>
  <c r="C43" i="480"/>
  <c r="C42" i="480"/>
  <c r="D40" i="480"/>
  <c r="C39" i="480"/>
  <c r="C38" i="480"/>
  <c r="C37" i="480"/>
  <c r="C36" i="480"/>
  <c r="C35" i="480"/>
  <c r="C34" i="480"/>
  <c r="C31" i="480"/>
  <c r="C30" i="480"/>
  <c r="C29" i="480"/>
  <c r="C28" i="480"/>
  <c r="C27" i="480"/>
  <c r="C26" i="480"/>
  <c r="D24" i="480"/>
  <c r="C23" i="480"/>
  <c r="C22" i="480"/>
  <c r="C21" i="480"/>
  <c r="D19" i="480"/>
  <c r="E11" i="480" s="1"/>
  <c r="C18" i="480"/>
  <c r="C17" i="480"/>
  <c r="C16" i="480"/>
  <c r="C15" i="480"/>
  <c r="C14" i="480"/>
  <c r="C13" i="480"/>
  <c r="C12" i="480"/>
  <c r="C11" i="480"/>
  <c r="C10" i="480"/>
  <c r="C7" i="480"/>
  <c r="G4" i="480"/>
  <c r="E4" i="480"/>
  <c r="D46" i="479"/>
  <c r="C45" i="479"/>
  <c r="C44" i="479"/>
  <c r="C43" i="479"/>
  <c r="C42" i="479"/>
  <c r="C39" i="479"/>
  <c r="C38" i="479"/>
  <c r="C37" i="479"/>
  <c r="C36" i="479"/>
  <c r="C35" i="479"/>
  <c r="C34" i="479"/>
  <c r="C31" i="479"/>
  <c r="C30" i="479"/>
  <c r="C29" i="479"/>
  <c r="C28" i="479"/>
  <c r="C27" i="479"/>
  <c r="C26" i="479"/>
  <c r="D24" i="479"/>
  <c r="C23" i="479"/>
  <c r="C22" i="479"/>
  <c r="C21" i="479"/>
  <c r="D19" i="479"/>
  <c r="E13" i="479" s="1"/>
  <c r="C18" i="479"/>
  <c r="C17" i="479"/>
  <c r="C16" i="479"/>
  <c r="C15" i="479"/>
  <c r="C14" i="479"/>
  <c r="C13" i="479"/>
  <c r="C12" i="479"/>
  <c r="C11" i="479"/>
  <c r="C10" i="479"/>
  <c r="C7" i="479"/>
  <c r="G4" i="479"/>
  <c r="E4" i="479"/>
  <c r="E18" i="479" l="1"/>
  <c r="E16" i="479"/>
  <c r="E17" i="479"/>
  <c r="E17" i="480"/>
  <c r="D40" i="578"/>
  <c r="H34" i="578"/>
  <c r="H40" i="578" s="1"/>
  <c r="H42" i="541"/>
  <c r="D26" i="578"/>
  <c r="D26" i="541"/>
  <c r="D34" i="541"/>
  <c r="D32" i="480"/>
  <c r="D28" i="541"/>
  <c r="D28" i="579"/>
  <c r="E17" i="481"/>
  <c r="I32" i="486"/>
  <c r="F32" i="486" s="1"/>
  <c r="G32" i="486" s="1"/>
  <c r="I46" i="488"/>
  <c r="F46" i="488" s="1"/>
  <c r="G46" i="488" s="1"/>
  <c r="D42" i="578"/>
  <c r="E16" i="480"/>
  <c r="E10" i="480"/>
  <c r="E18" i="481"/>
  <c r="I50" i="580"/>
  <c r="F48" i="580"/>
  <c r="I40" i="486"/>
  <c r="F40" i="486" s="1"/>
  <c r="G40" i="486" s="1"/>
  <c r="I32" i="488"/>
  <c r="F32" i="488" s="1"/>
  <c r="G32" i="488" s="1"/>
  <c r="I46" i="487"/>
  <c r="F46" i="487" s="1"/>
  <c r="G46" i="487" s="1"/>
  <c r="E10" i="481"/>
  <c r="E18" i="480"/>
  <c r="E10" i="479"/>
  <c r="E14" i="479"/>
  <c r="E11" i="479"/>
  <c r="E15" i="479"/>
  <c r="I19" i="487"/>
  <c r="F19" i="487" s="1"/>
  <c r="G19" i="487" s="1"/>
  <c r="I40" i="487"/>
  <c r="F40" i="487" s="1"/>
  <c r="G40" i="487" s="1"/>
  <c r="E13" i="481"/>
  <c r="I19" i="488"/>
  <c r="F19" i="488" s="1"/>
  <c r="G19" i="488" s="1"/>
  <c r="E13" i="480"/>
  <c r="E14" i="481"/>
  <c r="I32" i="487"/>
  <c r="F32" i="487" s="1"/>
  <c r="G32" i="487" s="1"/>
  <c r="E12" i="480"/>
  <c r="E14" i="480"/>
  <c r="E15" i="481"/>
  <c r="I19" i="486"/>
  <c r="F19" i="486" s="1"/>
  <c r="G19" i="486" s="1"/>
  <c r="I46" i="486"/>
  <c r="F46" i="486" s="1"/>
  <c r="G46" i="486" s="1"/>
  <c r="I40" i="488"/>
  <c r="F40" i="488" s="1"/>
  <c r="G40" i="488" s="1"/>
  <c r="E11" i="481"/>
  <c r="E12" i="481"/>
  <c r="E12" i="479"/>
  <c r="E15" i="480"/>
  <c r="A54" i="497"/>
  <c r="I51" i="497"/>
  <c r="F50" i="497"/>
  <c r="G6" i="497"/>
  <c r="G5" i="497"/>
  <c r="A54" i="496"/>
  <c r="I51" i="496"/>
  <c r="F50" i="496"/>
  <c r="G6" i="496"/>
  <c r="G5" i="496"/>
  <c r="A54" i="495"/>
  <c r="I51" i="495"/>
  <c r="F50" i="495"/>
  <c r="G6" i="495"/>
  <c r="G5" i="495"/>
  <c r="A54" i="494"/>
  <c r="I51" i="494"/>
  <c r="F50" i="494"/>
  <c r="G6" i="494"/>
  <c r="G5" i="494"/>
  <c r="I50" i="493"/>
  <c r="F48" i="493"/>
  <c r="I50" i="492"/>
  <c r="F48" i="492"/>
  <c r="I50" i="491"/>
  <c r="F48" i="491"/>
  <c r="F24" i="490"/>
  <c r="G24" i="490" s="1"/>
  <c r="I48" i="490"/>
  <c r="I24" i="488"/>
  <c r="I24" i="487"/>
  <c r="I24" i="486"/>
  <c r="I44" i="485"/>
  <c r="G44" i="485"/>
  <c r="I43" i="485"/>
  <c r="G43" i="485"/>
  <c r="I42" i="485"/>
  <c r="G42" i="485"/>
  <c r="I39" i="485"/>
  <c r="G39" i="485"/>
  <c r="I38" i="485"/>
  <c r="G38" i="485"/>
  <c r="I37" i="485"/>
  <c r="G37" i="485"/>
  <c r="I36" i="485"/>
  <c r="G36" i="485"/>
  <c r="I35" i="485"/>
  <c r="G35" i="485"/>
  <c r="I34" i="485"/>
  <c r="G34" i="485"/>
  <c r="I31" i="485"/>
  <c r="G31" i="485"/>
  <c r="I30" i="485"/>
  <c r="G30" i="485"/>
  <c r="I29" i="485"/>
  <c r="G29" i="485"/>
  <c r="I28" i="485"/>
  <c r="G28" i="485"/>
  <c r="I27" i="485"/>
  <c r="G27" i="485"/>
  <c r="I26" i="485"/>
  <c r="G26" i="485"/>
  <c r="I23" i="485"/>
  <c r="G23" i="485"/>
  <c r="I22" i="485"/>
  <c r="G22" i="485"/>
  <c r="I21" i="485"/>
  <c r="G21" i="485"/>
  <c r="I18" i="485"/>
  <c r="G18" i="485"/>
  <c r="I17" i="485"/>
  <c r="G17" i="485"/>
  <c r="I16" i="485"/>
  <c r="G16" i="485"/>
  <c r="I15" i="485"/>
  <c r="G15" i="485"/>
  <c r="I14" i="485"/>
  <c r="G14" i="485"/>
  <c r="I13" i="485"/>
  <c r="G13" i="485"/>
  <c r="I12" i="485"/>
  <c r="G12" i="485"/>
  <c r="I11" i="485"/>
  <c r="G11" i="485"/>
  <c r="I10" i="485"/>
  <c r="G10" i="485"/>
  <c r="E48" i="484"/>
  <c r="F10" i="484"/>
  <c r="F11" i="484"/>
  <c r="F12" i="484"/>
  <c r="F13" i="484"/>
  <c r="F14" i="484"/>
  <c r="F15" i="484"/>
  <c r="F16" i="484"/>
  <c r="F17" i="484"/>
  <c r="F18" i="484"/>
  <c r="F21" i="484"/>
  <c r="F22" i="484"/>
  <c r="F23" i="484"/>
  <c r="F26" i="484"/>
  <c r="F27" i="484"/>
  <c r="F28" i="484"/>
  <c r="F29" i="484"/>
  <c r="F30" i="484"/>
  <c r="F31" i="484"/>
  <c r="F34" i="484"/>
  <c r="F35" i="484"/>
  <c r="F36" i="484"/>
  <c r="F37" i="484"/>
  <c r="F38" i="484"/>
  <c r="F39" i="484"/>
  <c r="F42" i="484"/>
  <c r="F43" i="484"/>
  <c r="F44" i="484"/>
  <c r="F45" i="484"/>
  <c r="G45" i="484" s="1"/>
  <c r="C24" i="483"/>
  <c r="C48" i="483" s="1"/>
  <c r="H48" i="483"/>
  <c r="H50" i="483" s="1"/>
  <c r="E6" i="483" s="1"/>
  <c r="E45" i="483"/>
  <c r="E44" i="483"/>
  <c r="E43" i="483"/>
  <c r="E39" i="483"/>
  <c r="E38" i="483"/>
  <c r="E37" i="483"/>
  <c r="E36" i="483"/>
  <c r="E35" i="483"/>
  <c r="E31" i="483"/>
  <c r="E30" i="483"/>
  <c r="E29" i="483"/>
  <c r="E28" i="483"/>
  <c r="E27" i="483"/>
  <c r="E26" i="483"/>
  <c r="E23" i="483"/>
  <c r="E22" i="483"/>
  <c r="E21" i="483"/>
  <c r="E24" i="483"/>
  <c r="E32" i="483"/>
  <c r="E34" i="483"/>
  <c r="E42" i="483"/>
  <c r="E46" i="483"/>
  <c r="A52" i="483" s="1"/>
  <c r="E40" i="483"/>
  <c r="J50" i="483"/>
  <c r="E50" i="483"/>
  <c r="H46" i="482"/>
  <c r="C46" i="482" s="1"/>
  <c r="H40" i="482"/>
  <c r="C40" i="482" s="1"/>
  <c r="D50" i="482"/>
  <c r="D48" i="482"/>
  <c r="H32" i="482"/>
  <c r="C32" i="482" s="1"/>
  <c r="H24" i="482"/>
  <c r="H19" i="482"/>
  <c r="C19" i="482" s="1"/>
  <c r="H10" i="481"/>
  <c r="H11" i="481"/>
  <c r="H12" i="481"/>
  <c r="H13" i="481"/>
  <c r="H14" i="481"/>
  <c r="H15" i="481"/>
  <c r="H16" i="481"/>
  <c r="H17" i="481"/>
  <c r="H18" i="481"/>
  <c r="E19" i="481"/>
  <c r="H21" i="481"/>
  <c r="H22" i="481"/>
  <c r="H23" i="481"/>
  <c r="H26" i="481"/>
  <c r="H27" i="481"/>
  <c r="H28" i="481"/>
  <c r="D32" i="481"/>
  <c r="H29" i="481"/>
  <c r="H30" i="481"/>
  <c r="H31" i="481"/>
  <c r="H34" i="481"/>
  <c r="H35" i="481"/>
  <c r="H36" i="481"/>
  <c r="H37" i="481"/>
  <c r="H38" i="481"/>
  <c r="H39" i="481"/>
  <c r="H42" i="481"/>
  <c r="H43" i="481"/>
  <c r="H44" i="481"/>
  <c r="H10" i="480"/>
  <c r="H11" i="480"/>
  <c r="H12" i="480"/>
  <c r="H13" i="480"/>
  <c r="H14" i="480"/>
  <c r="H15" i="480"/>
  <c r="H16" i="480"/>
  <c r="H17" i="480"/>
  <c r="H18" i="480"/>
  <c r="D50" i="480"/>
  <c r="E19" i="480"/>
  <c r="H21" i="480"/>
  <c r="H22" i="480"/>
  <c r="H23" i="480"/>
  <c r="D48" i="480"/>
  <c r="E24" i="480" s="1"/>
  <c r="H26" i="480"/>
  <c r="H27" i="480"/>
  <c r="H28" i="480"/>
  <c r="H29" i="480"/>
  <c r="H30" i="480"/>
  <c r="H31" i="480"/>
  <c r="H34" i="480"/>
  <c r="H35" i="480"/>
  <c r="H36" i="480"/>
  <c r="H37" i="480"/>
  <c r="H38" i="480"/>
  <c r="H39" i="480"/>
  <c r="H42" i="480"/>
  <c r="H43" i="480"/>
  <c r="H44" i="480"/>
  <c r="H10" i="479"/>
  <c r="H11" i="479"/>
  <c r="H12" i="479"/>
  <c r="H13" i="479"/>
  <c r="H14" i="479"/>
  <c r="H15" i="479"/>
  <c r="H16" i="479"/>
  <c r="H17" i="479"/>
  <c r="H18" i="479"/>
  <c r="E19" i="479"/>
  <c r="H21" i="479"/>
  <c r="H22" i="479"/>
  <c r="H23" i="479"/>
  <c r="H26" i="479"/>
  <c r="D32" i="479"/>
  <c r="H27" i="479"/>
  <c r="H28" i="479"/>
  <c r="H29" i="479"/>
  <c r="H30" i="479"/>
  <c r="H31" i="479"/>
  <c r="H34" i="479"/>
  <c r="D40" i="479"/>
  <c r="H35" i="479"/>
  <c r="H36" i="479"/>
  <c r="H37" i="479"/>
  <c r="H38" i="479"/>
  <c r="H39" i="479"/>
  <c r="H42" i="479"/>
  <c r="H43" i="479"/>
  <c r="H44" i="479"/>
  <c r="E3" i="478"/>
  <c r="D44" i="478"/>
  <c r="D45" i="478"/>
  <c r="D35" i="478"/>
  <c r="D36" i="478"/>
  <c r="D37" i="478"/>
  <c r="D38" i="478"/>
  <c r="D39" i="478"/>
  <c r="D28" i="478"/>
  <c r="D29" i="478"/>
  <c r="D30" i="478"/>
  <c r="D22" i="478"/>
  <c r="D23" i="478"/>
  <c r="D21" i="478"/>
  <c r="D11" i="478"/>
  <c r="D12" i="478"/>
  <c r="D14" i="478"/>
  <c r="D15" i="478"/>
  <c r="D16" i="478"/>
  <c r="D17" i="478"/>
  <c r="D18" i="478"/>
  <c r="D10" i="478"/>
  <c r="C45" i="478"/>
  <c r="C44" i="478"/>
  <c r="C43" i="478"/>
  <c r="C42" i="478"/>
  <c r="C39" i="478"/>
  <c r="C38" i="478"/>
  <c r="C37" i="478"/>
  <c r="C36" i="478"/>
  <c r="C35" i="478"/>
  <c r="C34" i="478"/>
  <c r="C31" i="478"/>
  <c r="C30" i="478"/>
  <c r="C29" i="478"/>
  <c r="C28" i="478"/>
  <c r="C27" i="478"/>
  <c r="C26" i="478"/>
  <c r="C23" i="478"/>
  <c r="C22" i="478"/>
  <c r="C21" i="478"/>
  <c r="C18" i="478"/>
  <c r="C17" i="478"/>
  <c r="C16" i="478"/>
  <c r="C15" i="478"/>
  <c r="C14" i="478"/>
  <c r="C13" i="478"/>
  <c r="C12" i="478"/>
  <c r="C11" i="478"/>
  <c r="C10" i="478"/>
  <c r="G2" i="477"/>
  <c r="E3" i="477"/>
  <c r="D43" i="477"/>
  <c r="D44" i="477"/>
  <c r="D45" i="477"/>
  <c r="D35" i="477"/>
  <c r="D36" i="477"/>
  <c r="D37" i="477"/>
  <c r="D38" i="477"/>
  <c r="D39" i="477"/>
  <c r="D27" i="477"/>
  <c r="D28" i="477"/>
  <c r="D29" i="477"/>
  <c r="D30" i="477"/>
  <c r="D31" i="477"/>
  <c r="D22" i="477"/>
  <c r="D23" i="477"/>
  <c r="D21" i="477"/>
  <c r="D11" i="477"/>
  <c r="D12" i="477"/>
  <c r="D13" i="477"/>
  <c r="D14" i="477"/>
  <c r="D15" i="477"/>
  <c r="D16" i="477"/>
  <c r="D17" i="477"/>
  <c r="D18" i="477"/>
  <c r="D10" i="477"/>
  <c r="C45" i="477"/>
  <c r="C44" i="477"/>
  <c r="C43" i="477"/>
  <c r="C42" i="477"/>
  <c r="C39" i="477"/>
  <c r="C38" i="477"/>
  <c r="C37" i="477"/>
  <c r="C36" i="477"/>
  <c r="C35" i="477"/>
  <c r="C34" i="477"/>
  <c r="C31" i="477"/>
  <c r="C30" i="477"/>
  <c r="C29" i="477"/>
  <c r="C28" i="477"/>
  <c r="C27" i="477"/>
  <c r="C26" i="477"/>
  <c r="C23" i="477"/>
  <c r="C22" i="477"/>
  <c r="C21" i="477"/>
  <c r="C18" i="477"/>
  <c r="C17" i="477"/>
  <c r="C16" i="477"/>
  <c r="C15" i="477"/>
  <c r="C14" i="477"/>
  <c r="C13" i="477"/>
  <c r="C12" i="477"/>
  <c r="C11" i="477"/>
  <c r="C10" i="477"/>
  <c r="C7" i="477"/>
  <c r="E3" i="476"/>
  <c r="G2" i="476"/>
  <c r="D43" i="476"/>
  <c r="D44" i="476"/>
  <c r="D45" i="476"/>
  <c r="D35" i="476"/>
  <c r="D36" i="476"/>
  <c r="D37" i="476"/>
  <c r="D38" i="476"/>
  <c r="D39" i="476"/>
  <c r="D27" i="476"/>
  <c r="D28" i="476"/>
  <c r="D29" i="476"/>
  <c r="D30" i="476"/>
  <c r="D31" i="476"/>
  <c r="D22" i="476"/>
  <c r="D23" i="476"/>
  <c r="D21" i="476"/>
  <c r="D11" i="476"/>
  <c r="D12" i="476"/>
  <c r="D13" i="476"/>
  <c r="D14" i="476"/>
  <c r="D15" i="476"/>
  <c r="D16" i="476"/>
  <c r="D17" i="476"/>
  <c r="D18" i="476"/>
  <c r="D10" i="476"/>
  <c r="C45" i="476"/>
  <c r="C44" i="476"/>
  <c r="C43" i="476"/>
  <c r="C42" i="476"/>
  <c r="C39" i="476"/>
  <c r="C38" i="476"/>
  <c r="C37" i="476"/>
  <c r="C36" i="476"/>
  <c r="C35" i="476"/>
  <c r="C34" i="476"/>
  <c r="C31" i="476"/>
  <c r="C30" i="476"/>
  <c r="C29" i="476"/>
  <c r="C28" i="476"/>
  <c r="C27" i="476"/>
  <c r="C26" i="476"/>
  <c r="C23" i="476"/>
  <c r="C22" i="476"/>
  <c r="C21" i="476"/>
  <c r="C18" i="476"/>
  <c r="C17" i="476"/>
  <c r="C16" i="476"/>
  <c r="C15" i="476"/>
  <c r="C14" i="476"/>
  <c r="C13" i="476"/>
  <c r="C12" i="476"/>
  <c r="C11" i="476"/>
  <c r="C10" i="476"/>
  <c r="C7" i="476"/>
  <c r="I46" i="485" l="1"/>
  <c r="F46" i="485" s="1"/>
  <c r="G46" i="485" s="1"/>
  <c r="C40" i="578"/>
  <c r="G6" i="580"/>
  <c r="A54" i="580"/>
  <c r="G5" i="580"/>
  <c r="I51" i="580"/>
  <c r="F50" i="580"/>
  <c r="H42" i="578"/>
  <c r="H46" i="578" s="1"/>
  <c r="D46" i="578"/>
  <c r="H28" i="579"/>
  <c r="D32" i="579"/>
  <c r="D32" i="541"/>
  <c r="H26" i="541"/>
  <c r="H28" i="541"/>
  <c r="H26" i="578"/>
  <c r="D32" i="578"/>
  <c r="H34" i="541"/>
  <c r="H40" i="541" s="1"/>
  <c r="D40" i="541"/>
  <c r="E46" i="480"/>
  <c r="A52" i="480" s="1"/>
  <c r="E40" i="480"/>
  <c r="E32" i="480"/>
  <c r="I32" i="485"/>
  <c r="F32" i="485" s="1"/>
  <c r="G32" i="485" s="1"/>
  <c r="I19" i="485"/>
  <c r="F19" i="485" s="1"/>
  <c r="G19" i="485" s="1"/>
  <c r="I40" i="485"/>
  <c r="F40" i="485" s="1"/>
  <c r="G40" i="485" s="1"/>
  <c r="A54" i="493"/>
  <c r="I51" i="493"/>
  <c r="F50" i="493"/>
  <c r="G6" i="493"/>
  <c r="G5" i="493"/>
  <c r="A54" i="492"/>
  <c r="I51" i="492"/>
  <c r="F50" i="492"/>
  <c r="G6" i="492"/>
  <c r="G5" i="492"/>
  <c r="A54" i="491"/>
  <c r="I51" i="491"/>
  <c r="F50" i="491"/>
  <c r="G6" i="491"/>
  <c r="G5" i="491"/>
  <c r="I50" i="490"/>
  <c r="F48" i="490"/>
  <c r="F24" i="488"/>
  <c r="G24" i="488" s="1"/>
  <c r="I48" i="488"/>
  <c r="F24" i="487"/>
  <c r="G24" i="487" s="1"/>
  <c r="I48" i="487"/>
  <c r="F24" i="486"/>
  <c r="G24" i="486" s="1"/>
  <c r="I48" i="486"/>
  <c r="I24" i="485"/>
  <c r="I44" i="484"/>
  <c r="G44" i="484"/>
  <c r="I43" i="484"/>
  <c r="G43" i="484"/>
  <c r="I42" i="484"/>
  <c r="G42" i="484"/>
  <c r="I39" i="484"/>
  <c r="G39" i="484"/>
  <c r="I38" i="484"/>
  <c r="G38" i="484"/>
  <c r="I37" i="484"/>
  <c r="G37" i="484"/>
  <c r="I36" i="484"/>
  <c r="G36" i="484"/>
  <c r="I35" i="484"/>
  <c r="G35" i="484"/>
  <c r="I34" i="484"/>
  <c r="G34" i="484"/>
  <c r="I31" i="484"/>
  <c r="G31" i="484"/>
  <c r="I30" i="484"/>
  <c r="G30" i="484"/>
  <c r="I29" i="484"/>
  <c r="G29" i="484"/>
  <c r="I28" i="484"/>
  <c r="G28" i="484"/>
  <c r="I27" i="484"/>
  <c r="G27" i="484"/>
  <c r="I26" i="484"/>
  <c r="G26" i="484"/>
  <c r="I23" i="484"/>
  <c r="G23" i="484"/>
  <c r="I22" i="484"/>
  <c r="G22" i="484"/>
  <c r="I21" i="484"/>
  <c r="G21" i="484"/>
  <c r="I18" i="484"/>
  <c r="G18" i="484"/>
  <c r="I17" i="484"/>
  <c r="G17" i="484"/>
  <c r="I16" i="484"/>
  <c r="G16" i="484"/>
  <c r="I15" i="484"/>
  <c r="G15" i="484"/>
  <c r="I14" i="484"/>
  <c r="G14" i="484"/>
  <c r="I13" i="484"/>
  <c r="G13" i="484"/>
  <c r="I12" i="484"/>
  <c r="G12" i="484"/>
  <c r="I11" i="484"/>
  <c r="G11" i="484"/>
  <c r="I10" i="484"/>
  <c r="G10" i="484"/>
  <c r="E48" i="483"/>
  <c r="F10" i="483"/>
  <c r="F11" i="483"/>
  <c r="F12" i="483"/>
  <c r="F13" i="483"/>
  <c r="F14" i="483"/>
  <c r="F15" i="483"/>
  <c r="F16" i="483"/>
  <c r="F17" i="483"/>
  <c r="F18" i="483"/>
  <c r="F21" i="483"/>
  <c r="F22" i="483"/>
  <c r="F23" i="483"/>
  <c r="F26" i="483"/>
  <c r="F27" i="483"/>
  <c r="F28" i="483"/>
  <c r="F29" i="483"/>
  <c r="F30" i="483"/>
  <c r="F31" i="483"/>
  <c r="F34" i="483"/>
  <c r="F35" i="483"/>
  <c r="F36" i="483"/>
  <c r="F37" i="483"/>
  <c r="F38" i="483"/>
  <c r="F39" i="483"/>
  <c r="F42" i="483"/>
  <c r="F43" i="483"/>
  <c r="F44" i="483"/>
  <c r="F45" i="483"/>
  <c r="G45" i="483" s="1"/>
  <c r="C24" i="482"/>
  <c r="C48" i="482" s="1"/>
  <c r="H48" i="482"/>
  <c r="H50" i="482" s="1"/>
  <c r="E6" i="482" s="1"/>
  <c r="E45" i="482"/>
  <c r="E44" i="482"/>
  <c r="E43" i="482"/>
  <c r="E39" i="482"/>
  <c r="E38" i="482"/>
  <c r="E37" i="482"/>
  <c r="E36" i="482"/>
  <c r="E35" i="482"/>
  <c r="E31" i="482"/>
  <c r="E30" i="482"/>
  <c r="E29" i="482"/>
  <c r="E28" i="482"/>
  <c r="E27" i="482"/>
  <c r="E23" i="482"/>
  <c r="E22" i="482"/>
  <c r="E21" i="482"/>
  <c r="E24" i="482"/>
  <c r="E26" i="482"/>
  <c r="E34" i="482"/>
  <c r="E42" i="482"/>
  <c r="E46" i="482"/>
  <c r="A52" i="482" s="1"/>
  <c r="E40" i="482"/>
  <c r="E32" i="482"/>
  <c r="J50" i="482"/>
  <c r="E50" i="482"/>
  <c r="H46" i="481"/>
  <c r="C46" i="481" s="1"/>
  <c r="H40" i="481"/>
  <c r="C40" i="481" s="1"/>
  <c r="D50" i="481"/>
  <c r="D48" i="481"/>
  <c r="H32" i="481"/>
  <c r="C32" i="481" s="1"/>
  <c r="H24" i="481"/>
  <c r="H19" i="481"/>
  <c r="C19" i="481" s="1"/>
  <c r="H46" i="480"/>
  <c r="C46" i="480" s="1"/>
  <c r="H40" i="480"/>
  <c r="C40" i="480" s="1"/>
  <c r="H32" i="480"/>
  <c r="C32" i="480" s="1"/>
  <c r="E45" i="480"/>
  <c r="E44" i="480"/>
  <c r="E43" i="480"/>
  <c r="E42" i="480"/>
  <c r="E39" i="480"/>
  <c r="E38" i="480"/>
  <c r="E37" i="480"/>
  <c r="E36" i="480"/>
  <c r="E35" i="480"/>
  <c r="E34" i="480"/>
  <c r="E31" i="480"/>
  <c r="E30" i="480"/>
  <c r="E29" i="480"/>
  <c r="E28" i="480"/>
  <c r="E27" i="480"/>
  <c r="E26" i="480"/>
  <c r="E23" i="480"/>
  <c r="E22" i="480"/>
  <c r="E21" i="480"/>
  <c r="H24" i="480"/>
  <c r="J50" i="480"/>
  <c r="E50" i="480"/>
  <c r="H19" i="480"/>
  <c r="C19" i="480" s="1"/>
  <c r="H46" i="479"/>
  <c r="C46" i="479" s="1"/>
  <c r="H40" i="479"/>
  <c r="C40" i="479" s="1"/>
  <c r="D50" i="479"/>
  <c r="D48" i="479"/>
  <c r="H32" i="479"/>
  <c r="C32" i="479" s="1"/>
  <c r="H24" i="479"/>
  <c r="H19" i="479"/>
  <c r="C19" i="479" s="1"/>
  <c r="H10" i="478"/>
  <c r="H11" i="478"/>
  <c r="H12" i="478"/>
  <c r="H14" i="478"/>
  <c r="H15" i="478"/>
  <c r="H16" i="478"/>
  <c r="H17" i="478"/>
  <c r="H18" i="478"/>
  <c r="H21" i="478"/>
  <c r="D24" i="478"/>
  <c r="H22" i="478"/>
  <c r="H23" i="478"/>
  <c r="H28" i="478"/>
  <c r="H29" i="478"/>
  <c r="H30" i="478"/>
  <c r="H35" i="478"/>
  <c r="H36" i="478"/>
  <c r="H37" i="478"/>
  <c r="H38" i="478"/>
  <c r="H39" i="478"/>
  <c r="H44" i="478"/>
  <c r="G4" i="477"/>
  <c r="E4" i="477"/>
  <c r="H10" i="477"/>
  <c r="D19" i="477"/>
  <c r="E17" i="477" s="1"/>
  <c r="H11" i="477"/>
  <c r="H12" i="477"/>
  <c r="H13" i="477"/>
  <c r="H14" i="477"/>
  <c r="H15" i="477"/>
  <c r="H16" i="477"/>
  <c r="H17" i="477"/>
  <c r="H18" i="477"/>
  <c r="H21" i="477"/>
  <c r="D24" i="477"/>
  <c r="H22" i="477"/>
  <c r="H23" i="477"/>
  <c r="H27" i="477"/>
  <c r="H28" i="477"/>
  <c r="H29" i="477"/>
  <c r="H30" i="477"/>
  <c r="H31" i="477"/>
  <c r="H35" i="477"/>
  <c r="H36" i="477"/>
  <c r="H37" i="477"/>
  <c r="H38" i="477"/>
  <c r="H39" i="477"/>
  <c r="H43" i="477"/>
  <c r="H44" i="477"/>
  <c r="G4" i="476"/>
  <c r="E4" i="476"/>
  <c r="H10" i="476"/>
  <c r="D19" i="476"/>
  <c r="E12" i="476" s="1"/>
  <c r="H11" i="476"/>
  <c r="H12" i="476"/>
  <c r="H13" i="476"/>
  <c r="H14" i="476"/>
  <c r="H15" i="476"/>
  <c r="H16" i="476"/>
  <c r="H17" i="476"/>
  <c r="H18" i="476"/>
  <c r="H21" i="476"/>
  <c r="D24" i="476"/>
  <c r="H22" i="476"/>
  <c r="H23" i="476"/>
  <c r="H27" i="476"/>
  <c r="H28" i="476"/>
  <c r="H29" i="476"/>
  <c r="H30" i="476"/>
  <c r="H31" i="476"/>
  <c r="H35" i="476"/>
  <c r="H36" i="476"/>
  <c r="H37" i="476"/>
  <c r="H38" i="476"/>
  <c r="H39" i="476"/>
  <c r="H43" i="476"/>
  <c r="H44" i="476"/>
  <c r="E3" i="472"/>
  <c r="D44" i="472"/>
  <c r="D45" i="472"/>
  <c r="D35" i="472"/>
  <c r="D36" i="472"/>
  <c r="D37" i="472"/>
  <c r="D38" i="472"/>
  <c r="D39" i="472"/>
  <c r="D28" i="472"/>
  <c r="D29" i="472"/>
  <c r="D30" i="472"/>
  <c r="D22" i="472"/>
  <c r="D23" i="472"/>
  <c r="D21" i="472"/>
  <c r="D11" i="472"/>
  <c r="D12" i="472"/>
  <c r="D14" i="472"/>
  <c r="D15" i="472"/>
  <c r="D16" i="472"/>
  <c r="D17" i="472"/>
  <c r="D18" i="472"/>
  <c r="D10" i="472"/>
  <c r="C45" i="472"/>
  <c r="C44" i="472"/>
  <c r="C43" i="472"/>
  <c r="C42" i="472"/>
  <c r="C39" i="472"/>
  <c r="C38" i="472"/>
  <c r="C37" i="472"/>
  <c r="C36" i="472"/>
  <c r="C35" i="472"/>
  <c r="C34" i="472"/>
  <c r="C31" i="472"/>
  <c r="C30" i="472"/>
  <c r="C29" i="472"/>
  <c r="C28" i="472"/>
  <c r="C27" i="472"/>
  <c r="C26" i="472"/>
  <c r="C23" i="472"/>
  <c r="C22" i="472"/>
  <c r="C21" i="472"/>
  <c r="C18" i="472"/>
  <c r="C17" i="472"/>
  <c r="C16" i="472"/>
  <c r="C15" i="472"/>
  <c r="C14" i="472"/>
  <c r="C13" i="472"/>
  <c r="C12" i="472"/>
  <c r="C11" i="472"/>
  <c r="C10" i="472"/>
  <c r="C7" i="472"/>
  <c r="D27" i="475"/>
  <c r="D34" i="475"/>
  <c r="D26" i="475"/>
  <c r="D31" i="475"/>
  <c r="D50" i="578" l="1"/>
  <c r="J50" i="578" s="1"/>
  <c r="C46" i="578"/>
  <c r="C40" i="541"/>
  <c r="H32" i="578"/>
  <c r="C32" i="578" s="1"/>
  <c r="E11" i="477"/>
  <c r="E50" i="578"/>
  <c r="H32" i="541"/>
  <c r="C32" i="541" s="1"/>
  <c r="D48" i="578"/>
  <c r="E46" i="578" s="1"/>
  <c r="A52" i="578" s="1"/>
  <c r="H32" i="579"/>
  <c r="C32" i="579" s="1"/>
  <c r="I40" i="484"/>
  <c r="F40" i="484" s="1"/>
  <c r="G40" i="484" s="1"/>
  <c r="E16" i="477"/>
  <c r="E15" i="477"/>
  <c r="E14" i="477"/>
  <c r="E13" i="477"/>
  <c r="E11" i="476"/>
  <c r="E12" i="477"/>
  <c r="E18" i="476"/>
  <c r="E10" i="476"/>
  <c r="E17" i="476"/>
  <c r="E16" i="476"/>
  <c r="I32" i="484"/>
  <c r="F32" i="484" s="1"/>
  <c r="G32" i="484" s="1"/>
  <c r="E15" i="476"/>
  <c r="E48" i="480"/>
  <c r="E14" i="476"/>
  <c r="E13" i="476"/>
  <c r="E18" i="477"/>
  <c r="E10" i="477"/>
  <c r="I19" i="484"/>
  <c r="F19" i="484" s="1"/>
  <c r="G19" i="484" s="1"/>
  <c r="I46" i="484"/>
  <c r="F46" i="484" s="1"/>
  <c r="G46" i="484" s="1"/>
  <c r="A54" i="490"/>
  <c r="I51" i="490"/>
  <c r="F50" i="490"/>
  <c r="G6" i="490"/>
  <c r="G5" i="490"/>
  <c r="I50" i="488"/>
  <c r="F48" i="488"/>
  <c r="I50" i="487"/>
  <c r="F48" i="487"/>
  <c r="I50" i="486"/>
  <c r="F48" i="486"/>
  <c r="F24" i="485"/>
  <c r="G24" i="485" s="1"/>
  <c r="I48" i="485"/>
  <c r="I24" i="484"/>
  <c r="I44" i="483"/>
  <c r="G44" i="483"/>
  <c r="I43" i="483"/>
  <c r="G43" i="483"/>
  <c r="I42" i="483"/>
  <c r="G42" i="483"/>
  <c r="I39" i="483"/>
  <c r="G39" i="483"/>
  <c r="I38" i="483"/>
  <c r="G38" i="483"/>
  <c r="I37" i="483"/>
  <c r="G37" i="483"/>
  <c r="I36" i="483"/>
  <c r="G36" i="483"/>
  <c r="I35" i="483"/>
  <c r="G35" i="483"/>
  <c r="I34" i="483"/>
  <c r="G34" i="483"/>
  <c r="I31" i="483"/>
  <c r="G31" i="483"/>
  <c r="I30" i="483"/>
  <c r="G30" i="483"/>
  <c r="I29" i="483"/>
  <c r="G29" i="483"/>
  <c r="I28" i="483"/>
  <c r="G28" i="483"/>
  <c r="I27" i="483"/>
  <c r="G27" i="483"/>
  <c r="I26" i="483"/>
  <c r="G26" i="483"/>
  <c r="I23" i="483"/>
  <c r="G23" i="483"/>
  <c r="I22" i="483"/>
  <c r="G22" i="483"/>
  <c r="I21" i="483"/>
  <c r="G21" i="483"/>
  <c r="I18" i="483"/>
  <c r="G18" i="483"/>
  <c r="I17" i="483"/>
  <c r="G17" i="483"/>
  <c r="I16" i="483"/>
  <c r="G16" i="483"/>
  <c r="I15" i="483"/>
  <c r="G15" i="483"/>
  <c r="I14" i="483"/>
  <c r="G14" i="483"/>
  <c r="I13" i="483"/>
  <c r="G13" i="483"/>
  <c r="I12" i="483"/>
  <c r="G12" i="483"/>
  <c r="I11" i="483"/>
  <c r="G11" i="483"/>
  <c r="I10" i="483"/>
  <c r="G10" i="483"/>
  <c r="E48" i="482"/>
  <c r="F10" i="482"/>
  <c r="F11" i="482"/>
  <c r="F12" i="482"/>
  <c r="F13" i="482"/>
  <c r="F14" i="482"/>
  <c r="F15" i="482"/>
  <c r="F16" i="482"/>
  <c r="F17" i="482"/>
  <c r="F18" i="482"/>
  <c r="F21" i="482"/>
  <c r="F22" i="482"/>
  <c r="F23" i="482"/>
  <c r="F26" i="482"/>
  <c r="F27" i="482"/>
  <c r="F28" i="482"/>
  <c r="F29" i="482"/>
  <c r="F30" i="482"/>
  <c r="F31" i="482"/>
  <c r="F34" i="482"/>
  <c r="F35" i="482"/>
  <c r="F36" i="482"/>
  <c r="F37" i="482"/>
  <c r="F38" i="482"/>
  <c r="F39" i="482"/>
  <c r="F42" i="482"/>
  <c r="F43" i="482"/>
  <c r="F44" i="482"/>
  <c r="F45" i="482"/>
  <c r="G45" i="482" s="1"/>
  <c r="C24" i="481"/>
  <c r="C48" i="481" s="1"/>
  <c r="H48" i="481"/>
  <c r="H50" i="481" s="1"/>
  <c r="E6" i="481" s="1"/>
  <c r="E45" i="481"/>
  <c r="E44" i="481"/>
  <c r="E43" i="481"/>
  <c r="E42" i="481"/>
  <c r="E39" i="481"/>
  <c r="E38" i="481"/>
  <c r="E37" i="481"/>
  <c r="E36" i="481"/>
  <c r="E35" i="481"/>
  <c r="E34" i="481"/>
  <c r="E31" i="481"/>
  <c r="E30" i="481"/>
  <c r="E29" i="481"/>
  <c r="E27" i="481"/>
  <c r="E26" i="481"/>
  <c r="E23" i="481"/>
  <c r="E22" i="481"/>
  <c r="E21" i="481"/>
  <c r="E24" i="481"/>
  <c r="E28" i="481"/>
  <c r="E40" i="481"/>
  <c r="E46" i="481"/>
  <c r="A52" i="481" s="1"/>
  <c r="E32" i="481"/>
  <c r="J50" i="481"/>
  <c r="E50" i="481"/>
  <c r="C24" i="480"/>
  <c r="C48" i="480" s="1"/>
  <c r="H48" i="480"/>
  <c r="H50" i="480" s="1"/>
  <c r="E6" i="480" s="1"/>
  <c r="C24" i="479"/>
  <c r="C48" i="479" s="1"/>
  <c r="H48" i="479"/>
  <c r="H50" i="479" s="1"/>
  <c r="E6" i="479" s="1"/>
  <c r="E45" i="479"/>
  <c r="E44" i="479"/>
  <c r="E43" i="479"/>
  <c r="E42" i="479"/>
  <c r="E39" i="479"/>
  <c r="E38" i="479"/>
  <c r="E37" i="479"/>
  <c r="E36" i="479"/>
  <c r="E35" i="479"/>
  <c r="E30" i="479"/>
  <c r="E29" i="479"/>
  <c r="E28" i="479"/>
  <c r="E23" i="479"/>
  <c r="E22" i="479"/>
  <c r="E21" i="479"/>
  <c r="E24" i="479"/>
  <c r="E26" i="479"/>
  <c r="E27" i="479"/>
  <c r="E31" i="479"/>
  <c r="E34" i="479"/>
  <c r="E46" i="479"/>
  <c r="A52" i="479" s="1"/>
  <c r="E40" i="479"/>
  <c r="E32" i="479"/>
  <c r="J50" i="479"/>
  <c r="E50" i="479"/>
  <c r="H24" i="478"/>
  <c r="H24" i="477"/>
  <c r="E19" i="477"/>
  <c r="H19" i="477"/>
  <c r="C19" i="477" s="1"/>
  <c r="H24" i="476"/>
  <c r="E19" i="476"/>
  <c r="H19" i="476"/>
  <c r="C19" i="476" s="1"/>
  <c r="H11" i="472"/>
  <c r="H12" i="472"/>
  <c r="H14" i="472"/>
  <c r="H15" i="472"/>
  <c r="H16" i="472"/>
  <c r="H17" i="472"/>
  <c r="H18" i="472"/>
  <c r="H21" i="472"/>
  <c r="D24" i="472"/>
  <c r="H22" i="472"/>
  <c r="H23" i="472"/>
  <c r="H28" i="472"/>
  <c r="H29" i="472"/>
  <c r="H30" i="472"/>
  <c r="H35" i="472"/>
  <c r="H36" i="472"/>
  <c r="H37" i="472"/>
  <c r="H38" i="472"/>
  <c r="H39" i="472"/>
  <c r="H44" i="472"/>
  <c r="D46" i="475"/>
  <c r="C45" i="475"/>
  <c r="C44" i="475"/>
  <c r="C43" i="475"/>
  <c r="C42" i="475"/>
  <c r="D40" i="475"/>
  <c r="C39" i="475"/>
  <c r="C38" i="475"/>
  <c r="C37" i="475"/>
  <c r="C36" i="475"/>
  <c r="C35" i="475"/>
  <c r="C34" i="475"/>
  <c r="C31" i="475"/>
  <c r="C30" i="475"/>
  <c r="C29" i="475"/>
  <c r="C28" i="475"/>
  <c r="C27" i="475"/>
  <c r="C26" i="475"/>
  <c r="D24" i="475"/>
  <c r="C23" i="475"/>
  <c r="C22" i="475"/>
  <c r="C21" i="475"/>
  <c r="D19" i="475"/>
  <c r="E17" i="475" s="1"/>
  <c r="C18" i="475"/>
  <c r="C17" i="475"/>
  <c r="C16" i="475"/>
  <c r="C15" i="475"/>
  <c r="C14" i="475"/>
  <c r="C13" i="475"/>
  <c r="C12" i="475"/>
  <c r="C11" i="475"/>
  <c r="C10" i="475"/>
  <c r="C7" i="475"/>
  <c r="G4" i="475"/>
  <c r="E4" i="475"/>
  <c r="C27" i="474"/>
  <c r="D34" i="474"/>
  <c r="D42" i="474"/>
  <c r="C45" i="474"/>
  <c r="C44" i="474"/>
  <c r="C43" i="474"/>
  <c r="C42" i="474"/>
  <c r="C39" i="474"/>
  <c r="C38" i="474"/>
  <c r="C37" i="474"/>
  <c r="C36" i="474"/>
  <c r="C35" i="474"/>
  <c r="C34" i="474"/>
  <c r="D32" i="474"/>
  <c r="C31" i="474"/>
  <c r="C30" i="474"/>
  <c r="C29" i="474"/>
  <c r="C28" i="474"/>
  <c r="C26" i="474"/>
  <c r="D24" i="474"/>
  <c r="C23" i="474"/>
  <c r="C22" i="474"/>
  <c r="C21" i="474"/>
  <c r="D19" i="474"/>
  <c r="E15" i="474" s="1"/>
  <c r="C18" i="474"/>
  <c r="C17" i="474"/>
  <c r="E16" i="474"/>
  <c r="C16" i="474"/>
  <c r="C15" i="474"/>
  <c r="C14" i="474"/>
  <c r="C13" i="474"/>
  <c r="C12" i="474"/>
  <c r="C11" i="474"/>
  <c r="C10" i="474"/>
  <c r="C7" i="474"/>
  <c r="G4" i="474"/>
  <c r="E4" i="474"/>
  <c r="H48" i="578" l="1"/>
  <c r="H50" i="578" s="1"/>
  <c r="E6" i="578" s="1"/>
  <c r="F29" i="578" s="1"/>
  <c r="C48" i="578"/>
  <c r="E18" i="475"/>
  <c r="E32" i="578"/>
  <c r="I32" i="483"/>
  <c r="F32" i="483" s="1"/>
  <c r="G32" i="483" s="1"/>
  <c r="I46" i="483"/>
  <c r="F46" i="483" s="1"/>
  <c r="G46" i="483" s="1"/>
  <c r="E24" i="578"/>
  <c r="E30" i="578"/>
  <c r="E36" i="578"/>
  <c r="E21" i="578"/>
  <c r="E31" i="578"/>
  <c r="E37" i="578"/>
  <c r="E43" i="578"/>
  <c r="E22" i="578"/>
  <c r="E38" i="578"/>
  <c r="E44" i="578"/>
  <c r="E23" i="578"/>
  <c r="E35" i="578"/>
  <c r="E39" i="578"/>
  <c r="E45" i="578"/>
  <c r="E28" i="578"/>
  <c r="E27" i="578"/>
  <c r="E29" i="578"/>
  <c r="E34" i="578"/>
  <c r="E26" i="578"/>
  <c r="E40" i="578"/>
  <c r="E42" i="578"/>
  <c r="F17" i="578"/>
  <c r="F23" i="578"/>
  <c r="F39" i="578"/>
  <c r="F45" i="578"/>
  <c r="G45" i="578" s="1"/>
  <c r="F14" i="578"/>
  <c r="F18" i="578"/>
  <c r="F26" i="578"/>
  <c r="F30" i="578"/>
  <c r="F36" i="578"/>
  <c r="F42" i="578"/>
  <c r="F11" i="578"/>
  <c r="F15" i="578"/>
  <c r="F21" i="578"/>
  <c r="F27" i="578"/>
  <c r="F31" i="578"/>
  <c r="F37" i="578"/>
  <c r="F43" i="578"/>
  <c r="F12" i="578"/>
  <c r="F16" i="578"/>
  <c r="F22" i="578"/>
  <c r="F28" i="578"/>
  <c r="F34" i="578"/>
  <c r="F38" i="578"/>
  <c r="F44" i="578"/>
  <c r="E10" i="475"/>
  <c r="E10" i="474"/>
  <c r="E11" i="475"/>
  <c r="E18" i="474"/>
  <c r="I19" i="483"/>
  <c r="F19" i="483" s="1"/>
  <c r="G19" i="483" s="1"/>
  <c r="E17" i="474"/>
  <c r="E11" i="474"/>
  <c r="E12" i="475"/>
  <c r="E15" i="475"/>
  <c r="E14" i="475"/>
  <c r="E13" i="474"/>
  <c r="E14" i="474"/>
  <c r="E16" i="475"/>
  <c r="E12" i="474"/>
  <c r="I40" i="483"/>
  <c r="F40" i="483" s="1"/>
  <c r="G40" i="483" s="1"/>
  <c r="E13" i="475"/>
  <c r="A54" i="488"/>
  <c r="I51" i="488"/>
  <c r="F50" i="488"/>
  <c r="G6" i="488"/>
  <c r="G5" i="488"/>
  <c r="A54" i="487"/>
  <c r="I51" i="487"/>
  <c r="F50" i="487"/>
  <c r="G6" i="487"/>
  <c r="G5" i="487"/>
  <c r="A54" i="486"/>
  <c r="I51" i="486"/>
  <c r="F50" i="486"/>
  <c r="G6" i="486"/>
  <c r="G5" i="486"/>
  <c r="I50" i="485"/>
  <c r="F48" i="485"/>
  <c r="F24" i="484"/>
  <c r="G24" i="484" s="1"/>
  <c r="I48" i="484"/>
  <c r="I24" i="483"/>
  <c r="I44" i="482"/>
  <c r="G44" i="482"/>
  <c r="I43" i="482"/>
  <c r="G43" i="482"/>
  <c r="I42" i="482"/>
  <c r="G42" i="482"/>
  <c r="I39" i="482"/>
  <c r="G39" i="482"/>
  <c r="I38" i="482"/>
  <c r="G38" i="482"/>
  <c r="I37" i="482"/>
  <c r="G37" i="482"/>
  <c r="I36" i="482"/>
  <c r="G36" i="482"/>
  <c r="I35" i="482"/>
  <c r="G35" i="482"/>
  <c r="I34" i="482"/>
  <c r="G34" i="482"/>
  <c r="I31" i="482"/>
  <c r="G31" i="482"/>
  <c r="I30" i="482"/>
  <c r="G30" i="482"/>
  <c r="I29" i="482"/>
  <c r="G29" i="482"/>
  <c r="I28" i="482"/>
  <c r="G28" i="482"/>
  <c r="I27" i="482"/>
  <c r="G27" i="482"/>
  <c r="I26" i="482"/>
  <c r="G26" i="482"/>
  <c r="I23" i="482"/>
  <c r="G23" i="482"/>
  <c r="I22" i="482"/>
  <c r="G22" i="482"/>
  <c r="I21" i="482"/>
  <c r="G21" i="482"/>
  <c r="I18" i="482"/>
  <c r="G18" i="482"/>
  <c r="I17" i="482"/>
  <c r="G17" i="482"/>
  <c r="I16" i="482"/>
  <c r="G16" i="482"/>
  <c r="I15" i="482"/>
  <c r="G15" i="482"/>
  <c r="I14" i="482"/>
  <c r="G14" i="482"/>
  <c r="I13" i="482"/>
  <c r="G13" i="482"/>
  <c r="I12" i="482"/>
  <c r="G12" i="482"/>
  <c r="I11" i="482"/>
  <c r="G11" i="482"/>
  <c r="I10" i="482"/>
  <c r="G10" i="482"/>
  <c r="E48" i="481"/>
  <c r="F10" i="481"/>
  <c r="F11" i="481"/>
  <c r="F12" i="481"/>
  <c r="F13" i="481"/>
  <c r="F14" i="481"/>
  <c r="F15" i="481"/>
  <c r="F16" i="481"/>
  <c r="F17" i="481"/>
  <c r="F18" i="481"/>
  <c r="F21" i="481"/>
  <c r="F22" i="481"/>
  <c r="F23" i="481"/>
  <c r="F26" i="481"/>
  <c r="F27" i="481"/>
  <c r="F28" i="481"/>
  <c r="F29" i="481"/>
  <c r="F30" i="481"/>
  <c r="F31" i="481"/>
  <c r="F34" i="481"/>
  <c r="F35" i="481"/>
  <c r="F36" i="481"/>
  <c r="F37" i="481"/>
  <c r="F38" i="481"/>
  <c r="F39" i="481"/>
  <c r="F42" i="481"/>
  <c r="F43" i="481"/>
  <c r="F44" i="481"/>
  <c r="F45" i="481"/>
  <c r="G45" i="481" s="1"/>
  <c r="F10" i="480"/>
  <c r="F11" i="480"/>
  <c r="F12" i="480"/>
  <c r="F13" i="480"/>
  <c r="F14" i="480"/>
  <c r="F15" i="480"/>
  <c r="F16" i="480"/>
  <c r="F17" i="480"/>
  <c r="F18" i="480"/>
  <c r="F21" i="480"/>
  <c r="F22" i="480"/>
  <c r="F23" i="480"/>
  <c r="F26" i="480"/>
  <c r="F27" i="480"/>
  <c r="F28" i="480"/>
  <c r="F29" i="480"/>
  <c r="F30" i="480"/>
  <c r="F31" i="480"/>
  <c r="F34" i="480"/>
  <c r="F35" i="480"/>
  <c r="F36" i="480"/>
  <c r="F37" i="480"/>
  <c r="F38" i="480"/>
  <c r="F39" i="480"/>
  <c r="F42" i="480"/>
  <c r="F43" i="480"/>
  <c r="F44" i="480"/>
  <c r="F45" i="480"/>
  <c r="G45" i="480" s="1"/>
  <c r="E48" i="479"/>
  <c r="F10" i="479"/>
  <c r="F11" i="479"/>
  <c r="F12" i="479"/>
  <c r="F13" i="479"/>
  <c r="F14" i="479"/>
  <c r="F15" i="479"/>
  <c r="F16" i="479"/>
  <c r="F17" i="479"/>
  <c r="F18" i="479"/>
  <c r="F21" i="479"/>
  <c r="F22" i="479"/>
  <c r="F23" i="479"/>
  <c r="F26" i="479"/>
  <c r="F27" i="479"/>
  <c r="F28" i="479"/>
  <c r="F29" i="479"/>
  <c r="F30" i="479"/>
  <c r="F31" i="479"/>
  <c r="F34" i="479"/>
  <c r="F35" i="479"/>
  <c r="F36" i="479"/>
  <c r="F37" i="479"/>
  <c r="F38" i="479"/>
  <c r="F39" i="479"/>
  <c r="F42" i="479"/>
  <c r="F43" i="479"/>
  <c r="F44" i="479"/>
  <c r="F45" i="479"/>
  <c r="G45" i="479" s="1"/>
  <c r="C24" i="478"/>
  <c r="C24" i="477"/>
  <c r="C24" i="476"/>
  <c r="H24" i="472"/>
  <c r="H10" i="475"/>
  <c r="H11" i="475"/>
  <c r="H12" i="475"/>
  <c r="H13" i="475"/>
  <c r="H14" i="475"/>
  <c r="H15" i="475"/>
  <c r="H16" i="475"/>
  <c r="H17" i="475"/>
  <c r="H18" i="475"/>
  <c r="E19" i="475"/>
  <c r="H21" i="475"/>
  <c r="H22" i="475"/>
  <c r="H23" i="475"/>
  <c r="H26" i="475"/>
  <c r="D32" i="475"/>
  <c r="H27" i="475"/>
  <c r="H28" i="475"/>
  <c r="H29" i="475"/>
  <c r="H30" i="475"/>
  <c r="H31" i="475"/>
  <c r="H34" i="475"/>
  <c r="H35" i="475"/>
  <c r="H36" i="475"/>
  <c r="H37" i="475"/>
  <c r="H38" i="475"/>
  <c r="H39" i="475"/>
  <c r="H42" i="475"/>
  <c r="H43" i="475"/>
  <c r="H44" i="475"/>
  <c r="H10" i="474"/>
  <c r="H11" i="474"/>
  <c r="H12" i="474"/>
  <c r="H13" i="474"/>
  <c r="H14" i="474"/>
  <c r="H15" i="474"/>
  <c r="H16" i="474"/>
  <c r="H17" i="474"/>
  <c r="H18" i="474"/>
  <c r="E19" i="474"/>
  <c r="H21" i="474"/>
  <c r="H22" i="474"/>
  <c r="H23" i="474"/>
  <c r="H26" i="474"/>
  <c r="H27" i="474"/>
  <c r="H28" i="474"/>
  <c r="H29" i="474"/>
  <c r="H30" i="474"/>
  <c r="H31" i="474"/>
  <c r="H34" i="474"/>
  <c r="D40" i="474"/>
  <c r="H35" i="474"/>
  <c r="H36" i="474"/>
  <c r="H37" i="474"/>
  <c r="H38" i="474"/>
  <c r="H39" i="474"/>
  <c r="H42" i="474"/>
  <c r="D46" i="474"/>
  <c r="H43" i="474"/>
  <c r="H44" i="474"/>
  <c r="D34" i="473"/>
  <c r="D26" i="473"/>
  <c r="D42" i="473"/>
  <c r="C45" i="473"/>
  <c r="C44" i="473"/>
  <c r="C43" i="473"/>
  <c r="C42" i="473"/>
  <c r="C39" i="473"/>
  <c r="C38" i="473"/>
  <c r="C37" i="473"/>
  <c r="C36" i="473"/>
  <c r="C35" i="473"/>
  <c r="C34" i="473"/>
  <c r="C31" i="473"/>
  <c r="C30" i="473"/>
  <c r="C29" i="473"/>
  <c r="C28" i="473"/>
  <c r="C27" i="473"/>
  <c r="C26" i="473"/>
  <c r="D24" i="473"/>
  <c r="C23" i="473"/>
  <c r="C22" i="473"/>
  <c r="C21" i="473"/>
  <c r="D19" i="473"/>
  <c r="E17" i="473" s="1"/>
  <c r="C18" i="473"/>
  <c r="C17" i="473"/>
  <c r="C16" i="473"/>
  <c r="C15" i="473"/>
  <c r="C14" i="473"/>
  <c r="C13" i="473"/>
  <c r="C12" i="473"/>
  <c r="C11" i="473"/>
  <c r="C10" i="473"/>
  <c r="C7" i="473"/>
  <c r="G4" i="473"/>
  <c r="E4" i="473"/>
  <c r="F35" i="578" l="1"/>
  <c r="F13" i="578"/>
  <c r="G13" i="578" s="1"/>
  <c r="F10" i="578"/>
  <c r="G10" i="578" s="1"/>
  <c r="E18" i="473"/>
  <c r="I44" i="578"/>
  <c r="G44" i="578"/>
  <c r="I22" i="578"/>
  <c r="G22" i="578"/>
  <c r="I37" i="578"/>
  <c r="G37" i="578"/>
  <c r="I15" i="578"/>
  <c r="G15" i="578"/>
  <c r="I30" i="578"/>
  <c r="G30" i="578"/>
  <c r="I10" i="578"/>
  <c r="I29" i="578"/>
  <c r="G29" i="578"/>
  <c r="I38" i="578"/>
  <c r="G38" i="578"/>
  <c r="I16" i="578"/>
  <c r="G16" i="578"/>
  <c r="I31" i="578"/>
  <c r="G31" i="578"/>
  <c r="I11" i="578"/>
  <c r="G11" i="578"/>
  <c r="I26" i="578"/>
  <c r="G26" i="578"/>
  <c r="I23" i="578"/>
  <c r="G23" i="578"/>
  <c r="E48" i="578"/>
  <c r="I34" i="578"/>
  <c r="G34" i="578"/>
  <c r="I12" i="578"/>
  <c r="G12" i="578"/>
  <c r="I27" i="578"/>
  <c r="G27" i="578"/>
  <c r="I42" i="578"/>
  <c r="G42" i="578"/>
  <c r="I18" i="578"/>
  <c r="G18" i="578"/>
  <c r="I39" i="578"/>
  <c r="G39" i="578"/>
  <c r="I17" i="578"/>
  <c r="G17" i="578"/>
  <c r="I46" i="482"/>
  <c r="F46" i="482" s="1"/>
  <c r="G46" i="482" s="1"/>
  <c r="I28" i="578"/>
  <c r="G28" i="578"/>
  <c r="I43" i="578"/>
  <c r="G43" i="578"/>
  <c r="I21" i="578"/>
  <c r="G21" i="578"/>
  <c r="I36" i="578"/>
  <c r="G36" i="578"/>
  <c r="I14" i="578"/>
  <c r="G14" i="578"/>
  <c r="I35" i="578"/>
  <c r="G35" i="578"/>
  <c r="I13" i="578"/>
  <c r="I40" i="482"/>
  <c r="F40" i="482" s="1"/>
  <c r="G40" i="482" s="1"/>
  <c r="E10" i="473"/>
  <c r="I19" i="482"/>
  <c r="F19" i="482" s="1"/>
  <c r="G19" i="482" s="1"/>
  <c r="I32" i="482"/>
  <c r="F32" i="482" s="1"/>
  <c r="G32" i="482" s="1"/>
  <c r="E11" i="473"/>
  <c r="E13" i="473"/>
  <c r="E14" i="473"/>
  <c r="E16" i="473"/>
  <c r="E12" i="473"/>
  <c r="E15" i="473"/>
  <c r="A54" i="485"/>
  <c r="I51" i="485"/>
  <c r="F50" i="485"/>
  <c r="G6" i="485"/>
  <c r="G5" i="485"/>
  <c r="I50" i="484"/>
  <c r="F48" i="484"/>
  <c r="F24" i="483"/>
  <c r="G24" i="483" s="1"/>
  <c r="I48" i="483"/>
  <c r="I24" i="482"/>
  <c r="I44" i="481"/>
  <c r="G44" i="481"/>
  <c r="I43" i="481"/>
  <c r="G43" i="481"/>
  <c r="I42" i="481"/>
  <c r="G42" i="481"/>
  <c r="I39" i="481"/>
  <c r="G39" i="481"/>
  <c r="I38" i="481"/>
  <c r="G38" i="481"/>
  <c r="I37" i="481"/>
  <c r="G37" i="481"/>
  <c r="I36" i="481"/>
  <c r="G36" i="481"/>
  <c r="I35" i="481"/>
  <c r="G35" i="481"/>
  <c r="I34" i="481"/>
  <c r="G34" i="481"/>
  <c r="I31" i="481"/>
  <c r="G31" i="481"/>
  <c r="I30" i="481"/>
  <c r="G30" i="481"/>
  <c r="I29" i="481"/>
  <c r="G29" i="481"/>
  <c r="I28" i="481"/>
  <c r="G28" i="481"/>
  <c r="I27" i="481"/>
  <c r="G27" i="481"/>
  <c r="I26" i="481"/>
  <c r="G26" i="481"/>
  <c r="I23" i="481"/>
  <c r="G23" i="481"/>
  <c r="I22" i="481"/>
  <c r="G22" i="481"/>
  <c r="I21" i="481"/>
  <c r="G21" i="481"/>
  <c r="I18" i="481"/>
  <c r="G18" i="481"/>
  <c r="I17" i="481"/>
  <c r="G17" i="481"/>
  <c r="I16" i="481"/>
  <c r="G16" i="481"/>
  <c r="I15" i="481"/>
  <c r="G15" i="481"/>
  <c r="I14" i="481"/>
  <c r="G14" i="481"/>
  <c r="I13" i="481"/>
  <c r="G13" i="481"/>
  <c r="I12" i="481"/>
  <c r="G12" i="481"/>
  <c r="I11" i="481"/>
  <c r="G11" i="481"/>
  <c r="I10" i="481"/>
  <c r="G10" i="481"/>
  <c r="I44" i="480"/>
  <c r="G44" i="480"/>
  <c r="I43" i="480"/>
  <c r="G43" i="480"/>
  <c r="I42" i="480"/>
  <c r="G42" i="480"/>
  <c r="I39" i="480"/>
  <c r="G39" i="480"/>
  <c r="I38" i="480"/>
  <c r="G38" i="480"/>
  <c r="I37" i="480"/>
  <c r="G37" i="480"/>
  <c r="I36" i="480"/>
  <c r="G36" i="480"/>
  <c r="I35" i="480"/>
  <c r="G35" i="480"/>
  <c r="I34" i="480"/>
  <c r="G34" i="480"/>
  <c r="I31" i="480"/>
  <c r="G31" i="480"/>
  <c r="I30" i="480"/>
  <c r="G30" i="480"/>
  <c r="I29" i="480"/>
  <c r="G29" i="480"/>
  <c r="I28" i="480"/>
  <c r="G28" i="480"/>
  <c r="I27" i="480"/>
  <c r="G27" i="480"/>
  <c r="I26" i="480"/>
  <c r="G26" i="480"/>
  <c r="I23" i="480"/>
  <c r="G23" i="480"/>
  <c r="I22" i="480"/>
  <c r="G22" i="480"/>
  <c r="I21" i="480"/>
  <c r="G21" i="480"/>
  <c r="I18" i="480"/>
  <c r="G18" i="480"/>
  <c r="I17" i="480"/>
  <c r="G17" i="480"/>
  <c r="I16" i="480"/>
  <c r="G16" i="480"/>
  <c r="I15" i="480"/>
  <c r="G15" i="480"/>
  <c r="I14" i="480"/>
  <c r="G14" i="480"/>
  <c r="I13" i="480"/>
  <c r="G13" i="480"/>
  <c r="I12" i="480"/>
  <c r="G12" i="480"/>
  <c r="I11" i="480"/>
  <c r="G11" i="480"/>
  <c r="I10" i="480"/>
  <c r="G10" i="480"/>
  <c r="I44" i="479"/>
  <c r="G44" i="479"/>
  <c r="I43" i="479"/>
  <c r="G43" i="479"/>
  <c r="I42" i="479"/>
  <c r="G42" i="479"/>
  <c r="I39" i="479"/>
  <c r="G39" i="479"/>
  <c r="I38" i="479"/>
  <c r="G38" i="479"/>
  <c r="I37" i="479"/>
  <c r="G37" i="479"/>
  <c r="I36" i="479"/>
  <c r="G36" i="479"/>
  <c r="I35" i="479"/>
  <c r="G35" i="479"/>
  <c r="I34" i="479"/>
  <c r="G34" i="479"/>
  <c r="I31" i="479"/>
  <c r="G31" i="479"/>
  <c r="I30" i="479"/>
  <c r="G30" i="479"/>
  <c r="I29" i="479"/>
  <c r="G29" i="479"/>
  <c r="I28" i="479"/>
  <c r="G28" i="479"/>
  <c r="I27" i="479"/>
  <c r="G27" i="479"/>
  <c r="I26" i="479"/>
  <c r="G26" i="479"/>
  <c r="I23" i="479"/>
  <c r="G23" i="479"/>
  <c r="I22" i="479"/>
  <c r="G22" i="479"/>
  <c r="I21" i="479"/>
  <c r="G21" i="479"/>
  <c r="I18" i="479"/>
  <c r="G18" i="479"/>
  <c r="I17" i="479"/>
  <c r="G17" i="479"/>
  <c r="I16" i="479"/>
  <c r="G16" i="479"/>
  <c r="I15" i="479"/>
  <c r="G15" i="479"/>
  <c r="I14" i="479"/>
  <c r="G14" i="479"/>
  <c r="I13" i="479"/>
  <c r="G13" i="479"/>
  <c r="I12" i="479"/>
  <c r="G12" i="479"/>
  <c r="I11" i="479"/>
  <c r="G11" i="479"/>
  <c r="I10" i="479"/>
  <c r="G10" i="479"/>
  <c r="C24" i="472"/>
  <c r="H46" i="475"/>
  <c r="C46" i="475" s="1"/>
  <c r="H40" i="475"/>
  <c r="C40" i="475" s="1"/>
  <c r="D50" i="475"/>
  <c r="D48" i="475"/>
  <c r="H32" i="475"/>
  <c r="C32" i="475" s="1"/>
  <c r="H24" i="475"/>
  <c r="H19" i="475"/>
  <c r="C19" i="475" s="1"/>
  <c r="H46" i="474"/>
  <c r="C46" i="474" s="1"/>
  <c r="D50" i="474"/>
  <c r="D48" i="474"/>
  <c r="H40" i="474"/>
  <c r="C40" i="474" s="1"/>
  <c r="H32" i="474"/>
  <c r="C32" i="474" s="1"/>
  <c r="H24" i="474"/>
  <c r="H19" i="474"/>
  <c r="C19" i="474" s="1"/>
  <c r="H10" i="473"/>
  <c r="H11" i="473"/>
  <c r="H12" i="473"/>
  <c r="H13" i="473"/>
  <c r="H14" i="473"/>
  <c r="H15" i="473"/>
  <c r="H16" i="473"/>
  <c r="H17" i="473"/>
  <c r="H18" i="473"/>
  <c r="E19" i="473"/>
  <c r="H21" i="473"/>
  <c r="H22" i="473"/>
  <c r="H23" i="473"/>
  <c r="H26" i="473"/>
  <c r="D32" i="473"/>
  <c r="H27" i="473"/>
  <c r="H28" i="473"/>
  <c r="H29" i="473"/>
  <c r="H30" i="473"/>
  <c r="H31" i="473"/>
  <c r="H34" i="473"/>
  <c r="D40" i="473"/>
  <c r="H35" i="473"/>
  <c r="H36" i="473"/>
  <c r="H37" i="473"/>
  <c r="H38" i="473"/>
  <c r="H39" i="473"/>
  <c r="H42" i="473"/>
  <c r="D46" i="473"/>
  <c r="H43" i="473"/>
  <c r="H44" i="473"/>
  <c r="D44" i="471"/>
  <c r="D46" i="471"/>
  <c r="C45" i="471"/>
  <c r="C44" i="471"/>
  <c r="C43" i="471"/>
  <c r="C42" i="471"/>
  <c r="D40" i="471"/>
  <c r="C39" i="471"/>
  <c r="C38" i="471"/>
  <c r="C37" i="471"/>
  <c r="C36" i="471"/>
  <c r="C35" i="471"/>
  <c r="C34" i="471"/>
  <c r="C31" i="471"/>
  <c r="C30" i="471"/>
  <c r="C29" i="471"/>
  <c r="C28" i="471"/>
  <c r="C27" i="471"/>
  <c r="C26" i="471"/>
  <c r="D24" i="471"/>
  <c r="C23" i="471"/>
  <c r="C22" i="471"/>
  <c r="C21" i="471"/>
  <c r="D19" i="471"/>
  <c r="E13" i="471" s="1"/>
  <c r="C18" i="471"/>
  <c r="C17" i="471"/>
  <c r="C16" i="471"/>
  <c r="C15" i="471"/>
  <c r="C14" i="471"/>
  <c r="C13" i="471"/>
  <c r="C12" i="471"/>
  <c r="C11" i="471"/>
  <c r="C10" i="471"/>
  <c r="C7" i="471"/>
  <c r="G4" i="471"/>
  <c r="E4" i="471"/>
  <c r="I40" i="480" l="1"/>
  <c r="F40" i="480" s="1"/>
  <c r="G40" i="480" s="1"/>
  <c r="I40" i="578"/>
  <c r="F40" i="578" s="1"/>
  <c r="G40" i="578" s="1"/>
  <c r="E17" i="471"/>
  <c r="I24" i="578"/>
  <c r="F24" i="578" s="1"/>
  <c r="G24" i="578" s="1"/>
  <c r="I32" i="578"/>
  <c r="F32" i="578" s="1"/>
  <c r="G32" i="578" s="1"/>
  <c r="I19" i="578"/>
  <c r="F19" i="578" s="1"/>
  <c r="G19" i="578" s="1"/>
  <c r="I46" i="578"/>
  <c r="F46" i="578" s="1"/>
  <c r="G46" i="578" s="1"/>
  <c r="E18" i="471"/>
  <c r="D44" i="579"/>
  <c r="D44" i="541"/>
  <c r="I32" i="479"/>
  <c r="F32" i="479" s="1"/>
  <c r="G32" i="479" s="1"/>
  <c r="I46" i="479"/>
  <c r="F46" i="479" s="1"/>
  <c r="G46" i="479" s="1"/>
  <c r="I46" i="481"/>
  <c r="F46" i="481" s="1"/>
  <c r="G46" i="481" s="1"/>
  <c r="I46" i="480"/>
  <c r="F46" i="480" s="1"/>
  <c r="G46" i="480" s="1"/>
  <c r="E10" i="471"/>
  <c r="E16" i="471"/>
  <c r="I19" i="481"/>
  <c r="F19" i="481" s="1"/>
  <c r="G19" i="481" s="1"/>
  <c r="I32" i="480"/>
  <c r="F32" i="480" s="1"/>
  <c r="G32" i="480" s="1"/>
  <c r="I19" i="479"/>
  <c r="F19" i="479" s="1"/>
  <c r="G19" i="479" s="1"/>
  <c r="I40" i="481"/>
  <c r="F40" i="481" s="1"/>
  <c r="G40" i="481" s="1"/>
  <c r="I19" i="480"/>
  <c r="F19" i="480" s="1"/>
  <c r="G19" i="480" s="1"/>
  <c r="E11" i="471"/>
  <c r="E12" i="471"/>
  <c r="E14" i="471"/>
  <c r="E15" i="471"/>
  <c r="I40" i="479"/>
  <c r="F40" i="479" s="1"/>
  <c r="G40" i="479" s="1"/>
  <c r="I32" i="481"/>
  <c r="F32" i="481" s="1"/>
  <c r="G32" i="481" s="1"/>
  <c r="A54" i="484"/>
  <c r="I51" i="484"/>
  <c r="F50" i="484"/>
  <c r="G6" i="484"/>
  <c r="G5" i="484"/>
  <c r="I50" i="483"/>
  <c r="F48" i="483"/>
  <c r="F24" i="482"/>
  <c r="G24" i="482" s="1"/>
  <c r="I48" i="482"/>
  <c r="I24" i="481"/>
  <c r="I24" i="480"/>
  <c r="I24" i="479"/>
  <c r="C24" i="475"/>
  <c r="C48" i="475" s="1"/>
  <c r="H48" i="475"/>
  <c r="H50" i="475" s="1"/>
  <c r="E6" i="475" s="1"/>
  <c r="E45" i="475"/>
  <c r="E44" i="475"/>
  <c r="E43" i="475"/>
  <c r="E42" i="475"/>
  <c r="E39" i="475"/>
  <c r="E38" i="475"/>
  <c r="E37" i="475"/>
  <c r="E36" i="475"/>
  <c r="E35" i="475"/>
  <c r="E34" i="475"/>
  <c r="E31" i="475"/>
  <c r="E30" i="475"/>
  <c r="E29" i="475"/>
  <c r="E28" i="475"/>
  <c r="E27" i="475"/>
  <c r="E23" i="475"/>
  <c r="E22" i="475"/>
  <c r="E21" i="475"/>
  <c r="E24" i="475"/>
  <c r="E26" i="475"/>
  <c r="E40" i="475"/>
  <c r="E46" i="475"/>
  <c r="A52" i="475" s="1"/>
  <c r="E32" i="475"/>
  <c r="J50" i="475"/>
  <c r="E50" i="475"/>
  <c r="C24" i="474"/>
  <c r="C48" i="474" s="1"/>
  <c r="H48" i="474"/>
  <c r="H50" i="474" s="1"/>
  <c r="E6" i="474" s="1"/>
  <c r="E45" i="474"/>
  <c r="E44" i="474"/>
  <c r="E43" i="474"/>
  <c r="E39" i="474"/>
  <c r="E38" i="474"/>
  <c r="E37" i="474"/>
  <c r="E36" i="474"/>
  <c r="E35" i="474"/>
  <c r="E31" i="474"/>
  <c r="E30" i="474"/>
  <c r="E29" i="474"/>
  <c r="E28" i="474"/>
  <c r="E27" i="474"/>
  <c r="E26" i="474"/>
  <c r="E23" i="474"/>
  <c r="E22" i="474"/>
  <c r="E21" i="474"/>
  <c r="E24" i="474"/>
  <c r="E32" i="474"/>
  <c r="E34" i="474"/>
  <c r="E42" i="474"/>
  <c r="E46" i="474"/>
  <c r="A52" i="474" s="1"/>
  <c r="E40" i="474"/>
  <c r="J50" i="474"/>
  <c r="E50" i="474"/>
  <c r="H46" i="473"/>
  <c r="C46" i="473" s="1"/>
  <c r="H40" i="473"/>
  <c r="C40" i="473" s="1"/>
  <c r="D50" i="473"/>
  <c r="D48" i="473"/>
  <c r="H32" i="473"/>
  <c r="C32" i="473" s="1"/>
  <c r="H24" i="473"/>
  <c r="H19" i="473"/>
  <c r="C19" i="473" s="1"/>
  <c r="H10" i="471"/>
  <c r="H11" i="471"/>
  <c r="H12" i="471"/>
  <c r="H13" i="471"/>
  <c r="H14" i="471"/>
  <c r="H15" i="471"/>
  <c r="H16" i="471"/>
  <c r="H17" i="471"/>
  <c r="H18" i="471"/>
  <c r="E19" i="471"/>
  <c r="H21" i="471"/>
  <c r="H22" i="471"/>
  <c r="H23" i="471"/>
  <c r="H26" i="471"/>
  <c r="D32" i="471"/>
  <c r="H27" i="471"/>
  <c r="H28" i="471"/>
  <c r="H29" i="471"/>
  <c r="H30" i="471"/>
  <c r="H31" i="471"/>
  <c r="H34" i="471"/>
  <c r="H35" i="471"/>
  <c r="H36" i="471"/>
  <c r="H37" i="471"/>
  <c r="H38" i="471"/>
  <c r="H39" i="471"/>
  <c r="H42" i="471"/>
  <c r="H43" i="471"/>
  <c r="H44" i="471"/>
  <c r="D34" i="470"/>
  <c r="D40" i="470" s="1"/>
  <c r="C21" i="470"/>
  <c r="H21" i="470" s="1"/>
  <c r="G4" i="470"/>
  <c r="C22" i="470"/>
  <c r="H22" i="470" s="1"/>
  <c r="C23" i="470"/>
  <c r="H23" i="470" s="1"/>
  <c r="C26" i="470"/>
  <c r="H26" i="470" s="1"/>
  <c r="C27" i="470"/>
  <c r="H27" i="470" s="1"/>
  <c r="C28" i="470"/>
  <c r="H28" i="470" s="1"/>
  <c r="C29" i="470"/>
  <c r="H29" i="470" s="1"/>
  <c r="C30" i="470"/>
  <c r="H30" i="470" s="1"/>
  <c r="C31" i="470"/>
  <c r="H31" i="470" s="1"/>
  <c r="C34" i="470"/>
  <c r="C35" i="470"/>
  <c r="H35" i="470" s="1"/>
  <c r="C36" i="470"/>
  <c r="C37" i="470"/>
  <c r="H37" i="470" s="1"/>
  <c r="C38" i="470"/>
  <c r="H38" i="470" s="1"/>
  <c r="C39" i="470"/>
  <c r="H39" i="470" s="1"/>
  <c r="C42" i="470"/>
  <c r="H42" i="470" s="1"/>
  <c r="C43" i="470"/>
  <c r="H43" i="470" s="1"/>
  <c r="C44" i="470"/>
  <c r="C10" i="470"/>
  <c r="H10" i="470" s="1"/>
  <c r="C11" i="470"/>
  <c r="H11" i="470" s="1"/>
  <c r="C12" i="470"/>
  <c r="H12" i="470" s="1"/>
  <c r="C13" i="470"/>
  <c r="H13" i="470" s="1"/>
  <c r="C14" i="470"/>
  <c r="H14" i="470" s="1"/>
  <c r="C15" i="470"/>
  <c r="H15" i="470" s="1"/>
  <c r="C16" i="470"/>
  <c r="C17" i="470"/>
  <c r="H17" i="470" s="1"/>
  <c r="C18" i="470"/>
  <c r="H18" i="470" s="1"/>
  <c r="D46" i="470"/>
  <c r="D24" i="470"/>
  <c r="D32" i="470"/>
  <c r="D19" i="470"/>
  <c r="E17" i="470" s="1"/>
  <c r="C45" i="470"/>
  <c r="C7" i="470"/>
  <c r="E4" i="470"/>
  <c r="D34" i="469"/>
  <c r="D40" i="469" s="1"/>
  <c r="D26" i="469"/>
  <c r="D32" i="469" s="1"/>
  <c r="D42" i="469"/>
  <c r="D46" i="469" s="1"/>
  <c r="C21" i="469"/>
  <c r="H21" i="469" s="1"/>
  <c r="G4" i="469"/>
  <c r="C22" i="469"/>
  <c r="C23" i="469"/>
  <c r="C26" i="469"/>
  <c r="C27" i="469"/>
  <c r="H27" i="469" s="1"/>
  <c r="C28" i="469"/>
  <c r="H28" i="469" s="1"/>
  <c r="C29" i="469"/>
  <c r="H29" i="469" s="1"/>
  <c r="C30" i="469"/>
  <c r="C31" i="469"/>
  <c r="H31" i="469" s="1"/>
  <c r="C34" i="469"/>
  <c r="C35" i="469"/>
  <c r="H35" i="469" s="1"/>
  <c r="C36" i="469"/>
  <c r="H36" i="469" s="1"/>
  <c r="C37" i="469"/>
  <c r="H37" i="469" s="1"/>
  <c r="C38" i="469"/>
  <c r="H38" i="469" s="1"/>
  <c r="C39" i="469"/>
  <c r="H39" i="469" s="1"/>
  <c r="C42" i="469"/>
  <c r="C43" i="469"/>
  <c r="H43" i="469" s="1"/>
  <c r="C44" i="469"/>
  <c r="H44" i="469" s="1"/>
  <c r="C10" i="469"/>
  <c r="H10" i="469" s="1"/>
  <c r="C11" i="469"/>
  <c r="C12" i="469"/>
  <c r="C13" i="469"/>
  <c r="C14" i="469"/>
  <c r="H14" i="469" s="1"/>
  <c r="C15" i="469"/>
  <c r="H15" i="469" s="1"/>
  <c r="C16" i="469"/>
  <c r="H16" i="469" s="1"/>
  <c r="C17" i="469"/>
  <c r="C18" i="469"/>
  <c r="H18" i="469" s="1"/>
  <c r="D24" i="469"/>
  <c r="D19" i="469"/>
  <c r="E18" i="469" s="1"/>
  <c r="C45" i="469"/>
  <c r="C7" i="469"/>
  <c r="E4" i="469"/>
  <c r="D26" i="462"/>
  <c r="D32" i="462" s="1"/>
  <c r="D26" i="468"/>
  <c r="D32" i="468" s="1"/>
  <c r="C21" i="468"/>
  <c r="H21" i="468" s="1"/>
  <c r="G4" i="468"/>
  <c r="C22" i="468"/>
  <c r="C23" i="468"/>
  <c r="C26" i="468"/>
  <c r="C27" i="468"/>
  <c r="H27" i="468" s="1"/>
  <c r="C28" i="468"/>
  <c r="C29" i="468"/>
  <c r="C30" i="468"/>
  <c r="C31" i="468"/>
  <c r="H31" i="468" s="1"/>
  <c r="C34" i="468"/>
  <c r="H34" i="468" s="1"/>
  <c r="C35" i="468"/>
  <c r="H35" i="468" s="1"/>
  <c r="C36" i="468"/>
  <c r="H36" i="468" s="1"/>
  <c r="C37" i="468"/>
  <c r="H37" i="468" s="1"/>
  <c r="C38" i="468"/>
  <c r="H38" i="468" s="1"/>
  <c r="C39" i="468"/>
  <c r="H39" i="468" s="1"/>
  <c r="C42" i="468"/>
  <c r="H42" i="468" s="1"/>
  <c r="C43" i="468"/>
  <c r="H43" i="468" s="1"/>
  <c r="C44" i="468"/>
  <c r="H44" i="468" s="1"/>
  <c r="C10" i="468"/>
  <c r="H10" i="468" s="1"/>
  <c r="C11" i="468"/>
  <c r="C12" i="468"/>
  <c r="C13" i="468"/>
  <c r="C14" i="468"/>
  <c r="H14" i="468" s="1"/>
  <c r="C15" i="468"/>
  <c r="H15" i="468" s="1"/>
  <c r="C16" i="468"/>
  <c r="H16" i="468" s="1"/>
  <c r="C17" i="468"/>
  <c r="C18" i="468"/>
  <c r="H18" i="468" s="1"/>
  <c r="D46" i="468"/>
  <c r="D24" i="468"/>
  <c r="D40" i="468"/>
  <c r="D19" i="468"/>
  <c r="E18" i="468" s="1"/>
  <c r="C45" i="468"/>
  <c r="C7" i="468"/>
  <c r="E4" i="468"/>
  <c r="C21" i="467"/>
  <c r="H21" i="467" s="1"/>
  <c r="G4" i="467"/>
  <c r="C22" i="467"/>
  <c r="H22" i="467" s="1"/>
  <c r="C23" i="467"/>
  <c r="C26" i="467"/>
  <c r="H26" i="467" s="1"/>
  <c r="C27" i="467"/>
  <c r="C28" i="467"/>
  <c r="H28" i="467" s="1"/>
  <c r="C29" i="467"/>
  <c r="H29" i="467" s="1"/>
  <c r="C30" i="467"/>
  <c r="C31" i="467"/>
  <c r="H31" i="467" s="1"/>
  <c r="C34" i="467"/>
  <c r="C35" i="467"/>
  <c r="H35" i="467" s="1"/>
  <c r="C36" i="467"/>
  <c r="H36" i="467" s="1"/>
  <c r="C37" i="467"/>
  <c r="H37" i="467" s="1"/>
  <c r="C38" i="467"/>
  <c r="H38" i="467" s="1"/>
  <c r="C39" i="467"/>
  <c r="H39" i="467" s="1"/>
  <c r="C42" i="467"/>
  <c r="H42" i="467" s="1"/>
  <c r="C43" i="467"/>
  <c r="H43" i="467" s="1"/>
  <c r="C44" i="467"/>
  <c r="H44" i="467" s="1"/>
  <c r="C10" i="467"/>
  <c r="C11" i="467"/>
  <c r="H11" i="467" s="1"/>
  <c r="C12" i="467"/>
  <c r="C13" i="467"/>
  <c r="C14" i="467"/>
  <c r="H14" i="467" s="1"/>
  <c r="C15" i="467"/>
  <c r="H15" i="467" s="1"/>
  <c r="C16" i="467"/>
  <c r="H16" i="467" s="1"/>
  <c r="C17" i="467"/>
  <c r="H17" i="467" s="1"/>
  <c r="C18" i="467"/>
  <c r="D46" i="467"/>
  <c r="D24" i="467"/>
  <c r="D32" i="467"/>
  <c r="D40" i="467"/>
  <c r="D19" i="467"/>
  <c r="E17" i="467" s="1"/>
  <c r="C45" i="467"/>
  <c r="C7" i="467"/>
  <c r="E4" i="467"/>
  <c r="D34" i="465"/>
  <c r="D42" i="465"/>
  <c r="D46" i="465" s="1"/>
  <c r="D26" i="466"/>
  <c r="D31" i="466"/>
  <c r="C21" i="466"/>
  <c r="H21" i="466" s="1"/>
  <c r="G4" i="466"/>
  <c r="C22" i="466"/>
  <c r="C23" i="466"/>
  <c r="C26" i="466"/>
  <c r="C27" i="466"/>
  <c r="H27" i="466" s="1"/>
  <c r="C28" i="466"/>
  <c r="C29" i="466"/>
  <c r="C30" i="466"/>
  <c r="C31" i="466"/>
  <c r="C34" i="466"/>
  <c r="H34" i="466" s="1"/>
  <c r="C35" i="466"/>
  <c r="H35" i="466" s="1"/>
  <c r="C36" i="466"/>
  <c r="H36" i="466" s="1"/>
  <c r="C37" i="466"/>
  <c r="H37" i="466" s="1"/>
  <c r="C38" i="466"/>
  <c r="H38" i="466" s="1"/>
  <c r="C39" i="466"/>
  <c r="H39" i="466" s="1"/>
  <c r="C42" i="466"/>
  <c r="H42" i="466" s="1"/>
  <c r="C43" i="466"/>
  <c r="H43" i="466" s="1"/>
  <c r="C44" i="466"/>
  <c r="H44" i="466" s="1"/>
  <c r="C10" i="466"/>
  <c r="H10" i="466" s="1"/>
  <c r="C11" i="466"/>
  <c r="C12" i="466"/>
  <c r="C13" i="466"/>
  <c r="H13" i="466" s="1"/>
  <c r="C14" i="466"/>
  <c r="H14" i="466" s="1"/>
  <c r="C15" i="466"/>
  <c r="H15" i="466" s="1"/>
  <c r="C16" i="466"/>
  <c r="H16" i="466" s="1"/>
  <c r="C17" i="466"/>
  <c r="C18" i="466"/>
  <c r="H18" i="466" s="1"/>
  <c r="D46" i="466"/>
  <c r="D24" i="466"/>
  <c r="D40" i="466"/>
  <c r="D19" i="466"/>
  <c r="E18" i="466" s="1"/>
  <c r="C45" i="466"/>
  <c r="C7" i="466"/>
  <c r="E4" i="466"/>
  <c r="C21" i="465"/>
  <c r="H21" i="465" s="1"/>
  <c r="G4" i="465"/>
  <c r="C22" i="465"/>
  <c r="H22" i="465" s="1"/>
  <c r="C23" i="465"/>
  <c r="C26" i="465"/>
  <c r="H26" i="465" s="1"/>
  <c r="C27" i="465"/>
  <c r="C28" i="465"/>
  <c r="H28" i="465" s="1"/>
  <c r="C29" i="465"/>
  <c r="C30" i="465"/>
  <c r="C31" i="465"/>
  <c r="H31" i="465" s="1"/>
  <c r="C34" i="465"/>
  <c r="C35" i="465"/>
  <c r="H35" i="465" s="1"/>
  <c r="C36" i="465"/>
  <c r="H36" i="465" s="1"/>
  <c r="C37" i="465"/>
  <c r="H37" i="465" s="1"/>
  <c r="C38" i="465"/>
  <c r="H38" i="465" s="1"/>
  <c r="C39" i="465"/>
  <c r="H39" i="465" s="1"/>
  <c r="C42" i="465"/>
  <c r="C43" i="465"/>
  <c r="H43" i="465" s="1"/>
  <c r="C44" i="465"/>
  <c r="H44" i="465" s="1"/>
  <c r="C10" i="465"/>
  <c r="H10" i="465" s="1"/>
  <c r="C11" i="465"/>
  <c r="H11" i="465" s="1"/>
  <c r="C12" i="465"/>
  <c r="C13" i="465"/>
  <c r="C14" i="465"/>
  <c r="H14" i="465" s="1"/>
  <c r="C15" i="465"/>
  <c r="H15" i="465" s="1"/>
  <c r="C16" i="465"/>
  <c r="H16" i="465" s="1"/>
  <c r="C17" i="465"/>
  <c r="H17" i="465" s="1"/>
  <c r="C18" i="465"/>
  <c r="D24" i="465"/>
  <c r="D32" i="465"/>
  <c r="D19" i="465"/>
  <c r="E10" i="465" s="1"/>
  <c r="C45" i="465"/>
  <c r="C7" i="465"/>
  <c r="E4" i="465"/>
  <c r="D34" i="464"/>
  <c r="D40" i="464" s="1"/>
  <c r="D26" i="464"/>
  <c r="D32" i="464" s="1"/>
  <c r="D42" i="464"/>
  <c r="D46" i="464" s="1"/>
  <c r="C21" i="464"/>
  <c r="H21" i="464" s="1"/>
  <c r="G4" i="464"/>
  <c r="C22" i="464"/>
  <c r="H22" i="464" s="1"/>
  <c r="C23" i="464"/>
  <c r="C26" i="464"/>
  <c r="C27" i="464"/>
  <c r="H27" i="464" s="1"/>
  <c r="C28" i="464"/>
  <c r="H28" i="464" s="1"/>
  <c r="C29" i="464"/>
  <c r="H29" i="464" s="1"/>
  <c r="C30" i="464"/>
  <c r="H30" i="464" s="1"/>
  <c r="C31" i="464"/>
  <c r="H31" i="464" s="1"/>
  <c r="C34" i="464"/>
  <c r="C35" i="464"/>
  <c r="C36" i="464"/>
  <c r="H36" i="464" s="1"/>
  <c r="C37" i="464"/>
  <c r="H37" i="464" s="1"/>
  <c r="C38" i="464"/>
  <c r="C39" i="464"/>
  <c r="H39" i="464" s="1"/>
  <c r="C42" i="464"/>
  <c r="H42" i="464" s="1"/>
  <c r="C43" i="464"/>
  <c r="H43" i="464" s="1"/>
  <c r="C44" i="464"/>
  <c r="H44" i="464" s="1"/>
  <c r="C10" i="464"/>
  <c r="H10" i="464" s="1"/>
  <c r="C11" i="464"/>
  <c r="H11" i="464" s="1"/>
  <c r="C12" i="464"/>
  <c r="H12" i="464" s="1"/>
  <c r="C13" i="464"/>
  <c r="C14" i="464"/>
  <c r="H14" i="464" s="1"/>
  <c r="C15" i="464"/>
  <c r="H15" i="464" s="1"/>
  <c r="C16" i="464"/>
  <c r="H16" i="464" s="1"/>
  <c r="C17" i="464"/>
  <c r="H17" i="464" s="1"/>
  <c r="C18" i="464"/>
  <c r="H18" i="464" s="1"/>
  <c r="D24" i="464"/>
  <c r="D19" i="464"/>
  <c r="E18" i="464" s="1"/>
  <c r="C45" i="464"/>
  <c r="C7" i="464"/>
  <c r="E4" i="464"/>
  <c r="D26" i="463"/>
  <c r="D32" i="463" s="1"/>
  <c r="C21" i="463"/>
  <c r="H21" i="463" s="1"/>
  <c r="G4" i="463"/>
  <c r="C22" i="463"/>
  <c r="C23" i="463"/>
  <c r="C26" i="463"/>
  <c r="C27" i="463"/>
  <c r="H27" i="463" s="1"/>
  <c r="C28" i="463"/>
  <c r="H28" i="463" s="1"/>
  <c r="C29" i="463"/>
  <c r="H29" i="463" s="1"/>
  <c r="C30" i="463"/>
  <c r="C31" i="463"/>
  <c r="H31" i="463" s="1"/>
  <c r="C34" i="463"/>
  <c r="C35" i="463"/>
  <c r="H35" i="463" s="1"/>
  <c r="C36" i="463"/>
  <c r="H36" i="463" s="1"/>
  <c r="C37" i="463"/>
  <c r="H37" i="463" s="1"/>
  <c r="C38" i="463"/>
  <c r="C39" i="463"/>
  <c r="H39" i="463" s="1"/>
  <c r="C42" i="463"/>
  <c r="H42" i="463" s="1"/>
  <c r="C43" i="463"/>
  <c r="H43" i="463" s="1"/>
  <c r="C44" i="463"/>
  <c r="H44" i="463" s="1"/>
  <c r="C10" i="463"/>
  <c r="H10" i="463" s="1"/>
  <c r="C11" i="463"/>
  <c r="H11" i="463" s="1"/>
  <c r="C12" i="463"/>
  <c r="H12" i="463" s="1"/>
  <c r="C13" i="463"/>
  <c r="C14" i="463"/>
  <c r="H14" i="463" s="1"/>
  <c r="C15" i="463"/>
  <c r="H15" i="463" s="1"/>
  <c r="C16" i="463"/>
  <c r="H16" i="463" s="1"/>
  <c r="C17" i="463"/>
  <c r="C18" i="463"/>
  <c r="H18" i="463" s="1"/>
  <c r="D46" i="463"/>
  <c r="D24" i="463"/>
  <c r="D40" i="463"/>
  <c r="D19" i="463"/>
  <c r="E18" i="463" s="1"/>
  <c r="C45" i="463"/>
  <c r="C7" i="463"/>
  <c r="E4" i="463"/>
  <c r="E4" i="462"/>
  <c r="G4" i="462"/>
  <c r="C7" i="462"/>
  <c r="C10" i="462"/>
  <c r="H10" i="462" s="1"/>
  <c r="C11" i="462"/>
  <c r="H11" i="462" s="1"/>
  <c r="C12" i="462"/>
  <c r="H12" i="462" s="1"/>
  <c r="C13" i="462"/>
  <c r="H13" i="462" s="1"/>
  <c r="C14" i="462"/>
  <c r="H14" i="462" s="1"/>
  <c r="D19" i="462"/>
  <c r="E14" i="462" s="1"/>
  <c r="C15" i="462"/>
  <c r="H15" i="462" s="1"/>
  <c r="C16" i="462"/>
  <c r="H16" i="462" s="1"/>
  <c r="C17" i="462"/>
  <c r="H17" i="462" s="1"/>
  <c r="C18" i="462"/>
  <c r="H18" i="462" s="1"/>
  <c r="C21" i="462"/>
  <c r="H21" i="462" s="1"/>
  <c r="C22" i="462"/>
  <c r="H22" i="462" s="1"/>
  <c r="C23" i="462"/>
  <c r="H23" i="462" s="1"/>
  <c r="D24" i="462"/>
  <c r="C26" i="462"/>
  <c r="C27" i="462"/>
  <c r="H27" i="462" s="1"/>
  <c r="C28" i="462"/>
  <c r="H28" i="462" s="1"/>
  <c r="C29" i="462"/>
  <c r="H29" i="462" s="1"/>
  <c r="C30" i="462"/>
  <c r="H30" i="462" s="1"/>
  <c r="C31" i="462"/>
  <c r="H31" i="462" s="1"/>
  <c r="C34" i="462"/>
  <c r="H34" i="462" s="1"/>
  <c r="C35" i="462"/>
  <c r="H35" i="462" s="1"/>
  <c r="C36" i="462"/>
  <c r="H36" i="462" s="1"/>
  <c r="C37" i="462"/>
  <c r="H37" i="462" s="1"/>
  <c r="C38" i="462"/>
  <c r="C39" i="462"/>
  <c r="H39" i="462" s="1"/>
  <c r="D40" i="462"/>
  <c r="C42" i="462"/>
  <c r="H42" i="462" s="1"/>
  <c r="C43" i="462"/>
  <c r="H43" i="462" s="1"/>
  <c r="C44" i="462"/>
  <c r="H44" i="462" s="1"/>
  <c r="C45" i="462"/>
  <c r="D46" i="462"/>
  <c r="E4" i="461"/>
  <c r="G4" i="461"/>
  <c r="C7" i="461"/>
  <c r="C10" i="461"/>
  <c r="H10" i="461" s="1"/>
  <c r="C11" i="461"/>
  <c r="H11" i="461" s="1"/>
  <c r="C12" i="461"/>
  <c r="H12" i="461" s="1"/>
  <c r="C13" i="461"/>
  <c r="H13" i="461" s="1"/>
  <c r="C14" i="461"/>
  <c r="H14" i="461" s="1"/>
  <c r="C15" i="461"/>
  <c r="H15" i="461" s="1"/>
  <c r="C16" i="461"/>
  <c r="H16" i="461" s="1"/>
  <c r="C17" i="461"/>
  <c r="H17" i="461" s="1"/>
  <c r="C18" i="461"/>
  <c r="H18" i="461" s="1"/>
  <c r="D19" i="461"/>
  <c r="C21" i="461"/>
  <c r="H21" i="461" s="1"/>
  <c r="C22" i="461"/>
  <c r="H22" i="461" s="1"/>
  <c r="C23" i="461"/>
  <c r="H23" i="461" s="1"/>
  <c r="D24" i="461"/>
  <c r="C26" i="461"/>
  <c r="H26" i="461" s="1"/>
  <c r="D32" i="461"/>
  <c r="C27" i="461"/>
  <c r="H27" i="461" s="1"/>
  <c r="C28" i="461"/>
  <c r="H28" i="461" s="1"/>
  <c r="C29" i="461"/>
  <c r="H29" i="461" s="1"/>
  <c r="C30" i="461"/>
  <c r="H30" i="461" s="1"/>
  <c r="C31" i="461"/>
  <c r="H31" i="461" s="1"/>
  <c r="C34" i="461"/>
  <c r="H34" i="461" s="1"/>
  <c r="C35" i="461"/>
  <c r="H35" i="461" s="1"/>
  <c r="C36" i="461"/>
  <c r="H36" i="461" s="1"/>
  <c r="C37" i="461"/>
  <c r="H37" i="461" s="1"/>
  <c r="C38" i="461"/>
  <c r="H38" i="461" s="1"/>
  <c r="C39" i="461"/>
  <c r="H39" i="461" s="1"/>
  <c r="D40" i="461"/>
  <c r="C42" i="461"/>
  <c r="H42" i="461" s="1"/>
  <c r="C43" i="461"/>
  <c r="H43" i="461" s="1"/>
  <c r="C44" i="461"/>
  <c r="H44" i="461" s="1"/>
  <c r="C45" i="461"/>
  <c r="D46" i="461"/>
  <c r="H38" i="462"/>
  <c r="D26" i="460"/>
  <c r="D32" i="460" s="1"/>
  <c r="D34" i="460"/>
  <c r="D40" i="460" s="1"/>
  <c r="D42" i="460"/>
  <c r="D46" i="460" s="1"/>
  <c r="C21" i="460"/>
  <c r="H21" i="460" s="1"/>
  <c r="G4" i="460"/>
  <c r="C22" i="460"/>
  <c r="C23" i="460"/>
  <c r="H23" i="460" s="1"/>
  <c r="C26" i="460"/>
  <c r="C27" i="460"/>
  <c r="H27" i="460" s="1"/>
  <c r="C28" i="460"/>
  <c r="H28" i="460" s="1"/>
  <c r="C29" i="460"/>
  <c r="H29" i="460" s="1"/>
  <c r="C30" i="460"/>
  <c r="C31" i="460"/>
  <c r="C34" i="460"/>
  <c r="H34" i="460" s="1"/>
  <c r="C35" i="460"/>
  <c r="H35" i="460" s="1"/>
  <c r="C36" i="460"/>
  <c r="H36" i="460" s="1"/>
  <c r="C37" i="460"/>
  <c r="C38" i="460"/>
  <c r="H38" i="460" s="1"/>
  <c r="C39" i="460"/>
  <c r="H39" i="460" s="1"/>
  <c r="C42" i="460"/>
  <c r="C43" i="460"/>
  <c r="C44" i="460"/>
  <c r="H44" i="460" s="1"/>
  <c r="C10" i="460"/>
  <c r="H10" i="460" s="1"/>
  <c r="C11" i="460"/>
  <c r="H11" i="460" s="1"/>
  <c r="C12" i="460"/>
  <c r="H12" i="460" s="1"/>
  <c r="C13" i="460"/>
  <c r="C14" i="460"/>
  <c r="C15" i="460"/>
  <c r="C16" i="460"/>
  <c r="H16" i="460" s="1"/>
  <c r="C17" i="460"/>
  <c r="H17" i="460" s="1"/>
  <c r="C18" i="460"/>
  <c r="H18" i="460" s="1"/>
  <c r="D24" i="460"/>
  <c r="D19" i="460"/>
  <c r="E16" i="460" s="1"/>
  <c r="C45" i="460"/>
  <c r="E19" i="460"/>
  <c r="E11" i="460"/>
  <c r="E10" i="460"/>
  <c r="C7" i="460"/>
  <c r="E4" i="460"/>
  <c r="D26" i="459"/>
  <c r="D32" i="459" s="1"/>
  <c r="C21" i="459"/>
  <c r="H21" i="459" s="1"/>
  <c r="G4" i="459"/>
  <c r="C22" i="459"/>
  <c r="H22" i="459" s="1"/>
  <c r="C23" i="459"/>
  <c r="H23" i="459" s="1"/>
  <c r="C26" i="459"/>
  <c r="C27" i="459"/>
  <c r="H27" i="459" s="1"/>
  <c r="C28" i="459"/>
  <c r="H28" i="459" s="1"/>
  <c r="C29" i="459"/>
  <c r="H29" i="459" s="1"/>
  <c r="C30" i="459"/>
  <c r="H30" i="459" s="1"/>
  <c r="C31" i="459"/>
  <c r="H31" i="459" s="1"/>
  <c r="C34" i="459"/>
  <c r="H34" i="459" s="1"/>
  <c r="C35" i="459"/>
  <c r="H35" i="459" s="1"/>
  <c r="C36" i="459"/>
  <c r="H36" i="459" s="1"/>
  <c r="C37" i="459"/>
  <c r="C38" i="459"/>
  <c r="H38" i="459" s="1"/>
  <c r="C39" i="459"/>
  <c r="H39" i="459" s="1"/>
  <c r="C42" i="459"/>
  <c r="H42" i="459" s="1"/>
  <c r="C43" i="459"/>
  <c r="C44" i="459"/>
  <c r="H44" i="459" s="1"/>
  <c r="C10" i="459"/>
  <c r="C11" i="459"/>
  <c r="C12" i="459"/>
  <c r="H12" i="459" s="1"/>
  <c r="C13" i="459"/>
  <c r="H13" i="459" s="1"/>
  <c r="C14" i="459"/>
  <c r="H14" i="459" s="1"/>
  <c r="C15" i="459"/>
  <c r="C16" i="459"/>
  <c r="H16" i="459" s="1"/>
  <c r="C17" i="459"/>
  <c r="H17" i="459" s="1"/>
  <c r="C18" i="459"/>
  <c r="H18" i="459" s="1"/>
  <c r="D46" i="459"/>
  <c r="D24" i="459"/>
  <c r="D40" i="459"/>
  <c r="D19" i="459"/>
  <c r="E15" i="459" s="1"/>
  <c r="C45" i="459"/>
  <c r="C7" i="459"/>
  <c r="E4" i="459"/>
  <c r="D26" i="454"/>
  <c r="C21" i="458"/>
  <c r="H21" i="458" s="1"/>
  <c r="G4" i="458"/>
  <c r="C22" i="458"/>
  <c r="H22" i="458" s="1"/>
  <c r="C23" i="458"/>
  <c r="C26" i="458"/>
  <c r="H26" i="458" s="1"/>
  <c r="C27" i="458"/>
  <c r="H27" i="458" s="1"/>
  <c r="C28" i="458"/>
  <c r="H28" i="458" s="1"/>
  <c r="C29" i="458"/>
  <c r="H29" i="458" s="1"/>
  <c r="C30" i="458"/>
  <c r="H30" i="458" s="1"/>
  <c r="C31" i="458"/>
  <c r="C34" i="458"/>
  <c r="C35" i="458"/>
  <c r="H35" i="458" s="1"/>
  <c r="C36" i="458"/>
  <c r="H36" i="458" s="1"/>
  <c r="C37" i="458"/>
  <c r="C38" i="458"/>
  <c r="C39" i="458"/>
  <c r="H39" i="458" s="1"/>
  <c r="C42" i="458"/>
  <c r="C43" i="458"/>
  <c r="H43" i="458" s="1"/>
  <c r="C44" i="458"/>
  <c r="H44" i="458" s="1"/>
  <c r="C10" i="458"/>
  <c r="H10" i="458" s="1"/>
  <c r="C11" i="458"/>
  <c r="C12" i="458"/>
  <c r="H12" i="458" s="1"/>
  <c r="C13" i="458"/>
  <c r="H13" i="458" s="1"/>
  <c r="C14" i="458"/>
  <c r="C15" i="458"/>
  <c r="H15" i="458" s="1"/>
  <c r="C16" i="458"/>
  <c r="H16" i="458" s="1"/>
  <c r="C17" i="458"/>
  <c r="H17" i="458" s="1"/>
  <c r="C18" i="458"/>
  <c r="H18" i="458" s="1"/>
  <c r="D46" i="458"/>
  <c r="D24" i="458"/>
  <c r="D32" i="458"/>
  <c r="D40" i="458"/>
  <c r="D19" i="458"/>
  <c r="C45" i="458"/>
  <c r="C7" i="458"/>
  <c r="E4" i="458"/>
  <c r="D42" i="456"/>
  <c r="D46" i="456" s="1"/>
  <c r="D34" i="457"/>
  <c r="D40" i="457" s="1"/>
  <c r="D42" i="457"/>
  <c r="D46" i="457" s="1"/>
  <c r="C21" i="457"/>
  <c r="H21" i="457" s="1"/>
  <c r="G4" i="457"/>
  <c r="C22" i="457"/>
  <c r="H22" i="457" s="1"/>
  <c r="C23" i="457"/>
  <c r="H23" i="457" s="1"/>
  <c r="C26" i="457"/>
  <c r="H26" i="457" s="1"/>
  <c r="C27" i="457"/>
  <c r="H27" i="457" s="1"/>
  <c r="C28" i="457"/>
  <c r="C29" i="457"/>
  <c r="H29" i="457" s="1"/>
  <c r="C30" i="457"/>
  <c r="H30" i="457" s="1"/>
  <c r="C31" i="457"/>
  <c r="H31" i="457" s="1"/>
  <c r="C34" i="457"/>
  <c r="H34" i="457" s="1"/>
  <c r="C35" i="457"/>
  <c r="H35" i="457" s="1"/>
  <c r="C36" i="457"/>
  <c r="H36" i="457" s="1"/>
  <c r="C37" i="457"/>
  <c r="H37" i="457" s="1"/>
  <c r="C38" i="457"/>
  <c r="H38" i="457" s="1"/>
  <c r="C39" i="457"/>
  <c r="H39" i="457" s="1"/>
  <c r="C42" i="457"/>
  <c r="C43" i="457"/>
  <c r="C44" i="457"/>
  <c r="H44" i="457" s="1"/>
  <c r="C10" i="457"/>
  <c r="H10" i="457" s="1"/>
  <c r="C11" i="457"/>
  <c r="C12" i="457"/>
  <c r="H12" i="457" s="1"/>
  <c r="C13" i="457"/>
  <c r="H13" i="457" s="1"/>
  <c r="C14" i="457"/>
  <c r="H14" i="457" s="1"/>
  <c r="C15" i="457"/>
  <c r="C16" i="457"/>
  <c r="H16" i="457" s="1"/>
  <c r="C17" i="457"/>
  <c r="C18" i="457"/>
  <c r="H18" i="457" s="1"/>
  <c r="D24" i="457"/>
  <c r="D32" i="457"/>
  <c r="D19" i="457"/>
  <c r="E15" i="457" s="1"/>
  <c r="C45" i="457"/>
  <c r="C7" i="457"/>
  <c r="E4" i="457"/>
  <c r="D34" i="456"/>
  <c r="D40" i="456" s="1"/>
  <c r="C21" i="456"/>
  <c r="H21" i="456" s="1"/>
  <c r="G4" i="456"/>
  <c r="C22" i="456"/>
  <c r="H22" i="456" s="1"/>
  <c r="C23" i="456"/>
  <c r="C26" i="456"/>
  <c r="H26" i="456" s="1"/>
  <c r="C27" i="456"/>
  <c r="H27" i="456" s="1"/>
  <c r="C28" i="456"/>
  <c r="H28" i="456" s="1"/>
  <c r="C29" i="456"/>
  <c r="H29" i="456" s="1"/>
  <c r="C30" i="456"/>
  <c r="H30" i="456" s="1"/>
  <c r="C31" i="456"/>
  <c r="C34" i="456"/>
  <c r="C35" i="456"/>
  <c r="H35" i="456" s="1"/>
  <c r="C36" i="456"/>
  <c r="C37" i="456"/>
  <c r="H37" i="456" s="1"/>
  <c r="C38" i="456"/>
  <c r="C39" i="456"/>
  <c r="H39" i="456" s="1"/>
  <c r="C42" i="456"/>
  <c r="C43" i="456"/>
  <c r="H43" i="456" s="1"/>
  <c r="C44" i="456"/>
  <c r="H44" i="456" s="1"/>
  <c r="C10" i="456"/>
  <c r="H10" i="456" s="1"/>
  <c r="C11" i="456"/>
  <c r="H11" i="456" s="1"/>
  <c r="C12" i="456"/>
  <c r="H12" i="456" s="1"/>
  <c r="C13" i="456"/>
  <c r="H13" i="456" s="1"/>
  <c r="C14" i="456"/>
  <c r="C15" i="456"/>
  <c r="H15" i="456" s="1"/>
  <c r="C16" i="456"/>
  <c r="H16" i="456" s="1"/>
  <c r="C17" i="456"/>
  <c r="H17" i="456" s="1"/>
  <c r="C18" i="456"/>
  <c r="H18" i="456" s="1"/>
  <c r="D24" i="456"/>
  <c r="D32" i="456"/>
  <c r="D19" i="456"/>
  <c r="C45" i="456"/>
  <c r="C7" i="456"/>
  <c r="E4" i="456"/>
  <c r="D26" i="455"/>
  <c r="D32" i="455" s="1"/>
  <c r="D34" i="455"/>
  <c r="D40" i="455" s="1"/>
  <c r="D42" i="455"/>
  <c r="C21" i="455"/>
  <c r="H21" i="455" s="1"/>
  <c r="G4" i="455"/>
  <c r="C22" i="455"/>
  <c r="H22" i="455" s="1"/>
  <c r="C23" i="455"/>
  <c r="H23" i="455" s="1"/>
  <c r="C26" i="455"/>
  <c r="C27" i="455"/>
  <c r="H27" i="455" s="1"/>
  <c r="C28" i="455"/>
  <c r="H28" i="455" s="1"/>
  <c r="C29" i="455"/>
  <c r="H29" i="455" s="1"/>
  <c r="C30" i="455"/>
  <c r="H30" i="455" s="1"/>
  <c r="C31" i="455"/>
  <c r="H31" i="455" s="1"/>
  <c r="C34" i="455"/>
  <c r="C35" i="455"/>
  <c r="H35" i="455" s="1"/>
  <c r="C36" i="455"/>
  <c r="H36" i="455" s="1"/>
  <c r="C37" i="455"/>
  <c r="H37" i="455" s="1"/>
  <c r="C38" i="455"/>
  <c r="H38" i="455" s="1"/>
  <c r="C39" i="455"/>
  <c r="H39" i="455" s="1"/>
  <c r="C42" i="455"/>
  <c r="C43" i="455"/>
  <c r="C44" i="455"/>
  <c r="H44" i="455" s="1"/>
  <c r="C10" i="455"/>
  <c r="H10" i="455" s="1"/>
  <c r="C11" i="455"/>
  <c r="C12" i="455"/>
  <c r="H12" i="455" s="1"/>
  <c r="C13" i="455"/>
  <c r="H13" i="455" s="1"/>
  <c r="C14" i="455"/>
  <c r="H14" i="455" s="1"/>
  <c r="C15" i="455"/>
  <c r="C16" i="455"/>
  <c r="H16" i="455" s="1"/>
  <c r="C17" i="455"/>
  <c r="H17" i="455" s="1"/>
  <c r="C18" i="455"/>
  <c r="H18" i="455" s="1"/>
  <c r="D24" i="455"/>
  <c r="D19" i="455"/>
  <c r="E13" i="455" s="1"/>
  <c r="C45" i="455"/>
  <c r="C7" i="455"/>
  <c r="E4" i="455"/>
  <c r="C21" i="454"/>
  <c r="H21" i="454" s="1"/>
  <c r="G4" i="454"/>
  <c r="C22" i="454"/>
  <c r="H22" i="454" s="1"/>
  <c r="C23" i="454"/>
  <c r="H23" i="454" s="1"/>
  <c r="C26" i="454"/>
  <c r="C27" i="454"/>
  <c r="C28" i="454"/>
  <c r="H28" i="454" s="1"/>
  <c r="C29" i="454"/>
  <c r="H29" i="454" s="1"/>
  <c r="C30" i="454"/>
  <c r="H30" i="454" s="1"/>
  <c r="C31" i="454"/>
  <c r="H31" i="454" s="1"/>
  <c r="C34" i="454"/>
  <c r="C35" i="454"/>
  <c r="H35" i="454" s="1"/>
  <c r="C36" i="454"/>
  <c r="H36" i="454" s="1"/>
  <c r="C37" i="454"/>
  <c r="H37" i="454" s="1"/>
  <c r="C38" i="454"/>
  <c r="H38" i="454" s="1"/>
  <c r="C39" i="454"/>
  <c r="H39" i="454" s="1"/>
  <c r="C42" i="454"/>
  <c r="H42" i="454" s="1"/>
  <c r="C43" i="454"/>
  <c r="H43" i="454" s="1"/>
  <c r="C44" i="454"/>
  <c r="C10" i="454"/>
  <c r="H10" i="454" s="1"/>
  <c r="C11" i="454"/>
  <c r="H11" i="454" s="1"/>
  <c r="C12" i="454"/>
  <c r="H12" i="454" s="1"/>
  <c r="C13" i="454"/>
  <c r="H13" i="454" s="1"/>
  <c r="C14" i="454"/>
  <c r="H14" i="454" s="1"/>
  <c r="C15" i="454"/>
  <c r="H15" i="454" s="1"/>
  <c r="C16" i="454"/>
  <c r="C17" i="454"/>
  <c r="H17" i="454" s="1"/>
  <c r="C18" i="454"/>
  <c r="H18" i="454" s="1"/>
  <c r="D46" i="454"/>
  <c r="D24" i="454"/>
  <c r="D32" i="454"/>
  <c r="D40" i="454"/>
  <c r="D19" i="454"/>
  <c r="C45" i="454"/>
  <c r="C7" i="454"/>
  <c r="E4" i="454"/>
  <c r="D26" i="453"/>
  <c r="D32" i="453"/>
  <c r="D34" i="453"/>
  <c r="D40" i="453" s="1"/>
  <c r="D42" i="453"/>
  <c r="D46" i="453" s="1"/>
  <c r="C21" i="453"/>
  <c r="G4" i="453"/>
  <c r="C22" i="453"/>
  <c r="H22" i="453" s="1"/>
  <c r="C23" i="453"/>
  <c r="C26" i="453"/>
  <c r="C27" i="453"/>
  <c r="C28" i="453"/>
  <c r="H28" i="453" s="1"/>
  <c r="C29" i="453"/>
  <c r="C30" i="453"/>
  <c r="H30" i="453" s="1"/>
  <c r="C31" i="453"/>
  <c r="H31" i="453" s="1"/>
  <c r="C34" i="453"/>
  <c r="C35" i="453"/>
  <c r="H35" i="453" s="1"/>
  <c r="C36" i="453"/>
  <c r="H36" i="453" s="1"/>
  <c r="C37" i="453"/>
  <c r="H37" i="453" s="1"/>
  <c r="C38" i="453"/>
  <c r="H38" i="453" s="1"/>
  <c r="C39" i="453"/>
  <c r="H39" i="453" s="1"/>
  <c r="C42" i="453"/>
  <c r="C43" i="453"/>
  <c r="H43" i="453" s="1"/>
  <c r="C44" i="453"/>
  <c r="H44" i="453" s="1"/>
  <c r="C10" i="453"/>
  <c r="H10" i="453" s="1"/>
  <c r="C11" i="453"/>
  <c r="H11" i="453" s="1"/>
  <c r="C12" i="453"/>
  <c r="C13" i="453"/>
  <c r="H13" i="453" s="1"/>
  <c r="C14" i="453"/>
  <c r="H14" i="453" s="1"/>
  <c r="C15" i="453"/>
  <c r="H15" i="453" s="1"/>
  <c r="C16" i="453"/>
  <c r="H16" i="453" s="1"/>
  <c r="C17" i="453"/>
  <c r="H17" i="453" s="1"/>
  <c r="C18" i="453"/>
  <c r="H18" i="453" s="1"/>
  <c r="D24" i="453"/>
  <c r="D19" i="453"/>
  <c r="C45" i="453"/>
  <c r="C7" i="453"/>
  <c r="E4" i="453"/>
  <c r="D34" i="452"/>
  <c r="D40" i="452" s="1"/>
  <c r="D26" i="452"/>
  <c r="D32" i="452" s="1"/>
  <c r="D42" i="452"/>
  <c r="D46" i="452" s="1"/>
  <c r="C45" i="452"/>
  <c r="C44" i="452"/>
  <c r="H44" i="452" s="1"/>
  <c r="C43" i="452"/>
  <c r="H43" i="452" s="1"/>
  <c r="C42" i="452"/>
  <c r="C39" i="452"/>
  <c r="C38" i="452"/>
  <c r="C37" i="452"/>
  <c r="C36" i="452"/>
  <c r="C35" i="452"/>
  <c r="H35" i="452" s="1"/>
  <c r="C34" i="452"/>
  <c r="C31" i="452"/>
  <c r="H31" i="452" s="1"/>
  <c r="C30" i="452"/>
  <c r="H30" i="452" s="1"/>
  <c r="C29" i="452"/>
  <c r="H29" i="452" s="1"/>
  <c r="C28" i="452"/>
  <c r="H28" i="452" s="1"/>
  <c r="C27" i="452"/>
  <c r="H27" i="452" s="1"/>
  <c r="C26" i="452"/>
  <c r="D24" i="452"/>
  <c r="C23" i="452"/>
  <c r="H23" i="452" s="1"/>
  <c r="C22" i="452"/>
  <c r="H22" i="452" s="1"/>
  <c r="C21" i="452"/>
  <c r="H21" i="452" s="1"/>
  <c r="D19" i="452"/>
  <c r="E18" i="452" s="1"/>
  <c r="C18" i="452"/>
  <c r="C17" i="452"/>
  <c r="H17" i="452" s="1"/>
  <c r="C16" i="452"/>
  <c r="H16" i="452" s="1"/>
  <c r="C15" i="452"/>
  <c r="H15" i="452" s="1"/>
  <c r="C14" i="452"/>
  <c r="H14" i="452" s="1"/>
  <c r="C13" i="452"/>
  <c r="H13" i="452" s="1"/>
  <c r="C12" i="452"/>
  <c r="H12" i="452" s="1"/>
  <c r="C11" i="452"/>
  <c r="H11" i="452" s="1"/>
  <c r="C10" i="452"/>
  <c r="C7" i="452"/>
  <c r="G4" i="452"/>
  <c r="E4" i="452"/>
  <c r="D26" i="451"/>
  <c r="D32" i="451" s="1"/>
  <c r="C45" i="451"/>
  <c r="C44" i="451"/>
  <c r="H44" i="451" s="1"/>
  <c r="C43" i="451"/>
  <c r="H43" i="451" s="1"/>
  <c r="C42" i="451"/>
  <c r="H42" i="451" s="1"/>
  <c r="C39" i="451"/>
  <c r="H39" i="451" s="1"/>
  <c r="C38" i="451"/>
  <c r="H38" i="451" s="1"/>
  <c r="C37" i="451"/>
  <c r="H37" i="451" s="1"/>
  <c r="C36" i="451"/>
  <c r="H36" i="451" s="1"/>
  <c r="C35" i="451"/>
  <c r="H35" i="451" s="1"/>
  <c r="C34" i="451"/>
  <c r="H34" i="451" s="1"/>
  <c r="C31" i="451"/>
  <c r="C30" i="451"/>
  <c r="C29" i="451"/>
  <c r="H29" i="451" s="1"/>
  <c r="C28" i="451"/>
  <c r="H28" i="451" s="1"/>
  <c r="C27" i="451"/>
  <c r="H27" i="451" s="1"/>
  <c r="C26" i="451"/>
  <c r="H26" i="451" s="1"/>
  <c r="D24" i="451"/>
  <c r="C23" i="451"/>
  <c r="H23" i="451" s="1"/>
  <c r="C22" i="451"/>
  <c r="H22" i="451" s="1"/>
  <c r="C21" i="451"/>
  <c r="H21" i="451" s="1"/>
  <c r="D19" i="451"/>
  <c r="E19" i="451" s="1"/>
  <c r="C18" i="451"/>
  <c r="H18" i="451" s="1"/>
  <c r="C17" i="451"/>
  <c r="H17" i="451" s="1"/>
  <c r="C16" i="451"/>
  <c r="H16" i="451" s="1"/>
  <c r="C15" i="451"/>
  <c r="H15" i="451" s="1"/>
  <c r="C14" i="451"/>
  <c r="H14" i="451" s="1"/>
  <c r="C13" i="451"/>
  <c r="H13" i="451" s="1"/>
  <c r="C12" i="451"/>
  <c r="H12" i="451" s="1"/>
  <c r="C11" i="451"/>
  <c r="H11" i="451" s="1"/>
  <c r="C10" i="451"/>
  <c r="C7" i="451"/>
  <c r="G4" i="451"/>
  <c r="E4" i="451"/>
  <c r="D26" i="450"/>
  <c r="D34" i="450"/>
  <c r="D40" i="450" s="1"/>
  <c r="D42" i="450"/>
  <c r="C45" i="450"/>
  <c r="C44" i="450"/>
  <c r="H44" i="450" s="1"/>
  <c r="C43" i="450"/>
  <c r="H43" i="450" s="1"/>
  <c r="C42" i="450"/>
  <c r="C39" i="450"/>
  <c r="H39" i="450" s="1"/>
  <c r="C38" i="450"/>
  <c r="H38" i="450" s="1"/>
  <c r="C37" i="450"/>
  <c r="H37" i="450" s="1"/>
  <c r="C36" i="450"/>
  <c r="H36" i="450" s="1"/>
  <c r="C35" i="450"/>
  <c r="C34" i="450"/>
  <c r="C31" i="450"/>
  <c r="H31" i="450" s="1"/>
  <c r="C30" i="450"/>
  <c r="C29" i="450"/>
  <c r="C28" i="450"/>
  <c r="C27" i="450"/>
  <c r="C26" i="450"/>
  <c r="H26" i="450" s="1"/>
  <c r="D24" i="450"/>
  <c r="C23" i="450"/>
  <c r="H23" i="450" s="1"/>
  <c r="C22" i="450"/>
  <c r="H22" i="450" s="1"/>
  <c r="C21" i="450"/>
  <c r="H21" i="450" s="1"/>
  <c r="D19" i="450"/>
  <c r="E14" i="450" s="1"/>
  <c r="C18" i="450"/>
  <c r="H18" i="450" s="1"/>
  <c r="C17" i="450"/>
  <c r="H17" i="450" s="1"/>
  <c r="C16" i="450"/>
  <c r="H16" i="450" s="1"/>
  <c r="C15" i="450"/>
  <c r="H15" i="450" s="1"/>
  <c r="C14" i="450"/>
  <c r="H14" i="450" s="1"/>
  <c r="C13" i="450"/>
  <c r="H13" i="450" s="1"/>
  <c r="C12" i="450"/>
  <c r="H12" i="450" s="1"/>
  <c r="C11" i="450"/>
  <c r="H11" i="450" s="1"/>
  <c r="C10" i="450"/>
  <c r="H10" i="450" s="1"/>
  <c r="C7" i="450"/>
  <c r="G4" i="450"/>
  <c r="E4" i="450"/>
  <c r="H10" i="451"/>
  <c r="D40" i="451"/>
  <c r="D46" i="451"/>
  <c r="H35" i="450"/>
  <c r="D46" i="449"/>
  <c r="C45" i="449"/>
  <c r="C44" i="449"/>
  <c r="C43" i="449"/>
  <c r="H43" i="449" s="1"/>
  <c r="C42" i="449"/>
  <c r="H42" i="449" s="1"/>
  <c r="D40" i="449"/>
  <c r="C39" i="449"/>
  <c r="H39" i="449" s="1"/>
  <c r="C38" i="449"/>
  <c r="H38" i="449" s="1"/>
  <c r="C37" i="449"/>
  <c r="H37" i="449" s="1"/>
  <c r="C36" i="449"/>
  <c r="H36" i="449" s="1"/>
  <c r="C35" i="449"/>
  <c r="H35" i="449" s="1"/>
  <c r="C34" i="449"/>
  <c r="H34" i="449" s="1"/>
  <c r="D32" i="449"/>
  <c r="C31" i="449"/>
  <c r="H31" i="449" s="1"/>
  <c r="C30" i="449"/>
  <c r="H30" i="449" s="1"/>
  <c r="C29" i="449"/>
  <c r="H29" i="449" s="1"/>
  <c r="C28" i="449"/>
  <c r="H28" i="449" s="1"/>
  <c r="C27" i="449"/>
  <c r="H27" i="449" s="1"/>
  <c r="C26" i="449"/>
  <c r="H26" i="449" s="1"/>
  <c r="D24" i="449"/>
  <c r="C23" i="449"/>
  <c r="H23" i="449" s="1"/>
  <c r="C22" i="449"/>
  <c r="H22" i="449" s="1"/>
  <c r="C21" i="449"/>
  <c r="H21" i="449" s="1"/>
  <c r="D19" i="449"/>
  <c r="C18" i="449"/>
  <c r="H18" i="449" s="1"/>
  <c r="C17" i="449"/>
  <c r="H17" i="449" s="1"/>
  <c r="C16" i="449"/>
  <c r="H16" i="449" s="1"/>
  <c r="C15" i="449"/>
  <c r="H15" i="449" s="1"/>
  <c r="C14" i="449"/>
  <c r="H14" i="449" s="1"/>
  <c r="C13" i="449"/>
  <c r="H13" i="449" s="1"/>
  <c r="C12" i="449"/>
  <c r="H12" i="449" s="1"/>
  <c r="C11" i="449"/>
  <c r="H11" i="449" s="1"/>
  <c r="C10" i="449"/>
  <c r="C7" i="449"/>
  <c r="G4" i="449"/>
  <c r="E4" i="449"/>
  <c r="H44" i="449"/>
  <c r="D34" i="448"/>
  <c r="D42" i="448"/>
  <c r="D46" i="448" s="1"/>
  <c r="C45" i="448"/>
  <c r="C44" i="448"/>
  <c r="H44" i="448" s="1"/>
  <c r="C43" i="448"/>
  <c r="H43" i="448" s="1"/>
  <c r="C42" i="448"/>
  <c r="H42" i="448" s="1"/>
  <c r="C39" i="448"/>
  <c r="H39" i="448" s="1"/>
  <c r="C38" i="448"/>
  <c r="H38" i="448" s="1"/>
  <c r="C37" i="448"/>
  <c r="H37" i="448" s="1"/>
  <c r="C36" i="448"/>
  <c r="H36" i="448" s="1"/>
  <c r="C35" i="448"/>
  <c r="H35" i="448" s="1"/>
  <c r="C34" i="448"/>
  <c r="D32" i="448"/>
  <c r="C31" i="448"/>
  <c r="H31" i="448" s="1"/>
  <c r="C30" i="448"/>
  <c r="H30" i="448" s="1"/>
  <c r="C29" i="448"/>
  <c r="H29" i="448" s="1"/>
  <c r="C28" i="448"/>
  <c r="H28" i="448" s="1"/>
  <c r="C27" i="448"/>
  <c r="H27" i="448" s="1"/>
  <c r="C26" i="448"/>
  <c r="H26" i="448" s="1"/>
  <c r="D24" i="448"/>
  <c r="C23" i="448"/>
  <c r="H23" i="448" s="1"/>
  <c r="C22" i="448"/>
  <c r="H22" i="448" s="1"/>
  <c r="C21" i="448"/>
  <c r="H21" i="448" s="1"/>
  <c r="D19" i="448"/>
  <c r="C18" i="448"/>
  <c r="H18" i="448" s="1"/>
  <c r="C17" i="448"/>
  <c r="H17" i="448" s="1"/>
  <c r="C16" i="448"/>
  <c r="H16" i="448" s="1"/>
  <c r="C15" i="448"/>
  <c r="H15" i="448" s="1"/>
  <c r="C14" i="448"/>
  <c r="H14" i="448" s="1"/>
  <c r="C13" i="448"/>
  <c r="H13" i="448" s="1"/>
  <c r="C12" i="448"/>
  <c r="H12" i="448" s="1"/>
  <c r="C11" i="448"/>
  <c r="C10" i="448"/>
  <c r="C7" i="448"/>
  <c r="G4" i="448"/>
  <c r="E4" i="448"/>
  <c r="D34" i="447"/>
  <c r="D40" i="447" s="1"/>
  <c r="D42" i="447"/>
  <c r="C45" i="447"/>
  <c r="C44" i="447"/>
  <c r="H44" i="447" s="1"/>
  <c r="C43" i="447"/>
  <c r="H43" i="447" s="1"/>
  <c r="C42" i="447"/>
  <c r="C39" i="447"/>
  <c r="H39" i="447" s="1"/>
  <c r="C38" i="447"/>
  <c r="H38" i="447" s="1"/>
  <c r="C37" i="447"/>
  <c r="C36" i="447"/>
  <c r="H36" i="447" s="1"/>
  <c r="C35" i="447"/>
  <c r="H35" i="447" s="1"/>
  <c r="C34" i="447"/>
  <c r="D32" i="447"/>
  <c r="C31" i="447"/>
  <c r="H31" i="447" s="1"/>
  <c r="C30" i="447"/>
  <c r="H30" i="447" s="1"/>
  <c r="C29" i="447"/>
  <c r="H29" i="447" s="1"/>
  <c r="C28" i="447"/>
  <c r="H28" i="447" s="1"/>
  <c r="C27" i="447"/>
  <c r="H27" i="447" s="1"/>
  <c r="C26" i="447"/>
  <c r="H26" i="447" s="1"/>
  <c r="D24" i="447"/>
  <c r="C23" i="447"/>
  <c r="H23" i="447" s="1"/>
  <c r="C22" i="447"/>
  <c r="H22" i="447" s="1"/>
  <c r="C21" i="447"/>
  <c r="H21" i="447" s="1"/>
  <c r="D19" i="447"/>
  <c r="E15" i="447" s="1"/>
  <c r="C18" i="447"/>
  <c r="H18" i="447" s="1"/>
  <c r="C17" i="447"/>
  <c r="H17" i="447" s="1"/>
  <c r="C16" i="447"/>
  <c r="H16" i="447" s="1"/>
  <c r="C15" i="447"/>
  <c r="H15" i="447" s="1"/>
  <c r="C14" i="447"/>
  <c r="H14" i="447" s="1"/>
  <c r="C13" i="447"/>
  <c r="H13" i="447" s="1"/>
  <c r="C12" i="447"/>
  <c r="H12" i="447" s="1"/>
  <c r="C11" i="447"/>
  <c r="H11" i="447" s="1"/>
  <c r="C10" i="447"/>
  <c r="H10" i="447" s="1"/>
  <c r="C7" i="447"/>
  <c r="G4" i="447"/>
  <c r="E4" i="447"/>
  <c r="H37" i="447"/>
  <c r="D26" i="446"/>
  <c r="D32" i="446" s="1"/>
  <c r="D34" i="446"/>
  <c r="D40" i="446" s="1"/>
  <c r="D42" i="446"/>
  <c r="D46" i="446" s="1"/>
  <c r="E4" i="446"/>
  <c r="C45" i="446"/>
  <c r="C44" i="446"/>
  <c r="C43" i="446"/>
  <c r="C42" i="446"/>
  <c r="C39" i="446"/>
  <c r="H39" i="446" s="1"/>
  <c r="C38" i="446"/>
  <c r="H38" i="446" s="1"/>
  <c r="C37" i="446"/>
  <c r="H37" i="446" s="1"/>
  <c r="C36" i="446"/>
  <c r="H36" i="446" s="1"/>
  <c r="C35" i="446"/>
  <c r="H35" i="446" s="1"/>
  <c r="C34" i="446"/>
  <c r="H34" i="446" s="1"/>
  <c r="C31" i="446"/>
  <c r="H31" i="446" s="1"/>
  <c r="C30" i="446"/>
  <c r="H30" i="446" s="1"/>
  <c r="C29" i="446"/>
  <c r="H29" i="446" s="1"/>
  <c r="C28" i="446"/>
  <c r="H28" i="446" s="1"/>
  <c r="C27" i="446"/>
  <c r="H27" i="446" s="1"/>
  <c r="C26" i="446"/>
  <c r="D24" i="446"/>
  <c r="C23" i="446"/>
  <c r="H23" i="446" s="1"/>
  <c r="C22" i="446"/>
  <c r="H22" i="446" s="1"/>
  <c r="C21" i="446"/>
  <c r="H21" i="446" s="1"/>
  <c r="D19" i="446"/>
  <c r="E12" i="446" s="1"/>
  <c r="C18" i="446"/>
  <c r="H18" i="446" s="1"/>
  <c r="C17" i="446"/>
  <c r="H17" i="446" s="1"/>
  <c r="C16" i="446"/>
  <c r="H16" i="446" s="1"/>
  <c r="E15" i="446"/>
  <c r="C15" i="446"/>
  <c r="H15" i="446" s="1"/>
  <c r="C14" i="446"/>
  <c r="H14" i="446" s="1"/>
  <c r="C13" i="446"/>
  <c r="C12" i="446"/>
  <c r="H12" i="446" s="1"/>
  <c r="C11" i="446"/>
  <c r="H11" i="446" s="1"/>
  <c r="C10" i="446"/>
  <c r="H10" i="446" s="1"/>
  <c r="C7" i="446"/>
  <c r="G4" i="446"/>
  <c r="D46" i="445"/>
  <c r="C45" i="445"/>
  <c r="C44" i="445"/>
  <c r="H44" i="445" s="1"/>
  <c r="C43" i="445"/>
  <c r="H43" i="445" s="1"/>
  <c r="C42" i="445"/>
  <c r="H42" i="445" s="1"/>
  <c r="D40" i="445"/>
  <c r="C39" i="445"/>
  <c r="H39" i="445" s="1"/>
  <c r="C38" i="445"/>
  <c r="H38" i="445" s="1"/>
  <c r="C37" i="445"/>
  <c r="H37" i="445" s="1"/>
  <c r="C36" i="445"/>
  <c r="C35" i="445"/>
  <c r="H35" i="445" s="1"/>
  <c r="C34" i="445"/>
  <c r="H34" i="445" s="1"/>
  <c r="D32" i="445"/>
  <c r="C31" i="445"/>
  <c r="H31" i="445" s="1"/>
  <c r="C30" i="445"/>
  <c r="H30" i="445" s="1"/>
  <c r="C29" i="445"/>
  <c r="H29" i="445" s="1"/>
  <c r="C28" i="445"/>
  <c r="H28" i="445" s="1"/>
  <c r="C27" i="445"/>
  <c r="H27" i="445" s="1"/>
  <c r="C26" i="445"/>
  <c r="H26" i="445" s="1"/>
  <c r="D24" i="445"/>
  <c r="C23" i="445"/>
  <c r="H23" i="445" s="1"/>
  <c r="C22" i="445"/>
  <c r="H22" i="445" s="1"/>
  <c r="C21" i="445"/>
  <c r="H21" i="445" s="1"/>
  <c r="D19" i="445"/>
  <c r="C18" i="445"/>
  <c r="H18" i="445" s="1"/>
  <c r="C17" i="445"/>
  <c r="H17" i="445" s="1"/>
  <c r="C16" i="445"/>
  <c r="H16" i="445" s="1"/>
  <c r="C15" i="445"/>
  <c r="H15" i="445" s="1"/>
  <c r="C14" i="445"/>
  <c r="H14" i="445" s="1"/>
  <c r="C13" i="445"/>
  <c r="H13" i="445" s="1"/>
  <c r="C12" i="445"/>
  <c r="H12" i="445" s="1"/>
  <c r="C11" i="445"/>
  <c r="H11" i="445" s="1"/>
  <c r="C10" i="445"/>
  <c r="H10" i="445" s="1"/>
  <c r="C7" i="445"/>
  <c r="G4" i="445"/>
  <c r="E4" i="445"/>
  <c r="E19" i="446"/>
  <c r="H36" i="445"/>
  <c r="D46" i="444"/>
  <c r="C45" i="444"/>
  <c r="C44" i="444"/>
  <c r="H44" i="444" s="1"/>
  <c r="C43" i="444"/>
  <c r="H43" i="444" s="1"/>
  <c r="C42" i="444"/>
  <c r="H42" i="444" s="1"/>
  <c r="D40" i="444"/>
  <c r="C39" i="444"/>
  <c r="C38" i="444"/>
  <c r="H38" i="444" s="1"/>
  <c r="C37" i="444"/>
  <c r="C36" i="444"/>
  <c r="C35" i="444"/>
  <c r="H35" i="444" s="1"/>
  <c r="C34" i="444"/>
  <c r="H34" i="444" s="1"/>
  <c r="D32" i="444"/>
  <c r="C31" i="444"/>
  <c r="H31" i="444" s="1"/>
  <c r="C30" i="444"/>
  <c r="H30" i="444" s="1"/>
  <c r="C29" i="444"/>
  <c r="H29" i="444" s="1"/>
  <c r="C28" i="444"/>
  <c r="H28" i="444" s="1"/>
  <c r="C27" i="444"/>
  <c r="H27" i="444" s="1"/>
  <c r="C26" i="444"/>
  <c r="H26" i="444" s="1"/>
  <c r="D24" i="444"/>
  <c r="C23" i="444"/>
  <c r="H23" i="444" s="1"/>
  <c r="C22" i="444"/>
  <c r="C21" i="444"/>
  <c r="D19" i="444"/>
  <c r="C18" i="444"/>
  <c r="H18" i="444" s="1"/>
  <c r="C17" i="444"/>
  <c r="H17" i="444" s="1"/>
  <c r="C16" i="444"/>
  <c r="H16" i="444" s="1"/>
  <c r="C15" i="444"/>
  <c r="H15" i="444" s="1"/>
  <c r="C14" i="444"/>
  <c r="C13" i="444"/>
  <c r="H13" i="444" s="1"/>
  <c r="C12" i="444"/>
  <c r="H12" i="444" s="1"/>
  <c r="C11" i="444"/>
  <c r="C10" i="444"/>
  <c r="H10" i="444" s="1"/>
  <c r="C7" i="444"/>
  <c r="G4" i="444"/>
  <c r="E4" i="444"/>
  <c r="H14" i="444"/>
  <c r="H36" i="444"/>
  <c r="H37" i="444"/>
  <c r="D34" i="443"/>
  <c r="D40" i="443" s="1"/>
  <c r="D26" i="443"/>
  <c r="D32" i="443" s="1"/>
  <c r="D42" i="443"/>
  <c r="C45" i="443"/>
  <c r="C44" i="443"/>
  <c r="H44" i="443" s="1"/>
  <c r="C43" i="443"/>
  <c r="H43" i="443" s="1"/>
  <c r="C42" i="443"/>
  <c r="C39" i="443"/>
  <c r="H39" i="443" s="1"/>
  <c r="C38" i="443"/>
  <c r="H38" i="443" s="1"/>
  <c r="C37" i="443"/>
  <c r="H37" i="443" s="1"/>
  <c r="C36" i="443"/>
  <c r="C35" i="443"/>
  <c r="H35" i="443" s="1"/>
  <c r="C34" i="443"/>
  <c r="C31" i="443"/>
  <c r="C30" i="443"/>
  <c r="H30" i="443" s="1"/>
  <c r="C29" i="443"/>
  <c r="H29" i="443" s="1"/>
  <c r="C28" i="443"/>
  <c r="H28" i="443" s="1"/>
  <c r="C27" i="443"/>
  <c r="H27" i="443" s="1"/>
  <c r="C26" i="443"/>
  <c r="D24" i="443"/>
  <c r="C23" i="443"/>
  <c r="H23" i="443" s="1"/>
  <c r="C22" i="443"/>
  <c r="H22" i="443" s="1"/>
  <c r="C21" i="443"/>
  <c r="H21" i="443" s="1"/>
  <c r="D19" i="443"/>
  <c r="C18" i="443"/>
  <c r="C17" i="443"/>
  <c r="C16" i="443"/>
  <c r="C15" i="443"/>
  <c r="H15" i="443" s="1"/>
  <c r="C14" i="443"/>
  <c r="C13" i="443"/>
  <c r="H13" i="443" s="1"/>
  <c r="C12" i="443"/>
  <c r="H12" i="443" s="1"/>
  <c r="C11" i="443"/>
  <c r="H11" i="443" s="1"/>
  <c r="C10" i="443"/>
  <c r="H10" i="443" s="1"/>
  <c r="C7" i="443"/>
  <c r="G4" i="443"/>
  <c r="E4" i="443"/>
  <c r="H14" i="443"/>
  <c r="D26" i="442"/>
  <c r="D46" i="442"/>
  <c r="C45" i="442"/>
  <c r="C44" i="442"/>
  <c r="H44" i="442" s="1"/>
  <c r="C43" i="442"/>
  <c r="H43" i="442" s="1"/>
  <c r="C42" i="442"/>
  <c r="H42" i="442" s="1"/>
  <c r="D40" i="442"/>
  <c r="C39" i="442"/>
  <c r="H39" i="442" s="1"/>
  <c r="C38" i="442"/>
  <c r="H38" i="442" s="1"/>
  <c r="C37" i="442"/>
  <c r="H37" i="442" s="1"/>
  <c r="C36" i="442"/>
  <c r="H36" i="442" s="1"/>
  <c r="C35" i="442"/>
  <c r="H35" i="442" s="1"/>
  <c r="C34" i="442"/>
  <c r="H34" i="442" s="1"/>
  <c r="C31" i="442"/>
  <c r="H31" i="442" s="1"/>
  <c r="C30" i="442"/>
  <c r="C29" i="442"/>
  <c r="C28" i="442"/>
  <c r="C27" i="442"/>
  <c r="H27" i="442" s="1"/>
  <c r="C26" i="442"/>
  <c r="D24" i="442"/>
  <c r="C23" i="442"/>
  <c r="C22" i="442"/>
  <c r="H22" i="442" s="1"/>
  <c r="C21" i="442"/>
  <c r="H21" i="442" s="1"/>
  <c r="D19" i="442"/>
  <c r="C18" i="442"/>
  <c r="H18" i="442" s="1"/>
  <c r="C17" i="442"/>
  <c r="H17" i="442" s="1"/>
  <c r="C16" i="442"/>
  <c r="H16" i="442" s="1"/>
  <c r="C15" i="442"/>
  <c r="C14" i="442"/>
  <c r="C13" i="442"/>
  <c r="H13" i="442" s="1"/>
  <c r="C12" i="442"/>
  <c r="H12" i="442" s="1"/>
  <c r="C11" i="442"/>
  <c r="H11" i="442" s="1"/>
  <c r="C10" i="442"/>
  <c r="H10" i="442" s="1"/>
  <c r="C7" i="442"/>
  <c r="G4" i="442"/>
  <c r="E4" i="442"/>
  <c r="H14" i="442"/>
  <c r="H23" i="442"/>
  <c r="D26" i="440"/>
  <c r="D32" i="440" s="1"/>
  <c r="D34" i="440"/>
  <c r="D40" i="440" s="1"/>
  <c r="D42" i="440"/>
  <c r="D46" i="440" s="1"/>
  <c r="C45" i="440"/>
  <c r="C44" i="440"/>
  <c r="H44" i="440" s="1"/>
  <c r="C43" i="440"/>
  <c r="H43" i="440" s="1"/>
  <c r="C42" i="440"/>
  <c r="H42" i="440" s="1"/>
  <c r="C39" i="440"/>
  <c r="H39" i="440" s="1"/>
  <c r="C38" i="440"/>
  <c r="H38" i="440" s="1"/>
  <c r="C37" i="440"/>
  <c r="H37" i="440" s="1"/>
  <c r="C36" i="440"/>
  <c r="H36" i="440" s="1"/>
  <c r="C35" i="440"/>
  <c r="H35" i="440" s="1"/>
  <c r="C34" i="440"/>
  <c r="C31" i="440"/>
  <c r="H31" i="440" s="1"/>
  <c r="C30" i="440"/>
  <c r="H30" i="440" s="1"/>
  <c r="C29" i="440"/>
  <c r="H29" i="440" s="1"/>
  <c r="C28" i="440"/>
  <c r="H28" i="440" s="1"/>
  <c r="C27" i="440"/>
  <c r="H27" i="440" s="1"/>
  <c r="C26" i="440"/>
  <c r="D24" i="440"/>
  <c r="C23" i="440"/>
  <c r="H23" i="440" s="1"/>
  <c r="C22" i="440"/>
  <c r="H22" i="440" s="1"/>
  <c r="C21" i="440"/>
  <c r="H21" i="440" s="1"/>
  <c r="D19" i="440"/>
  <c r="E19" i="440" s="1"/>
  <c r="C18" i="440"/>
  <c r="H18" i="440" s="1"/>
  <c r="C17" i="440"/>
  <c r="H17" i="440" s="1"/>
  <c r="C16" i="440"/>
  <c r="C15" i="440"/>
  <c r="H15" i="440" s="1"/>
  <c r="C14" i="440"/>
  <c r="H14" i="440" s="1"/>
  <c r="C13" i="440"/>
  <c r="H13" i="440" s="1"/>
  <c r="C12" i="440"/>
  <c r="H12" i="440" s="1"/>
  <c r="C11" i="440"/>
  <c r="H11" i="440" s="1"/>
  <c r="C10" i="440"/>
  <c r="H10" i="440" s="1"/>
  <c r="C7" i="440"/>
  <c r="G4" i="440"/>
  <c r="E4" i="440"/>
  <c r="H16" i="440"/>
  <c r="C45" i="439"/>
  <c r="C44" i="439"/>
  <c r="C43" i="439"/>
  <c r="H43" i="439" s="1"/>
  <c r="C42" i="439"/>
  <c r="H42" i="439" s="1"/>
  <c r="D40" i="439"/>
  <c r="C39" i="439"/>
  <c r="H39" i="439" s="1"/>
  <c r="C38" i="439"/>
  <c r="H38" i="439" s="1"/>
  <c r="C37" i="439"/>
  <c r="H37" i="439" s="1"/>
  <c r="C36" i="439"/>
  <c r="H36" i="439" s="1"/>
  <c r="C35" i="439"/>
  <c r="H35" i="439" s="1"/>
  <c r="C34" i="439"/>
  <c r="H34" i="439" s="1"/>
  <c r="C31" i="439"/>
  <c r="H31" i="439" s="1"/>
  <c r="C30" i="439"/>
  <c r="H30" i="439" s="1"/>
  <c r="C29" i="439"/>
  <c r="H29" i="439" s="1"/>
  <c r="C28" i="439"/>
  <c r="C27" i="439"/>
  <c r="C26" i="439"/>
  <c r="D24" i="439"/>
  <c r="C23" i="439"/>
  <c r="H23" i="439" s="1"/>
  <c r="C22" i="439"/>
  <c r="H22" i="439" s="1"/>
  <c r="C21" i="439"/>
  <c r="H21" i="439" s="1"/>
  <c r="D19" i="439"/>
  <c r="C18" i="439"/>
  <c r="H18" i="439" s="1"/>
  <c r="C17" i="439"/>
  <c r="H17" i="439" s="1"/>
  <c r="C16" i="439"/>
  <c r="H16" i="439" s="1"/>
  <c r="C15" i="439"/>
  <c r="H15" i="439" s="1"/>
  <c r="C14" i="439"/>
  <c r="C13" i="439"/>
  <c r="C12" i="439"/>
  <c r="H12" i="439" s="1"/>
  <c r="C11" i="439"/>
  <c r="H11" i="439" s="1"/>
  <c r="C10" i="439"/>
  <c r="H10" i="439" s="1"/>
  <c r="C7" i="439"/>
  <c r="G4" i="439"/>
  <c r="E4" i="439"/>
  <c r="D34" i="438"/>
  <c r="D40" i="438" s="1"/>
  <c r="D42" i="438"/>
  <c r="D46" i="438" s="1"/>
  <c r="C45" i="438"/>
  <c r="C44" i="438"/>
  <c r="C43" i="438"/>
  <c r="C42" i="438"/>
  <c r="C39" i="438"/>
  <c r="C38" i="438"/>
  <c r="H38" i="438" s="1"/>
  <c r="C37" i="438"/>
  <c r="H37" i="438" s="1"/>
  <c r="C36" i="438"/>
  <c r="H36" i="438" s="1"/>
  <c r="C35" i="438"/>
  <c r="H35" i="438" s="1"/>
  <c r="C34" i="438"/>
  <c r="C31" i="438"/>
  <c r="H31" i="438" s="1"/>
  <c r="C30" i="438"/>
  <c r="H30" i="438" s="1"/>
  <c r="C29" i="438"/>
  <c r="H29" i="438" s="1"/>
  <c r="C28" i="438"/>
  <c r="H28" i="438" s="1"/>
  <c r="C27" i="438"/>
  <c r="H27" i="438" s="1"/>
  <c r="C26" i="438"/>
  <c r="D24" i="438"/>
  <c r="C23" i="438"/>
  <c r="C22" i="438"/>
  <c r="C21" i="438"/>
  <c r="D19" i="438"/>
  <c r="C18" i="438"/>
  <c r="H18" i="438" s="1"/>
  <c r="C17" i="438"/>
  <c r="H17" i="438" s="1"/>
  <c r="C16" i="438"/>
  <c r="H16" i="438" s="1"/>
  <c r="C15" i="438"/>
  <c r="H15" i="438" s="1"/>
  <c r="C14" i="438"/>
  <c r="H14" i="438" s="1"/>
  <c r="C13" i="438"/>
  <c r="H13" i="438" s="1"/>
  <c r="C12" i="438"/>
  <c r="H12" i="438" s="1"/>
  <c r="C11" i="438"/>
  <c r="C10" i="438"/>
  <c r="H10" i="438" s="1"/>
  <c r="C7" i="438"/>
  <c r="G4" i="438"/>
  <c r="E4" i="438"/>
  <c r="D32" i="439"/>
  <c r="D46" i="439"/>
  <c r="D32" i="438"/>
  <c r="D34" i="437"/>
  <c r="D26" i="437"/>
  <c r="D42" i="437"/>
  <c r="C45" i="437"/>
  <c r="C44" i="437"/>
  <c r="H44" i="437" s="1"/>
  <c r="C43" i="437"/>
  <c r="H43" i="437" s="1"/>
  <c r="C42" i="437"/>
  <c r="C39" i="437"/>
  <c r="H39" i="437" s="1"/>
  <c r="C38" i="437"/>
  <c r="H38" i="437" s="1"/>
  <c r="C37" i="437"/>
  <c r="H37" i="437" s="1"/>
  <c r="C36" i="437"/>
  <c r="C35" i="437"/>
  <c r="H35" i="437" s="1"/>
  <c r="C34" i="437"/>
  <c r="C31" i="437"/>
  <c r="H31" i="437" s="1"/>
  <c r="C30" i="437"/>
  <c r="H30" i="437" s="1"/>
  <c r="C29" i="437"/>
  <c r="H29" i="437" s="1"/>
  <c r="C28" i="437"/>
  <c r="H28" i="437" s="1"/>
  <c r="C27" i="437"/>
  <c r="H27" i="437" s="1"/>
  <c r="C26" i="437"/>
  <c r="D24" i="437"/>
  <c r="C23" i="437"/>
  <c r="H23" i="437" s="1"/>
  <c r="C22" i="437"/>
  <c r="H22" i="437" s="1"/>
  <c r="C21" i="437"/>
  <c r="H21" i="437" s="1"/>
  <c r="D19" i="437"/>
  <c r="E15" i="437" s="1"/>
  <c r="C18" i="437"/>
  <c r="H18" i="437" s="1"/>
  <c r="C17" i="437"/>
  <c r="H17" i="437" s="1"/>
  <c r="C16" i="437"/>
  <c r="H16" i="437" s="1"/>
  <c r="C15" i="437"/>
  <c r="H15" i="437" s="1"/>
  <c r="C14" i="437"/>
  <c r="H14" i="437" s="1"/>
  <c r="C13" i="437"/>
  <c r="H13" i="437" s="1"/>
  <c r="C12" i="437"/>
  <c r="H12" i="437" s="1"/>
  <c r="C11" i="437"/>
  <c r="H11" i="437" s="1"/>
  <c r="C10" i="437"/>
  <c r="H10" i="437" s="1"/>
  <c r="C7" i="437"/>
  <c r="G4" i="437"/>
  <c r="E4" i="437"/>
  <c r="C45" i="436"/>
  <c r="C44" i="436"/>
  <c r="H44" i="436" s="1"/>
  <c r="C43" i="436"/>
  <c r="H43" i="436" s="1"/>
  <c r="C42" i="436"/>
  <c r="H42" i="436" s="1"/>
  <c r="C39" i="436"/>
  <c r="H39" i="436" s="1"/>
  <c r="C38" i="436"/>
  <c r="H38" i="436" s="1"/>
  <c r="C37" i="436"/>
  <c r="H37" i="436" s="1"/>
  <c r="C36" i="436"/>
  <c r="H36" i="436" s="1"/>
  <c r="C35" i="436"/>
  <c r="H35" i="436" s="1"/>
  <c r="C34" i="436"/>
  <c r="D32" i="436"/>
  <c r="C31" i="436"/>
  <c r="H31" i="436" s="1"/>
  <c r="C30" i="436"/>
  <c r="H30" i="436" s="1"/>
  <c r="C29" i="436"/>
  <c r="H29" i="436" s="1"/>
  <c r="C28" i="436"/>
  <c r="H28" i="436" s="1"/>
  <c r="C27" i="436"/>
  <c r="H27" i="436" s="1"/>
  <c r="C26" i="436"/>
  <c r="H26" i="436" s="1"/>
  <c r="D24" i="436"/>
  <c r="C23" i="436"/>
  <c r="H23" i="436" s="1"/>
  <c r="C22" i="436"/>
  <c r="H22" i="436" s="1"/>
  <c r="C21" i="436"/>
  <c r="H21" i="436" s="1"/>
  <c r="D19" i="436"/>
  <c r="C18" i="436"/>
  <c r="H18" i="436" s="1"/>
  <c r="C17" i="436"/>
  <c r="H17" i="436" s="1"/>
  <c r="C16" i="436"/>
  <c r="H16" i="436" s="1"/>
  <c r="C15" i="436"/>
  <c r="H15" i="436" s="1"/>
  <c r="C14" i="436"/>
  <c r="C13" i="436"/>
  <c r="C12" i="436"/>
  <c r="H12" i="436" s="1"/>
  <c r="C11" i="436"/>
  <c r="H11" i="436" s="1"/>
  <c r="C10" i="436"/>
  <c r="H10" i="436" s="1"/>
  <c r="C7" i="436"/>
  <c r="G4" i="436"/>
  <c r="E4" i="436"/>
  <c r="D42" i="434"/>
  <c r="E19" i="437"/>
  <c r="H36" i="437"/>
  <c r="H34" i="436"/>
  <c r="D40" i="436"/>
  <c r="D46" i="436"/>
  <c r="C45" i="435"/>
  <c r="C44" i="435"/>
  <c r="H44" i="435" s="1"/>
  <c r="C43" i="435"/>
  <c r="H43" i="435" s="1"/>
  <c r="C42" i="435"/>
  <c r="H42" i="435" s="1"/>
  <c r="D40" i="435"/>
  <c r="C39" i="435"/>
  <c r="H39" i="435" s="1"/>
  <c r="C38" i="435"/>
  <c r="C37" i="435"/>
  <c r="C36" i="435"/>
  <c r="H36" i="435" s="1"/>
  <c r="C35" i="435"/>
  <c r="H35" i="435" s="1"/>
  <c r="C34" i="435"/>
  <c r="H34" i="435" s="1"/>
  <c r="C31" i="435"/>
  <c r="C30" i="435"/>
  <c r="C29" i="435"/>
  <c r="H29" i="435" s="1"/>
  <c r="C28" i="435"/>
  <c r="H28" i="435" s="1"/>
  <c r="C27" i="435"/>
  <c r="C26" i="435"/>
  <c r="H26" i="435" s="1"/>
  <c r="D24" i="435"/>
  <c r="C23" i="435"/>
  <c r="H23" i="435" s="1"/>
  <c r="C22" i="435"/>
  <c r="H22" i="435" s="1"/>
  <c r="C21" i="435"/>
  <c r="D19" i="435"/>
  <c r="C18" i="435"/>
  <c r="C17" i="435"/>
  <c r="H17" i="435" s="1"/>
  <c r="C16" i="435"/>
  <c r="C15" i="435"/>
  <c r="H15" i="435" s="1"/>
  <c r="C14" i="435"/>
  <c r="H14" i="435" s="1"/>
  <c r="C13" i="435"/>
  <c r="H13" i="435" s="1"/>
  <c r="C12" i="435"/>
  <c r="C11" i="435"/>
  <c r="H11" i="435" s="1"/>
  <c r="C10" i="435"/>
  <c r="H10" i="435" s="1"/>
  <c r="C7" i="435"/>
  <c r="G4" i="435"/>
  <c r="E4" i="435"/>
  <c r="D34" i="434"/>
  <c r="C45" i="434"/>
  <c r="C44" i="434"/>
  <c r="H44" i="434" s="1"/>
  <c r="C43" i="434"/>
  <c r="H43" i="434" s="1"/>
  <c r="C42" i="434"/>
  <c r="H42" i="434" s="1"/>
  <c r="C39" i="434"/>
  <c r="H39" i="434" s="1"/>
  <c r="C38" i="434"/>
  <c r="H38" i="434" s="1"/>
  <c r="C37" i="434"/>
  <c r="H37" i="434" s="1"/>
  <c r="C36" i="434"/>
  <c r="H36" i="434" s="1"/>
  <c r="C35" i="434"/>
  <c r="H35" i="434" s="1"/>
  <c r="C34" i="434"/>
  <c r="C31" i="434"/>
  <c r="H31" i="434" s="1"/>
  <c r="C30" i="434"/>
  <c r="H30" i="434" s="1"/>
  <c r="C29" i="434"/>
  <c r="C28" i="434"/>
  <c r="C27" i="434"/>
  <c r="H27" i="434" s="1"/>
  <c r="C26" i="434"/>
  <c r="H26" i="434" s="1"/>
  <c r="D24" i="434"/>
  <c r="C23" i="434"/>
  <c r="H23" i="434" s="1"/>
  <c r="C22" i="434"/>
  <c r="H22" i="434" s="1"/>
  <c r="C21" i="434"/>
  <c r="H21" i="434" s="1"/>
  <c r="D19" i="434"/>
  <c r="E13" i="434" s="1"/>
  <c r="C18" i="434"/>
  <c r="C17" i="434"/>
  <c r="H17" i="434" s="1"/>
  <c r="C16" i="434"/>
  <c r="H16" i="434" s="1"/>
  <c r="C15" i="434"/>
  <c r="C14" i="434"/>
  <c r="H14" i="434" s="1"/>
  <c r="C13" i="434"/>
  <c r="H13" i="434" s="1"/>
  <c r="C12" i="434"/>
  <c r="H12" i="434" s="1"/>
  <c r="C11" i="434"/>
  <c r="H11" i="434" s="1"/>
  <c r="C10" i="434"/>
  <c r="H10" i="434" s="1"/>
  <c r="C7" i="434"/>
  <c r="G4" i="434"/>
  <c r="E4" i="434"/>
  <c r="D26" i="433"/>
  <c r="D34" i="433"/>
  <c r="D42" i="433"/>
  <c r="C45" i="433"/>
  <c r="C44" i="433"/>
  <c r="H44" i="433" s="1"/>
  <c r="C43" i="433"/>
  <c r="H43" i="433" s="1"/>
  <c r="C42" i="433"/>
  <c r="C39" i="433"/>
  <c r="H39" i="433" s="1"/>
  <c r="C38" i="433"/>
  <c r="H38" i="433" s="1"/>
  <c r="C37" i="433"/>
  <c r="H37" i="433" s="1"/>
  <c r="C36" i="433"/>
  <c r="H36" i="433" s="1"/>
  <c r="C35" i="433"/>
  <c r="H35" i="433" s="1"/>
  <c r="C34" i="433"/>
  <c r="C31" i="433"/>
  <c r="H31" i="433" s="1"/>
  <c r="C30" i="433"/>
  <c r="H30" i="433" s="1"/>
  <c r="C29" i="433"/>
  <c r="H29" i="433" s="1"/>
  <c r="C28" i="433"/>
  <c r="H28" i="433" s="1"/>
  <c r="C27" i="433"/>
  <c r="H27" i="433" s="1"/>
  <c r="C26" i="433"/>
  <c r="D24" i="433"/>
  <c r="C23" i="433"/>
  <c r="H23" i="433" s="1"/>
  <c r="C22" i="433"/>
  <c r="H22" i="433" s="1"/>
  <c r="C21" i="433"/>
  <c r="H21" i="433" s="1"/>
  <c r="D19" i="433"/>
  <c r="C18" i="433"/>
  <c r="H18" i="433" s="1"/>
  <c r="C17" i="433"/>
  <c r="H17" i="433" s="1"/>
  <c r="C16" i="433"/>
  <c r="H16" i="433" s="1"/>
  <c r="C15" i="433"/>
  <c r="H15" i="433" s="1"/>
  <c r="C14" i="433"/>
  <c r="H14" i="433" s="1"/>
  <c r="C13" i="433"/>
  <c r="H13" i="433" s="1"/>
  <c r="C12" i="433"/>
  <c r="H12" i="433" s="1"/>
  <c r="C11" i="433"/>
  <c r="H11" i="433" s="1"/>
  <c r="C10" i="433"/>
  <c r="H10" i="433" s="1"/>
  <c r="C7" i="433"/>
  <c r="G4" i="433"/>
  <c r="E4" i="433"/>
  <c r="H12" i="435"/>
  <c r="H16" i="435"/>
  <c r="D32" i="435"/>
  <c r="H27" i="435"/>
  <c r="H30" i="435"/>
  <c r="H31" i="435"/>
  <c r="D46" i="435"/>
  <c r="H15" i="434"/>
  <c r="H18" i="434"/>
  <c r="D32" i="434"/>
  <c r="D46" i="434"/>
  <c r="D34" i="432"/>
  <c r="D40" i="432" s="1"/>
  <c r="D42" i="432"/>
  <c r="D46" i="432" s="1"/>
  <c r="C45" i="432"/>
  <c r="C44" i="432"/>
  <c r="C43" i="432"/>
  <c r="H43" i="432" s="1"/>
  <c r="C42" i="432"/>
  <c r="C39" i="432"/>
  <c r="H39" i="432" s="1"/>
  <c r="C38" i="432"/>
  <c r="H38" i="432" s="1"/>
  <c r="C37" i="432"/>
  <c r="H37" i="432" s="1"/>
  <c r="C36" i="432"/>
  <c r="H36" i="432" s="1"/>
  <c r="C35" i="432"/>
  <c r="H35" i="432" s="1"/>
  <c r="C34" i="432"/>
  <c r="D32" i="432"/>
  <c r="C31" i="432"/>
  <c r="H31" i="432" s="1"/>
  <c r="C30" i="432"/>
  <c r="H30" i="432" s="1"/>
  <c r="C29" i="432"/>
  <c r="H29" i="432" s="1"/>
  <c r="C28" i="432"/>
  <c r="H28" i="432" s="1"/>
  <c r="C27" i="432"/>
  <c r="H27" i="432" s="1"/>
  <c r="C26" i="432"/>
  <c r="D24" i="432"/>
  <c r="C23" i="432"/>
  <c r="H23" i="432" s="1"/>
  <c r="C22" i="432"/>
  <c r="H22" i="432" s="1"/>
  <c r="C21" i="432"/>
  <c r="H21" i="432" s="1"/>
  <c r="D19" i="432"/>
  <c r="E12" i="432" s="1"/>
  <c r="C18" i="432"/>
  <c r="H18" i="432" s="1"/>
  <c r="C17" i="432"/>
  <c r="H17" i="432" s="1"/>
  <c r="C16" i="432"/>
  <c r="H16" i="432" s="1"/>
  <c r="C15" i="432"/>
  <c r="H15" i="432" s="1"/>
  <c r="C14" i="432"/>
  <c r="H14" i="432" s="1"/>
  <c r="C13" i="432"/>
  <c r="H13" i="432" s="1"/>
  <c r="C12" i="432"/>
  <c r="C11" i="432"/>
  <c r="C10" i="432"/>
  <c r="H10" i="432" s="1"/>
  <c r="C7" i="432"/>
  <c r="G4" i="432"/>
  <c r="E4" i="432"/>
  <c r="D34" i="431"/>
  <c r="D26" i="431"/>
  <c r="D42" i="431"/>
  <c r="C45" i="431"/>
  <c r="C44" i="431"/>
  <c r="H44" i="431" s="1"/>
  <c r="C43" i="431"/>
  <c r="C42" i="431"/>
  <c r="C39" i="431"/>
  <c r="C38" i="431"/>
  <c r="C37" i="431"/>
  <c r="H37" i="431" s="1"/>
  <c r="C36" i="431"/>
  <c r="H36" i="431" s="1"/>
  <c r="C35" i="431"/>
  <c r="H35" i="431" s="1"/>
  <c r="C34" i="431"/>
  <c r="C31" i="431"/>
  <c r="H31" i="431" s="1"/>
  <c r="C30" i="431"/>
  <c r="H30" i="431" s="1"/>
  <c r="C29" i="431"/>
  <c r="H29" i="431" s="1"/>
  <c r="C28" i="431"/>
  <c r="H28" i="431" s="1"/>
  <c r="C27" i="431"/>
  <c r="H27" i="431" s="1"/>
  <c r="C26" i="431"/>
  <c r="D24" i="431"/>
  <c r="C23" i="431"/>
  <c r="C22" i="431"/>
  <c r="C21" i="431"/>
  <c r="D19" i="431"/>
  <c r="C18" i="431"/>
  <c r="C17" i="431"/>
  <c r="H17" i="431" s="1"/>
  <c r="C16" i="431"/>
  <c r="H16" i="431" s="1"/>
  <c r="C15" i="431"/>
  <c r="H15" i="431" s="1"/>
  <c r="C14" i="431"/>
  <c r="H14" i="431" s="1"/>
  <c r="C13" i="431"/>
  <c r="H13" i="431" s="1"/>
  <c r="C12" i="431"/>
  <c r="H12" i="431" s="1"/>
  <c r="C11" i="431"/>
  <c r="H11" i="431" s="1"/>
  <c r="C10" i="431"/>
  <c r="H10" i="431" s="1"/>
  <c r="C7" i="431"/>
  <c r="G4" i="431"/>
  <c r="E4" i="431"/>
  <c r="H18" i="431"/>
  <c r="D26" i="430"/>
  <c r="D34" i="430"/>
  <c r="D42" i="430"/>
  <c r="D46" i="430" s="1"/>
  <c r="C45" i="430"/>
  <c r="C44" i="430"/>
  <c r="H44" i="430" s="1"/>
  <c r="C43" i="430"/>
  <c r="H43" i="430" s="1"/>
  <c r="C42" i="430"/>
  <c r="C39" i="430"/>
  <c r="H39" i="430" s="1"/>
  <c r="C38" i="430"/>
  <c r="H38" i="430" s="1"/>
  <c r="C37" i="430"/>
  <c r="H37" i="430" s="1"/>
  <c r="C36" i="430"/>
  <c r="H36" i="430" s="1"/>
  <c r="C35" i="430"/>
  <c r="H35" i="430" s="1"/>
  <c r="C34" i="430"/>
  <c r="C31" i="430"/>
  <c r="H31" i="430" s="1"/>
  <c r="C30" i="430"/>
  <c r="H30" i="430" s="1"/>
  <c r="C29" i="430"/>
  <c r="H29" i="430" s="1"/>
  <c r="C28" i="430"/>
  <c r="H28" i="430" s="1"/>
  <c r="C27" i="430"/>
  <c r="H27" i="430" s="1"/>
  <c r="C26" i="430"/>
  <c r="D24" i="430"/>
  <c r="C23" i="430"/>
  <c r="H23" i="430" s="1"/>
  <c r="C22" i="430"/>
  <c r="H22" i="430" s="1"/>
  <c r="C21" i="430"/>
  <c r="H21" i="430" s="1"/>
  <c r="D19" i="430"/>
  <c r="E11" i="430" s="1"/>
  <c r="C18" i="430"/>
  <c r="H18" i="430" s="1"/>
  <c r="C17" i="430"/>
  <c r="H17" i="430" s="1"/>
  <c r="C16" i="430"/>
  <c r="H16" i="430" s="1"/>
  <c r="C15" i="430"/>
  <c r="H15" i="430" s="1"/>
  <c r="C14" i="430"/>
  <c r="H14" i="430" s="1"/>
  <c r="C13" i="430"/>
  <c r="H13" i="430" s="1"/>
  <c r="C12" i="430"/>
  <c r="H12" i="430" s="1"/>
  <c r="C11" i="430"/>
  <c r="C10" i="430"/>
  <c r="C7" i="430"/>
  <c r="G4" i="430"/>
  <c r="E4" i="430"/>
  <c r="D27" i="429"/>
  <c r="D43" i="429"/>
  <c r="D46" i="429" s="1"/>
  <c r="D31" i="429"/>
  <c r="D26" i="429"/>
  <c r="C45" i="429"/>
  <c r="C44" i="429"/>
  <c r="H44" i="429" s="1"/>
  <c r="C43" i="429"/>
  <c r="C42" i="429"/>
  <c r="H42" i="429" s="1"/>
  <c r="D40" i="429"/>
  <c r="C39" i="429"/>
  <c r="H39" i="429" s="1"/>
  <c r="C38" i="429"/>
  <c r="H38" i="429" s="1"/>
  <c r="C37" i="429"/>
  <c r="H37" i="429" s="1"/>
  <c r="C36" i="429"/>
  <c r="H36" i="429" s="1"/>
  <c r="C35" i="429"/>
  <c r="H35" i="429" s="1"/>
  <c r="C34" i="429"/>
  <c r="H34" i="429" s="1"/>
  <c r="C31" i="429"/>
  <c r="C30" i="429"/>
  <c r="H30" i="429" s="1"/>
  <c r="C29" i="429"/>
  <c r="H29" i="429" s="1"/>
  <c r="C28" i="429"/>
  <c r="H28" i="429" s="1"/>
  <c r="C27" i="429"/>
  <c r="C26" i="429"/>
  <c r="D24" i="429"/>
  <c r="C23" i="429"/>
  <c r="H23" i="429" s="1"/>
  <c r="C22" i="429"/>
  <c r="H22" i="429" s="1"/>
  <c r="C21" i="429"/>
  <c r="H21" i="429" s="1"/>
  <c r="D19" i="429"/>
  <c r="E19" i="429" s="1"/>
  <c r="C18" i="429"/>
  <c r="H18" i="429" s="1"/>
  <c r="C17" i="429"/>
  <c r="H17" i="429" s="1"/>
  <c r="C16" i="429"/>
  <c r="H16" i="429" s="1"/>
  <c r="C15" i="429"/>
  <c r="H15" i="429" s="1"/>
  <c r="C14" i="429"/>
  <c r="C13" i="429"/>
  <c r="H13" i="429" s="1"/>
  <c r="C12" i="429"/>
  <c r="H12" i="429" s="1"/>
  <c r="C11" i="429"/>
  <c r="H11" i="429" s="1"/>
  <c r="C10" i="429"/>
  <c r="H10" i="429" s="1"/>
  <c r="C7" i="429"/>
  <c r="G4" i="429"/>
  <c r="E4" i="429"/>
  <c r="H14" i="429"/>
  <c r="D34" i="428"/>
  <c r="D40" i="428" s="1"/>
  <c r="D26" i="428"/>
  <c r="D42" i="428"/>
  <c r="C45" i="428"/>
  <c r="C44" i="428"/>
  <c r="C43" i="428"/>
  <c r="H43" i="428" s="1"/>
  <c r="C42" i="428"/>
  <c r="C39" i="428"/>
  <c r="H39" i="428" s="1"/>
  <c r="C38" i="428"/>
  <c r="H38" i="428" s="1"/>
  <c r="C37" i="428"/>
  <c r="H37" i="428" s="1"/>
  <c r="C36" i="428"/>
  <c r="H36" i="428" s="1"/>
  <c r="C35" i="428"/>
  <c r="H35" i="428" s="1"/>
  <c r="C34" i="428"/>
  <c r="C31" i="428"/>
  <c r="H31" i="428" s="1"/>
  <c r="C30" i="428"/>
  <c r="H30" i="428" s="1"/>
  <c r="C29" i="428"/>
  <c r="C28" i="428"/>
  <c r="C27" i="428"/>
  <c r="C26" i="428"/>
  <c r="D24" i="428"/>
  <c r="C23" i="428"/>
  <c r="H23" i="428" s="1"/>
  <c r="C22" i="428"/>
  <c r="H22" i="428" s="1"/>
  <c r="C21" i="428"/>
  <c r="H21" i="428" s="1"/>
  <c r="D19" i="428"/>
  <c r="E19" i="428" s="1"/>
  <c r="C18" i="428"/>
  <c r="H18" i="428" s="1"/>
  <c r="C17" i="428"/>
  <c r="C16" i="428"/>
  <c r="H16" i="428" s="1"/>
  <c r="C15" i="428"/>
  <c r="H15" i="428" s="1"/>
  <c r="C14" i="428"/>
  <c r="C13" i="428"/>
  <c r="H13" i="428" s="1"/>
  <c r="C12" i="428"/>
  <c r="H12" i="428" s="1"/>
  <c r="C11" i="428"/>
  <c r="H11" i="428" s="1"/>
  <c r="C10" i="428"/>
  <c r="H10" i="428" s="1"/>
  <c r="C7" i="428"/>
  <c r="G4" i="428"/>
  <c r="E4" i="428"/>
  <c r="H17" i="428"/>
  <c r="D34" i="427"/>
  <c r="D26" i="427"/>
  <c r="D32" i="427" s="1"/>
  <c r="D42" i="427"/>
  <c r="D46" i="427" s="1"/>
  <c r="C45" i="427"/>
  <c r="C44" i="427"/>
  <c r="H44" i="427" s="1"/>
  <c r="C43" i="427"/>
  <c r="H43" i="427" s="1"/>
  <c r="C42" i="427"/>
  <c r="C39" i="427"/>
  <c r="H39" i="427" s="1"/>
  <c r="C38" i="427"/>
  <c r="H38" i="427" s="1"/>
  <c r="C37" i="427"/>
  <c r="H37" i="427" s="1"/>
  <c r="C36" i="427"/>
  <c r="H36" i="427" s="1"/>
  <c r="C35" i="427"/>
  <c r="H35" i="427" s="1"/>
  <c r="C34" i="427"/>
  <c r="C31" i="427"/>
  <c r="H31" i="427" s="1"/>
  <c r="C30" i="427"/>
  <c r="H30" i="427" s="1"/>
  <c r="C29" i="427"/>
  <c r="H29" i="427" s="1"/>
  <c r="C28" i="427"/>
  <c r="C27" i="427"/>
  <c r="C26" i="427"/>
  <c r="D24" i="427"/>
  <c r="C23" i="427"/>
  <c r="C22" i="427"/>
  <c r="C21" i="427"/>
  <c r="H21" i="427" s="1"/>
  <c r="D19" i="427"/>
  <c r="E19" i="427" s="1"/>
  <c r="C18" i="427"/>
  <c r="H18" i="427" s="1"/>
  <c r="C17" i="427"/>
  <c r="H17" i="427" s="1"/>
  <c r="C16" i="427"/>
  <c r="H16" i="427" s="1"/>
  <c r="C15" i="427"/>
  <c r="H15" i="427" s="1"/>
  <c r="C14" i="427"/>
  <c r="C13" i="427"/>
  <c r="C12" i="427"/>
  <c r="C11" i="427"/>
  <c r="H11" i="427" s="1"/>
  <c r="C10" i="427"/>
  <c r="H10" i="427" s="1"/>
  <c r="C7" i="427"/>
  <c r="G4" i="427"/>
  <c r="E4" i="427"/>
  <c r="D34" i="426"/>
  <c r="D40" i="426" s="1"/>
  <c r="D42" i="426"/>
  <c r="D46" i="426" s="1"/>
  <c r="C45" i="426"/>
  <c r="C44" i="426"/>
  <c r="H44" i="426" s="1"/>
  <c r="C43" i="426"/>
  <c r="H43" i="426" s="1"/>
  <c r="C42" i="426"/>
  <c r="C39" i="426"/>
  <c r="C38" i="426"/>
  <c r="H38" i="426" s="1"/>
  <c r="C37" i="426"/>
  <c r="C36" i="426"/>
  <c r="H36" i="426" s="1"/>
  <c r="C35" i="426"/>
  <c r="H35" i="426" s="1"/>
  <c r="C34" i="426"/>
  <c r="D32" i="426"/>
  <c r="C31" i="426"/>
  <c r="H31" i="426" s="1"/>
  <c r="C30" i="426"/>
  <c r="H30" i="426" s="1"/>
  <c r="C29" i="426"/>
  <c r="H29" i="426" s="1"/>
  <c r="C28" i="426"/>
  <c r="H28" i="426" s="1"/>
  <c r="C27" i="426"/>
  <c r="H27" i="426" s="1"/>
  <c r="C26" i="426"/>
  <c r="H26" i="426" s="1"/>
  <c r="D24" i="426"/>
  <c r="C23" i="426"/>
  <c r="H23" i="426" s="1"/>
  <c r="C22" i="426"/>
  <c r="H22" i="426" s="1"/>
  <c r="C21" i="426"/>
  <c r="H21" i="426" s="1"/>
  <c r="D19" i="426"/>
  <c r="E18" i="426" s="1"/>
  <c r="C18" i="426"/>
  <c r="H18" i="426" s="1"/>
  <c r="C17" i="426"/>
  <c r="C16" i="426"/>
  <c r="H16" i="426" s="1"/>
  <c r="C15" i="426"/>
  <c r="H15" i="426" s="1"/>
  <c r="C14" i="426"/>
  <c r="H14" i="426" s="1"/>
  <c r="C13" i="426"/>
  <c r="H13" i="426" s="1"/>
  <c r="C12" i="426"/>
  <c r="H12" i="426" s="1"/>
  <c r="C11" i="426"/>
  <c r="H11" i="426" s="1"/>
  <c r="C10" i="426"/>
  <c r="H10" i="426" s="1"/>
  <c r="C7" i="426"/>
  <c r="G4" i="426"/>
  <c r="E4" i="426"/>
  <c r="H37" i="426"/>
  <c r="D46" i="425"/>
  <c r="C45" i="425"/>
  <c r="C44" i="425"/>
  <c r="H44" i="425" s="1"/>
  <c r="C43" i="425"/>
  <c r="H43" i="425" s="1"/>
  <c r="C42" i="425"/>
  <c r="H42" i="425" s="1"/>
  <c r="D40" i="425"/>
  <c r="C39" i="425"/>
  <c r="H39" i="425" s="1"/>
  <c r="C38" i="425"/>
  <c r="H38" i="425" s="1"/>
  <c r="C37" i="425"/>
  <c r="H37" i="425" s="1"/>
  <c r="C36" i="425"/>
  <c r="C35" i="425"/>
  <c r="C34" i="425"/>
  <c r="H34" i="425" s="1"/>
  <c r="D32" i="425"/>
  <c r="C31" i="425"/>
  <c r="H31" i="425" s="1"/>
  <c r="C30" i="425"/>
  <c r="H30" i="425" s="1"/>
  <c r="C29" i="425"/>
  <c r="H29" i="425" s="1"/>
  <c r="C28" i="425"/>
  <c r="H28" i="425" s="1"/>
  <c r="C27" i="425"/>
  <c r="H27" i="425" s="1"/>
  <c r="C26" i="425"/>
  <c r="H26" i="425" s="1"/>
  <c r="D24" i="425"/>
  <c r="C23" i="425"/>
  <c r="H23" i="425" s="1"/>
  <c r="C22" i="425"/>
  <c r="H22" i="425" s="1"/>
  <c r="C21" i="425"/>
  <c r="H21" i="425" s="1"/>
  <c r="D19" i="425"/>
  <c r="E18" i="425" s="1"/>
  <c r="C18" i="425"/>
  <c r="C17" i="425"/>
  <c r="H17" i="425" s="1"/>
  <c r="C16" i="425"/>
  <c r="H16" i="425" s="1"/>
  <c r="C15" i="425"/>
  <c r="H15" i="425" s="1"/>
  <c r="C14" i="425"/>
  <c r="H14" i="425" s="1"/>
  <c r="C13" i="425"/>
  <c r="H13" i="425" s="1"/>
  <c r="C12" i="425"/>
  <c r="H12" i="425" s="1"/>
  <c r="C11" i="425"/>
  <c r="H11" i="425" s="1"/>
  <c r="C10" i="425"/>
  <c r="H10" i="425" s="1"/>
  <c r="C7" i="425"/>
  <c r="G4" i="425"/>
  <c r="E4" i="425"/>
  <c r="D34" i="424"/>
  <c r="D40" i="424" s="1"/>
  <c r="D42" i="424"/>
  <c r="D46" i="424" s="1"/>
  <c r="C45" i="424"/>
  <c r="C44" i="424"/>
  <c r="H44" i="424" s="1"/>
  <c r="C43" i="424"/>
  <c r="H43" i="424" s="1"/>
  <c r="C42" i="424"/>
  <c r="H42" i="424" s="1"/>
  <c r="C39" i="424"/>
  <c r="H39" i="424" s="1"/>
  <c r="C38" i="424"/>
  <c r="C37" i="424"/>
  <c r="H37" i="424" s="1"/>
  <c r="C36" i="424"/>
  <c r="H36" i="424" s="1"/>
  <c r="C35" i="424"/>
  <c r="H35" i="424" s="1"/>
  <c r="C34" i="424"/>
  <c r="C31" i="424"/>
  <c r="H31" i="424" s="1"/>
  <c r="C30" i="424"/>
  <c r="H30" i="424" s="1"/>
  <c r="C29" i="424"/>
  <c r="H29" i="424" s="1"/>
  <c r="C28" i="424"/>
  <c r="H28" i="424" s="1"/>
  <c r="C27" i="424"/>
  <c r="H27" i="424" s="1"/>
  <c r="C26" i="424"/>
  <c r="H26" i="424" s="1"/>
  <c r="D24" i="424"/>
  <c r="C23" i="424"/>
  <c r="H23" i="424" s="1"/>
  <c r="C22" i="424"/>
  <c r="H22" i="424" s="1"/>
  <c r="C21" i="424"/>
  <c r="H21" i="424" s="1"/>
  <c r="D19" i="424"/>
  <c r="C18" i="424"/>
  <c r="C17" i="424"/>
  <c r="H17" i="424" s="1"/>
  <c r="C16" i="424"/>
  <c r="H16" i="424" s="1"/>
  <c r="E15" i="424"/>
  <c r="C15" i="424"/>
  <c r="H15" i="424" s="1"/>
  <c r="C14" i="424"/>
  <c r="H14" i="424" s="1"/>
  <c r="C13" i="424"/>
  <c r="H13" i="424" s="1"/>
  <c r="C12" i="424"/>
  <c r="H12" i="424" s="1"/>
  <c r="C11" i="424"/>
  <c r="H11" i="424" s="1"/>
  <c r="C10" i="424"/>
  <c r="H10" i="424" s="1"/>
  <c r="C7" i="424"/>
  <c r="G4" i="424"/>
  <c r="E4" i="424"/>
  <c r="D26" i="423"/>
  <c r="D34" i="423"/>
  <c r="D42" i="423"/>
  <c r="C45" i="423"/>
  <c r="C44" i="423"/>
  <c r="H44" i="423" s="1"/>
  <c r="C43" i="423"/>
  <c r="H43" i="423" s="1"/>
  <c r="C42" i="423"/>
  <c r="C39" i="423"/>
  <c r="H39" i="423" s="1"/>
  <c r="C38" i="423"/>
  <c r="H38" i="423" s="1"/>
  <c r="C37" i="423"/>
  <c r="H37" i="423" s="1"/>
  <c r="C36" i="423"/>
  <c r="H36" i="423" s="1"/>
  <c r="C35" i="423"/>
  <c r="H35" i="423" s="1"/>
  <c r="C34" i="423"/>
  <c r="C31" i="423"/>
  <c r="H31" i="423" s="1"/>
  <c r="C30" i="423"/>
  <c r="H30" i="423" s="1"/>
  <c r="C29" i="423"/>
  <c r="H29" i="423" s="1"/>
  <c r="C28" i="423"/>
  <c r="C27" i="423"/>
  <c r="H27" i="423" s="1"/>
  <c r="C26" i="423"/>
  <c r="D24" i="423"/>
  <c r="C23" i="423"/>
  <c r="H23" i="423" s="1"/>
  <c r="C22" i="423"/>
  <c r="H22" i="423" s="1"/>
  <c r="C21" i="423"/>
  <c r="H21" i="423" s="1"/>
  <c r="D19" i="423"/>
  <c r="E13" i="423" s="1"/>
  <c r="C18" i="423"/>
  <c r="H18" i="423" s="1"/>
  <c r="C17" i="423"/>
  <c r="H17" i="423" s="1"/>
  <c r="C16" i="423"/>
  <c r="H16" i="423" s="1"/>
  <c r="C15" i="423"/>
  <c r="H15" i="423" s="1"/>
  <c r="C14" i="423"/>
  <c r="H14" i="423" s="1"/>
  <c r="C13" i="423"/>
  <c r="H13" i="423" s="1"/>
  <c r="C12" i="423"/>
  <c r="H12" i="423" s="1"/>
  <c r="C11" i="423"/>
  <c r="H11" i="423" s="1"/>
  <c r="C10" i="423"/>
  <c r="H10" i="423" s="1"/>
  <c r="C7" i="423"/>
  <c r="G4" i="423"/>
  <c r="E4" i="423"/>
  <c r="D34" i="422"/>
  <c r="D42" i="422"/>
  <c r="D46" i="422" s="1"/>
  <c r="C45" i="422"/>
  <c r="C44" i="422"/>
  <c r="H44" i="422" s="1"/>
  <c r="C43" i="422"/>
  <c r="H43" i="422" s="1"/>
  <c r="C42" i="422"/>
  <c r="H42" i="422" s="1"/>
  <c r="C39" i="422"/>
  <c r="H39" i="422" s="1"/>
  <c r="C38" i="422"/>
  <c r="H38" i="422" s="1"/>
  <c r="C37" i="422"/>
  <c r="H37" i="422" s="1"/>
  <c r="C36" i="422"/>
  <c r="H36" i="422" s="1"/>
  <c r="C35" i="422"/>
  <c r="H35" i="422" s="1"/>
  <c r="C34" i="422"/>
  <c r="D32" i="422"/>
  <c r="C31" i="422"/>
  <c r="H31" i="422" s="1"/>
  <c r="C30" i="422"/>
  <c r="H30" i="422" s="1"/>
  <c r="C29" i="422"/>
  <c r="H29" i="422" s="1"/>
  <c r="C28" i="422"/>
  <c r="H28" i="422" s="1"/>
  <c r="C27" i="422"/>
  <c r="H27" i="422" s="1"/>
  <c r="C26" i="422"/>
  <c r="H26" i="422" s="1"/>
  <c r="D24" i="422"/>
  <c r="C23" i="422"/>
  <c r="H23" i="422" s="1"/>
  <c r="C22" i="422"/>
  <c r="H22" i="422" s="1"/>
  <c r="C21" i="422"/>
  <c r="H21" i="422" s="1"/>
  <c r="D19" i="422"/>
  <c r="E18" i="422" s="1"/>
  <c r="C18" i="422"/>
  <c r="H18" i="422" s="1"/>
  <c r="C17" i="422"/>
  <c r="H17" i="422" s="1"/>
  <c r="C16" i="422"/>
  <c r="C15" i="422"/>
  <c r="H15" i="422" s="1"/>
  <c r="C14" i="422"/>
  <c r="H14" i="422" s="1"/>
  <c r="C13" i="422"/>
  <c r="C12" i="422"/>
  <c r="H12" i="422" s="1"/>
  <c r="C11" i="422"/>
  <c r="H11" i="422" s="1"/>
  <c r="C10" i="422"/>
  <c r="H10" i="422" s="1"/>
  <c r="C7" i="422"/>
  <c r="G4" i="422"/>
  <c r="E4" i="422"/>
  <c r="D34" i="421"/>
  <c r="D40" i="421" s="1"/>
  <c r="D42" i="421"/>
  <c r="D46" i="421" s="1"/>
  <c r="C45" i="421"/>
  <c r="C44" i="421"/>
  <c r="H44" i="421" s="1"/>
  <c r="C43" i="421"/>
  <c r="H43" i="421" s="1"/>
  <c r="C42" i="421"/>
  <c r="C39" i="421"/>
  <c r="H39" i="421" s="1"/>
  <c r="C38" i="421"/>
  <c r="H38" i="421" s="1"/>
  <c r="C37" i="421"/>
  <c r="H37" i="421" s="1"/>
  <c r="C36" i="421"/>
  <c r="H36" i="421" s="1"/>
  <c r="C35" i="421"/>
  <c r="H35" i="421" s="1"/>
  <c r="C34" i="421"/>
  <c r="D32" i="421"/>
  <c r="C31" i="421"/>
  <c r="H31" i="421" s="1"/>
  <c r="C30" i="421"/>
  <c r="H30" i="421" s="1"/>
  <c r="C29" i="421"/>
  <c r="H29" i="421" s="1"/>
  <c r="C28" i="421"/>
  <c r="H28" i="421" s="1"/>
  <c r="C27" i="421"/>
  <c r="H27" i="421" s="1"/>
  <c r="C26" i="421"/>
  <c r="H26" i="421" s="1"/>
  <c r="D24" i="421"/>
  <c r="C23" i="421"/>
  <c r="C22" i="421"/>
  <c r="H22" i="421" s="1"/>
  <c r="C21" i="421"/>
  <c r="H21" i="421" s="1"/>
  <c r="D19" i="421"/>
  <c r="E18" i="421" s="1"/>
  <c r="C18" i="421"/>
  <c r="H18" i="421" s="1"/>
  <c r="C17" i="421"/>
  <c r="H17" i="421" s="1"/>
  <c r="C16" i="421"/>
  <c r="H16" i="421" s="1"/>
  <c r="C15" i="421"/>
  <c r="C14" i="421"/>
  <c r="H14" i="421" s="1"/>
  <c r="C13" i="421"/>
  <c r="H13" i="421" s="1"/>
  <c r="C12" i="421"/>
  <c r="H12" i="421" s="1"/>
  <c r="E11" i="421"/>
  <c r="C11" i="421"/>
  <c r="H11" i="421" s="1"/>
  <c r="C10" i="421"/>
  <c r="H10" i="421" s="1"/>
  <c r="C7" i="421"/>
  <c r="G4" i="421"/>
  <c r="E4" i="421"/>
  <c r="H18" i="424"/>
  <c r="D32" i="424"/>
  <c r="H38" i="424"/>
  <c r="H16" i="422"/>
  <c r="E19" i="421"/>
  <c r="D34" i="420"/>
  <c r="D40" i="420" s="1"/>
  <c r="D26" i="420"/>
  <c r="D32" i="420" s="1"/>
  <c r="D42" i="420"/>
  <c r="D46" i="420" s="1"/>
  <c r="C45" i="420"/>
  <c r="C44" i="420"/>
  <c r="H44" i="420" s="1"/>
  <c r="C43" i="420"/>
  <c r="H43" i="420" s="1"/>
  <c r="C42" i="420"/>
  <c r="C39" i="420"/>
  <c r="H39" i="420" s="1"/>
  <c r="C38" i="420"/>
  <c r="H38" i="420" s="1"/>
  <c r="C37" i="420"/>
  <c r="C36" i="420"/>
  <c r="H36" i="420" s="1"/>
  <c r="C35" i="420"/>
  <c r="H35" i="420" s="1"/>
  <c r="C34" i="420"/>
  <c r="C31" i="420"/>
  <c r="H31" i="420" s="1"/>
  <c r="C30" i="420"/>
  <c r="H30" i="420" s="1"/>
  <c r="C29" i="420"/>
  <c r="H29" i="420" s="1"/>
  <c r="C28" i="420"/>
  <c r="H28" i="420" s="1"/>
  <c r="C27" i="420"/>
  <c r="C26" i="420"/>
  <c r="D24" i="420"/>
  <c r="C23" i="420"/>
  <c r="H23" i="420" s="1"/>
  <c r="C22" i="420"/>
  <c r="H22" i="420" s="1"/>
  <c r="C21" i="420"/>
  <c r="H21" i="420" s="1"/>
  <c r="D19" i="420"/>
  <c r="C18" i="420"/>
  <c r="H18" i="420" s="1"/>
  <c r="C17" i="420"/>
  <c r="H17" i="420" s="1"/>
  <c r="C16" i="420"/>
  <c r="H16" i="420" s="1"/>
  <c r="E15" i="420"/>
  <c r="C15" i="420"/>
  <c r="H15" i="420" s="1"/>
  <c r="C14" i="420"/>
  <c r="H14" i="420" s="1"/>
  <c r="C13" i="420"/>
  <c r="H13" i="420" s="1"/>
  <c r="C12" i="420"/>
  <c r="H12" i="420" s="1"/>
  <c r="C11" i="420"/>
  <c r="H11" i="420" s="1"/>
  <c r="C10" i="420"/>
  <c r="H10" i="420" s="1"/>
  <c r="C7" i="420"/>
  <c r="G4" i="420"/>
  <c r="E4" i="420"/>
  <c r="H27" i="420"/>
  <c r="H37" i="420"/>
  <c r="D34" i="419"/>
  <c r="D26" i="419"/>
  <c r="D42" i="419"/>
  <c r="D46" i="419" s="1"/>
  <c r="C45" i="419"/>
  <c r="C44" i="419"/>
  <c r="H44" i="419" s="1"/>
  <c r="C43" i="419"/>
  <c r="H43" i="419" s="1"/>
  <c r="C42" i="419"/>
  <c r="H42" i="419" s="1"/>
  <c r="C39" i="419"/>
  <c r="H39" i="419" s="1"/>
  <c r="C38" i="419"/>
  <c r="H38" i="419" s="1"/>
  <c r="C37" i="419"/>
  <c r="H37" i="419" s="1"/>
  <c r="C36" i="419"/>
  <c r="H36" i="419" s="1"/>
  <c r="C35" i="419"/>
  <c r="H35" i="419" s="1"/>
  <c r="C34" i="419"/>
  <c r="C31" i="419"/>
  <c r="H31" i="419" s="1"/>
  <c r="C30" i="419"/>
  <c r="H30" i="419" s="1"/>
  <c r="C29" i="419"/>
  <c r="H29" i="419" s="1"/>
  <c r="C28" i="419"/>
  <c r="H28" i="419" s="1"/>
  <c r="C27" i="419"/>
  <c r="H27" i="419" s="1"/>
  <c r="C26" i="419"/>
  <c r="D24" i="419"/>
  <c r="C23" i="419"/>
  <c r="H23" i="419" s="1"/>
  <c r="C22" i="419"/>
  <c r="H22" i="419" s="1"/>
  <c r="C21" i="419"/>
  <c r="H21" i="419" s="1"/>
  <c r="C18" i="419"/>
  <c r="C17" i="419"/>
  <c r="H17" i="419" s="1"/>
  <c r="C16" i="419"/>
  <c r="C15" i="419"/>
  <c r="H15" i="419" s="1"/>
  <c r="C14" i="419"/>
  <c r="H14" i="419" s="1"/>
  <c r="C13" i="419"/>
  <c r="H13" i="419" s="1"/>
  <c r="C12" i="419"/>
  <c r="H12" i="419" s="1"/>
  <c r="C11" i="419"/>
  <c r="H11" i="419" s="1"/>
  <c r="C10" i="419"/>
  <c r="H10" i="419" s="1"/>
  <c r="C7" i="419"/>
  <c r="G4" i="419"/>
  <c r="E4" i="419"/>
  <c r="D19" i="419"/>
  <c r="E10" i="419" s="1"/>
  <c r="H16" i="419"/>
  <c r="D46" i="418"/>
  <c r="C45" i="418"/>
  <c r="C44" i="418"/>
  <c r="H44" i="418" s="1"/>
  <c r="C43" i="418"/>
  <c r="H43" i="418" s="1"/>
  <c r="C42" i="418"/>
  <c r="H42" i="418" s="1"/>
  <c r="D40" i="418"/>
  <c r="C39" i="418"/>
  <c r="H39" i="418" s="1"/>
  <c r="C38" i="418"/>
  <c r="H38" i="418" s="1"/>
  <c r="C37" i="418"/>
  <c r="H37" i="418" s="1"/>
  <c r="C36" i="418"/>
  <c r="H36" i="418" s="1"/>
  <c r="C35" i="418"/>
  <c r="H35" i="418" s="1"/>
  <c r="C34" i="418"/>
  <c r="H34" i="418" s="1"/>
  <c r="C31" i="418"/>
  <c r="H31" i="418" s="1"/>
  <c r="C30" i="418"/>
  <c r="H30" i="418" s="1"/>
  <c r="C29" i="418"/>
  <c r="H29" i="418" s="1"/>
  <c r="C28" i="418"/>
  <c r="H28" i="418" s="1"/>
  <c r="C27" i="418"/>
  <c r="H27" i="418" s="1"/>
  <c r="C26" i="418"/>
  <c r="H26" i="418" s="1"/>
  <c r="D24" i="418"/>
  <c r="C23" i="418"/>
  <c r="H23" i="418" s="1"/>
  <c r="C22" i="418"/>
  <c r="H22" i="418" s="1"/>
  <c r="C21" i="418"/>
  <c r="H21" i="418" s="1"/>
  <c r="D19" i="418"/>
  <c r="C18" i="418"/>
  <c r="H18" i="418" s="1"/>
  <c r="C17" i="418"/>
  <c r="H17" i="418" s="1"/>
  <c r="C16" i="418"/>
  <c r="H16" i="418" s="1"/>
  <c r="C15" i="418"/>
  <c r="H15" i="418" s="1"/>
  <c r="C14" i="418"/>
  <c r="H14" i="418" s="1"/>
  <c r="C13" i="418"/>
  <c r="H13" i="418" s="1"/>
  <c r="C12" i="418"/>
  <c r="H12" i="418" s="1"/>
  <c r="C11" i="418"/>
  <c r="H11" i="418" s="1"/>
  <c r="C10" i="418"/>
  <c r="H10" i="418" s="1"/>
  <c r="C7" i="418"/>
  <c r="G4" i="418"/>
  <c r="E4" i="418"/>
  <c r="D13" i="417"/>
  <c r="D26" i="417"/>
  <c r="D31" i="417"/>
  <c r="D46" i="417"/>
  <c r="C45" i="417"/>
  <c r="C44" i="417"/>
  <c r="H44" i="417" s="1"/>
  <c r="C43" i="417"/>
  <c r="H43" i="417" s="1"/>
  <c r="C42" i="417"/>
  <c r="H42" i="417" s="1"/>
  <c r="D40" i="417"/>
  <c r="C39" i="417"/>
  <c r="H39" i="417" s="1"/>
  <c r="C38" i="417"/>
  <c r="H38" i="417" s="1"/>
  <c r="C37" i="417"/>
  <c r="H37" i="417" s="1"/>
  <c r="C36" i="417"/>
  <c r="H36" i="417" s="1"/>
  <c r="C35" i="417"/>
  <c r="H35" i="417" s="1"/>
  <c r="C34" i="417"/>
  <c r="H34" i="417" s="1"/>
  <c r="C31" i="417"/>
  <c r="C30" i="417"/>
  <c r="H30" i="417" s="1"/>
  <c r="C29" i="417"/>
  <c r="H29" i="417" s="1"/>
  <c r="C28" i="417"/>
  <c r="H28" i="417" s="1"/>
  <c r="C27" i="417"/>
  <c r="H27" i="417" s="1"/>
  <c r="C26" i="417"/>
  <c r="D24" i="417"/>
  <c r="C23" i="417"/>
  <c r="H23" i="417" s="1"/>
  <c r="C22" i="417"/>
  <c r="H22" i="417" s="1"/>
  <c r="C21" i="417"/>
  <c r="H21" i="417" s="1"/>
  <c r="C18" i="417"/>
  <c r="H18" i="417" s="1"/>
  <c r="C17" i="417"/>
  <c r="H17" i="417" s="1"/>
  <c r="C16" i="417"/>
  <c r="H16" i="417" s="1"/>
  <c r="C15" i="417"/>
  <c r="H15" i="417" s="1"/>
  <c r="C14" i="417"/>
  <c r="C13" i="417"/>
  <c r="C12" i="417"/>
  <c r="H12" i="417" s="1"/>
  <c r="C11" i="417"/>
  <c r="H11" i="417" s="1"/>
  <c r="C10" i="417"/>
  <c r="H10" i="417" s="1"/>
  <c r="C7" i="417"/>
  <c r="G4" i="417"/>
  <c r="E4" i="417"/>
  <c r="D34" i="416"/>
  <c r="D40" i="416" s="1"/>
  <c r="D42" i="416"/>
  <c r="D46" i="416" s="1"/>
  <c r="C45" i="416"/>
  <c r="C44" i="416"/>
  <c r="H44" i="416" s="1"/>
  <c r="C43" i="416"/>
  <c r="C42" i="416"/>
  <c r="H42" i="416" s="1"/>
  <c r="C39" i="416"/>
  <c r="H39" i="416" s="1"/>
  <c r="C38" i="416"/>
  <c r="H38" i="416" s="1"/>
  <c r="C37" i="416"/>
  <c r="H37" i="416" s="1"/>
  <c r="C36" i="416"/>
  <c r="H36" i="416" s="1"/>
  <c r="C35" i="416"/>
  <c r="H35" i="416" s="1"/>
  <c r="C34" i="416"/>
  <c r="D32" i="416"/>
  <c r="C31" i="416"/>
  <c r="H31" i="416" s="1"/>
  <c r="C30" i="416"/>
  <c r="H30" i="416" s="1"/>
  <c r="C29" i="416"/>
  <c r="H29" i="416" s="1"/>
  <c r="C28" i="416"/>
  <c r="H28" i="416" s="1"/>
  <c r="C27" i="416"/>
  <c r="H27" i="416" s="1"/>
  <c r="C26" i="416"/>
  <c r="H26" i="416" s="1"/>
  <c r="D24" i="416"/>
  <c r="C23" i="416"/>
  <c r="H23" i="416" s="1"/>
  <c r="C22" i="416"/>
  <c r="H22" i="416" s="1"/>
  <c r="C21" i="416"/>
  <c r="H21" i="416" s="1"/>
  <c r="D19" i="416"/>
  <c r="C18" i="416"/>
  <c r="H18" i="416" s="1"/>
  <c r="C17" i="416"/>
  <c r="H17" i="416" s="1"/>
  <c r="C16" i="416"/>
  <c r="H16" i="416" s="1"/>
  <c r="C15" i="416"/>
  <c r="H15" i="416" s="1"/>
  <c r="C14" i="416"/>
  <c r="H14" i="416" s="1"/>
  <c r="C13" i="416"/>
  <c r="H13" i="416" s="1"/>
  <c r="C12" i="416"/>
  <c r="H12" i="416" s="1"/>
  <c r="C11" i="416"/>
  <c r="H11" i="416" s="1"/>
  <c r="C10" i="416"/>
  <c r="H10" i="416" s="1"/>
  <c r="C7" i="416"/>
  <c r="D32" i="418"/>
  <c r="H14" i="417"/>
  <c r="G4" i="416"/>
  <c r="E4" i="416"/>
  <c r="H43" i="416"/>
  <c r="G2" i="415"/>
  <c r="D46" i="415"/>
  <c r="C45" i="415"/>
  <c r="C44" i="415"/>
  <c r="H44" i="415" s="1"/>
  <c r="C43" i="415"/>
  <c r="H43" i="415" s="1"/>
  <c r="C42" i="415"/>
  <c r="H42" i="415" s="1"/>
  <c r="C39" i="415"/>
  <c r="C38" i="415"/>
  <c r="H38" i="415" s="1"/>
  <c r="C37" i="415"/>
  <c r="H37" i="415" s="1"/>
  <c r="C36" i="415"/>
  <c r="H36" i="415" s="1"/>
  <c r="C35" i="415"/>
  <c r="H35" i="415" s="1"/>
  <c r="C34" i="415"/>
  <c r="H34" i="415" s="1"/>
  <c r="D32" i="415"/>
  <c r="C31" i="415"/>
  <c r="H31" i="415" s="1"/>
  <c r="C30" i="415"/>
  <c r="H30" i="415" s="1"/>
  <c r="C29" i="415"/>
  <c r="H29" i="415" s="1"/>
  <c r="C28" i="415"/>
  <c r="H28" i="415" s="1"/>
  <c r="C27" i="415"/>
  <c r="H27" i="415" s="1"/>
  <c r="C26" i="415"/>
  <c r="H26" i="415" s="1"/>
  <c r="D24" i="415"/>
  <c r="C23" i="415"/>
  <c r="H23" i="415" s="1"/>
  <c r="C22" i="415"/>
  <c r="H22" i="415" s="1"/>
  <c r="C21" i="415"/>
  <c r="H21" i="415" s="1"/>
  <c r="D19" i="415"/>
  <c r="E17" i="415" s="1"/>
  <c r="C18" i="415"/>
  <c r="H18" i="415" s="1"/>
  <c r="C17" i="415"/>
  <c r="H17" i="415" s="1"/>
  <c r="C16" i="415"/>
  <c r="H16" i="415" s="1"/>
  <c r="C15" i="415"/>
  <c r="H15" i="415" s="1"/>
  <c r="C14" i="415"/>
  <c r="H14" i="415" s="1"/>
  <c r="C13" i="415"/>
  <c r="H13" i="415" s="1"/>
  <c r="C12" i="415"/>
  <c r="C11" i="415"/>
  <c r="H11" i="415" s="1"/>
  <c r="C10" i="415"/>
  <c r="H10" i="415" s="1"/>
  <c r="C7" i="415"/>
  <c r="D26" i="414"/>
  <c r="D32" i="414" s="1"/>
  <c r="D46" i="414"/>
  <c r="C45" i="414"/>
  <c r="C44" i="414"/>
  <c r="H44" i="414" s="1"/>
  <c r="C43" i="414"/>
  <c r="C42" i="414"/>
  <c r="H42" i="414" s="1"/>
  <c r="D40" i="414"/>
  <c r="C39" i="414"/>
  <c r="H39" i="414" s="1"/>
  <c r="C38" i="414"/>
  <c r="H38" i="414" s="1"/>
  <c r="C37" i="414"/>
  <c r="H37" i="414" s="1"/>
  <c r="C36" i="414"/>
  <c r="H36" i="414" s="1"/>
  <c r="C35" i="414"/>
  <c r="H35" i="414" s="1"/>
  <c r="C34" i="414"/>
  <c r="C31" i="414"/>
  <c r="H31" i="414" s="1"/>
  <c r="C30" i="414"/>
  <c r="H30" i="414" s="1"/>
  <c r="C29" i="414"/>
  <c r="H29" i="414" s="1"/>
  <c r="C28" i="414"/>
  <c r="H28" i="414" s="1"/>
  <c r="C27" i="414"/>
  <c r="H27" i="414" s="1"/>
  <c r="C26" i="414"/>
  <c r="D24" i="414"/>
  <c r="C23" i="414"/>
  <c r="H23" i="414" s="1"/>
  <c r="C22" i="414"/>
  <c r="H22" i="414" s="1"/>
  <c r="C21" i="414"/>
  <c r="H21" i="414" s="1"/>
  <c r="D19" i="414"/>
  <c r="E10" i="414" s="1"/>
  <c r="C18" i="414"/>
  <c r="C17" i="414"/>
  <c r="H17" i="414" s="1"/>
  <c r="C16" i="414"/>
  <c r="H16" i="414" s="1"/>
  <c r="C15" i="414"/>
  <c r="H15" i="414" s="1"/>
  <c r="C14" i="414"/>
  <c r="H14" i="414" s="1"/>
  <c r="C13" i="414"/>
  <c r="H13" i="414" s="1"/>
  <c r="C12" i="414"/>
  <c r="H12" i="414" s="1"/>
  <c r="C11" i="414"/>
  <c r="H11" i="414" s="1"/>
  <c r="C10" i="414"/>
  <c r="H10" i="414" s="1"/>
  <c r="C7" i="414"/>
  <c r="G4" i="414"/>
  <c r="E4" i="414"/>
  <c r="H12" i="415"/>
  <c r="E19" i="415"/>
  <c r="D40" i="415"/>
  <c r="H39" i="415"/>
  <c r="H18" i="414"/>
  <c r="H34" i="414"/>
  <c r="H43" i="414"/>
  <c r="D31" i="413"/>
  <c r="D26" i="413"/>
  <c r="D46" i="413"/>
  <c r="C45" i="413"/>
  <c r="C44" i="413"/>
  <c r="H44" i="413" s="1"/>
  <c r="C43" i="413"/>
  <c r="H43" i="413" s="1"/>
  <c r="C42" i="413"/>
  <c r="H42" i="413" s="1"/>
  <c r="D40" i="413"/>
  <c r="C39" i="413"/>
  <c r="H39" i="413" s="1"/>
  <c r="C38" i="413"/>
  <c r="C37" i="413"/>
  <c r="H37" i="413" s="1"/>
  <c r="C36" i="413"/>
  <c r="H36" i="413" s="1"/>
  <c r="C35" i="413"/>
  <c r="H35" i="413" s="1"/>
  <c r="C34" i="413"/>
  <c r="H34" i="413" s="1"/>
  <c r="C31" i="413"/>
  <c r="C30" i="413"/>
  <c r="H30" i="413" s="1"/>
  <c r="C29" i="413"/>
  <c r="H29" i="413" s="1"/>
  <c r="C28" i="413"/>
  <c r="H28" i="413" s="1"/>
  <c r="C27" i="413"/>
  <c r="H27" i="413" s="1"/>
  <c r="C26" i="413"/>
  <c r="D24" i="413"/>
  <c r="C23" i="413"/>
  <c r="H23" i="413" s="1"/>
  <c r="C22" i="413"/>
  <c r="H22" i="413" s="1"/>
  <c r="C21" i="413"/>
  <c r="H21" i="413" s="1"/>
  <c r="D19" i="413"/>
  <c r="C18" i="413"/>
  <c r="H18" i="413" s="1"/>
  <c r="C17" i="413"/>
  <c r="H17" i="413" s="1"/>
  <c r="C16" i="413"/>
  <c r="H16" i="413" s="1"/>
  <c r="C15" i="413"/>
  <c r="H15" i="413" s="1"/>
  <c r="C14" i="413"/>
  <c r="H14" i="413" s="1"/>
  <c r="C13" i="413"/>
  <c r="H13" i="413" s="1"/>
  <c r="C12" i="413"/>
  <c r="H12" i="413" s="1"/>
  <c r="C11" i="413"/>
  <c r="H11" i="413" s="1"/>
  <c r="C10" i="413"/>
  <c r="C7" i="413"/>
  <c r="G4" i="413"/>
  <c r="E4" i="413"/>
  <c r="H10" i="413"/>
  <c r="H38" i="413"/>
  <c r="D26" i="412"/>
  <c r="D32" i="412" s="1"/>
  <c r="D34" i="412"/>
  <c r="D40" i="412" s="1"/>
  <c r="D42" i="412"/>
  <c r="C21" i="412"/>
  <c r="H21" i="412" s="1"/>
  <c r="G4" i="412"/>
  <c r="C22" i="412"/>
  <c r="C23" i="412"/>
  <c r="H23" i="412" s="1"/>
  <c r="C26" i="412"/>
  <c r="C27" i="412"/>
  <c r="H27" i="412" s="1"/>
  <c r="C28" i="412"/>
  <c r="H28" i="412" s="1"/>
  <c r="C29" i="412"/>
  <c r="H29" i="412" s="1"/>
  <c r="C30" i="412"/>
  <c r="C31" i="412"/>
  <c r="H31" i="412" s="1"/>
  <c r="C34" i="412"/>
  <c r="C35" i="412"/>
  <c r="H35" i="412" s="1"/>
  <c r="C36" i="412"/>
  <c r="H36" i="412" s="1"/>
  <c r="C37" i="412"/>
  <c r="H37" i="412" s="1"/>
  <c r="C38" i="412"/>
  <c r="H38" i="412" s="1"/>
  <c r="C39" i="412"/>
  <c r="H39" i="412" s="1"/>
  <c r="C42" i="412"/>
  <c r="C43" i="412"/>
  <c r="H43" i="412" s="1"/>
  <c r="C44" i="412"/>
  <c r="C10" i="412"/>
  <c r="C11" i="412"/>
  <c r="C12" i="412"/>
  <c r="H12" i="412" s="1"/>
  <c r="C13" i="412"/>
  <c r="C14" i="412"/>
  <c r="H14" i="412" s="1"/>
  <c r="C15" i="412"/>
  <c r="H15" i="412" s="1"/>
  <c r="C16" i="412"/>
  <c r="C17" i="412"/>
  <c r="H17" i="412" s="1"/>
  <c r="C18" i="412"/>
  <c r="H18" i="412" s="1"/>
  <c r="D24" i="412"/>
  <c r="D19" i="412"/>
  <c r="E16" i="412" s="1"/>
  <c r="C45" i="412"/>
  <c r="C7" i="412"/>
  <c r="E4" i="412"/>
  <c r="C21" i="411"/>
  <c r="H21" i="411" s="1"/>
  <c r="G4" i="411"/>
  <c r="C22" i="411"/>
  <c r="H22" i="411" s="1"/>
  <c r="C23" i="411"/>
  <c r="C26" i="411"/>
  <c r="C27" i="411"/>
  <c r="H27" i="411" s="1"/>
  <c r="C28" i="411"/>
  <c r="C29" i="411"/>
  <c r="H29" i="411" s="1"/>
  <c r="C30" i="411"/>
  <c r="H30" i="411" s="1"/>
  <c r="C31" i="411"/>
  <c r="C34" i="411"/>
  <c r="C35" i="411"/>
  <c r="H35" i="411" s="1"/>
  <c r="C36" i="411"/>
  <c r="H36" i="411" s="1"/>
  <c r="C37" i="411"/>
  <c r="H37" i="411" s="1"/>
  <c r="C38" i="411"/>
  <c r="H38" i="411" s="1"/>
  <c r="C39" i="411"/>
  <c r="H39" i="411" s="1"/>
  <c r="C42" i="411"/>
  <c r="C43" i="411"/>
  <c r="H43" i="411" s="1"/>
  <c r="C44" i="411"/>
  <c r="H44" i="411" s="1"/>
  <c r="C10" i="411"/>
  <c r="H10" i="411" s="1"/>
  <c r="C11" i="411"/>
  <c r="H11" i="411" s="1"/>
  <c r="C12" i="411"/>
  <c r="C13" i="411"/>
  <c r="H13" i="411" s="1"/>
  <c r="C14" i="411"/>
  <c r="C15" i="411"/>
  <c r="H15" i="411" s="1"/>
  <c r="C16" i="411"/>
  <c r="H16" i="411" s="1"/>
  <c r="C17" i="411"/>
  <c r="C18" i="411"/>
  <c r="H18" i="411" s="1"/>
  <c r="D46" i="411"/>
  <c r="D24" i="411"/>
  <c r="D32" i="411"/>
  <c r="D40" i="411"/>
  <c r="D19" i="411"/>
  <c r="E16" i="411" s="1"/>
  <c r="C45" i="411"/>
  <c r="C7" i="411"/>
  <c r="E4" i="411"/>
  <c r="C21" i="410"/>
  <c r="G4" i="410"/>
  <c r="C22" i="410"/>
  <c r="H22" i="410" s="1"/>
  <c r="C23" i="410"/>
  <c r="H23" i="410" s="1"/>
  <c r="C26" i="410"/>
  <c r="H26" i="410" s="1"/>
  <c r="C27" i="410"/>
  <c r="H27" i="410" s="1"/>
  <c r="C28" i="410"/>
  <c r="H28" i="410" s="1"/>
  <c r="C29" i="410"/>
  <c r="H29" i="410" s="1"/>
  <c r="C30" i="410"/>
  <c r="H30" i="410" s="1"/>
  <c r="C31" i="410"/>
  <c r="H31" i="410" s="1"/>
  <c r="C34" i="410"/>
  <c r="H34" i="410" s="1"/>
  <c r="C35" i="410"/>
  <c r="H35" i="410" s="1"/>
  <c r="C36" i="410"/>
  <c r="H36" i="410" s="1"/>
  <c r="C37" i="410"/>
  <c r="H37" i="410" s="1"/>
  <c r="C38" i="410"/>
  <c r="H38" i="410" s="1"/>
  <c r="C39" i="410"/>
  <c r="H39" i="410" s="1"/>
  <c r="C42" i="410"/>
  <c r="H42" i="410" s="1"/>
  <c r="C43" i="410"/>
  <c r="C44" i="410"/>
  <c r="C10" i="410"/>
  <c r="H10" i="410" s="1"/>
  <c r="C11" i="410"/>
  <c r="H11" i="410" s="1"/>
  <c r="C12" i="410"/>
  <c r="H12" i="410" s="1"/>
  <c r="C13" i="410"/>
  <c r="C14" i="410"/>
  <c r="H14" i="410" s="1"/>
  <c r="C15" i="410"/>
  <c r="C16" i="410"/>
  <c r="H16" i="410" s="1"/>
  <c r="C17" i="410"/>
  <c r="C18" i="410"/>
  <c r="H18" i="410" s="1"/>
  <c r="D46" i="410"/>
  <c r="D24" i="410"/>
  <c r="D32" i="410"/>
  <c r="D40" i="410"/>
  <c r="D19" i="410"/>
  <c r="C45" i="410"/>
  <c r="C7" i="410"/>
  <c r="E4" i="410"/>
  <c r="D26" i="358"/>
  <c r="D23" i="358"/>
  <c r="D23" i="406" s="1"/>
  <c r="D21" i="358"/>
  <c r="D21" i="406" s="1"/>
  <c r="D34" i="358"/>
  <c r="D31" i="358"/>
  <c r="D30" i="358"/>
  <c r="G2" i="358"/>
  <c r="C21" i="409"/>
  <c r="H21" i="409" s="1"/>
  <c r="G4" i="409"/>
  <c r="C22" i="409"/>
  <c r="C23" i="409"/>
  <c r="H23" i="409" s="1"/>
  <c r="C26" i="409"/>
  <c r="H26" i="409" s="1"/>
  <c r="C27" i="409"/>
  <c r="H27" i="409" s="1"/>
  <c r="C28" i="409"/>
  <c r="H28" i="409" s="1"/>
  <c r="C29" i="409"/>
  <c r="H29" i="409" s="1"/>
  <c r="C30" i="409"/>
  <c r="H30" i="409" s="1"/>
  <c r="C31" i="409"/>
  <c r="H31" i="409" s="1"/>
  <c r="C34" i="409"/>
  <c r="H34" i="409" s="1"/>
  <c r="C35" i="409"/>
  <c r="H35" i="409" s="1"/>
  <c r="C36" i="409"/>
  <c r="H36" i="409" s="1"/>
  <c r="C37" i="409"/>
  <c r="H37" i="409" s="1"/>
  <c r="C38" i="409"/>
  <c r="H38" i="409" s="1"/>
  <c r="C39" i="409"/>
  <c r="H39" i="409" s="1"/>
  <c r="C42" i="409"/>
  <c r="H42" i="409" s="1"/>
  <c r="C43" i="409"/>
  <c r="C44" i="409"/>
  <c r="H44" i="409" s="1"/>
  <c r="C10" i="409"/>
  <c r="H10" i="409" s="1"/>
  <c r="C11" i="409"/>
  <c r="H11" i="409" s="1"/>
  <c r="C12" i="409"/>
  <c r="H12" i="409" s="1"/>
  <c r="C13" i="409"/>
  <c r="H13" i="409" s="1"/>
  <c r="C14" i="409"/>
  <c r="H14" i="409" s="1"/>
  <c r="C15" i="409"/>
  <c r="C16" i="409"/>
  <c r="H16" i="409" s="1"/>
  <c r="C17" i="409"/>
  <c r="H17" i="409" s="1"/>
  <c r="C18" i="409"/>
  <c r="H18" i="409" s="1"/>
  <c r="D46" i="409"/>
  <c r="D24" i="409"/>
  <c r="D32" i="409"/>
  <c r="D40" i="409"/>
  <c r="D19" i="409"/>
  <c r="E10" i="409" s="1"/>
  <c r="C45" i="409"/>
  <c r="C7" i="409"/>
  <c r="E4" i="409"/>
  <c r="C21" i="408"/>
  <c r="G4" i="408"/>
  <c r="C22" i="408"/>
  <c r="H22" i="408" s="1"/>
  <c r="C23" i="408"/>
  <c r="C26" i="408"/>
  <c r="H26" i="408" s="1"/>
  <c r="C27" i="408"/>
  <c r="H27" i="408" s="1"/>
  <c r="C28" i="408"/>
  <c r="H28" i="408" s="1"/>
  <c r="C29" i="408"/>
  <c r="C30" i="408"/>
  <c r="C31" i="408"/>
  <c r="H31" i="408" s="1"/>
  <c r="C34" i="408"/>
  <c r="C35" i="408"/>
  <c r="H35" i="408" s="1"/>
  <c r="C36" i="408"/>
  <c r="C37" i="408"/>
  <c r="H37" i="408" s="1"/>
  <c r="C38" i="408"/>
  <c r="H38" i="408" s="1"/>
  <c r="C39" i="408"/>
  <c r="H39" i="408" s="1"/>
  <c r="C42" i="408"/>
  <c r="H42" i="408" s="1"/>
  <c r="C43" i="408"/>
  <c r="H43" i="408" s="1"/>
  <c r="C44" i="408"/>
  <c r="H44" i="408" s="1"/>
  <c r="C10" i="408"/>
  <c r="H10" i="408" s="1"/>
  <c r="C11" i="408"/>
  <c r="H11" i="408" s="1"/>
  <c r="C12" i="408"/>
  <c r="C13" i="408"/>
  <c r="C14" i="408"/>
  <c r="H14" i="408" s="1"/>
  <c r="C15" i="408"/>
  <c r="H15" i="408" s="1"/>
  <c r="C16" i="408"/>
  <c r="H16" i="408" s="1"/>
  <c r="C17" i="408"/>
  <c r="H17" i="408" s="1"/>
  <c r="C18" i="408"/>
  <c r="H18" i="408" s="1"/>
  <c r="D46" i="408"/>
  <c r="D24" i="408"/>
  <c r="D32" i="408"/>
  <c r="D40" i="408"/>
  <c r="D19" i="408"/>
  <c r="C45" i="408"/>
  <c r="C7" i="408"/>
  <c r="E4" i="408"/>
  <c r="D46" i="407"/>
  <c r="C45" i="407"/>
  <c r="C44" i="407"/>
  <c r="H44" i="407" s="1"/>
  <c r="C43" i="407"/>
  <c r="H43" i="407" s="1"/>
  <c r="C42" i="407"/>
  <c r="D40" i="407"/>
  <c r="C39" i="407"/>
  <c r="H39" i="407" s="1"/>
  <c r="C38" i="407"/>
  <c r="H38" i="407" s="1"/>
  <c r="C37" i="407"/>
  <c r="H37" i="407" s="1"/>
  <c r="C36" i="407"/>
  <c r="H36" i="407" s="1"/>
  <c r="C35" i="407"/>
  <c r="H35" i="407" s="1"/>
  <c r="C34" i="407"/>
  <c r="H34" i="407" s="1"/>
  <c r="C31" i="407"/>
  <c r="H31" i="407" s="1"/>
  <c r="C30" i="407"/>
  <c r="H30" i="407" s="1"/>
  <c r="C29" i="407"/>
  <c r="H29" i="407" s="1"/>
  <c r="C28" i="407"/>
  <c r="H28" i="407" s="1"/>
  <c r="C27" i="407"/>
  <c r="H27" i="407" s="1"/>
  <c r="C26" i="407"/>
  <c r="H26" i="407" s="1"/>
  <c r="D24" i="407"/>
  <c r="C23" i="407"/>
  <c r="H23" i="407" s="1"/>
  <c r="C22" i="407"/>
  <c r="H22" i="407" s="1"/>
  <c r="C21" i="407"/>
  <c r="H21" i="407" s="1"/>
  <c r="D19" i="407"/>
  <c r="E18" i="407" s="1"/>
  <c r="C18" i="407"/>
  <c r="H18" i="407" s="1"/>
  <c r="C17" i="407"/>
  <c r="H17" i="407" s="1"/>
  <c r="C16" i="407"/>
  <c r="H16" i="407" s="1"/>
  <c r="C15" i="407"/>
  <c r="H15" i="407" s="1"/>
  <c r="C14" i="407"/>
  <c r="H14" i="407" s="1"/>
  <c r="C13" i="407"/>
  <c r="H13" i="407" s="1"/>
  <c r="C12" i="407"/>
  <c r="H12" i="407" s="1"/>
  <c r="C11" i="407"/>
  <c r="H11" i="407" s="1"/>
  <c r="C10" i="407"/>
  <c r="H10" i="407" s="1"/>
  <c r="C7" i="407"/>
  <c r="G4" i="407"/>
  <c r="E4" i="407"/>
  <c r="D32" i="407"/>
  <c r="E3" i="406"/>
  <c r="D44" i="406"/>
  <c r="D45" i="406"/>
  <c r="C42" i="406"/>
  <c r="C43" i="406"/>
  <c r="C44" i="406"/>
  <c r="C21" i="406"/>
  <c r="C22" i="406"/>
  <c r="C23" i="406"/>
  <c r="C26" i="406"/>
  <c r="C27" i="406"/>
  <c r="C28" i="406"/>
  <c r="C29" i="406"/>
  <c r="C30" i="406"/>
  <c r="C31" i="406"/>
  <c r="C34" i="406"/>
  <c r="C35" i="406"/>
  <c r="C36" i="406"/>
  <c r="C37" i="406"/>
  <c r="C38" i="406"/>
  <c r="C39" i="406"/>
  <c r="C10" i="406"/>
  <c r="C11" i="406"/>
  <c r="C12" i="406"/>
  <c r="C13" i="406"/>
  <c r="C14" i="406"/>
  <c r="C15" i="406"/>
  <c r="C16" i="406"/>
  <c r="C17" i="406"/>
  <c r="C18" i="406"/>
  <c r="D35" i="406"/>
  <c r="D36" i="406"/>
  <c r="D37" i="406"/>
  <c r="D38" i="406"/>
  <c r="D39" i="406"/>
  <c r="D28" i="406"/>
  <c r="D29" i="406"/>
  <c r="D22" i="406"/>
  <c r="D11" i="406"/>
  <c r="D12" i="406"/>
  <c r="D13" i="406"/>
  <c r="D14" i="406"/>
  <c r="H14" i="406" s="1"/>
  <c r="D15" i="406"/>
  <c r="D16" i="406"/>
  <c r="D18" i="406"/>
  <c r="D10" i="406"/>
  <c r="D26" i="405"/>
  <c r="D31" i="405"/>
  <c r="C45" i="406"/>
  <c r="C7" i="406"/>
  <c r="D46" i="405"/>
  <c r="C45" i="405"/>
  <c r="C44" i="405"/>
  <c r="H44" i="405" s="1"/>
  <c r="C43" i="405"/>
  <c r="H43" i="405" s="1"/>
  <c r="C42" i="405"/>
  <c r="H42" i="405" s="1"/>
  <c r="D40" i="405"/>
  <c r="C39" i="405"/>
  <c r="H39" i="405" s="1"/>
  <c r="C38" i="405"/>
  <c r="H38" i="405" s="1"/>
  <c r="C37" i="405"/>
  <c r="C36" i="405"/>
  <c r="H36" i="405" s="1"/>
  <c r="C35" i="405"/>
  <c r="H35" i="405" s="1"/>
  <c r="C34" i="405"/>
  <c r="H34" i="405" s="1"/>
  <c r="C31" i="405"/>
  <c r="C30" i="405"/>
  <c r="H30" i="405" s="1"/>
  <c r="C29" i="405"/>
  <c r="H29" i="405" s="1"/>
  <c r="C28" i="405"/>
  <c r="H28" i="405" s="1"/>
  <c r="C27" i="405"/>
  <c r="H27" i="405" s="1"/>
  <c r="C26" i="405"/>
  <c r="D24" i="405"/>
  <c r="C23" i="405"/>
  <c r="H23" i="405" s="1"/>
  <c r="C22" i="405"/>
  <c r="H22" i="405" s="1"/>
  <c r="C21" i="405"/>
  <c r="H21" i="405" s="1"/>
  <c r="D19" i="405"/>
  <c r="E11" i="405" s="1"/>
  <c r="C18" i="405"/>
  <c r="H18" i="405" s="1"/>
  <c r="C17" i="405"/>
  <c r="H17" i="405" s="1"/>
  <c r="C16" i="405"/>
  <c r="H16" i="405" s="1"/>
  <c r="C15" i="405"/>
  <c r="H15" i="405" s="1"/>
  <c r="C14" i="405"/>
  <c r="H14" i="405" s="1"/>
  <c r="C13" i="405"/>
  <c r="H13" i="405" s="1"/>
  <c r="C12" i="405"/>
  <c r="H12" i="405" s="1"/>
  <c r="C11" i="405"/>
  <c r="H11" i="405" s="1"/>
  <c r="C10" i="405"/>
  <c r="H10" i="405" s="1"/>
  <c r="C7" i="405"/>
  <c r="G4" i="405"/>
  <c r="E4" i="405"/>
  <c r="D26" i="404"/>
  <c r="D31" i="404"/>
  <c r="C45" i="404"/>
  <c r="C44" i="404"/>
  <c r="H44" i="404" s="1"/>
  <c r="C43" i="404"/>
  <c r="H43" i="404" s="1"/>
  <c r="C42" i="404"/>
  <c r="H42" i="404" s="1"/>
  <c r="D40" i="404"/>
  <c r="C39" i="404"/>
  <c r="H39" i="404" s="1"/>
  <c r="C38" i="404"/>
  <c r="H38" i="404" s="1"/>
  <c r="C37" i="404"/>
  <c r="H37" i="404" s="1"/>
  <c r="C36" i="404"/>
  <c r="H36" i="404" s="1"/>
  <c r="C35" i="404"/>
  <c r="H35" i="404" s="1"/>
  <c r="C34" i="404"/>
  <c r="H34" i="404" s="1"/>
  <c r="C31" i="404"/>
  <c r="C30" i="404"/>
  <c r="H30" i="404" s="1"/>
  <c r="C29" i="404"/>
  <c r="H29" i="404" s="1"/>
  <c r="C28" i="404"/>
  <c r="H28" i="404" s="1"/>
  <c r="C27" i="404"/>
  <c r="H27" i="404" s="1"/>
  <c r="C26" i="404"/>
  <c r="D24" i="404"/>
  <c r="C23" i="404"/>
  <c r="H23" i="404" s="1"/>
  <c r="C22" i="404"/>
  <c r="H22" i="404" s="1"/>
  <c r="C21" i="404"/>
  <c r="H21" i="404" s="1"/>
  <c r="D19" i="404"/>
  <c r="E15" i="404" s="1"/>
  <c r="C18" i="404"/>
  <c r="H18" i="404" s="1"/>
  <c r="C17" i="404"/>
  <c r="H17" i="404" s="1"/>
  <c r="C16" i="404"/>
  <c r="H16" i="404" s="1"/>
  <c r="C15" i="404"/>
  <c r="H15" i="404" s="1"/>
  <c r="C14" i="404"/>
  <c r="H14" i="404" s="1"/>
  <c r="C13" i="404"/>
  <c r="H13" i="404" s="1"/>
  <c r="C12" i="404"/>
  <c r="H12" i="404" s="1"/>
  <c r="C11" i="404"/>
  <c r="H11" i="404" s="1"/>
  <c r="C10" i="404"/>
  <c r="H10" i="404" s="1"/>
  <c r="C7" i="404"/>
  <c r="G4" i="404"/>
  <c r="E4" i="404"/>
  <c r="H37" i="405"/>
  <c r="D46" i="404"/>
  <c r="D26" i="403"/>
  <c r="D31" i="403"/>
  <c r="D43" i="403"/>
  <c r="D46" i="403" s="1"/>
  <c r="C45" i="403"/>
  <c r="C44" i="403"/>
  <c r="H44" i="403" s="1"/>
  <c r="C43" i="403"/>
  <c r="C42" i="403"/>
  <c r="H42" i="403" s="1"/>
  <c r="D40" i="403"/>
  <c r="C39" i="403"/>
  <c r="H39" i="403" s="1"/>
  <c r="C38" i="403"/>
  <c r="H38" i="403" s="1"/>
  <c r="C37" i="403"/>
  <c r="H37" i="403" s="1"/>
  <c r="C36" i="403"/>
  <c r="H36" i="403" s="1"/>
  <c r="C35" i="403"/>
  <c r="H35" i="403" s="1"/>
  <c r="C34" i="403"/>
  <c r="H34" i="403" s="1"/>
  <c r="C31" i="403"/>
  <c r="C30" i="403"/>
  <c r="H30" i="403" s="1"/>
  <c r="C29" i="403"/>
  <c r="H29" i="403" s="1"/>
  <c r="C28" i="403"/>
  <c r="H28" i="403" s="1"/>
  <c r="C27" i="403"/>
  <c r="H27" i="403" s="1"/>
  <c r="C26" i="403"/>
  <c r="D24" i="403"/>
  <c r="C23" i="403"/>
  <c r="H23" i="403" s="1"/>
  <c r="C22" i="403"/>
  <c r="H22" i="403" s="1"/>
  <c r="C21" i="403"/>
  <c r="H21" i="403" s="1"/>
  <c r="D19" i="403"/>
  <c r="C18" i="403"/>
  <c r="H18" i="403" s="1"/>
  <c r="C17" i="403"/>
  <c r="H17" i="403" s="1"/>
  <c r="C16" i="403"/>
  <c r="H16" i="403" s="1"/>
  <c r="C15" i="403"/>
  <c r="H15" i="403" s="1"/>
  <c r="C14" i="403"/>
  <c r="H14" i="403" s="1"/>
  <c r="C13" i="403"/>
  <c r="H13" i="403" s="1"/>
  <c r="C12" i="403"/>
  <c r="H12" i="403" s="1"/>
  <c r="E11" i="403"/>
  <c r="C11" i="403"/>
  <c r="H11" i="403" s="1"/>
  <c r="C10" i="403"/>
  <c r="H10" i="403" s="1"/>
  <c r="C7" i="403"/>
  <c r="G4" i="403"/>
  <c r="E4" i="403"/>
  <c r="D46" i="402"/>
  <c r="C45" i="402"/>
  <c r="C44" i="402"/>
  <c r="H44" i="402" s="1"/>
  <c r="C43" i="402"/>
  <c r="H43" i="402" s="1"/>
  <c r="C42" i="402"/>
  <c r="H42" i="402" s="1"/>
  <c r="D40" i="402"/>
  <c r="C39" i="402"/>
  <c r="H39" i="402" s="1"/>
  <c r="C38" i="402"/>
  <c r="H38" i="402" s="1"/>
  <c r="C37" i="402"/>
  <c r="H37" i="402" s="1"/>
  <c r="C36" i="402"/>
  <c r="H36" i="402" s="1"/>
  <c r="C35" i="402"/>
  <c r="H35" i="402" s="1"/>
  <c r="C34" i="402"/>
  <c r="H34" i="402" s="1"/>
  <c r="C31" i="402"/>
  <c r="H31" i="402" s="1"/>
  <c r="C30" i="402"/>
  <c r="H30" i="402" s="1"/>
  <c r="C29" i="402"/>
  <c r="H29" i="402" s="1"/>
  <c r="C28" i="402"/>
  <c r="H28" i="402" s="1"/>
  <c r="C27" i="402"/>
  <c r="H27" i="402" s="1"/>
  <c r="C26" i="402"/>
  <c r="H26" i="402" s="1"/>
  <c r="D24" i="402"/>
  <c r="C23" i="402"/>
  <c r="H23" i="402" s="1"/>
  <c r="C22" i="402"/>
  <c r="H22" i="402" s="1"/>
  <c r="C21" i="402"/>
  <c r="H21" i="402" s="1"/>
  <c r="D19" i="402"/>
  <c r="C18" i="402"/>
  <c r="H18" i="402" s="1"/>
  <c r="C17" i="402"/>
  <c r="H17" i="402" s="1"/>
  <c r="C16" i="402"/>
  <c r="H16" i="402" s="1"/>
  <c r="C15" i="402"/>
  <c r="H15" i="402" s="1"/>
  <c r="C14" i="402"/>
  <c r="H14" i="402" s="1"/>
  <c r="C13" i="402"/>
  <c r="H13" i="402" s="1"/>
  <c r="C12" i="402"/>
  <c r="H12" i="402" s="1"/>
  <c r="C11" i="402"/>
  <c r="H11" i="402" s="1"/>
  <c r="C10" i="402"/>
  <c r="H10" i="402" s="1"/>
  <c r="C7" i="402"/>
  <c r="G4" i="402"/>
  <c r="E4" i="402"/>
  <c r="D32" i="402"/>
  <c r="D26" i="401"/>
  <c r="D32" i="401" s="1"/>
  <c r="C21" i="401"/>
  <c r="H21" i="401" s="1"/>
  <c r="G4" i="401"/>
  <c r="C22" i="401"/>
  <c r="H22" i="401" s="1"/>
  <c r="C23" i="401"/>
  <c r="H23" i="401" s="1"/>
  <c r="C26" i="401"/>
  <c r="C27" i="401"/>
  <c r="H27" i="401" s="1"/>
  <c r="C28" i="401"/>
  <c r="H28" i="401" s="1"/>
  <c r="C29" i="401"/>
  <c r="H29" i="401" s="1"/>
  <c r="C30" i="401"/>
  <c r="H30" i="401" s="1"/>
  <c r="C31" i="401"/>
  <c r="C34" i="401"/>
  <c r="H34" i="401" s="1"/>
  <c r="C35" i="401"/>
  <c r="C36" i="401"/>
  <c r="H36" i="401" s="1"/>
  <c r="C37" i="401"/>
  <c r="H37" i="401" s="1"/>
  <c r="C38" i="401"/>
  <c r="C39" i="401"/>
  <c r="H39" i="401" s="1"/>
  <c r="C42" i="401"/>
  <c r="C43" i="401"/>
  <c r="H43" i="401" s="1"/>
  <c r="C44" i="401"/>
  <c r="H44" i="401" s="1"/>
  <c r="C10" i="401"/>
  <c r="H10" i="401" s="1"/>
  <c r="C11" i="401"/>
  <c r="H11" i="401" s="1"/>
  <c r="C12" i="401"/>
  <c r="H12" i="401" s="1"/>
  <c r="C13" i="401"/>
  <c r="H13" i="401" s="1"/>
  <c r="C14" i="401"/>
  <c r="C15" i="401"/>
  <c r="H15" i="401" s="1"/>
  <c r="C16" i="401"/>
  <c r="H16" i="401" s="1"/>
  <c r="C17" i="401"/>
  <c r="C18" i="401"/>
  <c r="H18" i="401" s="1"/>
  <c r="D46" i="401"/>
  <c r="D24" i="401"/>
  <c r="D40" i="401"/>
  <c r="D19" i="401"/>
  <c r="E14" i="401" s="1"/>
  <c r="C45" i="401"/>
  <c r="C7" i="401"/>
  <c r="E4" i="401"/>
  <c r="C21" i="400"/>
  <c r="H21" i="400" s="1"/>
  <c r="G4" i="400"/>
  <c r="C22" i="400"/>
  <c r="H22" i="400" s="1"/>
  <c r="C23" i="400"/>
  <c r="H23" i="400" s="1"/>
  <c r="C26" i="400"/>
  <c r="H26" i="400" s="1"/>
  <c r="C27" i="400"/>
  <c r="C28" i="400"/>
  <c r="H28" i="400" s="1"/>
  <c r="C29" i="400"/>
  <c r="H29" i="400" s="1"/>
  <c r="C30" i="400"/>
  <c r="H30" i="400" s="1"/>
  <c r="C31" i="400"/>
  <c r="H31" i="400" s="1"/>
  <c r="C34" i="400"/>
  <c r="H34" i="400" s="1"/>
  <c r="C35" i="400"/>
  <c r="H35" i="400" s="1"/>
  <c r="C36" i="400"/>
  <c r="H36" i="400" s="1"/>
  <c r="C37" i="400"/>
  <c r="H37" i="400" s="1"/>
  <c r="C38" i="400"/>
  <c r="H38" i="400" s="1"/>
  <c r="C39" i="400"/>
  <c r="C42" i="400"/>
  <c r="H42" i="400" s="1"/>
  <c r="C43" i="400"/>
  <c r="H43" i="400" s="1"/>
  <c r="C44" i="400"/>
  <c r="H44" i="400" s="1"/>
  <c r="C10" i="400"/>
  <c r="C11" i="400"/>
  <c r="H11" i="400" s="1"/>
  <c r="C12" i="400"/>
  <c r="H12" i="400" s="1"/>
  <c r="C13" i="400"/>
  <c r="H13" i="400" s="1"/>
  <c r="C14" i="400"/>
  <c r="H14" i="400" s="1"/>
  <c r="C15" i="400"/>
  <c r="H15" i="400" s="1"/>
  <c r="C16" i="400"/>
  <c r="H16" i="400" s="1"/>
  <c r="C17" i="400"/>
  <c r="H17" i="400" s="1"/>
  <c r="C18" i="400"/>
  <c r="D46" i="400"/>
  <c r="D24" i="400"/>
  <c r="D32" i="400"/>
  <c r="D40" i="400"/>
  <c r="D19" i="400"/>
  <c r="E19" i="400" s="1"/>
  <c r="C45" i="400"/>
  <c r="C7" i="400"/>
  <c r="E4" i="400"/>
  <c r="D26" i="399"/>
  <c r="D31" i="399"/>
  <c r="C21" i="399"/>
  <c r="G4" i="399"/>
  <c r="C22" i="399"/>
  <c r="H22" i="399" s="1"/>
  <c r="C23" i="399"/>
  <c r="H23" i="399" s="1"/>
  <c r="C26" i="399"/>
  <c r="C27" i="399"/>
  <c r="H27" i="399" s="1"/>
  <c r="C28" i="399"/>
  <c r="H28" i="399" s="1"/>
  <c r="C29" i="399"/>
  <c r="C30" i="399"/>
  <c r="C31" i="399"/>
  <c r="C34" i="399"/>
  <c r="H34" i="399" s="1"/>
  <c r="C35" i="399"/>
  <c r="H35" i="399" s="1"/>
  <c r="C36" i="399"/>
  <c r="H36" i="399" s="1"/>
  <c r="C37" i="399"/>
  <c r="H37" i="399" s="1"/>
  <c r="C38" i="399"/>
  <c r="H38" i="399" s="1"/>
  <c r="C39" i="399"/>
  <c r="C42" i="399"/>
  <c r="H42" i="399" s="1"/>
  <c r="C43" i="399"/>
  <c r="H43" i="399" s="1"/>
  <c r="C44" i="399"/>
  <c r="H44" i="399" s="1"/>
  <c r="C10" i="399"/>
  <c r="H10" i="399" s="1"/>
  <c r="C11" i="399"/>
  <c r="H11" i="399" s="1"/>
  <c r="C12" i="399"/>
  <c r="H12" i="399" s="1"/>
  <c r="C13" i="399"/>
  <c r="C14" i="399"/>
  <c r="C15" i="399"/>
  <c r="H15" i="399" s="1"/>
  <c r="C16" i="399"/>
  <c r="H16" i="399" s="1"/>
  <c r="C17" i="399"/>
  <c r="H17" i="399" s="1"/>
  <c r="C18" i="399"/>
  <c r="H18" i="399" s="1"/>
  <c r="D46" i="399"/>
  <c r="D24" i="399"/>
  <c r="D40" i="399"/>
  <c r="D19" i="399"/>
  <c r="C45" i="399"/>
  <c r="C7" i="399"/>
  <c r="E4" i="399"/>
  <c r="D34" i="398"/>
  <c r="D40" i="398" s="1"/>
  <c r="D26" i="398"/>
  <c r="D42" i="398"/>
  <c r="D46" i="398" s="1"/>
  <c r="C45" i="398"/>
  <c r="C44" i="398"/>
  <c r="H44" i="398" s="1"/>
  <c r="C43" i="398"/>
  <c r="H43" i="398" s="1"/>
  <c r="C42" i="398"/>
  <c r="C39" i="398"/>
  <c r="H39" i="398" s="1"/>
  <c r="C38" i="398"/>
  <c r="H38" i="398" s="1"/>
  <c r="C37" i="398"/>
  <c r="H37" i="398" s="1"/>
  <c r="C36" i="398"/>
  <c r="H36" i="398" s="1"/>
  <c r="C35" i="398"/>
  <c r="H35" i="398" s="1"/>
  <c r="C34" i="398"/>
  <c r="C31" i="398"/>
  <c r="H31" i="398" s="1"/>
  <c r="C30" i="398"/>
  <c r="H30" i="398" s="1"/>
  <c r="C29" i="398"/>
  <c r="H29" i="398" s="1"/>
  <c r="C28" i="398"/>
  <c r="H28" i="398" s="1"/>
  <c r="C27" i="398"/>
  <c r="H27" i="398" s="1"/>
  <c r="C26" i="398"/>
  <c r="D24" i="398"/>
  <c r="C23" i="398"/>
  <c r="H23" i="398" s="1"/>
  <c r="C22" i="398"/>
  <c r="H22" i="398" s="1"/>
  <c r="C21" i="398"/>
  <c r="H21" i="398" s="1"/>
  <c r="D19" i="398"/>
  <c r="C18" i="398"/>
  <c r="H18" i="398" s="1"/>
  <c r="C17" i="398"/>
  <c r="H17" i="398" s="1"/>
  <c r="C16" i="398"/>
  <c r="H16" i="398" s="1"/>
  <c r="C15" i="398"/>
  <c r="H15" i="398" s="1"/>
  <c r="C14" i="398"/>
  <c r="H14" i="398" s="1"/>
  <c r="C13" i="398"/>
  <c r="H13" i="398" s="1"/>
  <c r="C12" i="398"/>
  <c r="H12" i="398" s="1"/>
  <c r="C11" i="398"/>
  <c r="H11" i="398" s="1"/>
  <c r="C10" i="398"/>
  <c r="H10" i="398" s="1"/>
  <c r="C7" i="398"/>
  <c r="G4" i="398"/>
  <c r="E4" i="398"/>
  <c r="D26" i="397"/>
  <c r="D32" i="397" s="1"/>
  <c r="D46" i="397"/>
  <c r="C45" i="397"/>
  <c r="C44" i="397"/>
  <c r="H44" i="397" s="1"/>
  <c r="C43" i="397"/>
  <c r="H43" i="397" s="1"/>
  <c r="C42" i="397"/>
  <c r="H42" i="397" s="1"/>
  <c r="D40" i="397"/>
  <c r="C39" i="397"/>
  <c r="H39" i="397" s="1"/>
  <c r="C38" i="397"/>
  <c r="H38" i="397" s="1"/>
  <c r="C37" i="397"/>
  <c r="H37" i="397" s="1"/>
  <c r="C36" i="397"/>
  <c r="H36" i="397" s="1"/>
  <c r="C35" i="397"/>
  <c r="H35" i="397" s="1"/>
  <c r="C34" i="397"/>
  <c r="H34" i="397" s="1"/>
  <c r="C31" i="397"/>
  <c r="H31" i="397" s="1"/>
  <c r="C30" i="397"/>
  <c r="H30" i="397" s="1"/>
  <c r="C29" i="397"/>
  <c r="H29" i="397" s="1"/>
  <c r="C28" i="397"/>
  <c r="H28" i="397" s="1"/>
  <c r="C27" i="397"/>
  <c r="H27" i="397" s="1"/>
  <c r="C26" i="397"/>
  <c r="D24" i="397"/>
  <c r="C23" i="397"/>
  <c r="H23" i="397" s="1"/>
  <c r="C22" i="397"/>
  <c r="H22" i="397" s="1"/>
  <c r="C21" i="397"/>
  <c r="H21" i="397" s="1"/>
  <c r="D19" i="397"/>
  <c r="C18" i="397"/>
  <c r="H18" i="397" s="1"/>
  <c r="C17" i="397"/>
  <c r="H17" i="397" s="1"/>
  <c r="C16" i="397"/>
  <c r="H16" i="397" s="1"/>
  <c r="C15" i="397"/>
  <c r="H15" i="397" s="1"/>
  <c r="C14" i="397"/>
  <c r="H14" i="397" s="1"/>
  <c r="C13" i="397"/>
  <c r="H13" i="397" s="1"/>
  <c r="C12" i="397"/>
  <c r="H12" i="397" s="1"/>
  <c r="C11" i="397"/>
  <c r="H11" i="397" s="1"/>
  <c r="C10" i="397"/>
  <c r="H10" i="397" s="1"/>
  <c r="C7" i="397"/>
  <c r="G4" i="397"/>
  <c r="E4" i="397"/>
  <c r="D46" i="396"/>
  <c r="C45" i="396"/>
  <c r="C44" i="396"/>
  <c r="H44" i="396" s="1"/>
  <c r="C43" i="396"/>
  <c r="H43" i="396" s="1"/>
  <c r="C42" i="396"/>
  <c r="H42" i="396" s="1"/>
  <c r="D40" i="396"/>
  <c r="C39" i="396"/>
  <c r="H39" i="396" s="1"/>
  <c r="C38" i="396"/>
  <c r="H38" i="396" s="1"/>
  <c r="C37" i="396"/>
  <c r="H37" i="396" s="1"/>
  <c r="C36" i="396"/>
  <c r="H36" i="396" s="1"/>
  <c r="C35" i="396"/>
  <c r="H35" i="396" s="1"/>
  <c r="C34" i="396"/>
  <c r="H34" i="396" s="1"/>
  <c r="C31" i="396"/>
  <c r="H31" i="396" s="1"/>
  <c r="C30" i="396"/>
  <c r="H30" i="396" s="1"/>
  <c r="C29" i="396"/>
  <c r="H29" i="396" s="1"/>
  <c r="C28" i="396"/>
  <c r="H28" i="396" s="1"/>
  <c r="C27" i="396"/>
  <c r="H27" i="396" s="1"/>
  <c r="C26" i="396"/>
  <c r="H26" i="396" s="1"/>
  <c r="D24" i="396"/>
  <c r="C23" i="396"/>
  <c r="H23" i="396" s="1"/>
  <c r="C22" i="396"/>
  <c r="H22" i="396" s="1"/>
  <c r="C21" i="396"/>
  <c r="H21" i="396" s="1"/>
  <c r="C18" i="396"/>
  <c r="H18" i="396" s="1"/>
  <c r="C17" i="396"/>
  <c r="H17" i="396" s="1"/>
  <c r="C16" i="396"/>
  <c r="H16" i="396" s="1"/>
  <c r="C15" i="396"/>
  <c r="H15" i="396" s="1"/>
  <c r="C14" i="396"/>
  <c r="H14" i="396" s="1"/>
  <c r="C13" i="396"/>
  <c r="H13" i="396" s="1"/>
  <c r="C12" i="396"/>
  <c r="H12" i="396" s="1"/>
  <c r="C11" i="396"/>
  <c r="H11" i="396" s="1"/>
  <c r="C10" i="396"/>
  <c r="H10" i="396" s="1"/>
  <c r="C7" i="396"/>
  <c r="G4" i="396"/>
  <c r="E4" i="396"/>
  <c r="D46" i="395"/>
  <c r="C45" i="395"/>
  <c r="C44" i="395"/>
  <c r="C43" i="395"/>
  <c r="H43" i="395" s="1"/>
  <c r="C42" i="395"/>
  <c r="H42" i="395" s="1"/>
  <c r="D40" i="395"/>
  <c r="C39" i="395"/>
  <c r="H39" i="395" s="1"/>
  <c r="C38" i="395"/>
  <c r="H38" i="395" s="1"/>
  <c r="C37" i="395"/>
  <c r="H37" i="395" s="1"/>
  <c r="C36" i="395"/>
  <c r="H36" i="395" s="1"/>
  <c r="C35" i="395"/>
  <c r="H35" i="395" s="1"/>
  <c r="C34" i="395"/>
  <c r="H34" i="395" s="1"/>
  <c r="D32" i="395"/>
  <c r="C31" i="395"/>
  <c r="H31" i="395" s="1"/>
  <c r="C30" i="395"/>
  <c r="H30" i="395" s="1"/>
  <c r="C29" i="395"/>
  <c r="H29" i="395" s="1"/>
  <c r="C28" i="395"/>
  <c r="H28" i="395" s="1"/>
  <c r="C27" i="395"/>
  <c r="H27" i="395" s="1"/>
  <c r="C26" i="395"/>
  <c r="H26" i="395" s="1"/>
  <c r="D24" i="395"/>
  <c r="C23" i="395"/>
  <c r="H23" i="395" s="1"/>
  <c r="C22" i="395"/>
  <c r="H22" i="395" s="1"/>
  <c r="C21" i="395"/>
  <c r="H21" i="395" s="1"/>
  <c r="D19" i="395"/>
  <c r="E14" i="395" s="1"/>
  <c r="C18" i="395"/>
  <c r="H18" i="395" s="1"/>
  <c r="C17" i="395"/>
  <c r="H17" i="395" s="1"/>
  <c r="C16" i="395"/>
  <c r="H16" i="395" s="1"/>
  <c r="C15" i="395"/>
  <c r="H15" i="395" s="1"/>
  <c r="C14" i="395"/>
  <c r="H14" i="395" s="1"/>
  <c r="C13" i="395"/>
  <c r="C12" i="395"/>
  <c r="H12" i="395" s="1"/>
  <c r="E11" i="395"/>
  <c r="C11" i="395"/>
  <c r="H11" i="395" s="1"/>
  <c r="C10" i="395"/>
  <c r="H10" i="395" s="1"/>
  <c r="C7" i="395"/>
  <c r="G2" i="394"/>
  <c r="D46" i="394"/>
  <c r="C45" i="394"/>
  <c r="C44" i="394"/>
  <c r="H44" i="394" s="1"/>
  <c r="C43" i="394"/>
  <c r="H43" i="394" s="1"/>
  <c r="C42" i="394"/>
  <c r="H42" i="394" s="1"/>
  <c r="D40" i="394"/>
  <c r="C39" i="394"/>
  <c r="H39" i="394" s="1"/>
  <c r="C38" i="394"/>
  <c r="H38" i="394" s="1"/>
  <c r="C37" i="394"/>
  <c r="H37" i="394" s="1"/>
  <c r="C36" i="394"/>
  <c r="H36" i="394" s="1"/>
  <c r="C35" i="394"/>
  <c r="H35" i="394" s="1"/>
  <c r="C34" i="394"/>
  <c r="H34" i="394" s="1"/>
  <c r="D32" i="394"/>
  <c r="C31" i="394"/>
  <c r="H31" i="394" s="1"/>
  <c r="C30" i="394"/>
  <c r="H30" i="394" s="1"/>
  <c r="C29" i="394"/>
  <c r="H29" i="394" s="1"/>
  <c r="C28" i="394"/>
  <c r="H28" i="394" s="1"/>
  <c r="C27" i="394"/>
  <c r="H27" i="394" s="1"/>
  <c r="C26" i="394"/>
  <c r="H26" i="394" s="1"/>
  <c r="D24" i="394"/>
  <c r="C23" i="394"/>
  <c r="H23" i="394" s="1"/>
  <c r="C22" i="394"/>
  <c r="H22" i="394" s="1"/>
  <c r="C21" i="394"/>
  <c r="H21" i="394" s="1"/>
  <c r="D19" i="394"/>
  <c r="E18" i="394" s="1"/>
  <c r="C18" i="394"/>
  <c r="H18" i="394" s="1"/>
  <c r="C17" i="394"/>
  <c r="H17" i="394" s="1"/>
  <c r="C16" i="394"/>
  <c r="H16" i="394" s="1"/>
  <c r="C15" i="394"/>
  <c r="H15" i="394" s="1"/>
  <c r="C14" i="394"/>
  <c r="H14" i="394" s="1"/>
  <c r="C13" i="394"/>
  <c r="H13" i="394" s="1"/>
  <c r="C12" i="394"/>
  <c r="H12" i="394" s="1"/>
  <c r="C11" i="394"/>
  <c r="H11" i="394" s="1"/>
  <c r="C10" i="394"/>
  <c r="H10" i="394" s="1"/>
  <c r="C7" i="394"/>
  <c r="C45" i="393"/>
  <c r="C44" i="393"/>
  <c r="H44" i="393" s="1"/>
  <c r="C43" i="393"/>
  <c r="H43" i="393" s="1"/>
  <c r="C42" i="393"/>
  <c r="H42" i="393" s="1"/>
  <c r="C39" i="393"/>
  <c r="H39" i="393" s="1"/>
  <c r="C38" i="393"/>
  <c r="H38" i="393" s="1"/>
  <c r="C37" i="393"/>
  <c r="H37" i="393" s="1"/>
  <c r="C36" i="393"/>
  <c r="H36" i="393" s="1"/>
  <c r="C35" i="393"/>
  <c r="H35" i="393" s="1"/>
  <c r="C34" i="393"/>
  <c r="H34" i="393" s="1"/>
  <c r="C31" i="393"/>
  <c r="H31" i="393" s="1"/>
  <c r="C30" i="393"/>
  <c r="H30" i="393" s="1"/>
  <c r="C29" i="393"/>
  <c r="H29" i="393" s="1"/>
  <c r="C28" i="393"/>
  <c r="H28" i="393" s="1"/>
  <c r="C27" i="393"/>
  <c r="H27" i="393" s="1"/>
  <c r="C26" i="393"/>
  <c r="H26" i="393" s="1"/>
  <c r="D24" i="393"/>
  <c r="C23" i="393"/>
  <c r="H23" i="393" s="1"/>
  <c r="C22" i="393"/>
  <c r="H22" i="393" s="1"/>
  <c r="C21" i="393"/>
  <c r="H21" i="393" s="1"/>
  <c r="D19" i="393"/>
  <c r="E19" i="393" s="1"/>
  <c r="C18" i="393"/>
  <c r="H18" i="393" s="1"/>
  <c r="C17" i="393"/>
  <c r="H17" i="393" s="1"/>
  <c r="C16" i="393"/>
  <c r="H16" i="393" s="1"/>
  <c r="C15" i="393"/>
  <c r="H15" i="393" s="1"/>
  <c r="C14" i="393"/>
  <c r="H14" i="393" s="1"/>
  <c r="C13" i="393"/>
  <c r="H13" i="393" s="1"/>
  <c r="C12" i="393"/>
  <c r="H12" i="393" s="1"/>
  <c r="C11" i="393"/>
  <c r="H11" i="393" s="1"/>
  <c r="C10" i="393"/>
  <c r="H10" i="393" s="1"/>
  <c r="C7" i="393"/>
  <c r="G4" i="393"/>
  <c r="E4" i="393"/>
  <c r="D19" i="396"/>
  <c r="D32" i="396"/>
  <c r="G4" i="395"/>
  <c r="E4" i="395"/>
  <c r="H13" i="395"/>
  <c r="H44" i="395"/>
  <c r="D32" i="393"/>
  <c r="D40" i="393"/>
  <c r="D46" i="393"/>
  <c r="D30" i="392"/>
  <c r="D32" i="392" s="1"/>
  <c r="D34" i="392"/>
  <c r="D40" i="392" s="1"/>
  <c r="D42" i="392"/>
  <c r="C45" i="392"/>
  <c r="C44" i="392"/>
  <c r="H44" i="392" s="1"/>
  <c r="C43" i="392"/>
  <c r="H43" i="392" s="1"/>
  <c r="C42" i="392"/>
  <c r="C39" i="392"/>
  <c r="H39" i="392" s="1"/>
  <c r="C38" i="392"/>
  <c r="H38" i="392" s="1"/>
  <c r="C37" i="392"/>
  <c r="H37" i="392" s="1"/>
  <c r="C36" i="392"/>
  <c r="H36" i="392" s="1"/>
  <c r="C35" i="392"/>
  <c r="H35" i="392" s="1"/>
  <c r="C34" i="392"/>
  <c r="C31" i="392"/>
  <c r="H31" i="392" s="1"/>
  <c r="C30" i="392"/>
  <c r="C29" i="392"/>
  <c r="C28" i="392"/>
  <c r="H28" i="392" s="1"/>
  <c r="C27" i="392"/>
  <c r="H27" i="392" s="1"/>
  <c r="C26" i="392"/>
  <c r="H26" i="392" s="1"/>
  <c r="D24" i="392"/>
  <c r="C23" i="392"/>
  <c r="H23" i="392" s="1"/>
  <c r="C22" i="392"/>
  <c r="H22" i="392" s="1"/>
  <c r="C21" i="392"/>
  <c r="H21" i="392" s="1"/>
  <c r="D19" i="392"/>
  <c r="E10" i="392" s="1"/>
  <c r="C18" i="392"/>
  <c r="H18" i="392" s="1"/>
  <c r="C17" i="392"/>
  <c r="H17" i="392" s="1"/>
  <c r="C16" i="392"/>
  <c r="H16" i="392" s="1"/>
  <c r="C15" i="392"/>
  <c r="H15" i="392" s="1"/>
  <c r="C14" i="392"/>
  <c r="H14" i="392" s="1"/>
  <c r="C13" i="392"/>
  <c r="H13" i="392" s="1"/>
  <c r="C12" i="392"/>
  <c r="H12" i="392" s="1"/>
  <c r="C11" i="392"/>
  <c r="H11" i="392" s="1"/>
  <c r="C10" i="392"/>
  <c r="H10" i="392" s="1"/>
  <c r="C7" i="392"/>
  <c r="G4" i="392"/>
  <c r="E4" i="392"/>
  <c r="C45" i="391"/>
  <c r="C44" i="391"/>
  <c r="H44" i="391" s="1"/>
  <c r="C43" i="391"/>
  <c r="H43" i="391" s="1"/>
  <c r="C42" i="391"/>
  <c r="H42" i="391" s="1"/>
  <c r="C39" i="391"/>
  <c r="H39" i="391" s="1"/>
  <c r="C38" i="391"/>
  <c r="H38" i="391" s="1"/>
  <c r="C37" i="391"/>
  <c r="H37" i="391" s="1"/>
  <c r="C36" i="391"/>
  <c r="H36" i="391" s="1"/>
  <c r="C35" i="391"/>
  <c r="H35" i="391" s="1"/>
  <c r="C34" i="391"/>
  <c r="H34" i="391" s="1"/>
  <c r="D32" i="391"/>
  <c r="C31" i="391"/>
  <c r="H31" i="391" s="1"/>
  <c r="C30" i="391"/>
  <c r="H30" i="391" s="1"/>
  <c r="C29" i="391"/>
  <c r="H29" i="391" s="1"/>
  <c r="C28" i="391"/>
  <c r="H28" i="391" s="1"/>
  <c r="C27" i="391"/>
  <c r="H27" i="391" s="1"/>
  <c r="C26" i="391"/>
  <c r="H26" i="391" s="1"/>
  <c r="D24" i="391"/>
  <c r="C23" i="391"/>
  <c r="H23" i="391" s="1"/>
  <c r="C22" i="391"/>
  <c r="H22" i="391" s="1"/>
  <c r="C21" i="391"/>
  <c r="H21" i="391" s="1"/>
  <c r="D19" i="391"/>
  <c r="E18" i="391" s="1"/>
  <c r="C18" i="391"/>
  <c r="H18" i="391" s="1"/>
  <c r="C17" i="391"/>
  <c r="H17" i="391" s="1"/>
  <c r="C16" i="391"/>
  <c r="H16" i="391" s="1"/>
  <c r="C15" i="391"/>
  <c r="H15" i="391" s="1"/>
  <c r="C14" i="391"/>
  <c r="H14" i="391" s="1"/>
  <c r="C13" i="391"/>
  <c r="H13" i="391" s="1"/>
  <c r="C12" i="391"/>
  <c r="H12" i="391" s="1"/>
  <c r="C11" i="391"/>
  <c r="H11" i="391" s="1"/>
  <c r="C10" i="391"/>
  <c r="H10" i="391" s="1"/>
  <c r="C7" i="391"/>
  <c r="G4" i="391"/>
  <c r="E4" i="391"/>
  <c r="D40" i="391"/>
  <c r="D46" i="391"/>
  <c r="D34" i="390"/>
  <c r="D42" i="390"/>
  <c r="D46" i="390" s="1"/>
  <c r="C21" i="390"/>
  <c r="H21" i="390" s="1"/>
  <c r="G4" i="390"/>
  <c r="C22" i="390"/>
  <c r="H22" i="390" s="1"/>
  <c r="C23" i="390"/>
  <c r="C26" i="390"/>
  <c r="C27" i="390"/>
  <c r="H27" i="390" s="1"/>
  <c r="C28" i="390"/>
  <c r="C29" i="390"/>
  <c r="H29" i="390" s="1"/>
  <c r="C30" i="390"/>
  <c r="H30" i="390" s="1"/>
  <c r="C31" i="390"/>
  <c r="H31" i="390" s="1"/>
  <c r="C34" i="390"/>
  <c r="C35" i="390"/>
  <c r="C36" i="390"/>
  <c r="H36" i="390" s="1"/>
  <c r="C37" i="390"/>
  <c r="H37" i="390" s="1"/>
  <c r="C38" i="390"/>
  <c r="H38" i="390" s="1"/>
  <c r="C39" i="390"/>
  <c r="H39" i="390" s="1"/>
  <c r="C42" i="390"/>
  <c r="C43" i="390"/>
  <c r="C44" i="390"/>
  <c r="H44" i="390" s="1"/>
  <c r="C10" i="390"/>
  <c r="H10" i="390" s="1"/>
  <c r="C11" i="390"/>
  <c r="C12" i="390"/>
  <c r="C13" i="390"/>
  <c r="H13" i="390" s="1"/>
  <c r="C14" i="390"/>
  <c r="H14" i="390" s="1"/>
  <c r="C15" i="390"/>
  <c r="C16" i="390"/>
  <c r="H16" i="390" s="1"/>
  <c r="C17" i="390"/>
  <c r="C18" i="390"/>
  <c r="H18" i="390" s="1"/>
  <c r="D24" i="390"/>
  <c r="D32" i="390"/>
  <c r="D19" i="390"/>
  <c r="C45" i="390"/>
  <c r="C7" i="390"/>
  <c r="E4" i="390"/>
  <c r="D26" i="389"/>
  <c r="D27" i="389"/>
  <c r="D34" i="389"/>
  <c r="D40" i="389" s="1"/>
  <c r="C45" i="389"/>
  <c r="C44" i="389"/>
  <c r="H44" i="389" s="1"/>
  <c r="C43" i="389"/>
  <c r="H43" i="389" s="1"/>
  <c r="C42" i="389"/>
  <c r="H42" i="389" s="1"/>
  <c r="C39" i="389"/>
  <c r="H39" i="389" s="1"/>
  <c r="C38" i="389"/>
  <c r="H38" i="389" s="1"/>
  <c r="C37" i="389"/>
  <c r="H37" i="389" s="1"/>
  <c r="C36" i="389"/>
  <c r="H36" i="389" s="1"/>
  <c r="C35" i="389"/>
  <c r="H35" i="389" s="1"/>
  <c r="C34" i="389"/>
  <c r="C31" i="389"/>
  <c r="H31" i="389" s="1"/>
  <c r="C30" i="389"/>
  <c r="H30" i="389" s="1"/>
  <c r="C29" i="389"/>
  <c r="H29" i="389" s="1"/>
  <c r="C28" i="389"/>
  <c r="H28" i="389" s="1"/>
  <c r="C27" i="389"/>
  <c r="H27" i="389" s="1"/>
  <c r="C26" i="389"/>
  <c r="D24" i="389"/>
  <c r="C23" i="389"/>
  <c r="H23" i="389" s="1"/>
  <c r="C22" i="389"/>
  <c r="H22" i="389" s="1"/>
  <c r="C21" i="389"/>
  <c r="H21" i="389" s="1"/>
  <c r="D19" i="389"/>
  <c r="C18" i="389"/>
  <c r="H18" i="389" s="1"/>
  <c r="C17" i="389"/>
  <c r="H17" i="389" s="1"/>
  <c r="C16" i="389"/>
  <c r="H16" i="389" s="1"/>
  <c r="C15" i="389"/>
  <c r="H15" i="389" s="1"/>
  <c r="C14" i="389"/>
  <c r="H14" i="389" s="1"/>
  <c r="C13" i="389"/>
  <c r="H13" i="389" s="1"/>
  <c r="C12" i="389"/>
  <c r="H12" i="389" s="1"/>
  <c r="C11" i="389"/>
  <c r="H11" i="389" s="1"/>
  <c r="C10" i="389"/>
  <c r="C7" i="389"/>
  <c r="G4" i="389"/>
  <c r="E4" i="389"/>
  <c r="D34" i="388"/>
  <c r="D46" i="388"/>
  <c r="C45" i="388"/>
  <c r="C44" i="388"/>
  <c r="H44" i="388" s="1"/>
  <c r="C43" i="388"/>
  <c r="H43" i="388" s="1"/>
  <c r="C42" i="388"/>
  <c r="H42" i="388" s="1"/>
  <c r="C39" i="388"/>
  <c r="C38" i="388"/>
  <c r="H38" i="388" s="1"/>
  <c r="C37" i="388"/>
  <c r="H37" i="388" s="1"/>
  <c r="C36" i="388"/>
  <c r="H36" i="388" s="1"/>
  <c r="C35" i="388"/>
  <c r="H35" i="388" s="1"/>
  <c r="C34" i="388"/>
  <c r="D32" i="388"/>
  <c r="C31" i="388"/>
  <c r="H31" i="388" s="1"/>
  <c r="C30" i="388"/>
  <c r="H30" i="388" s="1"/>
  <c r="C29" i="388"/>
  <c r="H29" i="388" s="1"/>
  <c r="C28" i="388"/>
  <c r="H28" i="388" s="1"/>
  <c r="C27" i="388"/>
  <c r="H27" i="388" s="1"/>
  <c r="C26" i="388"/>
  <c r="H26" i="388" s="1"/>
  <c r="D24" i="388"/>
  <c r="C23" i="388"/>
  <c r="H23" i="388" s="1"/>
  <c r="C22" i="388"/>
  <c r="H22" i="388" s="1"/>
  <c r="C21" i="388"/>
  <c r="H21" i="388" s="1"/>
  <c r="D19" i="388"/>
  <c r="C18" i="388"/>
  <c r="H18" i="388" s="1"/>
  <c r="C17" i="388"/>
  <c r="H17" i="388" s="1"/>
  <c r="C16" i="388"/>
  <c r="H16" i="388" s="1"/>
  <c r="C15" i="388"/>
  <c r="H15" i="388" s="1"/>
  <c r="C14" i="388"/>
  <c r="H14" i="388" s="1"/>
  <c r="C13" i="388"/>
  <c r="H13" i="388" s="1"/>
  <c r="C12" i="388"/>
  <c r="H12" i="388" s="1"/>
  <c r="C11" i="388"/>
  <c r="H11" i="388" s="1"/>
  <c r="C10" i="388"/>
  <c r="H10" i="388" s="1"/>
  <c r="C7" i="388"/>
  <c r="G4" i="388"/>
  <c r="E4" i="388"/>
  <c r="H10" i="389"/>
  <c r="D46" i="389"/>
  <c r="H39" i="388"/>
  <c r="D46" i="387"/>
  <c r="C45" i="387"/>
  <c r="C44" i="387"/>
  <c r="H44" i="387" s="1"/>
  <c r="C43" i="387"/>
  <c r="H43" i="387" s="1"/>
  <c r="C42" i="387"/>
  <c r="H42" i="387" s="1"/>
  <c r="D40" i="387"/>
  <c r="C39" i="387"/>
  <c r="H39" i="387" s="1"/>
  <c r="C38" i="387"/>
  <c r="H38" i="387" s="1"/>
  <c r="C37" i="387"/>
  <c r="H37" i="387" s="1"/>
  <c r="C36" i="387"/>
  <c r="C35" i="387"/>
  <c r="H35" i="387" s="1"/>
  <c r="C34" i="387"/>
  <c r="H34" i="387" s="1"/>
  <c r="D32" i="387"/>
  <c r="C31" i="387"/>
  <c r="H31" i="387" s="1"/>
  <c r="C30" i="387"/>
  <c r="H30" i="387" s="1"/>
  <c r="C29" i="387"/>
  <c r="H29" i="387" s="1"/>
  <c r="C28" i="387"/>
  <c r="H28" i="387" s="1"/>
  <c r="C27" i="387"/>
  <c r="H27" i="387" s="1"/>
  <c r="C26" i="387"/>
  <c r="H26" i="387" s="1"/>
  <c r="D24" i="387"/>
  <c r="C23" i="387"/>
  <c r="H23" i="387" s="1"/>
  <c r="C22" i="387"/>
  <c r="H22" i="387" s="1"/>
  <c r="C21" i="387"/>
  <c r="H21" i="387" s="1"/>
  <c r="D19" i="387"/>
  <c r="C18" i="387"/>
  <c r="H18" i="387" s="1"/>
  <c r="C17" i="387"/>
  <c r="C16" i="387"/>
  <c r="H16" i="387" s="1"/>
  <c r="C15" i="387"/>
  <c r="H15" i="387" s="1"/>
  <c r="C14" i="387"/>
  <c r="H14" i="387" s="1"/>
  <c r="C13" i="387"/>
  <c r="H13" i="387" s="1"/>
  <c r="C12" i="387"/>
  <c r="H12" i="387" s="1"/>
  <c r="C11" i="387"/>
  <c r="H11" i="387" s="1"/>
  <c r="C10" i="387"/>
  <c r="H10" i="387" s="1"/>
  <c r="C7" i="387"/>
  <c r="G4" i="387"/>
  <c r="E4" i="387"/>
  <c r="D26" i="386"/>
  <c r="D17" i="386"/>
  <c r="D17" i="406" s="1"/>
  <c r="C45" i="386"/>
  <c r="C44" i="386"/>
  <c r="H44" i="386" s="1"/>
  <c r="C43" i="386"/>
  <c r="H43" i="386" s="1"/>
  <c r="C42" i="386"/>
  <c r="H42" i="386" s="1"/>
  <c r="C39" i="386"/>
  <c r="H39" i="386" s="1"/>
  <c r="C38" i="386"/>
  <c r="H38" i="386" s="1"/>
  <c r="C37" i="386"/>
  <c r="H37" i="386" s="1"/>
  <c r="C36" i="386"/>
  <c r="C35" i="386"/>
  <c r="H35" i="386" s="1"/>
  <c r="C34" i="386"/>
  <c r="H34" i="386" s="1"/>
  <c r="C31" i="386"/>
  <c r="H31" i="386" s="1"/>
  <c r="C30" i="386"/>
  <c r="H30" i="386" s="1"/>
  <c r="C29" i="386"/>
  <c r="H29" i="386" s="1"/>
  <c r="C28" i="386"/>
  <c r="H28" i="386" s="1"/>
  <c r="C27" i="386"/>
  <c r="H27" i="386" s="1"/>
  <c r="C26" i="386"/>
  <c r="D24" i="386"/>
  <c r="C23" i="386"/>
  <c r="H23" i="386" s="1"/>
  <c r="C22" i="386"/>
  <c r="H22" i="386" s="1"/>
  <c r="C21" i="386"/>
  <c r="H21" i="386" s="1"/>
  <c r="C18" i="386"/>
  <c r="H18" i="386" s="1"/>
  <c r="C17" i="386"/>
  <c r="C16" i="386"/>
  <c r="H16" i="386" s="1"/>
  <c r="C15" i="386"/>
  <c r="C14" i="386"/>
  <c r="H14" i="386" s="1"/>
  <c r="C13" i="386"/>
  <c r="H13" i="386" s="1"/>
  <c r="C12" i="386"/>
  <c r="H12" i="386" s="1"/>
  <c r="C11" i="386"/>
  <c r="H11" i="386" s="1"/>
  <c r="C10" i="386"/>
  <c r="H10" i="386" s="1"/>
  <c r="C7" i="386"/>
  <c r="G4" i="386"/>
  <c r="E4" i="386"/>
  <c r="D34" i="385"/>
  <c r="D40" i="385" s="1"/>
  <c r="D46" i="385"/>
  <c r="C45" i="385"/>
  <c r="C44" i="385"/>
  <c r="H44" i="385" s="1"/>
  <c r="C43" i="385"/>
  <c r="H43" i="385" s="1"/>
  <c r="C42" i="385"/>
  <c r="H42" i="385" s="1"/>
  <c r="C39" i="385"/>
  <c r="H39" i="385" s="1"/>
  <c r="C38" i="385"/>
  <c r="C37" i="385"/>
  <c r="H37" i="385" s="1"/>
  <c r="C36" i="385"/>
  <c r="H36" i="385" s="1"/>
  <c r="C35" i="385"/>
  <c r="H35" i="385" s="1"/>
  <c r="C34" i="385"/>
  <c r="D32" i="385"/>
  <c r="C31" i="385"/>
  <c r="H31" i="385" s="1"/>
  <c r="C30" i="385"/>
  <c r="H30" i="385" s="1"/>
  <c r="C29" i="385"/>
  <c r="H29" i="385" s="1"/>
  <c r="C28" i="385"/>
  <c r="H28" i="385" s="1"/>
  <c r="C27" i="385"/>
  <c r="H27" i="385" s="1"/>
  <c r="C26" i="385"/>
  <c r="H26" i="385" s="1"/>
  <c r="D24" i="385"/>
  <c r="C23" i="385"/>
  <c r="H23" i="385" s="1"/>
  <c r="C22" i="385"/>
  <c r="H22" i="385" s="1"/>
  <c r="C21" i="385"/>
  <c r="H21" i="385" s="1"/>
  <c r="D19" i="385"/>
  <c r="E19" i="385" s="1"/>
  <c r="C18" i="385"/>
  <c r="H18" i="385" s="1"/>
  <c r="C17" i="385"/>
  <c r="H17" i="385" s="1"/>
  <c r="C16" i="385"/>
  <c r="H16" i="385" s="1"/>
  <c r="C15" i="385"/>
  <c r="H15" i="385" s="1"/>
  <c r="C14" i="385"/>
  <c r="H14" i="385" s="1"/>
  <c r="C13" i="385"/>
  <c r="H13" i="385" s="1"/>
  <c r="C12" i="385"/>
  <c r="H12" i="385" s="1"/>
  <c r="E11" i="385"/>
  <c r="C11" i="385"/>
  <c r="H11" i="385" s="1"/>
  <c r="C10" i="385"/>
  <c r="H10" i="385" s="1"/>
  <c r="C7" i="385"/>
  <c r="G4" i="385"/>
  <c r="E4" i="385"/>
  <c r="D26" i="384"/>
  <c r="D40" i="383"/>
  <c r="D26" i="383"/>
  <c r="D32" i="383" s="1"/>
  <c r="D24" i="383"/>
  <c r="D19" i="383"/>
  <c r="E16" i="383" s="1"/>
  <c r="D46" i="384"/>
  <c r="C45" i="384"/>
  <c r="C44" i="384"/>
  <c r="H44" i="384" s="1"/>
  <c r="C43" i="384"/>
  <c r="H43" i="384" s="1"/>
  <c r="C42" i="384"/>
  <c r="H42" i="384" s="1"/>
  <c r="D40" i="384"/>
  <c r="C39" i="384"/>
  <c r="H39" i="384" s="1"/>
  <c r="C38" i="384"/>
  <c r="H38" i="384" s="1"/>
  <c r="C37" i="384"/>
  <c r="H37" i="384" s="1"/>
  <c r="C36" i="384"/>
  <c r="H36" i="384" s="1"/>
  <c r="C35" i="384"/>
  <c r="H35" i="384" s="1"/>
  <c r="C34" i="384"/>
  <c r="H34" i="384" s="1"/>
  <c r="C31" i="384"/>
  <c r="H31" i="384" s="1"/>
  <c r="C30" i="384"/>
  <c r="H30" i="384" s="1"/>
  <c r="C29" i="384"/>
  <c r="H29" i="384" s="1"/>
  <c r="C28" i="384"/>
  <c r="H28" i="384" s="1"/>
  <c r="C27" i="384"/>
  <c r="H27" i="384" s="1"/>
  <c r="C26" i="384"/>
  <c r="D24" i="384"/>
  <c r="C23" i="384"/>
  <c r="H23" i="384" s="1"/>
  <c r="C22" i="384"/>
  <c r="H22" i="384" s="1"/>
  <c r="C21" i="384"/>
  <c r="H21" i="384" s="1"/>
  <c r="D19" i="384"/>
  <c r="C18" i="384"/>
  <c r="H18" i="384" s="1"/>
  <c r="C17" i="384"/>
  <c r="H17" i="384" s="1"/>
  <c r="C16" i="384"/>
  <c r="H16" i="384" s="1"/>
  <c r="C15" i="384"/>
  <c r="H15" i="384" s="1"/>
  <c r="C14" i="384"/>
  <c r="H14" i="384" s="1"/>
  <c r="C13" i="384"/>
  <c r="H13" i="384" s="1"/>
  <c r="C12" i="384"/>
  <c r="H12" i="384" s="1"/>
  <c r="C11" i="384"/>
  <c r="H11" i="384" s="1"/>
  <c r="C10" i="384"/>
  <c r="H10" i="384" s="1"/>
  <c r="C7" i="384"/>
  <c r="G4" i="384"/>
  <c r="E4" i="384"/>
  <c r="C45" i="383"/>
  <c r="C44" i="383"/>
  <c r="H44" i="383" s="1"/>
  <c r="C43" i="383"/>
  <c r="H43" i="383" s="1"/>
  <c r="C42" i="383"/>
  <c r="H42" i="383" s="1"/>
  <c r="C39" i="383"/>
  <c r="H39" i="383" s="1"/>
  <c r="C38" i="383"/>
  <c r="H38" i="383" s="1"/>
  <c r="C37" i="383"/>
  <c r="H37" i="383" s="1"/>
  <c r="C36" i="383"/>
  <c r="H36" i="383" s="1"/>
  <c r="C35" i="383"/>
  <c r="H35" i="383" s="1"/>
  <c r="C34" i="383"/>
  <c r="H34" i="383" s="1"/>
  <c r="C31" i="383"/>
  <c r="H31" i="383" s="1"/>
  <c r="C30" i="383"/>
  <c r="H30" i="383" s="1"/>
  <c r="C29" i="383"/>
  <c r="C28" i="383"/>
  <c r="H28" i="383" s="1"/>
  <c r="C27" i="383"/>
  <c r="H27" i="383" s="1"/>
  <c r="C26" i="383"/>
  <c r="C23" i="383"/>
  <c r="H23" i="383" s="1"/>
  <c r="C22" i="383"/>
  <c r="H22" i="383" s="1"/>
  <c r="C21" i="383"/>
  <c r="H21" i="383" s="1"/>
  <c r="C18" i="383"/>
  <c r="H18" i="383" s="1"/>
  <c r="C17" i="383"/>
  <c r="H17" i="383" s="1"/>
  <c r="C16" i="383"/>
  <c r="H16" i="383" s="1"/>
  <c r="C15" i="383"/>
  <c r="H15" i="383" s="1"/>
  <c r="C14" i="383"/>
  <c r="C13" i="383"/>
  <c r="H13" i="383" s="1"/>
  <c r="C12" i="383"/>
  <c r="H12" i="383" s="1"/>
  <c r="C11" i="383"/>
  <c r="H11" i="383" s="1"/>
  <c r="C10" i="383"/>
  <c r="H10" i="383" s="1"/>
  <c r="C7" i="383"/>
  <c r="G4" i="383"/>
  <c r="E4" i="383"/>
  <c r="D26" i="381"/>
  <c r="D46" i="381"/>
  <c r="C45" i="381"/>
  <c r="C44" i="381"/>
  <c r="H44" i="381" s="1"/>
  <c r="C43" i="381"/>
  <c r="H43" i="381" s="1"/>
  <c r="C42" i="381"/>
  <c r="H42" i="381" s="1"/>
  <c r="D40" i="381"/>
  <c r="C39" i="381"/>
  <c r="H39" i="381" s="1"/>
  <c r="C38" i="381"/>
  <c r="H38" i="381" s="1"/>
  <c r="C37" i="381"/>
  <c r="H37" i="381" s="1"/>
  <c r="C36" i="381"/>
  <c r="H36" i="381" s="1"/>
  <c r="C35" i="381"/>
  <c r="H35" i="381" s="1"/>
  <c r="C34" i="381"/>
  <c r="H34" i="381" s="1"/>
  <c r="C31" i="381"/>
  <c r="H31" i="381" s="1"/>
  <c r="C30" i="381"/>
  <c r="H30" i="381" s="1"/>
  <c r="C29" i="381"/>
  <c r="H29" i="381" s="1"/>
  <c r="C28" i="381"/>
  <c r="H28" i="381" s="1"/>
  <c r="C27" i="381"/>
  <c r="C26" i="381"/>
  <c r="D24" i="381"/>
  <c r="C23" i="381"/>
  <c r="H23" i="381" s="1"/>
  <c r="C22" i="381"/>
  <c r="H22" i="381" s="1"/>
  <c r="C21" i="381"/>
  <c r="H21" i="381" s="1"/>
  <c r="D19" i="381"/>
  <c r="E14" i="381" s="1"/>
  <c r="C18" i="381"/>
  <c r="C17" i="381"/>
  <c r="H17" i="381" s="1"/>
  <c r="C16" i="381"/>
  <c r="H16" i="381" s="1"/>
  <c r="C15" i="381"/>
  <c r="H15" i="381" s="1"/>
  <c r="C14" i="381"/>
  <c r="H14" i="381" s="1"/>
  <c r="C13" i="381"/>
  <c r="H13" i="381" s="1"/>
  <c r="C12" i="381"/>
  <c r="H12" i="381" s="1"/>
  <c r="C11" i="381"/>
  <c r="H11" i="381" s="1"/>
  <c r="C10" i="381"/>
  <c r="H10" i="381" s="1"/>
  <c r="C7" i="381"/>
  <c r="G4" i="381"/>
  <c r="E4" i="381"/>
  <c r="D26" i="380"/>
  <c r="D32" i="380" s="1"/>
  <c r="D46" i="380"/>
  <c r="C45" i="380"/>
  <c r="C44" i="380"/>
  <c r="H44" i="380" s="1"/>
  <c r="C43" i="380"/>
  <c r="H43" i="380" s="1"/>
  <c r="C42" i="380"/>
  <c r="H42" i="380" s="1"/>
  <c r="D40" i="380"/>
  <c r="C39" i="380"/>
  <c r="H39" i="380" s="1"/>
  <c r="C38" i="380"/>
  <c r="H38" i="380" s="1"/>
  <c r="C37" i="380"/>
  <c r="H37" i="380" s="1"/>
  <c r="C36" i="380"/>
  <c r="H36" i="380" s="1"/>
  <c r="C35" i="380"/>
  <c r="H35" i="380" s="1"/>
  <c r="C34" i="380"/>
  <c r="H34" i="380" s="1"/>
  <c r="C31" i="380"/>
  <c r="H31" i="380" s="1"/>
  <c r="C30" i="380"/>
  <c r="H30" i="380" s="1"/>
  <c r="C29" i="380"/>
  <c r="H29" i="380" s="1"/>
  <c r="C28" i="380"/>
  <c r="H28" i="380" s="1"/>
  <c r="C27" i="380"/>
  <c r="H27" i="380" s="1"/>
  <c r="C26" i="380"/>
  <c r="D24" i="380"/>
  <c r="C23" i="380"/>
  <c r="H23" i="380" s="1"/>
  <c r="C22" i="380"/>
  <c r="H22" i="380" s="1"/>
  <c r="C21" i="380"/>
  <c r="H21" i="380" s="1"/>
  <c r="D19" i="380"/>
  <c r="E18" i="380" s="1"/>
  <c r="C18" i="380"/>
  <c r="H18" i="380" s="1"/>
  <c r="C17" i="380"/>
  <c r="H17" i="380" s="1"/>
  <c r="C16" i="380"/>
  <c r="H16" i="380" s="1"/>
  <c r="C15" i="380"/>
  <c r="H15" i="380" s="1"/>
  <c r="C14" i="380"/>
  <c r="H14" i="380" s="1"/>
  <c r="C13" i="380"/>
  <c r="H13" i="380" s="1"/>
  <c r="C12" i="380"/>
  <c r="H12" i="380" s="1"/>
  <c r="C11" i="380"/>
  <c r="H11" i="380" s="1"/>
  <c r="C10" i="380"/>
  <c r="C7" i="380"/>
  <c r="G4" i="380"/>
  <c r="E4" i="380"/>
  <c r="D26" i="379"/>
  <c r="D32" i="379" s="1"/>
  <c r="C45" i="379"/>
  <c r="C44" i="379"/>
  <c r="H44" i="379" s="1"/>
  <c r="C43" i="379"/>
  <c r="H43" i="379" s="1"/>
  <c r="C42" i="379"/>
  <c r="H42" i="379" s="1"/>
  <c r="C39" i="379"/>
  <c r="H39" i="379" s="1"/>
  <c r="C38" i="379"/>
  <c r="H38" i="379" s="1"/>
  <c r="C37" i="379"/>
  <c r="H37" i="379" s="1"/>
  <c r="C36" i="379"/>
  <c r="H36" i="379" s="1"/>
  <c r="C35" i="379"/>
  <c r="H35" i="379" s="1"/>
  <c r="C34" i="379"/>
  <c r="H34" i="379" s="1"/>
  <c r="C31" i="379"/>
  <c r="H31" i="379" s="1"/>
  <c r="C30" i="379"/>
  <c r="H30" i="379" s="1"/>
  <c r="C29" i="379"/>
  <c r="H29" i="379" s="1"/>
  <c r="C28" i="379"/>
  <c r="H28" i="379" s="1"/>
  <c r="C27" i="379"/>
  <c r="H27" i="379" s="1"/>
  <c r="C26" i="379"/>
  <c r="D24" i="379"/>
  <c r="C23" i="379"/>
  <c r="H23" i="379" s="1"/>
  <c r="C22" i="379"/>
  <c r="H22" i="379" s="1"/>
  <c r="C21" i="379"/>
  <c r="H21" i="379" s="1"/>
  <c r="D19" i="379"/>
  <c r="E19" i="379" s="1"/>
  <c r="C18" i="379"/>
  <c r="H18" i="379" s="1"/>
  <c r="C17" i="379"/>
  <c r="H17" i="379" s="1"/>
  <c r="C16" i="379"/>
  <c r="H16" i="379" s="1"/>
  <c r="C15" i="379"/>
  <c r="H15" i="379" s="1"/>
  <c r="C14" i="379"/>
  <c r="H14" i="379" s="1"/>
  <c r="C13" i="379"/>
  <c r="H13" i="379" s="1"/>
  <c r="C12" i="379"/>
  <c r="H12" i="379" s="1"/>
  <c r="C11" i="379"/>
  <c r="H11" i="379" s="1"/>
  <c r="C10" i="379"/>
  <c r="H10" i="379" s="1"/>
  <c r="C7" i="379"/>
  <c r="G4" i="379"/>
  <c r="E4" i="379"/>
  <c r="H17" i="387"/>
  <c r="H36" i="387"/>
  <c r="H15" i="386"/>
  <c r="D40" i="386"/>
  <c r="H36" i="386"/>
  <c r="D46" i="386"/>
  <c r="H38" i="385"/>
  <c r="H14" i="383"/>
  <c r="H29" i="383"/>
  <c r="D46" i="383"/>
  <c r="H18" i="381"/>
  <c r="H27" i="381"/>
  <c r="H10" i="380"/>
  <c r="D40" i="379"/>
  <c r="D46" i="379"/>
  <c r="D26" i="378"/>
  <c r="D32" i="378" s="1"/>
  <c r="D34" i="378"/>
  <c r="D40" i="378" s="1"/>
  <c r="D42" i="378"/>
  <c r="D46" i="378" s="1"/>
  <c r="C21" i="378"/>
  <c r="H21" i="378" s="1"/>
  <c r="G4" i="378"/>
  <c r="C22" i="378"/>
  <c r="H22" i="378" s="1"/>
  <c r="C23" i="378"/>
  <c r="H23" i="378" s="1"/>
  <c r="C26" i="378"/>
  <c r="C27" i="378"/>
  <c r="H27" i="378" s="1"/>
  <c r="C28" i="378"/>
  <c r="H28" i="378" s="1"/>
  <c r="C29" i="378"/>
  <c r="H29" i="378" s="1"/>
  <c r="C30" i="378"/>
  <c r="H30" i="378" s="1"/>
  <c r="C31" i="378"/>
  <c r="H31" i="378" s="1"/>
  <c r="C34" i="378"/>
  <c r="C35" i="378"/>
  <c r="H35" i="378" s="1"/>
  <c r="C36" i="378"/>
  <c r="H36" i="378" s="1"/>
  <c r="C37" i="378"/>
  <c r="H37" i="378" s="1"/>
  <c r="C38" i="378"/>
  <c r="H38" i="378" s="1"/>
  <c r="C39" i="378"/>
  <c r="H39" i="378" s="1"/>
  <c r="C42" i="378"/>
  <c r="C43" i="378"/>
  <c r="H43" i="378" s="1"/>
  <c r="C44" i="378"/>
  <c r="H44" i="378" s="1"/>
  <c r="C10" i="378"/>
  <c r="H10" i="378" s="1"/>
  <c r="C11" i="378"/>
  <c r="H11" i="378" s="1"/>
  <c r="C12" i="378"/>
  <c r="H12" i="378" s="1"/>
  <c r="C13" i="378"/>
  <c r="H13" i="378" s="1"/>
  <c r="C14" i="378"/>
  <c r="H14" i="378" s="1"/>
  <c r="C15" i="378"/>
  <c r="H15" i="378" s="1"/>
  <c r="C16" i="378"/>
  <c r="H16" i="378" s="1"/>
  <c r="C17" i="378"/>
  <c r="H17" i="378" s="1"/>
  <c r="C18" i="378"/>
  <c r="H18" i="378" s="1"/>
  <c r="D24" i="378"/>
  <c r="D19" i="378"/>
  <c r="E16" i="378" s="1"/>
  <c r="C45" i="378"/>
  <c r="C7" i="378"/>
  <c r="E4" i="378"/>
  <c r="D26" i="377"/>
  <c r="D32" i="377" s="1"/>
  <c r="C21" i="377"/>
  <c r="H21" i="377" s="1"/>
  <c r="G4" i="377"/>
  <c r="C22" i="377"/>
  <c r="C23" i="377"/>
  <c r="H23" i="377" s="1"/>
  <c r="C26" i="377"/>
  <c r="C27" i="377"/>
  <c r="H27" i="377" s="1"/>
  <c r="C28" i="377"/>
  <c r="H28" i="377" s="1"/>
  <c r="C29" i="377"/>
  <c r="C30" i="377"/>
  <c r="H30" i="377" s="1"/>
  <c r="C31" i="377"/>
  <c r="H31" i="377" s="1"/>
  <c r="C34" i="377"/>
  <c r="H34" i="377" s="1"/>
  <c r="C35" i="377"/>
  <c r="H35" i="377" s="1"/>
  <c r="C36" i="377"/>
  <c r="H36" i="377" s="1"/>
  <c r="C37" i="377"/>
  <c r="H37" i="377" s="1"/>
  <c r="C38" i="377"/>
  <c r="H38" i="377" s="1"/>
  <c r="C39" i="377"/>
  <c r="H39" i="377" s="1"/>
  <c r="C42" i="377"/>
  <c r="H42" i="377" s="1"/>
  <c r="C43" i="377"/>
  <c r="H43" i="377" s="1"/>
  <c r="C44" i="377"/>
  <c r="H44" i="377" s="1"/>
  <c r="C10" i="377"/>
  <c r="H10" i="377" s="1"/>
  <c r="C11" i="377"/>
  <c r="H11" i="377" s="1"/>
  <c r="C12" i="377"/>
  <c r="C13" i="377"/>
  <c r="H13" i="377" s="1"/>
  <c r="C14" i="377"/>
  <c r="H14" i="377" s="1"/>
  <c r="C15" i="377"/>
  <c r="H15" i="377" s="1"/>
  <c r="C16" i="377"/>
  <c r="H16" i="377" s="1"/>
  <c r="C17" i="377"/>
  <c r="H17" i="377" s="1"/>
  <c r="C18" i="377"/>
  <c r="H18" i="377" s="1"/>
  <c r="D46" i="377"/>
  <c r="D24" i="377"/>
  <c r="D40" i="377"/>
  <c r="D19" i="377"/>
  <c r="E16" i="377" s="1"/>
  <c r="C45" i="377"/>
  <c r="C7" i="377"/>
  <c r="E4" i="377"/>
  <c r="C21" i="376"/>
  <c r="G4" i="376"/>
  <c r="C22" i="376"/>
  <c r="H22" i="376" s="1"/>
  <c r="C23" i="376"/>
  <c r="H23" i="376" s="1"/>
  <c r="C26" i="376"/>
  <c r="H26" i="376" s="1"/>
  <c r="C27" i="376"/>
  <c r="C28" i="376"/>
  <c r="H28" i="376" s="1"/>
  <c r="C29" i="376"/>
  <c r="H29" i="376" s="1"/>
  <c r="C30" i="376"/>
  <c r="C31" i="376"/>
  <c r="H31" i="376" s="1"/>
  <c r="C34" i="376"/>
  <c r="H34" i="376" s="1"/>
  <c r="C35" i="376"/>
  <c r="H35" i="376" s="1"/>
  <c r="C36" i="376"/>
  <c r="H36" i="376" s="1"/>
  <c r="C37" i="376"/>
  <c r="C38" i="376"/>
  <c r="H38" i="376" s="1"/>
  <c r="C39" i="376"/>
  <c r="H39" i="376" s="1"/>
  <c r="C42" i="376"/>
  <c r="H42" i="376" s="1"/>
  <c r="C43" i="376"/>
  <c r="H43" i="376" s="1"/>
  <c r="C44" i="376"/>
  <c r="H44" i="376" s="1"/>
  <c r="C10" i="376"/>
  <c r="C11" i="376"/>
  <c r="H11" i="376" s="1"/>
  <c r="C12" i="376"/>
  <c r="H12" i="376" s="1"/>
  <c r="C13" i="376"/>
  <c r="C14" i="376"/>
  <c r="H14" i="376" s="1"/>
  <c r="C15" i="376"/>
  <c r="H15" i="376" s="1"/>
  <c r="C16" i="376"/>
  <c r="H16" i="376" s="1"/>
  <c r="C17" i="376"/>
  <c r="H17" i="376" s="1"/>
  <c r="C18" i="376"/>
  <c r="D46" i="376"/>
  <c r="D24" i="376"/>
  <c r="D32" i="376"/>
  <c r="D40" i="376"/>
  <c r="D19" i="376"/>
  <c r="E11" i="376" s="1"/>
  <c r="C45" i="376"/>
  <c r="C7" i="376"/>
  <c r="E4" i="376"/>
  <c r="C21" i="375"/>
  <c r="H21" i="375" s="1"/>
  <c r="G4" i="375"/>
  <c r="C22" i="375"/>
  <c r="H22" i="375" s="1"/>
  <c r="C23" i="375"/>
  <c r="H23" i="375" s="1"/>
  <c r="C26" i="375"/>
  <c r="H26" i="375" s="1"/>
  <c r="C27" i="375"/>
  <c r="H27" i="375" s="1"/>
  <c r="C28" i="375"/>
  <c r="C29" i="375"/>
  <c r="H29" i="375" s="1"/>
  <c r="C30" i="375"/>
  <c r="H30" i="375" s="1"/>
  <c r="C31" i="375"/>
  <c r="C34" i="375"/>
  <c r="H34" i="375" s="1"/>
  <c r="C35" i="375"/>
  <c r="H35" i="375" s="1"/>
  <c r="C36" i="375"/>
  <c r="C37" i="375"/>
  <c r="H37" i="375" s="1"/>
  <c r="C38" i="375"/>
  <c r="H38" i="375" s="1"/>
  <c r="C39" i="375"/>
  <c r="H39" i="375" s="1"/>
  <c r="C42" i="375"/>
  <c r="C43" i="375"/>
  <c r="H43" i="375" s="1"/>
  <c r="C44" i="375"/>
  <c r="H44" i="375" s="1"/>
  <c r="C10" i="375"/>
  <c r="H10" i="375" s="1"/>
  <c r="C11" i="375"/>
  <c r="C12" i="375"/>
  <c r="H12" i="375" s="1"/>
  <c r="C13" i="375"/>
  <c r="H13" i="375" s="1"/>
  <c r="C14" i="375"/>
  <c r="C15" i="375"/>
  <c r="H15" i="375" s="1"/>
  <c r="C16" i="375"/>
  <c r="H16" i="375" s="1"/>
  <c r="C17" i="375"/>
  <c r="H17" i="375" s="1"/>
  <c r="C18" i="375"/>
  <c r="H18" i="375" s="1"/>
  <c r="D46" i="375"/>
  <c r="D24" i="375"/>
  <c r="D32" i="375"/>
  <c r="D40" i="375"/>
  <c r="D19" i="375"/>
  <c r="C45" i="375"/>
  <c r="C7" i="375"/>
  <c r="E4" i="375"/>
  <c r="D34" i="374"/>
  <c r="D40" i="374" s="1"/>
  <c r="D26" i="374"/>
  <c r="D32" i="374" s="1"/>
  <c r="D42" i="374"/>
  <c r="C21" i="374"/>
  <c r="H21" i="374" s="1"/>
  <c r="G4" i="374"/>
  <c r="C22" i="374"/>
  <c r="C23" i="374"/>
  <c r="H23" i="374" s="1"/>
  <c r="C26" i="374"/>
  <c r="C27" i="374"/>
  <c r="H27" i="374" s="1"/>
  <c r="C28" i="374"/>
  <c r="C29" i="374"/>
  <c r="H29" i="374" s="1"/>
  <c r="C30" i="374"/>
  <c r="H30" i="374" s="1"/>
  <c r="C31" i="374"/>
  <c r="H31" i="374" s="1"/>
  <c r="C34" i="374"/>
  <c r="C35" i="374"/>
  <c r="H35" i="374" s="1"/>
  <c r="C36" i="374"/>
  <c r="H36" i="374" s="1"/>
  <c r="C37" i="374"/>
  <c r="H37" i="374" s="1"/>
  <c r="C38" i="374"/>
  <c r="H38" i="374" s="1"/>
  <c r="C39" i="374"/>
  <c r="H39" i="374" s="1"/>
  <c r="C42" i="374"/>
  <c r="C43" i="374"/>
  <c r="H43" i="374" s="1"/>
  <c r="C44" i="374"/>
  <c r="C10" i="374"/>
  <c r="H10" i="374" s="1"/>
  <c r="C11" i="374"/>
  <c r="C12" i="374"/>
  <c r="H12" i="374" s="1"/>
  <c r="C13" i="374"/>
  <c r="H13" i="374" s="1"/>
  <c r="C14" i="374"/>
  <c r="H14" i="374" s="1"/>
  <c r="C15" i="374"/>
  <c r="H15" i="374" s="1"/>
  <c r="C16" i="374"/>
  <c r="C17" i="374"/>
  <c r="H17" i="374" s="1"/>
  <c r="C18" i="374"/>
  <c r="H18" i="374" s="1"/>
  <c r="D24" i="374"/>
  <c r="D19" i="374"/>
  <c r="E17" i="374" s="1"/>
  <c r="C45" i="374"/>
  <c r="C7" i="374"/>
  <c r="E4" i="374"/>
  <c r="D34" i="373"/>
  <c r="D40" i="373" s="1"/>
  <c r="D26" i="373"/>
  <c r="D31" i="373"/>
  <c r="D42" i="373"/>
  <c r="C21" i="373"/>
  <c r="H21" i="373" s="1"/>
  <c r="G4" i="373"/>
  <c r="C22" i="373"/>
  <c r="H22" i="373" s="1"/>
  <c r="C23" i="373"/>
  <c r="H23" i="373" s="1"/>
  <c r="C26" i="373"/>
  <c r="C27" i="373"/>
  <c r="H27" i="373" s="1"/>
  <c r="C28" i="373"/>
  <c r="H28" i="373" s="1"/>
  <c r="C29" i="373"/>
  <c r="H29" i="373" s="1"/>
  <c r="C30" i="373"/>
  <c r="H30" i="373" s="1"/>
  <c r="C31" i="373"/>
  <c r="C34" i="373"/>
  <c r="C35" i="373"/>
  <c r="H35" i="373" s="1"/>
  <c r="C36" i="373"/>
  <c r="H36" i="373" s="1"/>
  <c r="C37" i="373"/>
  <c r="C38" i="373"/>
  <c r="H38" i="373" s="1"/>
  <c r="C39" i="373"/>
  <c r="H39" i="373" s="1"/>
  <c r="C42" i="373"/>
  <c r="C43" i="373"/>
  <c r="C44" i="373"/>
  <c r="H44" i="373" s="1"/>
  <c r="C10" i="373"/>
  <c r="H10" i="373" s="1"/>
  <c r="C11" i="373"/>
  <c r="H11" i="373" s="1"/>
  <c r="C12" i="373"/>
  <c r="H12" i="373" s="1"/>
  <c r="C13" i="373"/>
  <c r="H13" i="373" s="1"/>
  <c r="C14" i="373"/>
  <c r="H14" i="373" s="1"/>
  <c r="C15" i="373"/>
  <c r="C16" i="373"/>
  <c r="H16" i="373" s="1"/>
  <c r="C17" i="373"/>
  <c r="C18" i="373"/>
  <c r="H18" i="373" s="1"/>
  <c r="D24" i="373"/>
  <c r="D19" i="373"/>
  <c r="E19" i="373" s="1"/>
  <c r="C45" i="373"/>
  <c r="C7" i="373"/>
  <c r="E4" i="373"/>
  <c r="D34" i="372"/>
  <c r="D40" i="372" s="1"/>
  <c r="D42" i="372"/>
  <c r="D46" i="372" s="1"/>
  <c r="C21" i="372"/>
  <c r="H21" i="372" s="1"/>
  <c r="G4" i="372"/>
  <c r="C22" i="372"/>
  <c r="H22" i="372" s="1"/>
  <c r="C23" i="372"/>
  <c r="H23" i="372" s="1"/>
  <c r="C26" i="372"/>
  <c r="H26" i="372" s="1"/>
  <c r="C27" i="372"/>
  <c r="H27" i="372" s="1"/>
  <c r="C28" i="372"/>
  <c r="H28" i="372" s="1"/>
  <c r="C29" i="372"/>
  <c r="C30" i="372"/>
  <c r="H30" i="372" s="1"/>
  <c r="C31" i="372"/>
  <c r="C34" i="372"/>
  <c r="C35" i="372"/>
  <c r="C36" i="372"/>
  <c r="H36" i="372" s="1"/>
  <c r="C37" i="372"/>
  <c r="H37" i="372" s="1"/>
  <c r="C38" i="372"/>
  <c r="H38" i="372" s="1"/>
  <c r="C39" i="372"/>
  <c r="H39" i="372" s="1"/>
  <c r="C42" i="372"/>
  <c r="C43" i="372"/>
  <c r="H43" i="372" s="1"/>
  <c r="C44" i="372"/>
  <c r="H44" i="372" s="1"/>
  <c r="C10" i="372"/>
  <c r="H10" i="372" s="1"/>
  <c r="C11" i="372"/>
  <c r="C12" i="372"/>
  <c r="H12" i="372" s="1"/>
  <c r="C13" i="372"/>
  <c r="H13" i="372" s="1"/>
  <c r="C14" i="372"/>
  <c r="C15" i="372"/>
  <c r="H15" i="372" s="1"/>
  <c r="C16" i="372"/>
  <c r="H16" i="372" s="1"/>
  <c r="C17" i="372"/>
  <c r="H17" i="372" s="1"/>
  <c r="C18" i="372"/>
  <c r="H18" i="372" s="1"/>
  <c r="D24" i="372"/>
  <c r="D32" i="372"/>
  <c r="D19" i="372"/>
  <c r="E18" i="372" s="1"/>
  <c r="C45" i="372"/>
  <c r="C7" i="372"/>
  <c r="E4" i="372"/>
  <c r="C21" i="371"/>
  <c r="H21" i="371" s="1"/>
  <c r="G4" i="371"/>
  <c r="C22" i="371"/>
  <c r="H22" i="371" s="1"/>
  <c r="C23" i="371"/>
  <c r="H23" i="371" s="1"/>
  <c r="C26" i="371"/>
  <c r="H26" i="371" s="1"/>
  <c r="C27" i="371"/>
  <c r="H27" i="371" s="1"/>
  <c r="C28" i="371"/>
  <c r="H28" i="371" s="1"/>
  <c r="C29" i="371"/>
  <c r="H29" i="371" s="1"/>
  <c r="C30" i="371"/>
  <c r="C31" i="371"/>
  <c r="H31" i="371" s="1"/>
  <c r="C34" i="371"/>
  <c r="H34" i="371" s="1"/>
  <c r="C35" i="371"/>
  <c r="C36" i="371"/>
  <c r="H36" i="371" s="1"/>
  <c r="C37" i="371"/>
  <c r="H37" i="371" s="1"/>
  <c r="C38" i="371"/>
  <c r="H38" i="371" s="1"/>
  <c r="C39" i="371"/>
  <c r="H39" i="371" s="1"/>
  <c r="C42" i="371"/>
  <c r="C43" i="371"/>
  <c r="H43" i="371" s="1"/>
  <c r="C44" i="371"/>
  <c r="H44" i="371" s="1"/>
  <c r="C10" i="371"/>
  <c r="H10" i="371" s="1"/>
  <c r="C11" i="371"/>
  <c r="H11" i="371" s="1"/>
  <c r="C12" i="371"/>
  <c r="H12" i="371" s="1"/>
  <c r="C13" i="371"/>
  <c r="C14" i="371"/>
  <c r="H14" i="371" s="1"/>
  <c r="C15" i="371"/>
  <c r="H15" i="371" s="1"/>
  <c r="C16" i="371"/>
  <c r="H16" i="371" s="1"/>
  <c r="C17" i="371"/>
  <c r="C18" i="371"/>
  <c r="H18" i="371" s="1"/>
  <c r="D46" i="371"/>
  <c r="D24" i="371"/>
  <c r="D32" i="371"/>
  <c r="D40" i="371"/>
  <c r="D19" i="371"/>
  <c r="E19" i="371" s="1"/>
  <c r="C45" i="371"/>
  <c r="C7" i="371"/>
  <c r="E4" i="371"/>
  <c r="C21" i="370"/>
  <c r="H21" i="370" s="1"/>
  <c r="G4" i="370"/>
  <c r="C22" i="370"/>
  <c r="H22" i="370" s="1"/>
  <c r="C23" i="370"/>
  <c r="H23" i="370" s="1"/>
  <c r="C26" i="370"/>
  <c r="H26" i="370" s="1"/>
  <c r="C27" i="370"/>
  <c r="H27" i="370" s="1"/>
  <c r="C28" i="370"/>
  <c r="H28" i="370" s="1"/>
  <c r="C29" i="370"/>
  <c r="H29" i="370" s="1"/>
  <c r="C30" i="370"/>
  <c r="H30" i="370" s="1"/>
  <c r="C31" i="370"/>
  <c r="H31" i="370" s="1"/>
  <c r="C34" i="370"/>
  <c r="C35" i="370"/>
  <c r="C36" i="370"/>
  <c r="H36" i="370" s="1"/>
  <c r="C37" i="370"/>
  <c r="H37" i="370" s="1"/>
  <c r="C38" i="370"/>
  <c r="H38" i="370" s="1"/>
  <c r="C39" i="370"/>
  <c r="H39" i="370" s="1"/>
  <c r="C42" i="370"/>
  <c r="H42" i="370" s="1"/>
  <c r="C43" i="370"/>
  <c r="C44" i="370"/>
  <c r="C10" i="370"/>
  <c r="H10" i="370" s="1"/>
  <c r="C11" i="370"/>
  <c r="H11" i="370" s="1"/>
  <c r="C12" i="370"/>
  <c r="H12" i="370" s="1"/>
  <c r="C13" i="370"/>
  <c r="H13" i="370" s="1"/>
  <c r="C14" i="370"/>
  <c r="H14" i="370" s="1"/>
  <c r="C15" i="370"/>
  <c r="H15" i="370" s="1"/>
  <c r="C16" i="370"/>
  <c r="H16" i="370" s="1"/>
  <c r="C17" i="370"/>
  <c r="H17" i="370" s="1"/>
  <c r="C18" i="370"/>
  <c r="D46" i="370"/>
  <c r="D24" i="370"/>
  <c r="D32" i="370"/>
  <c r="D40" i="370"/>
  <c r="D19" i="370"/>
  <c r="E10" i="370" s="1"/>
  <c r="C45" i="370"/>
  <c r="C7" i="370"/>
  <c r="E4" i="370"/>
  <c r="D34" i="369"/>
  <c r="D40" i="369" s="1"/>
  <c r="D42" i="369"/>
  <c r="D46" i="369" s="1"/>
  <c r="C21" i="369"/>
  <c r="G4" i="369"/>
  <c r="C22" i="369"/>
  <c r="C23" i="369"/>
  <c r="C26" i="369"/>
  <c r="H26" i="369" s="1"/>
  <c r="C27" i="369"/>
  <c r="H27" i="369" s="1"/>
  <c r="C28" i="369"/>
  <c r="H28" i="369" s="1"/>
  <c r="C29" i="369"/>
  <c r="H29" i="369" s="1"/>
  <c r="C30" i="369"/>
  <c r="H30" i="369" s="1"/>
  <c r="C31" i="369"/>
  <c r="H31" i="369" s="1"/>
  <c r="C34" i="369"/>
  <c r="H34" i="369" s="1"/>
  <c r="C35" i="369"/>
  <c r="H35" i="369" s="1"/>
  <c r="C36" i="369"/>
  <c r="H36" i="369" s="1"/>
  <c r="C37" i="369"/>
  <c r="H37" i="369" s="1"/>
  <c r="C38" i="369"/>
  <c r="H38" i="369" s="1"/>
  <c r="C39" i="369"/>
  <c r="C42" i="369"/>
  <c r="C43" i="369"/>
  <c r="C44" i="369"/>
  <c r="H44" i="369" s="1"/>
  <c r="C10" i="369"/>
  <c r="H10" i="369" s="1"/>
  <c r="C11" i="369"/>
  <c r="H11" i="369" s="1"/>
  <c r="C12" i="369"/>
  <c r="H12" i="369" s="1"/>
  <c r="C13" i="369"/>
  <c r="H13" i="369" s="1"/>
  <c r="C14" i="369"/>
  <c r="C15" i="369"/>
  <c r="H15" i="369" s="1"/>
  <c r="C16" i="369"/>
  <c r="C17" i="369"/>
  <c r="H17" i="369" s="1"/>
  <c r="C18" i="369"/>
  <c r="H18" i="369" s="1"/>
  <c r="D24" i="369"/>
  <c r="D32" i="369"/>
  <c r="D19" i="369"/>
  <c r="E13" i="369" s="1"/>
  <c r="C45" i="369"/>
  <c r="C7" i="369"/>
  <c r="E4" i="369"/>
  <c r="D34" i="368"/>
  <c r="D40" i="368" s="1"/>
  <c r="D42" i="368"/>
  <c r="C21" i="368"/>
  <c r="G4" i="368"/>
  <c r="C22" i="368"/>
  <c r="H22" i="368" s="1"/>
  <c r="C23" i="368"/>
  <c r="H23" i="368" s="1"/>
  <c r="C26" i="368"/>
  <c r="H26" i="368" s="1"/>
  <c r="C27" i="368"/>
  <c r="C28" i="368"/>
  <c r="H28" i="368" s="1"/>
  <c r="C29" i="368"/>
  <c r="H29" i="368" s="1"/>
  <c r="C30" i="368"/>
  <c r="C31" i="368"/>
  <c r="H31" i="368" s="1"/>
  <c r="C34" i="368"/>
  <c r="H34" i="368" s="1"/>
  <c r="C35" i="368"/>
  <c r="C36" i="368"/>
  <c r="H36" i="368" s="1"/>
  <c r="C37" i="368"/>
  <c r="C38" i="368"/>
  <c r="H38" i="368" s="1"/>
  <c r="C39" i="368"/>
  <c r="H39" i="368" s="1"/>
  <c r="C42" i="368"/>
  <c r="C43" i="368"/>
  <c r="H43" i="368" s="1"/>
  <c r="C44" i="368"/>
  <c r="H44" i="368" s="1"/>
  <c r="C10" i="368"/>
  <c r="H10" i="368" s="1"/>
  <c r="C11" i="368"/>
  <c r="C12" i="368"/>
  <c r="H12" i="368" s="1"/>
  <c r="C13" i="368"/>
  <c r="H13" i="368" s="1"/>
  <c r="C14" i="368"/>
  <c r="H14" i="368" s="1"/>
  <c r="C15" i="368"/>
  <c r="H15" i="368" s="1"/>
  <c r="C16" i="368"/>
  <c r="H16" i="368" s="1"/>
  <c r="C17" i="368"/>
  <c r="H17" i="368" s="1"/>
  <c r="C18" i="368"/>
  <c r="H18" i="368" s="1"/>
  <c r="D24" i="368"/>
  <c r="D32" i="368"/>
  <c r="D19" i="368"/>
  <c r="C45" i="368"/>
  <c r="C7" i="368"/>
  <c r="E4" i="368"/>
  <c r="D27" i="367"/>
  <c r="D26" i="367"/>
  <c r="D34" i="367"/>
  <c r="D40" i="367" s="1"/>
  <c r="D42" i="367"/>
  <c r="D46" i="367" s="1"/>
  <c r="C21" i="367"/>
  <c r="H21" i="367" s="1"/>
  <c r="G4" i="367"/>
  <c r="C22" i="367"/>
  <c r="C23" i="367"/>
  <c r="C26" i="367"/>
  <c r="C27" i="367"/>
  <c r="C28" i="367"/>
  <c r="H28" i="367" s="1"/>
  <c r="C29" i="367"/>
  <c r="H29" i="367" s="1"/>
  <c r="C30" i="367"/>
  <c r="H30" i="367" s="1"/>
  <c r="C31" i="367"/>
  <c r="C34" i="367"/>
  <c r="C35" i="367"/>
  <c r="H35" i="367" s="1"/>
  <c r="C36" i="367"/>
  <c r="H36" i="367" s="1"/>
  <c r="C37" i="367"/>
  <c r="H37" i="367" s="1"/>
  <c r="C38" i="367"/>
  <c r="H38" i="367" s="1"/>
  <c r="C39" i="367"/>
  <c r="H39" i="367" s="1"/>
  <c r="C42" i="367"/>
  <c r="C43" i="367"/>
  <c r="C44" i="367"/>
  <c r="C10" i="367"/>
  <c r="H10" i="367" s="1"/>
  <c r="C11" i="367"/>
  <c r="H11" i="367" s="1"/>
  <c r="C12" i="367"/>
  <c r="H12" i="367" s="1"/>
  <c r="C13" i="367"/>
  <c r="C14" i="367"/>
  <c r="H14" i="367" s="1"/>
  <c r="C15" i="367"/>
  <c r="C16" i="367"/>
  <c r="C17" i="367"/>
  <c r="H17" i="367" s="1"/>
  <c r="C18" i="367"/>
  <c r="H18" i="367" s="1"/>
  <c r="D24" i="367"/>
  <c r="D19" i="367"/>
  <c r="E19" i="367" s="1"/>
  <c r="C45" i="367"/>
  <c r="C7" i="367"/>
  <c r="E4" i="367"/>
  <c r="C21" i="366"/>
  <c r="H21" i="366" s="1"/>
  <c r="G4" i="366"/>
  <c r="C22" i="366"/>
  <c r="C23" i="366"/>
  <c r="H23" i="366" s="1"/>
  <c r="C26" i="366"/>
  <c r="H26" i="366" s="1"/>
  <c r="C27" i="366"/>
  <c r="C28" i="366"/>
  <c r="H28" i="366" s="1"/>
  <c r="C29" i="366"/>
  <c r="C30" i="366"/>
  <c r="H30" i="366" s="1"/>
  <c r="C31" i="366"/>
  <c r="H31" i="366" s="1"/>
  <c r="C34" i="366"/>
  <c r="C35" i="366"/>
  <c r="C36" i="366"/>
  <c r="C37" i="366"/>
  <c r="H37" i="366" s="1"/>
  <c r="C38" i="366"/>
  <c r="C39" i="366"/>
  <c r="H39" i="366" s="1"/>
  <c r="C42" i="366"/>
  <c r="C43" i="366"/>
  <c r="H43" i="366" s="1"/>
  <c r="C44" i="366"/>
  <c r="H44" i="366" s="1"/>
  <c r="C10" i="366"/>
  <c r="H10" i="366" s="1"/>
  <c r="C11" i="366"/>
  <c r="H11" i="366" s="1"/>
  <c r="C12" i="366"/>
  <c r="C13" i="366"/>
  <c r="H13" i="366" s="1"/>
  <c r="C14" i="366"/>
  <c r="H14" i="366" s="1"/>
  <c r="C15" i="366"/>
  <c r="H15" i="366" s="1"/>
  <c r="C16" i="366"/>
  <c r="C17" i="366"/>
  <c r="H17" i="366" s="1"/>
  <c r="C18" i="366"/>
  <c r="H18" i="366" s="1"/>
  <c r="D46" i="366"/>
  <c r="D24" i="366"/>
  <c r="D32" i="366"/>
  <c r="D40" i="366"/>
  <c r="D19" i="366"/>
  <c r="E16" i="366" s="1"/>
  <c r="C45" i="366"/>
  <c r="C7" i="366"/>
  <c r="E4" i="366"/>
  <c r="D26" i="365"/>
  <c r="D32" i="365" s="1"/>
  <c r="D34" i="365"/>
  <c r="D40" i="365" s="1"/>
  <c r="C21" i="365"/>
  <c r="G4" i="365"/>
  <c r="C22" i="365"/>
  <c r="H22" i="365" s="1"/>
  <c r="C23" i="365"/>
  <c r="C26" i="365"/>
  <c r="C27" i="365"/>
  <c r="H27" i="365" s="1"/>
  <c r="C28" i="365"/>
  <c r="H28" i="365" s="1"/>
  <c r="C29" i="365"/>
  <c r="H29" i="365" s="1"/>
  <c r="C30" i="365"/>
  <c r="C31" i="365"/>
  <c r="C34" i="365"/>
  <c r="C35" i="365"/>
  <c r="H35" i="365" s="1"/>
  <c r="C36" i="365"/>
  <c r="H36" i="365" s="1"/>
  <c r="C37" i="365"/>
  <c r="H37" i="365" s="1"/>
  <c r="C38" i="365"/>
  <c r="H38" i="365" s="1"/>
  <c r="C39" i="365"/>
  <c r="H39" i="365" s="1"/>
  <c r="C42" i="365"/>
  <c r="C43" i="365"/>
  <c r="C44" i="365"/>
  <c r="H44" i="365" s="1"/>
  <c r="C10" i="365"/>
  <c r="H10" i="365" s="1"/>
  <c r="C11" i="365"/>
  <c r="H11" i="365" s="1"/>
  <c r="C12" i="365"/>
  <c r="H12" i="365" s="1"/>
  <c r="C13" i="365"/>
  <c r="C14" i="365"/>
  <c r="C15" i="365"/>
  <c r="H15" i="365" s="1"/>
  <c r="C16" i="365"/>
  <c r="H16" i="365" s="1"/>
  <c r="C17" i="365"/>
  <c r="H17" i="365" s="1"/>
  <c r="C18" i="365"/>
  <c r="H18" i="365" s="1"/>
  <c r="D46" i="365"/>
  <c r="D24" i="365"/>
  <c r="D19" i="365"/>
  <c r="E19" i="365" s="1"/>
  <c r="C45" i="365"/>
  <c r="C7" i="365"/>
  <c r="E4" i="365"/>
  <c r="C21" i="364"/>
  <c r="H21" i="364" s="1"/>
  <c r="G4" i="364"/>
  <c r="C22" i="364"/>
  <c r="H22" i="364" s="1"/>
  <c r="C23" i="364"/>
  <c r="H23" i="364" s="1"/>
  <c r="C26" i="364"/>
  <c r="H26" i="364" s="1"/>
  <c r="C27" i="364"/>
  <c r="H27" i="364" s="1"/>
  <c r="C28" i="364"/>
  <c r="C29" i="364"/>
  <c r="H29" i="364" s="1"/>
  <c r="C30" i="364"/>
  <c r="C31" i="364"/>
  <c r="H31" i="364" s="1"/>
  <c r="C34" i="364"/>
  <c r="H34" i="364" s="1"/>
  <c r="C35" i="364"/>
  <c r="H35" i="364" s="1"/>
  <c r="C36" i="364"/>
  <c r="H36" i="364" s="1"/>
  <c r="C37" i="364"/>
  <c r="H37" i="364" s="1"/>
  <c r="C38" i="364"/>
  <c r="H38" i="364" s="1"/>
  <c r="C39" i="364"/>
  <c r="C42" i="364"/>
  <c r="H42" i="364" s="1"/>
  <c r="C43" i="364"/>
  <c r="H43" i="364" s="1"/>
  <c r="C44" i="364"/>
  <c r="H44" i="364" s="1"/>
  <c r="C10" i="364"/>
  <c r="H10" i="364" s="1"/>
  <c r="C11" i="364"/>
  <c r="C12" i="364"/>
  <c r="H12" i="364" s="1"/>
  <c r="C13" i="364"/>
  <c r="C14" i="364"/>
  <c r="H14" i="364" s="1"/>
  <c r="C15" i="364"/>
  <c r="H15" i="364" s="1"/>
  <c r="C16" i="364"/>
  <c r="H16" i="364" s="1"/>
  <c r="C17" i="364"/>
  <c r="H17" i="364" s="1"/>
  <c r="C18" i="364"/>
  <c r="H18" i="364" s="1"/>
  <c r="D46" i="364"/>
  <c r="D24" i="364"/>
  <c r="D32" i="364"/>
  <c r="D40" i="364"/>
  <c r="D19" i="364"/>
  <c r="E15" i="364" s="1"/>
  <c r="C45" i="364"/>
  <c r="C7" i="364"/>
  <c r="E4" i="364"/>
  <c r="D26" i="363"/>
  <c r="D32" i="363" s="1"/>
  <c r="D34" i="363"/>
  <c r="D40" i="363" s="1"/>
  <c r="D42" i="363"/>
  <c r="D46" i="363" s="1"/>
  <c r="C21" i="363"/>
  <c r="H21" i="363" s="1"/>
  <c r="G4" i="363"/>
  <c r="C22" i="363"/>
  <c r="H22" i="363" s="1"/>
  <c r="C23" i="363"/>
  <c r="H23" i="363" s="1"/>
  <c r="C26" i="363"/>
  <c r="C27" i="363"/>
  <c r="H27" i="363" s="1"/>
  <c r="C28" i="363"/>
  <c r="H28" i="363" s="1"/>
  <c r="C29" i="363"/>
  <c r="H29" i="363" s="1"/>
  <c r="C30" i="363"/>
  <c r="H30" i="363" s="1"/>
  <c r="C31" i="363"/>
  <c r="H31" i="363" s="1"/>
  <c r="C34" i="363"/>
  <c r="C35" i="363"/>
  <c r="H35" i="363" s="1"/>
  <c r="C36" i="363"/>
  <c r="H36" i="363" s="1"/>
  <c r="C37" i="363"/>
  <c r="H37" i="363" s="1"/>
  <c r="C38" i="363"/>
  <c r="C39" i="363"/>
  <c r="H39" i="363" s="1"/>
  <c r="C42" i="363"/>
  <c r="C43" i="363"/>
  <c r="H43" i="363" s="1"/>
  <c r="C44" i="363"/>
  <c r="H44" i="363" s="1"/>
  <c r="C10" i="363"/>
  <c r="H10" i="363" s="1"/>
  <c r="C11" i="363"/>
  <c r="H11" i="363" s="1"/>
  <c r="C12" i="363"/>
  <c r="H12" i="363" s="1"/>
  <c r="C13" i="363"/>
  <c r="H13" i="363" s="1"/>
  <c r="C14" i="363"/>
  <c r="H14" i="363" s="1"/>
  <c r="C15" i="363"/>
  <c r="H15" i="363" s="1"/>
  <c r="C16" i="363"/>
  <c r="H16" i="363" s="1"/>
  <c r="C17" i="363"/>
  <c r="H17" i="363" s="1"/>
  <c r="C18" i="363"/>
  <c r="H18" i="363" s="1"/>
  <c r="D24" i="363"/>
  <c r="D19" i="363"/>
  <c r="E17" i="363" s="1"/>
  <c r="C45" i="363"/>
  <c r="C7" i="363"/>
  <c r="E4" i="363"/>
  <c r="C21" i="362"/>
  <c r="H21" i="362" s="1"/>
  <c r="G4" i="362"/>
  <c r="C22" i="362"/>
  <c r="H22" i="362" s="1"/>
  <c r="C23" i="362"/>
  <c r="H23" i="362" s="1"/>
  <c r="C26" i="362"/>
  <c r="H26" i="362" s="1"/>
  <c r="C27" i="362"/>
  <c r="C28" i="362"/>
  <c r="H28" i="362" s="1"/>
  <c r="C29" i="362"/>
  <c r="C30" i="362"/>
  <c r="H30" i="362" s="1"/>
  <c r="C31" i="362"/>
  <c r="H31" i="362" s="1"/>
  <c r="C34" i="362"/>
  <c r="H34" i="362" s="1"/>
  <c r="C35" i="362"/>
  <c r="H35" i="362" s="1"/>
  <c r="C36" i="362"/>
  <c r="H36" i="362" s="1"/>
  <c r="C37" i="362"/>
  <c r="H37" i="362" s="1"/>
  <c r="C38" i="362"/>
  <c r="C39" i="362"/>
  <c r="H39" i="362" s="1"/>
  <c r="C42" i="362"/>
  <c r="H42" i="362" s="1"/>
  <c r="C43" i="362"/>
  <c r="H43" i="362" s="1"/>
  <c r="C44" i="362"/>
  <c r="H44" i="362" s="1"/>
  <c r="C10" i="362"/>
  <c r="C11" i="362"/>
  <c r="H11" i="362" s="1"/>
  <c r="C12" i="362"/>
  <c r="C13" i="362"/>
  <c r="H13" i="362" s="1"/>
  <c r="C14" i="362"/>
  <c r="H14" i="362" s="1"/>
  <c r="C15" i="362"/>
  <c r="H15" i="362" s="1"/>
  <c r="C16" i="362"/>
  <c r="H16" i="362" s="1"/>
  <c r="C17" i="362"/>
  <c r="H17" i="362" s="1"/>
  <c r="C18" i="362"/>
  <c r="D46" i="362"/>
  <c r="D24" i="362"/>
  <c r="D32" i="362"/>
  <c r="D40" i="362"/>
  <c r="D19" i="362"/>
  <c r="E10" i="362" s="1"/>
  <c r="C45" i="362"/>
  <c r="C7" i="362"/>
  <c r="E4" i="362"/>
  <c r="D26" i="361"/>
  <c r="D34" i="361"/>
  <c r="D40" i="361" s="1"/>
  <c r="D42" i="361"/>
  <c r="D46" i="361" s="1"/>
  <c r="C21" i="361"/>
  <c r="H21" i="361" s="1"/>
  <c r="G4" i="361"/>
  <c r="C22" i="361"/>
  <c r="H22" i="361" s="1"/>
  <c r="C23" i="361"/>
  <c r="H23" i="361" s="1"/>
  <c r="C26" i="361"/>
  <c r="C27" i="361"/>
  <c r="C28" i="361"/>
  <c r="H28" i="361" s="1"/>
  <c r="C29" i="361"/>
  <c r="H29" i="361" s="1"/>
  <c r="C30" i="361"/>
  <c r="H30" i="361" s="1"/>
  <c r="C31" i="361"/>
  <c r="H31" i="361" s="1"/>
  <c r="C34" i="361"/>
  <c r="C35" i="361"/>
  <c r="H35" i="361" s="1"/>
  <c r="C36" i="361"/>
  <c r="H36" i="361" s="1"/>
  <c r="C37" i="361"/>
  <c r="H37" i="361" s="1"/>
  <c r="C38" i="361"/>
  <c r="C39" i="361"/>
  <c r="H39" i="361" s="1"/>
  <c r="C42" i="361"/>
  <c r="C43" i="361"/>
  <c r="H43" i="361" s="1"/>
  <c r="C44" i="361"/>
  <c r="C10" i="361"/>
  <c r="H10" i="361" s="1"/>
  <c r="C11" i="361"/>
  <c r="H11" i="361" s="1"/>
  <c r="C12" i="361"/>
  <c r="C13" i="361"/>
  <c r="H13" i="361" s="1"/>
  <c r="C14" i="361"/>
  <c r="H14" i="361" s="1"/>
  <c r="C15" i="361"/>
  <c r="H15" i="361" s="1"/>
  <c r="C16" i="361"/>
  <c r="H16" i="361" s="1"/>
  <c r="C17" i="361"/>
  <c r="H17" i="361" s="1"/>
  <c r="C18" i="361"/>
  <c r="H18" i="361" s="1"/>
  <c r="D24" i="361"/>
  <c r="D19" i="361"/>
  <c r="E12" i="361" s="1"/>
  <c r="C45" i="361"/>
  <c r="C7" i="361"/>
  <c r="E4" i="361"/>
  <c r="D42" i="358"/>
  <c r="D46" i="358" s="1"/>
  <c r="D34" i="360"/>
  <c r="D40" i="360" s="1"/>
  <c r="D42" i="360"/>
  <c r="D46" i="360" s="1"/>
  <c r="C21" i="360"/>
  <c r="H21" i="360" s="1"/>
  <c r="G4" i="360"/>
  <c r="C22" i="360"/>
  <c r="H22" i="360" s="1"/>
  <c r="C23" i="360"/>
  <c r="H23" i="360" s="1"/>
  <c r="C26" i="360"/>
  <c r="H26" i="360" s="1"/>
  <c r="C27" i="360"/>
  <c r="H27" i="360" s="1"/>
  <c r="C28" i="360"/>
  <c r="H28" i="360" s="1"/>
  <c r="C29" i="360"/>
  <c r="H29" i="360" s="1"/>
  <c r="C30" i="360"/>
  <c r="H30" i="360" s="1"/>
  <c r="C31" i="360"/>
  <c r="H31" i="360" s="1"/>
  <c r="C34" i="360"/>
  <c r="H34" i="360" s="1"/>
  <c r="C35" i="360"/>
  <c r="H35" i="360" s="1"/>
  <c r="C36" i="360"/>
  <c r="C37" i="360"/>
  <c r="C38" i="360"/>
  <c r="H38" i="360" s="1"/>
  <c r="C39" i="360"/>
  <c r="H39" i="360" s="1"/>
  <c r="C42" i="360"/>
  <c r="C43" i="360"/>
  <c r="C44" i="360"/>
  <c r="H44" i="360" s="1"/>
  <c r="C10" i="360"/>
  <c r="H10" i="360" s="1"/>
  <c r="C11" i="360"/>
  <c r="H11" i="360" s="1"/>
  <c r="C12" i="360"/>
  <c r="H12" i="360" s="1"/>
  <c r="C13" i="360"/>
  <c r="H13" i="360" s="1"/>
  <c r="C14" i="360"/>
  <c r="H14" i="360" s="1"/>
  <c r="C15" i="360"/>
  <c r="C16" i="360"/>
  <c r="H16" i="360" s="1"/>
  <c r="C17" i="360"/>
  <c r="H17" i="360" s="1"/>
  <c r="C18" i="360"/>
  <c r="H18" i="360" s="1"/>
  <c r="D24" i="360"/>
  <c r="D32" i="360"/>
  <c r="D19" i="360"/>
  <c r="E13" i="360" s="1"/>
  <c r="C45" i="360"/>
  <c r="C7" i="360"/>
  <c r="E4" i="360"/>
  <c r="D42" i="359"/>
  <c r="D46" i="359" s="1"/>
  <c r="D34" i="359"/>
  <c r="D40" i="359" s="1"/>
  <c r="D26" i="359"/>
  <c r="C21" i="359"/>
  <c r="H21" i="359" s="1"/>
  <c r="G4" i="359"/>
  <c r="C22" i="359"/>
  <c r="C23" i="359"/>
  <c r="H23" i="359" s="1"/>
  <c r="C26" i="359"/>
  <c r="C27" i="359"/>
  <c r="H27" i="359" s="1"/>
  <c r="C28" i="359"/>
  <c r="H28" i="359" s="1"/>
  <c r="C29" i="359"/>
  <c r="H29" i="359" s="1"/>
  <c r="C30" i="359"/>
  <c r="C31" i="359"/>
  <c r="H31" i="359" s="1"/>
  <c r="C34" i="359"/>
  <c r="H34" i="359" s="1"/>
  <c r="C35" i="359"/>
  <c r="H35" i="359" s="1"/>
  <c r="C36" i="359"/>
  <c r="H36" i="359" s="1"/>
  <c r="C37" i="359"/>
  <c r="C38" i="359"/>
  <c r="H38" i="359" s="1"/>
  <c r="C39" i="359"/>
  <c r="H39" i="359" s="1"/>
  <c r="C42" i="359"/>
  <c r="C43" i="359"/>
  <c r="H43" i="359" s="1"/>
  <c r="C44" i="359"/>
  <c r="H44" i="359" s="1"/>
  <c r="C10" i="359"/>
  <c r="H10" i="359" s="1"/>
  <c r="C11" i="359"/>
  <c r="C12" i="359"/>
  <c r="H12" i="359" s="1"/>
  <c r="C13" i="359"/>
  <c r="C14" i="359"/>
  <c r="C15" i="359"/>
  <c r="H15" i="359" s="1"/>
  <c r="C16" i="359"/>
  <c r="H16" i="359" s="1"/>
  <c r="C17" i="359"/>
  <c r="C18" i="359"/>
  <c r="D24" i="359"/>
  <c r="D19" i="359"/>
  <c r="E15" i="359" s="1"/>
  <c r="C45" i="359"/>
  <c r="C7" i="359"/>
  <c r="E4" i="359"/>
  <c r="D30" i="354"/>
  <c r="C21" i="358"/>
  <c r="C22" i="358"/>
  <c r="H22" i="358" s="1"/>
  <c r="C23" i="358"/>
  <c r="H23" i="358" s="1"/>
  <c r="C26" i="358"/>
  <c r="H26" i="358" s="1"/>
  <c r="C27" i="358"/>
  <c r="H27" i="358" s="1"/>
  <c r="C28" i="358"/>
  <c r="C29" i="358"/>
  <c r="H29" i="358" s="1"/>
  <c r="C30" i="358"/>
  <c r="C31" i="358"/>
  <c r="C34" i="358"/>
  <c r="H34" i="358" s="1"/>
  <c r="C35" i="358"/>
  <c r="H35" i="358" s="1"/>
  <c r="C36" i="358"/>
  <c r="H36" i="358" s="1"/>
  <c r="C37" i="358"/>
  <c r="C38" i="358"/>
  <c r="H38" i="358" s="1"/>
  <c r="C39" i="358"/>
  <c r="H39" i="358" s="1"/>
  <c r="C42" i="358"/>
  <c r="C43" i="358"/>
  <c r="C44" i="358"/>
  <c r="H44" i="358" s="1"/>
  <c r="C10" i="358"/>
  <c r="H10" i="358" s="1"/>
  <c r="C11" i="358"/>
  <c r="C12" i="358"/>
  <c r="H12" i="358" s="1"/>
  <c r="C13" i="358"/>
  <c r="H13" i="358" s="1"/>
  <c r="C14" i="358"/>
  <c r="H14" i="358" s="1"/>
  <c r="C15" i="358"/>
  <c r="C16" i="358"/>
  <c r="H16" i="358" s="1"/>
  <c r="C17" i="358"/>
  <c r="H17" i="358" s="1"/>
  <c r="C18" i="358"/>
  <c r="H18" i="358" s="1"/>
  <c r="D40" i="358"/>
  <c r="D19" i="358"/>
  <c r="E13" i="358" s="1"/>
  <c r="C45" i="358"/>
  <c r="C7" i="358"/>
  <c r="D26" i="357"/>
  <c r="D32" i="357" s="1"/>
  <c r="D34" i="357"/>
  <c r="D40" i="357" s="1"/>
  <c r="D42" i="357"/>
  <c r="D46" i="357" s="1"/>
  <c r="C21" i="357"/>
  <c r="G4" i="357"/>
  <c r="C22" i="357"/>
  <c r="C23" i="357"/>
  <c r="H23" i="357" s="1"/>
  <c r="C26" i="357"/>
  <c r="C27" i="357"/>
  <c r="C28" i="357"/>
  <c r="H28" i="357" s="1"/>
  <c r="C29" i="357"/>
  <c r="H29" i="357" s="1"/>
  <c r="C30" i="357"/>
  <c r="C31" i="357"/>
  <c r="H31" i="357" s="1"/>
  <c r="C34" i="357"/>
  <c r="C35" i="357"/>
  <c r="C36" i="357"/>
  <c r="H36" i="357" s="1"/>
  <c r="C37" i="357"/>
  <c r="H37" i="357" s="1"/>
  <c r="C38" i="357"/>
  <c r="H38" i="357" s="1"/>
  <c r="C39" i="357"/>
  <c r="H39" i="357" s="1"/>
  <c r="C42" i="357"/>
  <c r="C43" i="357"/>
  <c r="H43" i="357" s="1"/>
  <c r="C44" i="357"/>
  <c r="H44" i="357" s="1"/>
  <c r="C10" i="357"/>
  <c r="C11" i="357"/>
  <c r="C12" i="357"/>
  <c r="H12" i="357" s="1"/>
  <c r="C13" i="357"/>
  <c r="C14" i="357"/>
  <c r="C15" i="357"/>
  <c r="H15" i="357" s="1"/>
  <c r="C16" i="357"/>
  <c r="H16" i="357" s="1"/>
  <c r="C17" i="357"/>
  <c r="H17" i="357" s="1"/>
  <c r="C18" i="357"/>
  <c r="D24" i="357"/>
  <c r="D19" i="357"/>
  <c r="E15" i="357" s="1"/>
  <c r="C45" i="357"/>
  <c r="C7" i="357"/>
  <c r="E4" i="357"/>
  <c r="C21" i="356"/>
  <c r="H21" i="356" s="1"/>
  <c r="G4" i="356"/>
  <c r="C22" i="356"/>
  <c r="H22" i="356" s="1"/>
  <c r="C23" i="356"/>
  <c r="C26" i="356"/>
  <c r="H26" i="356" s="1"/>
  <c r="C27" i="356"/>
  <c r="H27" i="356" s="1"/>
  <c r="C28" i="356"/>
  <c r="C29" i="356"/>
  <c r="C30" i="356"/>
  <c r="H30" i="356" s="1"/>
  <c r="C31" i="356"/>
  <c r="C34" i="356"/>
  <c r="C35" i="356"/>
  <c r="H35" i="356" s="1"/>
  <c r="C36" i="356"/>
  <c r="H36" i="356" s="1"/>
  <c r="C37" i="356"/>
  <c r="H37" i="356" s="1"/>
  <c r="C38" i="356"/>
  <c r="C39" i="356"/>
  <c r="H39" i="356" s="1"/>
  <c r="C42" i="356"/>
  <c r="C43" i="356"/>
  <c r="H43" i="356" s="1"/>
  <c r="C44" i="356"/>
  <c r="H44" i="356" s="1"/>
  <c r="C10" i="356"/>
  <c r="C11" i="356"/>
  <c r="C12" i="356"/>
  <c r="H12" i="356" s="1"/>
  <c r="C13" i="356"/>
  <c r="H13" i="356" s="1"/>
  <c r="C14" i="356"/>
  <c r="C15" i="356"/>
  <c r="C16" i="356"/>
  <c r="H16" i="356" s="1"/>
  <c r="C17" i="356"/>
  <c r="H17" i="356" s="1"/>
  <c r="C18" i="356"/>
  <c r="D46" i="356"/>
  <c r="D24" i="356"/>
  <c r="D32" i="356"/>
  <c r="D40" i="356"/>
  <c r="D19" i="356"/>
  <c r="E14" i="356" s="1"/>
  <c r="C45" i="356"/>
  <c r="C7" i="356"/>
  <c r="E4" i="356"/>
  <c r="C21" i="355"/>
  <c r="H21" i="355" s="1"/>
  <c r="G4" i="355"/>
  <c r="C22" i="355"/>
  <c r="H22" i="355" s="1"/>
  <c r="C23" i="355"/>
  <c r="H23" i="355" s="1"/>
  <c r="C26" i="355"/>
  <c r="H26" i="355" s="1"/>
  <c r="C27" i="355"/>
  <c r="H27" i="355" s="1"/>
  <c r="C28" i="355"/>
  <c r="C29" i="355"/>
  <c r="C30" i="355"/>
  <c r="C31" i="355"/>
  <c r="H31" i="355" s="1"/>
  <c r="C34" i="355"/>
  <c r="H34" i="355" s="1"/>
  <c r="C35" i="355"/>
  <c r="H35" i="355" s="1"/>
  <c r="C36" i="355"/>
  <c r="H36" i="355" s="1"/>
  <c r="C37" i="355"/>
  <c r="H37" i="355" s="1"/>
  <c r="C38" i="355"/>
  <c r="H38" i="355" s="1"/>
  <c r="C39" i="355"/>
  <c r="H39" i="355" s="1"/>
  <c r="C42" i="355"/>
  <c r="H42" i="355" s="1"/>
  <c r="C43" i="355"/>
  <c r="H43" i="355" s="1"/>
  <c r="C44" i="355"/>
  <c r="H44" i="355" s="1"/>
  <c r="C10" i="355"/>
  <c r="H10" i="355" s="1"/>
  <c r="C11" i="355"/>
  <c r="C12" i="355"/>
  <c r="C13" i="355"/>
  <c r="H13" i="355" s="1"/>
  <c r="C14" i="355"/>
  <c r="H14" i="355" s="1"/>
  <c r="C15" i="355"/>
  <c r="C16" i="355"/>
  <c r="C17" i="355"/>
  <c r="H17" i="355" s="1"/>
  <c r="C18" i="355"/>
  <c r="H18" i="355" s="1"/>
  <c r="D46" i="355"/>
  <c r="D24" i="355"/>
  <c r="D32" i="355"/>
  <c r="D40" i="355"/>
  <c r="D19" i="355"/>
  <c r="C45" i="355"/>
  <c r="C7" i="355"/>
  <c r="E4" i="355"/>
  <c r="D26" i="354"/>
  <c r="D34" i="354"/>
  <c r="D40" i="354" s="1"/>
  <c r="D42" i="354"/>
  <c r="D46" i="354" s="1"/>
  <c r="C21" i="354"/>
  <c r="H21" i="354" s="1"/>
  <c r="G4" i="354"/>
  <c r="C22" i="354"/>
  <c r="H22" i="354" s="1"/>
  <c r="C23" i="354"/>
  <c r="H23" i="354" s="1"/>
  <c r="C26" i="354"/>
  <c r="C27" i="354"/>
  <c r="H27" i="354" s="1"/>
  <c r="C28" i="354"/>
  <c r="H28" i="354" s="1"/>
  <c r="C29" i="354"/>
  <c r="H29" i="354" s="1"/>
  <c r="C30" i="354"/>
  <c r="C31" i="354"/>
  <c r="H31" i="354" s="1"/>
  <c r="C34" i="354"/>
  <c r="C35" i="354"/>
  <c r="H35" i="354" s="1"/>
  <c r="C36" i="354"/>
  <c r="H36" i="354" s="1"/>
  <c r="C37" i="354"/>
  <c r="H37" i="354" s="1"/>
  <c r="C38" i="354"/>
  <c r="H38" i="354" s="1"/>
  <c r="C39" i="354"/>
  <c r="C42" i="354"/>
  <c r="C43" i="354"/>
  <c r="H43" i="354" s="1"/>
  <c r="C44" i="354"/>
  <c r="H44" i="354" s="1"/>
  <c r="C10" i="354"/>
  <c r="C11" i="354"/>
  <c r="H11" i="354" s="1"/>
  <c r="C12" i="354"/>
  <c r="H12" i="354" s="1"/>
  <c r="C13" i="354"/>
  <c r="H13" i="354" s="1"/>
  <c r="C14" i="354"/>
  <c r="C15" i="354"/>
  <c r="H15" i="354" s="1"/>
  <c r="C16" i="354"/>
  <c r="H16" i="354" s="1"/>
  <c r="C17" i="354"/>
  <c r="H17" i="354" s="1"/>
  <c r="C18" i="354"/>
  <c r="H18" i="354" s="1"/>
  <c r="D24" i="354"/>
  <c r="D19" i="354"/>
  <c r="E19" i="354" s="1"/>
  <c r="C45" i="354"/>
  <c r="C7" i="354"/>
  <c r="E4" i="354"/>
  <c r="C21" i="353"/>
  <c r="H21" i="353" s="1"/>
  <c r="G4" i="353"/>
  <c r="C22" i="353"/>
  <c r="H22" i="353" s="1"/>
  <c r="C23" i="353"/>
  <c r="H23" i="353" s="1"/>
  <c r="C26" i="353"/>
  <c r="H26" i="353" s="1"/>
  <c r="C27" i="353"/>
  <c r="H27" i="353" s="1"/>
  <c r="C28" i="353"/>
  <c r="C29" i="353"/>
  <c r="H29" i="353" s="1"/>
  <c r="C30" i="353"/>
  <c r="C31" i="353"/>
  <c r="H31" i="353" s="1"/>
  <c r="C34" i="353"/>
  <c r="H34" i="353" s="1"/>
  <c r="C35" i="353"/>
  <c r="H35" i="353" s="1"/>
  <c r="C36" i="353"/>
  <c r="H36" i="353" s="1"/>
  <c r="C37" i="353"/>
  <c r="H37" i="353" s="1"/>
  <c r="C38" i="353"/>
  <c r="H38" i="353" s="1"/>
  <c r="C39" i="353"/>
  <c r="H39" i="353" s="1"/>
  <c r="C42" i="353"/>
  <c r="H42" i="353" s="1"/>
  <c r="C43" i="353"/>
  <c r="H43" i="353" s="1"/>
  <c r="C44" i="353"/>
  <c r="H44" i="353" s="1"/>
  <c r="C10" i="353"/>
  <c r="H10" i="353" s="1"/>
  <c r="C11" i="353"/>
  <c r="H11" i="353" s="1"/>
  <c r="C12" i="353"/>
  <c r="H12" i="353" s="1"/>
  <c r="C13" i="353"/>
  <c r="H13" i="353" s="1"/>
  <c r="C14" i="353"/>
  <c r="H14" i="353" s="1"/>
  <c r="C15" i="353"/>
  <c r="H15" i="353" s="1"/>
  <c r="C16" i="353"/>
  <c r="H16" i="353" s="1"/>
  <c r="C17" i="353"/>
  <c r="H17" i="353" s="1"/>
  <c r="C18" i="353"/>
  <c r="H18" i="353" s="1"/>
  <c r="D46" i="353"/>
  <c r="D24" i="353"/>
  <c r="D32" i="353"/>
  <c r="D40" i="353"/>
  <c r="D19" i="353"/>
  <c r="E18" i="353" s="1"/>
  <c r="C45" i="353"/>
  <c r="C7" i="353"/>
  <c r="E4" i="353"/>
  <c r="D34" i="352"/>
  <c r="D42" i="352"/>
  <c r="D46" i="352" s="1"/>
  <c r="C21" i="352"/>
  <c r="H21" i="352" s="1"/>
  <c r="G4" i="352"/>
  <c r="C22" i="352"/>
  <c r="H22" i="352" s="1"/>
  <c r="C23" i="352"/>
  <c r="H23" i="352" s="1"/>
  <c r="C26" i="352"/>
  <c r="C27" i="352"/>
  <c r="C28" i="352"/>
  <c r="C29" i="352"/>
  <c r="C30" i="352"/>
  <c r="H30" i="352" s="1"/>
  <c r="C31" i="352"/>
  <c r="H31" i="352" s="1"/>
  <c r="C34" i="352"/>
  <c r="C35" i="352"/>
  <c r="H35" i="352" s="1"/>
  <c r="C36" i="352"/>
  <c r="C37" i="352"/>
  <c r="H37" i="352" s="1"/>
  <c r="C38" i="352"/>
  <c r="C39" i="352"/>
  <c r="H39" i="352" s="1"/>
  <c r="C42" i="352"/>
  <c r="C43" i="352"/>
  <c r="H43" i="352" s="1"/>
  <c r="C44" i="352"/>
  <c r="H44" i="352" s="1"/>
  <c r="C10" i="352"/>
  <c r="H10" i="352" s="1"/>
  <c r="C11" i="352"/>
  <c r="H11" i="352" s="1"/>
  <c r="C12" i="352"/>
  <c r="C13" i="352"/>
  <c r="H13" i="352" s="1"/>
  <c r="C14" i="352"/>
  <c r="H14" i="352" s="1"/>
  <c r="C15" i="352"/>
  <c r="H15" i="352" s="1"/>
  <c r="C16" i="352"/>
  <c r="C17" i="352"/>
  <c r="H17" i="352" s="1"/>
  <c r="C18" i="352"/>
  <c r="H18" i="352" s="1"/>
  <c r="D24" i="352"/>
  <c r="D32" i="352"/>
  <c r="D40" i="352"/>
  <c r="D19" i="352"/>
  <c r="C45" i="352"/>
  <c r="C7" i="352"/>
  <c r="E4" i="352"/>
  <c r="E3" i="351"/>
  <c r="G2" i="351"/>
  <c r="G4" i="351" s="1"/>
  <c r="D44" i="351"/>
  <c r="D45" i="351"/>
  <c r="D36" i="351"/>
  <c r="D37" i="351"/>
  <c r="D38" i="351"/>
  <c r="D39" i="351"/>
  <c r="D11" i="351"/>
  <c r="D12" i="351"/>
  <c r="D13" i="351"/>
  <c r="D14" i="351"/>
  <c r="D16" i="351"/>
  <c r="D17" i="351"/>
  <c r="D18" i="351"/>
  <c r="D10" i="351"/>
  <c r="C21" i="351"/>
  <c r="C22" i="351"/>
  <c r="C23" i="351"/>
  <c r="C26" i="351"/>
  <c r="C27" i="351"/>
  <c r="C28" i="351"/>
  <c r="C29" i="351"/>
  <c r="C30" i="351"/>
  <c r="C31" i="351"/>
  <c r="C34" i="351"/>
  <c r="C35" i="351"/>
  <c r="C36" i="351"/>
  <c r="C37" i="351"/>
  <c r="H37" i="351" s="1"/>
  <c r="C38" i="351"/>
  <c r="C39" i="351"/>
  <c r="C42" i="351"/>
  <c r="C43" i="351"/>
  <c r="C44" i="351"/>
  <c r="C10" i="351"/>
  <c r="C11" i="351"/>
  <c r="C12" i="351"/>
  <c r="C13" i="351"/>
  <c r="C14" i="351"/>
  <c r="C15" i="351"/>
  <c r="C16" i="351"/>
  <c r="H16" i="351" s="1"/>
  <c r="C17" i="351"/>
  <c r="C18" i="351"/>
  <c r="C45" i="351"/>
  <c r="C7" i="351"/>
  <c r="C21" i="350"/>
  <c r="G4" i="350"/>
  <c r="C22" i="350"/>
  <c r="H22" i="350" s="1"/>
  <c r="C23" i="350"/>
  <c r="C26" i="350"/>
  <c r="H26" i="350" s="1"/>
  <c r="C27" i="350"/>
  <c r="H27" i="350" s="1"/>
  <c r="C28" i="350"/>
  <c r="C29" i="350"/>
  <c r="H29" i="350" s="1"/>
  <c r="C30" i="350"/>
  <c r="C31" i="350"/>
  <c r="H31" i="350" s="1"/>
  <c r="C34" i="350"/>
  <c r="C35" i="350"/>
  <c r="H35" i="350" s="1"/>
  <c r="C36" i="350"/>
  <c r="C37" i="350"/>
  <c r="H37" i="350" s="1"/>
  <c r="C38" i="350"/>
  <c r="H38" i="350" s="1"/>
  <c r="C39" i="350"/>
  <c r="H39" i="350" s="1"/>
  <c r="C42" i="350"/>
  <c r="H42" i="350" s="1"/>
  <c r="C43" i="350"/>
  <c r="H43" i="350" s="1"/>
  <c r="C44" i="350"/>
  <c r="C10" i="350"/>
  <c r="H10" i="350" s="1"/>
  <c r="C11" i="350"/>
  <c r="C12" i="350"/>
  <c r="H12" i="350" s="1"/>
  <c r="C13" i="350"/>
  <c r="C14" i="350"/>
  <c r="H14" i="350" s="1"/>
  <c r="C15" i="350"/>
  <c r="H15" i="350" s="1"/>
  <c r="C16" i="350"/>
  <c r="C17" i="350"/>
  <c r="H17" i="350" s="1"/>
  <c r="C18" i="350"/>
  <c r="H18" i="350" s="1"/>
  <c r="D46" i="350"/>
  <c r="D24" i="350"/>
  <c r="D32" i="350"/>
  <c r="D40" i="350"/>
  <c r="D19" i="350"/>
  <c r="E19" i="350" s="1"/>
  <c r="C45" i="350"/>
  <c r="C7" i="350"/>
  <c r="E4" i="350"/>
  <c r="C21" i="349"/>
  <c r="H21" i="349" s="1"/>
  <c r="G4" i="349"/>
  <c r="C22" i="349"/>
  <c r="H22" i="349" s="1"/>
  <c r="C23" i="349"/>
  <c r="H23" i="349" s="1"/>
  <c r="C26" i="349"/>
  <c r="C27" i="349"/>
  <c r="H27" i="349" s="1"/>
  <c r="C28" i="349"/>
  <c r="H28" i="349" s="1"/>
  <c r="C29" i="349"/>
  <c r="C30" i="349"/>
  <c r="H30" i="349" s="1"/>
  <c r="C31" i="349"/>
  <c r="H31" i="349" s="1"/>
  <c r="C34" i="349"/>
  <c r="H34" i="349" s="1"/>
  <c r="C35" i="349"/>
  <c r="C36" i="349"/>
  <c r="H36" i="349" s="1"/>
  <c r="C37" i="349"/>
  <c r="C38" i="349"/>
  <c r="H38" i="349" s="1"/>
  <c r="C39" i="349"/>
  <c r="H39" i="349" s="1"/>
  <c r="C42" i="349"/>
  <c r="H42" i="349" s="1"/>
  <c r="C43" i="349"/>
  <c r="H43" i="349" s="1"/>
  <c r="C44" i="349"/>
  <c r="H44" i="349" s="1"/>
  <c r="C10" i="349"/>
  <c r="H10" i="349" s="1"/>
  <c r="C11" i="349"/>
  <c r="H11" i="349" s="1"/>
  <c r="C12" i="349"/>
  <c r="C13" i="349"/>
  <c r="C14" i="349"/>
  <c r="H14" i="349" s="1"/>
  <c r="C15" i="349"/>
  <c r="H15" i="349" s="1"/>
  <c r="C16" i="349"/>
  <c r="H16" i="349" s="1"/>
  <c r="C17" i="349"/>
  <c r="C18" i="349"/>
  <c r="H18" i="349" s="1"/>
  <c r="D46" i="349"/>
  <c r="D24" i="349"/>
  <c r="D32" i="349"/>
  <c r="D40" i="349"/>
  <c r="D19" i="349"/>
  <c r="C45" i="349"/>
  <c r="C7" i="349"/>
  <c r="E4" i="349"/>
  <c r="D34" i="348"/>
  <c r="D42" i="348"/>
  <c r="C21" i="348"/>
  <c r="H21" i="348" s="1"/>
  <c r="G4" i="348"/>
  <c r="C22" i="348"/>
  <c r="H22" i="348" s="1"/>
  <c r="C23" i="348"/>
  <c r="H23" i="348" s="1"/>
  <c r="C26" i="348"/>
  <c r="C27" i="348"/>
  <c r="H27" i="348" s="1"/>
  <c r="C28" i="348"/>
  <c r="H28" i="348" s="1"/>
  <c r="C29" i="348"/>
  <c r="H29" i="348" s="1"/>
  <c r="C30" i="348"/>
  <c r="H30" i="348" s="1"/>
  <c r="C31" i="348"/>
  <c r="C34" i="348"/>
  <c r="C35" i="348"/>
  <c r="H35" i="348" s="1"/>
  <c r="C36" i="348"/>
  <c r="H36" i="348" s="1"/>
  <c r="C37" i="348"/>
  <c r="H37" i="348" s="1"/>
  <c r="C38" i="348"/>
  <c r="H38" i="348" s="1"/>
  <c r="C39" i="348"/>
  <c r="H39" i="348" s="1"/>
  <c r="C42" i="348"/>
  <c r="C43" i="348"/>
  <c r="H43" i="348" s="1"/>
  <c r="C44" i="348"/>
  <c r="H44" i="348" s="1"/>
  <c r="C10" i="348"/>
  <c r="H10" i="348" s="1"/>
  <c r="C11" i="348"/>
  <c r="H11" i="348" s="1"/>
  <c r="C12" i="348"/>
  <c r="H12" i="348" s="1"/>
  <c r="C13" i="348"/>
  <c r="H13" i="348" s="1"/>
  <c r="C14" i="348"/>
  <c r="H14" i="348" s="1"/>
  <c r="C15" i="348"/>
  <c r="H15" i="348" s="1"/>
  <c r="C16" i="348"/>
  <c r="H16" i="348" s="1"/>
  <c r="C17" i="348"/>
  <c r="C18" i="348"/>
  <c r="H18" i="348" s="1"/>
  <c r="D24" i="348"/>
  <c r="D32" i="348"/>
  <c r="D19" i="348"/>
  <c r="C45" i="348"/>
  <c r="C7" i="348"/>
  <c r="E4" i="348"/>
  <c r="D30" i="347"/>
  <c r="D42" i="347"/>
  <c r="D46" i="347" s="1"/>
  <c r="D34" i="347"/>
  <c r="C21" i="347"/>
  <c r="H21" i="347" s="1"/>
  <c r="G4" i="347"/>
  <c r="C22" i="347"/>
  <c r="H22" i="347" s="1"/>
  <c r="C23" i="347"/>
  <c r="H23" i="347" s="1"/>
  <c r="C26" i="347"/>
  <c r="H26" i="347" s="1"/>
  <c r="C27" i="347"/>
  <c r="H27" i="347" s="1"/>
  <c r="C28" i="347"/>
  <c r="H28" i="347" s="1"/>
  <c r="C29" i="347"/>
  <c r="H29" i="347" s="1"/>
  <c r="C30" i="347"/>
  <c r="H30" i="347" s="1"/>
  <c r="C31" i="347"/>
  <c r="H31" i="347" s="1"/>
  <c r="C34" i="347"/>
  <c r="C35" i="347"/>
  <c r="C36" i="347"/>
  <c r="C37" i="347"/>
  <c r="C38" i="347"/>
  <c r="H38" i="347" s="1"/>
  <c r="C39" i="347"/>
  <c r="C42" i="347"/>
  <c r="C43" i="347"/>
  <c r="H43" i="347" s="1"/>
  <c r="C44" i="347"/>
  <c r="H44" i="347" s="1"/>
  <c r="C10" i="347"/>
  <c r="H10" i="347" s="1"/>
  <c r="C11" i="347"/>
  <c r="H11" i="347" s="1"/>
  <c r="C12" i="347"/>
  <c r="H12" i="347" s="1"/>
  <c r="C13" i="347"/>
  <c r="H13" i="347" s="1"/>
  <c r="C14" i="347"/>
  <c r="H14" i="347" s="1"/>
  <c r="C15" i="347"/>
  <c r="H15" i="347" s="1"/>
  <c r="C16" i="347"/>
  <c r="H16" i="347" s="1"/>
  <c r="C17" i="347"/>
  <c r="H17" i="347" s="1"/>
  <c r="C18" i="347"/>
  <c r="H18" i="347" s="1"/>
  <c r="D24" i="347"/>
  <c r="D19" i="347"/>
  <c r="E10" i="347" s="1"/>
  <c r="C45" i="347"/>
  <c r="C7" i="347"/>
  <c r="E4" i="347"/>
  <c r="C21" i="346"/>
  <c r="H21" i="346" s="1"/>
  <c r="G4" i="346"/>
  <c r="C22" i="346"/>
  <c r="H22" i="346" s="1"/>
  <c r="C23" i="346"/>
  <c r="H23" i="346" s="1"/>
  <c r="C26" i="346"/>
  <c r="H26" i="346" s="1"/>
  <c r="C27" i="346"/>
  <c r="H27" i="346" s="1"/>
  <c r="C28" i="346"/>
  <c r="C29" i="346"/>
  <c r="H29" i="346" s="1"/>
  <c r="C30" i="346"/>
  <c r="H30" i="346" s="1"/>
  <c r="C31" i="346"/>
  <c r="H31" i="346" s="1"/>
  <c r="C34" i="346"/>
  <c r="H34" i="346" s="1"/>
  <c r="C35" i="346"/>
  <c r="H35" i="346" s="1"/>
  <c r="C36" i="346"/>
  <c r="C37" i="346"/>
  <c r="C38" i="346"/>
  <c r="H38" i="346" s="1"/>
  <c r="C39" i="346"/>
  <c r="H39" i="346" s="1"/>
  <c r="C42" i="346"/>
  <c r="H42" i="346" s="1"/>
  <c r="C43" i="346"/>
  <c r="H43" i="346" s="1"/>
  <c r="C44" i="346"/>
  <c r="C10" i="346"/>
  <c r="H10" i="346" s="1"/>
  <c r="C11" i="346"/>
  <c r="C12" i="346"/>
  <c r="C13" i="346"/>
  <c r="H13" i="346" s="1"/>
  <c r="C14" i="346"/>
  <c r="H14" i="346" s="1"/>
  <c r="C15" i="346"/>
  <c r="H15" i="346" s="1"/>
  <c r="C16" i="346"/>
  <c r="C17" i="346"/>
  <c r="H17" i="346" s="1"/>
  <c r="C18" i="346"/>
  <c r="H18" i="346" s="1"/>
  <c r="D46" i="346"/>
  <c r="D24" i="346"/>
  <c r="D32" i="346"/>
  <c r="D40" i="346"/>
  <c r="D19" i="346"/>
  <c r="C45" i="346"/>
  <c r="C7" i="346"/>
  <c r="E4" i="346"/>
  <c r="D27" i="338"/>
  <c r="D43" i="338"/>
  <c r="D46" i="338" s="1"/>
  <c r="D34" i="338"/>
  <c r="D40" i="338" s="1"/>
  <c r="D31" i="338"/>
  <c r="D30" i="338"/>
  <c r="D29" i="338"/>
  <c r="D28" i="338"/>
  <c r="D26" i="338"/>
  <c r="D23" i="338"/>
  <c r="D22" i="338"/>
  <c r="D22" i="351" s="1"/>
  <c r="D21" i="338"/>
  <c r="D21" i="351" s="1"/>
  <c r="C21" i="345"/>
  <c r="H21" i="345" s="1"/>
  <c r="G4" i="345"/>
  <c r="C22" i="345"/>
  <c r="H22" i="345" s="1"/>
  <c r="C23" i="345"/>
  <c r="H23" i="345" s="1"/>
  <c r="C26" i="345"/>
  <c r="H26" i="345" s="1"/>
  <c r="C27" i="345"/>
  <c r="H27" i="345" s="1"/>
  <c r="C28" i="345"/>
  <c r="H28" i="345" s="1"/>
  <c r="C29" i="345"/>
  <c r="H29" i="345" s="1"/>
  <c r="C30" i="345"/>
  <c r="H30" i="345" s="1"/>
  <c r="C31" i="345"/>
  <c r="H31" i="345" s="1"/>
  <c r="C34" i="345"/>
  <c r="H34" i="345" s="1"/>
  <c r="C35" i="345"/>
  <c r="H35" i="345" s="1"/>
  <c r="C36" i="345"/>
  <c r="H36" i="345" s="1"/>
  <c r="C37" i="345"/>
  <c r="C38" i="345"/>
  <c r="C39" i="345"/>
  <c r="H39" i="345" s="1"/>
  <c r="C42" i="345"/>
  <c r="H42" i="345" s="1"/>
  <c r="C43" i="345"/>
  <c r="H43" i="345" s="1"/>
  <c r="C44" i="345"/>
  <c r="C10" i="345"/>
  <c r="H10" i="345" s="1"/>
  <c r="C11" i="345"/>
  <c r="H11" i="345" s="1"/>
  <c r="C12" i="345"/>
  <c r="H12" i="345" s="1"/>
  <c r="C13" i="345"/>
  <c r="C14" i="345"/>
  <c r="H14" i="345" s="1"/>
  <c r="C15" i="345"/>
  <c r="C16" i="345"/>
  <c r="H16" i="345" s="1"/>
  <c r="C17" i="345"/>
  <c r="H17" i="345" s="1"/>
  <c r="C18" i="345"/>
  <c r="H18" i="345" s="1"/>
  <c r="D46" i="345"/>
  <c r="D24" i="345"/>
  <c r="D32" i="345"/>
  <c r="D40" i="345"/>
  <c r="D19" i="345"/>
  <c r="E13" i="345" s="1"/>
  <c r="C45" i="345"/>
  <c r="C7" i="345"/>
  <c r="E4" i="345"/>
  <c r="C21" i="343"/>
  <c r="H21" i="343" s="1"/>
  <c r="G4" i="343"/>
  <c r="C22" i="343"/>
  <c r="H22" i="343" s="1"/>
  <c r="C23" i="343"/>
  <c r="C26" i="343"/>
  <c r="H26" i="343" s="1"/>
  <c r="C27" i="343"/>
  <c r="H27" i="343" s="1"/>
  <c r="C28" i="343"/>
  <c r="H28" i="343" s="1"/>
  <c r="C29" i="343"/>
  <c r="C30" i="343"/>
  <c r="H30" i="343" s="1"/>
  <c r="C31" i="343"/>
  <c r="C34" i="343"/>
  <c r="H34" i="343" s="1"/>
  <c r="C35" i="343"/>
  <c r="H35" i="343" s="1"/>
  <c r="C36" i="343"/>
  <c r="H36" i="343" s="1"/>
  <c r="C37" i="343"/>
  <c r="H37" i="343" s="1"/>
  <c r="C38" i="343"/>
  <c r="H38" i="343" s="1"/>
  <c r="C39" i="343"/>
  <c r="H39" i="343" s="1"/>
  <c r="C42" i="343"/>
  <c r="C43" i="343"/>
  <c r="H43" i="343" s="1"/>
  <c r="C44" i="343"/>
  <c r="H44" i="343" s="1"/>
  <c r="C10" i="343"/>
  <c r="H10" i="343" s="1"/>
  <c r="C11" i="343"/>
  <c r="H11" i="343" s="1"/>
  <c r="C12" i="343"/>
  <c r="C13" i="343"/>
  <c r="H13" i="343" s="1"/>
  <c r="C14" i="343"/>
  <c r="C15" i="343"/>
  <c r="C16" i="343"/>
  <c r="H16" i="343" s="1"/>
  <c r="C17" i="343"/>
  <c r="H17" i="343" s="1"/>
  <c r="C18" i="343"/>
  <c r="H18" i="343" s="1"/>
  <c r="D46" i="343"/>
  <c r="D24" i="343"/>
  <c r="D32" i="343"/>
  <c r="D40" i="343"/>
  <c r="D19" i="343"/>
  <c r="E14" i="343" s="1"/>
  <c r="C45" i="343"/>
  <c r="C7" i="343"/>
  <c r="E4" i="343"/>
  <c r="D34" i="342"/>
  <c r="D42" i="342"/>
  <c r="D46" i="342" s="1"/>
  <c r="C21" i="342"/>
  <c r="H21" i="342" s="1"/>
  <c r="G4" i="342"/>
  <c r="C22" i="342"/>
  <c r="H22" i="342" s="1"/>
  <c r="C23" i="342"/>
  <c r="C26" i="342"/>
  <c r="H26" i="342" s="1"/>
  <c r="C27" i="342"/>
  <c r="H27" i="342" s="1"/>
  <c r="C28" i="342"/>
  <c r="H28" i="342" s="1"/>
  <c r="C29" i="342"/>
  <c r="C30" i="342"/>
  <c r="H30" i="342" s="1"/>
  <c r="C31" i="342"/>
  <c r="C34" i="342"/>
  <c r="C35" i="342"/>
  <c r="H35" i="342" s="1"/>
  <c r="C36" i="342"/>
  <c r="H36" i="342" s="1"/>
  <c r="C37" i="342"/>
  <c r="H37" i="342" s="1"/>
  <c r="C38" i="342"/>
  <c r="H38" i="342" s="1"/>
  <c r="C39" i="342"/>
  <c r="H39" i="342" s="1"/>
  <c r="C42" i="342"/>
  <c r="C43" i="342"/>
  <c r="H43" i="342" s="1"/>
  <c r="C44" i="342"/>
  <c r="H44" i="342" s="1"/>
  <c r="C10" i="342"/>
  <c r="H10" i="342" s="1"/>
  <c r="C11" i="342"/>
  <c r="H11" i="342" s="1"/>
  <c r="C12" i="342"/>
  <c r="C13" i="342"/>
  <c r="H13" i="342" s="1"/>
  <c r="C14" i="342"/>
  <c r="C15" i="342"/>
  <c r="H15" i="342" s="1"/>
  <c r="C16" i="342"/>
  <c r="H16" i="342" s="1"/>
  <c r="C17" i="342"/>
  <c r="H17" i="342" s="1"/>
  <c r="C18" i="342"/>
  <c r="H18" i="342" s="1"/>
  <c r="D24" i="342"/>
  <c r="D32" i="342"/>
  <c r="D19" i="342"/>
  <c r="C45" i="342"/>
  <c r="C7" i="342"/>
  <c r="E4" i="342"/>
  <c r="C21" i="341"/>
  <c r="G4" i="341"/>
  <c r="C22" i="341"/>
  <c r="H22" i="341" s="1"/>
  <c r="C23" i="341"/>
  <c r="H23" i="341" s="1"/>
  <c r="C26" i="341"/>
  <c r="H26" i="341" s="1"/>
  <c r="C27" i="341"/>
  <c r="H27" i="341" s="1"/>
  <c r="C28" i="341"/>
  <c r="H28" i="341" s="1"/>
  <c r="C29" i="341"/>
  <c r="H29" i="341" s="1"/>
  <c r="C30" i="341"/>
  <c r="C31" i="341"/>
  <c r="H31" i="341" s="1"/>
  <c r="C34" i="341"/>
  <c r="H34" i="341" s="1"/>
  <c r="C35" i="341"/>
  <c r="H35" i="341" s="1"/>
  <c r="C36" i="341"/>
  <c r="H36" i="341" s="1"/>
  <c r="C37" i="341"/>
  <c r="H37" i="341" s="1"/>
  <c r="C38" i="341"/>
  <c r="H38" i="341" s="1"/>
  <c r="C39" i="341"/>
  <c r="H39" i="341" s="1"/>
  <c r="C42" i="341"/>
  <c r="H42" i="341" s="1"/>
  <c r="C43" i="341"/>
  <c r="C44" i="341"/>
  <c r="H44" i="341" s="1"/>
  <c r="C10" i="341"/>
  <c r="H10" i="341" s="1"/>
  <c r="C11" i="341"/>
  <c r="H11" i="341" s="1"/>
  <c r="C12" i="341"/>
  <c r="H12" i="341" s="1"/>
  <c r="C13" i="341"/>
  <c r="C14" i="341"/>
  <c r="H14" i="341" s="1"/>
  <c r="C15" i="341"/>
  <c r="C16" i="341"/>
  <c r="H16" i="341" s="1"/>
  <c r="C17" i="341"/>
  <c r="H17" i="341" s="1"/>
  <c r="C18" i="341"/>
  <c r="H18" i="341" s="1"/>
  <c r="D46" i="341"/>
  <c r="D24" i="341"/>
  <c r="D32" i="341"/>
  <c r="D40" i="341"/>
  <c r="D19" i="341"/>
  <c r="E15" i="341" s="1"/>
  <c r="C45" i="341"/>
  <c r="C7" i="341"/>
  <c r="E4" i="341"/>
  <c r="D26" i="340"/>
  <c r="D32" i="340" s="1"/>
  <c r="C21" i="340"/>
  <c r="G4" i="340"/>
  <c r="C22" i="340"/>
  <c r="H22" i="340" s="1"/>
  <c r="C23" i="340"/>
  <c r="C26" i="340"/>
  <c r="C27" i="340"/>
  <c r="H27" i="340" s="1"/>
  <c r="C28" i="340"/>
  <c r="H28" i="340" s="1"/>
  <c r="C29" i="340"/>
  <c r="H29" i="340" s="1"/>
  <c r="C30" i="340"/>
  <c r="C31" i="340"/>
  <c r="H31" i="340" s="1"/>
  <c r="C34" i="340"/>
  <c r="C35" i="340"/>
  <c r="H35" i="340" s="1"/>
  <c r="C36" i="340"/>
  <c r="C37" i="340"/>
  <c r="H37" i="340" s="1"/>
  <c r="C38" i="340"/>
  <c r="H38" i="340" s="1"/>
  <c r="C39" i="340"/>
  <c r="H39" i="340" s="1"/>
  <c r="C42" i="340"/>
  <c r="H42" i="340" s="1"/>
  <c r="C43" i="340"/>
  <c r="H43" i="340" s="1"/>
  <c r="C44" i="340"/>
  <c r="H44" i="340" s="1"/>
  <c r="C10" i="340"/>
  <c r="H10" i="340" s="1"/>
  <c r="C11" i="340"/>
  <c r="H11" i="340" s="1"/>
  <c r="C12" i="340"/>
  <c r="H12" i="340" s="1"/>
  <c r="C13" i="340"/>
  <c r="H13" i="340" s="1"/>
  <c r="C14" i="340"/>
  <c r="H14" i="340" s="1"/>
  <c r="C15" i="340"/>
  <c r="H15" i="340" s="1"/>
  <c r="C16" i="340"/>
  <c r="H16" i="340" s="1"/>
  <c r="C17" i="340"/>
  <c r="H17" i="340" s="1"/>
  <c r="C18" i="340"/>
  <c r="H18" i="340" s="1"/>
  <c r="D46" i="340"/>
  <c r="D24" i="340"/>
  <c r="D40" i="340"/>
  <c r="D19" i="340"/>
  <c r="E11" i="340" s="1"/>
  <c r="C45" i="340"/>
  <c r="C7" i="340"/>
  <c r="E4" i="340"/>
  <c r="E4" i="339"/>
  <c r="G4" i="339"/>
  <c r="C7" i="339"/>
  <c r="C10" i="339"/>
  <c r="H10" i="339" s="1"/>
  <c r="C11" i="339"/>
  <c r="H11" i="339" s="1"/>
  <c r="C12" i="339"/>
  <c r="H12" i="339" s="1"/>
  <c r="C13" i="339"/>
  <c r="H13" i="339" s="1"/>
  <c r="C14" i="339"/>
  <c r="H14" i="339" s="1"/>
  <c r="C15" i="339"/>
  <c r="H15" i="339" s="1"/>
  <c r="C16" i="339"/>
  <c r="H16" i="339" s="1"/>
  <c r="C17" i="339"/>
  <c r="H17" i="339" s="1"/>
  <c r="C18" i="339"/>
  <c r="H18" i="339" s="1"/>
  <c r="D19" i="339"/>
  <c r="C21" i="339"/>
  <c r="H21" i="339" s="1"/>
  <c r="C22" i="339"/>
  <c r="H22" i="339" s="1"/>
  <c r="C23" i="339"/>
  <c r="H23" i="339" s="1"/>
  <c r="D24" i="339"/>
  <c r="C26" i="339"/>
  <c r="H26" i="339" s="1"/>
  <c r="C27" i="339"/>
  <c r="H27" i="339" s="1"/>
  <c r="C28" i="339"/>
  <c r="H28" i="339" s="1"/>
  <c r="C29" i="339"/>
  <c r="H29" i="339" s="1"/>
  <c r="C30" i="339"/>
  <c r="H30" i="339" s="1"/>
  <c r="C31" i="339"/>
  <c r="H31" i="339" s="1"/>
  <c r="D32" i="339"/>
  <c r="C34" i="339"/>
  <c r="H34" i="339" s="1"/>
  <c r="C35" i="339"/>
  <c r="H35" i="339" s="1"/>
  <c r="C36" i="339"/>
  <c r="H36" i="339" s="1"/>
  <c r="C37" i="339"/>
  <c r="H37" i="339" s="1"/>
  <c r="C38" i="339"/>
  <c r="H38" i="339" s="1"/>
  <c r="C39" i="339"/>
  <c r="H39" i="339" s="1"/>
  <c r="C42" i="339"/>
  <c r="H42" i="339" s="1"/>
  <c r="C43" i="339"/>
  <c r="C44" i="339"/>
  <c r="H44" i="339" s="1"/>
  <c r="C45" i="339"/>
  <c r="D46" i="339"/>
  <c r="E4" i="338"/>
  <c r="G4" i="338"/>
  <c r="C7" i="338"/>
  <c r="C10" i="338"/>
  <c r="H10" i="338" s="1"/>
  <c r="C11" i="338"/>
  <c r="H11" i="338" s="1"/>
  <c r="C12" i="338"/>
  <c r="H12" i="338" s="1"/>
  <c r="C13" i="338"/>
  <c r="H13" i="338" s="1"/>
  <c r="C14" i="338"/>
  <c r="H14" i="338" s="1"/>
  <c r="C15" i="338"/>
  <c r="H15" i="338" s="1"/>
  <c r="C16" i="338"/>
  <c r="H16" i="338" s="1"/>
  <c r="C17" i="338"/>
  <c r="H17" i="338" s="1"/>
  <c r="D19" i="338"/>
  <c r="E10" i="338" s="1"/>
  <c r="C18" i="338"/>
  <c r="H18" i="338" s="1"/>
  <c r="C21" i="338"/>
  <c r="C22" i="338"/>
  <c r="C23" i="338"/>
  <c r="C26" i="338"/>
  <c r="C27" i="338"/>
  <c r="C28" i="338"/>
  <c r="C29" i="338"/>
  <c r="C30" i="338"/>
  <c r="C31" i="338"/>
  <c r="C34" i="338"/>
  <c r="C35" i="338"/>
  <c r="H35" i="338" s="1"/>
  <c r="C36" i="338"/>
  <c r="H36" i="338" s="1"/>
  <c r="C37" i="338"/>
  <c r="H37" i="338" s="1"/>
  <c r="C38" i="338"/>
  <c r="H38" i="338" s="1"/>
  <c r="C39" i="338"/>
  <c r="H39" i="338" s="1"/>
  <c r="C42" i="338"/>
  <c r="H42" i="338" s="1"/>
  <c r="C43" i="338"/>
  <c r="H43" i="338" s="1"/>
  <c r="C44" i="338"/>
  <c r="H44" i="338" s="1"/>
  <c r="C45" i="338"/>
  <c r="D40" i="339"/>
  <c r="D29" i="336"/>
  <c r="D26" i="336"/>
  <c r="D28" i="336"/>
  <c r="D27" i="336"/>
  <c r="D34" i="337"/>
  <c r="D40" i="337" s="1"/>
  <c r="D42" i="337"/>
  <c r="C21" i="337"/>
  <c r="G4" i="337"/>
  <c r="C22" i="337"/>
  <c r="H22" i="337" s="1"/>
  <c r="C23" i="337"/>
  <c r="C26" i="337"/>
  <c r="C27" i="337"/>
  <c r="H27" i="337" s="1"/>
  <c r="C28" i="337"/>
  <c r="C29" i="337"/>
  <c r="C30" i="337"/>
  <c r="H30" i="337" s="1"/>
  <c r="C31" i="337"/>
  <c r="H31" i="337" s="1"/>
  <c r="C34" i="337"/>
  <c r="C35" i="337"/>
  <c r="H35" i="337" s="1"/>
  <c r="C36" i="337"/>
  <c r="H36" i="337" s="1"/>
  <c r="C37" i="337"/>
  <c r="H37" i="337" s="1"/>
  <c r="C38" i="337"/>
  <c r="H38" i="337" s="1"/>
  <c r="C39" i="337"/>
  <c r="H39" i="337" s="1"/>
  <c r="C42" i="337"/>
  <c r="C43" i="337"/>
  <c r="H43" i="337" s="1"/>
  <c r="C44" i="337"/>
  <c r="H44" i="337" s="1"/>
  <c r="C10" i="337"/>
  <c r="H10" i="337" s="1"/>
  <c r="C11" i="337"/>
  <c r="C12" i="337"/>
  <c r="C13" i="337"/>
  <c r="H13" i="337" s="1"/>
  <c r="C14" i="337"/>
  <c r="H14" i="337" s="1"/>
  <c r="C15" i="337"/>
  <c r="H15" i="337" s="1"/>
  <c r="C16" i="337"/>
  <c r="H16" i="337" s="1"/>
  <c r="C17" i="337"/>
  <c r="C18" i="337"/>
  <c r="H18" i="337" s="1"/>
  <c r="D24" i="337"/>
  <c r="D32" i="337"/>
  <c r="D19" i="337"/>
  <c r="E17" i="337" s="1"/>
  <c r="C45" i="337"/>
  <c r="C7" i="337"/>
  <c r="E4" i="337"/>
  <c r="D34" i="336"/>
  <c r="D40" i="336" s="1"/>
  <c r="D42" i="336"/>
  <c r="D46" i="336" s="1"/>
  <c r="C21" i="336"/>
  <c r="G4" i="336"/>
  <c r="C22" i="336"/>
  <c r="H22" i="336" s="1"/>
  <c r="C23" i="336"/>
  <c r="C26" i="336"/>
  <c r="C27" i="336"/>
  <c r="H27" i="336" s="1"/>
  <c r="C28" i="336"/>
  <c r="C29" i="336"/>
  <c r="C30" i="336"/>
  <c r="H30" i="336" s="1"/>
  <c r="C31" i="336"/>
  <c r="H31" i="336" s="1"/>
  <c r="C34" i="336"/>
  <c r="C35" i="336"/>
  <c r="H35" i="336" s="1"/>
  <c r="C36" i="336"/>
  <c r="H36" i="336" s="1"/>
  <c r="C37" i="336"/>
  <c r="H37" i="336" s="1"/>
  <c r="C38" i="336"/>
  <c r="H38" i="336" s="1"/>
  <c r="C39" i="336"/>
  <c r="H39" i="336" s="1"/>
  <c r="C42" i="336"/>
  <c r="C43" i="336"/>
  <c r="H43" i="336" s="1"/>
  <c r="C44" i="336"/>
  <c r="H44" i="336" s="1"/>
  <c r="C10" i="336"/>
  <c r="H10" i="336" s="1"/>
  <c r="C11" i="336"/>
  <c r="C12" i="336"/>
  <c r="C13" i="336"/>
  <c r="H13" i="336" s="1"/>
  <c r="C14" i="336"/>
  <c r="H14" i="336" s="1"/>
  <c r="C15" i="336"/>
  <c r="H15" i="336" s="1"/>
  <c r="C16" i="336"/>
  <c r="H16" i="336" s="1"/>
  <c r="C17" i="336"/>
  <c r="C18" i="336"/>
  <c r="H18" i="336" s="1"/>
  <c r="D24" i="336"/>
  <c r="D19" i="336"/>
  <c r="E12" i="336" s="1"/>
  <c r="C45" i="336"/>
  <c r="C7" i="336"/>
  <c r="E4" i="336"/>
  <c r="D34" i="335"/>
  <c r="D40" i="335" s="1"/>
  <c r="D42" i="335"/>
  <c r="C21" i="335"/>
  <c r="G4" i="335"/>
  <c r="C22" i="335"/>
  <c r="H22" i="335" s="1"/>
  <c r="C23" i="335"/>
  <c r="C26" i="335"/>
  <c r="H26" i="335" s="1"/>
  <c r="C27" i="335"/>
  <c r="H27" i="335" s="1"/>
  <c r="C28" i="335"/>
  <c r="C29" i="335"/>
  <c r="C30" i="335"/>
  <c r="H30" i="335" s="1"/>
  <c r="C31" i="335"/>
  <c r="H31" i="335" s="1"/>
  <c r="C34" i="335"/>
  <c r="C35" i="335"/>
  <c r="H35" i="335" s="1"/>
  <c r="C36" i="335"/>
  <c r="C37" i="335"/>
  <c r="H37" i="335" s="1"/>
  <c r="C38" i="335"/>
  <c r="H38" i="335" s="1"/>
  <c r="C39" i="335"/>
  <c r="H39" i="335" s="1"/>
  <c r="C42" i="335"/>
  <c r="C43" i="335"/>
  <c r="H43" i="335" s="1"/>
  <c r="C44" i="335"/>
  <c r="H44" i="335" s="1"/>
  <c r="C10" i="335"/>
  <c r="H10" i="335" s="1"/>
  <c r="C11" i="335"/>
  <c r="C12" i="335"/>
  <c r="C13" i="335"/>
  <c r="H13" i="335" s="1"/>
  <c r="C14" i="335"/>
  <c r="H14" i="335" s="1"/>
  <c r="C15" i="335"/>
  <c r="H15" i="335" s="1"/>
  <c r="C16" i="335"/>
  <c r="H16" i="335" s="1"/>
  <c r="C17" i="335"/>
  <c r="C18" i="335"/>
  <c r="H18" i="335" s="1"/>
  <c r="D24" i="335"/>
  <c r="D32" i="335"/>
  <c r="D19" i="335"/>
  <c r="E17" i="335" s="1"/>
  <c r="C45" i="335"/>
  <c r="C7" i="335"/>
  <c r="E4" i="335"/>
  <c r="C21" i="334"/>
  <c r="G4" i="334"/>
  <c r="C22" i="334"/>
  <c r="H22" i="334" s="1"/>
  <c r="C23" i="334"/>
  <c r="H23" i="334" s="1"/>
  <c r="C26" i="334"/>
  <c r="H26" i="334" s="1"/>
  <c r="C27" i="334"/>
  <c r="H27" i="334" s="1"/>
  <c r="C28" i="334"/>
  <c r="H28" i="334" s="1"/>
  <c r="C29" i="334"/>
  <c r="C30" i="334"/>
  <c r="H30" i="334" s="1"/>
  <c r="C31" i="334"/>
  <c r="H31" i="334" s="1"/>
  <c r="C34" i="334"/>
  <c r="H34" i="334" s="1"/>
  <c r="C35" i="334"/>
  <c r="C36" i="334"/>
  <c r="H36" i="334" s="1"/>
  <c r="C37" i="334"/>
  <c r="H37" i="334" s="1"/>
  <c r="C38" i="334"/>
  <c r="H38" i="334" s="1"/>
  <c r="C39" i="334"/>
  <c r="H39" i="334" s="1"/>
  <c r="C42" i="334"/>
  <c r="H42" i="334" s="1"/>
  <c r="C43" i="334"/>
  <c r="C44" i="334"/>
  <c r="H44" i="334" s="1"/>
  <c r="C10" i="334"/>
  <c r="H10" i="334" s="1"/>
  <c r="C11" i="334"/>
  <c r="H11" i="334" s="1"/>
  <c r="C12" i="334"/>
  <c r="C13" i="334"/>
  <c r="H13" i="334" s="1"/>
  <c r="C14" i="334"/>
  <c r="H14" i="334" s="1"/>
  <c r="C15" i="334"/>
  <c r="H15" i="334" s="1"/>
  <c r="C16" i="334"/>
  <c r="H16" i="334" s="1"/>
  <c r="C17" i="334"/>
  <c r="H17" i="334" s="1"/>
  <c r="C18" i="334"/>
  <c r="H18" i="334" s="1"/>
  <c r="D46" i="334"/>
  <c r="D24" i="334"/>
  <c r="D32" i="334"/>
  <c r="D40" i="334"/>
  <c r="D19" i="334"/>
  <c r="E16" i="334" s="1"/>
  <c r="C45" i="334"/>
  <c r="C7" i="334"/>
  <c r="E4" i="334"/>
  <c r="D34" i="333"/>
  <c r="D42" i="333"/>
  <c r="C21" i="333"/>
  <c r="H21" i="333" s="1"/>
  <c r="G4" i="333"/>
  <c r="C22" i="333"/>
  <c r="C23" i="333"/>
  <c r="H23" i="333" s="1"/>
  <c r="C26" i="333"/>
  <c r="H26" i="333" s="1"/>
  <c r="C27" i="333"/>
  <c r="C28" i="333"/>
  <c r="H28" i="333" s="1"/>
  <c r="C29" i="333"/>
  <c r="H29" i="333" s="1"/>
  <c r="C30" i="333"/>
  <c r="H30" i="333" s="1"/>
  <c r="C31" i="333"/>
  <c r="H31" i="333" s="1"/>
  <c r="C34" i="333"/>
  <c r="C35" i="333"/>
  <c r="H35" i="333" s="1"/>
  <c r="C36" i="333"/>
  <c r="H36" i="333" s="1"/>
  <c r="C37" i="333"/>
  <c r="C38" i="333"/>
  <c r="H38" i="333" s="1"/>
  <c r="C39" i="333"/>
  <c r="H39" i="333" s="1"/>
  <c r="C42" i="333"/>
  <c r="C43" i="333"/>
  <c r="H43" i="333" s="1"/>
  <c r="C44" i="333"/>
  <c r="H44" i="333" s="1"/>
  <c r="C10" i="333"/>
  <c r="H10" i="333" s="1"/>
  <c r="C11" i="333"/>
  <c r="H11" i="333" s="1"/>
  <c r="C12" i="333"/>
  <c r="H12" i="333" s="1"/>
  <c r="C13" i="333"/>
  <c r="H13" i="333" s="1"/>
  <c r="C14" i="333"/>
  <c r="H14" i="333" s="1"/>
  <c r="C15" i="333"/>
  <c r="H15" i="333" s="1"/>
  <c r="C16" i="333"/>
  <c r="H16" i="333" s="1"/>
  <c r="C17" i="333"/>
  <c r="H17" i="333" s="1"/>
  <c r="C18" i="333"/>
  <c r="H18" i="333" s="1"/>
  <c r="D24" i="333"/>
  <c r="D32" i="333"/>
  <c r="D40" i="333"/>
  <c r="D19" i="333"/>
  <c r="E16" i="333" s="1"/>
  <c r="C45" i="333"/>
  <c r="C7" i="333"/>
  <c r="E4" i="333"/>
  <c r="C21" i="332"/>
  <c r="H21" i="332" s="1"/>
  <c r="G4" i="332"/>
  <c r="C22" i="332"/>
  <c r="H22" i="332" s="1"/>
  <c r="C23" i="332"/>
  <c r="H23" i="332" s="1"/>
  <c r="C26" i="332"/>
  <c r="C27" i="332"/>
  <c r="H27" i="332" s="1"/>
  <c r="C28" i="332"/>
  <c r="H28" i="332" s="1"/>
  <c r="C29" i="332"/>
  <c r="H29" i="332" s="1"/>
  <c r="C30" i="332"/>
  <c r="H30" i="332" s="1"/>
  <c r="C31" i="332"/>
  <c r="H31" i="332" s="1"/>
  <c r="C34" i="332"/>
  <c r="H34" i="332" s="1"/>
  <c r="C35" i="332"/>
  <c r="H35" i="332" s="1"/>
  <c r="C36" i="332"/>
  <c r="C37" i="332"/>
  <c r="H37" i="332" s="1"/>
  <c r="C38" i="332"/>
  <c r="H38" i="332" s="1"/>
  <c r="C39" i="332"/>
  <c r="H39" i="332" s="1"/>
  <c r="C42" i="332"/>
  <c r="H42" i="332" s="1"/>
  <c r="C43" i="332"/>
  <c r="H43" i="332" s="1"/>
  <c r="C44" i="332"/>
  <c r="H44" i="332" s="1"/>
  <c r="C10" i="332"/>
  <c r="H10" i="332" s="1"/>
  <c r="C11" i="332"/>
  <c r="H11" i="332" s="1"/>
  <c r="C12" i="332"/>
  <c r="H12" i="332" s="1"/>
  <c r="C13" i="332"/>
  <c r="H13" i="332" s="1"/>
  <c r="C14" i="332"/>
  <c r="C15" i="332"/>
  <c r="C16" i="332"/>
  <c r="H16" i="332" s="1"/>
  <c r="C17" i="332"/>
  <c r="H17" i="332" s="1"/>
  <c r="C18" i="332"/>
  <c r="D46" i="332"/>
  <c r="D24" i="332"/>
  <c r="D32" i="332"/>
  <c r="D40" i="332"/>
  <c r="D19" i="332"/>
  <c r="E16" i="332" s="1"/>
  <c r="C45" i="332"/>
  <c r="C7" i="332"/>
  <c r="E4" i="332"/>
  <c r="C21" i="331"/>
  <c r="H21" i="331" s="1"/>
  <c r="G4" i="331"/>
  <c r="C22" i="331"/>
  <c r="H22" i="331" s="1"/>
  <c r="C23" i="331"/>
  <c r="C26" i="331"/>
  <c r="H26" i="331" s="1"/>
  <c r="C27" i="331"/>
  <c r="H27" i="331" s="1"/>
  <c r="C28" i="331"/>
  <c r="C29" i="331"/>
  <c r="H29" i="331" s="1"/>
  <c r="C30" i="331"/>
  <c r="H30" i="331" s="1"/>
  <c r="C31" i="331"/>
  <c r="H31" i="331" s="1"/>
  <c r="C34" i="331"/>
  <c r="H34" i="331" s="1"/>
  <c r="C35" i="331"/>
  <c r="H35" i="331" s="1"/>
  <c r="C36" i="331"/>
  <c r="H36" i="331" s="1"/>
  <c r="C37" i="331"/>
  <c r="C38" i="331"/>
  <c r="C39" i="331"/>
  <c r="H39" i="331" s="1"/>
  <c r="C42" i="331"/>
  <c r="H42" i="331" s="1"/>
  <c r="C43" i="331"/>
  <c r="H43" i="331" s="1"/>
  <c r="C44" i="331"/>
  <c r="H44" i="331" s="1"/>
  <c r="C10" i="331"/>
  <c r="H10" i="331" s="1"/>
  <c r="C11" i="331"/>
  <c r="H11" i="331" s="1"/>
  <c r="C12" i="331"/>
  <c r="C13" i="331"/>
  <c r="H13" i="331" s="1"/>
  <c r="C14" i="331"/>
  <c r="C15" i="331"/>
  <c r="H15" i="331" s="1"/>
  <c r="C16" i="331"/>
  <c r="H16" i="331" s="1"/>
  <c r="C17" i="331"/>
  <c r="C18" i="331"/>
  <c r="H18" i="331" s="1"/>
  <c r="D46" i="331"/>
  <c r="D24" i="331"/>
  <c r="D32" i="331"/>
  <c r="D40" i="331"/>
  <c r="D19" i="331"/>
  <c r="E14" i="331" s="1"/>
  <c r="C45" i="331"/>
  <c r="C7" i="331"/>
  <c r="E4" i="331"/>
  <c r="D42" i="330"/>
  <c r="D46" i="330" s="1"/>
  <c r="D26" i="330"/>
  <c r="D32" i="330" s="1"/>
  <c r="C21" i="330"/>
  <c r="G4" i="330"/>
  <c r="C22" i="330"/>
  <c r="H22" i="330" s="1"/>
  <c r="C23" i="330"/>
  <c r="H23" i="330" s="1"/>
  <c r="C26" i="330"/>
  <c r="C27" i="330"/>
  <c r="H27" i="330" s="1"/>
  <c r="C28" i="330"/>
  <c r="H28" i="330" s="1"/>
  <c r="C29" i="330"/>
  <c r="H29" i="330" s="1"/>
  <c r="C30" i="330"/>
  <c r="H30" i="330" s="1"/>
  <c r="C31" i="330"/>
  <c r="H31" i="330" s="1"/>
  <c r="C34" i="330"/>
  <c r="H34" i="330" s="1"/>
  <c r="C35" i="330"/>
  <c r="H35" i="330" s="1"/>
  <c r="C36" i="330"/>
  <c r="C37" i="330"/>
  <c r="C38" i="330"/>
  <c r="H38" i="330" s="1"/>
  <c r="C39" i="330"/>
  <c r="H39" i="330" s="1"/>
  <c r="C42" i="330"/>
  <c r="C43" i="330"/>
  <c r="H43" i="330" s="1"/>
  <c r="C44" i="330"/>
  <c r="C10" i="330"/>
  <c r="H10" i="330" s="1"/>
  <c r="C11" i="330"/>
  <c r="H11" i="330" s="1"/>
  <c r="C12" i="330"/>
  <c r="H12" i="330" s="1"/>
  <c r="C13" i="330"/>
  <c r="H13" i="330" s="1"/>
  <c r="C14" i="330"/>
  <c r="H14" i="330" s="1"/>
  <c r="C15" i="330"/>
  <c r="H15" i="330" s="1"/>
  <c r="C16" i="330"/>
  <c r="C17" i="330"/>
  <c r="C18" i="330"/>
  <c r="H18" i="330" s="1"/>
  <c r="D24" i="330"/>
  <c r="D40" i="330"/>
  <c r="D19" i="330"/>
  <c r="E19" i="330" s="1"/>
  <c r="C45" i="330"/>
  <c r="C7" i="330"/>
  <c r="E4" i="330"/>
  <c r="D26" i="329"/>
  <c r="C21" i="329"/>
  <c r="G4" i="329"/>
  <c r="C22" i="329"/>
  <c r="H22" i="329" s="1"/>
  <c r="C23" i="329"/>
  <c r="H23" i="329" s="1"/>
  <c r="C26" i="329"/>
  <c r="C27" i="329"/>
  <c r="H27" i="329" s="1"/>
  <c r="C28" i="329"/>
  <c r="H28" i="329" s="1"/>
  <c r="C29" i="329"/>
  <c r="H29" i="329" s="1"/>
  <c r="C30" i="329"/>
  <c r="H30" i="329" s="1"/>
  <c r="C31" i="329"/>
  <c r="H31" i="329" s="1"/>
  <c r="C34" i="329"/>
  <c r="H34" i="329" s="1"/>
  <c r="C35" i="329"/>
  <c r="C36" i="329"/>
  <c r="C37" i="329"/>
  <c r="H37" i="329" s="1"/>
  <c r="C38" i="329"/>
  <c r="H38" i="329" s="1"/>
  <c r="C39" i="329"/>
  <c r="H39" i="329" s="1"/>
  <c r="C42" i="329"/>
  <c r="C43" i="329"/>
  <c r="H43" i="329" s="1"/>
  <c r="C44" i="329"/>
  <c r="H44" i="329" s="1"/>
  <c r="C10" i="329"/>
  <c r="H10" i="329" s="1"/>
  <c r="C11" i="329"/>
  <c r="C12" i="329"/>
  <c r="H12" i="329" s="1"/>
  <c r="C13" i="329"/>
  <c r="H13" i="329" s="1"/>
  <c r="C14" i="329"/>
  <c r="H14" i="329" s="1"/>
  <c r="C15" i="329"/>
  <c r="H15" i="329" s="1"/>
  <c r="C16" i="329"/>
  <c r="H16" i="329" s="1"/>
  <c r="C17" i="329"/>
  <c r="H17" i="329" s="1"/>
  <c r="C18" i="329"/>
  <c r="H18" i="329" s="1"/>
  <c r="D46" i="329"/>
  <c r="D24" i="329"/>
  <c r="D40" i="329"/>
  <c r="D19" i="329"/>
  <c r="E16" i="329" s="1"/>
  <c r="C45" i="329"/>
  <c r="C7" i="329"/>
  <c r="E4" i="329"/>
  <c r="C21" i="328"/>
  <c r="H21" i="328" s="1"/>
  <c r="G4" i="328"/>
  <c r="C22" i="328"/>
  <c r="H22" i="328" s="1"/>
  <c r="C23" i="328"/>
  <c r="H23" i="328" s="1"/>
  <c r="C26" i="328"/>
  <c r="H26" i="328" s="1"/>
  <c r="C27" i="328"/>
  <c r="H27" i="328" s="1"/>
  <c r="C28" i="328"/>
  <c r="H28" i="328" s="1"/>
  <c r="C29" i="328"/>
  <c r="H29" i="328" s="1"/>
  <c r="C30" i="328"/>
  <c r="H30" i="328" s="1"/>
  <c r="C31" i="328"/>
  <c r="C34" i="328"/>
  <c r="H34" i="328" s="1"/>
  <c r="C35" i="328"/>
  <c r="H35" i="328" s="1"/>
  <c r="C36" i="328"/>
  <c r="C37" i="328"/>
  <c r="H37" i="328" s="1"/>
  <c r="C38" i="328"/>
  <c r="H38" i="328" s="1"/>
  <c r="C39" i="328"/>
  <c r="C42" i="328"/>
  <c r="H42" i="328" s="1"/>
  <c r="C43" i="328"/>
  <c r="H43" i="328" s="1"/>
  <c r="C44" i="328"/>
  <c r="H44" i="328" s="1"/>
  <c r="C10" i="328"/>
  <c r="H10" i="328" s="1"/>
  <c r="C11" i="328"/>
  <c r="H11" i="328" s="1"/>
  <c r="C12" i="328"/>
  <c r="H12" i="328" s="1"/>
  <c r="C13" i="328"/>
  <c r="H13" i="328" s="1"/>
  <c r="C14" i="328"/>
  <c r="C15" i="328"/>
  <c r="H15" i="328" s="1"/>
  <c r="C16" i="328"/>
  <c r="H16" i="328" s="1"/>
  <c r="C17" i="328"/>
  <c r="H17" i="328" s="1"/>
  <c r="C18" i="328"/>
  <c r="H18" i="328" s="1"/>
  <c r="D46" i="328"/>
  <c r="D24" i="328"/>
  <c r="D32" i="328"/>
  <c r="D40" i="328"/>
  <c r="D19" i="328"/>
  <c r="E15" i="328" s="1"/>
  <c r="C45" i="328"/>
  <c r="C7" i="328"/>
  <c r="E4" i="328"/>
  <c r="D27" i="327"/>
  <c r="D32" i="327" s="1"/>
  <c r="D34" i="327"/>
  <c r="D40" i="327" s="1"/>
  <c r="D42" i="327"/>
  <c r="D46" i="327" s="1"/>
  <c r="C21" i="327"/>
  <c r="H21" i="327" s="1"/>
  <c r="G4" i="327"/>
  <c r="C22" i="327"/>
  <c r="H22" i="327" s="1"/>
  <c r="C23" i="327"/>
  <c r="H23" i="327" s="1"/>
  <c r="C26" i="327"/>
  <c r="C27" i="327"/>
  <c r="C28" i="327"/>
  <c r="C29" i="327"/>
  <c r="C30" i="327"/>
  <c r="H30" i="327" s="1"/>
  <c r="C31" i="327"/>
  <c r="H31" i="327" s="1"/>
  <c r="C34" i="327"/>
  <c r="C35" i="327"/>
  <c r="H35" i="327" s="1"/>
  <c r="C36" i="327"/>
  <c r="H36" i="327" s="1"/>
  <c r="C37" i="327"/>
  <c r="C38" i="327"/>
  <c r="H38" i="327" s="1"/>
  <c r="C39" i="327"/>
  <c r="H39" i="327" s="1"/>
  <c r="C42" i="327"/>
  <c r="C43" i="327"/>
  <c r="H43" i="327" s="1"/>
  <c r="C44" i="327"/>
  <c r="H44" i="327" s="1"/>
  <c r="C10" i="327"/>
  <c r="H10" i="327" s="1"/>
  <c r="C11" i="327"/>
  <c r="H11" i="327" s="1"/>
  <c r="C12" i="327"/>
  <c r="C13" i="327"/>
  <c r="H13" i="327" s="1"/>
  <c r="C14" i="327"/>
  <c r="H14" i="327" s="1"/>
  <c r="C15" i="327"/>
  <c r="H15" i="327" s="1"/>
  <c r="C16" i="327"/>
  <c r="H16" i="327" s="1"/>
  <c r="C17" i="327"/>
  <c r="C18" i="327"/>
  <c r="H18" i="327" s="1"/>
  <c r="D24" i="327"/>
  <c r="D19" i="327"/>
  <c r="E13" i="327" s="1"/>
  <c r="C45" i="327"/>
  <c r="C7" i="327"/>
  <c r="E4" i="327"/>
  <c r="D46" i="326"/>
  <c r="D40" i="326"/>
  <c r="D15" i="326"/>
  <c r="D15" i="351" s="1"/>
  <c r="C21" i="326"/>
  <c r="H21" i="326" s="1"/>
  <c r="G4" i="326"/>
  <c r="C22" i="326"/>
  <c r="H22" i="326" s="1"/>
  <c r="C23" i="326"/>
  <c r="C26" i="326"/>
  <c r="C27" i="326"/>
  <c r="H27" i="326" s="1"/>
  <c r="C28" i="326"/>
  <c r="H28" i="326" s="1"/>
  <c r="C29" i="326"/>
  <c r="C30" i="326"/>
  <c r="C31" i="326"/>
  <c r="C34" i="326"/>
  <c r="C35" i="326"/>
  <c r="H35" i="326" s="1"/>
  <c r="C36" i="326"/>
  <c r="C37" i="326"/>
  <c r="H37" i="326" s="1"/>
  <c r="C38" i="326"/>
  <c r="H38" i="326" s="1"/>
  <c r="C39" i="326"/>
  <c r="H39" i="326" s="1"/>
  <c r="C42" i="326"/>
  <c r="C43" i="326"/>
  <c r="H43" i="326" s="1"/>
  <c r="C44" i="326"/>
  <c r="H44" i="326" s="1"/>
  <c r="C10" i="326"/>
  <c r="H10" i="326" s="1"/>
  <c r="C11" i="326"/>
  <c r="H11" i="326" s="1"/>
  <c r="C12" i="326"/>
  <c r="C13" i="326"/>
  <c r="H13" i="326" s="1"/>
  <c r="C14" i="326"/>
  <c r="C15" i="326"/>
  <c r="C16" i="326"/>
  <c r="H16" i="326" s="1"/>
  <c r="C17" i="326"/>
  <c r="C18" i="326"/>
  <c r="H18" i="326" s="1"/>
  <c r="D24" i="326"/>
  <c r="D32" i="326"/>
  <c r="C45" i="326"/>
  <c r="C7" i="326"/>
  <c r="E4" i="326"/>
  <c r="D34" i="325"/>
  <c r="D40" i="325" s="1"/>
  <c r="D48" i="325" s="1"/>
  <c r="D42" i="325"/>
  <c r="D46" i="325" s="1"/>
  <c r="C21" i="325"/>
  <c r="H21" i="325" s="1"/>
  <c r="G4" i="325"/>
  <c r="C22" i="325"/>
  <c r="H22" i="325" s="1"/>
  <c r="C23" i="325"/>
  <c r="H23" i="325" s="1"/>
  <c r="C26" i="325"/>
  <c r="H26" i="325" s="1"/>
  <c r="C27" i="325"/>
  <c r="H27" i="325" s="1"/>
  <c r="C28" i="325"/>
  <c r="C29" i="325"/>
  <c r="H29" i="325" s="1"/>
  <c r="C30" i="325"/>
  <c r="H30" i="325" s="1"/>
  <c r="C31" i="325"/>
  <c r="C34" i="325"/>
  <c r="H34" i="325" s="1"/>
  <c r="C35" i="325"/>
  <c r="H35" i="325" s="1"/>
  <c r="C36" i="325"/>
  <c r="C37" i="325"/>
  <c r="H37" i="325" s="1"/>
  <c r="C38" i="325"/>
  <c r="C39" i="325"/>
  <c r="H39" i="325" s="1"/>
  <c r="C42" i="325"/>
  <c r="C43" i="325"/>
  <c r="H43" i="325" s="1"/>
  <c r="C44" i="325"/>
  <c r="C10" i="325"/>
  <c r="H10" i="325" s="1"/>
  <c r="C11" i="325"/>
  <c r="C12" i="325"/>
  <c r="H12" i="325" s="1"/>
  <c r="C13" i="325"/>
  <c r="H13" i="325" s="1"/>
  <c r="C14" i="325"/>
  <c r="C15" i="325"/>
  <c r="H15" i="325" s="1"/>
  <c r="C16" i="325"/>
  <c r="C17" i="325"/>
  <c r="H17" i="325" s="1"/>
  <c r="C18" i="325"/>
  <c r="H18" i="325" s="1"/>
  <c r="D24" i="325"/>
  <c r="D32" i="325"/>
  <c r="D19" i="325"/>
  <c r="E12" i="325" s="1"/>
  <c r="C45" i="325"/>
  <c r="C7" i="325"/>
  <c r="E4" i="325"/>
  <c r="C21" i="324"/>
  <c r="H21" i="324" s="1"/>
  <c r="G4" i="324"/>
  <c r="C22" i="324"/>
  <c r="H22" i="324" s="1"/>
  <c r="C23" i="324"/>
  <c r="H23" i="324" s="1"/>
  <c r="C26" i="324"/>
  <c r="C27" i="324"/>
  <c r="H27" i="324" s="1"/>
  <c r="C28" i="324"/>
  <c r="H28" i="324" s="1"/>
  <c r="C29" i="324"/>
  <c r="C30" i="324"/>
  <c r="H30" i="324" s="1"/>
  <c r="C31" i="324"/>
  <c r="H31" i="324" s="1"/>
  <c r="C34" i="324"/>
  <c r="H34" i="324" s="1"/>
  <c r="C35" i="324"/>
  <c r="H35" i="324" s="1"/>
  <c r="C36" i="324"/>
  <c r="H36" i="324" s="1"/>
  <c r="C37" i="324"/>
  <c r="C38" i="324"/>
  <c r="H38" i="324" s="1"/>
  <c r="C39" i="324"/>
  <c r="C42" i="324"/>
  <c r="H42" i="324" s="1"/>
  <c r="C43" i="324"/>
  <c r="C44" i="324"/>
  <c r="H44" i="324" s="1"/>
  <c r="C10" i="324"/>
  <c r="H10" i="324" s="1"/>
  <c r="C11" i="324"/>
  <c r="H11" i="324" s="1"/>
  <c r="C12" i="324"/>
  <c r="C13" i="324"/>
  <c r="H13" i="324" s="1"/>
  <c r="C14" i="324"/>
  <c r="H14" i="324" s="1"/>
  <c r="C15" i="324"/>
  <c r="C16" i="324"/>
  <c r="H16" i="324" s="1"/>
  <c r="C17" i="324"/>
  <c r="C18" i="324"/>
  <c r="H18" i="324" s="1"/>
  <c r="D46" i="324"/>
  <c r="D24" i="324"/>
  <c r="D32" i="324"/>
  <c r="D40" i="324"/>
  <c r="D19" i="324"/>
  <c r="C45" i="324"/>
  <c r="C7" i="324"/>
  <c r="E4" i="324"/>
  <c r="C21" i="323"/>
  <c r="G4" i="323"/>
  <c r="C22" i="323"/>
  <c r="H22" i="323" s="1"/>
  <c r="C23" i="323"/>
  <c r="C26" i="323"/>
  <c r="H26" i="323" s="1"/>
  <c r="C27" i="323"/>
  <c r="H27" i="323" s="1"/>
  <c r="C28" i="323"/>
  <c r="H28" i="323" s="1"/>
  <c r="C29" i="323"/>
  <c r="C30" i="323"/>
  <c r="C31" i="323"/>
  <c r="H31" i="323" s="1"/>
  <c r="C34" i="323"/>
  <c r="H34" i="323" s="1"/>
  <c r="C35" i="323"/>
  <c r="H35" i="323" s="1"/>
  <c r="C36" i="323"/>
  <c r="H36" i="323" s="1"/>
  <c r="C37" i="323"/>
  <c r="H37" i="323" s="1"/>
  <c r="C38" i="323"/>
  <c r="C39" i="323"/>
  <c r="H39" i="323" s="1"/>
  <c r="C42" i="323"/>
  <c r="H42" i="323" s="1"/>
  <c r="C43" i="323"/>
  <c r="C44" i="323"/>
  <c r="H44" i="323" s="1"/>
  <c r="C10" i="323"/>
  <c r="H10" i="323" s="1"/>
  <c r="C11" i="323"/>
  <c r="H11" i="323" s="1"/>
  <c r="C12" i="323"/>
  <c r="H12" i="323" s="1"/>
  <c r="C13" i="323"/>
  <c r="C14" i="323"/>
  <c r="H14" i="323" s="1"/>
  <c r="C15" i="323"/>
  <c r="C16" i="323"/>
  <c r="H16" i="323" s="1"/>
  <c r="C17" i="323"/>
  <c r="H17" i="323" s="1"/>
  <c r="C18" i="323"/>
  <c r="H18" i="323" s="1"/>
  <c r="D46" i="323"/>
  <c r="D24" i="323"/>
  <c r="D32" i="323"/>
  <c r="D40" i="323"/>
  <c r="D19" i="323"/>
  <c r="C45" i="323"/>
  <c r="C7" i="323"/>
  <c r="E4" i="323"/>
  <c r="D26" i="322"/>
  <c r="D34" i="322"/>
  <c r="D40" i="322" s="1"/>
  <c r="D42" i="322"/>
  <c r="D46" i="322" s="1"/>
  <c r="C21" i="322"/>
  <c r="H21" i="322" s="1"/>
  <c r="G4" i="322"/>
  <c r="C22" i="322"/>
  <c r="C23" i="322"/>
  <c r="H23" i="322" s="1"/>
  <c r="C26" i="322"/>
  <c r="C27" i="322"/>
  <c r="H27" i="322" s="1"/>
  <c r="C28" i="322"/>
  <c r="H28" i="322" s="1"/>
  <c r="C29" i="322"/>
  <c r="H29" i="322" s="1"/>
  <c r="C30" i="322"/>
  <c r="H30" i="322" s="1"/>
  <c r="C31" i="322"/>
  <c r="C34" i="322"/>
  <c r="H34" i="322" s="1"/>
  <c r="C35" i="322"/>
  <c r="H35" i="322" s="1"/>
  <c r="C36" i="322"/>
  <c r="H36" i="322" s="1"/>
  <c r="C37" i="322"/>
  <c r="H37" i="322" s="1"/>
  <c r="C38" i="322"/>
  <c r="H38" i="322" s="1"/>
  <c r="C39" i="322"/>
  <c r="H39" i="322" s="1"/>
  <c r="C42" i="322"/>
  <c r="C43" i="322"/>
  <c r="C44" i="322"/>
  <c r="H44" i="322" s="1"/>
  <c r="C10" i="322"/>
  <c r="C11" i="322"/>
  <c r="H11" i="322" s="1"/>
  <c r="C12" i="322"/>
  <c r="C13" i="322"/>
  <c r="H13" i="322" s="1"/>
  <c r="C14" i="322"/>
  <c r="H14" i="322" s="1"/>
  <c r="C15" i="322"/>
  <c r="H15" i="322" s="1"/>
  <c r="C16" i="322"/>
  <c r="H16" i="322" s="1"/>
  <c r="C17" i="322"/>
  <c r="C18" i="322"/>
  <c r="H18" i="322" s="1"/>
  <c r="D24" i="322"/>
  <c r="D19" i="322"/>
  <c r="E12" i="322" s="1"/>
  <c r="C45" i="322"/>
  <c r="C7" i="322"/>
  <c r="E4" i="322"/>
  <c r="D26" i="321"/>
  <c r="D34" i="321"/>
  <c r="D40" i="321" s="1"/>
  <c r="D42" i="321"/>
  <c r="C21" i="321"/>
  <c r="H21" i="321" s="1"/>
  <c r="G4" i="321"/>
  <c r="C22" i="321"/>
  <c r="H22" i="321" s="1"/>
  <c r="C23" i="321"/>
  <c r="H23" i="321" s="1"/>
  <c r="C26" i="321"/>
  <c r="C27" i="321"/>
  <c r="C28" i="321"/>
  <c r="H28" i="321" s="1"/>
  <c r="C29" i="321"/>
  <c r="C30" i="321"/>
  <c r="C31" i="321"/>
  <c r="H31" i="321" s="1"/>
  <c r="C34" i="321"/>
  <c r="C35" i="321"/>
  <c r="H35" i="321" s="1"/>
  <c r="C36" i="321"/>
  <c r="C37" i="321"/>
  <c r="H37" i="321" s="1"/>
  <c r="C38" i="321"/>
  <c r="C39" i="321"/>
  <c r="H39" i="321" s="1"/>
  <c r="C42" i="321"/>
  <c r="C43" i="321"/>
  <c r="C44" i="321"/>
  <c r="H44" i="321" s="1"/>
  <c r="C10" i="321"/>
  <c r="C11" i="321"/>
  <c r="H11" i="321" s="1"/>
  <c r="C12" i="321"/>
  <c r="H12" i="321" s="1"/>
  <c r="C13" i="321"/>
  <c r="C14" i="321"/>
  <c r="H14" i="321" s="1"/>
  <c r="C15" i="321"/>
  <c r="C16" i="321"/>
  <c r="H16" i="321" s="1"/>
  <c r="C17" i="321"/>
  <c r="H17" i="321" s="1"/>
  <c r="C18" i="321"/>
  <c r="D24" i="321"/>
  <c r="D19" i="321"/>
  <c r="C45" i="321"/>
  <c r="C7" i="321"/>
  <c r="E4" i="321"/>
  <c r="D26" i="320"/>
  <c r="D34" i="320"/>
  <c r="D40" i="320" s="1"/>
  <c r="D42" i="320"/>
  <c r="D46" i="320" s="1"/>
  <c r="C21" i="320"/>
  <c r="H21" i="320" s="1"/>
  <c r="G4" i="320"/>
  <c r="C22" i="320"/>
  <c r="H22" i="320" s="1"/>
  <c r="C23" i="320"/>
  <c r="H23" i="320" s="1"/>
  <c r="C26" i="320"/>
  <c r="C27" i="320"/>
  <c r="H27" i="320" s="1"/>
  <c r="C28" i="320"/>
  <c r="C29" i="320"/>
  <c r="H29" i="320" s="1"/>
  <c r="C30" i="320"/>
  <c r="H30" i="320" s="1"/>
  <c r="C31" i="320"/>
  <c r="H31" i="320" s="1"/>
  <c r="C34" i="320"/>
  <c r="C35" i="320"/>
  <c r="H35" i="320" s="1"/>
  <c r="C36" i="320"/>
  <c r="C37" i="320"/>
  <c r="H37" i="320" s="1"/>
  <c r="C38" i="320"/>
  <c r="H38" i="320" s="1"/>
  <c r="C39" i="320"/>
  <c r="C42" i="320"/>
  <c r="C43" i="320"/>
  <c r="H43" i="320" s="1"/>
  <c r="C44" i="320"/>
  <c r="H44" i="320" s="1"/>
  <c r="C10" i="320"/>
  <c r="H10" i="320" s="1"/>
  <c r="C11" i="320"/>
  <c r="C12" i="320"/>
  <c r="H12" i="320" s="1"/>
  <c r="C13" i="320"/>
  <c r="H13" i="320" s="1"/>
  <c r="C14" i="320"/>
  <c r="C15" i="320"/>
  <c r="H15" i="320" s="1"/>
  <c r="C16" i="320"/>
  <c r="H16" i="320" s="1"/>
  <c r="C17" i="320"/>
  <c r="H17" i="320" s="1"/>
  <c r="C18" i="320"/>
  <c r="H18" i="320" s="1"/>
  <c r="D24" i="320"/>
  <c r="D19" i="320"/>
  <c r="E19" i="320" s="1"/>
  <c r="C45" i="320"/>
  <c r="C7" i="320"/>
  <c r="E4" i="320"/>
  <c r="C21" i="319"/>
  <c r="H21" i="319" s="1"/>
  <c r="G4" i="319"/>
  <c r="C22" i="319"/>
  <c r="H22" i="319" s="1"/>
  <c r="C23" i="319"/>
  <c r="H23" i="319" s="1"/>
  <c r="C26" i="319"/>
  <c r="H26" i="319" s="1"/>
  <c r="C27" i="319"/>
  <c r="H27" i="319" s="1"/>
  <c r="C28" i="319"/>
  <c r="H28" i="319" s="1"/>
  <c r="C29" i="319"/>
  <c r="H29" i="319" s="1"/>
  <c r="C30" i="319"/>
  <c r="H30" i="319" s="1"/>
  <c r="C31" i="319"/>
  <c r="H31" i="319" s="1"/>
  <c r="C34" i="319"/>
  <c r="C35" i="319"/>
  <c r="H35" i="319" s="1"/>
  <c r="C36" i="319"/>
  <c r="H36" i="319" s="1"/>
  <c r="C37" i="319"/>
  <c r="C38" i="319"/>
  <c r="H38" i="319" s="1"/>
  <c r="C39" i="319"/>
  <c r="H39" i="319" s="1"/>
  <c r="C42" i="319"/>
  <c r="H42" i="319" s="1"/>
  <c r="C43" i="319"/>
  <c r="H43" i="319" s="1"/>
  <c r="C44" i="319"/>
  <c r="H44" i="319" s="1"/>
  <c r="C10" i="319"/>
  <c r="H10" i="319" s="1"/>
  <c r="C11" i="319"/>
  <c r="H11" i="319" s="1"/>
  <c r="C12" i="319"/>
  <c r="H12" i="319" s="1"/>
  <c r="C13" i="319"/>
  <c r="H13" i="319" s="1"/>
  <c r="C14" i="319"/>
  <c r="H14" i="319" s="1"/>
  <c r="C15" i="319"/>
  <c r="H15" i="319" s="1"/>
  <c r="C16" i="319"/>
  <c r="H16" i="319" s="1"/>
  <c r="C17" i="319"/>
  <c r="H17" i="319" s="1"/>
  <c r="C18" i="319"/>
  <c r="H18" i="319" s="1"/>
  <c r="D46" i="319"/>
  <c r="D24" i="319"/>
  <c r="D32" i="319"/>
  <c r="D40" i="319"/>
  <c r="D19" i="319"/>
  <c r="E17" i="319" s="1"/>
  <c r="C45" i="319"/>
  <c r="C7" i="319"/>
  <c r="E4" i="319"/>
  <c r="D26" i="318"/>
  <c r="D32" i="318" s="1"/>
  <c r="C21" i="318"/>
  <c r="H21" i="318" s="1"/>
  <c r="G4" i="318"/>
  <c r="C22" i="318"/>
  <c r="C23" i="318"/>
  <c r="H23" i="318" s="1"/>
  <c r="C26" i="318"/>
  <c r="C27" i="318"/>
  <c r="H27" i="318" s="1"/>
  <c r="C28" i="318"/>
  <c r="H28" i="318" s="1"/>
  <c r="C29" i="318"/>
  <c r="H29" i="318" s="1"/>
  <c r="C30" i="318"/>
  <c r="H30" i="318" s="1"/>
  <c r="C31" i="318"/>
  <c r="H31" i="318" s="1"/>
  <c r="C34" i="318"/>
  <c r="H34" i="318" s="1"/>
  <c r="C35" i="318"/>
  <c r="H35" i="318" s="1"/>
  <c r="C36" i="318"/>
  <c r="C37" i="318"/>
  <c r="H37" i="318" s="1"/>
  <c r="C38" i="318"/>
  <c r="H38" i="318" s="1"/>
  <c r="C39" i="318"/>
  <c r="H39" i="318" s="1"/>
  <c r="C42" i="318"/>
  <c r="H42" i="318" s="1"/>
  <c r="C43" i="318"/>
  <c r="C44" i="318"/>
  <c r="H44" i="318" s="1"/>
  <c r="C10" i="318"/>
  <c r="H10" i="318" s="1"/>
  <c r="C11" i="318"/>
  <c r="H11" i="318" s="1"/>
  <c r="C12" i="318"/>
  <c r="H12" i="318" s="1"/>
  <c r="C13" i="318"/>
  <c r="H13" i="318" s="1"/>
  <c r="C14" i="318"/>
  <c r="H14" i="318" s="1"/>
  <c r="C15" i="318"/>
  <c r="C16" i="318"/>
  <c r="H16" i="318" s="1"/>
  <c r="C17" i="318"/>
  <c r="H17" i="318" s="1"/>
  <c r="C18" i="318"/>
  <c r="H18" i="318" s="1"/>
  <c r="D46" i="318"/>
  <c r="D24" i="318"/>
  <c r="D40" i="318"/>
  <c r="D19" i="318"/>
  <c r="C45" i="318"/>
  <c r="C7" i="318"/>
  <c r="E4" i="318"/>
  <c r="D26" i="317"/>
  <c r="D32" i="317" s="1"/>
  <c r="C21" i="317"/>
  <c r="H21" i="317" s="1"/>
  <c r="G4" i="317"/>
  <c r="C22" i="317"/>
  <c r="H22" i="317" s="1"/>
  <c r="C23" i="317"/>
  <c r="H23" i="317" s="1"/>
  <c r="C26" i="317"/>
  <c r="C27" i="317"/>
  <c r="H27" i="317" s="1"/>
  <c r="C28" i="317"/>
  <c r="H28" i="317" s="1"/>
  <c r="C29" i="317"/>
  <c r="H29" i="317" s="1"/>
  <c r="C30" i="317"/>
  <c r="H30" i="317" s="1"/>
  <c r="C31" i="317"/>
  <c r="H31" i="317" s="1"/>
  <c r="C34" i="317"/>
  <c r="H34" i="317" s="1"/>
  <c r="C35" i="317"/>
  <c r="H35" i="317" s="1"/>
  <c r="C36" i="317"/>
  <c r="H36" i="317" s="1"/>
  <c r="C37" i="317"/>
  <c r="H37" i="317" s="1"/>
  <c r="C38" i="317"/>
  <c r="H38" i="317" s="1"/>
  <c r="C39" i="317"/>
  <c r="H39" i="317" s="1"/>
  <c r="C42" i="317"/>
  <c r="C43" i="317"/>
  <c r="C44" i="317"/>
  <c r="H44" i="317" s="1"/>
  <c r="C10" i="317"/>
  <c r="H10" i="317" s="1"/>
  <c r="C11" i="317"/>
  <c r="H11" i="317" s="1"/>
  <c r="C12" i="317"/>
  <c r="H12" i="317" s="1"/>
  <c r="C13" i="317"/>
  <c r="H13" i="317" s="1"/>
  <c r="C14" i="317"/>
  <c r="H14" i="317" s="1"/>
  <c r="C15" i="317"/>
  <c r="H15" i="317" s="1"/>
  <c r="C16" i="317"/>
  <c r="H16" i="317" s="1"/>
  <c r="C17" i="317"/>
  <c r="H17" i="317" s="1"/>
  <c r="C18" i="317"/>
  <c r="H18" i="317" s="1"/>
  <c r="D46" i="317"/>
  <c r="D24" i="317"/>
  <c r="D40" i="317"/>
  <c r="D19" i="317"/>
  <c r="E10" i="317" s="1"/>
  <c r="C45" i="317"/>
  <c r="C7" i="317"/>
  <c r="E4" i="317"/>
  <c r="D26" i="316"/>
  <c r="C21" i="316"/>
  <c r="H21" i="316" s="1"/>
  <c r="G4" i="316"/>
  <c r="C22" i="316"/>
  <c r="H22" i="316" s="1"/>
  <c r="C23" i="316"/>
  <c r="H23" i="316" s="1"/>
  <c r="C26" i="316"/>
  <c r="C27" i="316"/>
  <c r="H27" i="316" s="1"/>
  <c r="C28" i="316"/>
  <c r="H28" i="316" s="1"/>
  <c r="C29" i="316"/>
  <c r="H29" i="316" s="1"/>
  <c r="C30" i="316"/>
  <c r="H30" i="316" s="1"/>
  <c r="C31" i="316"/>
  <c r="C34" i="316"/>
  <c r="H34" i="316" s="1"/>
  <c r="C35" i="316"/>
  <c r="H35" i="316" s="1"/>
  <c r="C36" i="316"/>
  <c r="H36" i="316" s="1"/>
  <c r="C37" i="316"/>
  <c r="H37" i="316" s="1"/>
  <c r="C38" i="316"/>
  <c r="H38" i="316" s="1"/>
  <c r="C39" i="316"/>
  <c r="H39" i="316" s="1"/>
  <c r="C42" i="316"/>
  <c r="C43" i="316"/>
  <c r="H43" i="316" s="1"/>
  <c r="C44" i="316"/>
  <c r="C10" i="316"/>
  <c r="H10" i="316" s="1"/>
  <c r="C11" i="316"/>
  <c r="C12" i="316"/>
  <c r="H12" i="316" s="1"/>
  <c r="C13" i="316"/>
  <c r="H13" i="316" s="1"/>
  <c r="C14" i="316"/>
  <c r="C15" i="316"/>
  <c r="H15" i="316" s="1"/>
  <c r="C16" i="316"/>
  <c r="C17" i="316"/>
  <c r="C18" i="316"/>
  <c r="H18" i="316" s="1"/>
  <c r="D46" i="316"/>
  <c r="D24" i="316"/>
  <c r="D40" i="316"/>
  <c r="D19" i="316"/>
  <c r="E16" i="316" s="1"/>
  <c r="C45" i="316"/>
  <c r="C7" i="316"/>
  <c r="E4" i="316"/>
  <c r="D34" i="315"/>
  <c r="D40" i="315" s="1"/>
  <c r="D42" i="315"/>
  <c r="D46" i="315" s="1"/>
  <c r="C21" i="315"/>
  <c r="H21" i="315" s="1"/>
  <c r="G4" i="315"/>
  <c r="C22" i="315"/>
  <c r="H22" i="315" s="1"/>
  <c r="C23" i="315"/>
  <c r="C26" i="315"/>
  <c r="H26" i="315" s="1"/>
  <c r="C27" i="315"/>
  <c r="H27" i="315" s="1"/>
  <c r="C28" i="315"/>
  <c r="H28" i="315" s="1"/>
  <c r="C29" i="315"/>
  <c r="H29" i="315" s="1"/>
  <c r="C30" i="315"/>
  <c r="H30" i="315" s="1"/>
  <c r="C31" i="315"/>
  <c r="C34" i="315"/>
  <c r="C35" i="315"/>
  <c r="H35" i="315" s="1"/>
  <c r="C36" i="315"/>
  <c r="H36" i="315" s="1"/>
  <c r="C37" i="315"/>
  <c r="H37" i="315" s="1"/>
  <c r="C38" i="315"/>
  <c r="H38" i="315" s="1"/>
  <c r="C39" i="315"/>
  <c r="H39" i="315" s="1"/>
  <c r="C42" i="315"/>
  <c r="C43" i="315"/>
  <c r="H43" i="315" s="1"/>
  <c r="C44" i="315"/>
  <c r="H44" i="315" s="1"/>
  <c r="C10" i="315"/>
  <c r="H10" i="315" s="1"/>
  <c r="C11" i="315"/>
  <c r="C12" i="315"/>
  <c r="H12" i="315" s="1"/>
  <c r="C13" i="315"/>
  <c r="H13" i="315" s="1"/>
  <c r="C14" i="315"/>
  <c r="C15" i="315"/>
  <c r="H15" i="315" s="1"/>
  <c r="C16" i="315"/>
  <c r="C17" i="315"/>
  <c r="H17" i="315" s="1"/>
  <c r="C18" i="315"/>
  <c r="H18" i="315" s="1"/>
  <c r="D24" i="315"/>
  <c r="D32" i="315"/>
  <c r="D19" i="315"/>
  <c r="C45" i="315"/>
  <c r="C7" i="315"/>
  <c r="E4" i="315"/>
  <c r="C21" i="314"/>
  <c r="H21" i="314" s="1"/>
  <c r="G4" i="314"/>
  <c r="C22" i="314"/>
  <c r="H22" i="314" s="1"/>
  <c r="C23" i="314"/>
  <c r="H23" i="314" s="1"/>
  <c r="C26" i="314"/>
  <c r="C27" i="314"/>
  <c r="H27" i="314" s="1"/>
  <c r="C28" i="314"/>
  <c r="H28" i="314" s="1"/>
  <c r="C29" i="314"/>
  <c r="C30" i="314"/>
  <c r="H30" i="314" s="1"/>
  <c r="C31" i="314"/>
  <c r="H31" i="314" s="1"/>
  <c r="C34" i="314"/>
  <c r="H34" i="314" s="1"/>
  <c r="C35" i="314"/>
  <c r="C36" i="314"/>
  <c r="H36" i="314" s="1"/>
  <c r="C37" i="314"/>
  <c r="H37" i="314" s="1"/>
  <c r="C38" i="314"/>
  <c r="H38" i="314" s="1"/>
  <c r="C39" i="314"/>
  <c r="H39" i="314" s="1"/>
  <c r="C42" i="314"/>
  <c r="H42" i="314" s="1"/>
  <c r="C43" i="314"/>
  <c r="C44" i="314"/>
  <c r="H44" i="314" s="1"/>
  <c r="C10" i="314"/>
  <c r="C11" i="314"/>
  <c r="C12" i="314"/>
  <c r="C13" i="314"/>
  <c r="H13" i="314" s="1"/>
  <c r="C14" i="314"/>
  <c r="H14" i="314" s="1"/>
  <c r="C15" i="314"/>
  <c r="C16" i="314"/>
  <c r="H16" i="314" s="1"/>
  <c r="C17" i="314"/>
  <c r="C18" i="314"/>
  <c r="D46" i="314"/>
  <c r="D24" i="314"/>
  <c r="D32" i="314"/>
  <c r="D40" i="314"/>
  <c r="D19" i="314"/>
  <c r="E15" i="314" s="1"/>
  <c r="C45" i="314"/>
  <c r="C7" i="314"/>
  <c r="E4" i="314"/>
  <c r="D26" i="313"/>
  <c r="D32" i="313" s="1"/>
  <c r="C21" i="313"/>
  <c r="H21" i="313" s="1"/>
  <c r="G4" i="313"/>
  <c r="C22" i="313"/>
  <c r="H22" i="313" s="1"/>
  <c r="C23" i="313"/>
  <c r="C26" i="313"/>
  <c r="C27" i="313"/>
  <c r="H27" i="313" s="1"/>
  <c r="C28" i="313"/>
  <c r="H28" i="313" s="1"/>
  <c r="C29" i="313"/>
  <c r="C30" i="313"/>
  <c r="H30" i="313" s="1"/>
  <c r="C31" i="313"/>
  <c r="H31" i="313" s="1"/>
  <c r="C34" i="313"/>
  <c r="C35" i="313"/>
  <c r="H35" i="313" s="1"/>
  <c r="C36" i="313"/>
  <c r="H36" i="313" s="1"/>
  <c r="C37" i="313"/>
  <c r="H37" i="313" s="1"/>
  <c r="C38" i="313"/>
  <c r="H38" i="313" s="1"/>
  <c r="C39" i="313"/>
  <c r="C42" i="313"/>
  <c r="H42" i="313" s="1"/>
  <c r="C43" i="313"/>
  <c r="H43" i="313" s="1"/>
  <c r="C44" i="313"/>
  <c r="H44" i="313" s="1"/>
  <c r="C10" i="313"/>
  <c r="H10" i="313" s="1"/>
  <c r="C11" i="313"/>
  <c r="H11" i="313" s="1"/>
  <c r="C12" i="313"/>
  <c r="H12" i="313" s="1"/>
  <c r="C13" i="313"/>
  <c r="H13" i="313" s="1"/>
  <c r="C14" i="313"/>
  <c r="H14" i="313" s="1"/>
  <c r="C15" i="313"/>
  <c r="H15" i="313" s="1"/>
  <c r="C16" i="313"/>
  <c r="H16" i="313" s="1"/>
  <c r="C17" i="313"/>
  <c r="H17" i="313" s="1"/>
  <c r="C18" i="313"/>
  <c r="H18" i="313" s="1"/>
  <c r="D46" i="313"/>
  <c r="D24" i="313"/>
  <c r="D40" i="313"/>
  <c r="D19" i="313"/>
  <c r="C45" i="313"/>
  <c r="C7" i="313"/>
  <c r="E4" i="313"/>
  <c r="D26" i="312"/>
  <c r="D34" i="312"/>
  <c r="D42" i="312"/>
  <c r="C21" i="312"/>
  <c r="H21" i="312" s="1"/>
  <c r="G4" i="312"/>
  <c r="C22" i="312"/>
  <c r="H22" i="312" s="1"/>
  <c r="C23" i="312"/>
  <c r="H23" i="312" s="1"/>
  <c r="C26" i="312"/>
  <c r="C27" i="312"/>
  <c r="H27" i="312" s="1"/>
  <c r="C28" i="312"/>
  <c r="C29" i="312"/>
  <c r="C30" i="312"/>
  <c r="H30" i="312" s="1"/>
  <c r="C31" i="312"/>
  <c r="H31" i="312" s="1"/>
  <c r="C34" i="312"/>
  <c r="C35" i="312"/>
  <c r="C36" i="312"/>
  <c r="H36" i="312" s="1"/>
  <c r="C37" i="312"/>
  <c r="H37" i="312" s="1"/>
  <c r="C38" i="312"/>
  <c r="H38" i="312" s="1"/>
  <c r="C39" i="312"/>
  <c r="H39" i="312" s="1"/>
  <c r="C42" i="312"/>
  <c r="C43" i="312"/>
  <c r="H43" i="312" s="1"/>
  <c r="C44" i="312"/>
  <c r="H44" i="312" s="1"/>
  <c r="C10" i="312"/>
  <c r="H10" i="312" s="1"/>
  <c r="C11" i="312"/>
  <c r="C12" i="312"/>
  <c r="H12" i="312" s="1"/>
  <c r="C13" i="312"/>
  <c r="H13" i="312" s="1"/>
  <c r="C14" i="312"/>
  <c r="H14" i="312" s="1"/>
  <c r="C15" i="312"/>
  <c r="C16" i="312"/>
  <c r="H16" i="312" s="1"/>
  <c r="C17" i="312"/>
  <c r="H17" i="312" s="1"/>
  <c r="C18" i="312"/>
  <c r="H18" i="312" s="1"/>
  <c r="D24" i="312"/>
  <c r="D19" i="312"/>
  <c r="E13" i="312" s="1"/>
  <c r="C45" i="312"/>
  <c r="C7" i="312"/>
  <c r="E4" i="312"/>
  <c r="C21" i="311"/>
  <c r="H21" i="311" s="1"/>
  <c r="G4" i="311"/>
  <c r="C22" i="311"/>
  <c r="H22" i="311" s="1"/>
  <c r="C23" i="311"/>
  <c r="H23" i="311" s="1"/>
  <c r="C26" i="311"/>
  <c r="H26" i="311" s="1"/>
  <c r="C27" i="311"/>
  <c r="H27" i="311" s="1"/>
  <c r="C28" i="311"/>
  <c r="H28" i="311" s="1"/>
  <c r="C29" i="311"/>
  <c r="H29" i="311" s="1"/>
  <c r="C30" i="311"/>
  <c r="C31" i="311"/>
  <c r="H31" i="311" s="1"/>
  <c r="C34" i="311"/>
  <c r="H34" i="311" s="1"/>
  <c r="C35" i="311"/>
  <c r="H35" i="311" s="1"/>
  <c r="C36" i="311"/>
  <c r="H36" i="311" s="1"/>
  <c r="C37" i="311"/>
  <c r="H37" i="311" s="1"/>
  <c r="C38" i="311"/>
  <c r="C39" i="311"/>
  <c r="H39" i="311" s="1"/>
  <c r="C42" i="311"/>
  <c r="H42" i="311" s="1"/>
  <c r="C43" i="311"/>
  <c r="C44" i="311"/>
  <c r="H44" i="311" s="1"/>
  <c r="C10" i="311"/>
  <c r="C11" i="311"/>
  <c r="H11" i="311" s="1"/>
  <c r="C12" i="311"/>
  <c r="H12" i="311" s="1"/>
  <c r="C13" i="311"/>
  <c r="C14" i="311"/>
  <c r="H14" i="311" s="1"/>
  <c r="C15" i="311"/>
  <c r="C16" i="311"/>
  <c r="H16" i="311" s="1"/>
  <c r="C17" i="311"/>
  <c r="H17" i="311" s="1"/>
  <c r="C18" i="311"/>
  <c r="D46" i="311"/>
  <c r="D24" i="311"/>
  <c r="D32" i="311"/>
  <c r="D40" i="311"/>
  <c r="D19" i="311"/>
  <c r="E13" i="311" s="1"/>
  <c r="C45" i="311"/>
  <c r="C7" i="311"/>
  <c r="E4" i="311"/>
  <c r="D26" i="310"/>
  <c r="C21" i="310"/>
  <c r="H21" i="310" s="1"/>
  <c r="G4" i="310"/>
  <c r="C22" i="310"/>
  <c r="H22" i="310" s="1"/>
  <c r="C23" i="310"/>
  <c r="H23" i="310" s="1"/>
  <c r="C26" i="310"/>
  <c r="C27" i="310"/>
  <c r="H27" i="310" s="1"/>
  <c r="C28" i="310"/>
  <c r="H28" i="310" s="1"/>
  <c r="C29" i="310"/>
  <c r="C30" i="310"/>
  <c r="H30" i="310" s="1"/>
  <c r="C31" i="310"/>
  <c r="C34" i="310"/>
  <c r="H34" i="310" s="1"/>
  <c r="C35" i="310"/>
  <c r="H35" i="310" s="1"/>
  <c r="C36" i="310"/>
  <c r="H36" i="310" s="1"/>
  <c r="C37" i="310"/>
  <c r="C38" i="310"/>
  <c r="H38" i="310" s="1"/>
  <c r="C39" i="310"/>
  <c r="H39" i="310" s="1"/>
  <c r="C42" i="310"/>
  <c r="H42" i="310" s="1"/>
  <c r="C43" i="310"/>
  <c r="H43" i="310" s="1"/>
  <c r="C44" i="310"/>
  <c r="H44" i="310" s="1"/>
  <c r="C10" i="310"/>
  <c r="H10" i="310" s="1"/>
  <c r="C11" i="310"/>
  <c r="H11" i="310" s="1"/>
  <c r="C12" i="310"/>
  <c r="C13" i="310"/>
  <c r="H13" i="310" s="1"/>
  <c r="C14" i="310"/>
  <c r="H14" i="310" s="1"/>
  <c r="C15" i="310"/>
  <c r="H15" i="310" s="1"/>
  <c r="C16" i="310"/>
  <c r="H16" i="310" s="1"/>
  <c r="C17" i="310"/>
  <c r="C18" i="310"/>
  <c r="H18" i="310" s="1"/>
  <c r="D46" i="310"/>
  <c r="D24" i="310"/>
  <c r="D40" i="310"/>
  <c r="D19" i="310"/>
  <c r="C45" i="310"/>
  <c r="C7" i="310"/>
  <c r="E4" i="310"/>
  <c r="C21" i="309"/>
  <c r="H21" i="309" s="1"/>
  <c r="G4" i="309"/>
  <c r="C22" i="309"/>
  <c r="H22" i="309" s="1"/>
  <c r="C23" i="309"/>
  <c r="H23" i="309" s="1"/>
  <c r="C26" i="309"/>
  <c r="H26" i="309" s="1"/>
  <c r="C27" i="309"/>
  <c r="H27" i="309" s="1"/>
  <c r="C28" i="309"/>
  <c r="C29" i="309"/>
  <c r="H29" i="309" s="1"/>
  <c r="C30" i="309"/>
  <c r="H30" i="309" s="1"/>
  <c r="C31" i="309"/>
  <c r="C34" i="309"/>
  <c r="H34" i="309" s="1"/>
  <c r="C35" i="309"/>
  <c r="H35" i="309" s="1"/>
  <c r="C36" i="309"/>
  <c r="H36" i="309" s="1"/>
  <c r="C37" i="309"/>
  <c r="H37" i="309" s="1"/>
  <c r="C38" i="309"/>
  <c r="H38" i="309" s="1"/>
  <c r="C39" i="309"/>
  <c r="C42" i="309"/>
  <c r="C43" i="309"/>
  <c r="H43" i="309" s="1"/>
  <c r="C44" i="309"/>
  <c r="C10" i="309"/>
  <c r="H10" i="309" s="1"/>
  <c r="C11" i="309"/>
  <c r="C12" i="309"/>
  <c r="H12" i="309" s="1"/>
  <c r="C13" i="309"/>
  <c r="H13" i="309" s="1"/>
  <c r="C14" i="309"/>
  <c r="C15" i="309"/>
  <c r="H15" i="309" s="1"/>
  <c r="C16" i="309"/>
  <c r="C17" i="309"/>
  <c r="H17" i="309" s="1"/>
  <c r="C18" i="309"/>
  <c r="H18" i="309" s="1"/>
  <c r="D46" i="309"/>
  <c r="D24" i="309"/>
  <c r="D32" i="309"/>
  <c r="D40" i="309"/>
  <c r="D19" i="309"/>
  <c r="C45" i="309"/>
  <c r="C7" i="309"/>
  <c r="E4" i="309"/>
  <c r="C21" i="308"/>
  <c r="H21" i="308" s="1"/>
  <c r="G4" i="308"/>
  <c r="C22" i="308"/>
  <c r="H22" i="308" s="1"/>
  <c r="C23" i="308"/>
  <c r="H23" i="308" s="1"/>
  <c r="C26" i="308"/>
  <c r="C27" i="308"/>
  <c r="H27" i="308" s="1"/>
  <c r="C28" i="308"/>
  <c r="H28" i="308" s="1"/>
  <c r="C29" i="308"/>
  <c r="C30" i="308"/>
  <c r="H30" i="308" s="1"/>
  <c r="C31" i="308"/>
  <c r="C34" i="308"/>
  <c r="H34" i="308" s="1"/>
  <c r="C35" i="308"/>
  <c r="H35" i="308" s="1"/>
  <c r="C36" i="308"/>
  <c r="H36" i="308" s="1"/>
  <c r="C37" i="308"/>
  <c r="H37" i="308" s="1"/>
  <c r="C38" i="308"/>
  <c r="H38" i="308" s="1"/>
  <c r="C39" i="308"/>
  <c r="H39" i="308" s="1"/>
  <c r="C42" i="308"/>
  <c r="C43" i="308"/>
  <c r="C44" i="308"/>
  <c r="H44" i="308" s="1"/>
  <c r="C10" i="308"/>
  <c r="H10" i="308" s="1"/>
  <c r="C11" i="308"/>
  <c r="H11" i="308" s="1"/>
  <c r="C12" i="308"/>
  <c r="C13" i="308"/>
  <c r="H13" i="308" s="1"/>
  <c r="C14" i="308"/>
  <c r="C15" i="308"/>
  <c r="C16" i="308"/>
  <c r="H16" i="308" s="1"/>
  <c r="C17" i="308"/>
  <c r="C18" i="308"/>
  <c r="H18" i="308" s="1"/>
  <c r="D46" i="308"/>
  <c r="D24" i="308"/>
  <c r="D32" i="308"/>
  <c r="D40" i="308"/>
  <c r="D19" i="308"/>
  <c r="C45" i="308"/>
  <c r="C7" i="308"/>
  <c r="E4" i="308"/>
  <c r="D26" i="307"/>
  <c r="D32" i="307" s="1"/>
  <c r="D34" i="307"/>
  <c r="D40" i="307" s="1"/>
  <c r="D42" i="307"/>
  <c r="D46" i="307" s="1"/>
  <c r="C21" i="307"/>
  <c r="H21" i="307" s="1"/>
  <c r="G4" i="307"/>
  <c r="C22" i="307"/>
  <c r="C23" i="307"/>
  <c r="H23" i="307" s="1"/>
  <c r="C26" i="307"/>
  <c r="C27" i="307"/>
  <c r="H27" i="307" s="1"/>
  <c r="C28" i="307"/>
  <c r="H28" i="307" s="1"/>
  <c r="C29" i="307"/>
  <c r="H29" i="307" s="1"/>
  <c r="C30" i="307"/>
  <c r="C31" i="307"/>
  <c r="H31" i="307" s="1"/>
  <c r="C34" i="307"/>
  <c r="C35" i="307"/>
  <c r="H35" i="307" s="1"/>
  <c r="C36" i="307"/>
  <c r="H36" i="307" s="1"/>
  <c r="C37" i="307"/>
  <c r="H37" i="307" s="1"/>
  <c r="C38" i="307"/>
  <c r="C39" i="307"/>
  <c r="H39" i="307" s="1"/>
  <c r="C42" i="307"/>
  <c r="C43" i="307"/>
  <c r="H43" i="307" s="1"/>
  <c r="C44" i="307"/>
  <c r="H44" i="307" s="1"/>
  <c r="C10" i="307"/>
  <c r="H10" i="307" s="1"/>
  <c r="C11" i="307"/>
  <c r="H11" i="307" s="1"/>
  <c r="C12" i="307"/>
  <c r="H12" i="307" s="1"/>
  <c r="C13" i="307"/>
  <c r="C14" i="307"/>
  <c r="H14" i="307" s="1"/>
  <c r="C15" i="307"/>
  <c r="H15" i="307" s="1"/>
  <c r="C16" i="307"/>
  <c r="H16" i="307" s="1"/>
  <c r="C17" i="307"/>
  <c r="H17" i="307" s="1"/>
  <c r="C18" i="307"/>
  <c r="H18" i="307" s="1"/>
  <c r="D24" i="307"/>
  <c r="D19" i="307"/>
  <c r="E13" i="307" s="1"/>
  <c r="C45" i="307"/>
  <c r="C7" i="307"/>
  <c r="E4" i="307"/>
  <c r="C21" i="306"/>
  <c r="H21" i="306" s="1"/>
  <c r="G4" i="306"/>
  <c r="C22" i="306"/>
  <c r="H22" i="306" s="1"/>
  <c r="C23" i="306"/>
  <c r="H23" i="306" s="1"/>
  <c r="C26" i="306"/>
  <c r="H26" i="306" s="1"/>
  <c r="C27" i="306"/>
  <c r="H27" i="306" s="1"/>
  <c r="C28" i="306"/>
  <c r="H28" i="306" s="1"/>
  <c r="C29" i="306"/>
  <c r="H29" i="306" s="1"/>
  <c r="C30" i="306"/>
  <c r="H30" i="306" s="1"/>
  <c r="C31" i="306"/>
  <c r="H31" i="306" s="1"/>
  <c r="C34" i="306"/>
  <c r="H34" i="306" s="1"/>
  <c r="C35" i="306"/>
  <c r="H35" i="306" s="1"/>
  <c r="C36" i="306"/>
  <c r="H36" i="306" s="1"/>
  <c r="C37" i="306"/>
  <c r="H37" i="306" s="1"/>
  <c r="C38" i="306"/>
  <c r="H38" i="306" s="1"/>
  <c r="C39" i="306"/>
  <c r="H39" i="306" s="1"/>
  <c r="C42" i="306"/>
  <c r="H42" i="306" s="1"/>
  <c r="C43" i="306"/>
  <c r="H43" i="306" s="1"/>
  <c r="C44" i="306"/>
  <c r="H44" i="306" s="1"/>
  <c r="C10" i="306"/>
  <c r="H10" i="306" s="1"/>
  <c r="C11" i="306"/>
  <c r="H11" i="306" s="1"/>
  <c r="C12" i="306"/>
  <c r="H12" i="306" s="1"/>
  <c r="C13" i="306"/>
  <c r="H13" i="306" s="1"/>
  <c r="C14" i="306"/>
  <c r="H14" i="306" s="1"/>
  <c r="C15" i="306"/>
  <c r="H15" i="306" s="1"/>
  <c r="C16" i="306"/>
  <c r="H16" i="306" s="1"/>
  <c r="C17" i="306"/>
  <c r="H17" i="306" s="1"/>
  <c r="C18" i="306"/>
  <c r="D46" i="306"/>
  <c r="D24" i="306"/>
  <c r="D32" i="306"/>
  <c r="D40" i="306"/>
  <c r="D19" i="306"/>
  <c r="E17" i="306" s="1"/>
  <c r="C45" i="306"/>
  <c r="C7" i="306"/>
  <c r="E4" i="306"/>
  <c r="D34" i="305"/>
  <c r="D40" i="305" s="1"/>
  <c r="D42" i="305"/>
  <c r="D46" i="305" s="1"/>
  <c r="C21" i="305"/>
  <c r="H21" i="305" s="1"/>
  <c r="G4" i="305"/>
  <c r="C22" i="305"/>
  <c r="H22" i="305" s="1"/>
  <c r="C23" i="305"/>
  <c r="H23" i="305" s="1"/>
  <c r="C26" i="305"/>
  <c r="H26" i="305" s="1"/>
  <c r="C27" i="305"/>
  <c r="C28" i="305"/>
  <c r="H28" i="305" s="1"/>
  <c r="C29" i="305"/>
  <c r="C30" i="305"/>
  <c r="H30" i="305" s="1"/>
  <c r="C31" i="305"/>
  <c r="H31" i="305" s="1"/>
  <c r="C34" i="305"/>
  <c r="C35" i="305"/>
  <c r="H35" i="305" s="1"/>
  <c r="C36" i="305"/>
  <c r="H36" i="305" s="1"/>
  <c r="C37" i="305"/>
  <c r="H37" i="305" s="1"/>
  <c r="C38" i="305"/>
  <c r="H38" i="305" s="1"/>
  <c r="C39" i="305"/>
  <c r="H39" i="305" s="1"/>
  <c r="C42" i="305"/>
  <c r="C43" i="305"/>
  <c r="H43" i="305" s="1"/>
  <c r="C44" i="305"/>
  <c r="H44" i="305" s="1"/>
  <c r="C10" i="305"/>
  <c r="C11" i="305"/>
  <c r="H11" i="305" s="1"/>
  <c r="C12" i="305"/>
  <c r="H12" i="305" s="1"/>
  <c r="C13" i="305"/>
  <c r="H13" i="305" s="1"/>
  <c r="C14" i="305"/>
  <c r="H14" i="305" s="1"/>
  <c r="C15" i="305"/>
  <c r="C16" i="305"/>
  <c r="H16" i="305" s="1"/>
  <c r="C17" i="305"/>
  <c r="H17" i="305" s="1"/>
  <c r="C18" i="305"/>
  <c r="D24" i="305"/>
  <c r="D32" i="305"/>
  <c r="D19" i="305"/>
  <c r="C45" i="305"/>
  <c r="C7" i="305"/>
  <c r="E4" i="305"/>
  <c r="D34" i="304"/>
  <c r="D42" i="304"/>
  <c r="D46" i="304" s="1"/>
  <c r="C21" i="304"/>
  <c r="H21" i="304" s="1"/>
  <c r="G4" i="304"/>
  <c r="C22" i="304"/>
  <c r="H22" i="304" s="1"/>
  <c r="C23" i="304"/>
  <c r="C26" i="304"/>
  <c r="H26" i="304" s="1"/>
  <c r="C27" i="304"/>
  <c r="H27" i="304" s="1"/>
  <c r="C28" i="304"/>
  <c r="C29" i="304"/>
  <c r="H29" i="304" s="1"/>
  <c r="C30" i="304"/>
  <c r="H30" i="304" s="1"/>
  <c r="C31" i="304"/>
  <c r="C34" i="304"/>
  <c r="C35" i="304"/>
  <c r="H35" i="304" s="1"/>
  <c r="C36" i="304"/>
  <c r="C37" i="304"/>
  <c r="H37" i="304" s="1"/>
  <c r="C38" i="304"/>
  <c r="C39" i="304"/>
  <c r="H39" i="304" s="1"/>
  <c r="C42" i="304"/>
  <c r="C43" i="304"/>
  <c r="H43" i="304" s="1"/>
  <c r="C44" i="304"/>
  <c r="C10" i="304"/>
  <c r="H10" i="304" s="1"/>
  <c r="C11" i="304"/>
  <c r="C12" i="304"/>
  <c r="C13" i="304"/>
  <c r="H13" i="304" s="1"/>
  <c r="C14" i="304"/>
  <c r="H14" i="304" s="1"/>
  <c r="C15" i="304"/>
  <c r="C16" i="304"/>
  <c r="H16" i="304" s="1"/>
  <c r="C17" i="304"/>
  <c r="H17" i="304" s="1"/>
  <c r="C18" i="304"/>
  <c r="H18" i="304" s="1"/>
  <c r="D24" i="304"/>
  <c r="D32" i="304"/>
  <c r="D40" i="304"/>
  <c r="D19" i="304"/>
  <c r="E11" i="304" s="1"/>
  <c r="C45" i="304"/>
  <c r="C7" i="304"/>
  <c r="E4" i="304"/>
  <c r="C21" i="303"/>
  <c r="H21" i="303" s="1"/>
  <c r="G4" i="303"/>
  <c r="C22" i="303"/>
  <c r="H22" i="303" s="1"/>
  <c r="C23" i="303"/>
  <c r="C26" i="303"/>
  <c r="C27" i="303"/>
  <c r="H27" i="303" s="1"/>
  <c r="C28" i="303"/>
  <c r="C29" i="303"/>
  <c r="H29" i="303" s="1"/>
  <c r="C30" i="303"/>
  <c r="H30" i="303" s="1"/>
  <c r="C31" i="303"/>
  <c r="C34" i="303"/>
  <c r="C35" i="303"/>
  <c r="H35" i="303" s="1"/>
  <c r="C36" i="303"/>
  <c r="C37" i="303"/>
  <c r="H37" i="303" s="1"/>
  <c r="C38" i="303"/>
  <c r="C39" i="303"/>
  <c r="C42" i="303"/>
  <c r="C43" i="303"/>
  <c r="H43" i="303" s="1"/>
  <c r="C44" i="303"/>
  <c r="H44" i="303" s="1"/>
  <c r="C10" i="303"/>
  <c r="H10" i="303" s="1"/>
  <c r="C11" i="303"/>
  <c r="C12" i="303"/>
  <c r="H12" i="303" s="1"/>
  <c r="C13" i="303"/>
  <c r="H13" i="303" s="1"/>
  <c r="C14" i="303"/>
  <c r="C15" i="303"/>
  <c r="H15" i="303" s="1"/>
  <c r="C16" i="303"/>
  <c r="H16" i="303" s="1"/>
  <c r="C17" i="303"/>
  <c r="H17" i="303" s="1"/>
  <c r="C18" i="303"/>
  <c r="H18" i="303" s="1"/>
  <c r="D46" i="303"/>
  <c r="D24" i="303"/>
  <c r="D32" i="303"/>
  <c r="D40" i="303"/>
  <c r="D19" i="303"/>
  <c r="C45" i="303"/>
  <c r="C7" i="303"/>
  <c r="E4" i="303"/>
  <c r="D26" i="302"/>
  <c r="D34" i="302"/>
  <c r="D40" i="302" s="1"/>
  <c r="D42" i="302"/>
  <c r="C21" i="302"/>
  <c r="G4" i="302"/>
  <c r="C22" i="302"/>
  <c r="H22" i="302" s="1"/>
  <c r="C23" i="302"/>
  <c r="H23" i="302" s="1"/>
  <c r="C26" i="302"/>
  <c r="C27" i="302"/>
  <c r="H27" i="302" s="1"/>
  <c r="C28" i="302"/>
  <c r="C29" i="302"/>
  <c r="C30" i="302"/>
  <c r="H30" i="302" s="1"/>
  <c r="C31" i="302"/>
  <c r="H31" i="302" s="1"/>
  <c r="C34" i="302"/>
  <c r="C35" i="302"/>
  <c r="H35" i="302" s="1"/>
  <c r="C36" i="302"/>
  <c r="H36" i="302" s="1"/>
  <c r="C37" i="302"/>
  <c r="C38" i="302"/>
  <c r="H38" i="302" s="1"/>
  <c r="C39" i="302"/>
  <c r="H39" i="302" s="1"/>
  <c r="C42" i="302"/>
  <c r="C43" i="302"/>
  <c r="C44" i="302"/>
  <c r="C10" i="302"/>
  <c r="H10" i="302" s="1"/>
  <c r="C11" i="302"/>
  <c r="C12" i="302"/>
  <c r="C13" i="302"/>
  <c r="H13" i="302" s="1"/>
  <c r="C14" i="302"/>
  <c r="H14" i="302" s="1"/>
  <c r="C15" i="302"/>
  <c r="C16" i="302"/>
  <c r="H16" i="302" s="1"/>
  <c r="C17" i="302"/>
  <c r="C18" i="302"/>
  <c r="H18" i="302" s="1"/>
  <c r="D24" i="302"/>
  <c r="D32" i="302"/>
  <c r="D19" i="302"/>
  <c r="E18" i="302" s="1"/>
  <c r="C45" i="302"/>
  <c r="C7" i="302"/>
  <c r="E4" i="302"/>
  <c r="D26" i="301"/>
  <c r="D32" i="301" s="1"/>
  <c r="C21" i="301"/>
  <c r="H21" i="301" s="1"/>
  <c r="G4" i="301"/>
  <c r="C22" i="301"/>
  <c r="H22" i="301" s="1"/>
  <c r="C23" i="301"/>
  <c r="C26" i="301"/>
  <c r="C27" i="301"/>
  <c r="H27" i="301" s="1"/>
  <c r="C28" i="301"/>
  <c r="C29" i="301"/>
  <c r="H29" i="301" s="1"/>
  <c r="C30" i="301"/>
  <c r="H30" i="301" s="1"/>
  <c r="C31" i="301"/>
  <c r="C34" i="301"/>
  <c r="C35" i="301"/>
  <c r="H35" i="301" s="1"/>
  <c r="C36" i="301"/>
  <c r="C37" i="301"/>
  <c r="H37" i="301" s="1"/>
  <c r="C38" i="301"/>
  <c r="C39" i="301"/>
  <c r="C42" i="301"/>
  <c r="C43" i="301"/>
  <c r="H43" i="301" s="1"/>
  <c r="C44" i="301"/>
  <c r="H44" i="301" s="1"/>
  <c r="C10" i="301"/>
  <c r="H10" i="301" s="1"/>
  <c r="C11" i="301"/>
  <c r="C12" i="301"/>
  <c r="H12" i="301" s="1"/>
  <c r="C13" i="301"/>
  <c r="H13" i="301" s="1"/>
  <c r="C14" i="301"/>
  <c r="C15" i="301"/>
  <c r="H15" i="301" s="1"/>
  <c r="C16" i="301"/>
  <c r="H16" i="301" s="1"/>
  <c r="C17" i="301"/>
  <c r="C18" i="301"/>
  <c r="H18" i="301" s="1"/>
  <c r="D46" i="301"/>
  <c r="D24" i="301"/>
  <c r="D40" i="301"/>
  <c r="D19" i="301"/>
  <c r="E17" i="301" s="1"/>
  <c r="C45" i="301"/>
  <c r="C7" i="301"/>
  <c r="E4" i="301"/>
  <c r="D34" i="300"/>
  <c r="C21" i="300"/>
  <c r="G4" i="300"/>
  <c r="C22" i="300"/>
  <c r="C23" i="300"/>
  <c r="H23" i="300" s="1"/>
  <c r="C26" i="300"/>
  <c r="H26" i="300" s="1"/>
  <c r="C27" i="300"/>
  <c r="C28" i="300"/>
  <c r="H28" i="300" s="1"/>
  <c r="C29" i="300"/>
  <c r="C30" i="300"/>
  <c r="C31" i="300"/>
  <c r="H31" i="300" s="1"/>
  <c r="C34" i="300"/>
  <c r="C35" i="300"/>
  <c r="H35" i="300" s="1"/>
  <c r="C36" i="300"/>
  <c r="H36" i="300" s="1"/>
  <c r="C37" i="300"/>
  <c r="H37" i="300" s="1"/>
  <c r="C38" i="300"/>
  <c r="C39" i="300"/>
  <c r="H39" i="300" s="1"/>
  <c r="C42" i="300"/>
  <c r="H42" i="300" s="1"/>
  <c r="C43" i="300"/>
  <c r="H43" i="300" s="1"/>
  <c r="C44" i="300"/>
  <c r="C10" i="300"/>
  <c r="H10" i="300" s="1"/>
  <c r="C11" i="300"/>
  <c r="H11" i="300" s="1"/>
  <c r="C12" i="300"/>
  <c r="C13" i="300"/>
  <c r="C14" i="300"/>
  <c r="H14" i="300" s="1"/>
  <c r="C15" i="300"/>
  <c r="H15" i="300" s="1"/>
  <c r="C16" i="300"/>
  <c r="C17" i="300"/>
  <c r="H17" i="300" s="1"/>
  <c r="C18" i="300"/>
  <c r="H18" i="300" s="1"/>
  <c r="D46" i="300"/>
  <c r="D24" i="300"/>
  <c r="D32" i="300"/>
  <c r="D19" i="300"/>
  <c r="C45" i="300"/>
  <c r="C7" i="300"/>
  <c r="E4" i="300"/>
  <c r="D34" i="299"/>
  <c r="D40" i="299" s="1"/>
  <c r="D26" i="299"/>
  <c r="D42" i="299"/>
  <c r="C21" i="299"/>
  <c r="H21" i="299" s="1"/>
  <c r="G4" i="299"/>
  <c r="C22" i="299"/>
  <c r="H22" i="299" s="1"/>
  <c r="C23" i="299"/>
  <c r="H23" i="299" s="1"/>
  <c r="C26" i="299"/>
  <c r="C27" i="299"/>
  <c r="H27" i="299" s="1"/>
  <c r="C28" i="299"/>
  <c r="C29" i="299"/>
  <c r="H29" i="299" s="1"/>
  <c r="C30" i="299"/>
  <c r="H30" i="299" s="1"/>
  <c r="C31" i="299"/>
  <c r="H31" i="299" s="1"/>
  <c r="C34" i="299"/>
  <c r="C35" i="299"/>
  <c r="H35" i="299" s="1"/>
  <c r="C36" i="299"/>
  <c r="H36" i="299" s="1"/>
  <c r="C37" i="299"/>
  <c r="H37" i="299" s="1"/>
  <c r="C38" i="299"/>
  <c r="C39" i="299"/>
  <c r="C42" i="299"/>
  <c r="C43" i="299"/>
  <c r="H43" i="299" s="1"/>
  <c r="C44" i="299"/>
  <c r="H44" i="299" s="1"/>
  <c r="C10" i="299"/>
  <c r="H10" i="299" s="1"/>
  <c r="C11" i="299"/>
  <c r="C12" i="299"/>
  <c r="C13" i="299"/>
  <c r="H13" i="299" s="1"/>
  <c r="C14" i="299"/>
  <c r="H14" i="299" s="1"/>
  <c r="C15" i="299"/>
  <c r="H15" i="299" s="1"/>
  <c r="C16" i="299"/>
  <c r="H16" i="299" s="1"/>
  <c r="C17" i="299"/>
  <c r="H17" i="299" s="1"/>
  <c r="C18" i="299"/>
  <c r="H18" i="299" s="1"/>
  <c r="D24" i="299"/>
  <c r="D19" i="299"/>
  <c r="C45" i="299"/>
  <c r="C7" i="299"/>
  <c r="E4" i="299"/>
  <c r="D34" i="298"/>
  <c r="D40" i="298" s="1"/>
  <c r="D42" i="298"/>
  <c r="C21" i="298"/>
  <c r="H21" i="298" s="1"/>
  <c r="G4" i="298"/>
  <c r="C22" i="298"/>
  <c r="H22" i="298" s="1"/>
  <c r="C23" i="298"/>
  <c r="H23" i="298" s="1"/>
  <c r="C26" i="298"/>
  <c r="H26" i="298" s="1"/>
  <c r="C27" i="298"/>
  <c r="H27" i="298" s="1"/>
  <c r="C28" i="298"/>
  <c r="C29" i="298"/>
  <c r="C30" i="298"/>
  <c r="H30" i="298" s="1"/>
  <c r="C31" i="298"/>
  <c r="H31" i="298" s="1"/>
  <c r="C34" i="298"/>
  <c r="H34" i="298" s="1"/>
  <c r="C35" i="298"/>
  <c r="H35" i="298" s="1"/>
  <c r="C36" i="298"/>
  <c r="C37" i="298"/>
  <c r="H37" i="298" s="1"/>
  <c r="C38" i="298"/>
  <c r="H38" i="298" s="1"/>
  <c r="C39" i="298"/>
  <c r="C42" i="298"/>
  <c r="C43" i="298"/>
  <c r="H43" i="298" s="1"/>
  <c r="C44" i="298"/>
  <c r="H44" i="298" s="1"/>
  <c r="C10" i="298"/>
  <c r="H10" i="298" s="1"/>
  <c r="C11" i="298"/>
  <c r="C12" i="298"/>
  <c r="H12" i="298" s="1"/>
  <c r="C13" i="298"/>
  <c r="H13" i="298" s="1"/>
  <c r="C14" i="298"/>
  <c r="H14" i="298" s="1"/>
  <c r="C15" i="298"/>
  <c r="H15" i="298" s="1"/>
  <c r="C16" i="298"/>
  <c r="H16" i="298" s="1"/>
  <c r="C17" i="298"/>
  <c r="H17" i="298" s="1"/>
  <c r="C18" i="298"/>
  <c r="H18" i="298" s="1"/>
  <c r="D24" i="298"/>
  <c r="D32" i="298"/>
  <c r="D19" i="298"/>
  <c r="C45" i="298"/>
  <c r="C7" i="298"/>
  <c r="E4" i="298"/>
  <c r="D35" i="297"/>
  <c r="D35" i="351" s="1"/>
  <c r="D31" i="297"/>
  <c r="D34" i="297"/>
  <c r="D26" i="297"/>
  <c r="D42" i="297"/>
  <c r="C21" i="297"/>
  <c r="G4" i="297"/>
  <c r="C22" i="297"/>
  <c r="H22" i="297" s="1"/>
  <c r="C23" i="297"/>
  <c r="H23" i="297" s="1"/>
  <c r="C26" i="297"/>
  <c r="C27" i="297"/>
  <c r="H27" i="297" s="1"/>
  <c r="C28" i="297"/>
  <c r="C29" i="297"/>
  <c r="H29" i="297" s="1"/>
  <c r="C30" i="297"/>
  <c r="H30" i="297" s="1"/>
  <c r="C31" i="297"/>
  <c r="C34" i="297"/>
  <c r="C35" i="297"/>
  <c r="C36" i="297"/>
  <c r="C37" i="297"/>
  <c r="H37" i="297" s="1"/>
  <c r="C38" i="297"/>
  <c r="C39" i="297"/>
  <c r="C42" i="297"/>
  <c r="C43" i="297"/>
  <c r="C44" i="297"/>
  <c r="C10" i="297"/>
  <c r="H10" i="297" s="1"/>
  <c r="C11" i="297"/>
  <c r="H11" i="297" s="1"/>
  <c r="C12" i="297"/>
  <c r="H12" i="297" s="1"/>
  <c r="C13" i="297"/>
  <c r="H13" i="297" s="1"/>
  <c r="C14" i="297"/>
  <c r="H14" i="297" s="1"/>
  <c r="C15" i="297"/>
  <c r="H15" i="297" s="1"/>
  <c r="C16" i="297"/>
  <c r="C17" i="297"/>
  <c r="H17" i="297" s="1"/>
  <c r="C18" i="297"/>
  <c r="H18" i="297" s="1"/>
  <c r="D24" i="297"/>
  <c r="D19" i="297"/>
  <c r="E16" i="297" s="1"/>
  <c r="C45" i="297"/>
  <c r="C7" i="297"/>
  <c r="E4" i="297"/>
  <c r="D26" i="296"/>
  <c r="D32" i="296" s="1"/>
  <c r="C21" i="296"/>
  <c r="G4" i="296"/>
  <c r="C22" i="296"/>
  <c r="H22" i="296" s="1"/>
  <c r="C23" i="296"/>
  <c r="H23" i="296" s="1"/>
  <c r="C26" i="296"/>
  <c r="C27" i="296"/>
  <c r="H27" i="296" s="1"/>
  <c r="C28" i="296"/>
  <c r="H28" i="296" s="1"/>
  <c r="C29" i="296"/>
  <c r="H29" i="296" s="1"/>
  <c r="C30" i="296"/>
  <c r="H30" i="296" s="1"/>
  <c r="C31" i="296"/>
  <c r="H31" i="296" s="1"/>
  <c r="C34" i="296"/>
  <c r="H34" i="296" s="1"/>
  <c r="C35" i="296"/>
  <c r="C36" i="296"/>
  <c r="H36" i="296" s="1"/>
  <c r="C37" i="296"/>
  <c r="H37" i="296" s="1"/>
  <c r="C38" i="296"/>
  <c r="H38" i="296" s="1"/>
  <c r="C39" i="296"/>
  <c r="H39" i="296" s="1"/>
  <c r="C42" i="296"/>
  <c r="H42" i="296" s="1"/>
  <c r="C43" i="296"/>
  <c r="H43" i="296" s="1"/>
  <c r="C44" i="296"/>
  <c r="H44" i="296" s="1"/>
  <c r="C10" i="296"/>
  <c r="H10" i="296" s="1"/>
  <c r="C11" i="296"/>
  <c r="H11" i="296" s="1"/>
  <c r="C12" i="296"/>
  <c r="H12" i="296" s="1"/>
  <c r="C13" i="296"/>
  <c r="H13" i="296" s="1"/>
  <c r="C14" i="296"/>
  <c r="H14" i="296" s="1"/>
  <c r="C15" i="296"/>
  <c r="H15" i="296" s="1"/>
  <c r="C16" i="296"/>
  <c r="H16" i="296" s="1"/>
  <c r="C17" i="296"/>
  <c r="H17" i="296" s="1"/>
  <c r="C18" i="296"/>
  <c r="H18" i="296" s="1"/>
  <c r="D46" i="296"/>
  <c r="D24" i="296"/>
  <c r="D40" i="296"/>
  <c r="D19" i="296"/>
  <c r="E11" i="296" s="1"/>
  <c r="C45" i="296"/>
  <c r="C7" i="296"/>
  <c r="E4" i="296"/>
  <c r="C21" i="295"/>
  <c r="H21" i="295" s="1"/>
  <c r="G4" i="295"/>
  <c r="C22" i="295"/>
  <c r="H22" i="295" s="1"/>
  <c r="C23" i="295"/>
  <c r="H23" i="295" s="1"/>
  <c r="C26" i="295"/>
  <c r="H26" i="295" s="1"/>
  <c r="C27" i="295"/>
  <c r="H27" i="295" s="1"/>
  <c r="C28" i="295"/>
  <c r="H28" i="295" s="1"/>
  <c r="C29" i="295"/>
  <c r="H29" i="295" s="1"/>
  <c r="C30" i="295"/>
  <c r="H30" i="295" s="1"/>
  <c r="C31" i="295"/>
  <c r="H31" i="295" s="1"/>
  <c r="C34" i="295"/>
  <c r="H34" i="295" s="1"/>
  <c r="C35" i="295"/>
  <c r="H35" i="295" s="1"/>
  <c r="C36" i="295"/>
  <c r="H36" i="295" s="1"/>
  <c r="C37" i="295"/>
  <c r="H37" i="295" s="1"/>
  <c r="C38" i="295"/>
  <c r="H38" i="295" s="1"/>
  <c r="C39" i="295"/>
  <c r="C42" i="295"/>
  <c r="H42" i="295" s="1"/>
  <c r="C43" i="295"/>
  <c r="C44" i="295"/>
  <c r="H44" i="295" s="1"/>
  <c r="C10" i="295"/>
  <c r="H10" i="295" s="1"/>
  <c r="C11" i="295"/>
  <c r="H11" i="295" s="1"/>
  <c r="C12" i="295"/>
  <c r="H12" i="295" s="1"/>
  <c r="C13" i="295"/>
  <c r="H13" i="295" s="1"/>
  <c r="C14" i="295"/>
  <c r="H14" i="295" s="1"/>
  <c r="C15" i="295"/>
  <c r="C16" i="295"/>
  <c r="H16" i="295" s="1"/>
  <c r="C17" i="295"/>
  <c r="H17" i="295" s="1"/>
  <c r="C18" i="295"/>
  <c r="H18" i="295" s="1"/>
  <c r="D46" i="295"/>
  <c r="D24" i="295"/>
  <c r="D32" i="295"/>
  <c r="D40" i="295"/>
  <c r="D19" i="295"/>
  <c r="E18" i="295" s="1"/>
  <c r="C45" i="295"/>
  <c r="C7" i="295"/>
  <c r="E4" i="295"/>
  <c r="C21" i="294"/>
  <c r="G4" i="294"/>
  <c r="C22" i="294"/>
  <c r="H22" i="294" s="1"/>
  <c r="C23" i="294"/>
  <c r="H23" i="294" s="1"/>
  <c r="C26" i="294"/>
  <c r="H26" i="294" s="1"/>
  <c r="C27" i="294"/>
  <c r="H27" i="294" s="1"/>
  <c r="C28" i="294"/>
  <c r="H28" i="294" s="1"/>
  <c r="C29" i="294"/>
  <c r="H29" i="294" s="1"/>
  <c r="C30" i="294"/>
  <c r="H30" i="294" s="1"/>
  <c r="C31" i="294"/>
  <c r="C34" i="294"/>
  <c r="H34" i="294" s="1"/>
  <c r="C35" i="294"/>
  <c r="H35" i="294" s="1"/>
  <c r="C36" i="294"/>
  <c r="H36" i="294" s="1"/>
  <c r="C37" i="294"/>
  <c r="H37" i="294" s="1"/>
  <c r="C38" i="294"/>
  <c r="H38" i="294" s="1"/>
  <c r="C39" i="294"/>
  <c r="H39" i="294" s="1"/>
  <c r="C42" i="294"/>
  <c r="H42" i="294" s="1"/>
  <c r="C43" i="294"/>
  <c r="C44" i="294"/>
  <c r="H44" i="294" s="1"/>
  <c r="C10" i="294"/>
  <c r="H10" i="294" s="1"/>
  <c r="C11" i="294"/>
  <c r="H11" i="294" s="1"/>
  <c r="C12" i="294"/>
  <c r="H12" i="294" s="1"/>
  <c r="C13" i="294"/>
  <c r="C14" i="294"/>
  <c r="H14" i="294" s="1"/>
  <c r="C15" i="294"/>
  <c r="H15" i="294" s="1"/>
  <c r="C16" i="294"/>
  <c r="H16" i="294" s="1"/>
  <c r="C17" i="294"/>
  <c r="H17" i="294" s="1"/>
  <c r="C18" i="294"/>
  <c r="H18" i="294" s="1"/>
  <c r="D46" i="294"/>
  <c r="D24" i="294"/>
  <c r="D32" i="294"/>
  <c r="D40" i="294"/>
  <c r="D19" i="294"/>
  <c r="E19" i="294" s="1"/>
  <c r="C45" i="294"/>
  <c r="C7" i="294"/>
  <c r="E4" i="294"/>
  <c r="D27" i="280"/>
  <c r="D34" i="280"/>
  <c r="D40" i="280" s="1"/>
  <c r="D34" i="293"/>
  <c r="D40" i="293" s="1"/>
  <c r="D42" i="293"/>
  <c r="C21" i="293"/>
  <c r="H21" i="293" s="1"/>
  <c r="G4" i="293"/>
  <c r="C22" i="293"/>
  <c r="H22" i="293" s="1"/>
  <c r="C23" i="293"/>
  <c r="H23" i="293" s="1"/>
  <c r="C26" i="293"/>
  <c r="H26" i="293" s="1"/>
  <c r="C27" i="293"/>
  <c r="H27" i="293" s="1"/>
  <c r="C28" i="293"/>
  <c r="H28" i="293" s="1"/>
  <c r="C29" i="293"/>
  <c r="H29" i="293" s="1"/>
  <c r="C30" i="293"/>
  <c r="C31" i="293"/>
  <c r="H31" i="293" s="1"/>
  <c r="C34" i="293"/>
  <c r="C35" i="293"/>
  <c r="H35" i="293" s="1"/>
  <c r="C36" i="293"/>
  <c r="H36" i="293" s="1"/>
  <c r="C37" i="293"/>
  <c r="H37" i="293" s="1"/>
  <c r="C38" i="293"/>
  <c r="H38" i="293" s="1"/>
  <c r="C39" i="293"/>
  <c r="H39" i="293" s="1"/>
  <c r="C42" i="293"/>
  <c r="C43" i="293"/>
  <c r="H43" i="293" s="1"/>
  <c r="C44" i="293"/>
  <c r="H44" i="293" s="1"/>
  <c r="C10" i="293"/>
  <c r="C11" i="293"/>
  <c r="H11" i="293" s="1"/>
  <c r="C12" i="293"/>
  <c r="H12" i="293" s="1"/>
  <c r="C13" i="293"/>
  <c r="H13" i="293" s="1"/>
  <c r="C14" i="293"/>
  <c r="H14" i="293" s="1"/>
  <c r="C15" i="293"/>
  <c r="C16" i="293"/>
  <c r="H16" i="293" s="1"/>
  <c r="C17" i="293"/>
  <c r="H17" i="293" s="1"/>
  <c r="C18" i="293"/>
  <c r="D24" i="293"/>
  <c r="D32" i="293"/>
  <c r="D19" i="293"/>
  <c r="C45" i="293"/>
  <c r="C7" i="293"/>
  <c r="E4" i="293"/>
  <c r="D26" i="292"/>
  <c r="D32" i="292" s="1"/>
  <c r="C21" i="292"/>
  <c r="H21" i="292" s="1"/>
  <c r="G4" i="292"/>
  <c r="C22" i="292"/>
  <c r="H22" i="292" s="1"/>
  <c r="C23" i="292"/>
  <c r="C26" i="292"/>
  <c r="C27" i="292"/>
  <c r="H27" i="292" s="1"/>
  <c r="C28" i="292"/>
  <c r="H28" i="292" s="1"/>
  <c r="C29" i="292"/>
  <c r="C30" i="292"/>
  <c r="H30" i="292" s="1"/>
  <c r="C31" i="292"/>
  <c r="H31" i="292" s="1"/>
  <c r="C34" i="292"/>
  <c r="C35" i="292"/>
  <c r="C36" i="292"/>
  <c r="C37" i="292"/>
  <c r="H37" i="292" s="1"/>
  <c r="C38" i="292"/>
  <c r="H38" i="292" s="1"/>
  <c r="C39" i="292"/>
  <c r="C42" i="292"/>
  <c r="C43" i="292"/>
  <c r="H43" i="292" s="1"/>
  <c r="C44" i="292"/>
  <c r="H44" i="292" s="1"/>
  <c r="C10" i="292"/>
  <c r="H10" i="292" s="1"/>
  <c r="C11" i="292"/>
  <c r="H11" i="292" s="1"/>
  <c r="C12" i="292"/>
  <c r="C13" i="292"/>
  <c r="H13" i="292" s="1"/>
  <c r="C14" i="292"/>
  <c r="C15" i="292"/>
  <c r="H15" i="292" s="1"/>
  <c r="C16" i="292"/>
  <c r="H16" i="292" s="1"/>
  <c r="C17" i="292"/>
  <c r="H17" i="292" s="1"/>
  <c r="C18" i="292"/>
  <c r="H18" i="292" s="1"/>
  <c r="D19" i="292"/>
  <c r="D24" i="292"/>
  <c r="D40" i="292"/>
  <c r="D46" i="292"/>
  <c r="C45" i="292"/>
  <c r="C7" i="292"/>
  <c r="E4" i="292"/>
  <c r="D31" i="291"/>
  <c r="D26" i="291"/>
  <c r="C21" i="291"/>
  <c r="H21" i="291" s="1"/>
  <c r="G4" i="291"/>
  <c r="C22" i="291"/>
  <c r="H22" i="291" s="1"/>
  <c r="C23" i="291"/>
  <c r="H23" i="291" s="1"/>
  <c r="C26" i="291"/>
  <c r="C27" i="291"/>
  <c r="H27" i="291" s="1"/>
  <c r="C28" i="291"/>
  <c r="H28" i="291" s="1"/>
  <c r="C29" i="291"/>
  <c r="C30" i="291"/>
  <c r="C31" i="291"/>
  <c r="C34" i="291"/>
  <c r="H34" i="291" s="1"/>
  <c r="C35" i="291"/>
  <c r="H35" i="291" s="1"/>
  <c r="C36" i="291"/>
  <c r="H36" i="291" s="1"/>
  <c r="C37" i="291"/>
  <c r="H37" i="291" s="1"/>
  <c r="C38" i="291"/>
  <c r="H38" i="291" s="1"/>
  <c r="C39" i="291"/>
  <c r="H39" i="291" s="1"/>
  <c r="C42" i="291"/>
  <c r="C43" i="291"/>
  <c r="C44" i="291"/>
  <c r="H44" i="291" s="1"/>
  <c r="C10" i="291"/>
  <c r="H10" i="291" s="1"/>
  <c r="C11" i="291"/>
  <c r="H11" i="291" s="1"/>
  <c r="C12" i="291"/>
  <c r="H12" i="291" s="1"/>
  <c r="C13" i="291"/>
  <c r="H13" i="291" s="1"/>
  <c r="C14" i="291"/>
  <c r="H14" i="291" s="1"/>
  <c r="C15" i="291"/>
  <c r="H15" i="291" s="1"/>
  <c r="C16" i="291"/>
  <c r="C17" i="291"/>
  <c r="H17" i="291" s="1"/>
  <c r="C18" i="291"/>
  <c r="H18" i="291" s="1"/>
  <c r="D46" i="291"/>
  <c r="D24" i="291"/>
  <c r="D40" i="291"/>
  <c r="D19" i="291"/>
  <c r="C45" i="291"/>
  <c r="C7" i="291"/>
  <c r="E4" i="291"/>
  <c r="C21" i="290"/>
  <c r="H21" i="290" s="1"/>
  <c r="G4" i="290"/>
  <c r="C22" i="290"/>
  <c r="C23" i="290"/>
  <c r="H23" i="290" s="1"/>
  <c r="C26" i="290"/>
  <c r="C27" i="290"/>
  <c r="C28" i="290"/>
  <c r="H28" i="290" s="1"/>
  <c r="C29" i="290"/>
  <c r="H29" i="290" s="1"/>
  <c r="C30" i="290"/>
  <c r="H30" i="290" s="1"/>
  <c r="C31" i="290"/>
  <c r="H31" i="290" s="1"/>
  <c r="C34" i="290"/>
  <c r="H34" i="290" s="1"/>
  <c r="C35" i="290"/>
  <c r="H35" i="290" s="1"/>
  <c r="C36" i="290"/>
  <c r="H36" i="290" s="1"/>
  <c r="C37" i="290"/>
  <c r="H37" i="290" s="1"/>
  <c r="C38" i="290"/>
  <c r="C39" i="290"/>
  <c r="H39" i="290" s="1"/>
  <c r="C42" i="290"/>
  <c r="H42" i="290" s="1"/>
  <c r="C43" i="290"/>
  <c r="C44" i="290"/>
  <c r="H44" i="290" s="1"/>
  <c r="C10" i="290"/>
  <c r="C11" i="290"/>
  <c r="H11" i="290" s="1"/>
  <c r="C12" i="290"/>
  <c r="C13" i="290"/>
  <c r="H13" i="290" s="1"/>
  <c r="C14" i="290"/>
  <c r="C15" i="290"/>
  <c r="H15" i="290" s="1"/>
  <c r="C16" i="290"/>
  <c r="H16" i="290" s="1"/>
  <c r="C17" i="290"/>
  <c r="H17" i="290" s="1"/>
  <c r="C18" i="290"/>
  <c r="H18" i="290" s="1"/>
  <c r="D46" i="290"/>
  <c r="D24" i="290"/>
  <c r="D32" i="290"/>
  <c r="D40" i="290"/>
  <c r="D19" i="290"/>
  <c r="E17" i="290" s="1"/>
  <c r="C45" i="290"/>
  <c r="C7" i="290"/>
  <c r="E4" i="290"/>
  <c r="D34" i="289"/>
  <c r="D40" i="289" s="1"/>
  <c r="D42" i="289"/>
  <c r="C21" i="289"/>
  <c r="H21" i="289" s="1"/>
  <c r="G4" i="289"/>
  <c r="C22" i="289"/>
  <c r="H22" i="289" s="1"/>
  <c r="C23" i="289"/>
  <c r="C26" i="289"/>
  <c r="H26" i="289" s="1"/>
  <c r="C27" i="289"/>
  <c r="H27" i="289" s="1"/>
  <c r="C28" i="289"/>
  <c r="H28" i="289" s="1"/>
  <c r="C29" i="289"/>
  <c r="H29" i="289" s="1"/>
  <c r="C30" i="289"/>
  <c r="H30" i="289" s="1"/>
  <c r="C31" i="289"/>
  <c r="H31" i="289" s="1"/>
  <c r="C34" i="289"/>
  <c r="C35" i="289"/>
  <c r="H35" i="289" s="1"/>
  <c r="C36" i="289"/>
  <c r="H36" i="289" s="1"/>
  <c r="C37" i="289"/>
  <c r="H37" i="289" s="1"/>
  <c r="C38" i="289"/>
  <c r="H38" i="289" s="1"/>
  <c r="C39" i="289"/>
  <c r="H39" i="289" s="1"/>
  <c r="C42" i="289"/>
  <c r="C43" i="289"/>
  <c r="H43" i="289" s="1"/>
  <c r="C44" i="289"/>
  <c r="C10" i="289"/>
  <c r="H10" i="289" s="1"/>
  <c r="C11" i="289"/>
  <c r="H11" i="289" s="1"/>
  <c r="C12" i="289"/>
  <c r="H12" i="289" s="1"/>
  <c r="C13" i="289"/>
  <c r="C14" i="289"/>
  <c r="H14" i="289" s="1"/>
  <c r="C15" i="289"/>
  <c r="H15" i="289" s="1"/>
  <c r="C16" i="289"/>
  <c r="C17" i="289"/>
  <c r="H17" i="289" s="1"/>
  <c r="C18" i="289"/>
  <c r="H18" i="289" s="1"/>
  <c r="D24" i="289"/>
  <c r="D32" i="289"/>
  <c r="D19" i="289"/>
  <c r="E12" i="289" s="1"/>
  <c r="C45" i="289"/>
  <c r="C7" i="289"/>
  <c r="E4" i="289"/>
  <c r="D34" i="288"/>
  <c r="D40" i="288" s="1"/>
  <c r="D42" i="288"/>
  <c r="D46" i="288" s="1"/>
  <c r="C21" i="288"/>
  <c r="G4" i="288"/>
  <c r="C22" i="288"/>
  <c r="H22" i="288" s="1"/>
  <c r="C23" i="288"/>
  <c r="H23" i="288" s="1"/>
  <c r="C26" i="288"/>
  <c r="H26" i="288" s="1"/>
  <c r="C27" i="288"/>
  <c r="H27" i="288" s="1"/>
  <c r="C28" i="288"/>
  <c r="H28" i="288" s="1"/>
  <c r="C29" i="288"/>
  <c r="H29" i="288" s="1"/>
  <c r="C30" i="288"/>
  <c r="H30" i="288" s="1"/>
  <c r="C31" i="288"/>
  <c r="H31" i="288" s="1"/>
  <c r="C34" i="288"/>
  <c r="C35" i="288"/>
  <c r="C36" i="288"/>
  <c r="H36" i="288" s="1"/>
  <c r="C37" i="288"/>
  <c r="H37" i="288" s="1"/>
  <c r="C38" i="288"/>
  <c r="H38" i="288" s="1"/>
  <c r="C39" i="288"/>
  <c r="H39" i="288" s="1"/>
  <c r="C42" i="288"/>
  <c r="C43" i="288"/>
  <c r="H43" i="288" s="1"/>
  <c r="C44" i="288"/>
  <c r="H44" i="288" s="1"/>
  <c r="C10" i="288"/>
  <c r="H10" i="288" s="1"/>
  <c r="C11" i="288"/>
  <c r="H11" i="288" s="1"/>
  <c r="C12" i="288"/>
  <c r="H12" i="288" s="1"/>
  <c r="C13" i="288"/>
  <c r="C14" i="288"/>
  <c r="H14" i="288" s="1"/>
  <c r="C15" i="288"/>
  <c r="H15" i="288" s="1"/>
  <c r="C16" i="288"/>
  <c r="H16" i="288" s="1"/>
  <c r="C17" i="288"/>
  <c r="H17" i="288" s="1"/>
  <c r="C18" i="288"/>
  <c r="H18" i="288" s="1"/>
  <c r="D24" i="288"/>
  <c r="D32" i="288"/>
  <c r="D19" i="288"/>
  <c r="C45" i="288"/>
  <c r="C7" i="288"/>
  <c r="E4" i="288"/>
  <c r="C21" i="287"/>
  <c r="H21" i="287" s="1"/>
  <c r="G4" i="287"/>
  <c r="C22" i="287"/>
  <c r="H22" i="287" s="1"/>
  <c r="C23" i="287"/>
  <c r="H23" i="287" s="1"/>
  <c r="C26" i="287"/>
  <c r="H26" i="287" s="1"/>
  <c r="C27" i="287"/>
  <c r="H27" i="287" s="1"/>
  <c r="C28" i="287"/>
  <c r="H28" i="287" s="1"/>
  <c r="C29" i="287"/>
  <c r="H29" i="287" s="1"/>
  <c r="C30" i="287"/>
  <c r="H30" i="287" s="1"/>
  <c r="C31" i="287"/>
  <c r="H31" i="287" s="1"/>
  <c r="C34" i="287"/>
  <c r="H34" i="287" s="1"/>
  <c r="C35" i="287"/>
  <c r="H35" i="287" s="1"/>
  <c r="C36" i="287"/>
  <c r="H36" i="287" s="1"/>
  <c r="C37" i="287"/>
  <c r="H37" i="287" s="1"/>
  <c r="C38" i="287"/>
  <c r="H38" i="287" s="1"/>
  <c r="C39" i="287"/>
  <c r="H39" i="287" s="1"/>
  <c r="C42" i="287"/>
  <c r="H42" i="287" s="1"/>
  <c r="C43" i="287"/>
  <c r="H43" i="287" s="1"/>
  <c r="C44" i="287"/>
  <c r="H44" i="287" s="1"/>
  <c r="C10" i="287"/>
  <c r="H10" i="287" s="1"/>
  <c r="C11" i="287"/>
  <c r="C12" i="287"/>
  <c r="H12" i="287" s="1"/>
  <c r="C13" i="287"/>
  <c r="H13" i="287" s="1"/>
  <c r="C14" i="287"/>
  <c r="H14" i="287" s="1"/>
  <c r="C15" i="287"/>
  <c r="H15" i="287" s="1"/>
  <c r="C16" i="287"/>
  <c r="H16" i="287" s="1"/>
  <c r="C17" i="287"/>
  <c r="H17" i="287" s="1"/>
  <c r="C18" i="287"/>
  <c r="H18" i="287" s="1"/>
  <c r="D46" i="287"/>
  <c r="D24" i="287"/>
  <c r="D32" i="287"/>
  <c r="D40" i="287"/>
  <c r="D19" i="287"/>
  <c r="E13" i="287" s="1"/>
  <c r="C45" i="287"/>
  <c r="C7" i="287"/>
  <c r="E4" i="287"/>
  <c r="D26" i="286"/>
  <c r="D32" i="286" s="1"/>
  <c r="C21" i="286"/>
  <c r="H21" i="286" s="1"/>
  <c r="G4" i="286"/>
  <c r="C22" i="286"/>
  <c r="H22" i="286" s="1"/>
  <c r="C23" i="286"/>
  <c r="H23" i="286" s="1"/>
  <c r="C26" i="286"/>
  <c r="C27" i="286"/>
  <c r="H27" i="286" s="1"/>
  <c r="C28" i="286"/>
  <c r="H28" i="286" s="1"/>
  <c r="C29" i="286"/>
  <c r="C30" i="286"/>
  <c r="H30" i="286" s="1"/>
  <c r="C31" i="286"/>
  <c r="C34" i="286"/>
  <c r="C35" i="286"/>
  <c r="C36" i="286"/>
  <c r="H36" i="286" s="1"/>
  <c r="C37" i="286"/>
  <c r="H37" i="286" s="1"/>
  <c r="C38" i="286"/>
  <c r="H38" i="286" s="1"/>
  <c r="C39" i="286"/>
  <c r="H39" i="286" s="1"/>
  <c r="C42" i="286"/>
  <c r="H42" i="286" s="1"/>
  <c r="C43" i="286"/>
  <c r="H43" i="286" s="1"/>
  <c r="C44" i="286"/>
  <c r="H44" i="286" s="1"/>
  <c r="C10" i="286"/>
  <c r="H10" i="286" s="1"/>
  <c r="C11" i="286"/>
  <c r="H11" i="286" s="1"/>
  <c r="C12" i="286"/>
  <c r="C13" i="286"/>
  <c r="H13" i="286" s="1"/>
  <c r="C14" i="286"/>
  <c r="H14" i="286" s="1"/>
  <c r="C15" i="286"/>
  <c r="H15" i="286" s="1"/>
  <c r="C16" i="286"/>
  <c r="H16" i="286" s="1"/>
  <c r="C17" i="286"/>
  <c r="H17" i="286" s="1"/>
  <c r="C18" i="286"/>
  <c r="H18" i="286" s="1"/>
  <c r="D46" i="286"/>
  <c r="D24" i="286"/>
  <c r="D40" i="286"/>
  <c r="D19" i="286"/>
  <c r="C45" i="286"/>
  <c r="C7" i="286"/>
  <c r="E4" i="286"/>
  <c r="D26" i="285"/>
  <c r="D32" i="285" s="1"/>
  <c r="D34" i="285"/>
  <c r="D40" i="285" s="1"/>
  <c r="D42" i="285"/>
  <c r="C21" i="285"/>
  <c r="H21" i="285" s="1"/>
  <c r="G4" i="285"/>
  <c r="C22" i="285"/>
  <c r="H22" i="285" s="1"/>
  <c r="C23" i="285"/>
  <c r="H23" i="285" s="1"/>
  <c r="C26" i="285"/>
  <c r="C27" i="285"/>
  <c r="H27" i="285" s="1"/>
  <c r="C28" i="285"/>
  <c r="H28" i="285" s="1"/>
  <c r="C29" i="285"/>
  <c r="H29" i="285" s="1"/>
  <c r="C30" i="285"/>
  <c r="H30" i="285" s="1"/>
  <c r="C31" i="285"/>
  <c r="H31" i="285" s="1"/>
  <c r="C34" i="285"/>
  <c r="C35" i="285"/>
  <c r="C36" i="285"/>
  <c r="H36" i="285" s="1"/>
  <c r="C37" i="285"/>
  <c r="H37" i="285" s="1"/>
  <c r="C38" i="285"/>
  <c r="C39" i="285"/>
  <c r="H39" i="285" s="1"/>
  <c r="C42" i="285"/>
  <c r="C43" i="285"/>
  <c r="H43" i="285" s="1"/>
  <c r="C44" i="285"/>
  <c r="H44" i="285" s="1"/>
  <c r="C10" i="285"/>
  <c r="H10" i="285" s="1"/>
  <c r="C11" i="285"/>
  <c r="H11" i="285" s="1"/>
  <c r="C12" i="285"/>
  <c r="H12" i="285" s="1"/>
  <c r="C13" i="285"/>
  <c r="H13" i="285" s="1"/>
  <c r="C14" i="285"/>
  <c r="C15" i="285"/>
  <c r="H15" i="285" s="1"/>
  <c r="C16" i="285"/>
  <c r="H16" i="285" s="1"/>
  <c r="C17" i="285"/>
  <c r="C18" i="285"/>
  <c r="D24" i="285"/>
  <c r="D19" i="285"/>
  <c r="C45" i="285"/>
  <c r="C7" i="285"/>
  <c r="E4" i="285"/>
  <c r="G4" i="276"/>
  <c r="D34" i="284"/>
  <c r="D42" i="284"/>
  <c r="C21" i="284"/>
  <c r="H21" i="284" s="1"/>
  <c r="G4" i="284"/>
  <c r="C22" i="284"/>
  <c r="H22" i="284" s="1"/>
  <c r="C23" i="284"/>
  <c r="H23" i="284" s="1"/>
  <c r="C26" i="284"/>
  <c r="H26" i="284" s="1"/>
  <c r="C27" i="284"/>
  <c r="H27" i="284" s="1"/>
  <c r="C28" i="284"/>
  <c r="C29" i="284"/>
  <c r="C30" i="284"/>
  <c r="H30" i="284" s="1"/>
  <c r="C31" i="284"/>
  <c r="H31" i="284" s="1"/>
  <c r="C34" i="284"/>
  <c r="H34" i="284" s="1"/>
  <c r="C35" i="284"/>
  <c r="H35" i="284" s="1"/>
  <c r="C36" i="284"/>
  <c r="H36" i="284" s="1"/>
  <c r="C37" i="284"/>
  <c r="H37" i="284" s="1"/>
  <c r="C38" i="284"/>
  <c r="H38" i="284" s="1"/>
  <c r="C39" i="284"/>
  <c r="H39" i="284" s="1"/>
  <c r="C42" i="284"/>
  <c r="C43" i="284"/>
  <c r="H43" i="284" s="1"/>
  <c r="C44" i="284"/>
  <c r="H44" i="284" s="1"/>
  <c r="C10" i="284"/>
  <c r="C11" i="284"/>
  <c r="C12" i="284"/>
  <c r="H12" i="284" s="1"/>
  <c r="C13" i="284"/>
  <c r="H13" i="284" s="1"/>
  <c r="C14" i="284"/>
  <c r="C15" i="284"/>
  <c r="H15" i="284" s="1"/>
  <c r="C16" i="284"/>
  <c r="H16" i="284" s="1"/>
  <c r="C17" i="284"/>
  <c r="H17" i="284" s="1"/>
  <c r="C18" i="284"/>
  <c r="H18" i="284" s="1"/>
  <c r="D24" i="284"/>
  <c r="D32" i="284"/>
  <c r="D40" i="284"/>
  <c r="D19" i="284"/>
  <c r="E19" i="284" s="1"/>
  <c r="C45" i="284"/>
  <c r="C7" i="284"/>
  <c r="E4" i="284"/>
  <c r="D34" i="283"/>
  <c r="D40" i="283" s="1"/>
  <c r="D42" i="283"/>
  <c r="C21" i="283"/>
  <c r="H21" i="283" s="1"/>
  <c r="G4" i="283"/>
  <c r="C22" i="283"/>
  <c r="H22" i="283" s="1"/>
  <c r="C23" i="283"/>
  <c r="H23" i="283" s="1"/>
  <c r="C26" i="283"/>
  <c r="H26" i="283" s="1"/>
  <c r="C27" i="283"/>
  <c r="H27" i="283" s="1"/>
  <c r="C28" i="283"/>
  <c r="C29" i="283"/>
  <c r="H29" i="283" s="1"/>
  <c r="C30" i="283"/>
  <c r="C31" i="283"/>
  <c r="H31" i="283" s="1"/>
  <c r="C34" i="283"/>
  <c r="C35" i="283"/>
  <c r="H35" i="283" s="1"/>
  <c r="C36" i="283"/>
  <c r="H36" i="283" s="1"/>
  <c r="C37" i="283"/>
  <c r="H37" i="283" s="1"/>
  <c r="C38" i="283"/>
  <c r="H38" i="283" s="1"/>
  <c r="C39" i="283"/>
  <c r="H39" i="283" s="1"/>
  <c r="C42" i="283"/>
  <c r="C43" i="283"/>
  <c r="H43" i="283" s="1"/>
  <c r="C44" i="283"/>
  <c r="H44" i="283" s="1"/>
  <c r="C10" i="283"/>
  <c r="H10" i="283" s="1"/>
  <c r="C11" i="283"/>
  <c r="C12" i="283"/>
  <c r="C13" i="283"/>
  <c r="H13" i="283" s="1"/>
  <c r="C14" i="283"/>
  <c r="H14" i="283" s="1"/>
  <c r="C15" i="283"/>
  <c r="C16" i="283"/>
  <c r="H16" i="283" s="1"/>
  <c r="C17" i="283"/>
  <c r="H17" i="283" s="1"/>
  <c r="C18" i="283"/>
  <c r="H18" i="283" s="1"/>
  <c r="D24" i="283"/>
  <c r="D32" i="283"/>
  <c r="D19" i="283"/>
  <c r="E13" i="283" s="1"/>
  <c r="C45" i="283"/>
  <c r="C7" i="283"/>
  <c r="E4" i="283"/>
  <c r="C21" i="282"/>
  <c r="H21" i="282" s="1"/>
  <c r="G4" i="282"/>
  <c r="C22" i="282"/>
  <c r="C23" i="282"/>
  <c r="H23" i="282" s="1"/>
  <c r="C26" i="282"/>
  <c r="H26" i="282" s="1"/>
  <c r="C27" i="282"/>
  <c r="H27" i="282" s="1"/>
  <c r="C28" i="282"/>
  <c r="H28" i="282" s="1"/>
  <c r="C29" i="282"/>
  <c r="C30" i="282"/>
  <c r="H30" i="282" s="1"/>
  <c r="C31" i="282"/>
  <c r="H31" i="282" s="1"/>
  <c r="C34" i="282"/>
  <c r="H34" i="282" s="1"/>
  <c r="C35" i="282"/>
  <c r="H35" i="282" s="1"/>
  <c r="C36" i="282"/>
  <c r="H36" i="282" s="1"/>
  <c r="C37" i="282"/>
  <c r="H37" i="282" s="1"/>
  <c r="C38" i="282"/>
  <c r="C39" i="282"/>
  <c r="H39" i="282" s="1"/>
  <c r="C42" i="282"/>
  <c r="H42" i="282" s="1"/>
  <c r="C43" i="282"/>
  <c r="H43" i="282" s="1"/>
  <c r="C44" i="282"/>
  <c r="C10" i="282"/>
  <c r="H10" i="282" s="1"/>
  <c r="C11" i="282"/>
  <c r="H11" i="282" s="1"/>
  <c r="C12" i="282"/>
  <c r="C13" i="282"/>
  <c r="H13" i="282" s="1"/>
  <c r="C14" i="282"/>
  <c r="H14" i="282" s="1"/>
  <c r="C15" i="282"/>
  <c r="H15" i="282" s="1"/>
  <c r="C16" i="282"/>
  <c r="H16" i="282" s="1"/>
  <c r="C17" i="282"/>
  <c r="H17" i="282" s="1"/>
  <c r="C18" i="282"/>
  <c r="H18" i="282" s="1"/>
  <c r="D46" i="282"/>
  <c r="D24" i="282"/>
  <c r="D32" i="282"/>
  <c r="D40" i="282"/>
  <c r="D19" i="282"/>
  <c r="E14" i="282" s="1"/>
  <c r="C45" i="282"/>
  <c r="C7" i="282"/>
  <c r="E4" i="282"/>
  <c r="C21" i="281"/>
  <c r="G4" i="281"/>
  <c r="C22" i="281"/>
  <c r="H22" i="281" s="1"/>
  <c r="C23" i="281"/>
  <c r="H23" i="281" s="1"/>
  <c r="C26" i="281"/>
  <c r="H26" i="281" s="1"/>
  <c r="C27" i="281"/>
  <c r="H27" i="281" s="1"/>
  <c r="C28" i="281"/>
  <c r="H28" i="281" s="1"/>
  <c r="C29" i="281"/>
  <c r="H29" i="281" s="1"/>
  <c r="C30" i="281"/>
  <c r="C31" i="281"/>
  <c r="C34" i="281"/>
  <c r="H34" i="281" s="1"/>
  <c r="C35" i="281"/>
  <c r="H35" i="281" s="1"/>
  <c r="C36" i="281"/>
  <c r="H36" i="281" s="1"/>
  <c r="C37" i="281"/>
  <c r="H37" i="281" s="1"/>
  <c r="C38" i="281"/>
  <c r="H38" i="281" s="1"/>
  <c r="C39" i="281"/>
  <c r="H39" i="281" s="1"/>
  <c r="C42" i="281"/>
  <c r="H42" i="281" s="1"/>
  <c r="C43" i="281"/>
  <c r="H43" i="281" s="1"/>
  <c r="C44" i="281"/>
  <c r="H44" i="281" s="1"/>
  <c r="C10" i="281"/>
  <c r="H10" i="281" s="1"/>
  <c r="C11" i="281"/>
  <c r="H11" i="281" s="1"/>
  <c r="C12" i="281"/>
  <c r="H12" i="281" s="1"/>
  <c r="C13" i="281"/>
  <c r="C14" i="281"/>
  <c r="H14" i="281" s="1"/>
  <c r="C15" i="281"/>
  <c r="H15" i="281" s="1"/>
  <c r="C16" i="281"/>
  <c r="H16" i="281" s="1"/>
  <c r="C17" i="281"/>
  <c r="H17" i="281" s="1"/>
  <c r="C18" i="281"/>
  <c r="H18" i="281" s="1"/>
  <c r="D46" i="281"/>
  <c r="D24" i="281"/>
  <c r="D32" i="281"/>
  <c r="D40" i="281"/>
  <c r="D19" i="281"/>
  <c r="E12" i="281" s="1"/>
  <c r="C45" i="281"/>
  <c r="C7" i="281"/>
  <c r="E4" i="281"/>
  <c r="D26" i="280"/>
  <c r="C21" i="280"/>
  <c r="G4" i="280"/>
  <c r="C22" i="280"/>
  <c r="H22" i="280" s="1"/>
  <c r="C23" i="280"/>
  <c r="H23" i="280" s="1"/>
  <c r="C26" i="280"/>
  <c r="C27" i="280"/>
  <c r="C28" i="280"/>
  <c r="H28" i="280" s="1"/>
  <c r="C29" i="280"/>
  <c r="H29" i="280" s="1"/>
  <c r="C30" i="280"/>
  <c r="H30" i="280" s="1"/>
  <c r="C31" i="280"/>
  <c r="H31" i="280" s="1"/>
  <c r="C34" i="280"/>
  <c r="C35" i="280"/>
  <c r="H35" i="280" s="1"/>
  <c r="C36" i="280"/>
  <c r="H36" i="280" s="1"/>
  <c r="C37" i="280"/>
  <c r="H37" i="280" s="1"/>
  <c r="C38" i="280"/>
  <c r="H38" i="280" s="1"/>
  <c r="C39" i="280"/>
  <c r="H39" i="280" s="1"/>
  <c r="C42" i="280"/>
  <c r="H42" i="280" s="1"/>
  <c r="C43" i="280"/>
  <c r="H43" i="280" s="1"/>
  <c r="C44" i="280"/>
  <c r="H44" i="280" s="1"/>
  <c r="C10" i="280"/>
  <c r="H10" i="280" s="1"/>
  <c r="C11" i="280"/>
  <c r="H11" i="280" s="1"/>
  <c r="C12" i="280"/>
  <c r="C13" i="280"/>
  <c r="H13" i="280" s="1"/>
  <c r="C14" i="280"/>
  <c r="H14" i="280" s="1"/>
  <c r="C15" i="280"/>
  <c r="H15" i="280" s="1"/>
  <c r="C16" i="280"/>
  <c r="H16" i="280" s="1"/>
  <c r="C17" i="280"/>
  <c r="H17" i="280" s="1"/>
  <c r="C18" i="280"/>
  <c r="H18" i="280" s="1"/>
  <c r="D46" i="280"/>
  <c r="D24" i="280"/>
  <c r="D19" i="280"/>
  <c r="E18" i="280" s="1"/>
  <c r="C45" i="280"/>
  <c r="C7" i="280"/>
  <c r="E4" i="280"/>
  <c r="D26" i="279"/>
  <c r="D32" i="279" s="1"/>
  <c r="D34" i="279"/>
  <c r="D42" i="279"/>
  <c r="C21" i="279"/>
  <c r="H21" i="279" s="1"/>
  <c r="G4" i="279"/>
  <c r="C22" i="279"/>
  <c r="H22" i="279" s="1"/>
  <c r="C23" i="279"/>
  <c r="H23" i="279" s="1"/>
  <c r="C26" i="279"/>
  <c r="C27" i="279"/>
  <c r="C28" i="279"/>
  <c r="H28" i="279" s="1"/>
  <c r="C29" i="279"/>
  <c r="H29" i="279" s="1"/>
  <c r="C30" i="279"/>
  <c r="H30" i="279" s="1"/>
  <c r="C31" i="279"/>
  <c r="C34" i="279"/>
  <c r="H34" i="279" s="1"/>
  <c r="C35" i="279"/>
  <c r="H35" i="279" s="1"/>
  <c r="C36" i="279"/>
  <c r="H36" i="279" s="1"/>
  <c r="C37" i="279"/>
  <c r="H37" i="279" s="1"/>
  <c r="C38" i="279"/>
  <c r="H38" i="279" s="1"/>
  <c r="C39" i="279"/>
  <c r="H39" i="279" s="1"/>
  <c r="C42" i="279"/>
  <c r="H42" i="279" s="1"/>
  <c r="C43" i="279"/>
  <c r="H43" i="279" s="1"/>
  <c r="C44" i="279"/>
  <c r="H44" i="279" s="1"/>
  <c r="C10" i="279"/>
  <c r="H10" i="279" s="1"/>
  <c r="C11" i="279"/>
  <c r="H11" i="279" s="1"/>
  <c r="C12" i="279"/>
  <c r="H12" i="279" s="1"/>
  <c r="C13" i="279"/>
  <c r="H13" i="279" s="1"/>
  <c r="C14" i="279"/>
  <c r="H14" i="279" s="1"/>
  <c r="C15" i="279"/>
  <c r="H15" i="279" s="1"/>
  <c r="C16" i="279"/>
  <c r="H16" i="279" s="1"/>
  <c r="C17" i="279"/>
  <c r="H17" i="279" s="1"/>
  <c r="C18" i="279"/>
  <c r="H18" i="279" s="1"/>
  <c r="D46" i="279"/>
  <c r="D24" i="279"/>
  <c r="D40" i="279"/>
  <c r="D19" i="279"/>
  <c r="C45" i="279"/>
  <c r="C7" i="279"/>
  <c r="E4" i="279"/>
  <c r="D42" i="278"/>
  <c r="D34" i="278"/>
  <c r="D40" i="278" s="1"/>
  <c r="C21" i="278"/>
  <c r="H21" i="278" s="1"/>
  <c r="G4" i="278"/>
  <c r="C22" i="278"/>
  <c r="C23" i="278"/>
  <c r="H23" i="278" s="1"/>
  <c r="C26" i="278"/>
  <c r="H26" i="278" s="1"/>
  <c r="C27" i="278"/>
  <c r="H27" i="278" s="1"/>
  <c r="C28" i="278"/>
  <c r="H28" i="278" s="1"/>
  <c r="C29" i="278"/>
  <c r="C30" i="278"/>
  <c r="C31" i="278"/>
  <c r="H31" i="278" s="1"/>
  <c r="C34" i="278"/>
  <c r="C35" i="278"/>
  <c r="H35" i="278" s="1"/>
  <c r="C36" i="278"/>
  <c r="H36" i="278" s="1"/>
  <c r="C37" i="278"/>
  <c r="H37" i="278" s="1"/>
  <c r="C38" i="278"/>
  <c r="H38" i="278" s="1"/>
  <c r="C39" i="278"/>
  <c r="C42" i="278"/>
  <c r="C43" i="278"/>
  <c r="H43" i="278" s="1"/>
  <c r="C44" i="278"/>
  <c r="H44" i="278" s="1"/>
  <c r="C10" i="278"/>
  <c r="H10" i="278" s="1"/>
  <c r="C11" i="278"/>
  <c r="H11" i="278" s="1"/>
  <c r="C12" i="278"/>
  <c r="H12" i="278" s="1"/>
  <c r="C13" i="278"/>
  <c r="H13" i="278" s="1"/>
  <c r="C14" i="278"/>
  <c r="H14" i="278" s="1"/>
  <c r="C15" i="278"/>
  <c r="H15" i="278" s="1"/>
  <c r="C16" i="278"/>
  <c r="H16" i="278" s="1"/>
  <c r="C17" i="278"/>
  <c r="H17" i="278" s="1"/>
  <c r="C18" i="278"/>
  <c r="H18" i="278" s="1"/>
  <c r="D24" i="278"/>
  <c r="D32" i="278"/>
  <c r="D19" i="278"/>
  <c r="E16" i="278" s="1"/>
  <c r="C45" i="278"/>
  <c r="C7" i="278"/>
  <c r="E4" i="278"/>
  <c r="C21" i="277"/>
  <c r="H21" i="277" s="1"/>
  <c r="G4" i="277"/>
  <c r="C22" i="277"/>
  <c r="H22" i="277" s="1"/>
  <c r="C23" i="277"/>
  <c r="C26" i="277"/>
  <c r="H26" i="277" s="1"/>
  <c r="C27" i="277"/>
  <c r="H27" i="277" s="1"/>
  <c r="C28" i="277"/>
  <c r="H28" i="277" s="1"/>
  <c r="C29" i="277"/>
  <c r="H29" i="277" s="1"/>
  <c r="C30" i="277"/>
  <c r="H30" i="277" s="1"/>
  <c r="C31" i="277"/>
  <c r="H31" i="277" s="1"/>
  <c r="C34" i="277"/>
  <c r="C35" i="277"/>
  <c r="C36" i="277"/>
  <c r="H36" i="277" s="1"/>
  <c r="C37" i="277"/>
  <c r="H37" i="277" s="1"/>
  <c r="C38" i="277"/>
  <c r="C39" i="277"/>
  <c r="H39" i="277" s="1"/>
  <c r="C42" i="277"/>
  <c r="H42" i="277" s="1"/>
  <c r="C43" i="277"/>
  <c r="H43" i="277" s="1"/>
  <c r="C44" i="277"/>
  <c r="H44" i="277" s="1"/>
  <c r="C10" i="277"/>
  <c r="H10" i="277" s="1"/>
  <c r="C11" i="277"/>
  <c r="H11" i="277" s="1"/>
  <c r="C12" i="277"/>
  <c r="H12" i="277" s="1"/>
  <c r="C13" i="277"/>
  <c r="C14" i="277"/>
  <c r="H14" i="277" s="1"/>
  <c r="C15" i="277"/>
  <c r="H15" i="277" s="1"/>
  <c r="C16" i="277"/>
  <c r="H16" i="277" s="1"/>
  <c r="C17" i="277"/>
  <c r="H17" i="277" s="1"/>
  <c r="C18" i="277"/>
  <c r="H18" i="277" s="1"/>
  <c r="D19" i="277"/>
  <c r="D24" i="277"/>
  <c r="D32" i="277"/>
  <c r="D48" i="277" s="1"/>
  <c r="E24" i="277" s="1"/>
  <c r="D40" i="277"/>
  <c r="D46" i="277"/>
  <c r="C45" i="277"/>
  <c r="C7" i="277"/>
  <c r="E4" i="277"/>
  <c r="D27" i="276"/>
  <c r="D34" i="276"/>
  <c r="D42" i="276"/>
  <c r="D46" i="276" s="1"/>
  <c r="C21" i="276"/>
  <c r="H21" i="276" s="1"/>
  <c r="C22" i="276"/>
  <c r="H22" i="276" s="1"/>
  <c r="C23" i="276"/>
  <c r="H23" i="276" s="1"/>
  <c r="C26" i="276"/>
  <c r="H26" i="276" s="1"/>
  <c r="C27" i="276"/>
  <c r="C28" i="276"/>
  <c r="H28" i="276" s="1"/>
  <c r="C29" i="276"/>
  <c r="H29" i="276" s="1"/>
  <c r="C30" i="276"/>
  <c r="H30" i="276" s="1"/>
  <c r="C31" i="276"/>
  <c r="H31" i="276" s="1"/>
  <c r="C34" i="276"/>
  <c r="C35" i="276"/>
  <c r="H35" i="276" s="1"/>
  <c r="C36" i="276"/>
  <c r="H36" i="276" s="1"/>
  <c r="C37" i="276"/>
  <c r="H37" i="276" s="1"/>
  <c r="C38" i="276"/>
  <c r="H38" i="276" s="1"/>
  <c r="C39" i="276"/>
  <c r="H39" i="276" s="1"/>
  <c r="C42" i="276"/>
  <c r="C43" i="276"/>
  <c r="H43" i="276" s="1"/>
  <c r="C44" i="276"/>
  <c r="C10" i="276"/>
  <c r="H10" i="276" s="1"/>
  <c r="C11" i="276"/>
  <c r="H11" i="276" s="1"/>
  <c r="C12" i="276"/>
  <c r="C13" i="276"/>
  <c r="H13" i="276" s="1"/>
  <c r="C14" i="276"/>
  <c r="H14" i="276" s="1"/>
  <c r="C15" i="276"/>
  <c r="H15" i="276" s="1"/>
  <c r="C16" i="276"/>
  <c r="C17" i="276"/>
  <c r="H17" i="276" s="1"/>
  <c r="C18" i="276"/>
  <c r="H18" i="276" s="1"/>
  <c r="D24" i="276"/>
  <c r="D19" i="276"/>
  <c r="C45" i="276"/>
  <c r="C7" i="276"/>
  <c r="E4" i="276"/>
  <c r="D26" i="275"/>
  <c r="C21" i="275"/>
  <c r="G4" i="275"/>
  <c r="C22" i="275"/>
  <c r="H22" i="275" s="1"/>
  <c r="C23" i="275"/>
  <c r="H23" i="275" s="1"/>
  <c r="C26" i="275"/>
  <c r="C27" i="275"/>
  <c r="H27" i="275" s="1"/>
  <c r="C28" i="275"/>
  <c r="H28" i="275" s="1"/>
  <c r="C29" i="275"/>
  <c r="H29" i="275" s="1"/>
  <c r="C30" i="275"/>
  <c r="C31" i="275"/>
  <c r="H31" i="275" s="1"/>
  <c r="C34" i="275"/>
  <c r="H34" i="275" s="1"/>
  <c r="C35" i="275"/>
  <c r="H35" i="275" s="1"/>
  <c r="C36" i="275"/>
  <c r="H36" i="275" s="1"/>
  <c r="C37" i="275"/>
  <c r="H37" i="275" s="1"/>
  <c r="C38" i="275"/>
  <c r="H38" i="275" s="1"/>
  <c r="C39" i="275"/>
  <c r="H39" i="275" s="1"/>
  <c r="C42" i="275"/>
  <c r="H42" i="275" s="1"/>
  <c r="C43" i="275"/>
  <c r="H43" i="275" s="1"/>
  <c r="C44" i="275"/>
  <c r="H44" i="275" s="1"/>
  <c r="H46" i="275" s="1"/>
  <c r="C46" i="275" s="1"/>
  <c r="C10" i="275"/>
  <c r="H10" i="275" s="1"/>
  <c r="C11" i="275"/>
  <c r="H11" i="275" s="1"/>
  <c r="C12" i="275"/>
  <c r="H12" i="275" s="1"/>
  <c r="C13" i="275"/>
  <c r="C14" i="275"/>
  <c r="H14" i="275" s="1"/>
  <c r="C15" i="275"/>
  <c r="H15" i="275" s="1"/>
  <c r="C16" i="275"/>
  <c r="H16" i="275" s="1"/>
  <c r="C17" i="275"/>
  <c r="C18" i="275"/>
  <c r="H18" i="275" s="1"/>
  <c r="D46" i="275"/>
  <c r="D24" i="275"/>
  <c r="D40" i="275"/>
  <c r="D19" i="275"/>
  <c r="E10" i="275" s="1"/>
  <c r="C45" i="275"/>
  <c r="C7" i="275"/>
  <c r="E4" i="275"/>
  <c r="D34" i="274"/>
  <c r="D40" i="274" s="1"/>
  <c r="D42" i="274"/>
  <c r="D46" i="274" s="1"/>
  <c r="C21" i="274"/>
  <c r="H21" i="274" s="1"/>
  <c r="G4" i="274"/>
  <c r="C22" i="274"/>
  <c r="H22" i="274" s="1"/>
  <c r="C23" i="274"/>
  <c r="H23" i="274" s="1"/>
  <c r="C26" i="274"/>
  <c r="H26" i="274" s="1"/>
  <c r="C27" i="274"/>
  <c r="C28" i="274"/>
  <c r="C29" i="274"/>
  <c r="H29" i="274" s="1"/>
  <c r="C30" i="274"/>
  <c r="H30" i="274" s="1"/>
  <c r="C31" i="274"/>
  <c r="H31" i="274" s="1"/>
  <c r="C34" i="274"/>
  <c r="H34" i="274" s="1"/>
  <c r="C35" i="274"/>
  <c r="H35" i="274" s="1"/>
  <c r="C36" i="274"/>
  <c r="H36" i="274" s="1"/>
  <c r="C37" i="274"/>
  <c r="H37" i="274" s="1"/>
  <c r="C38" i="274"/>
  <c r="H38" i="274" s="1"/>
  <c r="C39" i="274"/>
  <c r="C42" i="274"/>
  <c r="C43" i="274"/>
  <c r="H43" i="274" s="1"/>
  <c r="C44" i="274"/>
  <c r="H44" i="274" s="1"/>
  <c r="C10" i="274"/>
  <c r="H10" i="274" s="1"/>
  <c r="C11" i="274"/>
  <c r="H11" i="274" s="1"/>
  <c r="C12" i="274"/>
  <c r="H12" i="274" s="1"/>
  <c r="C13" i="274"/>
  <c r="C14" i="274"/>
  <c r="H14" i="274" s="1"/>
  <c r="C15" i="274"/>
  <c r="H15" i="274" s="1"/>
  <c r="C16" i="274"/>
  <c r="H16" i="274" s="1"/>
  <c r="C17" i="274"/>
  <c r="C18" i="274"/>
  <c r="H18" i="274" s="1"/>
  <c r="D24" i="274"/>
  <c r="D32" i="274"/>
  <c r="D19" i="274"/>
  <c r="E19" i="274" s="1"/>
  <c r="C45" i="274"/>
  <c r="C7" i="274"/>
  <c r="E4" i="274"/>
  <c r="D26" i="273"/>
  <c r="D32" i="273" s="1"/>
  <c r="C21" i="273"/>
  <c r="H21" i="273" s="1"/>
  <c r="G4" i="273"/>
  <c r="C22" i="273"/>
  <c r="H22" i="273" s="1"/>
  <c r="C23" i="273"/>
  <c r="H23" i="273" s="1"/>
  <c r="C26" i="273"/>
  <c r="C27" i="273"/>
  <c r="H27" i="273" s="1"/>
  <c r="C28" i="273"/>
  <c r="H28" i="273" s="1"/>
  <c r="C29" i="273"/>
  <c r="H29" i="273" s="1"/>
  <c r="C30" i="273"/>
  <c r="H30" i="273" s="1"/>
  <c r="C31" i="273"/>
  <c r="H31" i="273" s="1"/>
  <c r="C34" i="273"/>
  <c r="C35" i="273"/>
  <c r="H35" i="273" s="1"/>
  <c r="C36" i="273"/>
  <c r="C37" i="273"/>
  <c r="H37" i="273" s="1"/>
  <c r="C38" i="273"/>
  <c r="H38" i="273" s="1"/>
  <c r="C39" i="273"/>
  <c r="H39" i="273" s="1"/>
  <c r="C42" i="273"/>
  <c r="H42" i="273" s="1"/>
  <c r="C43" i="273"/>
  <c r="H43" i="273" s="1"/>
  <c r="C44" i="273"/>
  <c r="H44" i="273" s="1"/>
  <c r="C10" i="273"/>
  <c r="H10" i="273" s="1"/>
  <c r="C11" i="273"/>
  <c r="H11" i="273" s="1"/>
  <c r="C12" i="273"/>
  <c r="C13" i="273"/>
  <c r="H13" i="273" s="1"/>
  <c r="C14" i="273"/>
  <c r="H14" i="273" s="1"/>
  <c r="C15" i="273"/>
  <c r="H15" i="273" s="1"/>
  <c r="C16" i="273"/>
  <c r="H16" i="273" s="1"/>
  <c r="C17" i="273"/>
  <c r="H17" i="273" s="1"/>
  <c r="C18" i="273"/>
  <c r="H18" i="273" s="1"/>
  <c r="D46" i="273"/>
  <c r="D24" i="273"/>
  <c r="D40" i="273"/>
  <c r="D19" i="273"/>
  <c r="C45" i="273"/>
  <c r="C7" i="273"/>
  <c r="E4" i="273"/>
  <c r="C21" i="272"/>
  <c r="H21" i="272" s="1"/>
  <c r="G4" i="272"/>
  <c r="C22" i="272"/>
  <c r="H22" i="272" s="1"/>
  <c r="C23" i="272"/>
  <c r="C26" i="272"/>
  <c r="H26" i="272" s="1"/>
  <c r="C27" i="272"/>
  <c r="C28" i="272"/>
  <c r="H28" i="272" s="1"/>
  <c r="C29" i="272"/>
  <c r="H29" i="272" s="1"/>
  <c r="C30" i="272"/>
  <c r="H30" i="272" s="1"/>
  <c r="C31" i="272"/>
  <c r="H31" i="272" s="1"/>
  <c r="C34" i="272"/>
  <c r="C35" i="272"/>
  <c r="C36" i="272"/>
  <c r="H36" i="272" s="1"/>
  <c r="C37" i="272"/>
  <c r="C38" i="272"/>
  <c r="H38" i="272" s="1"/>
  <c r="C39" i="272"/>
  <c r="H39" i="272" s="1"/>
  <c r="C42" i="272"/>
  <c r="C43" i="272"/>
  <c r="H43" i="272" s="1"/>
  <c r="C44" i="272"/>
  <c r="C10" i="272"/>
  <c r="H10" i="272" s="1"/>
  <c r="C11" i="272"/>
  <c r="C12" i="272"/>
  <c r="H12" i="272" s="1"/>
  <c r="C13" i="272"/>
  <c r="C14" i="272"/>
  <c r="H14" i="272" s="1"/>
  <c r="C15" i="272"/>
  <c r="H15" i="272" s="1"/>
  <c r="C16" i="272"/>
  <c r="H16" i="272" s="1"/>
  <c r="C17" i="272"/>
  <c r="H17" i="272" s="1"/>
  <c r="C18" i="272"/>
  <c r="D46" i="272"/>
  <c r="D24" i="272"/>
  <c r="D32" i="272"/>
  <c r="D40" i="272"/>
  <c r="D19" i="272"/>
  <c r="C45" i="272"/>
  <c r="C7" i="272"/>
  <c r="E4" i="272"/>
  <c r="D34" i="271"/>
  <c r="D42" i="271"/>
  <c r="D46" i="271" s="1"/>
  <c r="C21" i="271"/>
  <c r="H21" i="271" s="1"/>
  <c r="G4" i="271"/>
  <c r="C22" i="271"/>
  <c r="C23" i="271"/>
  <c r="H23" i="271" s="1"/>
  <c r="C26" i="271"/>
  <c r="H26" i="271" s="1"/>
  <c r="C27" i="271"/>
  <c r="H27" i="271" s="1"/>
  <c r="C28" i="271"/>
  <c r="H28" i="271" s="1"/>
  <c r="C29" i="271"/>
  <c r="H29" i="271" s="1"/>
  <c r="C30" i="271"/>
  <c r="C31" i="271"/>
  <c r="H31" i="271" s="1"/>
  <c r="C34" i="271"/>
  <c r="H34" i="271" s="1"/>
  <c r="C35" i="271"/>
  <c r="C36" i="271"/>
  <c r="H36" i="271" s="1"/>
  <c r="C37" i="271"/>
  <c r="H37" i="271" s="1"/>
  <c r="C38" i="271"/>
  <c r="H38" i="271" s="1"/>
  <c r="C39" i="271"/>
  <c r="C42" i="271"/>
  <c r="C43" i="271"/>
  <c r="H43" i="271" s="1"/>
  <c r="C44" i="271"/>
  <c r="H44" i="271" s="1"/>
  <c r="C10" i="271"/>
  <c r="H10" i="271" s="1"/>
  <c r="C11" i="271"/>
  <c r="C12" i="271"/>
  <c r="H12" i="271" s="1"/>
  <c r="C13" i="271"/>
  <c r="C14" i="271"/>
  <c r="H14" i="271" s="1"/>
  <c r="C15" i="271"/>
  <c r="H15" i="271" s="1"/>
  <c r="C16" i="271"/>
  <c r="H16" i="271" s="1"/>
  <c r="C17" i="271"/>
  <c r="H17" i="271" s="1"/>
  <c r="C18" i="271"/>
  <c r="H18" i="271" s="1"/>
  <c r="D24" i="271"/>
  <c r="D32" i="271"/>
  <c r="D40" i="271"/>
  <c r="D19" i="271"/>
  <c r="E15" i="271" s="1"/>
  <c r="C45" i="271"/>
  <c r="C7" i="271"/>
  <c r="E4" i="271"/>
  <c r="D26" i="270"/>
  <c r="D32" i="270" s="1"/>
  <c r="C21" i="270"/>
  <c r="G4" i="270"/>
  <c r="C22" i="270"/>
  <c r="H22" i="270" s="1"/>
  <c r="C23" i="270"/>
  <c r="H23" i="270" s="1"/>
  <c r="C26" i="270"/>
  <c r="C27" i="270"/>
  <c r="H27" i="270" s="1"/>
  <c r="C28" i="270"/>
  <c r="H28" i="270" s="1"/>
  <c r="C29" i="270"/>
  <c r="H29" i="270" s="1"/>
  <c r="C30" i="270"/>
  <c r="C31" i="270"/>
  <c r="H31" i="270" s="1"/>
  <c r="C34" i="270"/>
  <c r="H34" i="270" s="1"/>
  <c r="C35" i="270"/>
  <c r="H35" i="270" s="1"/>
  <c r="C36" i="270"/>
  <c r="H36" i="270" s="1"/>
  <c r="C37" i="270"/>
  <c r="H37" i="270" s="1"/>
  <c r="C38" i="270"/>
  <c r="C39" i="270"/>
  <c r="H39" i="270" s="1"/>
  <c r="C42" i="270"/>
  <c r="H42" i="270" s="1"/>
  <c r="C43" i="270"/>
  <c r="C44" i="270"/>
  <c r="H44" i="270" s="1"/>
  <c r="C10" i="270"/>
  <c r="H10" i="270" s="1"/>
  <c r="C11" i="270"/>
  <c r="C12" i="270"/>
  <c r="H12" i="270" s="1"/>
  <c r="C13" i="270"/>
  <c r="C14" i="270"/>
  <c r="H14" i="270" s="1"/>
  <c r="C15" i="270"/>
  <c r="C16" i="270"/>
  <c r="H16" i="270" s="1"/>
  <c r="C17" i="270"/>
  <c r="C18" i="270"/>
  <c r="H18" i="270" s="1"/>
  <c r="D46" i="270"/>
  <c r="D24" i="270"/>
  <c r="D40" i="270"/>
  <c r="D19" i="270"/>
  <c r="C45" i="270"/>
  <c r="C7" i="270"/>
  <c r="E4" i="270"/>
  <c r="D34" i="268"/>
  <c r="D40" i="268" s="1"/>
  <c r="D42" i="268"/>
  <c r="D46" i="268" s="1"/>
  <c r="D34" i="267"/>
  <c r="D42" i="267"/>
  <c r="D46" i="267" s="1"/>
  <c r="D26" i="266"/>
  <c r="D32" i="266" s="1"/>
  <c r="D34" i="266"/>
  <c r="D40" i="266" s="1"/>
  <c r="D42" i="266"/>
  <c r="D46" i="266" s="1"/>
  <c r="D48" i="266" s="1"/>
  <c r="E24" i="266" s="1"/>
  <c r="D34" i="265"/>
  <c r="D40" i="265" s="1"/>
  <c r="D42" i="265"/>
  <c r="D43" i="269"/>
  <c r="D44" i="269"/>
  <c r="D45" i="269"/>
  <c r="D35" i="269"/>
  <c r="D36" i="269"/>
  <c r="D37" i="269"/>
  <c r="D38" i="269"/>
  <c r="D39" i="269"/>
  <c r="D28" i="269"/>
  <c r="D29" i="269"/>
  <c r="D30" i="269"/>
  <c r="D31" i="269"/>
  <c r="D22" i="269"/>
  <c r="D23" i="269"/>
  <c r="D21" i="269"/>
  <c r="D11" i="269"/>
  <c r="D12" i="269"/>
  <c r="D13" i="269"/>
  <c r="D14" i="269"/>
  <c r="D16" i="269"/>
  <c r="D17" i="269"/>
  <c r="D18" i="269"/>
  <c r="D10" i="269"/>
  <c r="C21" i="269"/>
  <c r="C22" i="269"/>
  <c r="C23" i="269"/>
  <c r="C26" i="269"/>
  <c r="C27" i="269"/>
  <c r="C28" i="269"/>
  <c r="C29" i="269"/>
  <c r="H29" i="269" s="1"/>
  <c r="C30" i="269"/>
  <c r="H30" i="269" s="1"/>
  <c r="C31" i="269"/>
  <c r="H31" i="269" s="1"/>
  <c r="C34" i="269"/>
  <c r="C35" i="269"/>
  <c r="C36" i="269"/>
  <c r="C37" i="269"/>
  <c r="C38" i="269"/>
  <c r="C39" i="269"/>
  <c r="C42" i="269"/>
  <c r="C43" i="269"/>
  <c r="C44" i="269"/>
  <c r="C10" i="269"/>
  <c r="C11" i="269"/>
  <c r="C12" i="269"/>
  <c r="C13" i="269"/>
  <c r="C14" i="269"/>
  <c r="C15" i="269"/>
  <c r="C16" i="269"/>
  <c r="H16" i="269" s="1"/>
  <c r="C17" i="269"/>
  <c r="C18" i="269"/>
  <c r="C45" i="269"/>
  <c r="C7" i="269"/>
  <c r="C21" i="268"/>
  <c r="H21" i="268" s="1"/>
  <c r="G4" i="268"/>
  <c r="C22" i="268"/>
  <c r="H22" i="268" s="1"/>
  <c r="C23" i="268"/>
  <c r="C26" i="268"/>
  <c r="H26" i="268" s="1"/>
  <c r="C27" i="268"/>
  <c r="H27" i="268" s="1"/>
  <c r="C28" i="268"/>
  <c r="H28" i="268" s="1"/>
  <c r="C29" i="268"/>
  <c r="H29" i="268" s="1"/>
  <c r="C30" i="268"/>
  <c r="H30" i="268" s="1"/>
  <c r="C31" i="268"/>
  <c r="H31" i="268" s="1"/>
  <c r="C34" i="268"/>
  <c r="C35" i="268"/>
  <c r="H35" i="268" s="1"/>
  <c r="C36" i="268"/>
  <c r="C37" i="268"/>
  <c r="H37" i="268" s="1"/>
  <c r="C38" i="268"/>
  <c r="C39" i="268"/>
  <c r="H39" i="268" s="1"/>
  <c r="C42" i="268"/>
  <c r="C43" i="268"/>
  <c r="H43" i="268" s="1"/>
  <c r="C44" i="268"/>
  <c r="H44" i="268" s="1"/>
  <c r="C10" i="268"/>
  <c r="C11" i="268"/>
  <c r="H11" i="268" s="1"/>
  <c r="C12" i="268"/>
  <c r="H12" i="268" s="1"/>
  <c r="C13" i="268"/>
  <c r="H13" i="268" s="1"/>
  <c r="C14" i="268"/>
  <c r="H14" i="268" s="1"/>
  <c r="C15" i="268"/>
  <c r="H15" i="268" s="1"/>
  <c r="C16" i="268"/>
  <c r="H16" i="268" s="1"/>
  <c r="C17" i="268"/>
  <c r="H17" i="268" s="1"/>
  <c r="C18" i="268"/>
  <c r="H18" i="268" s="1"/>
  <c r="D24" i="268"/>
  <c r="D32" i="268"/>
  <c r="D19" i="268"/>
  <c r="E18" i="268" s="1"/>
  <c r="C45" i="268"/>
  <c r="C7" i="268"/>
  <c r="E4" i="268"/>
  <c r="G2" i="267"/>
  <c r="C21" i="267"/>
  <c r="C22" i="267"/>
  <c r="H22" i="267" s="1"/>
  <c r="C23" i="267"/>
  <c r="H23" i="267" s="1"/>
  <c r="C26" i="267"/>
  <c r="H26" i="267" s="1"/>
  <c r="C27" i="267"/>
  <c r="H27" i="267" s="1"/>
  <c r="C28" i="267"/>
  <c r="H28" i="267" s="1"/>
  <c r="C29" i="267"/>
  <c r="C30" i="267"/>
  <c r="H30" i="267" s="1"/>
  <c r="C31" i="267"/>
  <c r="H31" i="267" s="1"/>
  <c r="C34" i="267"/>
  <c r="C35" i="267"/>
  <c r="H35" i="267" s="1"/>
  <c r="C36" i="267"/>
  <c r="H36" i="267" s="1"/>
  <c r="C37" i="267"/>
  <c r="C38" i="267"/>
  <c r="H38" i="267" s="1"/>
  <c r="C39" i="267"/>
  <c r="H39" i="267" s="1"/>
  <c r="C42" i="267"/>
  <c r="C43" i="267"/>
  <c r="H43" i="267" s="1"/>
  <c r="C44" i="267"/>
  <c r="H44" i="267" s="1"/>
  <c r="C10" i="267"/>
  <c r="H10" i="267" s="1"/>
  <c r="C11" i="267"/>
  <c r="H11" i="267" s="1"/>
  <c r="C12" i="267"/>
  <c r="C13" i="267"/>
  <c r="C14" i="267"/>
  <c r="H14" i="267" s="1"/>
  <c r="C15" i="267"/>
  <c r="H15" i="267" s="1"/>
  <c r="C16" i="267"/>
  <c r="H16" i="267" s="1"/>
  <c r="C17" i="267"/>
  <c r="H17" i="267" s="1"/>
  <c r="C18" i="267"/>
  <c r="H18" i="267" s="1"/>
  <c r="D24" i="267"/>
  <c r="D32" i="267"/>
  <c r="D19" i="267"/>
  <c r="C45" i="267"/>
  <c r="C7" i="267"/>
  <c r="C21" i="266"/>
  <c r="H21" i="266" s="1"/>
  <c r="G4" i="266"/>
  <c r="C22" i="266"/>
  <c r="H22" i="266" s="1"/>
  <c r="C23" i="266"/>
  <c r="H23" i="266" s="1"/>
  <c r="C26" i="266"/>
  <c r="C27" i="266"/>
  <c r="C28" i="266"/>
  <c r="C29" i="266"/>
  <c r="H29" i="266" s="1"/>
  <c r="C30" i="266"/>
  <c r="H30" i="266" s="1"/>
  <c r="C31" i="266"/>
  <c r="H31" i="266" s="1"/>
  <c r="C34" i="266"/>
  <c r="C35" i="266"/>
  <c r="H35" i="266" s="1"/>
  <c r="C36" i="266"/>
  <c r="C37" i="266"/>
  <c r="H37" i="266" s="1"/>
  <c r="C38" i="266"/>
  <c r="H38" i="266" s="1"/>
  <c r="C39" i="266"/>
  <c r="C42" i="266"/>
  <c r="C43" i="266"/>
  <c r="H43" i="266" s="1"/>
  <c r="C44" i="266"/>
  <c r="H44" i="266" s="1"/>
  <c r="C10" i="266"/>
  <c r="H10" i="266" s="1"/>
  <c r="C11" i="266"/>
  <c r="H11" i="266" s="1"/>
  <c r="C12" i="266"/>
  <c r="H12" i="266" s="1"/>
  <c r="C13" i="266"/>
  <c r="H13" i="266" s="1"/>
  <c r="C14" i="266"/>
  <c r="H14" i="266" s="1"/>
  <c r="C15" i="266"/>
  <c r="H15" i="266" s="1"/>
  <c r="C16" i="266"/>
  <c r="H16" i="266" s="1"/>
  <c r="C17" i="266"/>
  <c r="H17" i="266" s="1"/>
  <c r="C18" i="266"/>
  <c r="H18" i="266" s="1"/>
  <c r="D24" i="266"/>
  <c r="D19" i="266"/>
  <c r="C45" i="266"/>
  <c r="C7" i="266"/>
  <c r="E4" i="266"/>
  <c r="C21" i="265"/>
  <c r="H21" i="265" s="1"/>
  <c r="G4" i="265"/>
  <c r="C22" i="265"/>
  <c r="C23" i="265"/>
  <c r="H23" i="265" s="1"/>
  <c r="C26" i="265"/>
  <c r="H26" i="265" s="1"/>
  <c r="C27" i="265"/>
  <c r="H27" i="265" s="1"/>
  <c r="C28" i="265"/>
  <c r="H28" i="265" s="1"/>
  <c r="C29" i="265"/>
  <c r="H29" i="265" s="1"/>
  <c r="C30" i="265"/>
  <c r="H30" i="265" s="1"/>
  <c r="C31" i="265"/>
  <c r="H31" i="265" s="1"/>
  <c r="C34" i="265"/>
  <c r="C35" i="265"/>
  <c r="H35" i="265" s="1"/>
  <c r="C36" i="265"/>
  <c r="H36" i="265" s="1"/>
  <c r="C37" i="265"/>
  <c r="H37" i="265" s="1"/>
  <c r="C38" i="265"/>
  <c r="H38" i="265" s="1"/>
  <c r="C39" i="265"/>
  <c r="H39" i="265" s="1"/>
  <c r="C42" i="265"/>
  <c r="C43" i="265"/>
  <c r="H43" i="265" s="1"/>
  <c r="C44" i="265"/>
  <c r="H44" i="265" s="1"/>
  <c r="C10" i="265"/>
  <c r="H10" i="265" s="1"/>
  <c r="C11" i="265"/>
  <c r="C12" i="265"/>
  <c r="H12" i="265" s="1"/>
  <c r="C13" i="265"/>
  <c r="H13" i="265" s="1"/>
  <c r="C14" i="265"/>
  <c r="H14" i="265" s="1"/>
  <c r="C15" i="265"/>
  <c r="H15" i="265" s="1"/>
  <c r="C16" i="265"/>
  <c r="H16" i="265" s="1"/>
  <c r="C17" i="265"/>
  <c r="H17" i="265" s="1"/>
  <c r="C18" i="265"/>
  <c r="H18" i="265" s="1"/>
  <c r="D24" i="265"/>
  <c r="D32" i="265"/>
  <c r="D19" i="265"/>
  <c r="C45" i="265"/>
  <c r="C7" i="265"/>
  <c r="E4" i="265"/>
  <c r="C21" i="264"/>
  <c r="H21" i="264" s="1"/>
  <c r="G4" i="264"/>
  <c r="C22" i="264"/>
  <c r="H22" i="264" s="1"/>
  <c r="C23" i="264"/>
  <c r="H23" i="264" s="1"/>
  <c r="C26" i="264"/>
  <c r="C27" i="264"/>
  <c r="H27" i="264" s="1"/>
  <c r="C28" i="264"/>
  <c r="H28" i="264" s="1"/>
  <c r="C29" i="264"/>
  <c r="H29" i="264" s="1"/>
  <c r="C30" i="264"/>
  <c r="H30" i="264" s="1"/>
  <c r="C31" i="264"/>
  <c r="H31" i="264" s="1"/>
  <c r="C34" i="264"/>
  <c r="H34" i="264" s="1"/>
  <c r="C35" i="264"/>
  <c r="H35" i="264" s="1"/>
  <c r="C36" i="264"/>
  <c r="C37" i="264"/>
  <c r="H37" i="264" s="1"/>
  <c r="C38" i="264"/>
  <c r="H38" i="264" s="1"/>
  <c r="C39" i="264"/>
  <c r="H39" i="264" s="1"/>
  <c r="C42" i="264"/>
  <c r="H42" i="264" s="1"/>
  <c r="C43" i="264"/>
  <c r="C44" i="264"/>
  <c r="H44" i="264" s="1"/>
  <c r="C10" i="264"/>
  <c r="H10" i="264" s="1"/>
  <c r="C11" i="264"/>
  <c r="H11" i="264" s="1"/>
  <c r="C12" i="264"/>
  <c r="H12" i="264" s="1"/>
  <c r="C13" i="264"/>
  <c r="H13" i="264" s="1"/>
  <c r="C14" i="264"/>
  <c r="H14" i="264" s="1"/>
  <c r="C15" i="264"/>
  <c r="C16" i="264"/>
  <c r="H16" i="264" s="1"/>
  <c r="C17" i="264"/>
  <c r="H17" i="264" s="1"/>
  <c r="C18" i="264"/>
  <c r="H18" i="264" s="1"/>
  <c r="D46" i="264"/>
  <c r="D24" i="264"/>
  <c r="D32" i="264"/>
  <c r="D40" i="264"/>
  <c r="D19" i="264"/>
  <c r="C45" i="264"/>
  <c r="C7" i="264"/>
  <c r="E4" i="264"/>
  <c r="D26" i="263"/>
  <c r="D32" i="263" s="1"/>
  <c r="C21" i="263"/>
  <c r="H21" i="263" s="1"/>
  <c r="G4" i="263"/>
  <c r="C22" i="263"/>
  <c r="H22" i="263" s="1"/>
  <c r="C23" i="263"/>
  <c r="H23" i="263" s="1"/>
  <c r="C26" i="263"/>
  <c r="C27" i="263"/>
  <c r="H27" i="263" s="1"/>
  <c r="C28" i="263"/>
  <c r="H28" i="263" s="1"/>
  <c r="C29" i="263"/>
  <c r="H29" i="263" s="1"/>
  <c r="C30" i="263"/>
  <c r="C31" i="263"/>
  <c r="H31" i="263" s="1"/>
  <c r="C34" i="263"/>
  <c r="C35" i="263"/>
  <c r="H35" i="263" s="1"/>
  <c r="C36" i="263"/>
  <c r="C37" i="263"/>
  <c r="H37" i="263" s="1"/>
  <c r="C38" i="263"/>
  <c r="H38" i="263" s="1"/>
  <c r="C39" i="263"/>
  <c r="H39" i="263" s="1"/>
  <c r="C42" i="263"/>
  <c r="H42" i="263" s="1"/>
  <c r="C43" i="263"/>
  <c r="H43" i="263" s="1"/>
  <c r="C44" i="263"/>
  <c r="H44" i="263" s="1"/>
  <c r="C10" i="263"/>
  <c r="H10" i="263" s="1"/>
  <c r="C11" i="263"/>
  <c r="H11" i="263" s="1"/>
  <c r="C12" i="263"/>
  <c r="H12" i="263" s="1"/>
  <c r="C13" i="263"/>
  <c r="C14" i="263"/>
  <c r="H14" i="263" s="1"/>
  <c r="C15" i="263"/>
  <c r="H15" i="263" s="1"/>
  <c r="C16" i="263"/>
  <c r="H16" i="263" s="1"/>
  <c r="C17" i="263"/>
  <c r="H17" i="263" s="1"/>
  <c r="C18" i="263"/>
  <c r="H18" i="263" s="1"/>
  <c r="D46" i="263"/>
  <c r="D24" i="263"/>
  <c r="D40" i="263"/>
  <c r="D19" i="263"/>
  <c r="C45" i="263"/>
  <c r="C7" i="263"/>
  <c r="E4" i="263"/>
  <c r="C21" i="262"/>
  <c r="H21" i="262" s="1"/>
  <c r="G4" i="262"/>
  <c r="C22" i="262"/>
  <c r="H22" i="262" s="1"/>
  <c r="C23" i="262"/>
  <c r="H23" i="262" s="1"/>
  <c r="C26" i="262"/>
  <c r="H26" i="262" s="1"/>
  <c r="C27" i="262"/>
  <c r="H27" i="262" s="1"/>
  <c r="C28" i="262"/>
  <c r="H28" i="262" s="1"/>
  <c r="C29" i="262"/>
  <c r="H29" i="262" s="1"/>
  <c r="C30" i="262"/>
  <c r="H30" i="262" s="1"/>
  <c r="C31" i="262"/>
  <c r="C34" i="262"/>
  <c r="H34" i="262" s="1"/>
  <c r="C35" i="262"/>
  <c r="C36" i="262"/>
  <c r="H36" i="262" s="1"/>
  <c r="C37" i="262"/>
  <c r="C38" i="262"/>
  <c r="H38" i="262" s="1"/>
  <c r="C39" i="262"/>
  <c r="H39" i="262" s="1"/>
  <c r="C42" i="262"/>
  <c r="C43" i="262"/>
  <c r="H43" i="262" s="1"/>
  <c r="C44" i="262"/>
  <c r="H44" i="262" s="1"/>
  <c r="C10" i="262"/>
  <c r="H10" i="262" s="1"/>
  <c r="C11" i="262"/>
  <c r="H11" i="262" s="1"/>
  <c r="C12" i="262"/>
  <c r="H12" i="262" s="1"/>
  <c r="C13" i="262"/>
  <c r="H13" i="262" s="1"/>
  <c r="C14" i="262"/>
  <c r="C15" i="262"/>
  <c r="H15" i="262" s="1"/>
  <c r="C16" i="262"/>
  <c r="H16" i="262" s="1"/>
  <c r="C17" i="262"/>
  <c r="H17" i="262" s="1"/>
  <c r="C18" i="262"/>
  <c r="H18" i="262" s="1"/>
  <c r="D46" i="262"/>
  <c r="D24" i="262"/>
  <c r="D32" i="262"/>
  <c r="D40" i="262"/>
  <c r="D19" i="262"/>
  <c r="C45" i="262"/>
  <c r="C7" i="262"/>
  <c r="E4" i="262"/>
  <c r="D34" i="261"/>
  <c r="D40" i="261" s="1"/>
  <c r="D42" i="261"/>
  <c r="D46" i="261" s="1"/>
  <c r="C21" i="261"/>
  <c r="H21" i="261" s="1"/>
  <c r="G4" i="261"/>
  <c r="C22" i="261"/>
  <c r="H22" i="261" s="1"/>
  <c r="C23" i="261"/>
  <c r="H23" i="261" s="1"/>
  <c r="C26" i="261"/>
  <c r="H26" i="261" s="1"/>
  <c r="C27" i="261"/>
  <c r="H27" i="261" s="1"/>
  <c r="C28" i="261"/>
  <c r="H28" i="261" s="1"/>
  <c r="C29" i="261"/>
  <c r="H29" i="261"/>
  <c r="C30" i="261"/>
  <c r="H30" i="261" s="1"/>
  <c r="C31" i="261"/>
  <c r="C34" i="261"/>
  <c r="C35" i="261"/>
  <c r="C36" i="261"/>
  <c r="H36" i="261" s="1"/>
  <c r="C37" i="261"/>
  <c r="C38" i="261"/>
  <c r="H38" i="261" s="1"/>
  <c r="C39" i="261"/>
  <c r="H39" i="261" s="1"/>
  <c r="C42" i="261"/>
  <c r="C43" i="261"/>
  <c r="H43" i="261" s="1"/>
  <c r="C44" i="261"/>
  <c r="H44" i="261" s="1"/>
  <c r="C10" i="261"/>
  <c r="H10" i="261" s="1"/>
  <c r="C11" i="261"/>
  <c r="H11" i="261" s="1"/>
  <c r="C12" i="261"/>
  <c r="H12" i="261" s="1"/>
  <c r="C13" i="261"/>
  <c r="H13" i="261" s="1"/>
  <c r="C14" i="261"/>
  <c r="C15" i="261"/>
  <c r="H15" i="261" s="1"/>
  <c r="C16" i="261"/>
  <c r="H16" i="261" s="1"/>
  <c r="C17" i="261"/>
  <c r="H17" i="261" s="1"/>
  <c r="C18" i="261"/>
  <c r="H18" i="261" s="1"/>
  <c r="D24" i="261"/>
  <c r="D32" i="261"/>
  <c r="D19" i="261"/>
  <c r="E11" i="261" s="1"/>
  <c r="C45" i="261"/>
  <c r="C7" i="261"/>
  <c r="E4" i="261"/>
  <c r="D34" i="260"/>
  <c r="D40" i="260" s="1"/>
  <c r="D42" i="260"/>
  <c r="D46" i="260" s="1"/>
  <c r="C21" i="260"/>
  <c r="H21" i="260" s="1"/>
  <c r="G4" i="260"/>
  <c r="C22" i="260"/>
  <c r="H22" i="260" s="1"/>
  <c r="C23" i="260"/>
  <c r="H23" i="260" s="1"/>
  <c r="C26" i="260"/>
  <c r="H26" i="260" s="1"/>
  <c r="C27" i="260"/>
  <c r="H27" i="260" s="1"/>
  <c r="C28" i="260"/>
  <c r="H28" i="260" s="1"/>
  <c r="C29" i="260"/>
  <c r="H29" i="260" s="1"/>
  <c r="C30" i="260"/>
  <c r="H30" i="260" s="1"/>
  <c r="C31" i="260"/>
  <c r="C34" i="260"/>
  <c r="C35" i="260"/>
  <c r="H35" i="260" s="1"/>
  <c r="C36" i="260"/>
  <c r="H36" i="260" s="1"/>
  <c r="C37" i="260"/>
  <c r="C38" i="260"/>
  <c r="H38" i="260" s="1"/>
  <c r="C39" i="260"/>
  <c r="H39" i="260" s="1"/>
  <c r="C42" i="260"/>
  <c r="C43" i="260"/>
  <c r="C44" i="260"/>
  <c r="H44" i="260" s="1"/>
  <c r="C10" i="260"/>
  <c r="H10" i="260" s="1"/>
  <c r="C11" i="260"/>
  <c r="H11" i="260" s="1"/>
  <c r="C12" i="260"/>
  <c r="H12" i="260" s="1"/>
  <c r="C13" i="260"/>
  <c r="H13" i="260" s="1"/>
  <c r="C14" i="260"/>
  <c r="H14" i="260" s="1"/>
  <c r="C15" i="260"/>
  <c r="H15" i="260" s="1"/>
  <c r="C16" i="260"/>
  <c r="H16" i="260" s="1"/>
  <c r="C17" i="260"/>
  <c r="H17" i="260" s="1"/>
  <c r="C18" i="260"/>
  <c r="H18" i="260" s="1"/>
  <c r="D24" i="260"/>
  <c r="D32" i="260"/>
  <c r="D19" i="260"/>
  <c r="C45" i="260"/>
  <c r="C7" i="260"/>
  <c r="E4" i="260"/>
  <c r="D34" i="259"/>
  <c r="D40" i="259" s="1"/>
  <c r="D26" i="259"/>
  <c r="D42" i="259"/>
  <c r="C21" i="259"/>
  <c r="H21" i="259" s="1"/>
  <c r="G4" i="259"/>
  <c r="C22" i="259"/>
  <c r="H22" i="259" s="1"/>
  <c r="C23" i="259"/>
  <c r="C26" i="259"/>
  <c r="C27" i="259"/>
  <c r="C28" i="259"/>
  <c r="C29" i="259"/>
  <c r="H29" i="259" s="1"/>
  <c r="C30" i="259"/>
  <c r="H30" i="259" s="1"/>
  <c r="C31" i="259"/>
  <c r="H31" i="259" s="1"/>
  <c r="C34" i="259"/>
  <c r="C35" i="259"/>
  <c r="H35" i="259" s="1"/>
  <c r="C36" i="259"/>
  <c r="H36" i="259" s="1"/>
  <c r="C37" i="259"/>
  <c r="H37" i="259" s="1"/>
  <c r="C38" i="259"/>
  <c r="H38" i="259" s="1"/>
  <c r="C39" i="259"/>
  <c r="H39" i="259" s="1"/>
  <c r="C42" i="259"/>
  <c r="C43" i="259"/>
  <c r="H43" i="259" s="1"/>
  <c r="C44" i="259"/>
  <c r="H44" i="259" s="1"/>
  <c r="C10" i="259"/>
  <c r="C11" i="259"/>
  <c r="C12" i="259"/>
  <c r="H12" i="259" s="1"/>
  <c r="C13" i="259"/>
  <c r="H13" i="259" s="1"/>
  <c r="C14" i="259"/>
  <c r="H14" i="259" s="1"/>
  <c r="C15" i="259"/>
  <c r="H15" i="259" s="1"/>
  <c r="C16" i="259"/>
  <c r="H16" i="259" s="1"/>
  <c r="C17" i="259"/>
  <c r="H17" i="259" s="1"/>
  <c r="C18" i="259"/>
  <c r="D24" i="259"/>
  <c r="D19" i="259"/>
  <c r="E14" i="259" s="1"/>
  <c r="C45" i="259"/>
  <c r="C7" i="259"/>
  <c r="E4" i="259"/>
  <c r="D26" i="258"/>
  <c r="D32" i="258" s="1"/>
  <c r="C21" i="258"/>
  <c r="H21" i="258" s="1"/>
  <c r="G4" i="258"/>
  <c r="C22" i="258"/>
  <c r="H22" i="258" s="1"/>
  <c r="C23" i="258"/>
  <c r="H23" i="258" s="1"/>
  <c r="C26" i="258"/>
  <c r="C27" i="258"/>
  <c r="H27" i="258" s="1"/>
  <c r="C28" i="258"/>
  <c r="H28" i="258" s="1"/>
  <c r="C29" i="258"/>
  <c r="H29" i="258" s="1"/>
  <c r="C30" i="258"/>
  <c r="C31" i="258"/>
  <c r="H31" i="258" s="1"/>
  <c r="C34" i="258"/>
  <c r="H34" i="258" s="1"/>
  <c r="C35" i="258"/>
  <c r="H35" i="258" s="1"/>
  <c r="C36" i="258"/>
  <c r="H36" i="258" s="1"/>
  <c r="C37" i="258"/>
  <c r="C38" i="258"/>
  <c r="C39" i="258"/>
  <c r="H39" i="258" s="1"/>
  <c r="C42" i="258"/>
  <c r="C43" i="258"/>
  <c r="H43" i="258" s="1"/>
  <c r="C44" i="258"/>
  <c r="H44" i="258" s="1"/>
  <c r="C10" i="258"/>
  <c r="H10" i="258" s="1"/>
  <c r="C11" i="258"/>
  <c r="H11" i="258" s="1"/>
  <c r="C12" i="258"/>
  <c r="H12" i="258" s="1"/>
  <c r="C13" i="258"/>
  <c r="H13" i="258" s="1"/>
  <c r="C14" i="258"/>
  <c r="H14" i="258" s="1"/>
  <c r="C15" i="258"/>
  <c r="H15" i="258" s="1"/>
  <c r="C16" i="258"/>
  <c r="C17" i="258"/>
  <c r="H17" i="258" s="1"/>
  <c r="C18" i="258"/>
  <c r="H18" i="258" s="1"/>
  <c r="D46" i="258"/>
  <c r="D24" i="258"/>
  <c r="D40" i="258"/>
  <c r="D19" i="258"/>
  <c r="E19" i="258" s="1"/>
  <c r="C45" i="258"/>
  <c r="C7" i="258"/>
  <c r="E4" i="258"/>
  <c r="D26" i="257"/>
  <c r="D34" i="257"/>
  <c r="D42" i="257"/>
  <c r="D46" i="257" s="1"/>
  <c r="C21" i="257"/>
  <c r="H21" i="257" s="1"/>
  <c r="G4" i="257"/>
  <c r="C22" i="257"/>
  <c r="H22" i="257" s="1"/>
  <c r="C23" i="257"/>
  <c r="H23" i="257" s="1"/>
  <c r="C26" i="257"/>
  <c r="C27" i="257"/>
  <c r="C28" i="257"/>
  <c r="C29" i="257"/>
  <c r="H29" i="257" s="1"/>
  <c r="C30" i="257"/>
  <c r="H30" i="257" s="1"/>
  <c r="C31" i="257"/>
  <c r="H31" i="257" s="1"/>
  <c r="C34" i="257"/>
  <c r="C35" i="257"/>
  <c r="H35" i="257" s="1"/>
  <c r="C36" i="257"/>
  <c r="H36" i="257" s="1"/>
  <c r="C37" i="257"/>
  <c r="H37" i="257" s="1"/>
  <c r="C38" i="257"/>
  <c r="H38" i="257" s="1"/>
  <c r="C39" i="257"/>
  <c r="H39" i="257" s="1"/>
  <c r="C42" i="257"/>
  <c r="C43" i="257"/>
  <c r="H43" i="257" s="1"/>
  <c r="C44" i="257"/>
  <c r="H44" i="257" s="1"/>
  <c r="C10" i="257"/>
  <c r="C11" i="257"/>
  <c r="H11" i="257" s="1"/>
  <c r="C12" i="257"/>
  <c r="C13" i="257"/>
  <c r="H13" i="257" s="1"/>
  <c r="C14" i="257"/>
  <c r="H14" i="257" s="1"/>
  <c r="C15" i="257"/>
  <c r="H15" i="257" s="1"/>
  <c r="C16" i="257"/>
  <c r="H16" i="257" s="1"/>
  <c r="C17" i="257"/>
  <c r="H17" i="257" s="1"/>
  <c r="C18" i="257"/>
  <c r="D24" i="257"/>
  <c r="D19" i="257"/>
  <c r="E16" i="257" s="1"/>
  <c r="C45" i="257"/>
  <c r="C7" i="257"/>
  <c r="E4" i="257"/>
  <c r="D42" i="256"/>
  <c r="D26" i="256"/>
  <c r="D32" i="256" s="1"/>
  <c r="D15" i="256"/>
  <c r="D19" i="256" s="1"/>
  <c r="E15" i="256" s="1"/>
  <c r="C21" i="256"/>
  <c r="H21" i="256" s="1"/>
  <c r="G4" i="256"/>
  <c r="C22" i="256"/>
  <c r="C23" i="256"/>
  <c r="H23" i="256" s="1"/>
  <c r="C26" i="256"/>
  <c r="C27" i="256"/>
  <c r="H27" i="256" s="1"/>
  <c r="C28" i="256"/>
  <c r="C29" i="256"/>
  <c r="H29" i="256" s="1"/>
  <c r="C30" i="256"/>
  <c r="H30" i="256" s="1"/>
  <c r="C31" i="256"/>
  <c r="H31" i="256" s="1"/>
  <c r="C34" i="256"/>
  <c r="H34" i="256" s="1"/>
  <c r="C35" i="256"/>
  <c r="H35" i="256" s="1"/>
  <c r="C36" i="256"/>
  <c r="H36" i="256" s="1"/>
  <c r="C37" i="256"/>
  <c r="H37" i="256" s="1"/>
  <c r="C38" i="256"/>
  <c r="H38" i="256" s="1"/>
  <c r="C39" i="256"/>
  <c r="H39" i="256" s="1"/>
  <c r="C42" i="256"/>
  <c r="C43" i="256"/>
  <c r="H43" i="256" s="1"/>
  <c r="C44" i="256"/>
  <c r="H44" i="256" s="1"/>
  <c r="C10" i="256"/>
  <c r="H10" i="256" s="1"/>
  <c r="C11" i="256"/>
  <c r="H11" i="256" s="1"/>
  <c r="C12" i="256"/>
  <c r="H12" i="256" s="1"/>
  <c r="C13" i="256"/>
  <c r="H13" i="256" s="1"/>
  <c r="C14" i="256"/>
  <c r="H14" i="256" s="1"/>
  <c r="C15" i="256"/>
  <c r="C16" i="256"/>
  <c r="H16" i="256" s="1"/>
  <c r="C17" i="256"/>
  <c r="H17" i="256" s="1"/>
  <c r="C18" i="256"/>
  <c r="H18" i="256" s="1"/>
  <c r="D24" i="256"/>
  <c r="D40" i="256"/>
  <c r="C45" i="256"/>
  <c r="C7" i="256"/>
  <c r="E4" i="256"/>
  <c r="D26" i="255"/>
  <c r="D32" i="255" s="1"/>
  <c r="C21" i="255"/>
  <c r="H21" i="255" s="1"/>
  <c r="G4" i="255"/>
  <c r="C22" i="255"/>
  <c r="H22" i="255" s="1"/>
  <c r="C23" i="255"/>
  <c r="H23" i="255" s="1"/>
  <c r="C26" i="255"/>
  <c r="C27" i="255"/>
  <c r="H27" i="255" s="1"/>
  <c r="C28" i="255"/>
  <c r="H28" i="255" s="1"/>
  <c r="C29" i="255"/>
  <c r="H29" i="255" s="1"/>
  <c r="C30" i="255"/>
  <c r="H30" i="255" s="1"/>
  <c r="C31" i="255"/>
  <c r="H31" i="255" s="1"/>
  <c r="C34" i="255"/>
  <c r="H34" i="255" s="1"/>
  <c r="C35" i="255"/>
  <c r="H35" i="255" s="1"/>
  <c r="C36" i="255"/>
  <c r="C37" i="255"/>
  <c r="H37" i="255" s="1"/>
  <c r="C38" i="255"/>
  <c r="H38" i="255" s="1"/>
  <c r="C39" i="255"/>
  <c r="C42" i="255"/>
  <c r="H42" i="255" s="1"/>
  <c r="C43" i="255"/>
  <c r="C44" i="255"/>
  <c r="H44" i="255" s="1"/>
  <c r="C10" i="255"/>
  <c r="H10" i="255" s="1"/>
  <c r="C11" i="255"/>
  <c r="H11" i="255" s="1"/>
  <c r="C12" i="255"/>
  <c r="H12" i="255" s="1"/>
  <c r="C13" i="255"/>
  <c r="H13" i="255" s="1"/>
  <c r="C14" i="255"/>
  <c r="H14" i="255" s="1"/>
  <c r="C15" i="255"/>
  <c r="C16" i="255"/>
  <c r="H16" i="255" s="1"/>
  <c r="C17" i="255"/>
  <c r="C18" i="255"/>
  <c r="H18" i="255" s="1"/>
  <c r="D46" i="255"/>
  <c r="D24" i="255"/>
  <c r="D40" i="255"/>
  <c r="D19" i="255"/>
  <c r="C45" i="255"/>
  <c r="C7" i="255"/>
  <c r="E4" i="255"/>
  <c r="C21" i="254"/>
  <c r="G4" i="254"/>
  <c r="C22" i="254"/>
  <c r="H22" i="254" s="1"/>
  <c r="C23" i="254"/>
  <c r="H23" i="254" s="1"/>
  <c r="C26" i="254"/>
  <c r="H26" i="254" s="1"/>
  <c r="C27" i="254"/>
  <c r="C28" i="254"/>
  <c r="H28" i="254" s="1"/>
  <c r="C29" i="254"/>
  <c r="H29" i="254" s="1"/>
  <c r="C30" i="254"/>
  <c r="H30" i="254" s="1"/>
  <c r="C31" i="254"/>
  <c r="H31" i="254" s="1"/>
  <c r="C34" i="254"/>
  <c r="H34" i="254" s="1"/>
  <c r="C35" i="254"/>
  <c r="H35" i="254" s="1"/>
  <c r="C36" i="254"/>
  <c r="H36" i="254" s="1"/>
  <c r="C37" i="254"/>
  <c r="C38" i="254"/>
  <c r="H38" i="254" s="1"/>
  <c r="C39" i="254"/>
  <c r="H39" i="254" s="1"/>
  <c r="C42" i="254"/>
  <c r="H42" i="254" s="1"/>
  <c r="C43" i="254"/>
  <c r="H43" i="254" s="1"/>
  <c r="C44" i="254"/>
  <c r="C10" i="254"/>
  <c r="C11" i="254"/>
  <c r="H11" i="254" s="1"/>
  <c r="C12" i="254"/>
  <c r="H12" i="254" s="1"/>
  <c r="C13" i="254"/>
  <c r="H13" i="254" s="1"/>
  <c r="C14" i="254"/>
  <c r="H14" i="254" s="1"/>
  <c r="C15" i="254"/>
  <c r="C16" i="254"/>
  <c r="C17" i="254"/>
  <c r="H17" i="254" s="1"/>
  <c r="C18" i="254"/>
  <c r="D46" i="254"/>
  <c r="D24" i="254"/>
  <c r="D32" i="254"/>
  <c r="D40" i="254"/>
  <c r="D19" i="254"/>
  <c r="C45" i="254"/>
  <c r="C7" i="254"/>
  <c r="E4" i="254"/>
  <c r="D34" i="253"/>
  <c r="D42" i="253"/>
  <c r="D46" i="253" s="1"/>
  <c r="C21" i="253"/>
  <c r="G4" i="253"/>
  <c r="C22" i="253"/>
  <c r="H22" i="253" s="1"/>
  <c r="C23" i="253"/>
  <c r="H23" i="253" s="1"/>
  <c r="C26" i="253"/>
  <c r="H26" i="253" s="1"/>
  <c r="C27" i="253"/>
  <c r="C28" i="253"/>
  <c r="H28" i="253" s="1"/>
  <c r="C29" i="253"/>
  <c r="H29" i="253" s="1"/>
  <c r="C30" i="253"/>
  <c r="H30" i="253" s="1"/>
  <c r="C31" i="253"/>
  <c r="H31" i="253" s="1"/>
  <c r="C34" i="253"/>
  <c r="C35" i="253"/>
  <c r="H35" i="253" s="1"/>
  <c r="C36" i="253"/>
  <c r="H36" i="253" s="1"/>
  <c r="C37" i="253"/>
  <c r="C38" i="253"/>
  <c r="H38" i="253" s="1"/>
  <c r="C39" i="253"/>
  <c r="H39" i="253" s="1"/>
  <c r="C42" i="253"/>
  <c r="C43" i="253"/>
  <c r="H43" i="253" s="1"/>
  <c r="C44" i="253"/>
  <c r="H44" i="253" s="1"/>
  <c r="C10" i="253"/>
  <c r="C11" i="253"/>
  <c r="H11" i="253" s="1"/>
  <c r="C12" i="253"/>
  <c r="H12" i="253" s="1"/>
  <c r="C13" i="253"/>
  <c r="H13" i="253" s="1"/>
  <c r="C14" i="253"/>
  <c r="H14" i="253" s="1"/>
  <c r="C15" i="253"/>
  <c r="H15" i="253" s="1"/>
  <c r="C16" i="253"/>
  <c r="C17" i="253"/>
  <c r="H17" i="253" s="1"/>
  <c r="C18" i="253"/>
  <c r="D24" i="253"/>
  <c r="D32" i="253"/>
  <c r="D19" i="253"/>
  <c r="E19" i="253" s="1"/>
  <c r="C45" i="253"/>
  <c r="C7" i="253"/>
  <c r="E4" i="253"/>
  <c r="D34" i="252"/>
  <c r="D40" i="252" s="1"/>
  <c r="D42" i="252"/>
  <c r="D46" i="252" s="1"/>
  <c r="C21" i="252"/>
  <c r="G4" i="252"/>
  <c r="C22" i="252"/>
  <c r="H22" i="252" s="1"/>
  <c r="C23" i="252"/>
  <c r="H23" i="252" s="1"/>
  <c r="C26" i="252"/>
  <c r="H26" i="252" s="1"/>
  <c r="C27" i="252"/>
  <c r="C28" i="252"/>
  <c r="H28" i="252" s="1"/>
  <c r="C29" i="252"/>
  <c r="H29" i="252" s="1"/>
  <c r="C30" i="252"/>
  <c r="H30" i="252" s="1"/>
  <c r="C31" i="252"/>
  <c r="H31" i="252" s="1"/>
  <c r="C34" i="252"/>
  <c r="C35" i="252"/>
  <c r="H35" i="252" s="1"/>
  <c r="C36" i="252"/>
  <c r="H36" i="252" s="1"/>
  <c r="C37" i="252"/>
  <c r="C38" i="252"/>
  <c r="H38" i="252" s="1"/>
  <c r="C39" i="252"/>
  <c r="H39" i="252" s="1"/>
  <c r="C42" i="252"/>
  <c r="C43" i="252"/>
  <c r="H43" i="252" s="1"/>
  <c r="C44" i="252"/>
  <c r="C10" i="252"/>
  <c r="C11" i="252"/>
  <c r="H11" i="252" s="1"/>
  <c r="C12" i="252"/>
  <c r="H12" i="252" s="1"/>
  <c r="C13" i="252"/>
  <c r="H13" i="252" s="1"/>
  <c r="C14" i="252"/>
  <c r="H14" i="252" s="1"/>
  <c r="C15" i="252"/>
  <c r="H15" i="252" s="1"/>
  <c r="C16" i="252"/>
  <c r="H16" i="252" s="1"/>
  <c r="C17" i="252"/>
  <c r="H17" i="252" s="1"/>
  <c r="C18" i="252"/>
  <c r="D24" i="252"/>
  <c r="D32" i="252"/>
  <c r="D19" i="252"/>
  <c r="E11" i="252" s="1"/>
  <c r="C45" i="252"/>
  <c r="C7" i="252"/>
  <c r="E4" i="252"/>
  <c r="D34" i="251"/>
  <c r="D40" i="251" s="1"/>
  <c r="D42" i="251"/>
  <c r="C21" i="251"/>
  <c r="G4" i="251"/>
  <c r="C22" i="251"/>
  <c r="C23" i="251"/>
  <c r="H23" i="251" s="1"/>
  <c r="C26" i="251"/>
  <c r="H26" i="251" s="1"/>
  <c r="C27" i="251"/>
  <c r="C28" i="251"/>
  <c r="H28" i="251" s="1"/>
  <c r="C29" i="251"/>
  <c r="H29" i="251" s="1"/>
  <c r="C30" i="251"/>
  <c r="H30" i="251" s="1"/>
  <c r="C31" i="251"/>
  <c r="H31" i="251" s="1"/>
  <c r="C34" i="251"/>
  <c r="H34" i="251" s="1"/>
  <c r="C35" i="251"/>
  <c r="H35" i="251" s="1"/>
  <c r="C36" i="251"/>
  <c r="H36" i="251" s="1"/>
  <c r="C37" i="251"/>
  <c r="C38" i="251"/>
  <c r="C39" i="251"/>
  <c r="H39" i="251" s="1"/>
  <c r="C42" i="251"/>
  <c r="C43" i="251"/>
  <c r="H43" i="251" s="1"/>
  <c r="C44" i="251"/>
  <c r="H44" i="251" s="1"/>
  <c r="C10" i="251"/>
  <c r="C11" i="251"/>
  <c r="H11" i="251" s="1"/>
  <c r="C12" i="251"/>
  <c r="H12" i="251" s="1"/>
  <c r="C13" i="251"/>
  <c r="H13" i="251" s="1"/>
  <c r="C14" i="251"/>
  <c r="H14" i="251" s="1"/>
  <c r="C15" i="251"/>
  <c r="H15" i="251" s="1"/>
  <c r="C16" i="251"/>
  <c r="H16" i="251" s="1"/>
  <c r="C17" i="251"/>
  <c r="H17" i="251" s="1"/>
  <c r="C18" i="251"/>
  <c r="D24" i="251"/>
  <c r="D32" i="251"/>
  <c r="D19" i="251"/>
  <c r="C45" i="251"/>
  <c r="C7" i="251"/>
  <c r="E4" i="251"/>
  <c r="D26" i="250"/>
  <c r="D32" i="250" s="1"/>
  <c r="C21" i="250"/>
  <c r="H21" i="250" s="1"/>
  <c r="G4" i="250"/>
  <c r="C22" i="250"/>
  <c r="H22" i="250" s="1"/>
  <c r="C23" i="250"/>
  <c r="C26" i="250"/>
  <c r="C27" i="250"/>
  <c r="H27" i="250" s="1"/>
  <c r="C28" i="250"/>
  <c r="C29" i="250"/>
  <c r="C30" i="250"/>
  <c r="H30" i="250" s="1"/>
  <c r="C31" i="250"/>
  <c r="C34" i="250"/>
  <c r="H34" i="250" s="1"/>
  <c r="C35" i="250"/>
  <c r="H35" i="250" s="1"/>
  <c r="C36" i="250"/>
  <c r="H36" i="250" s="1"/>
  <c r="C37" i="250"/>
  <c r="C38" i="250"/>
  <c r="H38" i="250" s="1"/>
  <c r="C39" i="250"/>
  <c r="H39" i="250" s="1"/>
  <c r="C42" i="250"/>
  <c r="C43" i="250"/>
  <c r="H43" i="250" s="1"/>
  <c r="C44" i="250"/>
  <c r="C10" i="250"/>
  <c r="H10" i="250" s="1"/>
  <c r="C11" i="250"/>
  <c r="C12" i="250"/>
  <c r="C13" i="250"/>
  <c r="H13" i="250" s="1"/>
  <c r="C14" i="250"/>
  <c r="C15" i="250"/>
  <c r="H15" i="250" s="1"/>
  <c r="C16" i="250"/>
  <c r="H16" i="250" s="1"/>
  <c r="C17" i="250"/>
  <c r="C18" i="250"/>
  <c r="H18" i="250" s="1"/>
  <c r="D46" i="250"/>
  <c r="D24" i="250"/>
  <c r="D40" i="250"/>
  <c r="D19" i="250"/>
  <c r="E19" i="250" s="1"/>
  <c r="C45" i="250"/>
  <c r="C7" i="250"/>
  <c r="E4" i="250"/>
  <c r="C21" i="249"/>
  <c r="H21" i="249" s="1"/>
  <c r="G4" i="249"/>
  <c r="C22" i="249"/>
  <c r="H22" i="249" s="1"/>
  <c r="C23" i="249"/>
  <c r="H23" i="249" s="1"/>
  <c r="C26" i="249"/>
  <c r="H26" i="249" s="1"/>
  <c r="C27" i="249"/>
  <c r="C28" i="249"/>
  <c r="H28" i="249" s="1"/>
  <c r="C29" i="249"/>
  <c r="H29" i="249" s="1"/>
  <c r="C30" i="249"/>
  <c r="H30" i="249" s="1"/>
  <c r="C31" i="249"/>
  <c r="H31" i="249" s="1"/>
  <c r="C34" i="249"/>
  <c r="H34" i="249" s="1"/>
  <c r="C35" i="249"/>
  <c r="H35" i="249" s="1"/>
  <c r="C36" i="249"/>
  <c r="C37" i="249"/>
  <c r="H37" i="249" s="1"/>
  <c r="C38" i="249"/>
  <c r="H38" i="249" s="1"/>
  <c r="C39" i="249"/>
  <c r="H39" i="249" s="1"/>
  <c r="C42" i="249"/>
  <c r="H42" i="249" s="1"/>
  <c r="C43" i="249"/>
  <c r="H43" i="249" s="1"/>
  <c r="C44" i="249"/>
  <c r="H44" i="249" s="1"/>
  <c r="C10" i="249"/>
  <c r="C11" i="249"/>
  <c r="H11" i="249" s="1"/>
  <c r="C12" i="249"/>
  <c r="H12" i="249" s="1"/>
  <c r="C13" i="249"/>
  <c r="C14" i="249"/>
  <c r="H14" i="249" s="1"/>
  <c r="C15" i="249"/>
  <c r="H15" i="249" s="1"/>
  <c r="C16" i="249"/>
  <c r="H16" i="249" s="1"/>
  <c r="C17" i="249"/>
  <c r="H17" i="249" s="1"/>
  <c r="C18" i="249"/>
  <c r="D46" i="249"/>
  <c r="D24" i="249"/>
  <c r="D32" i="249"/>
  <c r="D48" i="249" s="1"/>
  <c r="D40" i="249"/>
  <c r="D19" i="249"/>
  <c r="E18" i="249" s="1"/>
  <c r="C45" i="249"/>
  <c r="C7" i="249"/>
  <c r="E4" i="249"/>
  <c r="D34" i="248"/>
  <c r="D40" i="248" s="1"/>
  <c r="D42" i="248"/>
  <c r="D46" i="248" s="1"/>
  <c r="C21" i="248"/>
  <c r="G4" i="248"/>
  <c r="C22" i="248"/>
  <c r="H22" i="248" s="1"/>
  <c r="C23" i="248"/>
  <c r="H23" i="248" s="1"/>
  <c r="C26" i="248"/>
  <c r="C27" i="248"/>
  <c r="H27" i="248" s="1"/>
  <c r="C28" i="248"/>
  <c r="H28" i="248" s="1"/>
  <c r="C29" i="248"/>
  <c r="H29" i="248" s="1"/>
  <c r="C30" i="248"/>
  <c r="H30" i="248" s="1"/>
  <c r="C31" i="248"/>
  <c r="H31" i="248" s="1"/>
  <c r="C34" i="248"/>
  <c r="C35" i="248"/>
  <c r="H35" i="248" s="1"/>
  <c r="C36" i="248"/>
  <c r="H36" i="248" s="1"/>
  <c r="C37" i="248"/>
  <c r="H37" i="248" s="1"/>
  <c r="C38" i="248"/>
  <c r="H38" i="248" s="1"/>
  <c r="C39" i="248"/>
  <c r="H39" i="248" s="1"/>
  <c r="C42" i="248"/>
  <c r="C43" i="248"/>
  <c r="H43" i="248" s="1"/>
  <c r="C44" i="248"/>
  <c r="H44" i="248" s="1"/>
  <c r="C10" i="248"/>
  <c r="H10" i="248" s="1"/>
  <c r="C11" i="248"/>
  <c r="H11" i="248" s="1"/>
  <c r="C12" i="248"/>
  <c r="H12" i="248" s="1"/>
  <c r="C13" i="248"/>
  <c r="H13" i="248" s="1"/>
  <c r="C14" i="248"/>
  <c r="H14" i="248" s="1"/>
  <c r="C15" i="248"/>
  <c r="H15" i="248" s="1"/>
  <c r="C16" i="248"/>
  <c r="H16" i="248" s="1"/>
  <c r="C17" i="248"/>
  <c r="H17" i="248" s="1"/>
  <c r="C18" i="248"/>
  <c r="H18" i="248" s="1"/>
  <c r="D24" i="248"/>
  <c r="D32" i="248"/>
  <c r="D19" i="248"/>
  <c r="C45" i="248"/>
  <c r="C7" i="248"/>
  <c r="E4" i="248"/>
  <c r="D26" i="247"/>
  <c r="C21" i="247"/>
  <c r="G4" i="247"/>
  <c r="C22" i="247"/>
  <c r="H22" i="247" s="1"/>
  <c r="C23" i="247"/>
  <c r="H23" i="247" s="1"/>
  <c r="C26" i="247"/>
  <c r="C27" i="247"/>
  <c r="C28" i="247"/>
  <c r="H28" i="247" s="1"/>
  <c r="C29" i="247"/>
  <c r="H29" i="247" s="1"/>
  <c r="C30" i="247"/>
  <c r="C31" i="247"/>
  <c r="H31" i="247" s="1"/>
  <c r="C34" i="247"/>
  <c r="H34" i="247" s="1"/>
  <c r="C35" i="247"/>
  <c r="H35" i="247" s="1"/>
  <c r="C36" i="247"/>
  <c r="H36" i="247" s="1"/>
  <c r="C37" i="247"/>
  <c r="H37" i="247" s="1"/>
  <c r="C38" i="247"/>
  <c r="H38" i="247" s="1"/>
  <c r="C39" i="247"/>
  <c r="H39" i="247" s="1"/>
  <c r="C42" i="247"/>
  <c r="H42" i="247" s="1"/>
  <c r="C43" i="247"/>
  <c r="C44" i="247"/>
  <c r="H44" i="247" s="1"/>
  <c r="C10" i="247"/>
  <c r="C11" i="247"/>
  <c r="H11" i="247" s="1"/>
  <c r="C12" i="247"/>
  <c r="C13" i="247"/>
  <c r="H13" i="247" s="1"/>
  <c r="C14" i="247"/>
  <c r="H14" i="247" s="1"/>
  <c r="C15" i="247"/>
  <c r="C16" i="247"/>
  <c r="H16" i="247" s="1"/>
  <c r="C17" i="247"/>
  <c r="C18" i="247"/>
  <c r="D46" i="247"/>
  <c r="D24" i="247"/>
  <c r="D40" i="247"/>
  <c r="D19" i="247"/>
  <c r="E14" i="247" s="1"/>
  <c r="C45" i="247"/>
  <c r="C7" i="247"/>
  <c r="E4" i="247"/>
  <c r="D26" i="246"/>
  <c r="D32" i="246" s="1"/>
  <c r="D34" i="246"/>
  <c r="D40" i="246" s="1"/>
  <c r="D42" i="246"/>
  <c r="C21" i="246"/>
  <c r="G4" i="246"/>
  <c r="C22" i="246"/>
  <c r="H22" i="246" s="1"/>
  <c r="C23" i="246"/>
  <c r="H23" i="246" s="1"/>
  <c r="C26" i="246"/>
  <c r="H26" i="246" s="1"/>
  <c r="C27" i="246"/>
  <c r="H27" i="246" s="1"/>
  <c r="C28" i="246"/>
  <c r="H28" i="246" s="1"/>
  <c r="C29" i="246"/>
  <c r="H29" i="246" s="1"/>
  <c r="C30" i="246"/>
  <c r="C31" i="246"/>
  <c r="H31" i="246" s="1"/>
  <c r="C34" i="246"/>
  <c r="C35" i="246"/>
  <c r="C36" i="246"/>
  <c r="C37" i="246"/>
  <c r="H37" i="246" s="1"/>
  <c r="C38" i="246"/>
  <c r="H38" i="246" s="1"/>
  <c r="C39" i="246"/>
  <c r="H39" i="246" s="1"/>
  <c r="C42" i="246"/>
  <c r="C43" i="246"/>
  <c r="H43" i="246" s="1"/>
  <c r="C44" i="246"/>
  <c r="H44" i="246" s="1"/>
  <c r="C10" i="246"/>
  <c r="H10" i="246" s="1"/>
  <c r="C11" i="246"/>
  <c r="H11" i="246" s="1"/>
  <c r="C12" i="246"/>
  <c r="H12" i="246" s="1"/>
  <c r="C13" i="246"/>
  <c r="H13" i="246" s="1"/>
  <c r="C14" i="246"/>
  <c r="H14" i="246" s="1"/>
  <c r="C15" i="246"/>
  <c r="H15" i="246" s="1"/>
  <c r="C16" i="246"/>
  <c r="H16" i="246" s="1"/>
  <c r="C17" i="246"/>
  <c r="H17" i="246" s="1"/>
  <c r="C18" i="246"/>
  <c r="H18" i="246" s="1"/>
  <c r="D24" i="246"/>
  <c r="D19" i="246"/>
  <c r="E10" i="246" s="1"/>
  <c r="C45" i="246"/>
  <c r="C7" i="246"/>
  <c r="E4" i="246"/>
  <c r="D34" i="245"/>
  <c r="D26" i="245"/>
  <c r="D32" i="245" s="1"/>
  <c r="D42" i="245"/>
  <c r="D46" i="245" s="1"/>
  <c r="C21" i="245"/>
  <c r="H21" i="245" s="1"/>
  <c r="G4" i="245"/>
  <c r="C22" i="245"/>
  <c r="H22" i="245" s="1"/>
  <c r="C23" i="245"/>
  <c r="H23" i="245" s="1"/>
  <c r="C26" i="245"/>
  <c r="C27" i="245"/>
  <c r="H27" i="245" s="1"/>
  <c r="C28" i="245"/>
  <c r="C29" i="245"/>
  <c r="H29" i="245" s="1"/>
  <c r="C30" i="245"/>
  <c r="H30" i="245" s="1"/>
  <c r="C31" i="245"/>
  <c r="H31" i="245" s="1"/>
  <c r="C34" i="245"/>
  <c r="C35" i="245"/>
  <c r="H35" i="245" s="1"/>
  <c r="C36" i="245"/>
  <c r="H36" i="245" s="1"/>
  <c r="C37" i="245"/>
  <c r="H37" i="245" s="1"/>
  <c r="C38" i="245"/>
  <c r="H38" i="245" s="1"/>
  <c r="C39" i="245"/>
  <c r="H39" i="245" s="1"/>
  <c r="C42" i="245"/>
  <c r="C43" i="245"/>
  <c r="H43" i="245" s="1"/>
  <c r="C44" i="245"/>
  <c r="C10" i="245"/>
  <c r="H10" i="245" s="1"/>
  <c r="C11" i="245"/>
  <c r="H11" i="245" s="1"/>
  <c r="C12" i="245"/>
  <c r="H12" i="245" s="1"/>
  <c r="C13" i="245"/>
  <c r="H13" i="245" s="1"/>
  <c r="C14" i="245"/>
  <c r="H14" i="245" s="1"/>
  <c r="C15" i="245"/>
  <c r="H15" i="245" s="1"/>
  <c r="C16" i="245"/>
  <c r="C17" i="245"/>
  <c r="H17" i="245" s="1"/>
  <c r="C18" i="245"/>
  <c r="H18" i="245" s="1"/>
  <c r="D24" i="245"/>
  <c r="D19" i="245"/>
  <c r="E18" i="245" s="1"/>
  <c r="C45" i="245"/>
  <c r="C7" i="245"/>
  <c r="E4" i="245"/>
  <c r="D26" i="244"/>
  <c r="D32" i="244" s="1"/>
  <c r="D42" i="244"/>
  <c r="D46" i="244" s="1"/>
  <c r="G2" i="244"/>
  <c r="E4" i="244" s="1"/>
  <c r="C21" i="244"/>
  <c r="H21" i="244" s="1"/>
  <c r="C22" i="244"/>
  <c r="H22" i="244" s="1"/>
  <c r="C23" i="244"/>
  <c r="H23" i="244" s="1"/>
  <c r="C26" i="244"/>
  <c r="C27" i="244"/>
  <c r="H27" i="244" s="1"/>
  <c r="C28" i="244"/>
  <c r="H28" i="244" s="1"/>
  <c r="C29" i="244"/>
  <c r="H29" i="244" s="1"/>
  <c r="C30" i="244"/>
  <c r="C31" i="244"/>
  <c r="H31" i="244" s="1"/>
  <c r="C34" i="244"/>
  <c r="H34" i="244" s="1"/>
  <c r="C35" i="244"/>
  <c r="H35" i="244" s="1"/>
  <c r="C36" i="244"/>
  <c r="C37" i="244"/>
  <c r="H37" i="244" s="1"/>
  <c r="C38" i="244"/>
  <c r="H38" i="244" s="1"/>
  <c r="C39" i="244"/>
  <c r="H39" i="244" s="1"/>
  <c r="C42" i="244"/>
  <c r="C43" i="244"/>
  <c r="C44" i="244"/>
  <c r="H44" i="244" s="1"/>
  <c r="C10" i="244"/>
  <c r="C11" i="244"/>
  <c r="H11" i="244" s="1"/>
  <c r="C12" i="244"/>
  <c r="H12" i="244" s="1"/>
  <c r="C13" i="244"/>
  <c r="H13" i="244" s="1"/>
  <c r="C14" i="244"/>
  <c r="H14" i="244" s="1"/>
  <c r="C15" i="244"/>
  <c r="C16" i="244"/>
  <c r="C17" i="244"/>
  <c r="H17" i="244" s="1"/>
  <c r="C18" i="244"/>
  <c r="D24" i="244"/>
  <c r="D40" i="244"/>
  <c r="D19" i="244"/>
  <c r="E10" i="244" s="1"/>
  <c r="C45" i="244"/>
  <c r="C7" i="244"/>
  <c r="D26" i="243"/>
  <c r="C21" i="243"/>
  <c r="G4" i="243"/>
  <c r="C22" i="243"/>
  <c r="H22" i="243" s="1"/>
  <c r="C23" i="243"/>
  <c r="H23" i="243" s="1"/>
  <c r="C26" i="243"/>
  <c r="C27" i="243"/>
  <c r="H27" i="243" s="1"/>
  <c r="C28" i="243"/>
  <c r="H28" i="243" s="1"/>
  <c r="C29" i="243"/>
  <c r="H29" i="243" s="1"/>
  <c r="C30" i="243"/>
  <c r="C31" i="243"/>
  <c r="C34" i="243"/>
  <c r="H34" i="243" s="1"/>
  <c r="C35" i="243"/>
  <c r="H35" i="243" s="1"/>
  <c r="C36" i="243"/>
  <c r="H36" i="243" s="1"/>
  <c r="C37" i="243"/>
  <c r="C38" i="243"/>
  <c r="H38" i="243" s="1"/>
  <c r="C39" i="243"/>
  <c r="H39" i="243" s="1"/>
  <c r="C42" i="243"/>
  <c r="H42" i="243" s="1"/>
  <c r="C43" i="243"/>
  <c r="H43" i="243" s="1"/>
  <c r="C44" i="243"/>
  <c r="H44" i="243" s="1"/>
  <c r="C10" i="243"/>
  <c r="H10" i="243" s="1"/>
  <c r="C11" i="243"/>
  <c r="H11" i="243" s="1"/>
  <c r="C12" i="243"/>
  <c r="C13" i="243"/>
  <c r="H13" i="243" s="1"/>
  <c r="C14" i="243"/>
  <c r="H14" i="243" s="1"/>
  <c r="C15" i="243"/>
  <c r="H15" i="243" s="1"/>
  <c r="C16" i="243"/>
  <c r="C17" i="243"/>
  <c r="C18" i="243"/>
  <c r="H18" i="243" s="1"/>
  <c r="D46" i="243"/>
  <c r="D24" i="243"/>
  <c r="D40" i="243"/>
  <c r="D19" i="243"/>
  <c r="C45" i="243"/>
  <c r="C7" i="243"/>
  <c r="E4" i="243"/>
  <c r="D26" i="242"/>
  <c r="C21" i="242"/>
  <c r="H21" i="242" s="1"/>
  <c r="G4" i="242"/>
  <c r="C22" i="242"/>
  <c r="H22" i="242" s="1"/>
  <c r="C23" i="242"/>
  <c r="H23" i="242" s="1"/>
  <c r="C26" i="242"/>
  <c r="C27" i="242"/>
  <c r="H27" i="242" s="1"/>
  <c r="C28" i="242"/>
  <c r="C29" i="242"/>
  <c r="H29" i="242" s="1"/>
  <c r="C30" i="242"/>
  <c r="H30" i="242" s="1"/>
  <c r="C31" i="242"/>
  <c r="C34" i="242"/>
  <c r="H34" i="242" s="1"/>
  <c r="C35" i="242"/>
  <c r="C36" i="242"/>
  <c r="C37" i="242"/>
  <c r="H37" i="242" s="1"/>
  <c r="C38" i="242"/>
  <c r="H38" i="242" s="1"/>
  <c r="C39" i="242"/>
  <c r="C42" i="242"/>
  <c r="C43" i="242"/>
  <c r="H43" i="242" s="1"/>
  <c r="C44" i="242"/>
  <c r="H44" i="242" s="1"/>
  <c r="C10" i="242"/>
  <c r="H10" i="242" s="1"/>
  <c r="C11" i="242"/>
  <c r="C12" i="242"/>
  <c r="H12" i="242" s="1"/>
  <c r="C13" i="242"/>
  <c r="H13" i="242" s="1"/>
  <c r="C14" i="242"/>
  <c r="C15" i="242"/>
  <c r="H15" i="242" s="1"/>
  <c r="C16" i="242"/>
  <c r="H16" i="242" s="1"/>
  <c r="C17" i="242"/>
  <c r="H17" i="242" s="1"/>
  <c r="C18" i="242"/>
  <c r="H18" i="242" s="1"/>
  <c r="D46" i="242"/>
  <c r="D24" i="242"/>
  <c r="D40" i="242"/>
  <c r="D19" i="242"/>
  <c r="E15" i="242" s="1"/>
  <c r="C45" i="242"/>
  <c r="C7" i="242"/>
  <c r="E4" i="242"/>
  <c r="C21" i="241"/>
  <c r="H21" i="241" s="1"/>
  <c r="G4" i="241"/>
  <c r="C22" i="241"/>
  <c r="C23" i="241"/>
  <c r="H23" i="241" s="1"/>
  <c r="C26" i="241"/>
  <c r="H26" i="241" s="1"/>
  <c r="C27" i="241"/>
  <c r="H27" i="241" s="1"/>
  <c r="C28" i="241"/>
  <c r="H28" i="241" s="1"/>
  <c r="C29" i="241"/>
  <c r="C30" i="241"/>
  <c r="H30" i="241" s="1"/>
  <c r="C31" i="241"/>
  <c r="H31" i="241" s="1"/>
  <c r="C34" i="241"/>
  <c r="H34" i="241" s="1"/>
  <c r="C35" i="241"/>
  <c r="H35" i="241" s="1"/>
  <c r="C36" i="241"/>
  <c r="H36" i="241" s="1"/>
  <c r="C37" i="241"/>
  <c r="C38" i="241"/>
  <c r="H38" i="241" s="1"/>
  <c r="C39" i="241"/>
  <c r="H39" i="241" s="1"/>
  <c r="C42" i="241"/>
  <c r="H42" i="241" s="1"/>
  <c r="C43" i="241"/>
  <c r="H43" i="241" s="1"/>
  <c r="C44" i="241"/>
  <c r="H44" i="241" s="1"/>
  <c r="C10" i="241"/>
  <c r="H10" i="241" s="1"/>
  <c r="C11" i="241"/>
  <c r="H11" i="241" s="1"/>
  <c r="C12" i="241"/>
  <c r="C13" i="241"/>
  <c r="H13" i="241" s="1"/>
  <c r="C14" i="241"/>
  <c r="H14" i="241" s="1"/>
  <c r="C15" i="241"/>
  <c r="H15" i="241" s="1"/>
  <c r="C16" i="241"/>
  <c r="H16" i="241" s="1"/>
  <c r="C17" i="241"/>
  <c r="H17" i="241" s="1"/>
  <c r="C18" i="241"/>
  <c r="H18" i="241" s="1"/>
  <c r="D46" i="241"/>
  <c r="D24" i="241"/>
  <c r="D32" i="241"/>
  <c r="D40" i="241"/>
  <c r="D19" i="241"/>
  <c r="E17" i="241" s="1"/>
  <c r="C45" i="241"/>
  <c r="C7" i="241"/>
  <c r="E4" i="241"/>
  <c r="D34" i="240"/>
  <c r="D40" i="240" s="1"/>
  <c r="D42" i="240"/>
  <c r="D46" i="240" s="1"/>
  <c r="C21" i="240"/>
  <c r="H21" i="240" s="1"/>
  <c r="G4" i="240"/>
  <c r="C22" i="240"/>
  <c r="C23" i="240"/>
  <c r="H23" i="240" s="1"/>
  <c r="C26" i="240"/>
  <c r="H26" i="240" s="1"/>
  <c r="C27" i="240"/>
  <c r="H27" i="240" s="1"/>
  <c r="C28" i="240"/>
  <c r="H28" i="240" s="1"/>
  <c r="C29" i="240"/>
  <c r="C30" i="240"/>
  <c r="H30" i="240" s="1"/>
  <c r="C31" i="240"/>
  <c r="H31" i="240" s="1"/>
  <c r="C34" i="240"/>
  <c r="H34" i="240" s="1"/>
  <c r="C35" i="240"/>
  <c r="H35" i="240" s="1"/>
  <c r="C36" i="240"/>
  <c r="C37" i="240"/>
  <c r="C38" i="240"/>
  <c r="H38" i="240" s="1"/>
  <c r="C39" i="240"/>
  <c r="H39" i="240" s="1"/>
  <c r="C42" i="240"/>
  <c r="C43" i="240"/>
  <c r="H43" i="240" s="1"/>
  <c r="C44" i="240"/>
  <c r="H44" i="240" s="1"/>
  <c r="C10" i="240"/>
  <c r="H10" i="240" s="1"/>
  <c r="C11" i="240"/>
  <c r="H11" i="240" s="1"/>
  <c r="C12" i="240"/>
  <c r="C13" i="240"/>
  <c r="H13" i="240" s="1"/>
  <c r="C14" i="240"/>
  <c r="H14" i="240" s="1"/>
  <c r="C15" i="240"/>
  <c r="H15" i="240" s="1"/>
  <c r="C16" i="240"/>
  <c r="C17" i="240"/>
  <c r="H17" i="240" s="1"/>
  <c r="C18" i="240"/>
  <c r="H18" i="240" s="1"/>
  <c r="D24" i="240"/>
  <c r="D32" i="240"/>
  <c r="D19" i="240"/>
  <c r="E17" i="240" s="1"/>
  <c r="C45" i="240"/>
  <c r="C7" i="240"/>
  <c r="E4" i="240"/>
  <c r="D26" i="239"/>
  <c r="C21" i="239"/>
  <c r="H21" i="239" s="1"/>
  <c r="G4" i="239"/>
  <c r="C22" i="239"/>
  <c r="H22" i="239" s="1"/>
  <c r="C23" i="239"/>
  <c r="C26" i="239"/>
  <c r="C27" i="239"/>
  <c r="H27" i="239" s="1"/>
  <c r="C28" i="239"/>
  <c r="H28" i="239" s="1"/>
  <c r="C29" i="239"/>
  <c r="H29" i="239" s="1"/>
  <c r="C30" i="239"/>
  <c r="H30" i="239" s="1"/>
  <c r="C31" i="239"/>
  <c r="C34" i="239"/>
  <c r="C35" i="239"/>
  <c r="H35" i="239" s="1"/>
  <c r="C36" i="239"/>
  <c r="C37" i="239"/>
  <c r="H37" i="239" s="1"/>
  <c r="C38" i="239"/>
  <c r="H38" i="239" s="1"/>
  <c r="C39" i="239"/>
  <c r="C42" i="239"/>
  <c r="C43" i="239"/>
  <c r="C44" i="239"/>
  <c r="H44" i="239" s="1"/>
  <c r="C10" i="239"/>
  <c r="H10" i="239" s="1"/>
  <c r="C11" i="239"/>
  <c r="C12" i="239"/>
  <c r="H12" i="239" s="1"/>
  <c r="C13" i="239"/>
  <c r="H13" i="239" s="1"/>
  <c r="C14" i="239"/>
  <c r="C15" i="239"/>
  <c r="C16" i="239"/>
  <c r="H16" i="239" s="1"/>
  <c r="C17" i="239"/>
  <c r="H17" i="239" s="1"/>
  <c r="C18" i="239"/>
  <c r="H18" i="239" s="1"/>
  <c r="D46" i="239"/>
  <c r="D24" i="239"/>
  <c r="D40" i="239"/>
  <c r="D19" i="239"/>
  <c r="C45" i="239"/>
  <c r="C7" i="239"/>
  <c r="E4" i="239"/>
  <c r="D34" i="238"/>
  <c r="D40" i="238" s="1"/>
  <c r="D42" i="238"/>
  <c r="D46" i="238" s="1"/>
  <c r="C21" i="238"/>
  <c r="H21" i="238" s="1"/>
  <c r="G4" i="238"/>
  <c r="C22" i="238"/>
  <c r="H22" i="238" s="1"/>
  <c r="C23" i="238"/>
  <c r="C26" i="238"/>
  <c r="H26" i="238" s="1"/>
  <c r="C27" i="238"/>
  <c r="H27" i="238" s="1"/>
  <c r="C28" i="238"/>
  <c r="H28" i="238" s="1"/>
  <c r="C29" i="238"/>
  <c r="H29" i="238" s="1"/>
  <c r="C30" i="238"/>
  <c r="H30" i="238" s="1"/>
  <c r="C31" i="238"/>
  <c r="C34" i="238"/>
  <c r="H34" i="238" s="1"/>
  <c r="C35" i="238"/>
  <c r="H35" i="238" s="1"/>
  <c r="C36" i="238"/>
  <c r="H36" i="238" s="1"/>
  <c r="C37" i="238"/>
  <c r="H37" i="238" s="1"/>
  <c r="C38" i="238"/>
  <c r="H38" i="238" s="1"/>
  <c r="C39" i="238"/>
  <c r="C42" i="238"/>
  <c r="C43" i="238"/>
  <c r="H43" i="238" s="1"/>
  <c r="C44" i="238"/>
  <c r="H44" i="238" s="1"/>
  <c r="C10" i="238"/>
  <c r="H10" i="238" s="1"/>
  <c r="C11" i="238"/>
  <c r="H11" i="238" s="1"/>
  <c r="C12" i="238"/>
  <c r="H12" i="238" s="1"/>
  <c r="C13" i="238"/>
  <c r="H13" i="238" s="1"/>
  <c r="C14" i="238"/>
  <c r="C15" i="238"/>
  <c r="H15" i="238" s="1"/>
  <c r="C16" i="238"/>
  <c r="H16" i="238" s="1"/>
  <c r="C17" i="238"/>
  <c r="H17" i="238" s="1"/>
  <c r="C18" i="238"/>
  <c r="H18" i="238" s="1"/>
  <c r="D24" i="238"/>
  <c r="D32" i="238"/>
  <c r="D19" i="238"/>
  <c r="E18" i="238" s="1"/>
  <c r="C45" i="238"/>
  <c r="C7" i="238"/>
  <c r="E4" i="238"/>
  <c r="D26" i="237"/>
  <c r="D32" i="237" s="1"/>
  <c r="D34" i="235"/>
  <c r="D40" i="235"/>
  <c r="C21" i="237"/>
  <c r="H21" i="237" s="1"/>
  <c r="G4" i="237"/>
  <c r="C22" i="237"/>
  <c r="H22" i="237" s="1"/>
  <c r="C23" i="237"/>
  <c r="C26" i="237"/>
  <c r="C27" i="237"/>
  <c r="H27" i="237" s="1"/>
  <c r="C28" i="237"/>
  <c r="H28" i="237" s="1"/>
  <c r="C29" i="237"/>
  <c r="H29" i="237" s="1"/>
  <c r="C30" i="237"/>
  <c r="H30" i="237" s="1"/>
  <c r="C31" i="237"/>
  <c r="C34" i="237"/>
  <c r="C35" i="237"/>
  <c r="H35" i="237" s="1"/>
  <c r="C36" i="237"/>
  <c r="H36" i="237" s="1"/>
  <c r="C37" i="237"/>
  <c r="C38" i="237"/>
  <c r="H38" i="237" s="1"/>
  <c r="C39" i="237"/>
  <c r="C42" i="237"/>
  <c r="C43" i="237"/>
  <c r="H43" i="237" s="1"/>
  <c r="C44" i="237"/>
  <c r="H44" i="237" s="1"/>
  <c r="C10" i="237"/>
  <c r="C11" i="237"/>
  <c r="H11" i="237" s="1"/>
  <c r="C12" i="237"/>
  <c r="H12" i="237" s="1"/>
  <c r="C13" i="237"/>
  <c r="H13" i="237" s="1"/>
  <c r="C14" i="237"/>
  <c r="C15" i="237"/>
  <c r="C16" i="237"/>
  <c r="H16" i="237" s="1"/>
  <c r="C17" i="237"/>
  <c r="H17" i="237" s="1"/>
  <c r="C18" i="237"/>
  <c r="D46" i="237"/>
  <c r="D24" i="237"/>
  <c r="D40" i="237"/>
  <c r="D19" i="237"/>
  <c r="C45" i="237"/>
  <c r="C7" i="237"/>
  <c r="E4" i="237"/>
  <c r="C21" i="236"/>
  <c r="H21" i="236" s="1"/>
  <c r="G4" i="236"/>
  <c r="C22" i="236"/>
  <c r="H22" i="236" s="1"/>
  <c r="C23" i="236"/>
  <c r="C26" i="236"/>
  <c r="H26" i="236" s="1"/>
  <c r="C27" i="236"/>
  <c r="C28" i="236"/>
  <c r="H28" i="236" s="1"/>
  <c r="C29" i="236"/>
  <c r="C30" i="236"/>
  <c r="C31" i="236"/>
  <c r="C34" i="236"/>
  <c r="H34" i="236" s="1"/>
  <c r="C35" i="236"/>
  <c r="H35" i="236"/>
  <c r="C36" i="236"/>
  <c r="H36" i="236" s="1"/>
  <c r="C37" i="236"/>
  <c r="C38" i="236"/>
  <c r="H38" i="236" s="1"/>
  <c r="C39" i="236"/>
  <c r="H39" i="236" s="1"/>
  <c r="C42" i="236"/>
  <c r="H42" i="236" s="1"/>
  <c r="C43" i="236"/>
  <c r="H43" i="236" s="1"/>
  <c r="C44" i="236"/>
  <c r="C10" i="236"/>
  <c r="C11" i="236"/>
  <c r="H11" i="236" s="1"/>
  <c r="C12" i="236"/>
  <c r="C13" i="236"/>
  <c r="C14" i="236"/>
  <c r="H14" i="236" s="1"/>
  <c r="C15" i="236"/>
  <c r="H15" i="236" s="1"/>
  <c r="C16" i="236"/>
  <c r="H16" i="236" s="1"/>
  <c r="C17" i="236"/>
  <c r="H17" i="236" s="1"/>
  <c r="C18" i="236"/>
  <c r="H18" i="236" s="1"/>
  <c r="D46" i="236"/>
  <c r="D24" i="236"/>
  <c r="D32" i="236"/>
  <c r="D40" i="236"/>
  <c r="D19" i="236"/>
  <c r="E19" i="236" s="1"/>
  <c r="C45" i="236"/>
  <c r="C7" i="236"/>
  <c r="E4" i="236"/>
  <c r="D42" i="235"/>
  <c r="D46" i="235" s="1"/>
  <c r="C21" i="235"/>
  <c r="H21" i="235" s="1"/>
  <c r="G4" i="235"/>
  <c r="C22" i="235"/>
  <c r="H22" i="235" s="1"/>
  <c r="C23" i="235"/>
  <c r="C26" i="235"/>
  <c r="H26" i="235" s="1"/>
  <c r="C27" i="235"/>
  <c r="H27" i="235" s="1"/>
  <c r="C28" i="235"/>
  <c r="H28" i="235" s="1"/>
  <c r="C29" i="235"/>
  <c r="H29" i="235" s="1"/>
  <c r="C30" i="235"/>
  <c r="H30" i="235" s="1"/>
  <c r="C31" i="235"/>
  <c r="H31" i="235" s="1"/>
  <c r="C34" i="235"/>
  <c r="C35" i="235"/>
  <c r="H35" i="235" s="1"/>
  <c r="C36" i="235"/>
  <c r="C37" i="235"/>
  <c r="C38" i="235"/>
  <c r="H38" i="235" s="1"/>
  <c r="C39" i="235"/>
  <c r="H39" i="235" s="1"/>
  <c r="C42" i="235"/>
  <c r="C43" i="235"/>
  <c r="H43" i="235" s="1"/>
  <c r="C44" i="235"/>
  <c r="C10" i="235"/>
  <c r="H10" i="235" s="1"/>
  <c r="C11" i="235"/>
  <c r="C12" i="235"/>
  <c r="H12" i="235" s="1"/>
  <c r="C13" i="235"/>
  <c r="H13" i="235" s="1"/>
  <c r="C14" i="235"/>
  <c r="H14" i="235" s="1"/>
  <c r="C15" i="235"/>
  <c r="H15" i="235" s="1"/>
  <c r="C16" i="235"/>
  <c r="C17" i="235"/>
  <c r="H17" i="235" s="1"/>
  <c r="C18" i="235"/>
  <c r="H18" i="235" s="1"/>
  <c r="D24" i="235"/>
  <c r="D32" i="235"/>
  <c r="D19" i="235"/>
  <c r="E11" i="235" s="1"/>
  <c r="C45" i="235"/>
  <c r="C7" i="235"/>
  <c r="E4" i="235"/>
  <c r="D26" i="234"/>
  <c r="D32" i="234" s="1"/>
  <c r="D34" i="234"/>
  <c r="D40" i="234" s="1"/>
  <c r="D48" i="234" s="1"/>
  <c r="D42" i="234"/>
  <c r="D46" i="234" s="1"/>
  <c r="C21" i="234"/>
  <c r="H21" i="234" s="1"/>
  <c r="G4" i="234"/>
  <c r="C22" i="234"/>
  <c r="H22" i="234" s="1"/>
  <c r="C23" i="234"/>
  <c r="C26" i="234"/>
  <c r="C27" i="234"/>
  <c r="H27" i="234" s="1"/>
  <c r="C28" i="234"/>
  <c r="H28" i="234" s="1"/>
  <c r="C29" i="234"/>
  <c r="H29" i="234" s="1"/>
  <c r="C30" i="234"/>
  <c r="C31" i="234"/>
  <c r="H31" i="234" s="1"/>
  <c r="C34" i="234"/>
  <c r="C35" i="234"/>
  <c r="H35" i="234" s="1"/>
  <c r="C36" i="234"/>
  <c r="H36" i="234" s="1"/>
  <c r="C37" i="234"/>
  <c r="H37" i="234" s="1"/>
  <c r="C38" i="234"/>
  <c r="H38" i="234" s="1"/>
  <c r="C39" i="234"/>
  <c r="H39" i="234" s="1"/>
  <c r="C42" i="234"/>
  <c r="C43" i="234"/>
  <c r="H43" i="234" s="1"/>
  <c r="C44" i="234"/>
  <c r="C10" i="234"/>
  <c r="H10" i="234" s="1"/>
  <c r="C11" i="234"/>
  <c r="C12" i="234"/>
  <c r="C13" i="234"/>
  <c r="C14" i="234"/>
  <c r="H14" i="234" s="1"/>
  <c r="C15" i="234"/>
  <c r="H15" i="234" s="1"/>
  <c r="C16" i="234"/>
  <c r="C17" i="234"/>
  <c r="H17" i="234" s="1"/>
  <c r="C18" i="234"/>
  <c r="H18" i="234" s="1"/>
  <c r="D24" i="234"/>
  <c r="D19" i="234"/>
  <c r="C45" i="234"/>
  <c r="C7" i="234"/>
  <c r="E4" i="234"/>
  <c r="C21" i="233"/>
  <c r="H21" i="233" s="1"/>
  <c r="G4" i="233"/>
  <c r="C22" i="233"/>
  <c r="C23" i="233"/>
  <c r="H23" i="233" s="1"/>
  <c r="C26" i="233"/>
  <c r="C27" i="233"/>
  <c r="H27" i="233" s="1"/>
  <c r="C28" i="233"/>
  <c r="H28" i="233" s="1"/>
  <c r="C29" i="233"/>
  <c r="C30" i="233"/>
  <c r="C31" i="233"/>
  <c r="C34" i="233"/>
  <c r="H34" i="233" s="1"/>
  <c r="C35" i="233"/>
  <c r="H35" i="233" s="1"/>
  <c r="C36" i="233"/>
  <c r="H36" i="233" s="1"/>
  <c r="C37" i="233"/>
  <c r="H37" i="233" s="1"/>
  <c r="C38" i="233"/>
  <c r="H38" i="233" s="1"/>
  <c r="C39" i="233"/>
  <c r="H39" i="233" s="1"/>
  <c r="C42" i="233"/>
  <c r="C43" i="233"/>
  <c r="H43" i="233" s="1"/>
  <c r="C44" i="233"/>
  <c r="H44" i="233" s="1"/>
  <c r="C10" i="233"/>
  <c r="H10" i="233" s="1"/>
  <c r="C11" i="233"/>
  <c r="H11" i="233" s="1"/>
  <c r="C12" i="233"/>
  <c r="C13" i="233"/>
  <c r="C14" i="233"/>
  <c r="C15" i="233"/>
  <c r="H15" i="233" s="1"/>
  <c r="C16" i="233"/>
  <c r="H16" i="233" s="1"/>
  <c r="C17" i="233"/>
  <c r="C18" i="233"/>
  <c r="H18" i="233" s="1"/>
  <c r="D46" i="233"/>
  <c r="D24" i="233"/>
  <c r="D32" i="233"/>
  <c r="D40" i="233"/>
  <c r="D19" i="233"/>
  <c r="C45" i="233"/>
  <c r="C7" i="233"/>
  <c r="E4" i="233"/>
  <c r="D34" i="232"/>
  <c r="D40" i="232" s="1"/>
  <c r="D42" i="232"/>
  <c r="D46" i="232" s="1"/>
  <c r="C21" i="232"/>
  <c r="H21" i="232" s="1"/>
  <c r="G4" i="232"/>
  <c r="C22" i="232"/>
  <c r="H22" i="232" s="1"/>
  <c r="C23" i="232"/>
  <c r="H23" i="232" s="1"/>
  <c r="C26" i="232"/>
  <c r="C27" i="232"/>
  <c r="H27" i="232" s="1"/>
  <c r="C28" i="232"/>
  <c r="H28" i="232" s="1"/>
  <c r="C29" i="232"/>
  <c r="C30" i="232"/>
  <c r="C31" i="232"/>
  <c r="C34" i="232"/>
  <c r="C35" i="232"/>
  <c r="H35" i="232" s="1"/>
  <c r="C36" i="232"/>
  <c r="H36" i="232" s="1"/>
  <c r="C37" i="232"/>
  <c r="H37" i="232" s="1"/>
  <c r="C38" i="232"/>
  <c r="H38" i="232" s="1"/>
  <c r="C39" i="232"/>
  <c r="H39" i="232" s="1"/>
  <c r="C42" i="232"/>
  <c r="C43" i="232"/>
  <c r="H43" i="232" s="1"/>
  <c r="C44" i="232"/>
  <c r="H44" i="232" s="1"/>
  <c r="C10" i="232"/>
  <c r="H10" i="232" s="1"/>
  <c r="C11" i="232"/>
  <c r="H11" i="232" s="1"/>
  <c r="C12" i="232"/>
  <c r="C13" i="232"/>
  <c r="C14" i="232"/>
  <c r="C15" i="232"/>
  <c r="H15" i="232" s="1"/>
  <c r="C16" i="232"/>
  <c r="H16" i="232" s="1"/>
  <c r="C17" i="232"/>
  <c r="C18" i="232"/>
  <c r="H18" i="232" s="1"/>
  <c r="D24" i="232"/>
  <c r="D32" i="232"/>
  <c r="D19" i="232"/>
  <c r="C45" i="232"/>
  <c r="C7" i="232"/>
  <c r="E4" i="232"/>
  <c r="D34" i="231"/>
  <c r="D40" i="231" s="1"/>
  <c r="D26" i="231"/>
  <c r="D32" i="231" s="1"/>
  <c r="D42" i="231"/>
  <c r="D46" i="231" s="1"/>
  <c r="C21" i="231"/>
  <c r="H21" i="231" s="1"/>
  <c r="G4" i="231"/>
  <c r="C22" i="231"/>
  <c r="H22" i="231" s="1"/>
  <c r="C23" i="231"/>
  <c r="H23" i="231" s="1"/>
  <c r="C26" i="231"/>
  <c r="C27" i="231"/>
  <c r="H27" i="231" s="1"/>
  <c r="C28" i="231"/>
  <c r="H28" i="231" s="1"/>
  <c r="C29" i="231"/>
  <c r="H29" i="231" s="1"/>
  <c r="C30" i="231"/>
  <c r="H30" i="231" s="1"/>
  <c r="C31" i="231"/>
  <c r="H31" i="231" s="1"/>
  <c r="C34" i="231"/>
  <c r="H34" i="231" s="1"/>
  <c r="C35" i="231"/>
  <c r="H35" i="231" s="1"/>
  <c r="C36" i="231"/>
  <c r="H36" i="231" s="1"/>
  <c r="C37" i="231"/>
  <c r="H37" i="231" s="1"/>
  <c r="C38" i="231"/>
  <c r="C39" i="231"/>
  <c r="C42" i="231"/>
  <c r="C43" i="231"/>
  <c r="H43" i="231" s="1"/>
  <c r="C44" i="231"/>
  <c r="H44" i="231" s="1"/>
  <c r="C10" i="231"/>
  <c r="H10" i="231" s="1"/>
  <c r="C11" i="231"/>
  <c r="H11" i="231" s="1"/>
  <c r="C12" i="231"/>
  <c r="H12" i="231" s="1"/>
  <c r="C13" i="231"/>
  <c r="H13" i="231" s="1"/>
  <c r="C14" i="231"/>
  <c r="H14" i="231" s="1"/>
  <c r="C15" i="231"/>
  <c r="C16" i="231"/>
  <c r="H16" i="231" s="1"/>
  <c r="C17" i="231"/>
  <c r="H17" i="231" s="1"/>
  <c r="C18" i="231"/>
  <c r="H18" i="231" s="1"/>
  <c r="D24" i="231"/>
  <c r="D19" i="231"/>
  <c r="E11" i="231" s="1"/>
  <c r="C45" i="231"/>
  <c r="C7" i="231"/>
  <c r="E4" i="231"/>
  <c r="C21" i="230"/>
  <c r="H21" i="230" s="1"/>
  <c r="G4" i="230"/>
  <c r="C22" i="230"/>
  <c r="C23" i="230"/>
  <c r="H23" i="230" s="1"/>
  <c r="C26" i="230"/>
  <c r="H26" i="230" s="1"/>
  <c r="C27" i="230"/>
  <c r="H27" i="230" s="1"/>
  <c r="C28" i="230"/>
  <c r="H28" i="230" s="1"/>
  <c r="C29" i="230"/>
  <c r="H29" i="230" s="1"/>
  <c r="C30" i="230"/>
  <c r="H30" i="230" s="1"/>
  <c r="C31" i="230"/>
  <c r="H31" i="230" s="1"/>
  <c r="C34" i="230"/>
  <c r="H34" i="230" s="1"/>
  <c r="C35" i="230"/>
  <c r="H35" i="230" s="1"/>
  <c r="C36" i="230"/>
  <c r="C37" i="230"/>
  <c r="H37" i="230" s="1"/>
  <c r="C38" i="230"/>
  <c r="H38" i="230" s="1"/>
  <c r="C39" i="230"/>
  <c r="C42" i="230"/>
  <c r="H42" i="230" s="1"/>
  <c r="C43" i="230"/>
  <c r="C44" i="230"/>
  <c r="H44" i="230" s="1"/>
  <c r="C10" i="230"/>
  <c r="H10" i="230" s="1"/>
  <c r="C11" i="230"/>
  <c r="H11" i="230" s="1"/>
  <c r="C12" i="230"/>
  <c r="H12" i="230" s="1"/>
  <c r="C13" i="230"/>
  <c r="H13" i="230" s="1"/>
  <c r="C14" i="230"/>
  <c r="H14" i="230" s="1"/>
  <c r="C15" i="230"/>
  <c r="C16" i="230"/>
  <c r="H16" i="230" s="1"/>
  <c r="C17" i="230"/>
  <c r="H17" i="230" s="1"/>
  <c r="C18" i="230"/>
  <c r="H18" i="230" s="1"/>
  <c r="D46" i="230"/>
  <c r="D24" i="230"/>
  <c r="D32" i="230"/>
  <c r="D40" i="230"/>
  <c r="D19" i="230"/>
  <c r="E16" i="230" s="1"/>
  <c r="C45" i="230"/>
  <c r="C7" i="230"/>
  <c r="E4" i="230"/>
  <c r="D26" i="229"/>
  <c r="D32" i="229" s="1"/>
  <c r="C21" i="229"/>
  <c r="H21" i="229" s="1"/>
  <c r="G4" i="229"/>
  <c r="C22" i="229"/>
  <c r="H22" i="229" s="1"/>
  <c r="C23" i="229"/>
  <c r="C26" i="229"/>
  <c r="C27" i="229"/>
  <c r="C28" i="229"/>
  <c r="H28" i="229" s="1"/>
  <c r="C29" i="229"/>
  <c r="C30" i="229"/>
  <c r="C31" i="229"/>
  <c r="H31" i="229" s="1"/>
  <c r="C34" i="229"/>
  <c r="H34" i="229" s="1"/>
  <c r="C35" i="229"/>
  <c r="H35" i="229" s="1"/>
  <c r="C36" i="229"/>
  <c r="H36" i="229" s="1"/>
  <c r="C37" i="229"/>
  <c r="H37" i="229" s="1"/>
  <c r="C38" i="229"/>
  <c r="H38" i="229" s="1"/>
  <c r="C39" i="229"/>
  <c r="H39" i="229" s="1"/>
  <c r="C42" i="229"/>
  <c r="C43" i="229"/>
  <c r="C44" i="229"/>
  <c r="H44" i="229" s="1"/>
  <c r="C10" i="229"/>
  <c r="H10" i="229" s="1"/>
  <c r="C11" i="229"/>
  <c r="H11" i="229" s="1"/>
  <c r="C12" i="229"/>
  <c r="H12" i="229" s="1"/>
  <c r="C13" i="229"/>
  <c r="C14" i="229"/>
  <c r="C15" i="229"/>
  <c r="C16" i="229"/>
  <c r="H16" i="229" s="1"/>
  <c r="C17" i="229"/>
  <c r="H17" i="229" s="1"/>
  <c r="C18" i="229"/>
  <c r="H18" i="229" s="1"/>
  <c r="D46" i="229"/>
  <c r="D24" i="229"/>
  <c r="D40" i="229"/>
  <c r="D19" i="229"/>
  <c r="C45" i="229"/>
  <c r="C7" i="229"/>
  <c r="E4" i="229"/>
  <c r="D26" i="228"/>
  <c r="D32" i="228" s="1"/>
  <c r="C21" i="228"/>
  <c r="H21" i="228" s="1"/>
  <c r="G4" i="228"/>
  <c r="C22" i="228"/>
  <c r="C23" i="228"/>
  <c r="C26" i="228"/>
  <c r="C27" i="228"/>
  <c r="H27" i="228" s="1"/>
  <c r="C28" i="228"/>
  <c r="H28" i="228" s="1"/>
  <c r="C29" i="228"/>
  <c r="H29" i="228" s="1"/>
  <c r="C30" i="228"/>
  <c r="H30" i="228" s="1"/>
  <c r="C31" i="228"/>
  <c r="H31" i="228" s="1"/>
  <c r="C34" i="228"/>
  <c r="C35" i="228"/>
  <c r="H35" i="228" s="1"/>
  <c r="C36" i="228"/>
  <c r="C37" i="228"/>
  <c r="H37" i="228" s="1"/>
  <c r="C38" i="228"/>
  <c r="H38" i="228" s="1"/>
  <c r="C39" i="228"/>
  <c r="H39" i="228" s="1"/>
  <c r="C42" i="228"/>
  <c r="H42" i="228" s="1"/>
  <c r="C43" i="228"/>
  <c r="H43" i="228" s="1"/>
  <c r="C44" i="228"/>
  <c r="H44" i="228" s="1"/>
  <c r="C10" i="228"/>
  <c r="H10" i="228" s="1"/>
  <c r="C11" i="228"/>
  <c r="H11" i="228" s="1"/>
  <c r="C12" i="228"/>
  <c r="H12" i="228" s="1"/>
  <c r="C13" i="228"/>
  <c r="H13" i="228" s="1"/>
  <c r="C14" i="228"/>
  <c r="H14" i="228" s="1"/>
  <c r="C15" i="228"/>
  <c r="H15" i="228" s="1"/>
  <c r="C16" i="228"/>
  <c r="C17" i="228"/>
  <c r="H17" i="228" s="1"/>
  <c r="C18" i="228"/>
  <c r="H18" i="228" s="1"/>
  <c r="D46" i="228"/>
  <c r="D24" i="228"/>
  <c r="D40" i="228"/>
  <c r="D19" i="228"/>
  <c r="E12" i="228" s="1"/>
  <c r="C45" i="228"/>
  <c r="C7" i="228"/>
  <c r="E4" i="228"/>
  <c r="D34" i="227"/>
  <c r="D40" i="227" s="1"/>
  <c r="D42" i="227"/>
  <c r="D46" i="227" s="1"/>
  <c r="C21" i="227"/>
  <c r="H21" i="227" s="1"/>
  <c r="G4" i="227"/>
  <c r="C22" i="227"/>
  <c r="H22" i="227" s="1"/>
  <c r="C23" i="227"/>
  <c r="H23" i="227" s="1"/>
  <c r="C26" i="227"/>
  <c r="C27" i="227"/>
  <c r="C28" i="227"/>
  <c r="H28" i="227" s="1"/>
  <c r="C29" i="227"/>
  <c r="H29" i="227" s="1"/>
  <c r="C30" i="227"/>
  <c r="H30" i="227" s="1"/>
  <c r="C31" i="227"/>
  <c r="H31" i="227" s="1"/>
  <c r="C34" i="227"/>
  <c r="H34" i="227" s="1"/>
  <c r="C35" i="227"/>
  <c r="H35" i="227" s="1"/>
  <c r="C36" i="227"/>
  <c r="H36" i="227" s="1"/>
  <c r="C37" i="227"/>
  <c r="H37" i="227" s="1"/>
  <c r="C38" i="227"/>
  <c r="C39" i="227"/>
  <c r="H39" i="227" s="1"/>
  <c r="C42" i="227"/>
  <c r="C43" i="227"/>
  <c r="H43" i="227" s="1"/>
  <c r="C44" i="227"/>
  <c r="H44" i="227" s="1"/>
  <c r="C10" i="227"/>
  <c r="H10" i="227" s="1"/>
  <c r="C11" i="227"/>
  <c r="H11" i="227" s="1"/>
  <c r="C12" i="227"/>
  <c r="H12" i="227" s="1"/>
  <c r="C13" i="227"/>
  <c r="H13" i="227" s="1"/>
  <c r="C14" i="227"/>
  <c r="H14" i="227" s="1"/>
  <c r="C15" i="227"/>
  <c r="H15" i="227" s="1"/>
  <c r="C16" i="227"/>
  <c r="H16" i="227" s="1"/>
  <c r="C17" i="227"/>
  <c r="H17" i="227" s="1"/>
  <c r="C18" i="227"/>
  <c r="H18" i="227" s="1"/>
  <c r="D24" i="227"/>
  <c r="D32" i="227"/>
  <c r="D19" i="227"/>
  <c r="E17" i="227" s="1"/>
  <c r="E11" i="227"/>
  <c r="C45" i="227"/>
  <c r="C7" i="227"/>
  <c r="E4" i="227"/>
  <c r="D26" i="226"/>
  <c r="D32" i="226" s="1"/>
  <c r="C21" i="226"/>
  <c r="H21" i="226" s="1"/>
  <c r="G4" i="226"/>
  <c r="C22" i="226"/>
  <c r="H22" i="226" s="1"/>
  <c r="C23" i="226"/>
  <c r="H23" i="226" s="1"/>
  <c r="C26" i="226"/>
  <c r="C27" i="226"/>
  <c r="H27" i="226" s="1"/>
  <c r="C28" i="226"/>
  <c r="H28" i="226" s="1"/>
  <c r="C29" i="226"/>
  <c r="H29" i="226" s="1"/>
  <c r="C30" i="226"/>
  <c r="H30" i="226" s="1"/>
  <c r="C31" i="226"/>
  <c r="C34" i="226"/>
  <c r="H34" i="226" s="1"/>
  <c r="C35" i="226"/>
  <c r="C36" i="226"/>
  <c r="H36" i="226" s="1"/>
  <c r="C37" i="226"/>
  <c r="H37" i="226" s="1"/>
  <c r="C38" i="226"/>
  <c r="H38" i="226" s="1"/>
  <c r="C39" i="226"/>
  <c r="H39" i="226" s="1"/>
  <c r="C42" i="226"/>
  <c r="C43" i="226"/>
  <c r="H43" i="226" s="1"/>
  <c r="C44" i="226"/>
  <c r="H44" i="226" s="1"/>
  <c r="C10" i="226"/>
  <c r="C11" i="226"/>
  <c r="C12" i="226"/>
  <c r="C13" i="226"/>
  <c r="H13" i="226" s="1"/>
  <c r="C14" i="226"/>
  <c r="C15" i="226"/>
  <c r="H15" i="226" s="1"/>
  <c r="C16" i="226"/>
  <c r="H16" i="226" s="1"/>
  <c r="C17" i="226"/>
  <c r="H17" i="226" s="1"/>
  <c r="C18" i="226"/>
  <c r="H18" i="226" s="1"/>
  <c r="D46" i="226"/>
  <c r="D24" i="226"/>
  <c r="D40" i="226"/>
  <c r="D19" i="226"/>
  <c r="D50" i="226" s="1"/>
  <c r="C45" i="226"/>
  <c r="C7" i="226"/>
  <c r="E4" i="226"/>
  <c r="D34" i="225"/>
  <c r="D40" i="225" s="1"/>
  <c r="D26" i="225"/>
  <c r="D32" i="225" s="1"/>
  <c r="D42" i="225"/>
  <c r="C21" i="225"/>
  <c r="H21" i="225" s="1"/>
  <c r="G4" i="225"/>
  <c r="C22" i="225"/>
  <c r="H22" i="225" s="1"/>
  <c r="C23" i="225"/>
  <c r="H23" i="225" s="1"/>
  <c r="C26" i="225"/>
  <c r="C27" i="225"/>
  <c r="H27" i="225" s="1"/>
  <c r="C28" i="225"/>
  <c r="H28" i="225" s="1"/>
  <c r="C29" i="225"/>
  <c r="H29" i="225" s="1"/>
  <c r="C30" i="225"/>
  <c r="H30" i="225" s="1"/>
  <c r="C31" i="225"/>
  <c r="H31" i="225" s="1"/>
  <c r="C34" i="225"/>
  <c r="C35" i="225"/>
  <c r="H35" i="225" s="1"/>
  <c r="C36" i="225"/>
  <c r="H36" i="225" s="1"/>
  <c r="C37" i="225"/>
  <c r="C38" i="225"/>
  <c r="H38" i="225" s="1"/>
  <c r="C39" i="225"/>
  <c r="H39" i="225" s="1"/>
  <c r="C42" i="225"/>
  <c r="C43" i="225"/>
  <c r="H43" i="225" s="1"/>
  <c r="C44" i="225"/>
  <c r="H44" i="225" s="1"/>
  <c r="C10" i="225"/>
  <c r="C11" i="225"/>
  <c r="H11" i="225" s="1"/>
  <c r="C12" i="225"/>
  <c r="H12" i="225" s="1"/>
  <c r="C13" i="225"/>
  <c r="H13" i="225" s="1"/>
  <c r="C14" i="225"/>
  <c r="H14" i="225" s="1"/>
  <c r="C15" i="225"/>
  <c r="H15" i="225" s="1"/>
  <c r="C16" i="225"/>
  <c r="H16" i="225" s="1"/>
  <c r="C17" i="225"/>
  <c r="H17" i="225" s="1"/>
  <c r="C18" i="225"/>
  <c r="D24" i="225"/>
  <c r="D19" i="225"/>
  <c r="E10" i="225" s="1"/>
  <c r="C45" i="225"/>
  <c r="C7" i="225"/>
  <c r="E4" i="225"/>
  <c r="D34" i="224"/>
  <c r="D40" i="224" s="1"/>
  <c r="D42" i="224"/>
  <c r="C21" i="224"/>
  <c r="H21" i="224" s="1"/>
  <c r="G4" i="224"/>
  <c r="C22" i="224"/>
  <c r="H22" i="224" s="1"/>
  <c r="C23" i="224"/>
  <c r="C26" i="224"/>
  <c r="H26" i="224" s="1"/>
  <c r="C27" i="224"/>
  <c r="H27" i="224" s="1"/>
  <c r="C28" i="224"/>
  <c r="H28" i="224" s="1"/>
  <c r="C29" i="224"/>
  <c r="H29" i="224" s="1"/>
  <c r="C30" i="224"/>
  <c r="H30" i="224" s="1"/>
  <c r="C31" i="224"/>
  <c r="H31" i="224" s="1"/>
  <c r="C34" i="224"/>
  <c r="C35" i="224"/>
  <c r="H35" i="224" s="1"/>
  <c r="C36" i="224"/>
  <c r="H36" i="224" s="1"/>
  <c r="C37" i="224"/>
  <c r="C38" i="224"/>
  <c r="H38" i="224" s="1"/>
  <c r="C39" i="224"/>
  <c r="H39" i="224" s="1"/>
  <c r="C42" i="224"/>
  <c r="H42" i="224" s="1"/>
  <c r="C43" i="224"/>
  <c r="C44" i="224"/>
  <c r="H44" i="224" s="1"/>
  <c r="C10" i="224"/>
  <c r="H10" i="224" s="1"/>
  <c r="C11" i="224"/>
  <c r="H11" i="224" s="1"/>
  <c r="C12" i="224"/>
  <c r="H12" i="224" s="1"/>
  <c r="C13" i="224"/>
  <c r="H13" i="224" s="1"/>
  <c r="C14" i="224"/>
  <c r="H14" i="224" s="1"/>
  <c r="C15" i="224"/>
  <c r="H15" i="224" s="1"/>
  <c r="C16" i="224"/>
  <c r="H16" i="224" s="1"/>
  <c r="C17" i="224"/>
  <c r="C18" i="224"/>
  <c r="H18" i="224" s="1"/>
  <c r="D46" i="224"/>
  <c r="D24" i="224"/>
  <c r="D32" i="224"/>
  <c r="D19" i="224"/>
  <c r="E14" i="224" s="1"/>
  <c r="C45" i="224"/>
  <c r="C7" i="224"/>
  <c r="E4" i="224"/>
  <c r="D34" i="223"/>
  <c r="D40" i="223" s="1"/>
  <c r="D26" i="223"/>
  <c r="D32" i="223"/>
  <c r="D42" i="223"/>
  <c r="C21" i="223"/>
  <c r="G4" i="223"/>
  <c r="C22" i="223"/>
  <c r="H22" i="223" s="1"/>
  <c r="C23" i="223"/>
  <c r="H23" i="223" s="1"/>
  <c r="C26" i="223"/>
  <c r="C27" i="223"/>
  <c r="H27" i="223" s="1"/>
  <c r="C28" i="223"/>
  <c r="H28" i="223" s="1"/>
  <c r="C29" i="223"/>
  <c r="H29" i="223" s="1"/>
  <c r="C30" i="223"/>
  <c r="H30" i="223" s="1"/>
  <c r="C31" i="223"/>
  <c r="H31" i="223" s="1"/>
  <c r="C34" i="223"/>
  <c r="C35" i="223"/>
  <c r="C36" i="223"/>
  <c r="H36" i="223" s="1"/>
  <c r="C37" i="223"/>
  <c r="C38" i="223"/>
  <c r="H38" i="223" s="1"/>
  <c r="C39" i="223"/>
  <c r="H39" i="223" s="1"/>
  <c r="C42" i="223"/>
  <c r="C43" i="223"/>
  <c r="C44" i="223"/>
  <c r="H44" i="223" s="1"/>
  <c r="C10" i="223"/>
  <c r="C11" i="223"/>
  <c r="C12" i="223"/>
  <c r="H12" i="223" s="1"/>
  <c r="C13" i="223"/>
  <c r="H13" i="223" s="1"/>
  <c r="C14" i="223"/>
  <c r="H14" i="223" s="1"/>
  <c r="C15" i="223"/>
  <c r="C16" i="223"/>
  <c r="H16" i="223" s="1"/>
  <c r="C17" i="223"/>
  <c r="H17" i="223" s="1"/>
  <c r="C18" i="223"/>
  <c r="D24" i="223"/>
  <c r="D19" i="223"/>
  <c r="C45" i="223"/>
  <c r="C7" i="223"/>
  <c r="E4" i="223"/>
  <c r="D26" i="222"/>
  <c r="D34" i="222"/>
  <c r="D40" i="222" s="1"/>
  <c r="D42" i="222"/>
  <c r="D46" i="222" s="1"/>
  <c r="C21" i="222"/>
  <c r="G4" i="222"/>
  <c r="C22" i="222"/>
  <c r="C23" i="222"/>
  <c r="H23" i="222" s="1"/>
  <c r="C26" i="222"/>
  <c r="C27" i="222"/>
  <c r="C28" i="222"/>
  <c r="H28" i="222" s="1"/>
  <c r="C29" i="222"/>
  <c r="C30" i="222"/>
  <c r="C31" i="222"/>
  <c r="H31" i="222" s="1"/>
  <c r="C34" i="222"/>
  <c r="C35" i="222"/>
  <c r="H35" i="222" s="1"/>
  <c r="C36" i="222"/>
  <c r="C37" i="222"/>
  <c r="C38" i="222"/>
  <c r="H38" i="222" s="1"/>
  <c r="C39" i="222"/>
  <c r="H39" i="222" s="1"/>
  <c r="C42" i="222"/>
  <c r="C43" i="222"/>
  <c r="H43" i="222" s="1"/>
  <c r="C44" i="222"/>
  <c r="C10" i="222"/>
  <c r="C11" i="222"/>
  <c r="H11" i="222" s="1"/>
  <c r="C12" i="222"/>
  <c r="C13" i="222"/>
  <c r="C14" i="222"/>
  <c r="H14" i="222" s="1"/>
  <c r="C15" i="222"/>
  <c r="H15" i="222" s="1"/>
  <c r="C16" i="222"/>
  <c r="C17" i="222"/>
  <c r="H17" i="222" s="1"/>
  <c r="C18" i="222"/>
  <c r="D24" i="222"/>
  <c r="D19" i="222"/>
  <c r="E11" i="222" s="1"/>
  <c r="C45" i="222"/>
  <c r="C7" i="222"/>
  <c r="E4" i="222"/>
  <c r="D26" i="219"/>
  <c r="D32" i="219" s="1"/>
  <c r="D34" i="221"/>
  <c r="D42" i="221"/>
  <c r="C21" i="221"/>
  <c r="H21" i="221" s="1"/>
  <c r="G4" i="221"/>
  <c r="C22" i="221"/>
  <c r="H22" i="221" s="1"/>
  <c r="C23" i="221"/>
  <c r="C26" i="221"/>
  <c r="H26" i="221" s="1"/>
  <c r="C27" i="221"/>
  <c r="H27" i="221" s="1"/>
  <c r="C28" i="221"/>
  <c r="H28" i="221" s="1"/>
  <c r="C29" i="221"/>
  <c r="H29" i="221" s="1"/>
  <c r="C30" i="221"/>
  <c r="H30" i="221" s="1"/>
  <c r="C31" i="221"/>
  <c r="C34" i="221"/>
  <c r="C35" i="221"/>
  <c r="H35" i="221" s="1"/>
  <c r="C36" i="221"/>
  <c r="C37" i="221"/>
  <c r="H37" i="221" s="1"/>
  <c r="C38" i="221"/>
  <c r="H38" i="221" s="1"/>
  <c r="C39" i="221"/>
  <c r="C42" i="221"/>
  <c r="C43" i="221"/>
  <c r="H43" i="221" s="1"/>
  <c r="C44" i="221"/>
  <c r="H44" i="221" s="1"/>
  <c r="C10" i="221"/>
  <c r="H10" i="221" s="1"/>
  <c r="C11" i="221"/>
  <c r="C12" i="221"/>
  <c r="H12" i="221" s="1"/>
  <c r="C13" i="221"/>
  <c r="H13" i="221" s="1"/>
  <c r="C14" i="221"/>
  <c r="C15" i="221"/>
  <c r="H15" i="221" s="1"/>
  <c r="C16" i="221"/>
  <c r="H16" i="221" s="1"/>
  <c r="C17" i="221"/>
  <c r="H17" i="221" s="1"/>
  <c r="C18" i="221"/>
  <c r="H18" i="221" s="1"/>
  <c r="D24" i="221"/>
  <c r="D32" i="221"/>
  <c r="D19" i="221"/>
  <c r="C45" i="221"/>
  <c r="C7" i="221"/>
  <c r="E4" i="221"/>
  <c r="C21" i="220"/>
  <c r="G4" i="220"/>
  <c r="C22" i="220"/>
  <c r="H22" i="220" s="1"/>
  <c r="C23" i="220"/>
  <c r="H23" i="220" s="1"/>
  <c r="C26" i="220"/>
  <c r="H26" i="220" s="1"/>
  <c r="C27" i="220"/>
  <c r="C28" i="220"/>
  <c r="H28" i="220" s="1"/>
  <c r="C29" i="220"/>
  <c r="H29" i="220" s="1"/>
  <c r="C30" i="220"/>
  <c r="H30" i="220" s="1"/>
  <c r="C31" i="220"/>
  <c r="H31" i="220" s="1"/>
  <c r="C34" i="220"/>
  <c r="H34" i="220" s="1"/>
  <c r="C35" i="220"/>
  <c r="C36" i="220"/>
  <c r="H36" i="220" s="1"/>
  <c r="C37" i="220"/>
  <c r="H37" i="220" s="1"/>
  <c r="C38" i="220"/>
  <c r="H38" i="220" s="1"/>
  <c r="C39" i="220"/>
  <c r="H39" i="220" s="1"/>
  <c r="C42" i="220"/>
  <c r="H42" i="220" s="1"/>
  <c r="C43" i="220"/>
  <c r="C44" i="220"/>
  <c r="H44" i="220" s="1"/>
  <c r="C10" i="220"/>
  <c r="C11" i="220"/>
  <c r="C12" i="220"/>
  <c r="C13" i="220"/>
  <c r="H13" i="220" s="1"/>
  <c r="C14" i="220"/>
  <c r="H14" i="220" s="1"/>
  <c r="C15" i="220"/>
  <c r="C16" i="220"/>
  <c r="H16" i="220" s="1"/>
  <c r="C17" i="220"/>
  <c r="C18" i="220"/>
  <c r="D46" i="220"/>
  <c r="D24" i="220"/>
  <c r="D32" i="220"/>
  <c r="D40" i="220"/>
  <c r="D19" i="220"/>
  <c r="E11" i="220" s="1"/>
  <c r="C45" i="220"/>
  <c r="C7" i="220"/>
  <c r="E4" i="220"/>
  <c r="D34" i="213"/>
  <c r="D42" i="213"/>
  <c r="D46" i="213" s="1"/>
  <c r="C21" i="219"/>
  <c r="G4" i="219"/>
  <c r="C22" i="219"/>
  <c r="H22" i="219" s="1"/>
  <c r="C23" i="219"/>
  <c r="H23" i="219" s="1"/>
  <c r="C26" i="219"/>
  <c r="C27" i="219"/>
  <c r="C28" i="219"/>
  <c r="H28" i="219" s="1"/>
  <c r="C29" i="219"/>
  <c r="H29" i="219" s="1"/>
  <c r="C30" i="219"/>
  <c r="H30" i="219" s="1"/>
  <c r="C31" i="219"/>
  <c r="H31" i="219" s="1"/>
  <c r="C34" i="219"/>
  <c r="H34" i="219" s="1"/>
  <c r="C35" i="219"/>
  <c r="C36" i="219"/>
  <c r="H36" i="219" s="1"/>
  <c r="C37" i="219"/>
  <c r="C38" i="219"/>
  <c r="H38" i="219" s="1"/>
  <c r="C39" i="219"/>
  <c r="H39" i="219" s="1"/>
  <c r="C42" i="219"/>
  <c r="H42" i="219" s="1"/>
  <c r="C43" i="219"/>
  <c r="H43" i="219" s="1"/>
  <c r="C44" i="219"/>
  <c r="H44" i="219" s="1"/>
  <c r="C10" i="219"/>
  <c r="C11" i="219"/>
  <c r="C12" i="219"/>
  <c r="C13" i="219"/>
  <c r="H13" i="219" s="1"/>
  <c r="C14" i="219"/>
  <c r="H14" i="219" s="1"/>
  <c r="C15" i="219"/>
  <c r="H15" i="219" s="1"/>
  <c r="C16" i="219"/>
  <c r="H16" i="219" s="1"/>
  <c r="C17" i="219"/>
  <c r="H17" i="219" s="1"/>
  <c r="C18" i="219"/>
  <c r="D46" i="219"/>
  <c r="D24" i="219"/>
  <c r="D40" i="219"/>
  <c r="D48" i="219" s="1"/>
  <c r="E30" i="219" s="1"/>
  <c r="D19" i="219"/>
  <c r="E16" i="219" s="1"/>
  <c r="C45" i="219"/>
  <c r="C7" i="219"/>
  <c r="E4" i="219"/>
  <c r="D34" i="218"/>
  <c r="D42" i="218"/>
  <c r="C21" i="218"/>
  <c r="H21" i="218" s="1"/>
  <c r="G4" i="218"/>
  <c r="C22" i="218"/>
  <c r="H22" i="218" s="1"/>
  <c r="C23" i="218"/>
  <c r="H23" i="218" s="1"/>
  <c r="C26" i="218"/>
  <c r="H26" i="218" s="1"/>
  <c r="C27" i="218"/>
  <c r="H27" i="218" s="1"/>
  <c r="C28" i="218"/>
  <c r="H28" i="218" s="1"/>
  <c r="C29" i="218"/>
  <c r="H29" i="218" s="1"/>
  <c r="C30" i="218"/>
  <c r="H30" i="218" s="1"/>
  <c r="C31" i="218"/>
  <c r="C34" i="218"/>
  <c r="C35" i="218"/>
  <c r="C36" i="218"/>
  <c r="H36" i="218" s="1"/>
  <c r="C37" i="218"/>
  <c r="C38" i="218"/>
  <c r="H38" i="218" s="1"/>
  <c r="C39" i="218"/>
  <c r="H39" i="218" s="1"/>
  <c r="C42" i="218"/>
  <c r="C43" i="218"/>
  <c r="H43" i="218" s="1"/>
  <c r="C44" i="218"/>
  <c r="H44" i="218" s="1"/>
  <c r="C10" i="218"/>
  <c r="H10" i="218" s="1"/>
  <c r="C11" i="218"/>
  <c r="C12" i="218"/>
  <c r="H12" i="218" s="1"/>
  <c r="C13" i="218"/>
  <c r="H13" i="218" s="1"/>
  <c r="C14" i="218"/>
  <c r="H14" i="218" s="1"/>
  <c r="C15" i="218"/>
  <c r="H15" i="218" s="1"/>
  <c r="C16" i="218"/>
  <c r="H16" i="218" s="1"/>
  <c r="C17" i="218"/>
  <c r="H17" i="218" s="1"/>
  <c r="C18" i="218"/>
  <c r="H18" i="218" s="1"/>
  <c r="D24" i="218"/>
  <c r="D32" i="218"/>
  <c r="D19" i="218"/>
  <c r="E17" i="218" s="1"/>
  <c r="C45" i="218"/>
  <c r="C7" i="218"/>
  <c r="E4" i="218"/>
  <c r="D34" i="217"/>
  <c r="D26" i="217"/>
  <c r="D42" i="217"/>
  <c r="D46" i="217" s="1"/>
  <c r="C21" i="217"/>
  <c r="G4" i="217"/>
  <c r="C22" i="217"/>
  <c r="H22" i="217" s="1"/>
  <c r="C23" i="217"/>
  <c r="H23" i="217" s="1"/>
  <c r="C26" i="217"/>
  <c r="C27" i="217"/>
  <c r="H27" i="217" s="1"/>
  <c r="C28" i="217"/>
  <c r="H28" i="217" s="1"/>
  <c r="C29" i="217"/>
  <c r="H29" i="217" s="1"/>
  <c r="C30" i="217"/>
  <c r="C31" i="217"/>
  <c r="H31" i="217" s="1"/>
  <c r="C34" i="217"/>
  <c r="C35" i="217"/>
  <c r="H35" i="217" s="1"/>
  <c r="C36" i="217"/>
  <c r="H36" i="217" s="1"/>
  <c r="C37" i="217"/>
  <c r="C38" i="217"/>
  <c r="H38" i="217" s="1"/>
  <c r="C39" i="217"/>
  <c r="H39" i="217" s="1"/>
  <c r="C42" i="217"/>
  <c r="H42" i="217" s="1"/>
  <c r="C43" i="217"/>
  <c r="H43" i="217" s="1"/>
  <c r="C44" i="217"/>
  <c r="C10" i="217"/>
  <c r="H10" i="217" s="1"/>
  <c r="C11" i="217"/>
  <c r="H11" i="217" s="1"/>
  <c r="C12" i="217"/>
  <c r="H12" i="217" s="1"/>
  <c r="C13" i="217"/>
  <c r="H13" i="217" s="1"/>
  <c r="C14" i="217"/>
  <c r="H14" i="217" s="1"/>
  <c r="C15" i="217"/>
  <c r="H15" i="217" s="1"/>
  <c r="C16" i="217"/>
  <c r="C17" i="217"/>
  <c r="H17" i="217" s="1"/>
  <c r="C18" i="217"/>
  <c r="H18" i="217" s="1"/>
  <c r="D24" i="217"/>
  <c r="D19" i="217"/>
  <c r="C45" i="217"/>
  <c r="C7" i="217"/>
  <c r="E4" i="217"/>
  <c r="D34" i="216"/>
  <c r="D40" i="216" s="1"/>
  <c r="D42" i="216"/>
  <c r="D46" i="216" s="1"/>
  <c r="C21" i="216"/>
  <c r="H21" i="216" s="1"/>
  <c r="G4" i="216"/>
  <c r="C22" i="216"/>
  <c r="H22" i="216" s="1"/>
  <c r="C23" i="216"/>
  <c r="H23" i="216" s="1"/>
  <c r="C26" i="216"/>
  <c r="H26" i="216" s="1"/>
  <c r="C27" i="216"/>
  <c r="H27" i="216" s="1"/>
  <c r="C28" i="216"/>
  <c r="C29" i="216"/>
  <c r="H29" i="216" s="1"/>
  <c r="C30" i="216"/>
  <c r="H30" i="216" s="1"/>
  <c r="C31" i="216"/>
  <c r="H31" i="216" s="1"/>
  <c r="C34" i="216"/>
  <c r="C35" i="216"/>
  <c r="H35" i="216" s="1"/>
  <c r="C36" i="216"/>
  <c r="C37" i="216"/>
  <c r="C38" i="216"/>
  <c r="H38" i="216" s="1"/>
  <c r="C39" i="216"/>
  <c r="C42" i="216"/>
  <c r="C43" i="216"/>
  <c r="H43" i="216" s="1"/>
  <c r="C44" i="216"/>
  <c r="C10" i="216"/>
  <c r="H10" i="216" s="1"/>
  <c r="C11" i="216"/>
  <c r="C12" i="216"/>
  <c r="H12" i="216" s="1"/>
  <c r="C13" i="216"/>
  <c r="H13" i="216" s="1"/>
  <c r="C14" i="216"/>
  <c r="H14" i="216" s="1"/>
  <c r="C15" i="216"/>
  <c r="H15" i="216" s="1"/>
  <c r="C16" i="216"/>
  <c r="C17" i="216"/>
  <c r="H17" i="216" s="1"/>
  <c r="C18" i="216"/>
  <c r="H18" i="216" s="1"/>
  <c r="D24" i="216"/>
  <c r="D32" i="216"/>
  <c r="D19" i="216"/>
  <c r="E19" i="216" s="1"/>
  <c r="C45" i="216"/>
  <c r="C7" i="216"/>
  <c r="E4" i="216"/>
  <c r="D26" i="215"/>
  <c r="C21" i="215"/>
  <c r="G4" i="215"/>
  <c r="C22" i="215"/>
  <c r="H22" i="215" s="1"/>
  <c r="C23" i="215"/>
  <c r="H23" i="215" s="1"/>
  <c r="C26" i="215"/>
  <c r="C27" i="215"/>
  <c r="C28" i="215"/>
  <c r="C29" i="215"/>
  <c r="C30" i="215"/>
  <c r="C31" i="215"/>
  <c r="C34" i="215"/>
  <c r="H34" i="215" s="1"/>
  <c r="C35" i="215"/>
  <c r="C36" i="215"/>
  <c r="H36" i="215" s="1"/>
  <c r="C37" i="215"/>
  <c r="H37" i="215" s="1"/>
  <c r="C38" i="215"/>
  <c r="C39" i="215"/>
  <c r="H39" i="215" s="1"/>
  <c r="C42" i="215"/>
  <c r="C43" i="215"/>
  <c r="C44" i="215"/>
  <c r="H44" i="215" s="1"/>
  <c r="C10" i="215"/>
  <c r="C11" i="215"/>
  <c r="C12" i="215"/>
  <c r="H12" i="215" s="1"/>
  <c r="C13" i="215"/>
  <c r="C14" i="215"/>
  <c r="H14" i="215" s="1"/>
  <c r="C15" i="215"/>
  <c r="C16" i="215"/>
  <c r="H16" i="215" s="1"/>
  <c r="C17" i="215"/>
  <c r="H17" i="215" s="1"/>
  <c r="C18" i="215"/>
  <c r="D46" i="215"/>
  <c r="D24" i="215"/>
  <c r="D40" i="215"/>
  <c r="D19" i="215"/>
  <c r="E11" i="215" s="1"/>
  <c r="C45" i="215"/>
  <c r="C7" i="215"/>
  <c r="E4" i="215"/>
  <c r="D34" i="214"/>
  <c r="D40" i="214" s="1"/>
  <c r="D42" i="214"/>
  <c r="D46" i="214" s="1"/>
  <c r="C21" i="214"/>
  <c r="G4" i="214"/>
  <c r="C22" i="214"/>
  <c r="H22" i="214" s="1"/>
  <c r="C23" i="214"/>
  <c r="H23" i="214" s="1"/>
  <c r="C26" i="214"/>
  <c r="H26" i="214" s="1"/>
  <c r="C27" i="214"/>
  <c r="C28" i="214"/>
  <c r="C29" i="214"/>
  <c r="C30" i="214"/>
  <c r="C31" i="214"/>
  <c r="C34" i="214"/>
  <c r="C35" i="214"/>
  <c r="C36" i="214"/>
  <c r="H36" i="214" s="1"/>
  <c r="C37" i="214"/>
  <c r="H37" i="214" s="1"/>
  <c r="C38" i="214"/>
  <c r="H38" i="214" s="1"/>
  <c r="C39" i="214"/>
  <c r="H39" i="214" s="1"/>
  <c r="C42" i="214"/>
  <c r="C43" i="214"/>
  <c r="C44" i="214"/>
  <c r="C10" i="214"/>
  <c r="C11" i="214"/>
  <c r="C12" i="214"/>
  <c r="H12" i="214" s="1"/>
  <c r="C13" i="214"/>
  <c r="C14" i="214"/>
  <c r="H14" i="214" s="1"/>
  <c r="C15" i="214"/>
  <c r="C16" i="214"/>
  <c r="H16" i="214" s="1"/>
  <c r="C17" i="214"/>
  <c r="H17" i="214" s="1"/>
  <c r="C18" i="214"/>
  <c r="D24" i="214"/>
  <c r="D32" i="214"/>
  <c r="D19" i="214"/>
  <c r="E11" i="214" s="1"/>
  <c r="C45" i="214"/>
  <c r="C7" i="214"/>
  <c r="E4" i="214"/>
  <c r="D26" i="213"/>
  <c r="D32" i="213" s="1"/>
  <c r="C21" i="213"/>
  <c r="H21" i="213" s="1"/>
  <c r="G4" i="213"/>
  <c r="C22" i="213"/>
  <c r="H22" i="213" s="1"/>
  <c r="C23" i="213"/>
  <c r="C26" i="213"/>
  <c r="C27" i="213"/>
  <c r="H27" i="213" s="1"/>
  <c r="C28" i="213"/>
  <c r="H28" i="213" s="1"/>
  <c r="C29" i="213"/>
  <c r="H29" i="213" s="1"/>
  <c r="C30" i="213"/>
  <c r="H30" i="213" s="1"/>
  <c r="C31" i="213"/>
  <c r="H31" i="213" s="1"/>
  <c r="C34" i="213"/>
  <c r="C35" i="213"/>
  <c r="H35" i="213" s="1"/>
  <c r="C36" i="213"/>
  <c r="H36" i="213" s="1"/>
  <c r="C37" i="213"/>
  <c r="C38" i="213"/>
  <c r="C39" i="213"/>
  <c r="H39" i="213" s="1"/>
  <c r="C42" i="213"/>
  <c r="C43" i="213"/>
  <c r="H43" i="213" s="1"/>
  <c r="C44" i="213"/>
  <c r="H44" i="213" s="1"/>
  <c r="C10" i="213"/>
  <c r="H10" i="213" s="1"/>
  <c r="C11" i="213"/>
  <c r="H11" i="213" s="1"/>
  <c r="C12" i="213"/>
  <c r="H12" i="213" s="1"/>
  <c r="C13" i="213"/>
  <c r="H13" i="213" s="1"/>
  <c r="C14" i="213"/>
  <c r="H14" i="213" s="1"/>
  <c r="C15" i="213"/>
  <c r="H15" i="213" s="1"/>
  <c r="C16" i="213"/>
  <c r="H16" i="213" s="1"/>
  <c r="C17" i="213"/>
  <c r="C18" i="213"/>
  <c r="H18" i="213" s="1"/>
  <c r="D24" i="213"/>
  <c r="D19" i="213"/>
  <c r="E18" i="213" s="1"/>
  <c r="C45" i="213"/>
  <c r="C7" i="213"/>
  <c r="E4" i="213"/>
  <c r="D26" i="212"/>
  <c r="C21" i="212"/>
  <c r="H21" i="212" s="1"/>
  <c r="G4" i="212"/>
  <c r="C22" i="212"/>
  <c r="H22" i="212" s="1"/>
  <c r="C23" i="212"/>
  <c r="H23" i="212" s="1"/>
  <c r="C26" i="212"/>
  <c r="C27" i="212"/>
  <c r="H27" i="212" s="1"/>
  <c r="C28" i="212"/>
  <c r="C29" i="212"/>
  <c r="C30" i="212"/>
  <c r="C31" i="212"/>
  <c r="C34" i="212"/>
  <c r="H34" i="212" s="1"/>
  <c r="C35" i="212"/>
  <c r="H35" i="212" s="1"/>
  <c r="C36" i="212"/>
  <c r="C37" i="212"/>
  <c r="H37" i="212" s="1"/>
  <c r="C38" i="212"/>
  <c r="H38" i="212" s="1"/>
  <c r="C39" i="212"/>
  <c r="H39" i="212" s="1"/>
  <c r="C42" i="212"/>
  <c r="C43" i="212"/>
  <c r="C44" i="212"/>
  <c r="C10" i="212"/>
  <c r="H10" i="212" s="1"/>
  <c r="C11" i="212"/>
  <c r="C12" i="212"/>
  <c r="C13" i="212"/>
  <c r="H13" i="212" s="1"/>
  <c r="C14" i="212"/>
  <c r="C15" i="212"/>
  <c r="H15" i="212" s="1"/>
  <c r="C16" i="212"/>
  <c r="C17" i="212"/>
  <c r="H17" i="212" s="1"/>
  <c r="C18" i="212"/>
  <c r="H18" i="212" s="1"/>
  <c r="D46" i="212"/>
  <c r="D24" i="212"/>
  <c r="D40" i="212"/>
  <c r="D19" i="212"/>
  <c r="C45" i="212"/>
  <c r="C7" i="212"/>
  <c r="E4" i="212"/>
  <c r="C21" i="211"/>
  <c r="G4" i="211"/>
  <c r="C22" i="211"/>
  <c r="H22" i="211" s="1"/>
  <c r="C23" i="211"/>
  <c r="H23" i="211" s="1"/>
  <c r="C26" i="211"/>
  <c r="C27" i="211"/>
  <c r="H27" i="211" s="1"/>
  <c r="C28" i="211"/>
  <c r="H28" i="211" s="1"/>
  <c r="C29" i="211"/>
  <c r="C30" i="211"/>
  <c r="C31" i="211"/>
  <c r="H31" i="211" s="1"/>
  <c r="C34" i="211"/>
  <c r="H34" i="211" s="1"/>
  <c r="C35" i="211"/>
  <c r="H35" i="211" s="1"/>
  <c r="C36" i="211"/>
  <c r="H36" i="211" s="1"/>
  <c r="C37" i="211"/>
  <c r="C38" i="211"/>
  <c r="H38" i="211" s="1"/>
  <c r="C39" i="211"/>
  <c r="H39" i="211" s="1"/>
  <c r="C42" i="211"/>
  <c r="C43" i="211"/>
  <c r="C44" i="211"/>
  <c r="C10" i="211"/>
  <c r="H10" i="211" s="1"/>
  <c r="C11" i="211"/>
  <c r="H11" i="211" s="1"/>
  <c r="C12" i="211"/>
  <c r="C13" i="211"/>
  <c r="C14" i="211"/>
  <c r="H14" i="211" s="1"/>
  <c r="C15" i="211"/>
  <c r="C16" i="211"/>
  <c r="C17" i="211"/>
  <c r="C18" i="211"/>
  <c r="H18" i="211" s="1"/>
  <c r="D46" i="211"/>
  <c r="D24" i="211"/>
  <c r="D32" i="211"/>
  <c r="D40" i="211"/>
  <c r="D19" i="211"/>
  <c r="E16" i="211" s="1"/>
  <c r="C45" i="211"/>
  <c r="C7" i="211"/>
  <c r="E4" i="211"/>
  <c r="D34" i="210"/>
  <c r="D40" i="210" s="1"/>
  <c r="D42" i="210"/>
  <c r="D46" i="210" s="1"/>
  <c r="C21" i="210"/>
  <c r="G4" i="210"/>
  <c r="C22" i="210"/>
  <c r="H22" i="210" s="1"/>
  <c r="C23" i="210"/>
  <c r="H23" i="210" s="1"/>
  <c r="C26" i="210"/>
  <c r="C27" i="210"/>
  <c r="H27" i="210" s="1"/>
  <c r="C28" i="210"/>
  <c r="H28" i="210" s="1"/>
  <c r="C29" i="210"/>
  <c r="C30" i="210"/>
  <c r="C31" i="210"/>
  <c r="H31" i="210" s="1"/>
  <c r="C34" i="210"/>
  <c r="H34" i="210" s="1"/>
  <c r="C35" i="210"/>
  <c r="H35" i="210" s="1"/>
  <c r="C36" i="210"/>
  <c r="H36" i="210" s="1"/>
  <c r="C37" i="210"/>
  <c r="C38" i="210"/>
  <c r="H38" i="210" s="1"/>
  <c r="C39" i="210"/>
  <c r="H39" i="210" s="1"/>
  <c r="C42" i="210"/>
  <c r="C43" i="210"/>
  <c r="C44" i="210"/>
  <c r="C10" i="210"/>
  <c r="C11" i="210"/>
  <c r="H11" i="210" s="1"/>
  <c r="C12" i="210"/>
  <c r="C13" i="210"/>
  <c r="C14" i="210"/>
  <c r="H14" i="210" s="1"/>
  <c r="C15" i="210"/>
  <c r="C16" i="210"/>
  <c r="C17" i="210"/>
  <c r="C18" i="210"/>
  <c r="D24" i="210"/>
  <c r="D32" i="210"/>
  <c r="D19" i="210"/>
  <c r="E16" i="210" s="1"/>
  <c r="C45" i="210"/>
  <c r="C7" i="210"/>
  <c r="E4" i="210"/>
  <c r="D34" i="209"/>
  <c r="D40" i="209" s="1"/>
  <c r="D42" i="209"/>
  <c r="D46" i="209" s="1"/>
  <c r="C21" i="209"/>
  <c r="G4" i="209"/>
  <c r="C22" i="209"/>
  <c r="H22" i="209" s="1"/>
  <c r="C23" i="209"/>
  <c r="H23" i="209" s="1"/>
  <c r="C26" i="209"/>
  <c r="C27" i="209"/>
  <c r="C28" i="209"/>
  <c r="H28" i="209" s="1"/>
  <c r="C29" i="209"/>
  <c r="C30" i="209"/>
  <c r="C31" i="209"/>
  <c r="H31" i="209" s="1"/>
  <c r="C34" i="209"/>
  <c r="C35" i="209"/>
  <c r="H35" i="209" s="1"/>
  <c r="C36" i="209"/>
  <c r="H36" i="209" s="1"/>
  <c r="C37" i="209"/>
  <c r="C38" i="209"/>
  <c r="H38" i="209" s="1"/>
  <c r="C39" i="209"/>
  <c r="H39" i="209" s="1"/>
  <c r="C42" i="209"/>
  <c r="C43" i="209"/>
  <c r="C44" i="209"/>
  <c r="C10" i="209"/>
  <c r="H10" i="209" s="1"/>
  <c r="C11" i="209"/>
  <c r="H11" i="209" s="1"/>
  <c r="C12" i="209"/>
  <c r="C13" i="209"/>
  <c r="C14" i="209"/>
  <c r="H14" i="209" s="1"/>
  <c r="C15" i="209"/>
  <c r="C16" i="209"/>
  <c r="C17" i="209"/>
  <c r="C18" i="209"/>
  <c r="H18" i="209" s="1"/>
  <c r="D24" i="209"/>
  <c r="D32" i="209"/>
  <c r="D19" i="209"/>
  <c r="C45" i="209"/>
  <c r="C7" i="209"/>
  <c r="E4" i="209"/>
  <c r="D26" i="208"/>
  <c r="E3" i="208"/>
  <c r="E4" i="208" s="1"/>
  <c r="C21" i="208"/>
  <c r="G4" i="208"/>
  <c r="C22" i="208"/>
  <c r="H22" i="208" s="1"/>
  <c r="C23" i="208"/>
  <c r="H23" i="208" s="1"/>
  <c r="C26" i="208"/>
  <c r="C27" i="208"/>
  <c r="H27" i="208" s="1"/>
  <c r="C28" i="208"/>
  <c r="H28" i="208" s="1"/>
  <c r="C29" i="208"/>
  <c r="H29" i="208" s="1"/>
  <c r="C30" i="208"/>
  <c r="C31" i="208"/>
  <c r="H31" i="208" s="1"/>
  <c r="C34" i="208"/>
  <c r="H34" i="208" s="1"/>
  <c r="C35" i="208"/>
  <c r="H35" i="208" s="1"/>
  <c r="C36" i="208"/>
  <c r="H36" i="208" s="1"/>
  <c r="C37" i="208"/>
  <c r="C38" i="208"/>
  <c r="H38" i="208" s="1"/>
  <c r="C39" i="208"/>
  <c r="H39" i="208" s="1"/>
  <c r="C42" i="208"/>
  <c r="C43" i="208"/>
  <c r="H43" i="208" s="1"/>
  <c r="C44" i="208"/>
  <c r="C10" i="208"/>
  <c r="H10" i="208" s="1"/>
  <c r="C11" i="208"/>
  <c r="H11" i="208" s="1"/>
  <c r="C12" i="208"/>
  <c r="H12" i="208" s="1"/>
  <c r="C13" i="208"/>
  <c r="C14" i="208"/>
  <c r="H14" i="208" s="1"/>
  <c r="C15" i="208"/>
  <c r="H15" i="208" s="1"/>
  <c r="C16" i="208"/>
  <c r="C17" i="208"/>
  <c r="H17" i="208" s="1"/>
  <c r="C18" i="208"/>
  <c r="H18" i="208" s="1"/>
  <c r="D46" i="208"/>
  <c r="D24" i="208"/>
  <c r="D32" i="208"/>
  <c r="D40" i="208"/>
  <c r="D19" i="208"/>
  <c r="C45" i="208"/>
  <c r="C7" i="208"/>
  <c r="C21" i="207"/>
  <c r="H21" i="207" s="1"/>
  <c r="G4" i="207"/>
  <c r="C22" i="207"/>
  <c r="H22" i="207" s="1"/>
  <c r="C23" i="207"/>
  <c r="H23" i="207" s="1"/>
  <c r="C26" i="207"/>
  <c r="C27" i="207"/>
  <c r="H27" i="207" s="1"/>
  <c r="C28" i="207"/>
  <c r="H28" i="207" s="1"/>
  <c r="C29" i="207"/>
  <c r="H29" i="207" s="1"/>
  <c r="C30" i="207"/>
  <c r="H30" i="207" s="1"/>
  <c r="C31" i="207"/>
  <c r="H31" i="207" s="1"/>
  <c r="C34" i="207"/>
  <c r="H34" i="207" s="1"/>
  <c r="C35" i="207"/>
  <c r="H35" i="207"/>
  <c r="C36" i="207"/>
  <c r="H36" i="207" s="1"/>
  <c r="C37" i="207"/>
  <c r="H37" i="207" s="1"/>
  <c r="C38" i="207"/>
  <c r="H38" i="207" s="1"/>
  <c r="C39" i="207"/>
  <c r="H39" i="207" s="1"/>
  <c r="C42" i="207"/>
  <c r="H42" i="207" s="1"/>
  <c r="C43" i="207"/>
  <c r="C44" i="207"/>
  <c r="C10" i="207"/>
  <c r="H10" i="207" s="1"/>
  <c r="C11" i="207"/>
  <c r="H11" i="207" s="1"/>
  <c r="C12" i="207"/>
  <c r="H12" i="207" s="1"/>
  <c r="C13" i="207"/>
  <c r="H13" i="207" s="1"/>
  <c r="C14" i="207"/>
  <c r="H14" i="207" s="1"/>
  <c r="C15" i="207"/>
  <c r="C16" i="207"/>
  <c r="H16" i="207" s="1"/>
  <c r="C17" i="207"/>
  <c r="H17" i="207" s="1"/>
  <c r="C18" i="207"/>
  <c r="H18" i="207" s="1"/>
  <c r="D46" i="207"/>
  <c r="D24" i="207"/>
  <c r="D32" i="207"/>
  <c r="D40" i="207"/>
  <c r="D19" i="207"/>
  <c r="E18" i="207" s="1"/>
  <c r="C45" i="207"/>
  <c r="C7" i="207"/>
  <c r="E4" i="207"/>
  <c r="D34" i="206"/>
  <c r="D40" i="206" s="1"/>
  <c r="D42" i="206"/>
  <c r="C21" i="206"/>
  <c r="H21" i="206" s="1"/>
  <c r="G4" i="206"/>
  <c r="C22" i="206"/>
  <c r="H22" i="206" s="1"/>
  <c r="C23" i="206"/>
  <c r="H23" i="206" s="1"/>
  <c r="C26" i="206"/>
  <c r="H26" i="206" s="1"/>
  <c r="C27" i="206"/>
  <c r="C28" i="206"/>
  <c r="C29" i="206"/>
  <c r="H29" i="206" s="1"/>
  <c r="C30" i="206"/>
  <c r="H30" i="206" s="1"/>
  <c r="C31" i="206"/>
  <c r="H31" i="206" s="1"/>
  <c r="C34" i="206"/>
  <c r="C35" i="206"/>
  <c r="H35" i="206" s="1"/>
  <c r="C36" i="206"/>
  <c r="H36" i="206" s="1"/>
  <c r="C37" i="206"/>
  <c r="H37" i="206" s="1"/>
  <c r="C38" i="206"/>
  <c r="H38" i="206" s="1"/>
  <c r="C39" i="206"/>
  <c r="H39" i="206" s="1"/>
  <c r="C42" i="206"/>
  <c r="C43" i="206"/>
  <c r="C44" i="206"/>
  <c r="H44" i="206" s="1"/>
  <c r="C10" i="206"/>
  <c r="H10" i="206" s="1"/>
  <c r="C11" i="206"/>
  <c r="H11" i="206" s="1"/>
  <c r="C12" i="206"/>
  <c r="H12" i="206" s="1"/>
  <c r="C13" i="206"/>
  <c r="H13" i="206" s="1"/>
  <c r="C14" i="206"/>
  <c r="H14" i="206" s="1"/>
  <c r="C15" i="206"/>
  <c r="H15" i="206" s="1"/>
  <c r="C16" i="206"/>
  <c r="H16" i="206" s="1"/>
  <c r="C17" i="206"/>
  <c r="H17" i="206" s="1"/>
  <c r="C18" i="206"/>
  <c r="H18" i="206" s="1"/>
  <c r="D24" i="206"/>
  <c r="D32" i="206"/>
  <c r="D19" i="206"/>
  <c r="C45" i="206"/>
  <c r="C7" i="206"/>
  <c r="E4" i="206"/>
  <c r="C21" i="205"/>
  <c r="H21" i="205" s="1"/>
  <c r="H24" i="205" s="1"/>
  <c r="C24" i="205" s="1"/>
  <c r="G4" i="205"/>
  <c r="C22" i="205"/>
  <c r="H22" i="205" s="1"/>
  <c r="C23" i="205"/>
  <c r="H23" i="205" s="1"/>
  <c r="C26" i="205"/>
  <c r="H26" i="205" s="1"/>
  <c r="C27" i="205"/>
  <c r="H27" i="205" s="1"/>
  <c r="C28" i="205"/>
  <c r="H28" i="205" s="1"/>
  <c r="C29" i="205"/>
  <c r="H29" i="205" s="1"/>
  <c r="C30" i="205"/>
  <c r="H30" i="205" s="1"/>
  <c r="C31" i="205"/>
  <c r="C34" i="205"/>
  <c r="H34" i="205" s="1"/>
  <c r="C35" i="205"/>
  <c r="H35" i="205" s="1"/>
  <c r="C36" i="205"/>
  <c r="H36" i="205" s="1"/>
  <c r="C37" i="205"/>
  <c r="H37" i="205" s="1"/>
  <c r="C38" i="205"/>
  <c r="H38" i="205" s="1"/>
  <c r="C39" i="205"/>
  <c r="H39" i="205" s="1"/>
  <c r="C42" i="205"/>
  <c r="C43" i="205"/>
  <c r="C44" i="205"/>
  <c r="H44" i="205" s="1"/>
  <c r="C10" i="205"/>
  <c r="H10" i="205" s="1"/>
  <c r="C11" i="205"/>
  <c r="C12" i="205"/>
  <c r="H12" i="205" s="1"/>
  <c r="C13" i="205"/>
  <c r="H13" i="205" s="1"/>
  <c r="C14" i="205"/>
  <c r="H14" i="205" s="1"/>
  <c r="C15" i="205"/>
  <c r="C16" i="205"/>
  <c r="H16" i="205" s="1"/>
  <c r="C17" i="205"/>
  <c r="H17" i="205" s="1"/>
  <c r="C18" i="205"/>
  <c r="H18" i="205" s="1"/>
  <c r="D46" i="205"/>
  <c r="D24" i="205"/>
  <c r="D32" i="205"/>
  <c r="D40" i="205"/>
  <c r="D19" i="205"/>
  <c r="E15" i="205" s="1"/>
  <c r="C45" i="205"/>
  <c r="C7" i="205"/>
  <c r="E4" i="205"/>
  <c r="D34" i="204"/>
  <c r="D42" i="204"/>
  <c r="D46" i="204" s="1"/>
  <c r="C21" i="204"/>
  <c r="G4" i="204"/>
  <c r="C22" i="204"/>
  <c r="H22" i="204" s="1"/>
  <c r="C23" i="204"/>
  <c r="C26" i="204"/>
  <c r="H26" i="204" s="1"/>
  <c r="C27" i="204"/>
  <c r="H27" i="204" s="1"/>
  <c r="C28" i="204"/>
  <c r="H28" i="204" s="1"/>
  <c r="C29" i="204"/>
  <c r="H29" i="204" s="1"/>
  <c r="C30" i="204"/>
  <c r="H30" i="204" s="1"/>
  <c r="C31" i="204"/>
  <c r="H31" i="204" s="1"/>
  <c r="C34" i="204"/>
  <c r="C35" i="204"/>
  <c r="H35" i="204" s="1"/>
  <c r="C36" i="204"/>
  <c r="H36" i="204" s="1"/>
  <c r="C37" i="204"/>
  <c r="H37" i="204" s="1"/>
  <c r="C38" i="204"/>
  <c r="H38" i="204" s="1"/>
  <c r="C39" i="204"/>
  <c r="H39" i="204" s="1"/>
  <c r="C42" i="204"/>
  <c r="H42" i="204" s="1"/>
  <c r="C43" i="204"/>
  <c r="H43" i="204" s="1"/>
  <c r="C44" i="204"/>
  <c r="H44" i="204" s="1"/>
  <c r="C10" i="204"/>
  <c r="H10" i="204" s="1"/>
  <c r="C11" i="204"/>
  <c r="H11" i="204" s="1"/>
  <c r="C12" i="204"/>
  <c r="C13" i="204"/>
  <c r="H13" i="204" s="1"/>
  <c r="C14" i="204"/>
  <c r="H14" i="204" s="1"/>
  <c r="C15" i="204"/>
  <c r="H15" i="204" s="1"/>
  <c r="C16" i="204"/>
  <c r="H16" i="204" s="1"/>
  <c r="C17" i="204"/>
  <c r="H17" i="204" s="1"/>
  <c r="C18" i="204"/>
  <c r="H18" i="204" s="1"/>
  <c r="D24" i="204"/>
  <c r="D32" i="204"/>
  <c r="D19" i="204"/>
  <c r="E12" i="204" s="1"/>
  <c r="C45" i="204"/>
  <c r="C7" i="204"/>
  <c r="E4" i="204"/>
  <c r="D34" i="203"/>
  <c r="D42" i="203"/>
  <c r="C21" i="203"/>
  <c r="G4" i="203"/>
  <c r="C22" i="203"/>
  <c r="H22" i="203" s="1"/>
  <c r="C23" i="203"/>
  <c r="C26" i="203"/>
  <c r="H26" i="203" s="1"/>
  <c r="C27" i="203"/>
  <c r="H27" i="203" s="1"/>
  <c r="C28" i="203"/>
  <c r="H28" i="203" s="1"/>
  <c r="C29" i="203"/>
  <c r="C30" i="203"/>
  <c r="H30" i="203" s="1"/>
  <c r="C31" i="203"/>
  <c r="H31" i="203" s="1"/>
  <c r="C34" i="203"/>
  <c r="C35" i="203"/>
  <c r="H35" i="203" s="1"/>
  <c r="C36" i="203"/>
  <c r="H36" i="203" s="1"/>
  <c r="C37" i="203"/>
  <c r="H37" i="203" s="1"/>
  <c r="C38" i="203"/>
  <c r="H38" i="203" s="1"/>
  <c r="C39" i="203"/>
  <c r="H39" i="203" s="1"/>
  <c r="C42" i="203"/>
  <c r="C43" i="203"/>
  <c r="H43" i="203" s="1"/>
  <c r="C44" i="203"/>
  <c r="H44" i="203" s="1"/>
  <c r="C10" i="203"/>
  <c r="H10" i="203" s="1"/>
  <c r="C11" i="203"/>
  <c r="H11" i="203" s="1"/>
  <c r="C12" i="203"/>
  <c r="C13" i="203"/>
  <c r="H13" i="203" s="1"/>
  <c r="C14" i="203"/>
  <c r="H14" i="203" s="1"/>
  <c r="C15" i="203"/>
  <c r="C16" i="203"/>
  <c r="H16" i="203" s="1"/>
  <c r="C17" i="203"/>
  <c r="H17" i="203" s="1"/>
  <c r="C18" i="203"/>
  <c r="H18" i="203" s="1"/>
  <c r="D24" i="203"/>
  <c r="D32" i="203"/>
  <c r="D19" i="203"/>
  <c r="E15" i="203" s="1"/>
  <c r="C45" i="203"/>
  <c r="C7" i="203"/>
  <c r="E4" i="203"/>
  <c r="D27" i="202"/>
  <c r="D26" i="202"/>
  <c r="C21" i="202"/>
  <c r="G4" i="202"/>
  <c r="C22" i="202"/>
  <c r="H22" i="202" s="1"/>
  <c r="C23" i="202"/>
  <c r="C26" i="202"/>
  <c r="C27" i="202"/>
  <c r="C28" i="202"/>
  <c r="H28" i="202" s="1"/>
  <c r="C29" i="202"/>
  <c r="H29" i="202" s="1"/>
  <c r="C30" i="202"/>
  <c r="H30" i="202" s="1"/>
  <c r="C31" i="202"/>
  <c r="H31" i="202" s="1"/>
  <c r="C34" i="202"/>
  <c r="C35" i="202"/>
  <c r="H35" i="202" s="1"/>
  <c r="C36" i="202"/>
  <c r="H36" i="202" s="1"/>
  <c r="C37" i="202"/>
  <c r="C38" i="202"/>
  <c r="H38" i="202" s="1"/>
  <c r="C39" i="202"/>
  <c r="H39" i="202" s="1"/>
  <c r="C42" i="202"/>
  <c r="H42" i="202" s="1"/>
  <c r="C43" i="202"/>
  <c r="H43" i="202" s="1"/>
  <c r="C44" i="202"/>
  <c r="H44" i="202" s="1"/>
  <c r="C10" i="202"/>
  <c r="H10" i="202" s="1"/>
  <c r="C11" i="202"/>
  <c r="H11" i="202" s="1"/>
  <c r="C12" i="202"/>
  <c r="C13" i="202"/>
  <c r="H13" i="202" s="1"/>
  <c r="C14" i="202"/>
  <c r="H14" i="202" s="1"/>
  <c r="C15" i="202"/>
  <c r="H15" i="202" s="1"/>
  <c r="C16" i="202"/>
  <c r="H16" i="202" s="1"/>
  <c r="C17" i="202"/>
  <c r="H17" i="202" s="1"/>
  <c r="C18" i="202"/>
  <c r="H18" i="202" s="1"/>
  <c r="D46" i="202"/>
  <c r="D24" i="202"/>
  <c r="D40" i="202"/>
  <c r="D19" i="202"/>
  <c r="C45" i="202"/>
  <c r="C7" i="202"/>
  <c r="E4" i="202"/>
  <c r="D26" i="201"/>
  <c r="C21" i="201"/>
  <c r="H21" i="201" s="1"/>
  <c r="G4" i="201"/>
  <c r="C22" i="201"/>
  <c r="H22" i="201" s="1"/>
  <c r="C23" i="201"/>
  <c r="C26" i="201"/>
  <c r="C27" i="201"/>
  <c r="H27" i="201" s="1"/>
  <c r="C28" i="201"/>
  <c r="H28" i="201" s="1"/>
  <c r="C29" i="201"/>
  <c r="H29" i="201" s="1"/>
  <c r="C30" i="201"/>
  <c r="H30" i="201" s="1"/>
  <c r="C31" i="201"/>
  <c r="C34" i="201"/>
  <c r="C35" i="201"/>
  <c r="H35" i="201" s="1"/>
  <c r="C36" i="201"/>
  <c r="C37" i="201"/>
  <c r="H37" i="201" s="1"/>
  <c r="C38" i="201"/>
  <c r="H38" i="201" s="1"/>
  <c r="C39" i="201"/>
  <c r="C42" i="201"/>
  <c r="C43" i="201"/>
  <c r="H43" i="201" s="1"/>
  <c r="C44" i="201"/>
  <c r="C10" i="201"/>
  <c r="H10" i="201" s="1"/>
  <c r="C11" i="201"/>
  <c r="H11" i="201" s="1"/>
  <c r="C12" i="201"/>
  <c r="H12" i="201" s="1"/>
  <c r="C13" i="201"/>
  <c r="H13" i="201" s="1"/>
  <c r="C14" i="201"/>
  <c r="C15" i="201"/>
  <c r="H15" i="201" s="1"/>
  <c r="C16" i="201"/>
  <c r="C17" i="201"/>
  <c r="H17" i="201" s="1"/>
  <c r="C18" i="201"/>
  <c r="H18" i="201" s="1"/>
  <c r="D46" i="201"/>
  <c r="D24" i="201"/>
  <c r="D40" i="201"/>
  <c r="D19" i="201"/>
  <c r="E19" i="201" s="1"/>
  <c r="C45" i="201"/>
  <c r="C7" i="201"/>
  <c r="E4" i="201"/>
  <c r="D26" i="200"/>
  <c r="D42" i="200"/>
  <c r="D46" i="200" s="1"/>
  <c r="C21" i="200"/>
  <c r="H21" i="200" s="1"/>
  <c r="G4" i="200"/>
  <c r="C22" i="200"/>
  <c r="H22" i="200" s="1"/>
  <c r="C23" i="200"/>
  <c r="H23" i="200" s="1"/>
  <c r="C26" i="200"/>
  <c r="H26" i="200" s="1"/>
  <c r="C27" i="200"/>
  <c r="H27" i="200" s="1"/>
  <c r="C28" i="200"/>
  <c r="H28" i="200" s="1"/>
  <c r="C29" i="200"/>
  <c r="H29" i="200" s="1"/>
  <c r="C30" i="200"/>
  <c r="H30" i="200" s="1"/>
  <c r="C31" i="200"/>
  <c r="H31" i="200" s="1"/>
  <c r="C34" i="200"/>
  <c r="H34" i="200" s="1"/>
  <c r="C35" i="200"/>
  <c r="H35" i="200" s="1"/>
  <c r="C36" i="200"/>
  <c r="C37" i="200"/>
  <c r="H37" i="200" s="1"/>
  <c r="C38" i="200"/>
  <c r="H38" i="200" s="1"/>
  <c r="C39" i="200"/>
  <c r="C42" i="200"/>
  <c r="C43" i="200"/>
  <c r="H43" i="200" s="1"/>
  <c r="C44" i="200"/>
  <c r="C10" i="200"/>
  <c r="H10" i="200" s="1"/>
  <c r="C11" i="200"/>
  <c r="H11" i="200" s="1"/>
  <c r="C12" i="200"/>
  <c r="H12" i="200" s="1"/>
  <c r="C13" i="200"/>
  <c r="H13" i="200" s="1"/>
  <c r="C14" i="200"/>
  <c r="C15" i="200"/>
  <c r="H15" i="200" s="1"/>
  <c r="C16" i="200"/>
  <c r="C17" i="200"/>
  <c r="H17" i="200" s="1"/>
  <c r="C18" i="200"/>
  <c r="H18" i="200" s="1"/>
  <c r="D24" i="200"/>
  <c r="D40" i="200"/>
  <c r="D19" i="200"/>
  <c r="E19" i="200" s="1"/>
  <c r="C45" i="200"/>
  <c r="C7" i="200"/>
  <c r="E4" i="200"/>
  <c r="D26" i="199"/>
  <c r="D32" i="199" s="1"/>
  <c r="C21" i="199"/>
  <c r="G4" i="199"/>
  <c r="C22" i="199"/>
  <c r="C23" i="199"/>
  <c r="H23" i="199" s="1"/>
  <c r="C26" i="199"/>
  <c r="C27" i="199"/>
  <c r="H27" i="199" s="1"/>
  <c r="C28" i="199"/>
  <c r="H28" i="199" s="1"/>
  <c r="C29" i="199"/>
  <c r="H29" i="199" s="1"/>
  <c r="C30" i="199"/>
  <c r="C31" i="199"/>
  <c r="H31" i="199" s="1"/>
  <c r="C34" i="199"/>
  <c r="H34" i="199" s="1"/>
  <c r="C35" i="199"/>
  <c r="C36" i="199"/>
  <c r="H36" i="199" s="1"/>
  <c r="C37" i="199"/>
  <c r="H37" i="199" s="1"/>
  <c r="C38" i="199"/>
  <c r="H38" i="199" s="1"/>
  <c r="C39" i="199"/>
  <c r="H39" i="199" s="1"/>
  <c r="C42" i="199"/>
  <c r="H42" i="199" s="1"/>
  <c r="C43" i="199"/>
  <c r="H43" i="199" s="1"/>
  <c r="C44" i="199"/>
  <c r="H44" i="199" s="1"/>
  <c r="H46" i="199" s="1"/>
  <c r="C46" i="199" s="1"/>
  <c r="C10" i="199"/>
  <c r="H10" i="199" s="1"/>
  <c r="C11" i="199"/>
  <c r="H11" i="199" s="1"/>
  <c r="C12" i="199"/>
  <c r="H12" i="199" s="1"/>
  <c r="C13" i="199"/>
  <c r="C14" i="199"/>
  <c r="H14" i="199" s="1"/>
  <c r="C15" i="199"/>
  <c r="H15" i="199" s="1"/>
  <c r="C16" i="199"/>
  <c r="H16" i="199" s="1"/>
  <c r="C17" i="199"/>
  <c r="H17" i="199" s="1"/>
  <c r="C18" i="199"/>
  <c r="H18" i="199" s="1"/>
  <c r="D46" i="199"/>
  <c r="D24" i="199"/>
  <c r="D40" i="199"/>
  <c r="D19" i="199"/>
  <c r="E14" i="199" s="1"/>
  <c r="C45" i="199"/>
  <c r="C7" i="199"/>
  <c r="E4" i="199"/>
  <c r="D42" i="198"/>
  <c r="D46" i="198" s="1"/>
  <c r="C21" i="198"/>
  <c r="G4" i="198"/>
  <c r="C22" i="198"/>
  <c r="C23" i="198"/>
  <c r="H23" i="198" s="1"/>
  <c r="C26" i="198"/>
  <c r="C27" i="198"/>
  <c r="H27" i="198" s="1"/>
  <c r="C28" i="198"/>
  <c r="H28" i="198" s="1"/>
  <c r="C29" i="198"/>
  <c r="H29" i="198" s="1"/>
  <c r="C30" i="198"/>
  <c r="H30" i="198" s="1"/>
  <c r="C31" i="198"/>
  <c r="H31" i="198" s="1"/>
  <c r="C34" i="198"/>
  <c r="H34" i="198" s="1"/>
  <c r="C35" i="198"/>
  <c r="H35" i="198" s="1"/>
  <c r="C36" i="198"/>
  <c r="C37" i="198"/>
  <c r="C38" i="198"/>
  <c r="H38" i="198" s="1"/>
  <c r="C39" i="198"/>
  <c r="H39" i="198" s="1"/>
  <c r="C42" i="198"/>
  <c r="C43" i="198"/>
  <c r="H43" i="198" s="1"/>
  <c r="C44" i="198"/>
  <c r="H44" i="198" s="1"/>
  <c r="C10" i="198"/>
  <c r="H10" i="198" s="1"/>
  <c r="C11" i="198"/>
  <c r="H11" i="198" s="1"/>
  <c r="C12" i="198"/>
  <c r="H12" i="198" s="1"/>
  <c r="C13" i="198"/>
  <c r="H13" i="198" s="1"/>
  <c r="C14" i="198"/>
  <c r="H14" i="198" s="1"/>
  <c r="C15" i="198"/>
  <c r="C16" i="198"/>
  <c r="H16" i="198" s="1"/>
  <c r="C17" i="198"/>
  <c r="H17" i="198" s="1"/>
  <c r="C18" i="198"/>
  <c r="H18" i="198" s="1"/>
  <c r="D24" i="198"/>
  <c r="D32" i="198"/>
  <c r="D40" i="198"/>
  <c r="D19" i="198"/>
  <c r="E13" i="198" s="1"/>
  <c r="C45" i="198"/>
  <c r="C7" i="198"/>
  <c r="E4" i="198"/>
  <c r="C21" i="197"/>
  <c r="H21" i="197" s="1"/>
  <c r="G4" i="197"/>
  <c r="C22" i="197"/>
  <c r="C23" i="197"/>
  <c r="H23" i="197" s="1"/>
  <c r="C26" i="197"/>
  <c r="H26" i="197" s="1"/>
  <c r="C27" i="197"/>
  <c r="H27" i="197" s="1"/>
  <c r="C28" i="197"/>
  <c r="H28" i="197" s="1"/>
  <c r="C29" i="197"/>
  <c r="H29" i="197" s="1"/>
  <c r="C30" i="197"/>
  <c r="H30" i="197" s="1"/>
  <c r="C31" i="197"/>
  <c r="C34" i="197"/>
  <c r="H34" i="197" s="1"/>
  <c r="C35" i="197"/>
  <c r="H35" i="197" s="1"/>
  <c r="C36" i="197"/>
  <c r="C37" i="197"/>
  <c r="C38" i="197"/>
  <c r="H38" i="197" s="1"/>
  <c r="C39" i="197"/>
  <c r="H39" i="197" s="1"/>
  <c r="C42" i="197"/>
  <c r="H42" i="197" s="1"/>
  <c r="C43" i="197"/>
  <c r="H43" i="197" s="1"/>
  <c r="C44" i="197"/>
  <c r="C10" i="197"/>
  <c r="H10" i="197" s="1"/>
  <c r="C11" i="197"/>
  <c r="H11" i="197" s="1"/>
  <c r="C12" i="197"/>
  <c r="H12" i="197" s="1"/>
  <c r="C13" i="197"/>
  <c r="H13" i="197" s="1"/>
  <c r="C14" i="197"/>
  <c r="H14" i="197" s="1"/>
  <c r="C15" i="197"/>
  <c r="H15" i="197" s="1"/>
  <c r="C16" i="197"/>
  <c r="C17" i="197"/>
  <c r="H17" i="197" s="1"/>
  <c r="C18" i="197"/>
  <c r="H18" i="197" s="1"/>
  <c r="D46" i="197"/>
  <c r="D24" i="197"/>
  <c r="D32" i="197"/>
  <c r="D40" i="197"/>
  <c r="D19" i="197"/>
  <c r="C45" i="197"/>
  <c r="C7" i="197"/>
  <c r="E4" i="197"/>
  <c r="C21" i="196"/>
  <c r="G4" i="196"/>
  <c r="C22" i="196"/>
  <c r="C23" i="196"/>
  <c r="H23" i="196" s="1"/>
  <c r="C26" i="196"/>
  <c r="H26" i="196" s="1"/>
  <c r="C27" i="196"/>
  <c r="C28" i="196"/>
  <c r="H28" i="196" s="1"/>
  <c r="C29" i="196"/>
  <c r="H29" i="196" s="1"/>
  <c r="C30" i="196"/>
  <c r="H30" i="196" s="1"/>
  <c r="C31" i="196"/>
  <c r="H31" i="196" s="1"/>
  <c r="C34" i="196"/>
  <c r="C35" i="196"/>
  <c r="H35" i="196" s="1"/>
  <c r="C36" i="196"/>
  <c r="H36" i="196" s="1"/>
  <c r="C37" i="196"/>
  <c r="C38" i="196"/>
  <c r="H38" i="196" s="1"/>
  <c r="C39" i="196"/>
  <c r="C42" i="196"/>
  <c r="H42" i="196" s="1"/>
  <c r="C43" i="196"/>
  <c r="H43" i="196" s="1"/>
  <c r="C44" i="196"/>
  <c r="H44" i="196" s="1"/>
  <c r="C10" i="196"/>
  <c r="H10" i="196" s="1"/>
  <c r="C11" i="196"/>
  <c r="H11" i="196" s="1"/>
  <c r="C12" i="196"/>
  <c r="C13" i="196"/>
  <c r="H13" i="196" s="1"/>
  <c r="C14" i="196"/>
  <c r="H14" i="196" s="1"/>
  <c r="C15" i="196"/>
  <c r="H15" i="196" s="1"/>
  <c r="C16" i="196"/>
  <c r="H16" i="196" s="1"/>
  <c r="C17" i="196"/>
  <c r="H17" i="196" s="1"/>
  <c r="C18" i="196"/>
  <c r="H18" i="196" s="1"/>
  <c r="D46" i="196"/>
  <c r="D24" i="196"/>
  <c r="D32" i="196"/>
  <c r="D40" i="196"/>
  <c r="D19" i="196"/>
  <c r="E15" i="196" s="1"/>
  <c r="C45" i="196"/>
  <c r="C7" i="196"/>
  <c r="E4" i="196"/>
  <c r="D26" i="195"/>
  <c r="C21" i="195"/>
  <c r="G4" i="195"/>
  <c r="C22" i="195"/>
  <c r="H22" i="195" s="1"/>
  <c r="C23" i="195"/>
  <c r="H23" i="195" s="1"/>
  <c r="C26" i="195"/>
  <c r="C27" i="195"/>
  <c r="H27" i="195" s="1"/>
  <c r="C28" i="195"/>
  <c r="C29" i="195"/>
  <c r="H29" i="195" s="1"/>
  <c r="C30" i="195"/>
  <c r="H30" i="195" s="1"/>
  <c r="C31" i="195"/>
  <c r="H31" i="195" s="1"/>
  <c r="C34" i="195"/>
  <c r="H34" i="195" s="1"/>
  <c r="C35" i="195"/>
  <c r="H35" i="195" s="1"/>
  <c r="C36" i="195"/>
  <c r="H36" i="195" s="1"/>
  <c r="C37" i="195"/>
  <c r="C38" i="195"/>
  <c r="H38" i="195" s="1"/>
  <c r="C39" i="195"/>
  <c r="H39" i="195" s="1"/>
  <c r="C42" i="195"/>
  <c r="H42" i="195" s="1"/>
  <c r="C43" i="195"/>
  <c r="H43" i="195" s="1"/>
  <c r="C44" i="195"/>
  <c r="H44" i="195" s="1"/>
  <c r="C10" i="195"/>
  <c r="H10" i="195" s="1"/>
  <c r="C11" i="195"/>
  <c r="C12" i="195"/>
  <c r="H12" i="195" s="1"/>
  <c r="C13" i="195"/>
  <c r="H13" i="195" s="1"/>
  <c r="C14" i="195"/>
  <c r="C15" i="195"/>
  <c r="H15" i="195" s="1"/>
  <c r="C16" i="195"/>
  <c r="H16" i="195" s="1"/>
  <c r="C17" i="195"/>
  <c r="H17" i="195" s="1"/>
  <c r="C18" i="195"/>
  <c r="D46" i="195"/>
  <c r="D24" i="195"/>
  <c r="D40" i="195"/>
  <c r="D19" i="195"/>
  <c r="E18" i="195" s="1"/>
  <c r="C45" i="195"/>
  <c r="C7" i="195"/>
  <c r="E4" i="195"/>
  <c r="D26" i="194"/>
  <c r="D32" i="194" s="1"/>
  <c r="D34" i="194"/>
  <c r="D40" i="194" s="1"/>
  <c r="D42" i="194"/>
  <c r="D46" i="194" s="1"/>
  <c r="C21" i="194"/>
  <c r="H21" i="194" s="1"/>
  <c r="G4" i="194"/>
  <c r="C22" i="194"/>
  <c r="C23" i="194"/>
  <c r="H23" i="194" s="1"/>
  <c r="C26" i="194"/>
  <c r="H26" i="194" s="1"/>
  <c r="C27" i="194"/>
  <c r="H27" i="194" s="1"/>
  <c r="C28" i="194"/>
  <c r="H28" i="194" s="1"/>
  <c r="C29" i="194"/>
  <c r="H29" i="194" s="1"/>
  <c r="C30" i="194"/>
  <c r="H30" i="194" s="1"/>
  <c r="C31" i="194"/>
  <c r="H31" i="194" s="1"/>
  <c r="C34" i="194"/>
  <c r="H34" i="194" s="1"/>
  <c r="C35" i="194"/>
  <c r="H35" i="194" s="1"/>
  <c r="C36" i="194"/>
  <c r="H36" i="194" s="1"/>
  <c r="C37" i="194"/>
  <c r="H37" i="194" s="1"/>
  <c r="C38" i="194"/>
  <c r="H38" i="194" s="1"/>
  <c r="C39" i="194"/>
  <c r="H39" i="194" s="1"/>
  <c r="C42" i="194"/>
  <c r="C43" i="194"/>
  <c r="C44" i="194"/>
  <c r="H44" i="194" s="1"/>
  <c r="C10" i="194"/>
  <c r="H10" i="194" s="1"/>
  <c r="C11" i="194"/>
  <c r="H11" i="194" s="1"/>
  <c r="C12" i="194"/>
  <c r="C13" i="194"/>
  <c r="H13" i="194" s="1"/>
  <c r="C14" i="194"/>
  <c r="H14" i="194" s="1"/>
  <c r="C15" i="194"/>
  <c r="C16" i="194"/>
  <c r="H16" i="194" s="1"/>
  <c r="C17" i="194"/>
  <c r="H17" i="194" s="1"/>
  <c r="C18" i="194"/>
  <c r="H18" i="194" s="1"/>
  <c r="D24" i="194"/>
  <c r="D19" i="194"/>
  <c r="E10" i="194" s="1"/>
  <c r="C45" i="194"/>
  <c r="C7" i="194"/>
  <c r="E4" i="194"/>
  <c r="D42" i="193"/>
  <c r="D46" i="193" s="1"/>
  <c r="D34" i="193"/>
  <c r="D40" i="193" s="1"/>
  <c r="C21" i="193"/>
  <c r="H21" i="193" s="1"/>
  <c r="G4" i="193"/>
  <c r="C22" i="193"/>
  <c r="H22" i="193" s="1"/>
  <c r="C23" i="193"/>
  <c r="C26" i="193"/>
  <c r="H26" i="193" s="1"/>
  <c r="C27" i="193"/>
  <c r="H27" i="193" s="1"/>
  <c r="C28" i="193"/>
  <c r="C29" i="193"/>
  <c r="H29" i="193" s="1"/>
  <c r="C30" i="193"/>
  <c r="C31" i="193"/>
  <c r="H31" i="193" s="1"/>
  <c r="C34" i="193"/>
  <c r="C35" i="193"/>
  <c r="H35" i="193" s="1"/>
  <c r="C36" i="193"/>
  <c r="H36" i="193" s="1"/>
  <c r="C37" i="193"/>
  <c r="H37" i="193" s="1"/>
  <c r="C38" i="193"/>
  <c r="C39" i="193"/>
  <c r="H39" i="193" s="1"/>
  <c r="C42" i="193"/>
  <c r="C43" i="193"/>
  <c r="C44" i="193"/>
  <c r="H44" i="193" s="1"/>
  <c r="C10" i="193"/>
  <c r="C11" i="193"/>
  <c r="H11" i="193" s="1"/>
  <c r="C12" i="193"/>
  <c r="H12" i="193" s="1"/>
  <c r="C13" i="193"/>
  <c r="C14" i="193"/>
  <c r="H14" i="193" s="1"/>
  <c r="C15" i="193"/>
  <c r="C16" i="193"/>
  <c r="H16" i="193" s="1"/>
  <c r="C17" i="193"/>
  <c r="H17" i="193" s="1"/>
  <c r="C18" i="193"/>
  <c r="H18" i="193" s="1"/>
  <c r="D24" i="193"/>
  <c r="D32" i="193"/>
  <c r="D19" i="193"/>
  <c r="E19" i="193" s="1"/>
  <c r="C45" i="193"/>
  <c r="C7" i="193"/>
  <c r="E4" i="193"/>
  <c r="D26" i="192"/>
  <c r="D32" i="192" s="1"/>
  <c r="C21" i="192"/>
  <c r="H21" i="192" s="1"/>
  <c r="G4" i="192"/>
  <c r="C22" i="192"/>
  <c r="H22" i="192" s="1"/>
  <c r="C23" i="192"/>
  <c r="C26" i="192"/>
  <c r="C27" i="192"/>
  <c r="H27" i="192" s="1"/>
  <c r="C28" i="192"/>
  <c r="H28" i="192" s="1"/>
  <c r="C29" i="192"/>
  <c r="C30" i="192"/>
  <c r="H30" i="192" s="1"/>
  <c r="C31" i="192"/>
  <c r="H31" i="192" s="1"/>
  <c r="C34" i="192"/>
  <c r="C35" i="192"/>
  <c r="H35" i="192" s="1"/>
  <c r="C36" i="192"/>
  <c r="H36" i="192" s="1"/>
  <c r="C37" i="192"/>
  <c r="C38" i="192"/>
  <c r="H38" i="192" s="1"/>
  <c r="C39" i="192"/>
  <c r="H39" i="192" s="1"/>
  <c r="C42" i="192"/>
  <c r="C43" i="192"/>
  <c r="C44" i="192"/>
  <c r="H44" i="192" s="1"/>
  <c r="C10" i="192"/>
  <c r="H10" i="192" s="1"/>
  <c r="C11" i="192"/>
  <c r="H11" i="192" s="1"/>
  <c r="C12" i="192"/>
  <c r="C13" i="192"/>
  <c r="H13" i="192" s="1"/>
  <c r="C14" i="192"/>
  <c r="H14" i="192" s="1"/>
  <c r="C15" i="192"/>
  <c r="C16" i="192"/>
  <c r="H16" i="192" s="1"/>
  <c r="C17" i="192"/>
  <c r="H17" i="192" s="1"/>
  <c r="C18" i="192"/>
  <c r="H18" i="192" s="1"/>
  <c r="D46" i="192"/>
  <c r="D24" i="192"/>
  <c r="D40" i="192"/>
  <c r="D19" i="192"/>
  <c r="C45" i="192"/>
  <c r="C7" i="192"/>
  <c r="E4" i="192"/>
  <c r="C21" i="191"/>
  <c r="H21" i="191" s="1"/>
  <c r="G4" i="191"/>
  <c r="C22" i="191"/>
  <c r="C23" i="191"/>
  <c r="H23" i="191" s="1"/>
  <c r="C26" i="191"/>
  <c r="H26" i="191" s="1"/>
  <c r="C27" i="191"/>
  <c r="H27" i="191" s="1"/>
  <c r="C28" i="191"/>
  <c r="H28" i="191" s="1"/>
  <c r="C29" i="191"/>
  <c r="H29" i="191" s="1"/>
  <c r="C30" i="191"/>
  <c r="C31" i="191"/>
  <c r="H31" i="191" s="1"/>
  <c r="C34" i="191"/>
  <c r="H34" i="191" s="1"/>
  <c r="C35" i="191"/>
  <c r="C36" i="191"/>
  <c r="H36" i="191" s="1"/>
  <c r="C37" i="191"/>
  <c r="H37" i="191" s="1"/>
  <c r="C38" i="191"/>
  <c r="C39" i="191"/>
  <c r="H39" i="191" s="1"/>
  <c r="C42" i="191"/>
  <c r="H42" i="191" s="1"/>
  <c r="C43" i="191"/>
  <c r="H43" i="191" s="1"/>
  <c r="C44" i="191"/>
  <c r="C10" i="191"/>
  <c r="H10" i="191" s="1"/>
  <c r="C11" i="191"/>
  <c r="H11" i="191" s="1"/>
  <c r="C12" i="191"/>
  <c r="H12" i="191" s="1"/>
  <c r="C13" i="191"/>
  <c r="C14" i="191"/>
  <c r="H14" i="191" s="1"/>
  <c r="C15" i="191"/>
  <c r="C16" i="191"/>
  <c r="C17" i="191"/>
  <c r="H17" i="191" s="1"/>
  <c r="C18" i="191"/>
  <c r="H18" i="191" s="1"/>
  <c r="D46" i="191"/>
  <c r="D24" i="191"/>
  <c r="D32" i="191"/>
  <c r="D40" i="191"/>
  <c r="D19" i="191"/>
  <c r="E11" i="191" s="1"/>
  <c r="C45" i="191"/>
  <c r="C7" i="191"/>
  <c r="E4" i="191"/>
  <c r="C21" i="190"/>
  <c r="H21" i="190" s="1"/>
  <c r="G4" i="190"/>
  <c r="C22" i="190"/>
  <c r="H22" i="190" s="1"/>
  <c r="C23" i="190"/>
  <c r="C26" i="190"/>
  <c r="C27" i="190"/>
  <c r="H27" i="190" s="1"/>
  <c r="C28" i="190"/>
  <c r="H28" i="190" s="1"/>
  <c r="C29" i="190"/>
  <c r="H29" i="190"/>
  <c r="C30" i="190"/>
  <c r="H30" i="190" s="1"/>
  <c r="C31" i="190"/>
  <c r="H31" i="190" s="1"/>
  <c r="C34" i="190"/>
  <c r="C35" i="190"/>
  <c r="H35" i="190" s="1"/>
  <c r="C36" i="190"/>
  <c r="C37" i="190"/>
  <c r="H37" i="190" s="1"/>
  <c r="C38" i="190"/>
  <c r="H38" i="190" s="1"/>
  <c r="C39" i="190"/>
  <c r="C42" i="190"/>
  <c r="H42" i="190" s="1"/>
  <c r="C43" i="190"/>
  <c r="H43" i="190" s="1"/>
  <c r="C44" i="190"/>
  <c r="H44" i="190" s="1"/>
  <c r="C10" i="190"/>
  <c r="H10" i="190" s="1"/>
  <c r="C11" i="190"/>
  <c r="H11" i="190" s="1"/>
  <c r="C12" i="190"/>
  <c r="H12" i="190" s="1"/>
  <c r="C13" i="190"/>
  <c r="H13" i="190" s="1"/>
  <c r="C14" i="190"/>
  <c r="H14" i="190" s="1"/>
  <c r="C15" i="190"/>
  <c r="H15" i="190" s="1"/>
  <c r="C16" i="190"/>
  <c r="H16" i="190" s="1"/>
  <c r="C17" i="190"/>
  <c r="C18" i="190"/>
  <c r="H18" i="190" s="1"/>
  <c r="D46" i="190"/>
  <c r="D24" i="190"/>
  <c r="D32" i="190"/>
  <c r="D40" i="190"/>
  <c r="D19" i="190"/>
  <c r="C45" i="190"/>
  <c r="C7" i="190"/>
  <c r="E4" i="190"/>
  <c r="D26" i="189"/>
  <c r="D34" i="189"/>
  <c r="D15" i="189"/>
  <c r="D19" i="189" s="1"/>
  <c r="E17" i="189" s="1"/>
  <c r="C21" i="189"/>
  <c r="H21" i="189" s="1"/>
  <c r="G4" i="189"/>
  <c r="C22" i="189"/>
  <c r="H22" i="189" s="1"/>
  <c r="C23" i="189"/>
  <c r="C26" i="189"/>
  <c r="C27" i="189"/>
  <c r="H27" i="189" s="1"/>
  <c r="C28" i="189"/>
  <c r="H28" i="189" s="1"/>
  <c r="C29" i="189"/>
  <c r="C30" i="189"/>
  <c r="H30" i="189" s="1"/>
  <c r="C31" i="189"/>
  <c r="H31" i="189" s="1"/>
  <c r="C34" i="189"/>
  <c r="C35" i="189"/>
  <c r="H35" i="189" s="1"/>
  <c r="C36" i="189"/>
  <c r="H36" i="189" s="1"/>
  <c r="C37" i="189"/>
  <c r="H37" i="189" s="1"/>
  <c r="C38" i="189"/>
  <c r="H38" i="189" s="1"/>
  <c r="C39" i="189"/>
  <c r="H39" i="189" s="1"/>
  <c r="C42" i="189"/>
  <c r="H42" i="189" s="1"/>
  <c r="C43" i="189"/>
  <c r="H43" i="189" s="1"/>
  <c r="C44" i="189"/>
  <c r="H44" i="189" s="1"/>
  <c r="C10" i="189"/>
  <c r="H10" i="189" s="1"/>
  <c r="C11" i="189"/>
  <c r="H11" i="189" s="1"/>
  <c r="C12" i="189"/>
  <c r="H12" i="189" s="1"/>
  <c r="C13" i="189"/>
  <c r="H13" i="189" s="1"/>
  <c r="C14" i="189"/>
  <c r="H14" i="189" s="1"/>
  <c r="C15" i="189"/>
  <c r="C16" i="189"/>
  <c r="H16" i="189" s="1"/>
  <c r="C17" i="189"/>
  <c r="C18" i="189"/>
  <c r="H18" i="189" s="1"/>
  <c r="D46" i="189"/>
  <c r="D24" i="189"/>
  <c r="C45" i="189"/>
  <c r="C7" i="189"/>
  <c r="E4" i="189"/>
  <c r="D34" i="188"/>
  <c r="D42" i="188"/>
  <c r="D46" i="188" s="1"/>
  <c r="C21" i="188"/>
  <c r="H21" i="188" s="1"/>
  <c r="G4" i="188"/>
  <c r="C22" i="188"/>
  <c r="H22" i="188" s="1"/>
  <c r="C23" i="188"/>
  <c r="C26" i="188"/>
  <c r="C27" i="188"/>
  <c r="H27" i="188" s="1"/>
  <c r="C28" i="188"/>
  <c r="H28" i="188" s="1"/>
  <c r="C29" i="188"/>
  <c r="H29" i="188" s="1"/>
  <c r="C30" i="188"/>
  <c r="H30" i="188" s="1"/>
  <c r="C31" i="188"/>
  <c r="H31" i="188" s="1"/>
  <c r="C34" i="188"/>
  <c r="H34" i="188" s="1"/>
  <c r="C35" i="188"/>
  <c r="H35" i="188" s="1"/>
  <c r="C36" i="188"/>
  <c r="H36" i="188" s="1"/>
  <c r="C37" i="188"/>
  <c r="H37" i="188" s="1"/>
  <c r="C38" i="188"/>
  <c r="H38" i="188" s="1"/>
  <c r="C39" i="188"/>
  <c r="H39" i="188" s="1"/>
  <c r="C42" i="188"/>
  <c r="C43" i="188"/>
  <c r="C44" i="188"/>
  <c r="H44" i="188" s="1"/>
  <c r="C10" i="188"/>
  <c r="H10" i="188" s="1"/>
  <c r="C11" i="188"/>
  <c r="H11" i="188" s="1"/>
  <c r="C12" i="188"/>
  <c r="C13" i="188"/>
  <c r="H13" i="188" s="1"/>
  <c r="C14" i="188"/>
  <c r="H14" i="188" s="1"/>
  <c r="C15" i="188"/>
  <c r="C16" i="188"/>
  <c r="H16" i="188" s="1"/>
  <c r="C17" i="188"/>
  <c r="C18" i="188"/>
  <c r="H18" i="188" s="1"/>
  <c r="D24" i="188"/>
  <c r="D32" i="188"/>
  <c r="D19" i="188"/>
  <c r="C45" i="188"/>
  <c r="C7" i="188"/>
  <c r="E4" i="188"/>
  <c r="D26" i="187"/>
  <c r="C21" i="187"/>
  <c r="H21" i="187" s="1"/>
  <c r="G4" i="187"/>
  <c r="C22" i="187"/>
  <c r="H22" i="187" s="1"/>
  <c r="C23" i="187"/>
  <c r="C26" i="187"/>
  <c r="C27" i="187"/>
  <c r="H27" i="187" s="1"/>
  <c r="C28" i="187"/>
  <c r="H28" i="187" s="1"/>
  <c r="C29" i="187"/>
  <c r="H29" i="187" s="1"/>
  <c r="C30" i="187"/>
  <c r="H30" i="187" s="1"/>
  <c r="C31" i="187"/>
  <c r="C34" i="187"/>
  <c r="C35" i="187"/>
  <c r="H35" i="187" s="1"/>
  <c r="C36" i="187"/>
  <c r="C37" i="187"/>
  <c r="H37" i="187" s="1"/>
  <c r="C38" i="187"/>
  <c r="H38" i="187" s="1"/>
  <c r="C39" i="187"/>
  <c r="C42" i="187"/>
  <c r="C43" i="187"/>
  <c r="H43" i="187" s="1"/>
  <c r="C44" i="187"/>
  <c r="H44" i="187" s="1"/>
  <c r="C10" i="187"/>
  <c r="H10" i="187" s="1"/>
  <c r="C11" i="187"/>
  <c r="H11" i="187" s="1"/>
  <c r="C12" i="187"/>
  <c r="H12" i="187" s="1"/>
  <c r="C13" i="187"/>
  <c r="H13" i="187" s="1"/>
  <c r="C14" i="187"/>
  <c r="C15" i="187"/>
  <c r="H15" i="187" s="1"/>
  <c r="C16" i="187"/>
  <c r="H16" i="187" s="1"/>
  <c r="C17" i="187"/>
  <c r="H17" i="187" s="1"/>
  <c r="C18" i="187"/>
  <c r="H18" i="187" s="1"/>
  <c r="D46" i="187"/>
  <c r="D24" i="187"/>
  <c r="D40" i="187"/>
  <c r="D19" i="187"/>
  <c r="E14" i="187" s="1"/>
  <c r="C45" i="187"/>
  <c r="C7" i="187"/>
  <c r="E4" i="187"/>
  <c r="D42" i="186"/>
  <c r="D46" i="186" s="1"/>
  <c r="D26" i="186"/>
  <c r="D34" i="186"/>
  <c r="D40" i="186" s="1"/>
  <c r="C21" i="186"/>
  <c r="H21" i="186" s="1"/>
  <c r="G4" i="186"/>
  <c r="C22" i="186"/>
  <c r="H22" i="186" s="1"/>
  <c r="C23" i="186"/>
  <c r="C26" i="186"/>
  <c r="C27" i="186"/>
  <c r="H27" i="186" s="1"/>
  <c r="C28" i="186"/>
  <c r="H28" i="186" s="1"/>
  <c r="C29" i="186"/>
  <c r="H29" i="186" s="1"/>
  <c r="C30" i="186"/>
  <c r="H30" i="186" s="1"/>
  <c r="C31" i="186"/>
  <c r="H31" i="186" s="1"/>
  <c r="C34" i="186"/>
  <c r="C35" i="186"/>
  <c r="H35" i="186" s="1"/>
  <c r="C36" i="186"/>
  <c r="H36" i="186" s="1"/>
  <c r="C37" i="186"/>
  <c r="H37" i="186" s="1"/>
  <c r="H40" i="186" s="1"/>
  <c r="C40" i="186" s="1"/>
  <c r="C38" i="186"/>
  <c r="H38" i="186" s="1"/>
  <c r="C39" i="186"/>
  <c r="H39" i="186" s="1"/>
  <c r="C42" i="186"/>
  <c r="C43" i="186"/>
  <c r="H43" i="186" s="1"/>
  <c r="C44" i="186"/>
  <c r="H44" i="186" s="1"/>
  <c r="C10" i="186"/>
  <c r="H10" i="186" s="1"/>
  <c r="C11" i="186"/>
  <c r="H11" i="186" s="1"/>
  <c r="C12" i="186"/>
  <c r="H12" i="186" s="1"/>
  <c r="C13" i="186"/>
  <c r="H13" i="186" s="1"/>
  <c r="C14" i="186"/>
  <c r="H14" i="186" s="1"/>
  <c r="C15" i="186"/>
  <c r="H15" i="186" s="1"/>
  <c r="C16" i="186"/>
  <c r="H16" i="186" s="1"/>
  <c r="C17" i="186"/>
  <c r="C18" i="186"/>
  <c r="H18" i="186" s="1"/>
  <c r="D24" i="186"/>
  <c r="D19" i="186"/>
  <c r="C45" i="186"/>
  <c r="C7" i="186"/>
  <c r="E4" i="186"/>
  <c r="D26" i="185"/>
  <c r="D32" i="185" s="1"/>
  <c r="C21" i="185"/>
  <c r="H21" i="185" s="1"/>
  <c r="G4" i="185"/>
  <c r="C22" i="185"/>
  <c r="H22" i="185" s="1"/>
  <c r="C23" i="185"/>
  <c r="H23" i="185" s="1"/>
  <c r="C26" i="185"/>
  <c r="C27" i="185"/>
  <c r="H27" i="185" s="1"/>
  <c r="C28" i="185"/>
  <c r="H28" i="185" s="1"/>
  <c r="C29" i="185"/>
  <c r="H29" i="185" s="1"/>
  <c r="C30" i="185"/>
  <c r="H30" i="185" s="1"/>
  <c r="C31" i="185"/>
  <c r="C34" i="185"/>
  <c r="H34" i="185" s="1"/>
  <c r="C35" i="185"/>
  <c r="H35" i="185" s="1"/>
  <c r="C36" i="185"/>
  <c r="C37" i="185"/>
  <c r="H37" i="185" s="1"/>
  <c r="C38" i="185"/>
  <c r="C39" i="185"/>
  <c r="H39" i="185" s="1"/>
  <c r="C42" i="185"/>
  <c r="C43" i="185"/>
  <c r="H43" i="185" s="1"/>
  <c r="C44" i="185"/>
  <c r="H44" i="185" s="1"/>
  <c r="C10" i="185"/>
  <c r="H10" i="185" s="1"/>
  <c r="C11" i="185"/>
  <c r="C12" i="185"/>
  <c r="H12" i="185" s="1"/>
  <c r="C13" i="185"/>
  <c r="H13" i="185" s="1"/>
  <c r="C14" i="185"/>
  <c r="C15" i="185"/>
  <c r="H15" i="185" s="1"/>
  <c r="C16" i="185"/>
  <c r="H16" i="185" s="1"/>
  <c r="C17" i="185"/>
  <c r="H17" i="185" s="1"/>
  <c r="C18" i="185"/>
  <c r="H18" i="185" s="1"/>
  <c r="D46" i="185"/>
  <c r="D24" i="185"/>
  <c r="D40" i="185"/>
  <c r="D19" i="185"/>
  <c r="C45" i="185"/>
  <c r="C7" i="185"/>
  <c r="E4" i="185"/>
  <c r="D34" i="184"/>
  <c r="D40" i="184" s="1"/>
  <c r="D26" i="184"/>
  <c r="D42" i="184"/>
  <c r="C21" i="184"/>
  <c r="H21" i="184" s="1"/>
  <c r="G4" i="184"/>
  <c r="C22" i="184"/>
  <c r="H22" i="184" s="1"/>
  <c r="C23" i="184"/>
  <c r="H23" i="184" s="1"/>
  <c r="C26" i="184"/>
  <c r="C27" i="184"/>
  <c r="H27" i="184" s="1"/>
  <c r="C28" i="184"/>
  <c r="H28" i="184" s="1"/>
  <c r="C29" i="184"/>
  <c r="H29" i="184" s="1"/>
  <c r="C30" i="184"/>
  <c r="H30" i="184" s="1"/>
  <c r="C31" i="184"/>
  <c r="H31" i="184" s="1"/>
  <c r="C34" i="184"/>
  <c r="C35" i="184"/>
  <c r="H35" i="184" s="1"/>
  <c r="C36" i="184"/>
  <c r="H36" i="184" s="1"/>
  <c r="C37" i="184"/>
  <c r="H37" i="184" s="1"/>
  <c r="C38" i="184"/>
  <c r="H38" i="184" s="1"/>
  <c r="C39" i="184"/>
  <c r="H39" i="184" s="1"/>
  <c r="C42" i="184"/>
  <c r="C43" i="184"/>
  <c r="H43" i="184" s="1"/>
  <c r="C44" i="184"/>
  <c r="H44" i="184" s="1"/>
  <c r="C10" i="184"/>
  <c r="H10" i="184" s="1"/>
  <c r="C11" i="184"/>
  <c r="H11" i="184" s="1"/>
  <c r="C12" i="184"/>
  <c r="H12" i="184" s="1"/>
  <c r="C13" i="184"/>
  <c r="H13" i="184" s="1"/>
  <c r="C14" i="184"/>
  <c r="H14" i="184" s="1"/>
  <c r="C15" i="184"/>
  <c r="H15" i="184" s="1"/>
  <c r="C16" i="184"/>
  <c r="C17" i="184"/>
  <c r="H17" i="184" s="1"/>
  <c r="C18" i="184"/>
  <c r="H18" i="184" s="1"/>
  <c r="D24" i="184"/>
  <c r="D19" i="184"/>
  <c r="C45" i="184"/>
  <c r="C7" i="184"/>
  <c r="E4" i="184"/>
  <c r="C21" i="183"/>
  <c r="H21" i="183" s="1"/>
  <c r="G4" i="183"/>
  <c r="C22" i="183"/>
  <c r="H22" i="183" s="1"/>
  <c r="C23" i="183"/>
  <c r="H23" i="183" s="1"/>
  <c r="C26" i="183"/>
  <c r="H26" i="183" s="1"/>
  <c r="C27" i="183"/>
  <c r="H27" i="183" s="1"/>
  <c r="C28" i="183"/>
  <c r="C29" i="183"/>
  <c r="H29" i="183" s="1"/>
  <c r="C30" i="183"/>
  <c r="H30" i="183" s="1"/>
  <c r="C31" i="183"/>
  <c r="H31" i="183" s="1"/>
  <c r="C34" i="183"/>
  <c r="H34" i="183" s="1"/>
  <c r="C35" i="183"/>
  <c r="C36" i="183"/>
  <c r="C37" i="183"/>
  <c r="H37" i="183" s="1"/>
  <c r="C38" i="183"/>
  <c r="H38" i="183" s="1"/>
  <c r="C39" i="183"/>
  <c r="H39" i="183" s="1"/>
  <c r="C42" i="183"/>
  <c r="H42" i="183" s="1"/>
  <c r="C43" i="183"/>
  <c r="H43" i="183" s="1"/>
  <c r="C44" i="183"/>
  <c r="H44" i="183" s="1"/>
  <c r="C10" i="183"/>
  <c r="C11" i="183"/>
  <c r="H11" i="183" s="1"/>
  <c r="C12" i="183"/>
  <c r="H12" i="183" s="1"/>
  <c r="C13" i="183"/>
  <c r="C14" i="183"/>
  <c r="H14" i="183" s="1"/>
  <c r="C15" i="183"/>
  <c r="H15" i="183" s="1"/>
  <c r="C16" i="183"/>
  <c r="H16" i="183" s="1"/>
  <c r="C17" i="183"/>
  <c r="H17" i="183" s="1"/>
  <c r="C18" i="183"/>
  <c r="D46" i="183"/>
  <c r="D24" i="183"/>
  <c r="D32" i="183"/>
  <c r="D40" i="183"/>
  <c r="D19" i="183"/>
  <c r="C45" i="183"/>
  <c r="C7" i="183"/>
  <c r="E4" i="183"/>
  <c r="D34" i="182"/>
  <c r="D40" i="182" s="1"/>
  <c r="D42" i="182"/>
  <c r="C21" i="182"/>
  <c r="H21" i="182" s="1"/>
  <c r="G4" i="182"/>
  <c r="C22" i="182"/>
  <c r="H22" i="182" s="1"/>
  <c r="H24" i="182" s="1"/>
  <c r="C24" i="182" s="1"/>
  <c r="C23" i="182"/>
  <c r="H23" i="182" s="1"/>
  <c r="C26" i="182"/>
  <c r="H26" i="182" s="1"/>
  <c r="C27" i="182"/>
  <c r="H27" i="182" s="1"/>
  <c r="C28" i="182"/>
  <c r="H28" i="182" s="1"/>
  <c r="C29" i="182"/>
  <c r="H29" i="182" s="1"/>
  <c r="C30" i="182"/>
  <c r="H30" i="182" s="1"/>
  <c r="C31" i="182"/>
  <c r="H31" i="182" s="1"/>
  <c r="C34" i="182"/>
  <c r="C35" i="182"/>
  <c r="H35" i="182" s="1"/>
  <c r="C36" i="182"/>
  <c r="H36" i="182" s="1"/>
  <c r="C37" i="182"/>
  <c r="H37" i="182" s="1"/>
  <c r="C38" i="182"/>
  <c r="H38" i="182" s="1"/>
  <c r="C39" i="182"/>
  <c r="H39" i="182" s="1"/>
  <c r="C42" i="182"/>
  <c r="C43" i="182"/>
  <c r="H43" i="182" s="1"/>
  <c r="C44" i="182"/>
  <c r="H44" i="182" s="1"/>
  <c r="C10" i="182"/>
  <c r="H10" i="182" s="1"/>
  <c r="C11" i="182"/>
  <c r="H11" i="182" s="1"/>
  <c r="C12" i="182"/>
  <c r="H12" i="182" s="1"/>
  <c r="C13" i="182"/>
  <c r="H13" i="182" s="1"/>
  <c r="C14" i="182"/>
  <c r="C15" i="182"/>
  <c r="H15" i="182" s="1"/>
  <c r="C16" i="182"/>
  <c r="H16" i="182" s="1"/>
  <c r="C17" i="182"/>
  <c r="H17" i="182" s="1"/>
  <c r="C18" i="182"/>
  <c r="H18" i="182" s="1"/>
  <c r="D24" i="182"/>
  <c r="D32" i="182"/>
  <c r="D19" i="182"/>
  <c r="C45" i="182"/>
  <c r="C7" i="182"/>
  <c r="E4" i="182"/>
  <c r="C21" i="181"/>
  <c r="H21" i="181" s="1"/>
  <c r="G4" i="181"/>
  <c r="C22" i="181"/>
  <c r="H22" i="181" s="1"/>
  <c r="C23" i="181"/>
  <c r="H23" i="181" s="1"/>
  <c r="C26" i="181"/>
  <c r="H26" i="181" s="1"/>
  <c r="C27" i="181"/>
  <c r="C28" i="181"/>
  <c r="C29" i="181"/>
  <c r="C30" i="181"/>
  <c r="C31" i="181"/>
  <c r="C34" i="181"/>
  <c r="H34" i="181" s="1"/>
  <c r="C35" i="181"/>
  <c r="H35" i="181" s="1"/>
  <c r="C36" i="181"/>
  <c r="H36" i="181" s="1"/>
  <c r="C37" i="181"/>
  <c r="H37" i="181" s="1"/>
  <c r="C38" i="181"/>
  <c r="C39" i="181"/>
  <c r="C42" i="181"/>
  <c r="H42" i="181" s="1"/>
  <c r="H46" i="181" s="1"/>
  <c r="C43" i="181"/>
  <c r="H43" i="181" s="1"/>
  <c r="C44" i="181"/>
  <c r="H44" i="181" s="1"/>
  <c r="C10" i="181"/>
  <c r="H10" i="181" s="1"/>
  <c r="C11" i="181"/>
  <c r="C12" i="181"/>
  <c r="C13" i="181"/>
  <c r="H13" i="181" s="1"/>
  <c r="C14" i="181"/>
  <c r="H14" i="181" s="1"/>
  <c r="C15" i="181"/>
  <c r="H15" i="181" s="1"/>
  <c r="C16" i="181"/>
  <c r="H16" i="181" s="1"/>
  <c r="C17" i="181"/>
  <c r="H17" i="181" s="1"/>
  <c r="C18" i="181"/>
  <c r="H18" i="181" s="1"/>
  <c r="D46" i="181"/>
  <c r="D24" i="181"/>
  <c r="D32" i="181"/>
  <c r="D40" i="181"/>
  <c r="D19" i="181"/>
  <c r="C45" i="181"/>
  <c r="C7" i="181"/>
  <c r="E4" i="181"/>
  <c r="E3" i="180"/>
  <c r="G2" i="180"/>
  <c r="D43" i="180"/>
  <c r="D44" i="180"/>
  <c r="D45" i="180"/>
  <c r="D35" i="180"/>
  <c r="D36" i="180"/>
  <c r="D37" i="180"/>
  <c r="D38" i="180"/>
  <c r="D39" i="180"/>
  <c r="D27" i="180"/>
  <c r="D29" i="180"/>
  <c r="D30" i="180"/>
  <c r="D31" i="180"/>
  <c r="D22" i="180"/>
  <c r="D23" i="180"/>
  <c r="D21" i="180"/>
  <c r="D11" i="180"/>
  <c r="D12" i="180"/>
  <c r="D13" i="180"/>
  <c r="D14" i="180"/>
  <c r="D15" i="180"/>
  <c r="D16" i="180"/>
  <c r="D17" i="180"/>
  <c r="D18" i="180"/>
  <c r="D10" i="180"/>
  <c r="C21" i="180"/>
  <c r="C22" i="180"/>
  <c r="C23" i="180"/>
  <c r="C26" i="180"/>
  <c r="C27" i="180"/>
  <c r="H27" i="180" s="1"/>
  <c r="C28" i="180"/>
  <c r="C29" i="180"/>
  <c r="C30" i="180"/>
  <c r="C31" i="180"/>
  <c r="H31" i="180" s="1"/>
  <c r="C34" i="180"/>
  <c r="C35" i="180"/>
  <c r="C36" i="180"/>
  <c r="C37" i="180"/>
  <c r="C38" i="180"/>
  <c r="C39" i="180"/>
  <c r="H39" i="180" s="1"/>
  <c r="C42" i="180"/>
  <c r="C43" i="180"/>
  <c r="C44" i="180"/>
  <c r="H44" i="180" s="1"/>
  <c r="C10" i="180"/>
  <c r="H10" i="180" s="1"/>
  <c r="C11" i="180"/>
  <c r="C12" i="180"/>
  <c r="C13" i="180"/>
  <c r="H13" i="180" s="1"/>
  <c r="C14" i="180"/>
  <c r="H14" i="180" s="1"/>
  <c r="C15" i="180"/>
  <c r="H15" i="180" s="1"/>
  <c r="C16" i="180"/>
  <c r="C17" i="180"/>
  <c r="C18" i="180"/>
  <c r="H18" i="180" s="1"/>
  <c r="C45" i="180"/>
  <c r="C7" i="180"/>
  <c r="D26" i="178"/>
  <c r="D32" i="178" s="1"/>
  <c r="E3" i="179"/>
  <c r="D43" i="179"/>
  <c r="D45" i="179"/>
  <c r="D35" i="179"/>
  <c r="D36" i="179"/>
  <c r="D37" i="179"/>
  <c r="D38" i="179"/>
  <c r="D39" i="179"/>
  <c r="D30" i="179"/>
  <c r="H30" i="179" s="1"/>
  <c r="D31" i="179"/>
  <c r="D22" i="179"/>
  <c r="D23" i="179"/>
  <c r="D21" i="179"/>
  <c r="D11" i="179"/>
  <c r="D12" i="179"/>
  <c r="D13" i="179"/>
  <c r="D14" i="179"/>
  <c r="D15" i="179"/>
  <c r="D16" i="179"/>
  <c r="D17" i="179"/>
  <c r="D18" i="179"/>
  <c r="D10" i="179"/>
  <c r="C21" i="179"/>
  <c r="C22" i="179"/>
  <c r="C23" i="179"/>
  <c r="H23" i="179" s="1"/>
  <c r="C26" i="179"/>
  <c r="C27" i="179"/>
  <c r="C28" i="179"/>
  <c r="C29" i="179"/>
  <c r="C30" i="179"/>
  <c r="C31" i="179"/>
  <c r="H31" i="179" s="1"/>
  <c r="C34" i="179"/>
  <c r="C35" i="179"/>
  <c r="C36" i="179"/>
  <c r="C37" i="179"/>
  <c r="H37" i="179" s="1"/>
  <c r="C38" i="179"/>
  <c r="C39" i="179"/>
  <c r="H39" i="179" s="1"/>
  <c r="C42" i="179"/>
  <c r="C43" i="179"/>
  <c r="C44" i="179"/>
  <c r="C10" i="179"/>
  <c r="H10" i="179" s="1"/>
  <c r="C11" i="179"/>
  <c r="C12" i="179"/>
  <c r="C13" i="179"/>
  <c r="C14" i="179"/>
  <c r="H14" i="179" s="1"/>
  <c r="C15" i="179"/>
  <c r="C16" i="179"/>
  <c r="H16" i="179" s="1"/>
  <c r="C17" i="179"/>
  <c r="H17" i="179" s="1"/>
  <c r="C18" i="179"/>
  <c r="C45" i="179"/>
  <c r="C7" i="179"/>
  <c r="C21" i="178"/>
  <c r="H21" i="178" s="1"/>
  <c r="G4" i="178"/>
  <c r="C22" i="178"/>
  <c r="H22" i="178" s="1"/>
  <c r="C23" i="178"/>
  <c r="C26" i="178"/>
  <c r="H26" i="178" s="1"/>
  <c r="C27" i="178"/>
  <c r="H27" i="178" s="1"/>
  <c r="C28" i="178"/>
  <c r="C29" i="178"/>
  <c r="H29" i="178" s="1"/>
  <c r="C30" i="178"/>
  <c r="H30" i="178" s="1"/>
  <c r="C31" i="178"/>
  <c r="H31" i="178" s="1"/>
  <c r="C34" i="178"/>
  <c r="C35" i="178"/>
  <c r="H35" i="178" s="1"/>
  <c r="C36" i="178"/>
  <c r="C37" i="178"/>
  <c r="H37" i="178" s="1"/>
  <c r="C38" i="178"/>
  <c r="H38" i="178" s="1"/>
  <c r="C39" i="178"/>
  <c r="H39" i="178" s="1"/>
  <c r="C42" i="178"/>
  <c r="H42" i="178" s="1"/>
  <c r="C43" i="178"/>
  <c r="H43" i="178" s="1"/>
  <c r="C44" i="178"/>
  <c r="H44" i="178" s="1"/>
  <c r="C10" i="178"/>
  <c r="H10" i="178" s="1"/>
  <c r="C11" i="178"/>
  <c r="H11" i="178" s="1"/>
  <c r="C12" i="178"/>
  <c r="H12" i="178" s="1"/>
  <c r="C13" i="178"/>
  <c r="H13" i="178" s="1"/>
  <c r="C14" i="178"/>
  <c r="H14" i="178" s="1"/>
  <c r="C15" i="178"/>
  <c r="H15" i="178" s="1"/>
  <c r="C16" i="178"/>
  <c r="H16" i="178" s="1"/>
  <c r="C17" i="178"/>
  <c r="H17" i="178" s="1"/>
  <c r="C18" i="178"/>
  <c r="H18" i="178" s="1"/>
  <c r="D46" i="178"/>
  <c r="D24" i="178"/>
  <c r="D40" i="178"/>
  <c r="D19" i="178"/>
  <c r="C45" i="178"/>
  <c r="C7" i="178"/>
  <c r="E4" i="178"/>
  <c r="D26" i="177"/>
  <c r="D32" i="177" s="1"/>
  <c r="C21" i="177"/>
  <c r="H21" i="177" s="1"/>
  <c r="G4" i="177"/>
  <c r="C22" i="177"/>
  <c r="H22" i="177" s="1"/>
  <c r="C23" i="177"/>
  <c r="H23" i="177" s="1"/>
  <c r="C26" i="177"/>
  <c r="C27" i="177"/>
  <c r="H27" i="177" s="1"/>
  <c r="C28" i="177"/>
  <c r="H28" i="177" s="1"/>
  <c r="C29" i="177"/>
  <c r="H29" i="177" s="1"/>
  <c r="C30" i="177"/>
  <c r="H30" i="177" s="1"/>
  <c r="C31" i="177"/>
  <c r="H31" i="177" s="1"/>
  <c r="C34" i="177"/>
  <c r="H34" i="177" s="1"/>
  <c r="C35" i="177"/>
  <c r="H35" i="177" s="1"/>
  <c r="C36" i="177"/>
  <c r="H36" i="177" s="1"/>
  <c r="C37" i="177"/>
  <c r="H37" i="177" s="1"/>
  <c r="C38" i="177"/>
  <c r="H38" i="177" s="1"/>
  <c r="C39" i="177"/>
  <c r="C42" i="177"/>
  <c r="H42" i="177" s="1"/>
  <c r="C43" i="177"/>
  <c r="H43" i="177" s="1"/>
  <c r="C44" i="177"/>
  <c r="C10" i="177"/>
  <c r="H10" i="177" s="1"/>
  <c r="C11" i="177"/>
  <c r="H11" i="177" s="1"/>
  <c r="C12" i="177"/>
  <c r="H12" i="177" s="1"/>
  <c r="C13" i="177"/>
  <c r="H13" i="177" s="1"/>
  <c r="C14" i="177"/>
  <c r="H14" i="177" s="1"/>
  <c r="C15" i="177"/>
  <c r="H15" i="177" s="1"/>
  <c r="C16" i="177"/>
  <c r="C17" i="177"/>
  <c r="H17" i="177" s="1"/>
  <c r="C18" i="177"/>
  <c r="H18" i="177" s="1"/>
  <c r="D46" i="177"/>
  <c r="D24" i="177"/>
  <c r="D40" i="177"/>
  <c r="D19" i="177"/>
  <c r="C45" i="177"/>
  <c r="C7" i="177"/>
  <c r="E4" i="177"/>
  <c r="D34" i="176"/>
  <c r="D40" i="176" s="1"/>
  <c r="D42" i="176"/>
  <c r="D46" i="176" s="1"/>
  <c r="C21" i="176"/>
  <c r="H21" i="176" s="1"/>
  <c r="G4" i="176"/>
  <c r="C22" i="176"/>
  <c r="H22" i="176" s="1"/>
  <c r="C23" i="176"/>
  <c r="H23" i="176" s="1"/>
  <c r="C26" i="176"/>
  <c r="H26" i="176" s="1"/>
  <c r="C27" i="176"/>
  <c r="H27" i="176" s="1"/>
  <c r="C28" i="176"/>
  <c r="H28" i="176" s="1"/>
  <c r="C29" i="176"/>
  <c r="C30" i="176"/>
  <c r="H30" i="176" s="1"/>
  <c r="C31" i="176"/>
  <c r="H31" i="176" s="1"/>
  <c r="C34" i="176"/>
  <c r="C35" i="176"/>
  <c r="H35" i="176" s="1"/>
  <c r="C36" i="176"/>
  <c r="H36" i="176" s="1"/>
  <c r="C37" i="176"/>
  <c r="H37" i="176" s="1"/>
  <c r="C38" i="176"/>
  <c r="H38" i="176" s="1"/>
  <c r="C39" i="176"/>
  <c r="C42" i="176"/>
  <c r="H42" i="176" s="1"/>
  <c r="C43" i="176"/>
  <c r="H43" i="176" s="1"/>
  <c r="C44" i="176"/>
  <c r="C10" i="176"/>
  <c r="H10" i="176" s="1"/>
  <c r="C11" i="176"/>
  <c r="H11" i="176" s="1"/>
  <c r="C12" i="176"/>
  <c r="H12" i="176" s="1"/>
  <c r="C13" i="176"/>
  <c r="H13" i="176" s="1"/>
  <c r="C14" i="176"/>
  <c r="C15" i="176"/>
  <c r="H15" i="176" s="1"/>
  <c r="C16" i="176"/>
  <c r="H16" i="176" s="1"/>
  <c r="C17" i="176"/>
  <c r="H17" i="176" s="1"/>
  <c r="C18" i="176"/>
  <c r="H18" i="176" s="1"/>
  <c r="D24" i="176"/>
  <c r="D32" i="176"/>
  <c r="D19" i="176"/>
  <c r="C45" i="176"/>
  <c r="C7" i="176"/>
  <c r="E4" i="176"/>
  <c r="D26" i="175"/>
  <c r="D32" i="175" s="1"/>
  <c r="D34" i="175"/>
  <c r="D42" i="175"/>
  <c r="C21" i="175"/>
  <c r="H21" i="175" s="1"/>
  <c r="G4" i="175"/>
  <c r="C22" i="175"/>
  <c r="C23" i="175"/>
  <c r="H23" i="175" s="1"/>
  <c r="C26" i="175"/>
  <c r="C27" i="175"/>
  <c r="H27" i="175" s="1"/>
  <c r="C28" i="175"/>
  <c r="H28" i="175" s="1"/>
  <c r="C29" i="175"/>
  <c r="H29" i="175" s="1"/>
  <c r="C30" i="175"/>
  <c r="H30" i="175" s="1"/>
  <c r="C31" i="175"/>
  <c r="H31" i="175" s="1"/>
  <c r="C34" i="175"/>
  <c r="C35" i="175"/>
  <c r="H35" i="175" s="1"/>
  <c r="C36" i="175"/>
  <c r="H36" i="175" s="1"/>
  <c r="C37" i="175"/>
  <c r="H37" i="175" s="1"/>
  <c r="C38" i="175"/>
  <c r="H38" i="175" s="1"/>
  <c r="C39" i="175"/>
  <c r="H39" i="175" s="1"/>
  <c r="C42" i="175"/>
  <c r="C43" i="175"/>
  <c r="C44" i="175"/>
  <c r="H44" i="175" s="1"/>
  <c r="C10" i="175"/>
  <c r="H10" i="175" s="1"/>
  <c r="C11" i="175"/>
  <c r="H11" i="175" s="1"/>
  <c r="C12" i="175"/>
  <c r="H12" i="175" s="1"/>
  <c r="C13" i="175"/>
  <c r="H13" i="175" s="1"/>
  <c r="C14" i="175"/>
  <c r="C15" i="175"/>
  <c r="C16" i="175"/>
  <c r="H16" i="175" s="1"/>
  <c r="C17" i="175"/>
  <c r="H17" i="175" s="1"/>
  <c r="C18" i="175"/>
  <c r="H18" i="175" s="1"/>
  <c r="D24" i="175"/>
  <c r="D19" i="175"/>
  <c r="C45" i="175"/>
  <c r="C7" i="175"/>
  <c r="E4" i="175"/>
  <c r="D34" i="174"/>
  <c r="D40" i="174" s="1"/>
  <c r="D26" i="174"/>
  <c r="D32" i="174" s="1"/>
  <c r="D42" i="174"/>
  <c r="C21" i="174"/>
  <c r="G4" i="174"/>
  <c r="C22" i="174"/>
  <c r="C23" i="174"/>
  <c r="H23" i="174" s="1"/>
  <c r="C26" i="174"/>
  <c r="C27" i="174"/>
  <c r="H27" i="174" s="1"/>
  <c r="C28" i="174"/>
  <c r="H28" i="174" s="1"/>
  <c r="C29" i="174"/>
  <c r="H29" i="174" s="1"/>
  <c r="C30" i="174"/>
  <c r="C31" i="174"/>
  <c r="H31" i="174" s="1"/>
  <c r="C34" i="174"/>
  <c r="C35" i="174"/>
  <c r="H35" i="174" s="1"/>
  <c r="C36" i="174"/>
  <c r="H36" i="174" s="1"/>
  <c r="C37" i="174"/>
  <c r="H37" i="174" s="1"/>
  <c r="C38" i="174"/>
  <c r="H38" i="174" s="1"/>
  <c r="C39" i="174"/>
  <c r="H39" i="174" s="1"/>
  <c r="C42" i="174"/>
  <c r="C43" i="174"/>
  <c r="H43" i="174" s="1"/>
  <c r="C44" i="174"/>
  <c r="C10" i="174"/>
  <c r="H10" i="174" s="1"/>
  <c r="C11" i="174"/>
  <c r="C12" i="174"/>
  <c r="H12" i="174" s="1"/>
  <c r="C13" i="174"/>
  <c r="C14" i="174"/>
  <c r="H14" i="174" s="1"/>
  <c r="C15" i="174"/>
  <c r="H15" i="174" s="1"/>
  <c r="C16" i="174"/>
  <c r="H16" i="174" s="1"/>
  <c r="C17" i="174"/>
  <c r="H17" i="174" s="1"/>
  <c r="C18" i="174"/>
  <c r="H18" i="174" s="1"/>
  <c r="D24" i="174"/>
  <c r="D19" i="174"/>
  <c r="E10" i="174" s="1"/>
  <c r="C45" i="174"/>
  <c r="C7" i="174"/>
  <c r="E4" i="174"/>
  <c r="C21" i="173"/>
  <c r="H21" i="173" s="1"/>
  <c r="G4" i="173"/>
  <c r="C22" i="173"/>
  <c r="C23" i="173"/>
  <c r="C26" i="173"/>
  <c r="C27" i="173"/>
  <c r="H27" i="173" s="1"/>
  <c r="C28" i="173"/>
  <c r="H28" i="173" s="1"/>
  <c r="C29" i="173"/>
  <c r="C30" i="173"/>
  <c r="H30" i="173" s="1"/>
  <c r="C31" i="173"/>
  <c r="C34" i="173"/>
  <c r="H34" i="173" s="1"/>
  <c r="C35" i="173"/>
  <c r="H35" i="173" s="1"/>
  <c r="C36" i="173"/>
  <c r="H36" i="173" s="1"/>
  <c r="C37" i="173"/>
  <c r="H37" i="173" s="1"/>
  <c r="C38" i="173"/>
  <c r="H38" i="173" s="1"/>
  <c r="C39" i="173"/>
  <c r="H39" i="173" s="1"/>
  <c r="C42" i="173"/>
  <c r="C43" i="173"/>
  <c r="H43" i="173" s="1"/>
  <c r="C44" i="173"/>
  <c r="H44" i="173" s="1"/>
  <c r="C10" i="173"/>
  <c r="H10" i="173" s="1"/>
  <c r="C11" i="173"/>
  <c r="H11" i="173" s="1"/>
  <c r="C12" i="173"/>
  <c r="C13" i="173"/>
  <c r="H13" i="173" s="1"/>
  <c r="C14" i="173"/>
  <c r="C15" i="173"/>
  <c r="H15" i="173" s="1"/>
  <c r="C16" i="173"/>
  <c r="H16" i="173" s="1"/>
  <c r="C17" i="173"/>
  <c r="C18" i="173"/>
  <c r="H18" i="173" s="1"/>
  <c r="D46" i="173"/>
  <c r="D24" i="173"/>
  <c r="D32" i="173"/>
  <c r="D50" i="173" s="1"/>
  <c r="D40" i="173"/>
  <c r="D19" i="173"/>
  <c r="E19" i="173" s="1"/>
  <c r="C45" i="173"/>
  <c r="C7" i="173"/>
  <c r="E4" i="173"/>
  <c r="C21" i="172"/>
  <c r="H21" i="172" s="1"/>
  <c r="G4" i="172"/>
  <c r="C22" i="172"/>
  <c r="H22" i="172" s="1"/>
  <c r="C23" i="172"/>
  <c r="H23" i="172" s="1"/>
  <c r="C26" i="172"/>
  <c r="H26" i="172" s="1"/>
  <c r="C27" i="172"/>
  <c r="C28" i="172"/>
  <c r="H28" i="172" s="1"/>
  <c r="C29" i="172"/>
  <c r="H29" i="172" s="1"/>
  <c r="C30" i="172"/>
  <c r="C31" i="172"/>
  <c r="H31" i="172" s="1"/>
  <c r="C34" i="172"/>
  <c r="H34" i="172" s="1"/>
  <c r="C35" i="172"/>
  <c r="H35" i="172" s="1"/>
  <c r="C36" i="172"/>
  <c r="H36" i="172" s="1"/>
  <c r="C37" i="172"/>
  <c r="H37" i="172" s="1"/>
  <c r="C38" i="172"/>
  <c r="H38" i="172" s="1"/>
  <c r="C39" i="172"/>
  <c r="H39" i="172" s="1"/>
  <c r="C42" i="172"/>
  <c r="H42" i="172" s="1"/>
  <c r="C43" i="172"/>
  <c r="C44" i="172"/>
  <c r="C10" i="172"/>
  <c r="C11" i="172"/>
  <c r="H11" i="172" s="1"/>
  <c r="C12" i="172"/>
  <c r="H12" i="172" s="1"/>
  <c r="C13" i="172"/>
  <c r="H13" i="172" s="1"/>
  <c r="C14" i="172"/>
  <c r="H14" i="172" s="1"/>
  <c r="C15" i="172"/>
  <c r="H15" i="172" s="1"/>
  <c r="C16" i="172"/>
  <c r="C17" i="172"/>
  <c r="H17" i="172" s="1"/>
  <c r="C18" i="172"/>
  <c r="D46" i="172"/>
  <c r="D24" i="172"/>
  <c r="D32" i="172"/>
  <c r="D50" i="172" s="1"/>
  <c r="D40" i="172"/>
  <c r="D19" i="172"/>
  <c r="E11" i="172" s="1"/>
  <c r="C45" i="172"/>
  <c r="C7" i="172"/>
  <c r="E4" i="172"/>
  <c r="D26" i="171"/>
  <c r="C21" i="171"/>
  <c r="G4" i="171"/>
  <c r="C22" i="171"/>
  <c r="H22" i="171" s="1"/>
  <c r="C23" i="171"/>
  <c r="C26" i="171"/>
  <c r="C27" i="171"/>
  <c r="H27" i="171" s="1"/>
  <c r="C28" i="171"/>
  <c r="H28" i="171" s="1"/>
  <c r="C29" i="171"/>
  <c r="H29" i="171" s="1"/>
  <c r="C30" i="171"/>
  <c r="H30" i="171" s="1"/>
  <c r="C31" i="171"/>
  <c r="H31" i="171" s="1"/>
  <c r="C34" i="171"/>
  <c r="C35" i="171"/>
  <c r="H35" i="171" s="1"/>
  <c r="C36" i="171"/>
  <c r="H36" i="171" s="1"/>
  <c r="C37" i="171"/>
  <c r="C38" i="171"/>
  <c r="H38" i="171" s="1"/>
  <c r="C39" i="171"/>
  <c r="H39" i="171" s="1"/>
  <c r="C42" i="171"/>
  <c r="H42" i="171" s="1"/>
  <c r="C43" i="171"/>
  <c r="H43" i="171" s="1"/>
  <c r="C44" i="171"/>
  <c r="H44" i="171" s="1"/>
  <c r="C10" i="171"/>
  <c r="H10" i="171" s="1"/>
  <c r="C11" i="171"/>
  <c r="H11" i="171" s="1"/>
  <c r="C12" i="171"/>
  <c r="H12" i="171" s="1"/>
  <c r="C13" i="171"/>
  <c r="C14" i="171"/>
  <c r="H14" i="171" s="1"/>
  <c r="C15" i="171"/>
  <c r="H15" i="171" s="1"/>
  <c r="C16" i="171"/>
  <c r="H16" i="171" s="1"/>
  <c r="C17" i="171"/>
  <c r="H17" i="171" s="1"/>
  <c r="C18" i="171"/>
  <c r="H18" i="171" s="1"/>
  <c r="D46" i="171"/>
  <c r="D24" i="171"/>
  <c r="D40" i="171"/>
  <c r="D19" i="171"/>
  <c r="E17" i="171" s="1"/>
  <c r="C45" i="171"/>
  <c r="C7" i="171"/>
  <c r="E4" i="171"/>
  <c r="C21" i="170"/>
  <c r="H21" i="170" s="1"/>
  <c r="G4" i="170"/>
  <c r="C22" i="170"/>
  <c r="H22" i="170" s="1"/>
  <c r="C23" i="170"/>
  <c r="H23" i="170" s="1"/>
  <c r="C26" i="170"/>
  <c r="H26" i="170" s="1"/>
  <c r="C27" i="170"/>
  <c r="H27" i="170" s="1"/>
  <c r="C28" i="170"/>
  <c r="H28" i="170" s="1"/>
  <c r="C29" i="170"/>
  <c r="H29" i="170" s="1"/>
  <c r="C30" i="170"/>
  <c r="H30" i="170" s="1"/>
  <c r="C31" i="170"/>
  <c r="H31" i="170" s="1"/>
  <c r="C34" i="170"/>
  <c r="H34" i="170" s="1"/>
  <c r="C35" i="170"/>
  <c r="C36" i="170"/>
  <c r="C37" i="170"/>
  <c r="H37" i="170" s="1"/>
  <c r="C38" i="170"/>
  <c r="C39" i="170"/>
  <c r="H39" i="170" s="1"/>
  <c r="C42" i="170"/>
  <c r="H42" i="170" s="1"/>
  <c r="C43" i="170"/>
  <c r="H43" i="170" s="1"/>
  <c r="C44" i="170"/>
  <c r="H44" i="170" s="1"/>
  <c r="C10" i="170"/>
  <c r="H10" i="170" s="1"/>
  <c r="C11" i="170"/>
  <c r="H11" i="170" s="1"/>
  <c r="C12" i="170"/>
  <c r="H12" i="170" s="1"/>
  <c r="C13" i="170"/>
  <c r="H13" i="170" s="1"/>
  <c r="C14" i="170"/>
  <c r="H14" i="170" s="1"/>
  <c r="C15" i="170"/>
  <c r="H15" i="170" s="1"/>
  <c r="C16" i="170"/>
  <c r="H16" i="170" s="1"/>
  <c r="C17" i="170"/>
  <c r="H17" i="170" s="1"/>
  <c r="C18" i="170"/>
  <c r="D46" i="170"/>
  <c r="D24" i="170"/>
  <c r="D32" i="170"/>
  <c r="D40" i="170"/>
  <c r="D19" i="170"/>
  <c r="E11" i="170" s="1"/>
  <c r="C45" i="170"/>
  <c r="C7" i="170"/>
  <c r="E4" i="170"/>
  <c r="D34" i="169"/>
  <c r="D40" i="169" s="1"/>
  <c r="D26" i="169"/>
  <c r="D32" i="169" s="1"/>
  <c r="D42" i="169"/>
  <c r="D46" i="169" s="1"/>
  <c r="C21" i="169"/>
  <c r="G4" i="169"/>
  <c r="C22" i="169"/>
  <c r="H22" i="169" s="1"/>
  <c r="C23" i="169"/>
  <c r="H23" i="169" s="1"/>
  <c r="C26" i="169"/>
  <c r="C27" i="169"/>
  <c r="H27" i="169" s="1"/>
  <c r="C28" i="169"/>
  <c r="C29" i="169"/>
  <c r="H29" i="169" s="1"/>
  <c r="C30" i="169"/>
  <c r="H30" i="169" s="1"/>
  <c r="C31" i="169"/>
  <c r="C34" i="169"/>
  <c r="C35" i="169"/>
  <c r="H35" i="169" s="1"/>
  <c r="C36" i="169"/>
  <c r="C37" i="169"/>
  <c r="H37" i="169" s="1"/>
  <c r="C38" i="169"/>
  <c r="H38" i="169" s="1"/>
  <c r="C39" i="169"/>
  <c r="H39" i="169" s="1"/>
  <c r="C42" i="169"/>
  <c r="C43" i="169"/>
  <c r="H43" i="169" s="1"/>
  <c r="C44" i="169"/>
  <c r="C10" i="169"/>
  <c r="H10" i="169" s="1"/>
  <c r="C11" i="169"/>
  <c r="C12" i="169"/>
  <c r="H12" i="169" s="1"/>
  <c r="C13" i="169"/>
  <c r="H13" i="169" s="1"/>
  <c r="C14" i="169"/>
  <c r="H14" i="169" s="1"/>
  <c r="C15" i="169"/>
  <c r="H15" i="169" s="1"/>
  <c r="C16" i="169"/>
  <c r="C17" i="169"/>
  <c r="C18" i="169"/>
  <c r="H18" i="169" s="1"/>
  <c r="D24" i="169"/>
  <c r="D19" i="169"/>
  <c r="C45" i="169"/>
  <c r="C7" i="169"/>
  <c r="E4" i="169"/>
  <c r="D40" i="161"/>
  <c r="D24" i="161"/>
  <c r="D19" i="161"/>
  <c r="E18" i="161" s="1"/>
  <c r="D46" i="161"/>
  <c r="D26" i="161"/>
  <c r="D32" i="161" s="1"/>
  <c r="C21" i="168"/>
  <c r="G4" i="168"/>
  <c r="C22" i="168"/>
  <c r="C23" i="168"/>
  <c r="H23" i="168" s="1"/>
  <c r="C26" i="168"/>
  <c r="H26" i="168" s="1"/>
  <c r="C27" i="168"/>
  <c r="H27" i="168" s="1"/>
  <c r="C28" i="168"/>
  <c r="H28" i="168" s="1"/>
  <c r="C29" i="168"/>
  <c r="H29" i="168" s="1"/>
  <c r="C30" i="168"/>
  <c r="H30" i="168" s="1"/>
  <c r="C31" i="168"/>
  <c r="C34" i="168"/>
  <c r="H34" i="168" s="1"/>
  <c r="C35" i="168"/>
  <c r="H35" i="168" s="1"/>
  <c r="C36" i="168"/>
  <c r="H36" i="168" s="1"/>
  <c r="C37" i="168"/>
  <c r="C38" i="168"/>
  <c r="H38" i="168" s="1"/>
  <c r="C39" i="168"/>
  <c r="H39" i="168" s="1"/>
  <c r="C42" i="168"/>
  <c r="C43" i="168"/>
  <c r="H43" i="168" s="1"/>
  <c r="C44" i="168"/>
  <c r="H44" i="168" s="1"/>
  <c r="C10" i="168"/>
  <c r="H10" i="168" s="1"/>
  <c r="C11" i="168"/>
  <c r="H11" i="168" s="1"/>
  <c r="C12" i="168"/>
  <c r="H12" i="168" s="1"/>
  <c r="C13" i="168"/>
  <c r="C14" i="168"/>
  <c r="C15" i="168"/>
  <c r="H15" i="168" s="1"/>
  <c r="C16" i="168"/>
  <c r="C17" i="168"/>
  <c r="H17" i="168" s="1"/>
  <c r="C18" i="168"/>
  <c r="H18" i="168" s="1"/>
  <c r="D46" i="168"/>
  <c r="D24" i="168"/>
  <c r="D32" i="168"/>
  <c r="D40" i="168"/>
  <c r="D19" i="168"/>
  <c r="E17" i="168" s="1"/>
  <c r="C45" i="168"/>
  <c r="C7" i="168"/>
  <c r="E4" i="168"/>
  <c r="D26" i="167"/>
  <c r="D32" i="167" s="1"/>
  <c r="C21" i="167"/>
  <c r="H21" i="167" s="1"/>
  <c r="G4" i="167"/>
  <c r="C22" i="167"/>
  <c r="C23" i="167"/>
  <c r="H23" i="167" s="1"/>
  <c r="C26" i="167"/>
  <c r="C27" i="167"/>
  <c r="H27" i="167" s="1"/>
  <c r="C28" i="167"/>
  <c r="H28" i="167" s="1"/>
  <c r="C29" i="167"/>
  <c r="H29" i="167" s="1"/>
  <c r="C30" i="167"/>
  <c r="H30" i="167" s="1"/>
  <c r="C31" i="167"/>
  <c r="H31" i="167" s="1"/>
  <c r="C34" i="167"/>
  <c r="H34" i="167" s="1"/>
  <c r="C35" i="167"/>
  <c r="C36" i="167"/>
  <c r="H36" i="167" s="1"/>
  <c r="C37" i="167"/>
  <c r="H37" i="167" s="1"/>
  <c r="C38" i="167"/>
  <c r="C39" i="167"/>
  <c r="H39" i="167" s="1"/>
  <c r="C42" i="167"/>
  <c r="H42" i="167" s="1"/>
  <c r="C43" i="167"/>
  <c r="H43" i="167" s="1"/>
  <c r="C44" i="167"/>
  <c r="H44" i="167" s="1"/>
  <c r="C10" i="167"/>
  <c r="H10" i="167" s="1"/>
  <c r="C11" i="167"/>
  <c r="H11" i="167" s="1"/>
  <c r="C12" i="167"/>
  <c r="H12" i="167" s="1"/>
  <c r="C13" i="167"/>
  <c r="H13" i="167" s="1"/>
  <c r="C14" i="167"/>
  <c r="H14" i="167" s="1"/>
  <c r="C15" i="167"/>
  <c r="C16" i="167"/>
  <c r="H16" i="167" s="1"/>
  <c r="C17" i="167"/>
  <c r="H17" i="167" s="1"/>
  <c r="C18" i="167"/>
  <c r="H18" i="167" s="1"/>
  <c r="D46" i="167"/>
  <c r="D24" i="167"/>
  <c r="D40" i="167"/>
  <c r="D19" i="167"/>
  <c r="E15" i="167" s="1"/>
  <c r="C45" i="167"/>
  <c r="C7" i="167"/>
  <c r="E4" i="167"/>
  <c r="C21" i="166"/>
  <c r="H21" i="166" s="1"/>
  <c r="G4" i="166"/>
  <c r="C22" i="166"/>
  <c r="H22" i="166" s="1"/>
  <c r="C23" i="166"/>
  <c r="C26" i="166"/>
  <c r="H26" i="166" s="1"/>
  <c r="C27" i="166"/>
  <c r="H27" i="166" s="1"/>
  <c r="C28" i="166"/>
  <c r="H28" i="166" s="1"/>
  <c r="C29" i="166"/>
  <c r="H29" i="166" s="1"/>
  <c r="C30" i="166"/>
  <c r="H30" i="166" s="1"/>
  <c r="C31" i="166"/>
  <c r="H31" i="166" s="1"/>
  <c r="C34" i="166"/>
  <c r="H34" i="166" s="1"/>
  <c r="C35" i="166"/>
  <c r="H35" i="166" s="1"/>
  <c r="C36" i="166"/>
  <c r="C37" i="166"/>
  <c r="H37" i="166" s="1"/>
  <c r="C38" i="166"/>
  <c r="H38" i="166" s="1"/>
  <c r="C39" i="166"/>
  <c r="C42" i="166"/>
  <c r="H42" i="166" s="1"/>
  <c r="C43" i="166"/>
  <c r="H43" i="166" s="1"/>
  <c r="C44" i="166"/>
  <c r="H44" i="166" s="1"/>
  <c r="C10" i="166"/>
  <c r="H10" i="166" s="1"/>
  <c r="C11" i="166"/>
  <c r="H11" i="166" s="1"/>
  <c r="C12" i="166"/>
  <c r="C13" i="166"/>
  <c r="H13" i="166" s="1"/>
  <c r="C14" i="166"/>
  <c r="H14" i="166" s="1"/>
  <c r="C15" i="166"/>
  <c r="H15" i="166" s="1"/>
  <c r="C16" i="166"/>
  <c r="C17" i="166"/>
  <c r="H17" i="166" s="1"/>
  <c r="C18" i="166"/>
  <c r="H18" i="166" s="1"/>
  <c r="D46" i="166"/>
  <c r="D24" i="166"/>
  <c r="D32" i="166"/>
  <c r="D40" i="166"/>
  <c r="D19" i="166"/>
  <c r="E10" i="166" s="1"/>
  <c r="C45" i="166"/>
  <c r="C7" i="166"/>
  <c r="E4" i="166"/>
  <c r="D34" i="165"/>
  <c r="D28" i="165"/>
  <c r="D42" i="165"/>
  <c r="D46" i="165" s="1"/>
  <c r="C21" i="165"/>
  <c r="H21" i="165" s="1"/>
  <c r="G4" i="165"/>
  <c r="C22" i="165"/>
  <c r="H22" i="165" s="1"/>
  <c r="C23" i="165"/>
  <c r="H23" i="165" s="1"/>
  <c r="C26" i="165"/>
  <c r="C27" i="165"/>
  <c r="H27" i="165" s="1"/>
  <c r="C28" i="165"/>
  <c r="H28" i="165" s="1"/>
  <c r="C29" i="165"/>
  <c r="C30" i="165"/>
  <c r="H30" i="165" s="1"/>
  <c r="C31" i="165"/>
  <c r="C34" i="165"/>
  <c r="C35" i="165"/>
  <c r="H35" i="165" s="1"/>
  <c r="C36" i="165"/>
  <c r="H36" i="165" s="1"/>
  <c r="C37" i="165"/>
  <c r="H37" i="165" s="1"/>
  <c r="C38" i="165"/>
  <c r="H38" i="165" s="1"/>
  <c r="C39" i="165"/>
  <c r="H39" i="165" s="1"/>
  <c r="C42" i="165"/>
  <c r="C43" i="165"/>
  <c r="C44" i="165"/>
  <c r="H44" i="165" s="1"/>
  <c r="C10" i="165"/>
  <c r="H10" i="165" s="1"/>
  <c r="C11" i="165"/>
  <c r="H11" i="165" s="1"/>
  <c r="C12" i="165"/>
  <c r="C13" i="165"/>
  <c r="H13" i="165" s="1"/>
  <c r="C14" i="165"/>
  <c r="C15" i="165"/>
  <c r="C16" i="165"/>
  <c r="H16" i="165" s="1"/>
  <c r="C17" i="165"/>
  <c r="C18" i="165"/>
  <c r="H18" i="165" s="1"/>
  <c r="D24" i="165"/>
  <c r="D19" i="165"/>
  <c r="E12" i="165" s="1"/>
  <c r="C45" i="165"/>
  <c r="C7" i="165"/>
  <c r="E4" i="165"/>
  <c r="D26" i="164"/>
  <c r="D32" i="164" s="1"/>
  <c r="C21" i="164"/>
  <c r="G4" i="164"/>
  <c r="C22" i="164"/>
  <c r="C23" i="164"/>
  <c r="C26" i="164"/>
  <c r="C27" i="164"/>
  <c r="H27" i="164" s="1"/>
  <c r="C28" i="164"/>
  <c r="H28" i="164" s="1"/>
  <c r="C29" i="164"/>
  <c r="H29" i="164" s="1"/>
  <c r="C30" i="164"/>
  <c r="C31" i="164"/>
  <c r="H31" i="164" s="1"/>
  <c r="C34" i="164"/>
  <c r="H34" i="164" s="1"/>
  <c r="C35" i="164"/>
  <c r="H35" i="164" s="1"/>
  <c r="C36" i="164"/>
  <c r="C37" i="164"/>
  <c r="H37" i="164" s="1"/>
  <c r="C38" i="164"/>
  <c r="H38" i="164" s="1"/>
  <c r="C39" i="164"/>
  <c r="H39" i="164" s="1"/>
  <c r="C42" i="164"/>
  <c r="H42" i="164" s="1"/>
  <c r="C43" i="164"/>
  <c r="H43" i="164" s="1"/>
  <c r="C44" i="164"/>
  <c r="C10" i="164"/>
  <c r="H10" i="164" s="1"/>
  <c r="C11" i="164"/>
  <c r="H11" i="164" s="1"/>
  <c r="C12" i="164"/>
  <c r="H12" i="164" s="1"/>
  <c r="C13" i="164"/>
  <c r="C14" i="164"/>
  <c r="H14" i="164" s="1"/>
  <c r="C15" i="164"/>
  <c r="H15" i="164" s="1"/>
  <c r="C16" i="164"/>
  <c r="H16" i="164" s="1"/>
  <c r="C17" i="164"/>
  <c r="H17" i="164" s="1"/>
  <c r="C18" i="164"/>
  <c r="H18" i="164" s="1"/>
  <c r="D46" i="164"/>
  <c r="D24" i="164"/>
  <c r="D40" i="164"/>
  <c r="D19" i="164"/>
  <c r="E18" i="164" s="1"/>
  <c r="C45" i="164"/>
  <c r="C7" i="164"/>
  <c r="E4" i="164"/>
  <c r="D34" i="163"/>
  <c r="D40" i="163" s="1"/>
  <c r="D42" i="163"/>
  <c r="D46" i="163" s="1"/>
  <c r="C21" i="163"/>
  <c r="H21" i="163" s="1"/>
  <c r="G4" i="163"/>
  <c r="C22" i="163"/>
  <c r="H22" i="163" s="1"/>
  <c r="C23" i="163"/>
  <c r="H23" i="163" s="1"/>
  <c r="C26" i="163"/>
  <c r="H26" i="163" s="1"/>
  <c r="C27" i="163"/>
  <c r="H27" i="163" s="1"/>
  <c r="C28" i="163"/>
  <c r="H28" i="163" s="1"/>
  <c r="C29" i="163"/>
  <c r="H29" i="163" s="1"/>
  <c r="C30" i="163"/>
  <c r="H30" i="163" s="1"/>
  <c r="C31" i="163"/>
  <c r="H31" i="163" s="1"/>
  <c r="C34" i="163"/>
  <c r="C35" i="163"/>
  <c r="H35" i="163" s="1"/>
  <c r="C36" i="163"/>
  <c r="C37" i="163"/>
  <c r="H37" i="163" s="1"/>
  <c r="C38" i="163"/>
  <c r="H38" i="163" s="1"/>
  <c r="C39" i="163"/>
  <c r="C42" i="163"/>
  <c r="C43" i="163"/>
  <c r="H43" i="163" s="1"/>
  <c r="C44" i="163"/>
  <c r="H44" i="163" s="1"/>
  <c r="C10" i="163"/>
  <c r="H10" i="163" s="1"/>
  <c r="C11" i="163"/>
  <c r="H11" i="163" s="1"/>
  <c r="C12" i="163"/>
  <c r="H12" i="163" s="1"/>
  <c r="C13" i="163"/>
  <c r="C14" i="163"/>
  <c r="H14" i="163" s="1"/>
  <c r="C15" i="163"/>
  <c r="C16" i="163"/>
  <c r="H16" i="163" s="1"/>
  <c r="C17" i="163"/>
  <c r="H17" i="163" s="1"/>
  <c r="C18" i="163"/>
  <c r="H18" i="163" s="1"/>
  <c r="D24" i="163"/>
  <c r="D32" i="163"/>
  <c r="D19" i="163"/>
  <c r="E19" i="163" s="1"/>
  <c r="C45" i="163"/>
  <c r="C7" i="163"/>
  <c r="E4" i="163"/>
  <c r="C21" i="162"/>
  <c r="H21" i="162" s="1"/>
  <c r="G4" i="162"/>
  <c r="C22" i="162"/>
  <c r="H22" i="162" s="1"/>
  <c r="C23" i="162"/>
  <c r="H23" i="162" s="1"/>
  <c r="C26" i="162"/>
  <c r="C27" i="162"/>
  <c r="H27" i="162" s="1"/>
  <c r="C28" i="162"/>
  <c r="H28" i="162" s="1"/>
  <c r="C29" i="162"/>
  <c r="C30" i="162"/>
  <c r="H30" i="162" s="1"/>
  <c r="C31" i="162"/>
  <c r="H31" i="162" s="1"/>
  <c r="C34" i="162"/>
  <c r="H34" i="162" s="1"/>
  <c r="C35" i="162"/>
  <c r="H35" i="162" s="1"/>
  <c r="C36" i="162"/>
  <c r="H36" i="162" s="1"/>
  <c r="C37" i="162"/>
  <c r="H37" i="162" s="1"/>
  <c r="C38" i="162"/>
  <c r="C39" i="162"/>
  <c r="C42" i="162"/>
  <c r="H42" i="162" s="1"/>
  <c r="C43" i="162"/>
  <c r="H43" i="162" s="1"/>
  <c r="C44" i="162"/>
  <c r="H44" i="162" s="1"/>
  <c r="C10" i="162"/>
  <c r="H10" i="162" s="1"/>
  <c r="C11" i="162"/>
  <c r="H11" i="162" s="1"/>
  <c r="C12" i="162"/>
  <c r="H12" i="162" s="1"/>
  <c r="C13" i="162"/>
  <c r="C14" i="162"/>
  <c r="H14" i="162" s="1"/>
  <c r="C15" i="162"/>
  <c r="H15" i="162" s="1"/>
  <c r="C16" i="162"/>
  <c r="C17" i="162"/>
  <c r="C18" i="162"/>
  <c r="H18" i="162" s="1"/>
  <c r="D46" i="162"/>
  <c r="D24" i="162"/>
  <c r="D32" i="162"/>
  <c r="D40" i="162"/>
  <c r="D19" i="162"/>
  <c r="C45" i="162"/>
  <c r="C7" i="162"/>
  <c r="E4" i="162"/>
  <c r="C21" i="161"/>
  <c r="H21" i="161" s="1"/>
  <c r="G4" i="161"/>
  <c r="C22" i="161"/>
  <c r="H22" i="161" s="1"/>
  <c r="C23" i="161"/>
  <c r="H23" i="161" s="1"/>
  <c r="C26" i="161"/>
  <c r="H26" i="161" s="1"/>
  <c r="C27" i="161"/>
  <c r="C28" i="161"/>
  <c r="H28" i="161" s="1"/>
  <c r="C29" i="161"/>
  <c r="H29" i="161" s="1"/>
  <c r="C30" i="161"/>
  <c r="H30" i="161" s="1"/>
  <c r="C31" i="161"/>
  <c r="H31" i="161" s="1"/>
  <c r="C34" i="161"/>
  <c r="H34" i="161" s="1"/>
  <c r="C35" i="161"/>
  <c r="H35" i="161" s="1"/>
  <c r="C36" i="161"/>
  <c r="C37" i="161"/>
  <c r="H37" i="161" s="1"/>
  <c r="C38" i="161"/>
  <c r="C39" i="161"/>
  <c r="H39" i="161" s="1"/>
  <c r="C42" i="161"/>
  <c r="H42" i="161" s="1"/>
  <c r="C43" i="161"/>
  <c r="C44" i="161"/>
  <c r="H44" i="161" s="1"/>
  <c r="C10" i="161"/>
  <c r="H10" i="161" s="1"/>
  <c r="C11" i="161"/>
  <c r="H11" i="161" s="1"/>
  <c r="C12" i="161"/>
  <c r="C13" i="161"/>
  <c r="H13" i="161" s="1"/>
  <c r="C14" i="161"/>
  <c r="H14" i="161" s="1"/>
  <c r="C15" i="161"/>
  <c r="H15" i="161" s="1"/>
  <c r="C16" i="161"/>
  <c r="C17" i="161"/>
  <c r="H17" i="161" s="1"/>
  <c r="C18" i="161"/>
  <c r="H18" i="161" s="1"/>
  <c r="C45" i="161"/>
  <c r="E16" i="161"/>
  <c r="C7" i="161"/>
  <c r="E4" i="161"/>
  <c r="D34" i="160"/>
  <c r="D42" i="160"/>
  <c r="D46" i="160" s="1"/>
  <c r="C21" i="160"/>
  <c r="H21" i="160" s="1"/>
  <c r="G4" i="160"/>
  <c r="C22" i="160"/>
  <c r="C23" i="160"/>
  <c r="H23" i="160" s="1"/>
  <c r="C26" i="160"/>
  <c r="H26" i="160" s="1"/>
  <c r="C27" i="160"/>
  <c r="H27" i="160" s="1"/>
  <c r="C28" i="160"/>
  <c r="H28" i="160" s="1"/>
  <c r="C29" i="160"/>
  <c r="C30" i="160"/>
  <c r="C31" i="160"/>
  <c r="H31" i="160" s="1"/>
  <c r="C34" i="160"/>
  <c r="H34" i="160" s="1"/>
  <c r="C35" i="160"/>
  <c r="H35" i="160" s="1"/>
  <c r="C36" i="160"/>
  <c r="C37" i="160"/>
  <c r="H37" i="160" s="1"/>
  <c r="C38" i="160"/>
  <c r="C39" i="160"/>
  <c r="H39" i="160" s="1"/>
  <c r="C42" i="160"/>
  <c r="C43" i="160"/>
  <c r="H43" i="160" s="1"/>
  <c r="C44" i="160"/>
  <c r="C10" i="160"/>
  <c r="H10" i="160" s="1"/>
  <c r="C11" i="160"/>
  <c r="H11" i="160" s="1"/>
  <c r="C12" i="160"/>
  <c r="H12" i="160" s="1"/>
  <c r="C13" i="160"/>
  <c r="C14" i="160"/>
  <c r="H14" i="160" s="1"/>
  <c r="C15" i="160"/>
  <c r="H15" i="160" s="1"/>
  <c r="C16" i="160"/>
  <c r="H16" i="160" s="1"/>
  <c r="C17" i="160"/>
  <c r="C18" i="160"/>
  <c r="H18" i="160" s="1"/>
  <c r="D24" i="160"/>
  <c r="D32" i="160"/>
  <c r="D19" i="160"/>
  <c r="E17" i="160" s="1"/>
  <c r="C45" i="160"/>
  <c r="C7" i="160"/>
  <c r="E4" i="160"/>
  <c r="D34" i="159"/>
  <c r="D40" i="159" s="1"/>
  <c r="D26" i="159"/>
  <c r="D32" i="159" s="1"/>
  <c r="D42" i="159"/>
  <c r="C21" i="159"/>
  <c r="H21" i="159" s="1"/>
  <c r="G4" i="159"/>
  <c r="C22" i="159"/>
  <c r="H22" i="159" s="1"/>
  <c r="C23" i="159"/>
  <c r="H23" i="159" s="1"/>
  <c r="C26" i="159"/>
  <c r="C27" i="159"/>
  <c r="H27" i="159" s="1"/>
  <c r="C28" i="159"/>
  <c r="C29" i="159"/>
  <c r="H29" i="159" s="1"/>
  <c r="C30" i="159"/>
  <c r="H30" i="159" s="1"/>
  <c r="C31" i="159"/>
  <c r="C34" i="159"/>
  <c r="C35" i="159"/>
  <c r="H35" i="159" s="1"/>
  <c r="C36" i="159"/>
  <c r="H36" i="159" s="1"/>
  <c r="C37" i="159"/>
  <c r="H37" i="159" s="1"/>
  <c r="C38" i="159"/>
  <c r="H38" i="159" s="1"/>
  <c r="C39" i="159"/>
  <c r="C42" i="159"/>
  <c r="C43" i="159"/>
  <c r="C44" i="159"/>
  <c r="H44" i="159" s="1"/>
  <c r="C10" i="159"/>
  <c r="H10" i="159" s="1"/>
  <c r="C11" i="159"/>
  <c r="C12" i="159"/>
  <c r="H12" i="159" s="1"/>
  <c r="C13" i="159"/>
  <c r="H13" i="159" s="1"/>
  <c r="C14" i="159"/>
  <c r="C15" i="159"/>
  <c r="H15" i="159" s="1"/>
  <c r="C16" i="159"/>
  <c r="C17" i="159"/>
  <c r="C18" i="159"/>
  <c r="H18" i="159" s="1"/>
  <c r="D24" i="159"/>
  <c r="D19" i="159"/>
  <c r="C45" i="159"/>
  <c r="C7" i="159"/>
  <c r="E4" i="159"/>
  <c r="D34" i="158"/>
  <c r="D42" i="158"/>
  <c r="D46" i="158" s="1"/>
  <c r="C21" i="158"/>
  <c r="H21" i="158" s="1"/>
  <c r="G4" i="158"/>
  <c r="C22" i="158"/>
  <c r="H22" i="158" s="1"/>
  <c r="C23" i="158"/>
  <c r="C26" i="158"/>
  <c r="C27" i="158"/>
  <c r="H27" i="158" s="1"/>
  <c r="C28" i="158"/>
  <c r="H28" i="158" s="1"/>
  <c r="C29" i="158"/>
  <c r="H29" i="158" s="1"/>
  <c r="C30" i="158"/>
  <c r="H30" i="158" s="1"/>
  <c r="C31" i="158"/>
  <c r="C34" i="158"/>
  <c r="C35" i="158"/>
  <c r="C36" i="158"/>
  <c r="H36" i="158" s="1"/>
  <c r="C37" i="158"/>
  <c r="H37" i="158" s="1"/>
  <c r="C38" i="158"/>
  <c r="C39" i="158"/>
  <c r="C42" i="158"/>
  <c r="H42" i="158" s="1"/>
  <c r="C43" i="158"/>
  <c r="H43" i="158" s="1"/>
  <c r="C44" i="158"/>
  <c r="H44" i="158" s="1"/>
  <c r="C10" i="158"/>
  <c r="H10" i="158" s="1"/>
  <c r="C11" i="158"/>
  <c r="H11" i="158" s="1"/>
  <c r="C12" i="158"/>
  <c r="H12" i="158" s="1"/>
  <c r="C13" i="158"/>
  <c r="H13" i="158" s="1"/>
  <c r="C14" i="158"/>
  <c r="C15" i="158"/>
  <c r="H15" i="158" s="1"/>
  <c r="C16" i="158"/>
  <c r="H16" i="158" s="1"/>
  <c r="C17" i="158"/>
  <c r="C18" i="158"/>
  <c r="H18" i="158" s="1"/>
  <c r="D24" i="158"/>
  <c r="D32" i="158"/>
  <c r="D19" i="158"/>
  <c r="C45" i="158"/>
  <c r="C7" i="158"/>
  <c r="E4" i="158"/>
  <c r="D26" i="157"/>
  <c r="D32" i="157" s="1"/>
  <c r="C21" i="157"/>
  <c r="G4" i="157"/>
  <c r="C22" i="157"/>
  <c r="C23" i="157"/>
  <c r="H23" i="157" s="1"/>
  <c r="C26" i="157"/>
  <c r="C27" i="157"/>
  <c r="H27" i="157" s="1"/>
  <c r="C28" i="157"/>
  <c r="H28" i="157" s="1"/>
  <c r="C29" i="157"/>
  <c r="C30" i="157"/>
  <c r="C31" i="157"/>
  <c r="H31" i="157" s="1"/>
  <c r="C34" i="157"/>
  <c r="H34" i="157" s="1"/>
  <c r="C35" i="157"/>
  <c r="H35" i="157" s="1"/>
  <c r="C36" i="157"/>
  <c r="C37" i="157"/>
  <c r="H37" i="157" s="1"/>
  <c r="C38" i="157"/>
  <c r="H38" i="157" s="1"/>
  <c r="C39" i="157"/>
  <c r="H39" i="157" s="1"/>
  <c r="C42" i="157"/>
  <c r="H42" i="157" s="1"/>
  <c r="C43" i="157"/>
  <c r="H43" i="157" s="1"/>
  <c r="C44" i="157"/>
  <c r="H44" i="157" s="1"/>
  <c r="C10" i="157"/>
  <c r="H10" i="157" s="1"/>
  <c r="C11" i="157"/>
  <c r="H11" i="157" s="1"/>
  <c r="C12" i="157"/>
  <c r="H12" i="157" s="1"/>
  <c r="C13" i="157"/>
  <c r="C14" i="157"/>
  <c r="H14" i="157" s="1"/>
  <c r="C15" i="157"/>
  <c r="H15" i="157" s="1"/>
  <c r="C16" i="157"/>
  <c r="H16" i="157" s="1"/>
  <c r="C17" i="157"/>
  <c r="H17" i="157" s="1"/>
  <c r="C18" i="157"/>
  <c r="H18" i="157" s="1"/>
  <c r="D46" i="157"/>
  <c r="D24" i="157"/>
  <c r="D40" i="157"/>
  <c r="D19" i="157"/>
  <c r="E15" i="157" s="1"/>
  <c r="C45" i="157"/>
  <c r="C7" i="157"/>
  <c r="E4" i="157"/>
  <c r="C21" i="156"/>
  <c r="G4" i="156"/>
  <c r="C22" i="156"/>
  <c r="H22" i="156" s="1"/>
  <c r="C23" i="156"/>
  <c r="C26" i="156"/>
  <c r="C27" i="156"/>
  <c r="H27" i="156" s="1"/>
  <c r="C28" i="156"/>
  <c r="H28" i="156" s="1"/>
  <c r="C29" i="156"/>
  <c r="C30" i="156"/>
  <c r="C31" i="156"/>
  <c r="C34" i="156"/>
  <c r="H34" i="156" s="1"/>
  <c r="C35" i="156"/>
  <c r="H35" i="156" s="1"/>
  <c r="C36" i="156"/>
  <c r="H36" i="156" s="1"/>
  <c r="C37" i="156"/>
  <c r="C38" i="156"/>
  <c r="H38" i="156" s="1"/>
  <c r="C39" i="156"/>
  <c r="H39" i="156" s="1"/>
  <c r="C42" i="156"/>
  <c r="H42" i="156" s="1"/>
  <c r="C43" i="156"/>
  <c r="H43" i="156" s="1"/>
  <c r="C44" i="156"/>
  <c r="H44" i="156" s="1"/>
  <c r="C10" i="156"/>
  <c r="H10" i="156" s="1"/>
  <c r="C11" i="156"/>
  <c r="H11" i="156" s="1"/>
  <c r="C12" i="156"/>
  <c r="H12" i="156" s="1"/>
  <c r="C13" i="156"/>
  <c r="H13" i="156" s="1"/>
  <c r="C14" i="156"/>
  <c r="H14" i="156" s="1"/>
  <c r="C15" i="156"/>
  <c r="H15" i="156" s="1"/>
  <c r="C16" i="156"/>
  <c r="H16" i="156" s="1"/>
  <c r="C17" i="156"/>
  <c r="H17" i="156" s="1"/>
  <c r="C18" i="156"/>
  <c r="D46" i="156"/>
  <c r="D24" i="156"/>
  <c r="D32" i="156"/>
  <c r="D40" i="156"/>
  <c r="D19" i="156"/>
  <c r="C45" i="156"/>
  <c r="C7" i="156"/>
  <c r="E4" i="156"/>
  <c r="D27" i="155"/>
  <c r="D44" i="155"/>
  <c r="D46" i="155" s="1"/>
  <c r="D26" i="155"/>
  <c r="G2" i="155"/>
  <c r="E4" i="155" s="1"/>
  <c r="C21" i="155"/>
  <c r="C22" i="155"/>
  <c r="C23" i="155"/>
  <c r="H23" i="155" s="1"/>
  <c r="C26" i="155"/>
  <c r="C27" i="155"/>
  <c r="C28" i="155"/>
  <c r="H28" i="155" s="1"/>
  <c r="C29" i="155"/>
  <c r="H29" i="155" s="1"/>
  <c r="C30" i="155"/>
  <c r="C31" i="155"/>
  <c r="H31" i="155" s="1"/>
  <c r="C34" i="155"/>
  <c r="H34" i="155" s="1"/>
  <c r="C35" i="155"/>
  <c r="H35" i="155" s="1"/>
  <c r="C36" i="155"/>
  <c r="C37" i="155"/>
  <c r="H37" i="155" s="1"/>
  <c r="C38" i="155"/>
  <c r="H38" i="155" s="1"/>
  <c r="C39" i="155"/>
  <c r="H39" i="155" s="1"/>
  <c r="C42" i="155"/>
  <c r="H42" i="155" s="1"/>
  <c r="C43" i="155"/>
  <c r="H43" i="155" s="1"/>
  <c r="C44" i="155"/>
  <c r="C10" i="155"/>
  <c r="H10" i="155" s="1"/>
  <c r="C11" i="155"/>
  <c r="C12" i="155"/>
  <c r="C13" i="155"/>
  <c r="C14" i="155"/>
  <c r="H14" i="155" s="1"/>
  <c r="C15" i="155"/>
  <c r="H15" i="155" s="1"/>
  <c r="C16" i="155"/>
  <c r="H16" i="155" s="1"/>
  <c r="C17" i="155"/>
  <c r="H17" i="155" s="1"/>
  <c r="C18" i="155"/>
  <c r="H18" i="155" s="1"/>
  <c r="D24" i="155"/>
  <c r="D40" i="155"/>
  <c r="D19" i="155"/>
  <c r="C45" i="155"/>
  <c r="C7" i="155"/>
  <c r="G4" i="27"/>
  <c r="C10" i="27"/>
  <c r="D26" i="154"/>
  <c r="D32" i="154" s="1"/>
  <c r="C21" i="154"/>
  <c r="H21" i="154" s="1"/>
  <c r="G4" i="154"/>
  <c r="C22" i="154"/>
  <c r="H22" i="154" s="1"/>
  <c r="C23" i="154"/>
  <c r="H23" i="154" s="1"/>
  <c r="C26" i="154"/>
  <c r="C27" i="154"/>
  <c r="C28" i="154"/>
  <c r="H28" i="154" s="1"/>
  <c r="C29" i="154"/>
  <c r="H29" i="154" s="1"/>
  <c r="C30" i="154"/>
  <c r="H30" i="154" s="1"/>
  <c r="C31" i="154"/>
  <c r="C34" i="154"/>
  <c r="C35" i="154"/>
  <c r="H35" i="154" s="1"/>
  <c r="C36" i="154"/>
  <c r="C37" i="154"/>
  <c r="H37" i="154" s="1"/>
  <c r="C38" i="154"/>
  <c r="H38" i="154" s="1"/>
  <c r="C39" i="154"/>
  <c r="C42" i="154"/>
  <c r="H42" i="154" s="1"/>
  <c r="C43" i="154"/>
  <c r="C44" i="154"/>
  <c r="H44" i="154" s="1"/>
  <c r="C10" i="154"/>
  <c r="H10" i="154" s="1"/>
  <c r="C11" i="154"/>
  <c r="C12" i="154"/>
  <c r="H12" i="154" s="1"/>
  <c r="C13" i="154"/>
  <c r="H13" i="154" s="1"/>
  <c r="C14" i="154"/>
  <c r="H14" i="154" s="1"/>
  <c r="C15" i="154"/>
  <c r="H15" i="154" s="1"/>
  <c r="C16" i="154"/>
  <c r="H16" i="154" s="1"/>
  <c r="C17" i="154"/>
  <c r="H17" i="154" s="1"/>
  <c r="C18" i="154"/>
  <c r="H18" i="154" s="1"/>
  <c r="D46" i="154"/>
  <c r="D24" i="154"/>
  <c r="D40" i="154"/>
  <c r="D19" i="154"/>
  <c r="C45" i="154"/>
  <c r="C7" i="154"/>
  <c r="E4" i="154"/>
  <c r="C21" i="153"/>
  <c r="H21" i="153" s="1"/>
  <c r="G4" i="153"/>
  <c r="C22" i="153"/>
  <c r="C23" i="153"/>
  <c r="H23" i="153" s="1"/>
  <c r="C26" i="153"/>
  <c r="H26" i="153" s="1"/>
  <c r="C27" i="153"/>
  <c r="H27" i="153" s="1"/>
  <c r="C28" i="153"/>
  <c r="C29" i="153"/>
  <c r="H29" i="153" s="1"/>
  <c r="C30" i="153"/>
  <c r="H30" i="153" s="1"/>
  <c r="C31" i="153"/>
  <c r="H31" i="153" s="1"/>
  <c r="C34" i="153"/>
  <c r="H34" i="153" s="1"/>
  <c r="C35" i="153"/>
  <c r="H35" i="153" s="1"/>
  <c r="C36" i="153"/>
  <c r="H36" i="153" s="1"/>
  <c r="C37" i="153"/>
  <c r="H37" i="153" s="1"/>
  <c r="C38" i="153"/>
  <c r="H38" i="153" s="1"/>
  <c r="C39" i="153"/>
  <c r="H39" i="153" s="1"/>
  <c r="C42" i="153"/>
  <c r="H42" i="153" s="1"/>
  <c r="C43" i="153"/>
  <c r="H43" i="153" s="1"/>
  <c r="C44" i="153"/>
  <c r="C10" i="153"/>
  <c r="H10" i="153" s="1"/>
  <c r="C11" i="153"/>
  <c r="H11" i="153" s="1"/>
  <c r="C12" i="153"/>
  <c r="C13" i="153"/>
  <c r="H13" i="153" s="1"/>
  <c r="C14" i="153"/>
  <c r="H14" i="153" s="1"/>
  <c r="C15" i="153"/>
  <c r="H15" i="153" s="1"/>
  <c r="C16" i="153"/>
  <c r="H16" i="153" s="1"/>
  <c r="C17" i="153"/>
  <c r="H17" i="153" s="1"/>
  <c r="C18" i="153"/>
  <c r="D46" i="153"/>
  <c r="D24" i="153"/>
  <c r="D32" i="153"/>
  <c r="D40" i="153"/>
  <c r="D19" i="153"/>
  <c r="C45" i="153"/>
  <c r="C7" i="153"/>
  <c r="E4" i="153"/>
  <c r="D26" i="152"/>
  <c r="C21" i="152"/>
  <c r="H21" i="152" s="1"/>
  <c r="G4" i="152"/>
  <c r="C22" i="152"/>
  <c r="H22" i="152" s="1"/>
  <c r="C23" i="152"/>
  <c r="C26" i="152"/>
  <c r="C27" i="152"/>
  <c r="H27" i="152" s="1"/>
  <c r="C28" i="152"/>
  <c r="H28" i="152" s="1"/>
  <c r="C29" i="152"/>
  <c r="H29" i="152" s="1"/>
  <c r="C30" i="152"/>
  <c r="H30" i="152" s="1"/>
  <c r="C31" i="152"/>
  <c r="C34" i="152"/>
  <c r="H34" i="152" s="1"/>
  <c r="C35" i="152"/>
  <c r="H35" i="152" s="1"/>
  <c r="C36" i="152"/>
  <c r="H36" i="152" s="1"/>
  <c r="C37" i="152"/>
  <c r="H37" i="152" s="1"/>
  <c r="C38" i="152"/>
  <c r="H38" i="152" s="1"/>
  <c r="C39" i="152"/>
  <c r="H39" i="152" s="1"/>
  <c r="C42" i="152"/>
  <c r="H42" i="152" s="1"/>
  <c r="C43" i="152"/>
  <c r="H43" i="152" s="1"/>
  <c r="C44" i="152"/>
  <c r="C10" i="152"/>
  <c r="H10" i="152" s="1"/>
  <c r="C11" i="152"/>
  <c r="H11" i="152" s="1"/>
  <c r="C12" i="152"/>
  <c r="C13" i="152"/>
  <c r="H13" i="152" s="1"/>
  <c r="C14" i="152"/>
  <c r="H14" i="152" s="1"/>
  <c r="C15" i="152"/>
  <c r="H15" i="152" s="1"/>
  <c r="C16" i="152"/>
  <c r="H16" i="152" s="1"/>
  <c r="C17" i="152"/>
  <c r="C18" i="152"/>
  <c r="H18" i="152" s="1"/>
  <c r="D46" i="152"/>
  <c r="D24" i="152"/>
  <c r="D40" i="152"/>
  <c r="D19" i="152"/>
  <c r="C45" i="152"/>
  <c r="C7" i="152"/>
  <c r="E4" i="152"/>
  <c r="D34" i="151"/>
  <c r="D40" i="151" s="1"/>
  <c r="D26" i="151"/>
  <c r="D42" i="151"/>
  <c r="D46" i="151" s="1"/>
  <c r="C21" i="151"/>
  <c r="G4" i="151"/>
  <c r="C22" i="151"/>
  <c r="H22" i="151" s="1"/>
  <c r="C23" i="151"/>
  <c r="H23" i="151" s="1"/>
  <c r="C26" i="151"/>
  <c r="C27" i="151"/>
  <c r="H27" i="151" s="1"/>
  <c r="C28" i="151"/>
  <c r="H28" i="151" s="1"/>
  <c r="C29" i="151"/>
  <c r="C30" i="151"/>
  <c r="H30" i="151" s="1"/>
  <c r="C31" i="151"/>
  <c r="H31" i="151" s="1"/>
  <c r="C34" i="151"/>
  <c r="C35" i="151"/>
  <c r="C36" i="151"/>
  <c r="H36" i="151" s="1"/>
  <c r="C37" i="151"/>
  <c r="C38" i="151"/>
  <c r="H38" i="151" s="1"/>
  <c r="C39" i="151"/>
  <c r="H39" i="151" s="1"/>
  <c r="C42" i="151"/>
  <c r="C43" i="151"/>
  <c r="C44" i="151"/>
  <c r="H44" i="151" s="1"/>
  <c r="C10" i="151"/>
  <c r="H10" i="151" s="1"/>
  <c r="C11" i="151"/>
  <c r="C12" i="151"/>
  <c r="H12" i="151" s="1"/>
  <c r="C13" i="151"/>
  <c r="H13" i="151" s="1"/>
  <c r="C14" i="151"/>
  <c r="H14" i="151" s="1"/>
  <c r="C15" i="151"/>
  <c r="C16" i="151"/>
  <c r="H16" i="151" s="1"/>
  <c r="C17" i="151"/>
  <c r="H17" i="151" s="1"/>
  <c r="C18" i="151"/>
  <c r="H18" i="151" s="1"/>
  <c r="D24" i="151"/>
  <c r="D19" i="151"/>
  <c r="E18" i="151" s="1"/>
  <c r="C45" i="151"/>
  <c r="C7" i="151"/>
  <c r="E4" i="151"/>
  <c r="D34" i="150"/>
  <c r="D40" i="150" s="1"/>
  <c r="D42" i="150"/>
  <c r="C21" i="150"/>
  <c r="G4" i="150"/>
  <c r="C22" i="150"/>
  <c r="H22" i="150" s="1"/>
  <c r="C23" i="150"/>
  <c r="H23" i="150" s="1"/>
  <c r="C26" i="150"/>
  <c r="H26" i="150" s="1"/>
  <c r="C27" i="150"/>
  <c r="H27" i="150" s="1"/>
  <c r="C28" i="150"/>
  <c r="H28" i="150" s="1"/>
  <c r="C29" i="150"/>
  <c r="C30" i="150"/>
  <c r="H30" i="150" s="1"/>
  <c r="C31" i="150"/>
  <c r="H31" i="150" s="1"/>
  <c r="C34" i="150"/>
  <c r="H34" i="150" s="1"/>
  <c r="C35" i="150"/>
  <c r="H35" i="150" s="1"/>
  <c r="C36" i="150"/>
  <c r="H36" i="150" s="1"/>
  <c r="C37" i="150"/>
  <c r="H37" i="150" s="1"/>
  <c r="C38" i="150"/>
  <c r="H38" i="150" s="1"/>
  <c r="C39" i="150"/>
  <c r="H39" i="150" s="1"/>
  <c r="C42" i="150"/>
  <c r="C43" i="150"/>
  <c r="H43" i="150" s="1"/>
  <c r="C44" i="150"/>
  <c r="H44" i="150" s="1"/>
  <c r="C10" i="150"/>
  <c r="C11" i="150"/>
  <c r="H11" i="150" s="1"/>
  <c r="C12" i="150"/>
  <c r="H12" i="150" s="1"/>
  <c r="C13" i="150"/>
  <c r="H13" i="150" s="1"/>
  <c r="C14" i="150"/>
  <c r="H14" i="150" s="1"/>
  <c r="C15" i="150"/>
  <c r="C16" i="150"/>
  <c r="H16" i="150" s="1"/>
  <c r="C17" i="150"/>
  <c r="H17" i="150" s="1"/>
  <c r="C18" i="150"/>
  <c r="H18" i="150" s="1"/>
  <c r="D24" i="150"/>
  <c r="D32" i="150"/>
  <c r="D19" i="150"/>
  <c r="E11" i="150" s="1"/>
  <c r="C45" i="150"/>
  <c r="C7" i="150"/>
  <c r="E4" i="150"/>
  <c r="C21" i="149"/>
  <c r="G4" i="149"/>
  <c r="C22" i="149"/>
  <c r="H22" i="149" s="1"/>
  <c r="C23" i="149"/>
  <c r="H23" i="149" s="1"/>
  <c r="C26" i="149"/>
  <c r="H26" i="149" s="1"/>
  <c r="C27" i="149"/>
  <c r="H27" i="149" s="1"/>
  <c r="C28" i="149"/>
  <c r="H28" i="149" s="1"/>
  <c r="C29" i="149"/>
  <c r="C30" i="149"/>
  <c r="H30" i="149" s="1"/>
  <c r="C31" i="149"/>
  <c r="H31" i="149" s="1"/>
  <c r="C34" i="149"/>
  <c r="H34" i="149" s="1"/>
  <c r="C35" i="149"/>
  <c r="H35" i="149" s="1"/>
  <c r="C36" i="149"/>
  <c r="H36" i="149" s="1"/>
  <c r="C37" i="149"/>
  <c r="H37" i="149" s="1"/>
  <c r="C38" i="149"/>
  <c r="H38" i="149" s="1"/>
  <c r="C39" i="149"/>
  <c r="C42" i="149"/>
  <c r="H42" i="149" s="1"/>
  <c r="C43" i="149"/>
  <c r="H43" i="149" s="1"/>
  <c r="C44" i="149"/>
  <c r="H44" i="149" s="1"/>
  <c r="C10" i="149"/>
  <c r="H10" i="149" s="1"/>
  <c r="C11" i="149"/>
  <c r="H11" i="149" s="1"/>
  <c r="C12" i="149"/>
  <c r="C13" i="149"/>
  <c r="H13" i="149" s="1"/>
  <c r="C14" i="149"/>
  <c r="C15" i="149"/>
  <c r="H15" i="149" s="1"/>
  <c r="C16" i="149"/>
  <c r="H16" i="149" s="1"/>
  <c r="C17" i="149"/>
  <c r="H17" i="149" s="1"/>
  <c r="C18" i="149"/>
  <c r="H18" i="149" s="1"/>
  <c r="D46" i="149"/>
  <c r="D24" i="149"/>
  <c r="D32" i="149"/>
  <c r="D40" i="149"/>
  <c r="D19" i="149"/>
  <c r="C45" i="149"/>
  <c r="C7" i="149"/>
  <c r="E4" i="149"/>
  <c r="D34" i="148"/>
  <c r="D40" i="148" s="1"/>
  <c r="D42" i="148"/>
  <c r="D46" i="148" s="1"/>
  <c r="C21" i="148"/>
  <c r="G4" i="148"/>
  <c r="C22" i="148"/>
  <c r="H22" i="148" s="1"/>
  <c r="C23" i="148"/>
  <c r="H23" i="148" s="1"/>
  <c r="C26" i="148"/>
  <c r="H26" i="148" s="1"/>
  <c r="C27" i="148"/>
  <c r="C28" i="148"/>
  <c r="H28" i="148" s="1"/>
  <c r="C29" i="148"/>
  <c r="H29" i="148" s="1"/>
  <c r="C30" i="148"/>
  <c r="C31" i="148"/>
  <c r="H31" i="148" s="1"/>
  <c r="C34" i="148"/>
  <c r="C35" i="148"/>
  <c r="C36" i="148"/>
  <c r="H36" i="148" s="1"/>
  <c r="C37" i="148"/>
  <c r="H37" i="148" s="1"/>
  <c r="C38" i="148"/>
  <c r="H38" i="148" s="1"/>
  <c r="C39" i="148"/>
  <c r="H39" i="148" s="1"/>
  <c r="C42" i="148"/>
  <c r="C43" i="148"/>
  <c r="H43" i="148" s="1"/>
  <c r="C44" i="148"/>
  <c r="H44" i="148" s="1"/>
  <c r="C10" i="148"/>
  <c r="C11" i="148"/>
  <c r="H11" i="148" s="1"/>
  <c r="C12" i="148"/>
  <c r="H12" i="148" s="1"/>
  <c r="C13" i="148"/>
  <c r="H13" i="148" s="1"/>
  <c r="C14" i="148"/>
  <c r="H14" i="148" s="1"/>
  <c r="C15" i="148"/>
  <c r="H15" i="148" s="1"/>
  <c r="C16" i="148"/>
  <c r="H16" i="148" s="1"/>
  <c r="C17" i="148"/>
  <c r="H17" i="148" s="1"/>
  <c r="C18" i="148"/>
  <c r="D24" i="148"/>
  <c r="D32" i="148"/>
  <c r="D19" i="148"/>
  <c r="E12" i="148" s="1"/>
  <c r="C45" i="148"/>
  <c r="C7" i="148"/>
  <c r="E4" i="148"/>
  <c r="C21" i="147"/>
  <c r="H21" i="147" s="1"/>
  <c r="G4" i="147"/>
  <c r="C22" i="147"/>
  <c r="H22" i="147" s="1"/>
  <c r="C23" i="147"/>
  <c r="H23" i="147" s="1"/>
  <c r="C26" i="147"/>
  <c r="H26" i="147" s="1"/>
  <c r="C27" i="147"/>
  <c r="H27" i="147" s="1"/>
  <c r="C28" i="147"/>
  <c r="C29" i="147"/>
  <c r="H29" i="147" s="1"/>
  <c r="C30" i="147"/>
  <c r="H30" i="147" s="1"/>
  <c r="C31" i="147"/>
  <c r="C34" i="147"/>
  <c r="H34" i="147" s="1"/>
  <c r="C35" i="147"/>
  <c r="H35" i="147" s="1"/>
  <c r="C36" i="147"/>
  <c r="H36" i="147" s="1"/>
  <c r="C37" i="147"/>
  <c r="H37" i="147" s="1"/>
  <c r="C38" i="147"/>
  <c r="H38" i="147" s="1"/>
  <c r="C39" i="147"/>
  <c r="C42" i="147"/>
  <c r="H42" i="147" s="1"/>
  <c r="C43" i="147"/>
  <c r="H43" i="147" s="1"/>
  <c r="C44" i="147"/>
  <c r="H44" i="147" s="1"/>
  <c r="C10" i="147"/>
  <c r="H10" i="147" s="1"/>
  <c r="C11" i="147"/>
  <c r="C12" i="147"/>
  <c r="H12" i="147" s="1"/>
  <c r="C13" i="147"/>
  <c r="H13" i="147" s="1"/>
  <c r="C14" i="147"/>
  <c r="C15" i="147"/>
  <c r="H15" i="147" s="1"/>
  <c r="C16" i="147"/>
  <c r="H16" i="147" s="1"/>
  <c r="C17" i="147"/>
  <c r="H17" i="147" s="1"/>
  <c r="C18" i="147"/>
  <c r="H18" i="147" s="1"/>
  <c r="D46" i="147"/>
  <c r="D24" i="147"/>
  <c r="D32" i="147"/>
  <c r="D40" i="147"/>
  <c r="D19" i="147"/>
  <c r="E11" i="147" s="1"/>
  <c r="C45" i="147"/>
  <c r="C7" i="147"/>
  <c r="E4" i="147"/>
  <c r="D26" i="146"/>
  <c r="D32" i="146" s="1"/>
  <c r="C21" i="146"/>
  <c r="H21" i="146" s="1"/>
  <c r="G4" i="146"/>
  <c r="C22" i="146"/>
  <c r="H22" i="146" s="1"/>
  <c r="C23" i="146"/>
  <c r="H23" i="146" s="1"/>
  <c r="C26" i="146"/>
  <c r="C27" i="146"/>
  <c r="C28" i="146"/>
  <c r="H28" i="146" s="1"/>
  <c r="C29" i="146"/>
  <c r="H29" i="146" s="1"/>
  <c r="C30" i="146"/>
  <c r="H30" i="146" s="1"/>
  <c r="C31" i="146"/>
  <c r="C34" i="146"/>
  <c r="H34" i="146" s="1"/>
  <c r="C35" i="146"/>
  <c r="H35" i="146" s="1"/>
  <c r="C36" i="146"/>
  <c r="H36" i="146" s="1"/>
  <c r="C37" i="146"/>
  <c r="H37" i="146" s="1"/>
  <c r="C38" i="146"/>
  <c r="C39" i="146"/>
  <c r="H39" i="146" s="1"/>
  <c r="C42" i="146"/>
  <c r="H42" i="146" s="1"/>
  <c r="C43" i="146"/>
  <c r="H43" i="146" s="1"/>
  <c r="C44" i="146"/>
  <c r="H44" i="146" s="1"/>
  <c r="C10" i="146"/>
  <c r="H10" i="146" s="1"/>
  <c r="C11" i="146"/>
  <c r="H11" i="146" s="1"/>
  <c r="C12" i="146"/>
  <c r="H12" i="146" s="1"/>
  <c r="C13" i="146"/>
  <c r="H13" i="146" s="1"/>
  <c r="C14" i="146"/>
  <c r="H14" i="146" s="1"/>
  <c r="C15" i="146"/>
  <c r="C16" i="146"/>
  <c r="H16" i="146" s="1"/>
  <c r="C17" i="146"/>
  <c r="H17" i="146" s="1"/>
  <c r="C18" i="146"/>
  <c r="H18" i="146" s="1"/>
  <c r="D46" i="146"/>
  <c r="D24" i="146"/>
  <c r="D40" i="146"/>
  <c r="D19" i="146"/>
  <c r="E19" i="146" s="1"/>
  <c r="C45" i="146"/>
  <c r="C7" i="146"/>
  <c r="E4" i="146"/>
  <c r="C21" i="145"/>
  <c r="H21" i="145" s="1"/>
  <c r="G4" i="145"/>
  <c r="C22" i="145"/>
  <c r="H22" i="145" s="1"/>
  <c r="C23" i="145"/>
  <c r="H23" i="145" s="1"/>
  <c r="C26" i="145"/>
  <c r="H26" i="145" s="1"/>
  <c r="C27" i="145"/>
  <c r="H27" i="145" s="1"/>
  <c r="C28" i="145"/>
  <c r="C29" i="145"/>
  <c r="H29" i="145" s="1"/>
  <c r="C30" i="145"/>
  <c r="H30" i="145" s="1"/>
  <c r="C31" i="145"/>
  <c r="H31" i="145" s="1"/>
  <c r="C34" i="145"/>
  <c r="C35" i="145"/>
  <c r="H35" i="145" s="1"/>
  <c r="C36" i="145"/>
  <c r="H36" i="145" s="1"/>
  <c r="C37" i="145"/>
  <c r="H37" i="145" s="1"/>
  <c r="C38" i="145"/>
  <c r="H38" i="145" s="1"/>
  <c r="C39" i="145"/>
  <c r="H39" i="145" s="1"/>
  <c r="C42" i="145"/>
  <c r="H42" i="145" s="1"/>
  <c r="C43" i="145"/>
  <c r="H43" i="145" s="1"/>
  <c r="C44" i="145"/>
  <c r="H44" i="145" s="1"/>
  <c r="C10" i="145"/>
  <c r="H10" i="145" s="1"/>
  <c r="C11" i="145"/>
  <c r="C12" i="145"/>
  <c r="H12" i="145" s="1"/>
  <c r="C13" i="145"/>
  <c r="C14" i="145"/>
  <c r="C15" i="145"/>
  <c r="H15" i="145" s="1"/>
  <c r="C16" i="145"/>
  <c r="H16" i="145" s="1"/>
  <c r="C17" i="145"/>
  <c r="H17" i="145" s="1"/>
  <c r="C18" i="145"/>
  <c r="H18" i="145" s="1"/>
  <c r="D46" i="145"/>
  <c r="D24" i="145"/>
  <c r="D50" i="145" s="1"/>
  <c r="D32" i="145"/>
  <c r="D40" i="145"/>
  <c r="D19" i="145"/>
  <c r="E12" i="145" s="1"/>
  <c r="C45" i="145"/>
  <c r="C7" i="145"/>
  <c r="E4" i="145"/>
  <c r="D26" i="144"/>
  <c r="D32" i="144" s="1"/>
  <c r="C21" i="144"/>
  <c r="H21" i="144" s="1"/>
  <c r="G4" i="144"/>
  <c r="C22" i="144"/>
  <c r="H22" i="144" s="1"/>
  <c r="C23" i="144"/>
  <c r="H23" i="144" s="1"/>
  <c r="C26" i="144"/>
  <c r="C27" i="144"/>
  <c r="C28" i="144"/>
  <c r="H28" i="144" s="1"/>
  <c r="C29" i="144"/>
  <c r="C30" i="144"/>
  <c r="H30" i="144" s="1"/>
  <c r="C31" i="144"/>
  <c r="H31" i="144" s="1"/>
  <c r="C34" i="144"/>
  <c r="C35" i="144"/>
  <c r="C36" i="144"/>
  <c r="H36" i="144" s="1"/>
  <c r="C37" i="144"/>
  <c r="H37" i="144" s="1"/>
  <c r="C38" i="144"/>
  <c r="C39" i="144"/>
  <c r="H39" i="144" s="1"/>
  <c r="C42" i="144"/>
  <c r="H42" i="144" s="1"/>
  <c r="C43" i="144"/>
  <c r="H43" i="144" s="1"/>
  <c r="C44" i="144"/>
  <c r="H44" i="144" s="1"/>
  <c r="C10" i="144"/>
  <c r="H10" i="144" s="1"/>
  <c r="C11" i="144"/>
  <c r="H11" i="144" s="1"/>
  <c r="C12" i="144"/>
  <c r="H12" i="144" s="1"/>
  <c r="C13" i="144"/>
  <c r="C14" i="144"/>
  <c r="H14" i="144" s="1"/>
  <c r="C15" i="144"/>
  <c r="H15" i="144" s="1"/>
  <c r="C16" i="144"/>
  <c r="C17" i="144"/>
  <c r="C18" i="144"/>
  <c r="H18" i="144" s="1"/>
  <c r="D46" i="144"/>
  <c r="D24" i="144"/>
  <c r="D40" i="144"/>
  <c r="D19" i="144"/>
  <c r="C45" i="144"/>
  <c r="C7" i="144"/>
  <c r="E4" i="144"/>
  <c r="D26" i="142"/>
  <c r="D32" i="142" s="1"/>
  <c r="C21" i="142"/>
  <c r="H21" i="142" s="1"/>
  <c r="G4" i="142"/>
  <c r="C22" i="142"/>
  <c r="H22" i="142" s="1"/>
  <c r="C23" i="142"/>
  <c r="H23" i="142" s="1"/>
  <c r="C26" i="142"/>
  <c r="C27" i="142"/>
  <c r="H27" i="142" s="1"/>
  <c r="C28" i="142"/>
  <c r="H28" i="142" s="1"/>
  <c r="C29" i="142"/>
  <c r="H29" i="142" s="1"/>
  <c r="C30" i="142"/>
  <c r="H30" i="142" s="1"/>
  <c r="C31" i="142"/>
  <c r="C34" i="142"/>
  <c r="H34" i="142" s="1"/>
  <c r="C35" i="142"/>
  <c r="H35" i="142" s="1"/>
  <c r="C36" i="142"/>
  <c r="H36" i="142" s="1"/>
  <c r="C37" i="142"/>
  <c r="C38" i="142"/>
  <c r="H38" i="142" s="1"/>
  <c r="C39" i="142"/>
  <c r="H39" i="142" s="1"/>
  <c r="C42" i="142"/>
  <c r="C43" i="142"/>
  <c r="C44" i="142"/>
  <c r="H44" i="142" s="1"/>
  <c r="C10" i="142"/>
  <c r="H10" i="142" s="1"/>
  <c r="C11" i="142"/>
  <c r="H11" i="142" s="1"/>
  <c r="C12" i="142"/>
  <c r="C13" i="142"/>
  <c r="H13" i="142" s="1"/>
  <c r="C14" i="142"/>
  <c r="H14" i="142" s="1"/>
  <c r="C15" i="142"/>
  <c r="H15" i="142" s="1"/>
  <c r="C16" i="142"/>
  <c r="H16" i="142" s="1"/>
  <c r="C17" i="142"/>
  <c r="H17" i="142" s="1"/>
  <c r="C18" i="142"/>
  <c r="H18" i="142" s="1"/>
  <c r="D46" i="142"/>
  <c r="D24" i="142"/>
  <c r="D40" i="142"/>
  <c r="D19" i="142"/>
  <c r="C45" i="142"/>
  <c r="C7" i="142"/>
  <c r="E4" i="142"/>
  <c r="C21" i="141"/>
  <c r="G4" i="141"/>
  <c r="C22" i="141"/>
  <c r="H22" i="141" s="1"/>
  <c r="C23" i="141"/>
  <c r="H23" i="141" s="1"/>
  <c r="C26" i="141"/>
  <c r="H26" i="141" s="1"/>
  <c r="C27" i="141"/>
  <c r="H27" i="141" s="1"/>
  <c r="C28" i="141"/>
  <c r="H28" i="141" s="1"/>
  <c r="C29" i="141"/>
  <c r="H29" i="141" s="1"/>
  <c r="C30" i="141"/>
  <c r="C31" i="141"/>
  <c r="H31" i="141" s="1"/>
  <c r="C34" i="141"/>
  <c r="H34" i="141" s="1"/>
  <c r="C35" i="141"/>
  <c r="H35" i="141" s="1"/>
  <c r="C36" i="141"/>
  <c r="H36" i="141" s="1"/>
  <c r="C37" i="141"/>
  <c r="H37" i="141" s="1"/>
  <c r="C38" i="141"/>
  <c r="C39" i="141"/>
  <c r="H39" i="141" s="1"/>
  <c r="C42" i="141"/>
  <c r="H42" i="141" s="1"/>
  <c r="C43" i="141"/>
  <c r="H43" i="141" s="1"/>
  <c r="C44" i="141"/>
  <c r="H44" i="141" s="1"/>
  <c r="C10" i="141"/>
  <c r="H10" i="141" s="1"/>
  <c r="C11" i="141"/>
  <c r="H11" i="141" s="1"/>
  <c r="C12" i="141"/>
  <c r="H12" i="141" s="1"/>
  <c r="C13" i="141"/>
  <c r="C14" i="141"/>
  <c r="H14" i="141" s="1"/>
  <c r="C15" i="141"/>
  <c r="C16" i="141"/>
  <c r="H16" i="141" s="1"/>
  <c r="C17" i="141"/>
  <c r="H17" i="141" s="1"/>
  <c r="C18" i="141"/>
  <c r="H18" i="141" s="1"/>
  <c r="D46" i="141"/>
  <c r="D24" i="141"/>
  <c r="D32" i="141"/>
  <c r="D40" i="141"/>
  <c r="D19" i="141"/>
  <c r="C45" i="141"/>
  <c r="C7" i="141"/>
  <c r="E4" i="141"/>
  <c r="D26" i="140"/>
  <c r="C21" i="140"/>
  <c r="H21" i="140" s="1"/>
  <c r="G4" i="140"/>
  <c r="C22" i="140"/>
  <c r="H22" i="140" s="1"/>
  <c r="C23" i="140"/>
  <c r="H23" i="140" s="1"/>
  <c r="C26" i="140"/>
  <c r="C27" i="140"/>
  <c r="H27" i="140" s="1"/>
  <c r="C28" i="140"/>
  <c r="H28" i="140" s="1"/>
  <c r="C29" i="140"/>
  <c r="H29" i="140" s="1"/>
  <c r="C30" i="140"/>
  <c r="H30" i="140" s="1"/>
  <c r="C31" i="140"/>
  <c r="H31" i="140" s="1"/>
  <c r="C34" i="140"/>
  <c r="C35" i="140"/>
  <c r="H35" i="140" s="1"/>
  <c r="C36" i="140"/>
  <c r="H36" i="140" s="1"/>
  <c r="C37" i="140"/>
  <c r="H37" i="140" s="1"/>
  <c r="C38" i="140"/>
  <c r="H38" i="140" s="1"/>
  <c r="C39" i="140"/>
  <c r="H39" i="140" s="1"/>
  <c r="C42" i="140"/>
  <c r="H42" i="140" s="1"/>
  <c r="C43" i="140"/>
  <c r="H43" i="140" s="1"/>
  <c r="C44" i="140"/>
  <c r="H44" i="140" s="1"/>
  <c r="C10" i="140"/>
  <c r="H10" i="140" s="1"/>
  <c r="C11" i="140"/>
  <c r="H11" i="140" s="1"/>
  <c r="C12" i="140"/>
  <c r="C13" i="140"/>
  <c r="H13" i="140" s="1"/>
  <c r="C14" i="140"/>
  <c r="H14" i="140" s="1"/>
  <c r="C15" i="140"/>
  <c r="H15" i="140" s="1"/>
  <c r="C16" i="140"/>
  <c r="H16" i="140" s="1"/>
  <c r="C17" i="140"/>
  <c r="H17" i="140" s="1"/>
  <c r="C18" i="140"/>
  <c r="H18" i="140" s="1"/>
  <c r="D46" i="140"/>
  <c r="D24" i="140"/>
  <c r="D40" i="140"/>
  <c r="D19" i="140"/>
  <c r="C45" i="140"/>
  <c r="C7" i="140"/>
  <c r="E4" i="140"/>
  <c r="C21" i="139"/>
  <c r="G4" i="139"/>
  <c r="C22" i="139"/>
  <c r="C23" i="139"/>
  <c r="C26" i="139"/>
  <c r="H26" i="139" s="1"/>
  <c r="C27" i="139"/>
  <c r="H27" i="139" s="1"/>
  <c r="C28" i="139"/>
  <c r="H28" i="139" s="1"/>
  <c r="C29" i="139"/>
  <c r="C30" i="139"/>
  <c r="C31" i="139"/>
  <c r="H31" i="139" s="1"/>
  <c r="C34" i="139"/>
  <c r="H34" i="139" s="1"/>
  <c r="C35" i="139"/>
  <c r="C36" i="139"/>
  <c r="C37" i="139"/>
  <c r="H37" i="139" s="1"/>
  <c r="C38" i="139"/>
  <c r="H38" i="139" s="1"/>
  <c r="C39" i="139"/>
  <c r="H39" i="139" s="1"/>
  <c r="C42" i="139"/>
  <c r="H42" i="139" s="1"/>
  <c r="C43" i="139"/>
  <c r="H43" i="139" s="1"/>
  <c r="C44" i="139"/>
  <c r="H44" i="139" s="1"/>
  <c r="C10" i="139"/>
  <c r="H10" i="139" s="1"/>
  <c r="C11" i="139"/>
  <c r="H11" i="139" s="1"/>
  <c r="C12" i="139"/>
  <c r="H12" i="139" s="1"/>
  <c r="C13" i="139"/>
  <c r="C14" i="139"/>
  <c r="H14" i="139" s="1"/>
  <c r="C15" i="139"/>
  <c r="H15" i="139" s="1"/>
  <c r="C16" i="139"/>
  <c r="C17" i="139"/>
  <c r="H17" i="139" s="1"/>
  <c r="C18" i="139"/>
  <c r="H18" i="139" s="1"/>
  <c r="D46" i="139"/>
  <c r="D24" i="139"/>
  <c r="D32" i="139"/>
  <c r="D40" i="139"/>
  <c r="D19" i="139"/>
  <c r="E12" i="139" s="1"/>
  <c r="C45" i="139"/>
  <c r="C7" i="139"/>
  <c r="E4" i="139"/>
  <c r="D34" i="138"/>
  <c r="D40" i="138" s="1"/>
  <c r="D42" i="138"/>
  <c r="C21" i="138"/>
  <c r="G4" i="138"/>
  <c r="C22" i="138"/>
  <c r="C23" i="138"/>
  <c r="C26" i="138"/>
  <c r="H26" i="138" s="1"/>
  <c r="C27" i="138"/>
  <c r="H27" i="138" s="1"/>
  <c r="C28" i="138"/>
  <c r="H28" i="138" s="1"/>
  <c r="C29" i="138"/>
  <c r="H29" i="138" s="1"/>
  <c r="C30" i="138"/>
  <c r="C31" i="138"/>
  <c r="H31" i="138" s="1"/>
  <c r="C34" i="138"/>
  <c r="H34" i="138" s="1"/>
  <c r="C35" i="138"/>
  <c r="C36" i="138"/>
  <c r="C37" i="138"/>
  <c r="H37" i="138" s="1"/>
  <c r="C38" i="138"/>
  <c r="H38" i="138" s="1"/>
  <c r="C39" i="138"/>
  <c r="H39" i="138" s="1"/>
  <c r="C42" i="138"/>
  <c r="C43" i="138"/>
  <c r="H43" i="138" s="1"/>
  <c r="C44" i="138"/>
  <c r="H44" i="138" s="1"/>
  <c r="C10" i="138"/>
  <c r="H10" i="138" s="1"/>
  <c r="C11" i="138"/>
  <c r="C12" i="138"/>
  <c r="H12" i="138" s="1"/>
  <c r="C13" i="138"/>
  <c r="C14" i="138"/>
  <c r="H14" i="138" s="1"/>
  <c r="C15" i="138"/>
  <c r="H15" i="138" s="1"/>
  <c r="C16" i="138"/>
  <c r="H16" i="138" s="1"/>
  <c r="C17" i="138"/>
  <c r="H17" i="138" s="1"/>
  <c r="C18" i="138"/>
  <c r="H18" i="138" s="1"/>
  <c r="D24" i="138"/>
  <c r="D32" i="138"/>
  <c r="D19" i="138"/>
  <c r="C45" i="138"/>
  <c r="C7" i="138"/>
  <c r="E4" i="138"/>
  <c r="D34" i="137"/>
  <c r="D42" i="137"/>
  <c r="D46" i="137" s="1"/>
  <c r="D48" i="137" s="1"/>
  <c r="C21" i="137"/>
  <c r="G4" i="137"/>
  <c r="C22" i="137"/>
  <c r="H22" i="137" s="1"/>
  <c r="C23" i="137"/>
  <c r="H23" i="137" s="1"/>
  <c r="C26" i="137"/>
  <c r="H26" i="137" s="1"/>
  <c r="C27" i="137"/>
  <c r="H27" i="137" s="1"/>
  <c r="C28" i="137"/>
  <c r="H28" i="137" s="1"/>
  <c r="C29" i="137"/>
  <c r="H29" i="137" s="1"/>
  <c r="C30" i="137"/>
  <c r="H30" i="137" s="1"/>
  <c r="C31" i="137"/>
  <c r="H31" i="137" s="1"/>
  <c r="C34" i="137"/>
  <c r="H34" i="137" s="1"/>
  <c r="C35" i="137"/>
  <c r="C36" i="137"/>
  <c r="C37" i="137"/>
  <c r="H37" i="137" s="1"/>
  <c r="C38" i="137"/>
  <c r="H38" i="137" s="1"/>
  <c r="C39" i="137"/>
  <c r="H39" i="137" s="1"/>
  <c r="C42" i="137"/>
  <c r="C43" i="137"/>
  <c r="H43" i="137" s="1"/>
  <c r="C44" i="137"/>
  <c r="H44" i="137" s="1"/>
  <c r="C10" i="137"/>
  <c r="H10" i="137" s="1"/>
  <c r="C11" i="137"/>
  <c r="H11" i="137" s="1"/>
  <c r="C12" i="137"/>
  <c r="H12" i="137" s="1"/>
  <c r="C13" i="137"/>
  <c r="H13" i="137" s="1"/>
  <c r="C14" i="137"/>
  <c r="H14" i="137" s="1"/>
  <c r="C15" i="137"/>
  <c r="H15" i="137" s="1"/>
  <c r="C16" i="137"/>
  <c r="H16" i="137" s="1"/>
  <c r="C17" i="137"/>
  <c r="H17" i="137" s="1"/>
  <c r="C18" i="137"/>
  <c r="H18" i="137" s="1"/>
  <c r="D24" i="137"/>
  <c r="D32" i="137"/>
  <c r="D40" i="137"/>
  <c r="D19" i="137"/>
  <c r="C45" i="137"/>
  <c r="C7" i="137"/>
  <c r="E4" i="137"/>
  <c r="D34" i="136"/>
  <c r="D40" i="136" s="1"/>
  <c r="D42" i="136"/>
  <c r="D46" i="136" s="1"/>
  <c r="C21" i="136"/>
  <c r="H21" i="136" s="1"/>
  <c r="G4" i="136"/>
  <c r="C22" i="136"/>
  <c r="C23" i="136"/>
  <c r="C26" i="136"/>
  <c r="H26" i="136" s="1"/>
  <c r="C27" i="136"/>
  <c r="H27" i="136" s="1"/>
  <c r="C28" i="136"/>
  <c r="C29" i="136"/>
  <c r="H29" i="136" s="1"/>
  <c r="C30" i="136"/>
  <c r="H30" i="136" s="1"/>
  <c r="C31" i="136"/>
  <c r="H31" i="136" s="1"/>
  <c r="C34" i="136"/>
  <c r="C35" i="136"/>
  <c r="H35" i="136" s="1"/>
  <c r="C36" i="136"/>
  <c r="H36" i="136" s="1"/>
  <c r="C37" i="136"/>
  <c r="H37" i="136" s="1"/>
  <c r="C38" i="136"/>
  <c r="H38" i="136" s="1"/>
  <c r="C39" i="136"/>
  <c r="C42" i="136"/>
  <c r="C43" i="136"/>
  <c r="H43" i="136" s="1"/>
  <c r="C44" i="136"/>
  <c r="H44" i="136" s="1"/>
  <c r="C10" i="136"/>
  <c r="C11" i="136"/>
  <c r="H11" i="136" s="1"/>
  <c r="C12" i="136"/>
  <c r="H12" i="136" s="1"/>
  <c r="C13" i="136"/>
  <c r="C14" i="136"/>
  <c r="H14" i="136" s="1"/>
  <c r="C15" i="136"/>
  <c r="H15" i="136" s="1"/>
  <c r="C16" i="136"/>
  <c r="H16" i="136" s="1"/>
  <c r="C17" i="136"/>
  <c r="H17" i="136" s="1"/>
  <c r="C18" i="136"/>
  <c r="H18" i="136" s="1"/>
  <c r="D24" i="136"/>
  <c r="D32" i="136"/>
  <c r="D19" i="136"/>
  <c r="C45" i="136"/>
  <c r="C7" i="136"/>
  <c r="E4" i="136"/>
  <c r="D34" i="135"/>
  <c r="D40" i="135" s="1"/>
  <c r="D42" i="135"/>
  <c r="C21" i="135"/>
  <c r="G4" i="135"/>
  <c r="C22" i="135"/>
  <c r="C23" i="135"/>
  <c r="C26" i="135"/>
  <c r="H26" i="135" s="1"/>
  <c r="C27" i="135"/>
  <c r="H27" i="135" s="1"/>
  <c r="C28" i="135"/>
  <c r="H28" i="135" s="1"/>
  <c r="C29" i="135"/>
  <c r="H29" i="135" s="1"/>
  <c r="C30" i="135"/>
  <c r="H30" i="135" s="1"/>
  <c r="C31" i="135"/>
  <c r="H31" i="135" s="1"/>
  <c r="C34" i="135"/>
  <c r="C35" i="135"/>
  <c r="H35" i="135" s="1"/>
  <c r="C36" i="135"/>
  <c r="C37" i="135"/>
  <c r="H37" i="135" s="1"/>
  <c r="C38" i="135"/>
  <c r="H38" i="135" s="1"/>
  <c r="C39" i="135"/>
  <c r="H39" i="135" s="1"/>
  <c r="C42" i="135"/>
  <c r="C43" i="135"/>
  <c r="H43" i="135" s="1"/>
  <c r="C44" i="135"/>
  <c r="H44" i="135" s="1"/>
  <c r="C10" i="135"/>
  <c r="H10" i="135" s="1"/>
  <c r="C11" i="135"/>
  <c r="H11" i="135" s="1"/>
  <c r="C12" i="135"/>
  <c r="H12" i="135" s="1"/>
  <c r="C13" i="135"/>
  <c r="H13" i="135" s="1"/>
  <c r="C14" i="135"/>
  <c r="H14" i="135" s="1"/>
  <c r="C15" i="135"/>
  <c r="H15" i="135" s="1"/>
  <c r="C16" i="135"/>
  <c r="H16" i="135" s="1"/>
  <c r="C17" i="135"/>
  <c r="H17" i="135" s="1"/>
  <c r="C18" i="135"/>
  <c r="D24" i="135"/>
  <c r="D32" i="135"/>
  <c r="D19" i="135"/>
  <c r="E14" i="135" s="1"/>
  <c r="C45" i="135"/>
  <c r="C7" i="135"/>
  <c r="E4" i="135"/>
  <c r="D26" i="134"/>
  <c r="D32" i="134" s="1"/>
  <c r="C21" i="134"/>
  <c r="G4" i="134"/>
  <c r="C22" i="134"/>
  <c r="H22" i="134" s="1"/>
  <c r="C23" i="134"/>
  <c r="H23" i="134" s="1"/>
  <c r="C26" i="134"/>
  <c r="C27" i="134"/>
  <c r="C28" i="134"/>
  <c r="H28" i="134" s="1"/>
  <c r="C29" i="134"/>
  <c r="H29" i="134" s="1"/>
  <c r="C30" i="134"/>
  <c r="H30" i="134" s="1"/>
  <c r="C31" i="134"/>
  <c r="H31" i="134" s="1"/>
  <c r="C34" i="134"/>
  <c r="H34" i="134" s="1"/>
  <c r="C35" i="134"/>
  <c r="H35" i="134" s="1"/>
  <c r="C36" i="134"/>
  <c r="H36" i="134" s="1"/>
  <c r="C37" i="134"/>
  <c r="H37" i="134" s="1"/>
  <c r="C38" i="134"/>
  <c r="H38" i="134" s="1"/>
  <c r="C39" i="134"/>
  <c r="H39" i="134" s="1"/>
  <c r="C42" i="134"/>
  <c r="H42" i="134" s="1"/>
  <c r="C43" i="134"/>
  <c r="C44" i="134"/>
  <c r="H44" i="134" s="1"/>
  <c r="C10" i="134"/>
  <c r="C11" i="134"/>
  <c r="H11" i="134" s="1"/>
  <c r="C12" i="134"/>
  <c r="H12" i="134" s="1"/>
  <c r="C13" i="134"/>
  <c r="H13" i="134" s="1"/>
  <c r="C14" i="134"/>
  <c r="H14" i="134" s="1"/>
  <c r="C15" i="134"/>
  <c r="C16" i="134"/>
  <c r="H16" i="134" s="1"/>
  <c r="C17" i="134"/>
  <c r="H17" i="134" s="1"/>
  <c r="C18" i="134"/>
  <c r="H18" i="134" s="1"/>
  <c r="D46" i="134"/>
  <c r="D24" i="134"/>
  <c r="D40" i="134"/>
  <c r="D19" i="134"/>
  <c r="C45" i="134"/>
  <c r="C7" i="134"/>
  <c r="E4" i="134"/>
  <c r="C21" i="133"/>
  <c r="H21" i="133" s="1"/>
  <c r="G4" i="133"/>
  <c r="C22" i="133"/>
  <c r="H22" i="133" s="1"/>
  <c r="C23" i="133"/>
  <c r="H23" i="133" s="1"/>
  <c r="C26" i="133"/>
  <c r="H26" i="133" s="1"/>
  <c r="C27" i="133"/>
  <c r="H27" i="133" s="1"/>
  <c r="C28" i="133"/>
  <c r="H28" i="133" s="1"/>
  <c r="C29" i="133"/>
  <c r="H29" i="133" s="1"/>
  <c r="C30" i="133"/>
  <c r="H30" i="133" s="1"/>
  <c r="C31" i="133"/>
  <c r="C34" i="133"/>
  <c r="H34" i="133" s="1"/>
  <c r="C35" i="133"/>
  <c r="H35" i="133" s="1"/>
  <c r="C36" i="133"/>
  <c r="C37" i="133"/>
  <c r="H37" i="133" s="1"/>
  <c r="C38" i="133"/>
  <c r="C39" i="133"/>
  <c r="H39" i="133" s="1"/>
  <c r="C42" i="133"/>
  <c r="H42" i="133" s="1"/>
  <c r="C43" i="133"/>
  <c r="H43" i="133" s="1"/>
  <c r="C44" i="133"/>
  <c r="H44" i="133" s="1"/>
  <c r="C10" i="133"/>
  <c r="H10" i="133" s="1"/>
  <c r="C11" i="133"/>
  <c r="H11" i="133" s="1"/>
  <c r="C12" i="133"/>
  <c r="H12" i="133" s="1"/>
  <c r="C13" i="133"/>
  <c r="H13" i="133" s="1"/>
  <c r="C14" i="133"/>
  <c r="H14" i="133" s="1"/>
  <c r="C15" i="133"/>
  <c r="H15" i="133" s="1"/>
  <c r="C16" i="133"/>
  <c r="H16" i="133" s="1"/>
  <c r="C17" i="133"/>
  <c r="H17" i="133" s="1"/>
  <c r="C18" i="133"/>
  <c r="D46" i="133"/>
  <c r="D24" i="133"/>
  <c r="D32" i="133"/>
  <c r="D40" i="133"/>
  <c r="D19" i="133"/>
  <c r="C45" i="133"/>
  <c r="C7" i="133"/>
  <c r="E4" i="133"/>
  <c r="D26" i="132"/>
  <c r="C21" i="132"/>
  <c r="H21" i="132" s="1"/>
  <c r="G4" i="132"/>
  <c r="C22" i="132"/>
  <c r="H22" i="132" s="1"/>
  <c r="C23" i="132"/>
  <c r="H23" i="132" s="1"/>
  <c r="C26" i="132"/>
  <c r="C27" i="132"/>
  <c r="H27" i="132" s="1"/>
  <c r="C28" i="132"/>
  <c r="H28" i="132" s="1"/>
  <c r="C29" i="132"/>
  <c r="C30" i="132"/>
  <c r="H30" i="132" s="1"/>
  <c r="C31" i="132"/>
  <c r="H31" i="132" s="1"/>
  <c r="C34" i="132"/>
  <c r="H34" i="132" s="1"/>
  <c r="C35" i="132"/>
  <c r="H35" i="132" s="1"/>
  <c r="C36" i="132"/>
  <c r="H36" i="132" s="1"/>
  <c r="C37" i="132"/>
  <c r="C38" i="132"/>
  <c r="H38" i="132" s="1"/>
  <c r="C39" i="132"/>
  <c r="H39" i="132" s="1"/>
  <c r="C42" i="132"/>
  <c r="H42" i="132" s="1"/>
  <c r="C43" i="132"/>
  <c r="C44" i="132"/>
  <c r="H44" i="132" s="1"/>
  <c r="C10" i="132"/>
  <c r="H10" i="132" s="1"/>
  <c r="C11" i="132"/>
  <c r="C12" i="132"/>
  <c r="C13" i="132"/>
  <c r="H13" i="132" s="1"/>
  <c r="C14" i="132"/>
  <c r="H14" i="132" s="1"/>
  <c r="C15" i="132"/>
  <c r="C16" i="132"/>
  <c r="C17" i="132"/>
  <c r="H17" i="132" s="1"/>
  <c r="C18" i="132"/>
  <c r="H18" i="132" s="1"/>
  <c r="D46" i="132"/>
  <c r="D24" i="132"/>
  <c r="D40" i="132"/>
  <c r="D19" i="132"/>
  <c r="C45" i="132"/>
  <c r="C7" i="132"/>
  <c r="E4" i="132"/>
  <c r="D34" i="131"/>
  <c r="D40" i="131" s="1"/>
  <c r="D42" i="131"/>
  <c r="D46" i="131" s="1"/>
  <c r="C21" i="131"/>
  <c r="G4" i="131"/>
  <c r="C22" i="131"/>
  <c r="H22" i="131" s="1"/>
  <c r="C23" i="131"/>
  <c r="H23" i="131" s="1"/>
  <c r="C26" i="131"/>
  <c r="H26" i="131" s="1"/>
  <c r="C27" i="131"/>
  <c r="H27" i="131" s="1"/>
  <c r="C28" i="131"/>
  <c r="H28" i="131" s="1"/>
  <c r="C29" i="131"/>
  <c r="H29" i="131" s="1"/>
  <c r="C30" i="131"/>
  <c r="C31" i="131"/>
  <c r="H31" i="131" s="1"/>
  <c r="C34" i="131"/>
  <c r="C35" i="131"/>
  <c r="C36" i="131"/>
  <c r="C37" i="131"/>
  <c r="H37" i="131" s="1"/>
  <c r="C38" i="131"/>
  <c r="H38" i="131" s="1"/>
  <c r="C39" i="131"/>
  <c r="H39" i="131" s="1"/>
  <c r="C42" i="131"/>
  <c r="C43" i="131"/>
  <c r="H43" i="131" s="1"/>
  <c r="C44" i="131"/>
  <c r="H44" i="131" s="1"/>
  <c r="C10" i="131"/>
  <c r="C11" i="131"/>
  <c r="H11" i="131" s="1"/>
  <c r="C12" i="131"/>
  <c r="H12" i="131" s="1"/>
  <c r="C13" i="131"/>
  <c r="C14" i="131"/>
  <c r="H14" i="131" s="1"/>
  <c r="C15" i="131"/>
  <c r="H15" i="131" s="1"/>
  <c r="C16" i="131"/>
  <c r="H16" i="131" s="1"/>
  <c r="C17" i="131"/>
  <c r="H17" i="131" s="1"/>
  <c r="C18" i="131"/>
  <c r="D24" i="131"/>
  <c r="D32" i="131"/>
  <c r="D19" i="131"/>
  <c r="C45" i="131"/>
  <c r="C7" i="131"/>
  <c r="E4" i="131"/>
  <c r="D34" i="130"/>
  <c r="D40" i="130" s="1"/>
  <c r="D42" i="130"/>
  <c r="C21" i="130"/>
  <c r="G4" i="130"/>
  <c r="C22" i="130"/>
  <c r="C23" i="130"/>
  <c r="H23" i="130" s="1"/>
  <c r="C26" i="130"/>
  <c r="H26" i="130" s="1"/>
  <c r="C27" i="130"/>
  <c r="C28" i="130"/>
  <c r="H28" i="130" s="1"/>
  <c r="C29" i="130"/>
  <c r="H29" i="130" s="1"/>
  <c r="C30" i="130"/>
  <c r="H30" i="130" s="1"/>
  <c r="C31" i="130"/>
  <c r="H31" i="130" s="1"/>
  <c r="C34" i="130"/>
  <c r="H34" i="130" s="1"/>
  <c r="C35" i="130"/>
  <c r="C36" i="130"/>
  <c r="C37" i="130"/>
  <c r="H37" i="130" s="1"/>
  <c r="C38" i="130"/>
  <c r="H38" i="130" s="1"/>
  <c r="C39" i="130"/>
  <c r="H39" i="130" s="1"/>
  <c r="C42" i="130"/>
  <c r="C43" i="130"/>
  <c r="H43" i="130" s="1"/>
  <c r="C44" i="130"/>
  <c r="H44" i="130" s="1"/>
  <c r="C10" i="130"/>
  <c r="C11" i="130"/>
  <c r="H11" i="130" s="1"/>
  <c r="C12" i="130"/>
  <c r="H12" i="130" s="1"/>
  <c r="C13" i="130"/>
  <c r="C14" i="130"/>
  <c r="H14" i="130" s="1"/>
  <c r="C15" i="130"/>
  <c r="H15" i="130" s="1"/>
  <c r="C16" i="130"/>
  <c r="H16" i="130" s="1"/>
  <c r="C17" i="130"/>
  <c r="H17" i="130" s="1"/>
  <c r="C18" i="130"/>
  <c r="D24" i="130"/>
  <c r="D32" i="130"/>
  <c r="D19" i="130"/>
  <c r="E11" i="130" s="1"/>
  <c r="C45" i="130"/>
  <c r="C7" i="130"/>
  <c r="E4" i="130"/>
  <c r="D34" i="129"/>
  <c r="D40" i="129" s="1"/>
  <c r="C21" i="129"/>
  <c r="G4" i="129"/>
  <c r="C22" i="129"/>
  <c r="H22" i="129" s="1"/>
  <c r="C23" i="129"/>
  <c r="H23" i="129" s="1"/>
  <c r="C26" i="129"/>
  <c r="C27" i="129"/>
  <c r="H27" i="129" s="1"/>
  <c r="C28" i="129"/>
  <c r="H28" i="129" s="1"/>
  <c r="C29" i="129"/>
  <c r="H29" i="129" s="1"/>
  <c r="C30" i="129"/>
  <c r="H30" i="129" s="1"/>
  <c r="C31" i="129"/>
  <c r="H31" i="129" s="1"/>
  <c r="C34" i="129"/>
  <c r="C35" i="129"/>
  <c r="H35" i="129" s="1"/>
  <c r="C36" i="129"/>
  <c r="H36" i="129" s="1"/>
  <c r="C37" i="129"/>
  <c r="C38" i="129"/>
  <c r="H38" i="129" s="1"/>
  <c r="C39" i="129"/>
  <c r="H39" i="129" s="1"/>
  <c r="C42" i="129"/>
  <c r="H42" i="129" s="1"/>
  <c r="C43" i="129"/>
  <c r="C44" i="129"/>
  <c r="H44" i="129" s="1"/>
  <c r="C10" i="129"/>
  <c r="C11" i="129"/>
  <c r="H11" i="129" s="1"/>
  <c r="C12" i="129"/>
  <c r="C13" i="129"/>
  <c r="H13" i="129" s="1"/>
  <c r="C14" i="129"/>
  <c r="H14" i="129" s="1"/>
  <c r="C15" i="129"/>
  <c r="C16" i="129"/>
  <c r="H16" i="129" s="1"/>
  <c r="C17" i="129"/>
  <c r="C18" i="129"/>
  <c r="D46" i="129"/>
  <c r="D24" i="129"/>
  <c r="D32" i="129"/>
  <c r="D19" i="129"/>
  <c r="C45" i="129"/>
  <c r="C7" i="129"/>
  <c r="E4" i="129"/>
  <c r="D26" i="128"/>
  <c r="C21" i="128"/>
  <c r="H21" i="128" s="1"/>
  <c r="G4" i="128"/>
  <c r="C22" i="128"/>
  <c r="H22" i="128" s="1"/>
  <c r="C23" i="128"/>
  <c r="C26" i="128"/>
  <c r="C27" i="128"/>
  <c r="H27" i="128" s="1"/>
  <c r="C28" i="128"/>
  <c r="C29" i="128"/>
  <c r="H29" i="128" s="1"/>
  <c r="C30" i="128"/>
  <c r="H30" i="128" s="1"/>
  <c r="C31" i="128"/>
  <c r="H31" i="128" s="1"/>
  <c r="C34" i="128"/>
  <c r="C35" i="128"/>
  <c r="H35" i="128" s="1"/>
  <c r="C36" i="128"/>
  <c r="C37" i="128"/>
  <c r="C38" i="128"/>
  <c r="H38" i="128" s="1"/>
  <c r="C39" i="128"/>
  <c r="H39" i="128" s="1"/>
  <c r="C42" i="128"/>
  <c r="C43" i="128"/>
  <c r="H43" i="128" s="1"/>
  <c r="C44" i="128"/>
  <c r="H44" i="128" s="1"/>
  <c r="C10" i="128"/>
  <c r="H10" i="128" s="1"/>
  <c r="C11" i="128"/>
  <c r="C12" i="128"/>
  <c r="H12" i="128" s="1"/>
  <c r="C13" i="128"/>
  <c r="H13" i="128" s="1"/>
  <c r="C14" i="128"/>
  <c r="H14" i="128" s="1"/>
  <c r="C15" i="128"/>
  <c r="H15" i="128" s="1"/>
  <c r="C16" i="128"/>
  <c r="H16" i="128" s="1"/>
  <c r="C17" i="128"/>
  <c r="H17" i="128" s="1"/>
  <c r="C18" i="128"/>
  <c r="H18" i="128" s="1"/>
  <c r="D46" i="128"/>
  <c r="D24" i="128"/>
  <c r="D40" i="128"/>
  <c r="D19" i="128"/>
  <c r="E10" i="128" s="1"/>
  <c r="C45" i="128"/>
  <c r="C7" i="128"/>
  <c r="E4" i="128"/>
  <c r="D26" i="127"/>
  <c r="D32" i="127" s="1"/>
  <c r="C21" i="127"/>
  <c r="H21" i="127" s="1"/>
  <c r="G4" i="127"/>
  <c r="C22" i="127"/>
  <c r="C23" i="127"/>
  <c r="H23" i="127" s="1"/>
  <c r="C26" i="127"/>
  <c r="C27" i="127"/>
  <c r="H27" i="127" s="1"/>
  <c r="C28" i="127"/>
  <c r="C29" i="127"/>
  <c r="H29" i="127" s="1"/>
  <c r="C30" i="127"/>
  <c r="H30" i="127" s="1"/>
  <c r="C31" i="127"/>
  <c r="H31" i="127" s="1"/>
  <c r="C34" i="127"/>
  <c r="H34" i="127" s="1"/>
  <c r="C35" i="127"/>
  <c r="H35" i="127" s="1"/>
  <c r="C36" i="127"/>
  <c r="H36" i="127" s="1"/>
  <c r="C37" i="127"/>
  <c r="H37" i="127" s="1"/>
  <c r="C38" i="127"/>
  <c r="C39" i="127"/>
  <c r="H39" i="127" s="1"/>
  <c r="C42" i="127"/>
  <c r="H42" i="127" s="1"/>
  <c r="C43" i="127"/>
  <c r="H43" i="127" s="1"/>
  <c r="C44" i="127"/>
  <c r="C10" i="127"/>
  <c r="H10" i="127" s="1"/>
  <c r="C11" i="127"/>
  <c r="C12" i="127"/>
  <c r="H12" i="127" s="1"/>
  <c r="C13" i="127"/>
  <c r="H13" i="127" s="1"/>
  <c r="C14" i="127"/>
  <c r="H14" i="127" s="1"/>
  <c r="C15" i="127"/>
  <c r="H15" i="127" s="1"/>
  <c r="C16" i="127"/>
  <c r="H16" i="127" s="1"/>
  <c r="C17" i="127"/>
  <c r="H17" i="127" s="1"/>
  <c r="C18" i="127"/>
  <c r="D46" i="127"/>
  <c r="D24" i="127"/>
  <c r="D40" i="127"/>
  <c r="D19" i="127"/>
  <c r="E13" i="127" s="1"/>
  <c r="C45" i="127"/>
  <c r="C7" i="127"/>
  <c r="E4" i="127"/>
  <c r="C21" i="126"/>
  <c r="H21" i="126" s="1"/>
  <c r="G4" i="126"/>
  <c r="C22" i="126"/>
  <c r="H22" i="126" s="1"/>
  <c r="C23" i="126"/>
  <c r="C26" i="126"/>
  <c r="H26" i="126" s="1"/>
  <c r="C27" i="126"/>
  <c r="H27" i="126" s="1"/>
  <c r="C28" i="126"/>
  <c r="H28" i="126" s="1"/>
  <c r="C29" i="126"/>
  <c r="C30" i="126"/>
  <c r="H30" i="126" s="1"/>
  <c r="C31" i="126"/>
  <c r="H31" i="126" s="1"/>
  <c r="C34" i="126"/>
  <c r="H34" i="126" s="1"/>
  <c r="C35" i="126"/>
  <c r="H35" i="126" s="1"/>
  <c r="C36" i="126"/>
  <c r="H36" i="126" s="1"/>
  <c r="C37" i="126"/>
  <c r="H37" i="126" s="1"/>
  <c r="C38" i="126"/>
  <c r="H38" i="126" s="1"/>
  <c r="C39" i="126"/>
  <c r="C42" i="126"/>
  <c r="H42" i="126" s="1"/>
  <c r="C43" i="126"/>
  <c r="H43" i="126" s="1"/>
  <c r="C44" i="126"/>
  <c r="H44" i="126" s="1"/>
  <c r="C10" i="126"/>
  <c r="H10" i="126" s="1"/>
  <c r="C11" i="126"/>
  <c r="C12" i="126"/>
  <c r="C13" i="126"/>
  <c r="H13" i="126" s="1"/>
  <c r="C14" i="126"/>
  <c r="H14" i="126" s="1"/>
  <c r="C15" i="126"/>
  <c r="H15" i="126" s="1"/>
  <c r="C16" i="126"/>
  <c r="H16" i="126" s="1"/>
  <c r="C17" i="126"/>
  <c r="H17" i="126" s="1"/>
  <c r="C18" i="126"/>
  <c r="H18" i="126" s="1"/>
  <c r="D46" i="126"/>
  <c r="D24" i="126"/>
  <c r="D32" i="126"/>
  <c r="D40" i="126"/>
  <c r="D19" i="126"/>
  <c r="C45" i="126"/>
  <c r="C7" i="126"/>
  <c r="E4" i="126"/>
  <c r="C21" i="125"/>
  <c r="G4" i="125"/>
  <c r="C22" i="125"/>
  <c r="H22" i="125" s="1"/>
  <c r="C23" i="125"/>
  <c r="H23" i="125" s="1"/>
  <c r="C26" i="125"/>
  <c r="H26" i="125" s="1"/>
  <c r="C27" i="125"/>
  <c r="H27" i="125" s="1"/>
  <c r="C28" i="125"/>
  <c r="H28" i="125" s="1"/>
  <c r="C29" i="125"/>
  <c r="C30" i="125"/>
  <c r="H30" i="125" s="1"/>
  <c r="C31" i="125"/>
  <c r="H31" i="125" s="1"/>
  <c r="C34" i="125"/>
  <c r="H34" i="125" s="1"/>
  <c r="C35" i="125"/>
  <c r="H35" i="125" s="1"/>
  <c r="C36" i="125"/>
  <c r="H36" i="125" s="1"/>
  <c r="C37" i="125"/>
  <c r="H37" i="125" s="1"/>
  <c r="C38" i="125"/>
  <c r="H38" i="125" s="1"/>
  <c r="C39" i="125"/>
  <c r="H39" i="125" s="1"/>
  <c r="C42" i="125"/>
  <c r="H42" i="125" s="1"/>
  <c r="C43" i="125"/>
  <c r="H43" i="125" s="1"/>
  <c r="C44" i="125"/>
  <c r="H44" i="125" s="1"/>
  <c r="C10" i="125"/>
  <c r="H10" i="125" s="1"/>
  <c r="C11" i="125"/>
  <c r="H11" i="125" s="1"/>
  <c r="C12" i="125"/>
  <c r="C13" i="125"/>
  <c r="H13" i="125" s="1"/>
  <c r="C14" i="125"/>
  <c r="H14" i="125" s="1"/>
  <c r="C15" i="125"/>
  <c r="H15" i="125" s="1"/>
  <c r="C16" i="125"/>
  <c r="H16" i="125" s="1"/>
  <c r="C17" i="125"/>
  <c r="H17" i="125" s="1"/>
  <c r="C18" i="125"/>
  <c r="H18" i="125" s="1"/>
  <c r="D46" i="125"/>
  <c r="D24" i="125"/>
  <c r="D32" i="125"/>
  <c r="D40" i="125"/>
  <c r="D19" i="125"/>
  <c r="C45" i="125"/>
  <c r="C7" i="125"/>
  <c r="E4" i="125"/>
  <c r="D34" i="124"/>
  <c r="D40" i="124" s="1"/>
  <c r="D42" i="124"/>
  <c r="D46" i="124" s="1"/>
  <c r="C21" i="124"/>
  <c r="H21" i="124" s="1"/>
  <c r="G4" i="124"/>
  <c r="C22" i="124"/>
  <c r="H22" i="124" s="1"/>
  <c r="C23" i="124"/>
  <c r="H23" i="124" s="1"/>
  <c r="C26" i="124"/>
  <c r="H26" i="124" s="1"/>
  <c r="C27" i="124"/>
  <c r="H27" i="124" s="1"/>
  <c r="C28" i="124"/>
  <c r="H28" i="124" s="1"/>
  <c r="C29" i="124"/>
  <c r="C30" i="124"/>
  <c r="H30" i="124" s="1"/>
  <c r="C31" i="124"/>
  <c r="H31" i="124" s="1"/>
  <c r="C34" i="124"/>
  <c r="C35" i="124"/>
  <c r="H35" i="124" s="1"/>
  <c r="C36" i="124"/>
  <c r="H36" i="124" s="1"/>
  <c r="C37" i="124"/>
  <c r="H37" i="124" s="1"/>
  <c r="C38" i="124"/>
  <c r="H38" i="124" s="1"/>
  <c r="C39" i="124"/>
  <c r="H39" i="124" s="1"/>
  <c r="C42" i="124"/>
  <c r="C43" i="124"/>
  <c r="C44" i="124"/>
  <c r="H44" i="124" s="1"/>
  <c r="C10" i="124"/>
  <c r="H10" i="124" s="1"/>
  <c r="C11" i="124"/>
  <c r="H11" i="124" s="1"/>
  <c r="C12" i="124"/>
  <c r="C13" i="124"/>
  <c r="C14" i="124"/>
  <c r="H14" i="124" s="1"/>
  <c r="C15" i="124"/>
  <c r="H15" i="124" s="1"/>
  <c r="C16" i="124"/>
  <c r="H16" i="124" s="1"/>
  <c r="C17" i="124"/>
  <c r="H17" i="124" s="1"/>
  <c r="C18" i="124"/>
  <c r="H18" i="124" s="1"/>
  <c r="D24" i="124"/>
  <c r="D32" i="124"/>
  <c r="D19" i="124"/>
  <c r="C45" i="124"/>
  <c r="C7" i="124"/>
  <c r="E4" i="124"/>
  <c r="D26" i="123"/>
  <c r="C21" i="123"/>
  <c r="H21" i="123" s="1"/>
  <c r="G4" i="123"/>
  <c r="C22" i="123"/>
  <c r="H22" i="123" s="1"/>
  <c r="C23" i="123"/>
  <c r="H23" i="123" s="1"/>
  <c r="C26" i="123"/>
  <c r="C27" i="123"/>
  <c r="H27" i="123" s="1"/>
  <c r="C28" i="123"/>
  <c r="H28" i="123" s="1"/>
  <c r="C29" i="123"/>
  <c r="H29" i="123" s="1"/>
  <c r="C30" i="123"/>
  <c r="H30" i="123" s="1"/>
  <c r="C31" i="123"/>
  <c r="C34" i="123"/>
  <c r="H34" i="123" s="1"/>
  <c r="C35" i="123"/>
  <c r="C36" i="123"/>
  <c r="H36" i="123" s="1"/>
  <c r="C37" i="123"/>
  <c r="H37" i="123" s="1"/>
  <c r="C38" i="123"/>
  <c r="H38" i="123" s="1"/>
  <c r="C39" i="123"/>
  <c r="C42" i="123"/>
  <c r="C43" i="123"/>
  <c r="H43" i="123" s="1"/>
  <c r="C44" i="123"/>
  <c r="H44" i="123" s="1"/>
  <c r="C10" i="123"/>
  <c r="H10" i="123" s="1"/>
  <c r="C11" i="123"/>
  <c r="H11" i="123" s="1"/>
  <c r="C12" i="123"/>
  <c r="H12" i="123" s="1"/>
  <c r="C13" i="123"/>
  <c r="H13" i="123" s="1"/>
  <c r="C14" i="123"/>
  <c r="C15" i="123"/>
  <c r="H15" i="123" s="1"/>
  <c r="C16" i="123"/>
  <c r="H16" i="123" s="1"/>
  <c r="C17" i="123"/>
  <c r="H17" i="123" s="1"/>
  <c r="C18" i="123"/>
  <c r="H18" i="123" s="1"/>
  <c r="D46" i="123"/>
  <c r="D24" i="123"/>
  <c r="D40" i="123"/>
  <c r="D19" i="123"/>
  <c r="C45" i="123"/>
  <c r="C7" i="123"/>
  <c r="E4" i="123"/>
  <c r="D26" i="122"/>
  <c r="D32" i="122" s="1"/>
  <c r="C21" i="122"/>
  <c r="H21" i="122" s="1"/>
  <c r="G4" i="122"/>
  <c r="C22" i="122"/>
  <c r="H22" i="122" s="1"/>
  <c r="C23" i="122"/>
  <c r="H23" i="122" s="1"/>
  <c r="C26" i="122"/>
  <c r="C27" i="122"/>
  <c r="H27" i="122" s="1"/>
  <c r="C28" i="122"/>
  <c r="H28" i="122" s="1"/>
  <c r="C29" i="122"/>
  <c r="H29" i="122" s="1"/>
  <c r="C30" i="122"/>
  <c r="H30" i="122" s="1"/>
  <c r="C31" i="122"/>
  <c r="C34" i="122"/>
  <c r="H34" i="122" s="1"/>
  <c r="C35" i="122"/>
  <c r="H35" i="122" s="1"/>
  <c r="C36" i="122"/>
  <c r="H36" i="122" s="1"/>
  <c r="C37" i="122"/>
  <c r="H37" i="122" s="1"/>
  <c r="C38" i="122"/>
  <c r="H38" i="122" s="1"/>
  <c r="C39" i="122"/>
  <c r="H39" i="122" s="1"/>
  <c r="C42" i="122"/>
  <c r="H42" i="122" s="1"/>
  <c r="C43" i="122"/>
  <c r="H43" i="122" s="1"/>
  <c r="C44" i="122"/>
  <c r="H44" i="122" s="1"/>
  <c r="C10" i="122"/>
  <c r="H10" i="122" s="1"/>
  <c r="C11" i="122"/>
  <c r="H11" i="122" s="1"/>
  <c r="C12" i="122"/>
  <c r="H12" i="122" s="1"/>
  <c r="C13" i="122"/>
  <c r="H13" i="122" s="1"/>
  <c r="C14" i="122"/>
  <c r="C15" i="122"/>
  <c r="H15" i="122" s="1"/>
  <c r="C16" i="122"/>
  <c r="H16" i="122" s="1"/>
  <c r="C17" i="122"/>
  <c r="H17" i="122" s="1"/>
  <c r="C18" i="122"/>
  <c r="H18" i="122" s="1"/>
  <c r="D46" i="122"/>
  <c r="D24" i="122"/>
  <c r="D40" i="122"/>
  <c r="D19" i="122"/>
  <c r="E10" i="122" s="1"/>
  <c r="C45" i="122"/>
  <c r="C7" i="122"/>
  <c r="E4" i="122"/>
  <c r="D26" i="121"/>
  <c r="D32" i="121" s="1"/>
  <c r="C21" i="121"/>
  <c r="H21" i="121" s="1"/>
  <c r="G4" i="121"/>
  <c r="C22" i="121"/>
  <c r="H22" i="121" s="1"/>
  <c r="C23" i="121"/>
  <c r="H23" i="121" s="1"/>
  <c r="C26" i="121"/>
  <c r="C27" i="121"/>
  <c r="C28" i="121"/>
  <c r="H28" i="121" s="1"/>
  <c r="C29" i="121"/>
  <c r="H29" i="121" s="1"/>
  <c r="C30" i="121"/>
  <c r="H30" i="121" s="1"/>
  <c r="C31" i="121"/>
  <c r="H31" i="121" s="1"/>
  <c r="C34" i="121"/>
  <c r="H34" i="121" s="1"/>
  <c r="C35" i="121"/>
  <c r="H35" i="121" s="1"/>
  <c r="C36" i="121"/>
  <c r="H36" i="121" s="1"/>
  <c r="C37" i="121"/>
  <c r="H37" i="121" s="1"/>
  <c r="C38" i="121"/>
  <c r="H38" i="121" s="1"/>
  <c r="C39" i="121"/>
  <c r="H39" i="121" s="1"/>
  <c r="C42" i="121"/>
  <c r="H42" i="121" s="1"/>
  <c r="C43" i="121"/>
  <c r="H43" i="121" s="1"/>
  <c r="C44" i="121"/>
  <c r="H44" i="121" s="1"/>
  <c r="C10" i="121"/>
  <c r="H10" i="121" s="1"/>
  <c r="C11" i="121"/>
  <c r="H11" i="121" s="1"/>
  <c r="C12" i="121"/>
  <c r="H12" i="121" s="1"/>
  <c r="C13" i="121"/>
  <c r="H13" i="121" s="1"/>
  <c r="C14" i="121"/>
  <c r="H14" i="121" s="1"/>
  <c r="C15" i="121"/>
  <c r="H15" i="121" s="1"/>
  <c r="C16" i="121"/>
  <c r="H16" i="121" s="1"/>
  <c r="C17" i="121"/>
  <c r="H17" i="121" s="1"/>
  <c r="C18" i="121"/>
  <c r="H18" i="121" s="1"/>
  <c r="D46" i="121"/>
  <c r="D24" i="121"/>
  <c r="D40" i="121"/>
  <c r="D19" i="121"/>
  <c r="C45" i="121"/>
  <c r="C7" i="121"/>
  <c r="E4" i="121"/>
  <c r="C21" i="120"/>
  <c r="H21" i="120" s="1"/>
  <c r="G4" i="120"/>
  <c r="C22" i="120"/>
  <c r="C23" i="120"/>
  <c r="C26" i="120"/>
  <c r="H26" i="120" s="1"/>
  <c r="C27" i="120"/>
  <c r="H27" i="120" s="1"/>
  <c r="C28" i="120"/>
  <c r="H28" i="120" s="1"/>
  <c r="C29" i="120"/>
  <c r="H29" i="120" s="1"/>
  <c r="C30" i="120"/>
  <c r="H30" i="120" s="1"/>
  <c r="C31" i="120"/>
  <c r="H31" i="120" s="1"/>
  <c r="C34" i="120"/>
  <c r="C35" i="120"/>
  <c r="H35" i="120" s="1"/>
  <c r="C36" i="120"/>
  <c r="H36" i="120" s="1"/>
  <c r="C37" i="120"/>
  <c r="H37" i="120" s="1"/>
  <c r="C38" i="120"/>
  <c r="H38" i="120" s="1"/>
  <c r="C39" i="120"/>
  <c r="H39" i="120" s="1"/>
  <c r="C42" i="120"/>
  <c r="H42" i="120" s="1"/>
  <c r="C43" i="120"/>
  <c r="H43" i="120" s="1"/>
  <c r="C44" i="120"/>
  <c r="H44" i="120" s="1"/>
  <c r="C10" i="120"/>
  <c r="H10" i="120" s="1"/>
  <c r="C11" i="120"/>
  <c r="C12" i="120"/>
  <c r="H12" i="120" s="1"/>
  <c r="C13" i="120"/>
  <c r="H13" i="120" s="1"/>
  <c r="C14" i="120"/>
  <c r="H14" i="120" s="1"/>
  <c r="C15" i="120"/>
  <c r="H15" i="120" s="1"/>
  <c r="C16" i="120"/>
  <c r="H16" i="120" s="1"/>
  <c r="C17" i="120"/>
  <c r="H17" i="120" s="1"/>
  <c r="C18" i="120"/>
  <c r="H18" i="120" s="1"/>
  <c r="D46" i="120"/>
  <c r="D24" i="120"/>
  <c r="D32" i="120"/>
  <c r="D40" i="120"/>
  <c r="D19" i="120"/>
  <c r="C45" i="120"/>
  <c r="C7" i="120"/>
  <c r="E4" i="120"/>
  <c r="D29" i="119"/>
  <c r="C21" i="119"/>
  <c r="H21" i="119" s="1"/>
  <c r="G4" i="119"/>
  <c r="C22" i="119"/>
  <c r="H22" i="119" s="1"/>
  <c r="C23" i="119"/>
  <c r="H23" i="119" s="1"/>
  <c r="C26" i="119"/>
  <c r="H26" i="119" s="1"/>
  <c r="C27" i="119"/>
  <c r="H27" i="119" s="1"/>
  <c r="C28" i="119"/>
  <c r="H28" i="119" s="1"/>
  <c r="C29" i="119"/>
  <c r="C30" i="119"/>
  <c r="H30" i="119" s="1"/>
  <c r="C31" i="119"/>
  <c r="H31" i="119" s="1"/>
  <c r="C34" i="119"/>
  <c r="H34" i="119" s="1"/>
  <c r="C35" i="119"/>
  <c r="H35" i="119" s="1"/>
  <c r="C36" i="119"/>
  <c r="H36" i="119" s="1"/>
  <c r="C37" i="119"/>
  <c r="H37" i="119" s="1"/>
  <c r="C38" i="119"/>
  <c r="H38" i="119" s="1"/>
  <c r="C39" i="119"/>
  <c r="H39" i="119" s="1"/>
  <c r="C42" i="119"/>
  <c r="H42" i="119" s="1"/>
  <c r="C43" i="119"/>
  <c r="C44" i="119"/>
  <c r="C10" i="119"/>
  <c r="H10" i="119" s="1"/>
  <c r="C11" i="119"/>
  <c r="H11" i="119" s="1"/>
  <c r="C12" i="119"/>
  <c r="H12" i="119" s="1"/>
  <c r="C13" i="119"/>
  <c r="H13" i="119" s="1"/>
  <c r="C14" i="119"/>
  <c r="H14" i="119" s="1"/>
  <c r="C15" i="119"/>
  <c r="C16" i="119"/>
  <c r="C17" i="119"/>
  <c r="H17" i="119" s="1"/>
  <c r="C18" i="119"/>
  <c r="H18" i="119" s="1"/>
  <c r="D46" i="119"/>
  <c r="D24" i="119"/>
  <c r="D40" i="119"/>
  <c r="D19" i="119"/>
  <c r="E15" i="119" s="1"/>
  <c r="C45" i="119"/>
  <c r="C7" i="119"/>
  <c r="E4" i="119"/>
  <c r="C12" i="118"/>
  <c r="C21" i="118"/>
  <c r="C22" i="118"/>
  <c r="C23" i="118"/>
  <c r="C26" i="118"/>
  <c r="C27" i="118"/>
  <c r="C28" i="118"/>
  <c r="C29" i="118"/>
  <c r="C30" i="118"/>
  <c r="C31" i="118"/>
  <c r="C34" i="118"/>
  <c r="C35" i="118"/>
  <c r="C36" i="118"/>
  <c r="C37" i="118"/>
  <c r="C38" i="118"/>
  <c r="C39" i="118"/>
  <c r="C42" i="118"/>
  <c r="C43" i="118"/>
  <c r="C44" i="118"/>
  <c r="C10" i="118"/>
  <c r="C11" i="118"/>
  <c r="C13" i="118"/>
  <c r="C14" i="118"/>
  <c r="C15" i="118"/>
  <c r="C16" i="118"/>
  <c r="C17" i="118"/>
  <c r="C18" i="118"/>
  <c r="E3" i="118"/>
  <c r="G2" i="118"/>
  <c r="D43" i="118"/>
  <c r="H43" i="118" s="1"/>
  <c r="D44" i="118"/>
  <c r="D45" i="118"/>
  <c r="D35" i="118"/>
  <c r="D36" i="118"/>
  <c r="D37" i="118"/>
  <c r="D38" i="118"/>
  <c r="D39" i="118"/>
  <c r="D22" i="118"/>
  <c r="D23" i="118"/>
  <c r="D21" i="118"/>
  <c r="D13" i="118"/>
  <c r="D14" i="118"/>
  <c r="H14" i="118" s="1"/>
  <c r="D15" i="118"/>
  <c r="D16" i="118"/>
  <c r="D17" i="118"/>
  <c r="D18" i="118"/>
  <c r="D10" i="118"/>
  <c r="C45" i="118"/>
  <c r="C7" i="118"/>
  <c r="D29" i="117"/>
  <c r="D34" i="117"/>
  <c r="D42" i="117"/>
  <c r="C21" i="117"/>
  <c r="G4" i="117"/>
  <c r="C22" i="117"/>
  <c r="H22" i="117" s="1"/>
  <c r="C23" i="117"/>
  <c r="H23" i="117" s="1"/>
  <c r="C26" i="117"/>
  <c r="H26" i="117" s="1"/>
  <c r="C27" i="117"/>
  <c r="H27" i="117" s="1"/>
  <c r="C28" i="117"/>
  <c r="H28" i="117" s="1"/>
  <c r="C29" i="117"/>
  <c r="C30" i="117"/>
  <c r="H30" i="117" s="1"/>
  <c r="C31" i="117"/>
  <c r="H31" i="117" s="1"/>
  <c r="C34" i="117"/>
  <c r="C35" i="117"/>
  <c r="H35" i="117" s="1"/>
  <c r="C36" i="117"/>
  <c r="C37" i="117"/>
  <c r="H37" i="117" s="1"/>
  <c r="C38" i="117"/>
  <c r="H38" i="117" s="1"/>
  <c r="C39" i="117"/>
  <c r="H39" i="117" s="1"/>
  <c r="C42" i="117"/>
  <c r="C43" i="117"/>
  <c r="H43" i="117" s="1"/>
  <c r="C44" i="117"/>
  <c r="H44" i="117" s="1"/>
  <c r="C10" i="117"/>
  <c r="H10" i="117" s="1"/>
  <c r="C11" i="117"/>
  <c r="H11" i="117" s="1"/>
  <c r="C12" i="117"/>
  <c r="H12" i="117" s="1"/>
  <c r="C13" i="117"/>
  <c r="H13" i="117" s="1"/>
  <c r="C14" i="117"/>
  <c r="H14" i="117" s="1"/>
  <c r="C15" i="117"/>
  <c r="C16" i="117"/>
  <c r="H16" i="117" s="1"/>
  <c r="C17" i="117"/>
  <c r="H17" i="117" s="1"/>
  <c r="C18" i="117"/>
  <c r="H18" i="117" s="1"/>
  <c r="D24" i="117"/>
  <c r="D19" i="117"/>
  <c r="C45" i="117"/>
  <c r="C7" i="117"/>
  <c r="E4" i="117"/>
  <c r="C21" i="116"/>
  <c r="H21" i="116" s="1"/>
  <c r="G4" i="116"/>
  <c r="C22" i="116"/>
  <c r="H22" i="116" s="1"/>
  <c r="C23" i="116"/>
  <c r="H23" i="116" s="1"/>
  <c r="C26" i="116"/>
  <c r="H26" i="116" s="1"/>
  <c r="C27" i="116"/>
  <c r="H27" i="116" s="1"/>
  <c r="C28" i="116"/>
  <c r="H28" i="116" s="1"/>
  <c r="C29" i="116"/>
  <c r="H29" i="116" s="1"/>
  <c r="C30" i="116"/>
  <c r="H30" i="116" s="1"/>
  <c r="C31" i="116"/>
  <c r="C34" i="116"/>
  <c r="H34" i="116" s="1"/>
  <c r="C35" i="116"/>
  <c r="H35" i="116" s="1"/>
  <c r="C36" i="116"/>
  <c r="H36" i="116" s="1"/>
  <c r="C37" i="116"/>
  <c r="C38" i="116"/>
  <c r="H38" i="116" s="1"/>
  <c r="C39" i="116"/>
  <c r="C42" i="116"/>
  <c r="H42" i="116" s="1"/>
  <c r="C43" i="116"/>
  <c r="H43" i="116" s="1"/>
  <c r="C44" i="116"/>
  <c r="H44" i="116" s="1"/>
  <c r="C10" i="116"/>
  <c r="H10" i="116" s="1"/>
  <c r="C11" i="116"/>
  <c r="H11" i="116" s="1"/>
  <c r="C12" i="116"/>
  <c r="H12" i="116" s="1"/>
  <c r="C13" i="116"/>
  <c r="H13" i="116" s="1"/>
  <c r="C14" i="116"/>
  <c r="H14" i="116" s="1"/>
  <c r="C15" i="116"/>
  <c r="H15" i="116" s="1"/>
  <c r="C16" i="116"/>
  <c r="C17" i="116"/>
  <c r="C18" i="116"/>
  <c r="H18" i="116" s="1"/>
  <c r="D46" i="116"/>
  <c r="D24" i="116"/>
  <c r="D32" i="116"/>
  <c r="D40" i="116"/>
  <c r="D19" i="116"/>
  <c r="E19" i="116" s="1"/>
  <c r="C45" i="116"/>
  <c r="C7" i="116"/>
  <c r="E4" i="116"/>
  <c r="C21" i="115"/>
  <c r="H21" i="115" s="1"/>
  <c r="G4" i="115"/>
  <c r="C22" i="115"/>
  <c r="H22" i="115" s="1"/>
  <c r="C23" i="115"/>
  <c r="H23" i="115" s="1"/>
  <c r="C26" i="115"/>
  <c r="H26" i="115" s="1"/>
  <c r="C27" i="115"/>
  <c r="H27" i="115" s="1"/>
  <c r="C28" i="115"/>
  <c r="H28" i="115" s="1"/>
  <c r="C29" i="115"/>
  <c r="H29" i="115" s="1"/>
  <c r="C30" i="115"/>
  <c r="H30" i="115" s="1"/>
  <c r="C31" i="115"/>
  <c r="H31" i="115" s="1"/>
  <c r="C34" i="115"/>
  <c r="C35" i="115"/>
  <c r="H35" i="115" s="1"/>
  <c r="C36" i="115"/>
  <c r="H36" i="115" s="1"/>
  <c r="C37" i="115"/>
  <c r="C38" i="115"/>
  <c r="H38" i="115" s="1"/>
  <c r="C39" i="115"/>
  <c r="H39" i="115" s="1"/>
  <c r="C42" i="115"/>
  <c r="H42" i="115" s="1"/>
  <c r="C43" i="115"/>
  <c r="H43" i="115" s="1"/>
  <c r="C44" i="115"/>
  <c r="H44" i="115" s="1"/>
  <c r="C10" i="115"/>
  <c r="H10" i="115" s="1"/>
  <c r="C11" i="115"/>
  <c r="H11" i="115" s="1"/>
  <c r="C12" i="115"/>
  <c r="H12" i="115" s="1"/>
  <c r="C13" i="115"/>
  <c r="H13" i="115" s="1"/>
  <c r="C14" i="115"/>
  <c r="H14" i="115" s="1"/>
  <c r="C15" i="115"/>
  <c r="H15" i="115" s="1"/>
  <c r="C16" i="115"/>
  <c r="H16" i="115" s="1"/>
  <c r="C17" i="115"/>
  <c r="C18" i="115"/>
  <c r="H18" i="115" s="1"/>
  <c r="D46" i="115"/>
  <c r="D24" i="115"/>
  <c r="D32" i="115"/>
  <c r="D40" i="115"/>
  <c r="D19" i="115"/>
  <c r="C45" i="115"/>
  <c r="C7" i="115"/>
  <c r="E4" i="115"/>
  <c r="D27" i="114"/>
  <c r="D26" i="114"/>
  <c r="C21" i="114"/>
  <c r="H21" i="114" s="1"/>
  <c r="G4" i="114"/>
  <c r="C22" i="114"/>
  <c r="H22" i="114" s="1"/>
  <c r="C23" i="114"/>
  <c r="H23" i="114" s="1"/>
  <c r="C26" i="114"/>
  <c r="H26" i="114" s="1"/>
  <c r="C27" i="114"/>
  <c r="C28" i="114"/>
  <c r="H28" i="114" s="1"/>
  <c r="C29" i="114"/>
  <c r="H29" i="114" s="1"/>
  <c r="C30" i="114"/>
  <c r="H30" i="114" s="1"/>
  <c r="C31" i="114"/>
  <c r="H31" i="114" s="1"/>
  <c r="C34" i="114"/>
  <c r="H34" i="114" s="1"/>
  <c r="C35" i="114"/>
  <c r="H35" i="114" s="1"/>
  <c r="C36" i="114"/>
  <c r="H36" i="114" s="1"/>
  <c r="C37" i="114"/>
  <c r="C38" i="114"/>
  <c r="H38" i="114" s="1"/>
  <c r="C39" i="114"/>
  <c r="H39" i="114" s="1"/>
  <c r="C42" i="114"/>
  <c r="H42" i="114" s="1"/>
  <c r="C43" i="114"/>
  <c r="H43" i="114" s="1"/>
  <c r="C44" i="114"/>
  <c r="H44" i="114" s="1"/>
  <c r="C10" i="114"/>
  <c r="H10" i="114" s="1"/>
  <c r="C11" i="114"/>
  <c r="H11" i="114" s="1"/>
  <c r="C12" i="114"/>
  <c r="H12" i="114" s="1"/>
  <c r="C13" i="114"/>
  <c r="H13" i="114" s="1"/>
  <c r="C14" i="114"/>
  <c r="C15" i="114"/>
  <c r="H15" i="114" s="1"/>
  <c r="C16" i="114"/>
  <c r="H16" i="114" s="1"/>
  <c r="C17" i="114"/>
  <c r="H17" i="114" s="1"/>
  <c r="C18" i="114"/>
  <c r="H18" i="114" s="1"/>
  <c r="D46" i="114"/>
  <c r="D24" i="114"/>
  <c r="D40" i="114"/>
  <c r="D19" i="114"/>
  <c r="E12" i="114" s="1"/>
  <c r="C45" i="114"/>
  <c r="C7" i="114"/>
  <c r="E4" i="114"/>
  <c r="C21" i="113"/>
  <c r="H21" i="113" s="1"/>
  <c r="G4" i="113"/>
  <c r="C22" i="113"/>
  <c r="H22" i="113" s="1"/>
  <c r="C23" i="113"/>
  <c r="H23" i="113" s="1"/>
  <c r="C26" i="113"/>
  <c r="H26" i="113" s="1"/>
  <c r="C27" i="113"/>
  <c r="C28" i="113"/>
  <c r="H28" i="113" s="1"/>
  <c r="C29" i="113"/>
  <c r="H29" i="113" s="1"/>
  <c r="C30" i="113"/>
  <c r="H30" i="113" s="1"/>
  <c r="C31" i="113"/>
  <c r="H31" i="113" s="1"/>
  <c r="C34" i="113"/>
  <c r="H34" i="113" s="1"/>
  <c r="C35" i="113"/>
  <c r="H35" i="113" s="1"/>
  <c r="C36" i="113"/>
  <c r="H36" i="113" s="1"/>
  <c r="C37" i="113"/>
  <c r="H37" i="113" s="1"/>
  <c r="C38" i="113"/>
  <c r="C39" i="113"/>
  <c r="H39" i="113" s="1"/>
  <c r="C42" i="113"/>
  <c r="H42" i="113" s="1"/>
  <c r="C43" i="113"/>
  <c r="H43" i="113" s="1"/>
  <c r="H46" i="113" s="1"/>
  <c r="C44" i="113"/>
  <c r="H44" i="113" s="1"/>
  <c r="C10" i="113"/>
  <c r="H10" i="113" s="1"/>
  <c r="C11" i="113"/>
  <c r="H11" i="113" s="1"/>
  <c r="C12" i="113"/>
  <c r="H12" i="113" s="1"/>
  <c r="C13" i="113"/>
  <c r="H13" i="113" s="1"/>
  <c r="C14" i="113"/>
  <c r="H14" i="113" s="1"/>
  <c r="C15" i="113"/>
  <c r="H15" i="113" s="1"/>
  <c r="C16" i="113"/>
  <c r="H16" i="113" s="1"/>
  <c r="C17" i="113"/>
  <c r="H17" i="113" s="1"/>
  <c r="C18" i="113"/>
  <c r="H18" i="113" s="1"/>
  <c r="D46" i="113"/>
  <c r="D24" i="113"/>
  <c r="D32" i="113"/>
  <c r="D40" i="113"/>
  <c r="D19" i="113"/>
  <c r="E19" i="113" s="1"/>
  <c r="C45" i="113"/>
  <c r="C7" i="113"/>
  <c r="E4" i="113"/>
  <c r="C21" i="112"/>
  <c r="H21" i="112" s="1"/>
  <c r="G4" i="112"/>
  <c r="C22" i="112"/>
  <c r="H22" i="112" s="1"/>
  <c r="C23" i="112"/>
  <c r="H23" i="112" s="1"/>
  <c r="C26" i="112"/>
  <c r="H26" i="112" s="1"/>
  <c r="C27" i="112"/>
  <c r="H27" i="112" s="1"/>
  <c r="C28" i="112"/>
  <c r="H28" i="112" s="1"/>
  <c r="C29" i="112"/>
  <c r="H29" i="112" s="1"/>
  <c r="C30" i="112"/>
  <c r="H30" i="112" s="1"/>
  <c r="C31" i="112"/>
  <c r="H31" i="112" s="1"/>
  <c r="C34" i="112"/>
  <c r="H34" i="112" s="1"/>
  <c r="C35" i="112"/>
  <c r="C36" i="112"/>
  <c r="C37" i="112"/>
  <c r="H37" i="112" s="1"/>
  <c r="C38" i="112"/>
  <c r="H38" i="112" s="1"/>
  <c r="C39" i="112"/>
  <c r="H39" i="112" s="1"/>
  <c r="C42" i="112"/>
  <c r="H42" i="112" s="1"/>
  <c r="C43" i="112"/>
  <c r="H43" i="112" s="1"/>
  <c r="C44" i="112"/>
  <c r="H44" i="112" s="1"/>
  <c r="C10" i="112"/>
  <c r="H10" i="112" s="1"/>
  <c r="C11" i="112"/>
  <c r="C12" i="112"/>
  <c r="H12" i="112" s="1"/>
  <c r="C13" i="112"/>
  <c r="H13" i="112" s="1"/>
  <c r="C14" i="112"/>
  <c r="H14" i="112" s="1"/>
  <c r="C15" i="112"/>
  <c r="H15" i="112" s="1"/>
  <c r="C16" i="112"/>
  <c r="H16" i="112" s="1"/>
  <c r="C17" i="112"/>
  <c r="H17" i="112" s="1"/>
  <c r="C18" i="112"/>
  <c r="H18" i="112" s="1"/>
  <c r="D46" i="112"/>
  <c r="D24" i="112"/>
  <c r="D32" i="112"/>
  <c r="D40" i="112"/>
  <c r="D19" i="112"/>
  <c r="E12" i="112" s="1"/>
  <c r="C45" i="112"/>
  <c r="C7" i="112"/>
  <c r="E4" i="112"/>
  <c r="C21" i="111"/>
  <c r="H21" i="111" s="1"/>
  <c r="G4" i="111"/>
  <c r="C22" i="111"/>
  <c r="C23" i="111"/>
  <c r="H23" i="111" s="1"/>
  <c r="C26" i="111"/>
  <c r="H26" i="111" s="1"/>
  <c r="C27" i="111"/>
  <c r="H27" i="111" s="1"/>
  <c r="C28" i="111"/>
  <c r="H28" i="111" s="1"/>
  <c r="C29" i="111"/>
  <c r="H29" i="111" s="1"/>
  <c r="C30" i="111"/>
  <c r="H30" i="111" s="1"/>
  <c r="C31" i="111"/>
  <c r="H31" i="111" s="1"/>
  <c r="C34" i="111"/>
  <c r="H34" i="111" s="1"/>
  <c r="C35" i="111"/>
  <c r="H35" i="111" s="1"/>
  <c r="C36" i="111"/>
  <c r="H36" i="111" s="1"/>
  <c r="C37" i="111"/>
  <c r="H37" i="111" s="1"/>
  <c r="C38" i="111"/>
  <c r="H38" i="111" s="1"/>
  <c r="C39" i="111"/>
  <c r="H39" i="111" s="1"/>
  <c r="C42" i="111"/>
  <c r="H42" i="111" s="1"/>
  <c r="C43" i="111"/>
  <c r="C44" i="111"/>
  <c r="H44" i="111" s="1"/>
  <c r="C10" i="111"/>
  <c r="H10" i="111" s="1"/>
  <c r="C11" i="111"/>
  <c r="H11" i="111" s="1"/>
  <c r="C12" i="111"/>
  <c r="C13" i="111"/>
  <c r="H13" i="111" s="1"/>
  <c r="C14" i="111"/>
  <c r="H14" i="111" s="1"/>
  <c r="C15" i="111"/>
  <c r="H15" i="111" s="1"/>
  <c r="C16" i="111"/>
  <c r="H16" i="111" s="1"/>
  <c r="C17" i="111"/>
  <c r="H17" i="111" s="1"/>
  <c r="C18" i="111"/>
  <c r="H18" i="111" s="1"/>
  <c r="D46" i="111"/>
  <c r="D24" i="111"/>
  <c r="D32" i="111"/>
  <c r="D40" i="111"/>
  <c r="D19" i="111"/>
  <c r="C45" i="111"/>
  <c r="C7" i="111"/>
  <c r="E4" i="111"/>
  <c r="C21" i="110"/>
  <c r="H21" i="110" s="1"/>
  <c r="G4" i="110"/>
  <c r="C22" i="110"/>
  <c r="H22" i="110" s="1"/>
  <c r="C23" i="110"/>
  <c r="H23" i="110" s="1"/>
  <c r="C26" i="110"/>
  <c r="C27" i="110"/>
  <c r="H27" i="110" s="1"/>
  <c r="C28" i="110"/>
  <c r="C29" i="110"/>
  <c r="H29" i="110" s="1"/>
  <c r="C30" i="110"/>
  <c r="H30" i="110" s="1"/>
  <c r="C31" i="110"/>
  <c r="H31" i="110" s="1"/>
  <c r="C34" i="110"/>
  <c r="C35" i="110"/>
  <c r="H35" i="110" s="1"/>
  <c r="C36" i="110"/>
  <c r="H36" i="110" s="1"/>
  <c r="C37" i="110"/>
  <c r="H37" i="110" s="1"/>
  <c r="C38" i="110"/>
  <c r="H38" i="110" s="1"/>
  <c r="C39" i="110"/>
  <c r="H39" i="110" s="1"/>
  <c r="C42" i="110"/>
  <c r="H42" i="110" s="1"/>
  <c r="C43" i="110"/>
  <c r="H43" i="110" s="1"/>
  <c r="C44" i="110"/>
  <c r="H44" i="110" s="1"/>
  <c r="C10" i="110"/>
  <c r="H10" i="110" s="1"/>
  <c r="C11" i="110"/>
  <c r="C12" i="110"/>
  <c r="C13" i="110"/>
  <c r="H13" i="110" s="1"/>
  <c r="C14" i="110"/>
  <c r="H14" i="110" s="1"/>
  <c r="C15" i="110"/>
  <c r="H15" i="110" s="1"/>
  <c r="C16" i="110"/>
  <c r="H16" i="110" s="1"/>
  <c r="C17" i="110"/>
  <c r="C18" i="110"/>
  <c r="H18" i="110" s="1"/>
  <c r="D46" i="110"/>
  <c r="D24" i="110"/>
  <c r="D32" i="110"/>
  <c r="D40" i="110"/>
  <c r="D19" i="110"/>
  <c r="C45" i="110"/>
  <c r="C7" i="110"/>
  <c r="E4" i="110"/>
  <c r="C21" i="109"/>
  <c r="G4" i="109"/>
  <c r="C22" i="109"/>
  <c r="C23" i="109"/>
  <c r="H23" i="109" s="1"/>
  <c r="C26" i="109"/>
  <c r="H26" i="109" s="1"/>
  <c r="C27" i="109"/>
  <c r="H27" i="109" s="1"/>
  <c r="C28" i="109"/>
  <c r="H28" i="109" s="1"/>
  <c r="C29" i="109"/>
  <c r="H29" i="109" s="1"/>
  <c r="C30" i="109"/>
  <c r="C31" i="109"/>
  <c r="H31" i="109" s="1"/>
  <c r="C34" i="109"/>
  <c r="H34" i="109" s="1"/>
  <c r="C35" i="109"/>
  <c r="H35" i="109" s="1"/>
  <c r="C36" i="109"/>
  <c r="H36" i="109" s="1"/>
  <c r="C37" i="109"/>
  <c r="H37" i="109" s="1"/>
  <c r="C38" i="109"/>
  <c r="H38" i="109" s="1"/>
  <c r="C39" i="109"/>
  <c r="H39" i="109" s="1"/>
  <c r="C42" i="109"/>
  <c r="H42" i="109" s="1"/>
  <c r="C43" i="109"/>
  <c r="H43" i="109" s="1"/>
  <c r="C44" i="109"/>
  <c r="H44" i="109" s="1"/>
  <c r="C10" i="109"/>
  <c r="C11" i="109"/>
  <c r="H11" i="109" s="1"/>
  <c r="C12" i="109"/>
  <c r="C13" i="109"/>
  <c r="C14" i="109"/>
  <c r="H14" i="109" s="1"/>
  <c r="C15" i="109"/>
  <c r="H15" i="109" s="1"/>
  <c r="C16" i="109"/>
  <c r="H16" i="109" s="1"/>
  <c r="C17" i="109"/>
  <c r="H17" i="109" s="1"/>
  <c r="C18" i="109"/>
  <c r="H18" i="109" s="1"/>
  <c r="D46" i="109"/>
  <c r="D24" i="109"/>
  <c r="D32" i="109"/>
  <c r="D40" i="109"/>
  <c r="D19" i="109"/>
  <c r="E19" i="109" s="1"/>
  <c r="C45" i="109"/>
  <c r="C7" i="109"/>
  <c r="E4" i="109"/>
  <c r="D11" i="108"/>
  <c r="D11" i="118" s="1"/>
  <c r="D12" i="108"/>
  <c r="C21" i="108"/>
  <c r="H21" i="108" s="1"/>
  <c r="G4" i="108"/>
  <c r="C22" i="108"/>
  <c r="C23" i="108"/>
  <c r="H23" i="108" s="1"/>
  <c r="C26" i="108"/>
  <c r="H26" i="108" s="1"/>
  <c r="C27" i="108"/>
  <c r="C28" i="108"/>
  <c r="H28" i="108" s="1"/>
  <c r="C29" i="108"/>
  <c r="C30" i="108"/>
  <c r="H30" i="108" s="1"/>
  <c r="C31" i="108"/>
  <c r="H31" i="108" s="1"/>
  <c r="C34" i="108"/>
  <c r="H34" i="108" s="1"/>
  <c r="C35" i="108"/>
  <c r="H35" i="108" s="1"/>
  <c r="C36" i="108"/>
  <c r="H36" i="108" s="1"/>
  <c r="C37" i="108"/>
  <c r="H37" i="108" s="1"/>
  <c r="C38" i="108"/>
  <c r="H38" i="108" s="1"/>
  <c r="C39" i="108"/>
  <c r="H39" i="108" s="1"/>
  <c r="C42" i="108"/>
  <c r="H42" i="108" s="1"/>
  <c r="C43" i="108"/>
  <c r="H43" i="108" s="1"/>
  <c r="C44" i="108"/>
  <c r="H44" i="108" s="1"/>
  <c r="C10" i="108"/>
  <c r="C11" i="108"/>
  <c r="H11" i="108" s="1"/>
  <c r="C12" i="108"/>
  <c r="C13" i="108"/>
  <c r="C14" i="108"/>
  <c r="H14" i="108" s="1"/>
  <c r="C15" i="108"/>
  <c r="H15" i="108" s="1"/>
  <c r="C16" i="108"/>
  <c r="H16" i="108" s="1"/>
  <c r="C17" i="108"/>
  <c r="H17" i="108" s="1"/>
  <c r="C18" i="108"/>
  <c r="H18" i="108" s="1"/>
  <c r="D46" i="108"/>
  <c r="D24" i="108"/>
  <c r="D32" i="108"/>
  <c r="D40" i="108"/>
  <c r="C45" i="108"/>
  <c r="C7" i="108"/>
  <c r="E4" i="108"/>
  <c r="D34" i="107"/>
  <c r="D40" i="107" s="1"/>
  <c r="D26" i="107"/>
  <c r="C21" i="107"/>
  <c r="G4" i="107"/>
  <c r="C22" i="107"/>
  <c r="H22" i="107" s="1"/>
  <c r="C23" i="107"/>
  <c r="H23" i="107" s="1"/>
  <c r="C26" i="107"/>
  <c r="C27" i="107"/>
  <c r="C28" i="107"/>
  <c r="H28" i="107" s="1"/>
  <c r="C29" i="107"/>
  <c r="H29" i="107" s="1"/>
  <c r="C30" i="107"/>
  <c r="C31" i="107"/>
  <c r="H31" i="107" s="1"/>
  <c r="C34" i="107"/>
  <c r="H34" i="107" s="1"/>
  <c r="C35" i="107"/>
  <c r="H35" i="107" s="1"/>
  <c r="C36" i="107"/>
  <c r="H36" i="107" s="1"/>
  <c r="C37" i="107"/>
  <c r="H37" i="107" s="1"/>
  <c r="C38" i="107"/>
  <c r="H38" i="107" s="1"/>
  <c r="C39" i="107"/>
  <c r="H39" i="107" s="1"/>
  <c r="C42" i="107"/>
  <c r="H42" i="107" s="1"/>
  <c r="C43" i="107"/>
  <c r="H43" i="107" s="1"/>
  <c r="C44" i="107"/>
  <c r="H44" i="107" s="1"/>
  <c r="C10" i="107"/>
  <c r="H10" i="107" s="1"/>
  <c r="C11" i="107"/>
  <c r="H11" i="107" s="1"/>
  <c r="C12" i="107"/>
  <c r="C13" i="107"/>
  <c r="C14" i="107"/>
  <c r="H14" i="107" s="1"/>
  <c r="C15" i="107"/>
  <c r="H15" i="107" s="1"/>
  <c r="C16" i="107"/>
  <c r="H16" i="107" s="1"/>
  <c r="C17" i="107"/>
  <c r="H17" i="107" s="1"/>
  <c r="C18" i="107"/>
  <c r="H18" i="107" s="1"/>
  <c r="D46" i="107"/>
  <c r="D24" i="107"/>
  <c r="D19" i="107"/>
  <c r="C45" i="107"/>
  <c r="C7" i="107"/>
  <c r="E4" i="107"/>
  <c r="C21" i="106"/>
  <c r="H21" i="106" s="1"/>
  <c r="G4" i="106"/>
  <c r="C22" i="106"/>
  <c r="C23" i="106"/>
  <c r="C26" i="106"/>
  <c r="H26" i="106" s="1"/>
  <c r="C27" i="106"/>
  <c r="H27" i="106" s="1"/>
  <c r="C28" i="106"/>
  <c r="C29" i="106"/>
  <c r="H29" i="106" s="1"/>
  <c r="C30" i="106"/>
  <c r="C31" i="106"/>
  <c r="H31" i="106" s="1"/>
  <c r="C34" i="106"/>
  <c r="C35" i="106"/>
  <c r="H35" i="106" s="1"/>
  <c r="C36" i="106"/>
  <c r="C37" i="106"/>
  <c r="H37" i="106" s="1"/>
  <c r="C38" i="106"/>
  <c r="H38" i="106" s="1"/>
  <c r="C39" i="106"/>
  <c r="H39" i="106" s="1"/>
  <c r="C42" i="106"/>
  <c r="C43" i="106"/>
  <c r="H43" i="106" s="1"/>
  <c r="C44" i="106"/>
  <c r="H44" i="106" s="1"/>
  <c r="C10" i="106"/>
  <c r="H10" i="106" s="1"/>
  <c r="C11" i="106"/>
  <c r="C12" i="106"/>
  <c r="H12" i="106" s="1"/>
  <c r="C13" i="106"/>
  <c r="C14" i="106"/>
  <c r="C15" i="106"/>
  <c r="H15" i="106" s="1"/>
  <c r="C16" i="106"/>
  <c r="H16" i="106" s="1"/>
  <c r="C17" i="106"/>
  <c r="H17" i="106" s="1"/>
  <c r="C18" i="106"/>
  <c r="H18" i="106" s="1"/>
  <c r="D46" i="106"/>
  <c r="D24" i="106"/>
  <c r="D32" i="106"/>
  <c r="D40" i="106"/>
  <c r="D19" i="106"/>
  <c r="C45" i="106"/>
  <c r="C7" i="106"/>
  <c r="E4" i="106"/>
  <c r="C21" i="105"/>
  <c r="H21" i="105" s="1"/>
  <c r="G4" i="105"/>
  <c r="C22" i="105"/>
  <c r="H22" i="105" s="1"/>
  <c r="C23" i="105"/>
  <c r="C26" i="105"/>
  <c r="H26" i="105" s="1"/>
  <c r="C27" i="105"/>
  <c r="H27" i="105" s="1"/>
  <c r="C28" i="105"/>
  <c r="H28" i="105" s="1"/>
  <c r="C29" i="105"/>
  <c r="C30" i="105"/>
  <c r="H30" i="105" s="1"/>
  <c r="C31" i="105"/>
  <c r="H31" i="105" s="1"/>
  <c r="C34" i="105"/>
  <c r="C35" i="105"/>
  <c r="C36" i="105"/>
  <c r="H36" i="105" s="1"/>
  <c r="C37" i="105"/>
  <c r="H37" i="105" s="1"/>
  <c r="C38" i="105"/>
  <c r="H38" i="105" s="1"/>
  <c r="C39" i="105"/>
  <c r="H39" i="105" s="1"/>
  <c r="C42" i="105"/>
  <c r="H42" i="105" s="1"/>
  <c r="C43" i="105"/>
  <c r="H43" i="105" s="1"/>
  <c r="C44" i="105"/>
  <c r="H44" i="105" s="1"/>
  <c r="C10" i="105"/>
  <c r="C11" i="105"/>
  <c r="H11" i="105" s="1"/>
  <c r="C12" i="105"/>
  <c r="H12" i="105" s="1"/>
  <c r="C13" i="105"/>
  <c r="H13" i="105" s="1"/>
  <c r="C14" i="105"/>
  <c r="C15" i="105"/>
  <c r="C16" i="105"/>
  <c r="H16" i="105" s="1"/>
  <c r="C17" i="105"/>
  <c r="H17" i="105" s="1"/>
  <c r="C18" i="105"/>
  <c r="H18" i="105" s="1"/>
  <c r="D46" i="105"/>
  <c r="D24" i="105"/>
  <c r="D32" i="105"/>
  <c r="D40" i="105"/>
  <c r="D19" i="105"/>
  <c r="C45" i="105"/>
  <c r="C7" i="105"/>
  <c r="E4" i="105"/>
  <c r="C21" i="104"/>
  <c r="H21" i="104" s="1"/>
  <c r="H24" i="104" s="1"/>
  <c r="G4" i="104"/>
  <c r="C22" i="104"/>
  <c r="H22" i="104" s="1"/>
  <c r="C23" i="104"/>
  <c r="H23" i="104" s="1"/>
  <c r="C26" i="104"/>
  <c r="H26" i="104" s="1"/>
  <c r="C27" i="104"/>
  <c r="H27" i="104" s="1"/>
  <c r="C28" i="104"/>
  <c r="H28" i="104" s="1"/>
  <c r="C29" i="104"/>
  <c r="H29" i="104" s="1"/>
  <c r="C30" i="104"/>
  <c r="C31" i="104"/>
  <c r="H31" i="104" s="1"/>
  <c r="C34" i="104"/>
  <c r="H34" i="104" s="1"/>
  <c r="C35" i="104"/>
  <c r="C36" i="104"/>
  <c r="H36" i="104" s="1"/>
  <c r="C37" i="104"/>
  <c r="H37" i="104" s="1"/>
  <c r="C38" i="104"/>
  <c r="C39" i="104"/>
  <c r="H39" i="104" s="1"/>
  <c r="C42" i="104"/>
  <c r="H42" i="104" s="1"/>
  <c r="C43" i="104"/>
  <c r="H43" i="104" s="1"/>
  <c r="C44" i="104"/>
  <c r="C10" i="104"/>
  <c r="H10" i="104" s="1"/>
  <c r="C11" i="104"/>
  <c r="H11" i="104" s="1"/>
  <c r="C12" i="104"/>
  <c r="H12" i="104" s="1"/>
  <c r="C13" i="104"/>
  <c r="C14" i="104"/>
  <c r="H14" i="104" s="1"/>
  <c r="C15" i="104"/>
  <c r="C16" i="104"/>
  <c r="C17" i="104"/>
  <c r="H17" i="104" s="1"/>
  <c r="C18" i="104"/>
  <c r="H18" i="104" s="1"/>
  <c r="D46" i="104"/>
  <c r="D24" i="104"/>
  <c r="D32" i="104"/>
  <c r="D40" i="104"/>
  <c r="D19" i="104"/>
  <c r="C45" i="104"/>
  <c r="C7" i="104"/>
  <c r="E4" i="104"/>
  <c r="D26" i="103"/>
  <c r="D32" i="103" s="1"/>
  <c r="C21" i="103"/>
  <c r="H21" i="103" s="1"/>
  <c r="G4" i="103"/>
  <c r="C22" i="103"/>
  <c r="H22" i="103" s="1"/>
  <c r="C23" i="103"/>
  <c r="H23" i="103" s="1"/>
  <c r="C26" i="103"/>
  <c r="C27" i="103"/>
  <c r="C28" i="103"/>
  <c r="H28" i="103" s="1"/>
  <c r="C29" i="103"/>
  <c r="C30" i="103"/>
  <c r="H30" i="103" s="1"/>
  <c r="C31" i="103"/>
  <c r="H31" i="103" s="1"/>
  <c r="C34" i="103"/>
  <c r="C35" i="103"/>
  <c r="C36" i="103"/>
  <c r="H36" i="103" s="1"/>
  <c r="C37" i="103"/>
  <c r="H37" i="103" s="1"/>
  <c r="C38" i="103"/>
  <c r="H38" i="103" s="1"/>
  <c r="C39" i="103"/>
  <c r="H39" i="103" s="1"/>
  <c r="C42" i="103"/>
  <c r="H42" i="103" s="1"/>
  <c r="C43" i="103"/>
  <c r="H43" i="103" s="1"/>
  <c r="C44" i="103"/>
  <c r="H44" i="103" s="1"/>
  <c r="C10" i="103"/>
  <c r="C11" i="103"/>
  <c r="H11" i="103" s="1"/>
  <c r="C12" i="103"/>
  <c r="C13" i="103"/>
  <c r="H13" i="103" s="1"/>
  <c r="C14" i="103"/>
  <c r="H14" i="103" s="1"/>
  <c r="C15" i="103"/>
  <c r="H15" i="103" s="1"/>
  <c r="C16" i="103"/>
  <c r="H16" i="103" s="1"/>
  <c r="C17" i="103"/>
  <c r="C18" i="103"/>
  <c r="D46" i="103"/>
  <c r="D24" i="103"/>
  <c r="D40" i="103"/>
  <c r="D19" i="103"/>
  <c r="C45" i="103"/>
  <c r="C7" i="103"/>
  <c r="E4" i="103"/>
  <c r="D26" i="88"/>
  <c r="D27" i="88"/>
  <c r="D26" i="102"/>
  <c r="D32" i="102" s="1"/>
  <c r="C21" i="102"/>
  <c r="H21" i="102" s="1"/>
  <c r="G4" i="102"/>
  <c r="C22" i="102"/>
  <c r="H22" i="102" s="1"/>
  <c r="C23" i="102"/>
  <c r="H23" i="102" s="1"/>
  <c r="C26" i="102"/>
  <c r="C27" i="102"/>
  <c r="C28" i="102"/>
  <c r="H28" i="102" s="1"/>
  <c r="C29" i="102"/>
  <c r="H29" i="102" s="1"/>
  <c r="C30" i="102"/>
  <c r="C31" i="102"/>
  <c r="H31" i="102" s="1"/>
  <c r="C34" i="102"/>
  <c r="H34" i="102" s="1"/>
  <c r="C35" i="102"/>
  <c r="C36" i="102"/>
  <c r="C37" i="102"/>
  <c r="H37" i="102" s="1"/>
  <c r="C38" i="102"/>
  <c r="H38" i="102" s="1"/>
  <c r="C39" i="102"/>
  <c r="C42" i="102"/>
  <c r="H42" i="102" s="1"/>
  <c r="C43" i="102"/>
  <c r="C44" i="102"/>
  <c r="H44" i="102" s="1"/>
  <c r="C10" i="102"/>
  <c r="H10" i="102" s="1"/>
  <c r="C11" i="102"/>
  <c r="H11" i="102" s="1"/>
  <c r="C12" i="102"/>
  <c r="H12" i="102" s="1"/>
  <c r="C13" i="102"/>
  <c r="H13" i="102" s="1"/>
  <c r="C14" i="102"/>
  <c r="H14" i="102" s="1"/>
  <c r="C15" i="102"/>
  <c r="C16" i="102"/>
  <c r="H16" i="102" s="1"/>
  <c r="C17" i="102"/>
  <c r="H17" i="102" s="1"/>
  <c r="C18" i="102"/>
  <c r="H18" i="102" s="1"/>
  <c r="D46" i="102"/>
  <c r="D24" i="102"/>
  <c r="D40" i="102"/>
  <c r="D19" i="102"/>
  <c r="E17" i="102" s="1"/>
  <c r="C45" i="102"/>
  <c r="C7" i="102"/>
  <c r="E4" i="102"/>
  <c r="C21" i="101"/>
  <c r="H21" i="101" s="1"/>
  <c r="G4" i="101"/>
  <c r="C22" i="101"/>
  <c r="H22" i="101" s="1"/>
  <c r="C23" i="101"/>
  <c r="H23" i="101" s="1"/>
  <c r="C26" i="101"/>
  <c r="C27" i="101"/>
  <c r="H27" i="101" s="1"/>
  <c r="C28" i="101"/>
  <c r="H28" i="101" s="1"/>
  <c r="C29" i="101"/>
  <c r="H29" i="101" s="1"/>
  <c r="C30" i="101"/>
  <c r="H30" i="101" s="1"/>
  <c r="C31" i="101"/>
  <c r="C34" i="101"/>
  <c r="H34" i="101" s="1"/>
  <c r="C35" i="101"/>
  <c r="H35" i="101" s="1"/>
  <c r="C36" i="101"/>
  <c r="C37" i="101"/>
  <c r="C38" i="101"/>
  <c r="H38" i="101" s="1"/>
  <c r="C39" i="101"/>
  <c r="H39" i="101" s="1"/>
  <c r="C42" i="101"/>
  <c r="C43" i="101"/>
  <c r="H43" i="101" s="1"/>
  <c r="C44" i="101"/>
  <c r="C10" i="101"/>
  <c r="H10" i="101" s="1"/>
  <c r="C11" i="101"/>
  <c r="H11" i="101" s="1"/>
  <c r="C12" i="101"/>
  <c r="H12" i="101" s="1"/>
  <c r="C13" i="101"/>
  <c r="H13" i="101" s="1"/>
  <c r="C14" i="101"/>
  <c r="H14" i="101" s="1"/>
  <c r="C15" i="101"/>
  <c r="H15" i="101" s="1"/>
  <c r="C16" i="101"/>
  <c r="C17" i="101"/>
  <c r="C18" i="101"/>
  <c r="H18" i="101" s="1"/>
  <c r="D46" i="101"/>
  <c r="D24" i="101"/>
  <c r="D32" i="101"/>
  <c r="D40" i="101"/>
  <c r="D19" i="101"/>
  <c r="E16" i="101" s="1"/>
  <c r="C45" i="101"/>
  <c r="C7" i="101"/>
  <c r="E4" i="101"/>
  <c r="D34" i="100"/>
  <c r="D42" i="100"/>
  <c r="D46" i="100"/>
  <c r="C21" i="100"/>
  <c r="H21" i="100" s="1"/>
  <c r="G4" i="100"/>
  <c r="C22" i="100"/>
  <c r="H22" i="100" s="1"/>
  <c r="C23" i="100"/>
  <c r="H23" i="100" s="1"/>
  <c r="C26" i="100"/>
  <c r="H26" i="100" s="1"/>
  <c r="C27" i="100"/>
  <c r="H27" i="100" s="1"/>
  <c r="C28" i="100"/>
  <c r="H28" i="100" s="1"/>
  <c r="C29" i="100"/>
  <c r="H29" i="100" s="1"/>
  <c r="C30" i="100"/>
  <c r="H30" i="100" s="1"/>
  <c r="C31" i="100"/>
  <c r="C34" i="100"/>
  <c r="C35" i="100"/>
  <c r="H35" i="100" s="1"/>
  <c r="C36" i="100"/>
  <c r="H36" i="100" s="1"/>
  <c r="C37" i="100"/>
  <c r="C38" i="100"/>
  <c r="H38" i="100" s="1"/>
  <c r="C39" i="100"/>
  <c r="C42" i="100"/>
  <c r="H42" i="100" s="1"/>
  <c r="C43" i="100"/>
  <c r="H43" i="100" s="1"/>
  <c r="C44" i="100"/>
  <c r="C10" i="100"/>
  <c r="H10" i="100" s="1"/>
  <c r="C11" i="100"/>
  <c r="H11" i="100" s="1"/>
  <c r="C12" i="100"/>
  <c r="H12" i="100" s="1"/>
  <c r="C13" i="100"/>
  <c r="H13" i="100" s="1"/>
  <c r="C14" i="100"/>
  <c r="C15" i="100"/>
  <c r="H15" i="100" s="1"/>
  <c r="C16" i="100"/>
  <c r="C17" i="100"/>
  <c r="C18" i="100"/>
  <c r="H18" i="100" s="1"/>
  <c r="D24" i="100"/>
  <c r="D32" i="100"/>
  <c r="D19" i="100"/>
  <c r="C45" i="100"/>
  <c r="C7" i="100"/>
  <c r="E4" i="100"/>
  <c r="D34" i="99"/>
  <c r="D42" i="99"/>
  <c r="D46" i="99" s="1"/>
  <c r="C21" i="99"/>
  <c r="H21" i="99" s="1"/>
  <c r="G4" i="99"/>
  <c r="C22" i="99"/>
  <c r="H22" i="99" s="1"/>
  <c r="C23" i="99"/>
  <c r="H23" i="99" s="1"/>
  <c r="C26" i="99"/>
  <c r="H26" i="99" s="1"/>
  <c r="C27" i="99"/>
  <c r="H27" i="99" s="1"/>
  <c r="C28" i="99"/>
  <c r="H28" i="99" s="1"/>
  <c r="C29" i="99"/>
  <c r="H29" i="99" s="1"/>
  <c r="C30" i="99"/>
  <c r="H30" i="99" s="1"/>
  <c r="C31" i="99"/>
  <c r="C34" i="99"/>
  <c r="C35" i="99"/>
  <c r="H35" i="99" s="1"/>
  <c r="C36" i="99"/>
  <c r="H36" i="99" s="1"/>
  <c r="C37" i="99"/>
  <c r="C38" i="99"/>
  <c r="H38" i="99" s="1"/>
  <c r="C39" i="99"/>
  <c r="H39" i="99" s="1"/>
  <c r="C42" i="99"/>
  <c r="H42" i="99" s="1"/>
  <c r="C43" i="99"/>
  <c r="H43" i="99" s="1"/>
  <c r="C44" i="99"/>
  <c r="C10" i="99"/>
  <c r="H10" i="99" s="1"/>
  <c r="C11" i="99"/>
  <c r="H11" i="99" s="1"/>
  <c r="C12" i="99"/>
  <c r="C13" i="99"/>
  <c r="H13" i="99" s="1"/>
  <c r="C14" i="99"/>
  <c r="C15" i="99"/>
  <c r="H15" i="99" s="1"/>
  <c r="C16" i="99"/>
  <c r="C17" i="99"/>
  <c r="C18" i="99"/>
  <c r="H18" i="99" s="1"/>
  <c r="D24" i="99"/>
  <c r="D32" i="99"/>
  <c r="D19" i="99"/>
  <c r="C45" i="99"/>
  <c r="C7" i="99"/>
  <c r="E4" i="99"/>
  <c r="D26" i="98"/>
  <c r="D34" i="98"/>
  <c r="D42" i="98"/>
  <c r="C21" i="98"/>
  <c r="G4" i="98"/>
  <c r="C22" i="98"/>
  <c r="H22" i="98" s="1"/>
  <c r="C23" i="98"/>
  <c r="C26" i="98"/>
  <c r="C27" i="98"/>
  <c r="C28" i="98"/>
  <c r="H28" i="98" s="1"/>
  <c r="C29" i="98"/>
  <c r="H29" i="98" s="1"/>
  <c r="C30" i="98"/>
  <c r="H30" i="98" s="1"/>
  <c r="C31" i="98"/>
  <c r="H31" i="98" s="1"/>
  <c r="C34" i="98"/>
  <c r="H34" i="98" s="1"/>
  <c r="C35" i="98"/>
  <c r="H35" i="98" s="1"/>
  <c r="C36" i="98"/>
  <c r="H36" i="98" s="1"/>
  <c r="C37" i="98"/>
  <c r="H37" i="98" s="1"/>
  <c r="C38" i="98"/>
  <c r="H38" i="98" s="1"/>
  <c r="C39" i="98"/>
  <c r="H39" i="98" s="1"/>
  <c r="C42" i="98"/>
  <c r="C43" i="98"/>
  <c r="H43" i="98" s="1"/>
  <c r="C44" i="98"/>
  <c r="H44" i="98" s="1"/>
  <c r="C10" i="98"/>
  <c r="H10" i="98" s="1"/>
  <c r="C11" i="98"/>
  <c r="H11" i="98" s="1"/>
  <c r="C12" i="98"/>
  <c r="C13" i="98"/>
  <c r="H13" i="98" s="1"/>
  <c r="C14" i="98"/>
  <c r="H14" i="98" s="1"/>
  <c r="C15" i="98"/>
  <c r="H15" i="98" s="1"/>
  <c r="C16" i="98"/>
  <c r="H16" i="98" s="1"/>
  <c r="C17" i="98"/>
  <c r="C18" i="98"/>
  <c r="H18" i="98" s="1"/>
  <c r="D24" i="98"/>
  <c r="D19" i="98"/>
  <c r="E16" i="98" s="1"/>
  <c r="C45" i="98"/>
  <c r="C7" i="98"/>
  <c r="E4" i="98"/>
  <c r="D34" i="97"/>
  <c r="D42" i="97"/>
  <c r="D46" i="97" s="1"/>
  <c r="C21" i="97"/>
  <c r="H21" i="97" s="1"/>
  <c r="G4" i="97"/>
  <c r="C22" i="97"/>
  <c r="H22" i="97" s="1"/>
  <c r="C23" i="97"/>
  <c r="C26" i="97"/>
  <c r="H26" i="97" s="1"/>
  <c r="C27" i="97"/>
  <c r="C28" i="97"/>
  <c r="H28" i="97" s="1"/>
  <c r="C29" i="97"/>
  <c r="C30" i="97"/>
  <c r="H30" i="97" s="1"/>
  <c r="C31" i="97"/>
  <c r="H31" i="97" s="1"/>
  <c r="C34" i="97"/>
  <c r="C35" i="97"/>
  <c r="C36" i="97"/>
  <c r="H36" i="97" s="1"/>
  <c r="C37" i="97"/>
  <c r="H37" i="97" s="1"/>
  <c r="C38" i="97"/>
  <c r="H38" i="97" s="1"/>
  <c r="C39" i="97"/>
  <c r="H39" i="97" s="1"/>
  <c r="C42" i="97"/>
  <c r="H42" i="97" s="1"/>
  <c r="H46" i="97" s="1"/>
  <c r="C46" i="97" s="1"/>
  <c r="C43" i="97"/>
  <c r="H43" i="97" s="1"/>
  <c r="C44" i="97"/>
  <c r="H44" i="97" s="1"/>
  <c r="C10" i="97"/>
  <c r="C11" i="97"/>
  <c r="H11" i="97" s="1"/>
  <c r="C12" i="97"/>
  <c r="C13" i="97"/>
  <c r="H13" i="97" s="1"/>
  <c r="C14" i="97"/>
  <c r="H14" i="97" s="1"/>
  <c r="C15" i="97"/>
  <c r="H15" i="97" s="1"/>
  <c r="C16" i="97"/>
  <c r="H16" i="97" s="1"/>
  <c r="C17" i="97"/>
  <c r="C18" i="97"/>
  <c r="D24" i="97"/>
  <c r="D32" i="97"/>
  <c r="D19" i="97"/>
  <c r="E16" i="97" s="1"/>
  <c r="C45" i="97"/>
  <c r="C7" i="97"/>
  <c r="E4" i="97"/>
  <c r="D34" i="94"/>
  <c r="D40" i="94" s="1"/>
  <c r="D42" i="94"/>
  <c r="D46" i="94" s="1"/>
  <c r="D26" i="96"/>
  <c r="D32" i="96" s="1"/>
  <c r="D34" i="96"/>
  <c r="D42" i="96"/>
  <c r="D46" i="96" s="1"/>
  <c r="C21" i="96"/>
  <c r="H21" i="96" s="1"/>
  <c r="G4" i="96"/>
  <c r="C22" i="96"/>
  <c r="H22" i="96" s="1"/>
  <c r="C23" i="96"/>
  <c r="C26" i="96"/>
  <c r="C27" i="96"/>
  <c r="H27" i="96" s="1"/>
  <c r="C28" i="96"/>
  <c r="H28" i="96" s="1"/>
  <c r="C29" i="96"/>
  <c r="C30" i="96"/>
  <c r="H30" i="96" s="1"/>
  <c r="C31" i="96"/>
  <c r="H31" i="96" s="1"/>
  <c r="C34" i="96"/>
  <c r="C35" i="96"/>
  <c r="C36" i="96"/>
  <c r="H36" i="96" s="1"/>
  <c r="C37" i="96"/>
  <c r="H37" i="96" s="1"/>
  <c r="C38" i="96"/>
  <c r="H38" i="96" s="1"/>
  <c r="C39" i="96"/>
  <c r="H39" i="96" s="1"/>
  <c r="C42" i="96"/>
  <c r="H42" i="96" s="1"/>
  <c r="C43" i="96"/>
  <c r="H43" i="96" s="1"/>
  <c r="C44" i="96"/>
  <c r="H44" i="96" s="1"/>
  <c r="C10" i="96"/>
  <c r="H10" i="96" s="1"/>
  <c r="C11" i="96"/>
  <c r="H11" i="96" s="1"/>
  <c r="C12" i="96"/>
  <c r="H12" i="96" s="1"/>
  <c r="C13" i="96"/>
  <c r="H13" i="96" s="1"/>
  <c r="C14" i="96"/>
  <c r="C15" i="96"/>
  <c r="H15" i="96" s="1"/>
  <c r="C16" i="96"/>
  <c r="H16" i="96" s="1"/>
  <c r="C17" i="96"/>
  <c r="H17" i="96" s="1"/>
  <c r="C18" i="96"/>
  <c r="H18" i="96" s="1"/>
  <c r="D24" i="96"/>
  <c r="D19" i="96"/>
  <c r="C45" i="96"/>
  <c r="C7" i="96"/>
  <c r="E4" i="96"/>
  <c r="D31" i="95"/>
  <c r="C21" i="95"/>
  <c r="H21" i="95" s="1"/>
  <c r="G4" i="95"/>
  <c r="C22" i="95"/>
  <c r="H22" i="95" s="1"/>
  <c r="C23" i="95"/>
  <c r="H23" i="95" s="1"/>
  <c r="C26" i="95"/>
  <c r="H26" i="95" s="1"/>
  <c r="C27" i="95"/>
  <c r="H27" i="95" s="1"/>
  <c r="C28" i="95"/>
  <c r="H28" i="95" s="1"/>
  <c r="C29" i="95"/>
  <c r="H29" i="95" s="1"/>
  <c r="C30" i="95"/>
  <c r="H30" i="95" s="1"/>
  <c r="C31" i="95"/>
  <c r="C34" i="95"/>
  <c r="C35" i="95"/>
  <c r="H35" i="95" s="1"/>
  <c r="C36" i="95"/>
  <c r="H36" i="95" s="1"/>
  <c r="C37" i="95"/>
  <c r="H37" i="95" s="1"/>
  <c r="C38" i="95"/>
  <c r="H38" i="95" s="1"/>
  <c r="C39" i="95"/>
  <c r="H39" i="95" s="1"/>
  <c r="C42" i="95"/>
  <c r="H42" i="95" s="1"/>
  <c r="C43" i="95"/>
  <c r="H43" i="95" s="1"/>
  <c r="C44" i="95"/>
  <c r="H44" i="95" s="1"/>
  <c r="H46" i="95" s="1"/>
  <c r="C46" i="95" s="1"/>
  <c r="C10" i="95"/>
  <c r="H10" i="95" s="1"/>
  <c r="C11" i="95"/>
  <c r="C12" i="95"/>
  <c r="H12" i="95" s="1"/>
  <c r="C13" i="95"/>
  <c r="H13" i="95" s="1"/>
  <c r="C14" i="95"/>
  <c r="H14" i="95" s="1"/>
  <c r="C15" i="95"/>
  <c r="H15" i="95" s="1"/>
  <c r="C16" i="95"/>
  <c r="C17" i="95"/>
  <c r="H17" i="95" s="1"/>
  <c r="C18" i="95"/>
  <c r="H18" i="95" s="1"/>
  <c r="D46" i="95"/>
  <c r="D24" i="95"/>
  <c r="D40" i="95"/>
  <c r="D19" i="95"/>
  <c r="C45" i="95"/>
  <c r="C7" i="95"/>
  <c r="E4" i="95"/>
  <c r="C21" i="94"/>
  <c r="H21" i="94" s="1"/>
  <c r="G4" i="94"/>
  <c r="C22" i="94"/>
  <c r="H22" i="94" s="1"/>
  <c r="C23" i="94"/>
  <c r="C26" i="94"/>
  <c r="H26" i="94" s="1"/>
  <c r="C27" i="94"/>
  <c r="H27" i="94" s="1"/>
  <c r="C28" i="94"/>
  <c r="H28" i="94" s="1"/>
  <c r="C29" i="94"/>
  <c r="H29" i="94" s="1"/>
  <c r="C30" i="94"/>
  <c r="H30" i="94" s="1"/>
  <c r="C31" i="94"/>
  <c r="H31" i="94" s="1"/>
  <c r="C34" i="94"/>
  <c r="C35" i="94"/>
  <c r="H35" i="94" s="1"/>
  <c r="C36" i="94"/>
  <c r="H36" i="94" s="1"/>
  <c r="C37" i="94"/>
  <c r="H37" i="94" s="1"/>
  <c r="C38" i="94"/>
  <c r="H38" i="94" s="1"/>
  <c r="C39" i="94"/>
  <c r="H39" i="94" s="1"/>
  <c r="C42" i="94"/>
  <c r="C43" i="94"/>
  <c r="H43" i="94" s="1"/>
  <c r="C44" i="94"/>
  <c r="H44" i="94" s="1"/>
  <c r="C10" i="94"/>
  <c r="H10" i="94" s="1"/>
  <c r="C11" i="94"/>
  <c r="H11" i="94" s="1"/>
  <c r="C12" i="94"/>
  <c r="C13" i="94"/>
  <c r="H13" i="94" s="1"/>
  <c r="C14" i="94"/>
  <c r="H14" i="94" s="1"/>
  <c r="C15" i="94"/>
  <c r="H15" i="94" s="1"/>
  <c r="C16" i="94"/>
  <c r="H16" i="94" s="1"/>
  <c r="C17" i="94"/>
  <c r="C18" i="94"/>
  <c r="D24" i="94"/>
  <c r="D32" i="94"/>
  <c r="D19" i="94"/>
  <c r="E15" i="94" s="1"/>
  <c r="C45" i="94"/>
  <c r="C7" i="94"/>
  <c r="E4" i="94"/>
  <c r="D26" i="92"/>
  <c r="D42" i="92"/>
  <c r="D46" i="92" s="1"/>
  <c r="C21" i="93"/>
  <c r="H21" i="93" s="1"/>
  <c r="G4" i="93"/>
  <c r="C22" i="93"/>
  <c r="H22" i="93" s="1"/>
  <c r="C23" i="93"/>
  <c r="C26" i="93"/>
  <c r="H26" i="93" s="1"/>
  <c r="C27" i="93"/>
  <c r="H27" i="93" s="1"/>
  <c r="C28" i="93"/>
  <c r="C29" i="93"/>
  <c r="C30" i="93"/>
  <c r="H30" i="93" s="1"/>
  <c r="C31" i="93"/>
  <c r="H31" i="93" s="1"/>
  <c r="C34" i="93"/>
  <c r="C35" i="93"/>
  <c r="H35" i="93" s="1"/>
  <c r="C36" i="93"/>
  <c r="H36" i="93" s="1"/>
  <c r="C37" i="93"/>
  <c r="H37" i="93" s="1"/>
  <c r="C38" i="93"/>
  <c r="H38" i="93" s="1"/>
  <c r="C39" i="93"/>
  <c r="H39" i="93" s="1"/>
  <c r="C42" i="93"/>
  <c r="H42" i="93" s="1"/>
  <c r="C43" i="93"/>
  <c r="H43" i="93" s="1"/>
  <c r="C44" i="93"/>
  <c r="H44" i="93" s="1"/>
  <c r="C10" i="93"/>
  <c r="H10" i="93" s="1"/>
  <c r="C11" i="93"/>
  <c r="H11" i="93" s="1"/>
  <c r="C12" i="93"/>
  <c r="H12" i="93" s="1"/>
  <c r="C13" i="93"/>
  <c r="H13" i="93" s="1"/>
  <c r="C14" i="93"/>
  <c r="H14" i="93" s="1"/>
  <c r="C15" i="93"/>
  <c r="H15" i="93" s="1"/>
  <c r="C16" i="93"/>
  <c r="H16" i="93" s="1"/>
  <c r="C17" i="93"/>
  <c r="C18" i="93"/>
  <c r="H18" i="93" s="1"/>
  <c r="D46" i="93"/>
  <c r="D48" i="93" s="1"/>
  <c r="D24" i="93"/>
  <c r="D32" i="93"/>
  <c r="D40" i="93"/>
  <c r="D19" i="93"/>
  <c r="C45" i="93"/>
  <c r="C7" i="93"/>
  <c r="E4" i="93"/>
  <c r="D34" i="92"/>
  <c r="C21" i="92"/>
  <c r="H21" i="92" s="1"/>
  <c r="G4" i="92"/>
  <c r="C22" i="92"/>
  <c r="H22" i="92" s="1"/>
  <c r="C23" i="92"/>
  <c r="H23" i="92" s="1"/>
  <c r="C26" i="92"/>
  <c r="C27" i="92"/>
  <c r="H27" i="92" s="1"/>
  <c r="C28" i="92"/>
  <c r="H28" i="92" s="1"/>
  <c r="C29" i="92"/>
  <c r="H29" i="92" s="1"/>
  <c r="C30" i="92"/>
  <c r="H30" i="92" s="1"/>
  <c r="C31" i="92"/>
  <c r="C34" i="92"/>
  <c r="C35" i="92"/>
  <c r="H35" i="92" s="1"/>
  <c r="C36" i="92"/>
  <c r="H36" i="92" s="1"/>
  <c r="C37" i="92"/>
  <c r="H37" i="92" s="1"/>
  <c r="C38" i="92"/>
  <c r="C39" i="92"/>
  <c r="H39" i="92" s="1"/>
  <c r="C42" i="92"/>
  <c r="C43" i="92"/>
  <c r="H43" i="92" s="1"/>
  <c r="C44" i="92"/>
  <c r="H44" i="92" s="1"/>
  <c r="C10" i="92"/>
  <c r="H10" i="92" s="1"/>
  <c r="C11" i="92"/>
  <c r="H11" i="92" s="1"/>
  <c r="C12" i="92"/>
  <c r="H12" i="92" s="1"/>
  <c r="C13" i="92"/>
  <c r="H13" i="92" s="1"/>
  <c r="C14" i="92"/>
  <c r="H14" i="92" s="1"/>
  <c r="C15" i="92"/>
  <c r="H15" i="92" s="1"/>
  <c r="C16" i="92"/>
  <c r="H16" i="92" s="1"/>
  <c r="C17" i="92"/>
  <c r="H17" i="92" s="1"/>
  <c r="C18" i="92"/>
  <c r="H18" i="92" s="1"/>
  <c r="D24" i="92"/>
  <c r="D19" i="92"/>
  <c r="E15" i="92" s="1"/>
  <c r="C45" i="92"/>
  <c r="C7" i="92"/>
  <c r="E4" i="92"/>
  <c r="D34" i="91"/>
  <c r="D40" i="91" s="1"/>
  <c r="D42" i="91"/>
  <c r="D46" i="91"/>
  <c r="C21" i="91"/>
  <c r="H21" i="91" s="1"/>
  <c r="G4" i="91"/>
  <c r="C22" i="91"/>
  <c r="C23" i="91"/>
  <c r="H23" i="91" s="1"/>
  <c r="C26" i="91"/>
  <c r="H26" i="91" s="1"/>
  <c r="C27" i="91"/>
  <c r="H27" i="91" s="1"/>
  <c r="C28" i="91"/>
  <c r="H28" i="91" s="1"/>
  <c r="C29" i="91"/>
  <c r="H29" i="91" s="1"/>
  <c r="C30" i="91"/>
  <c r="H30" i="91" s="1"/>
  <c r="C31" i="91"/>
  <c r="H31" i="91" s="1"/>
  <c r="C34" i="91"/>
  <c r="C35" i="91"/>
  <c r="H35" i="91" s="1"/>
  <c r="C36" i="91"/>
  <c r="C37" i="91"/>
  <c r="H37" i="91" s="1"/>
  <c r="C38" i="91"/>
  <c r="C39" i="91"/>
  <c r="H39" i="91" s="1"/>
  <c r="C42" i="91"/>
  <c r="C43" i="91"/>
  <c r="H43" i="91" s="1"/>
  <c r="C44" i="91"/>
  <c r="C10" i="91"/>
  <c r="H10" i="91" s="1"/>
  <c r="C11" i="91"/>
  <c r="H11" i="91" s="1"/>
  <c r="C12" i="91"/>
  <c r="C13" i="91"/>
  <c r="H13" i="91" s="1"/>
  <c r="C14" i="91"/>
  <c r="H14" i="91" s="1"/>
  <c r="C15" i="91"/>
  <c r="H15" i="91" s="1"/>
  <c r="C16" i="91"/>
  <c r="C17" i="91"/>
  <c r="H17" i="91" s="1"/>
  <c r="C18" i="91"/>
  <c r="H18" i="91" s="1"/>
  <c r="D24" i="91"/>
  <c r="D32" i="91"/>
  <c r="D19" i="91"/>
  <c r="C45" i="91"/>
  <c r="C7" i="91"/>
  <c r="E4" i="91"/>
  <c r="D34" i="90"/>
  <c r="D40" i="90"/>
  <c r="D42" i="90"/>
  <c r="D46" i="90" s="1"/>
  <c r="C21" i="90"/>
  <c r="H21" i="90" s="1"/>
  <c r="G4" i="90"/>
  <c r="C22" i="90"/>
  <c r="H22" i="90" s="1"/>
  <c r="C23" i="90"/>
  <c r="H23" i="90" s="1"/>
  <c r="C26" i="90"/>
  <c r="H26" i="90" s="1"/>
  <c r="C27" i="90"/>
  <c r="H27" i="90" s="1"/>
  <c r="C28" i="90"/>
  <c r="H28" i="90" s="1"/>
  <c r="C29" i="90"/>
  <c r="C30" i="90"/>
  <c r="H30" i="90" s="1"/>
  <c r="C31" i="90"/>
  <c r="H31" i="90" s="1"/>
  <c r="C34" i="90"/>
  <c r="H34" i="90" s="1"/>
  <c r="C35" i="90"/>
  <c r="H35" i="90" s="1"/>
  <c r="C36" i="90"/>
  <c r="C37" i="90"/>
  <c r="H37" i="90" s="1"/>
  <c r="C38" i="90"/>
  <c r="H38" i="90" s="1"/>
  <c r="C39" i="90"/>
  <c r="H39" i="90" s="1"/>
  <c r="C42" i="90"/>
  <c r="C43" i="90"/>
  <c r="H43" i="90" s="1"/>
  <c r="C44" i="90"/>
  <c r="H44" i="90" s="1"/>
  <c r="C10" i="90"/>
  <c r="C11" i="90"/>
  <c r="H11" i="90" s="1"/>
  <c r="C12" i="90"/>
  <c r="C13" i="90"/>
  <c r="H13" i="90" s="1"/>
  <c r="C14" i="90"/>
  <c r="H14" i="90" s="1"/>
  <c r="C15" i="90"/>
  <c r="H15" i="90" s="1"/>
  <c r="C16" i="90"/>
  <c r="C17" i="90"/>
  <c r="H17" i="90" s="1"/>
  <c r="C18" i="90"/>
  <c r="D24" i="90"/>
  <c r="D32" i="90"/>
  <c r="D19" i="90"/>
  <c r="C45" i="90"/>
  <c r="C7" i="90"/>
  <c r="E4" i="90"/>
  <c r="D34" i="89"/>
  <c r="D40" i="89" s="1"/>
  <c r="D42" i="89"/>
  <c r="D46" i="89" s="1"/>
  <c r="C21" i="89"/>
  <c r="H21" i="89" s="1"/>
  <c r="G4" i="89"/>
  <c r="C22" i="89"/>
  <c r="H22" i="89" s="1"/>
  <c r="H24" i="89" s="1"/>
  <c r="C24" i="89" s="1"/>
  <c r="C23" i="89"/>
  <c r="H23" i="89" s="1"/>
  <c r="C26" i="89"/>
  <c r="H26" i="89" s="1"/>
  <c r="C27" i="89"/>
  <c r="C28" i="89"/>
  <c r="H28" i="89" s="1"/>
  <c r="C29" i="89"/>
  <c r="C30" i="89"/>
  <c r="H30" i="89" s="1"/>
  <c r="C31" i="89"/>
  <c r="H31" i="89" s="1"/>
  <c r="C34" i="89"/>
  <c r="C35" i="89"/>
  <c r="H35" i="89" s="1"/>
  <c r="C36" i="89"/>
  <c r="C37" i="89"/>
  <c r="H37" i="89" s="1"/>
  <c r="C38" i="89"/>
  <c r="H38" i="89" s="1"/>
  <c r="C39" i="89"/>
  <c r="H39" i="89" s="1"/>
  <c r="C42" i="89"/>
  <c r="C43" i="89"/>
  <c r="H43" i="89" s="1"/>
  <c r="C44" i="89"/>
  <c r="H44" i="89" s="1"/>
  <c r="C10" i="89"/>
  <c r="C11" i="89"/>
  <c r="H11" i="89" s="1"/>
  <c r="C12" i="89"/>
  <c r="H12" i="89" s="1"/>
  <c r="C13" i="89"/>
  <c r="H13" i="89" s="1"/>
  <c r="C14" i="89"/>
  <c r="H14" i="89" s="1"/>
  <c r="C15" i="89"/>
  <c r="H15" i="89" s="1"/>
  <c r="C16" i="89"/>
  <c r="H16" i="89" s="1"/>
  <c r="C17" i="89"/>
  <c r="H17" i="89" s="1"/>
  <c r="C18" i="89"/>
  <c r="D24" i="89"/>
  <c r="D32" i="89"/>
  <c r="D19" i="89"/>
  <c r="C45" i="89"/>
  <c r="C7" i="89"/>
  <c r="E4" i="89"/>
  <c r="D34" i="88"/>
  <c r="D40" i="88" s="1"/>
  <c r="D42" i="88"/>
  <c r="D46" i="88" s="1"/>
  <c r="C21" i="88"/>
  <c r="H21" i="88" s="1"/>
  <c r="G4" i="88"/>
  <c r="C22" i="88"/>
  <c r="H22" i="88" s="1"/>
  <c r="C23" i="88"/>
  <c r="H23" i="88" s="1"/>
  <c r="C26" i="88"/>
  <c r="C27" i="88"/>
  <c r="C28" i="88"/>
  <c r="H28" i="88" s="1"/>
  <c r="C29" i="88"/>
  <c r="C30" i="88"/>
  <c r="H30" i="88" s="1"/>
  <c r="C31" i="88"/>
  <c r="H31" i="88" s="1"/>
  <c r="C34" i="88"/>
  <c r="C35" i="88"/>
  <c r="H35" i="88" s="1"/>
  <c r="C36" i="88"/>
  <c r="C37" i="88"/>
  <c r="H37" i="88" s="1"/>
  <c r="C38" i="88"/>
  <c r="H38" i="88" s="1"/>
  <c r="C39" i="88"/>
  <c r="H39" i="88" s="1"/>
  <c r="C42" i="88"/>
  <c r="H42" i="88" s="1"/>
  <c r="C43" i="88"/>
  <c r="H43" i="88" s="1"/>
  <c r="C44" i="88"/>
  <c r="H44" i="88" s="1"/>
  <c r="H46" i="88" s="1"/>
  <c r="C46" i="88" s="1"/>
  <c r="C10" i="88"/>
  <c r="C11" i="88"/>
  <c r="H11" i="88" s="1"/>
  <c r="C12" i="88"/>
  <c r="C13" i="88"/>
  <c r="H13" i="88" s="1"/>
  <c r="C14" i="88"/>
  <c r="H14" i="88" s="1"/>
  <c r="C15" i="88"/>
  <c r="H15" i="88" s="1"/>
  <c r="C16" i="88"/>
  <c r="C17" i="88"/>
  <c r="H17" i="88" s="1"/>
  <c r="C18" i="88"/>
  <c r="D24" i="88"/>
  <c r="D19" i="88"/>
  <c r="C45" i="88"/>
  <c r="C7" i="88"/>
  <c r="E4" i="88"/>
  <c r="C21" i="87"/>
  <c r="H21" i="87" s="1"/>
  <c r="G4" i="87"/>
  <c r="C22" i="87"/>
  <c r="H22" i="87" s="1"/>
  <c r="C23" i="87"/>
  <c r="C26" i="87"/>
  <c r="C27" i="87"/>
  <c r="H27" i="87" s="1"/>
  <c r="C28" i="87"/>
  <c r="C29" i="87"/>
  <c r="H29" i="87" s="1"/>
  <c r="C30" i="87"/>
  <c r="C31" i="87"/>
  <c r="H31" i="87" s="1"/>
  <c r="C34" i="87"/>
  <c r="C35" i="87"/>
  <c r="H35" i="87" s="1"/>
  <c r="C36" i="87"/>
  <c r="H36" i="87" s="1"/>
  <c r="C37" i="87"/>
  <c r="H37" i="87" s="1"/>
  <c r="C38" i="87"/>
  <c r="H38" i="87" s="1"/>
  <c r="C39" i="87"/>
  <c r="C42" i="87"/>
  <c r="C43" i="87"/>
  <c r="H43" i="87" s="1"/>
  <c r="C44" i="87"/>
  <c r="H44" i="87" s="1"/>
  <c r="C10" i="87"/>
  <c r="H10" i="87" s="1"/>
  <c r="C11" i="87"/>
  <c r="C12" i="87"/>
  <c r="H12" i="87" s="1"/>
  <c r="C13" i="87"/>
  <c r="C14" i="87"/>
  <c r="H14" i="87" s="1"/>
  <c r="C15" i="87"/>
  <c r="H15" i="87" s="1"/>
  <c r="C16" i="87"/>
  <c r="H16" i="87" s="1"/>
  <c r="C17" i="87"/>
  <c r="C18" i="87"/>
  <c r="H18" i="87" s="1"/>
  <c r="D46" i="87"/>
  <c r="D24" i="87"/>
  <c r="D50" i="87" s="1"/>
  <c r="D32" i="87"/>
  <c r="D40" i="87"/>
  <c r="D19" i="87"/>
  <c r="C45" i="87"/>
  <c r="C7" i="87"/>
  <c r="E4" i="87"/>
  <c r="C21" i="86"/>
  <c r="H21" i="86" s="1"/>
  <c r="G4" i="86"/>
  <c r="C22" i="86"/>
  <c r="H22" i="86" s="1"/>
  <c r="C23" i="86"/>
  <c r="H23" i="86" s="1"/>
  <c r="C26" i="86"/>
  <c r="H26" i="86" s="1"/>
  <c r="C27" i="86"/>
  <c r="H27" i="86" s="1"/>
  <c r="C28" i="86"/>
  <c r="H28" i="86" s="1"/>
  <c r="C29" i="86"/>
  <c r="C30" i="86"/>
  <c r="H30" i="86" s="1"/>
  <c r="C31" i="86"/>
  <c r="H31" i="86" s="1"/>
  <c r="C34" i="86"/>
  <c r="H34" i="86" s="1"/>
  <c r="C35" i="86"/>
  <c r="H35" i="86" s="1"/>
  <c r="C36" i="86"/>
  <c r="H36" i="86" s="1"/>
  <c r="C37" i="86"/>
  <c r="H37" i="86" s="1"/>
  <c r="C38" i="86"/>
  <c r="C39" i="86"/>
  <c r="H39" i="86" s="1"/>
  <c r="C42" i="86"/>
  <c r="C43" i="86"/>
  <c r="H43" i="86" s="1"/>
  <c r="C44" i="86"/>
  <c r="H44" i="86" s="1"/>
  <c r="C10" i="86"/>
  <c r="C11" i="86"/>
  <c r="H11" i="86" s="1"/>
  <c r="C12" i="86"/>
  <c r="H12" i="86" s="1"/>
  <c r="C13" i="86"/>
  <c r="H13" i="86" s="1"/>
  <c r="C14" i="86"/>
  <c r="C15" i="86"/>
  <c r="H15" i="86" s="1"/>
  <c r="C16" i="86"/>
  <c r="H16" i="86" s="1"/>
  <c r="C17" i="86"/>
  <c r="H17" i="86" s="1"/>
  <c r="C18" i="86"/>
  <c r="D46" i="86"/>
  <c r="D24" i="86"/>
  <c r="D32" i="86"/>
  <c r="D40" i="86"/>
  <c r="D19" i="86"/>
  <c r="C45" i="86"/>
  <c r="C7" i="86"/>
  <c r="E4" i="86"/>
  <c r="C21" i="85"/>
  <c r="H21" i="85" s="1"/>
  <c r="G4" i="85"/>
  <c r="C22" i="85"/>
  <c r="C23" i="85"/>
  <c r="H23" i="85" s="1"/>
  <c r="C26" i="85"/>
  <c r="H26" i="85" s="1"/>
  <c r="C27" i="85"/>
  <c r="H27" i="85" s="1"/>
  <c r="C28" i="85"/>
  <c r="C29" i="85"/>
  <c r="H29" i="85" s="1"/>
  <c r="C30" i="85"/>
  <c r="C31" i="85"/>
  <c r="H31" i="85" s="1"/>
  <c r="C34" i="85"/>
  <c r="H34" i="85" s="1"/>
  <c r="C35" i="85"/>
  <c r="C36" i="85"/>
  <c r="C37" i="85"/>
  <c r="H37" i="85" s="1"/>
  <c r="C38" i="85"/>
  <c r="H38" i="85" s="1"/>
  <c r="C39" i="85"/>
  <c r="C42" i="85"/>
  <c r="H42" i="85" s="1"/>
  <c r="C43" i="85"/>
  <c r="H43" i="85" s="1"/>
  <c r="H46" i="85" s="1"/>
  <c r="C46" i="85" s="1"/>
  <c r="C44" i="85"/>
  <c r="H44" i="85" s="1"/>
  <c r="C10" i="85"/>
  <c r="H10" i="85" s="1"/>
  <c r="C11" i="85"/>
  <c r="C12" i="85"/>
  <c r="H12" i="85" s="1"/>
  <c r="C13" i="85"/>
  <c r="C14" i="85"/>
  <c r="H14" i="85" s="1"/>
  <c r="C15" i="85"/>
  <c r="C16" i="85"/>
  <c r="H16" i="85" s="1"/>
  <c r="C17" i="85"/>
  <c r="H17" i="85" s="1"/>
  <c r="C18" i="85"/>
  <c r="H18" i="85" s="1"/>
  <c r="D46" i="85"/>
  <c r="D24" i="85"/>
  <c r="D32" i="85"/>
  <c r="D40" i="85"/>
  <c r="D19" i="85"/>
  <c r="C45" i="85"/>
  <c r="C7" i="85"/>
  <c r="E4" i="85"/>
  <c r="D42" i="84"/>
  <c r="D46" i="84" s="1"/>
  <c r="D27" i="84"/>
  <c r="D28" i="84"/>
  <c r="D28" i="118" s="1"/>
  <c r="H28" i="118" s="1"/>
  <c r="D29" i="84"/>
  <c r="D30" i="84"/>
  <c r="D31" i="84"/>
  <c r="C21" i="84"/>
  <c r="H21" i="84" s="1"/>
  <c r="G4" i="84"/>
  <c r="C22" i="84"/>
  <c r="H22" i="84" s="1"/>
  <c r="C23" i="84"/>
  <c r="H23" i="84" s="1"/>
  <c r="C26" i="84"/>
  <c r="C27" i="84"/>
  <c r="C28" i="84"/>
  <c r="H28" i="84" s="1"/>
  <c r="C29" i="84"/>
  <c r="C30" i="84"/>
  <c r="C31" i="84"/>
  <c r="C34" i="84"/>
  <c r="H34" i="84" s="1"/>
  <c r="C35" i="84"/>
  <c r="H35" i="84" s="1"/>
  <c r="C36" i="84"/>
  <c r="H36" i="84" s="1"/>
  <c r="C37" i="84"/>
  <c r="C38" i="84"/>
  <c r="H38" i="84" s="1"/>
  <c r="C39" i="84"/>
  <c r="H39" i="84" s="1"/>
  <c r="C42" i="84"/>
  <c r="C43" i="84"/>
  <c r="H43" i="84" s="1"/>
  <c r="C44" i="84"/>
  <c r="H44" i="84" s="1"/>
  <c r="C10" i="84"/>
  <c r="H10" i="84" s="1"/>
  <c r="C11" i="84"/>
  <c r="C12" i="84"/>
  <c r="H12" i="84" s="1"/>
  <c r="C13" i="84"/>
  <c r="C14" i="84"/>
  <c r="H14" i="84" s="1"/>
  <c r="C15" i="84"/>
  <c r="H15" i="84" s="1"/>
  <c r="C16" i="84"/>
  <c r="H16" i="84" s="1"/>
  <c r="C17" i="84"/>
  <c r="H17" i="84" s="1"/>
  <c r="C18" i="84"/>
  <c r="H18" i="84" s="1"/>
  <c r="D24" i="84"/>
  <c r="D40" i="84"/>
  <c r="D19" i="84"/>
  <c r="C45" i="84"/>
  <c r="C7" i="84"/>
  <c r="E4" i="84"/>
  <c r="C21" i="83"/>
  <c r="H21" i="83" s="1"/>
  <c r="H24" i="83" s="1"/>
  <c r="C24" i="83" s="1"/>
  <c r="G4" i="83"/>
  <c r="C22" i="83"/>
  <c r="H22" i="83" s="1"/>
  <c r="C23" i="83"/>
  <c r="H23" i="83" s="1"/>
  <c r="C26" i="83"/>
  <c r="H26" i="83" s="1"/>
  <c r="C27" i="83"/>
  <c r="C28" i="83"/>
  <c r="H28" i="83" s="1"/>
  <c r="C29" i="83"/>
  <c r="C30" i="83"/>
  <c r="H30" i="83" s="1"/>
  <c r="C31" i="83"/>
  <c r="C34" i="83"/>
  <c r="H34" i="83" s="1"/>
  <c r="C35" i="83"/>
  <c r="C36" i="83"/>
  <c r="H36" i="83" s="1"/>
  <c r="C37" i="83"/>
  <c r="H37" i="83" s="1"/>
  <c r="C38" i="83"/>
  <c r="H38" i="83" s="1"/>
  <c r="C39" i="83"/>
  <c r="H39" i="83" s="1"/>
  <c r="C42" i="83"/>
  <c r="H42" i="83" s="1"/>
  <c r="C43" i="83"/>
  <c r="H43" i="83" s="1"/>
  <c r="C44" i="83"/>
  <c r="H44" i="83" s="1"/>
  <c r="C10" i="83"/>
  <c r="C11" i="83"/>
  <c r="H11" i="83" s="1"/>
  <c r="C12" i="83"/>
  <c r="H12" i="83" s="1"/>
  <c r="C13" i="83"/>
  <c r="C14" i="83"/>
  <c r="C15" i="83"/>
  <c r="H15" i="83" s="1"/>
  <c r="C16" i="83"/>
  <c r="H16" i="83" s="1"/>
  <c r="C17" i="83"/>
  <c r="H17" i="83" s="1"/>
  <c r="C18" i="83"/>
  <c r="D46" i="83"/>
  <c r="D24" i="83"/>
  <c r="D32" i="83"/>
  <c r="D40" i="83"/>
  <c r="D19" i="83"/>
  <c r="E15" i="83" s="1"/>
  <c r="C45" i="83"/>
  <c r="C7" i="83"/>
  <c r="E4" i="83"/>
  <c r="D34" i="82"/>
  <c r="D42" i="82"/>
  <c r="C21" i="82"/>
  <c r="H21" i="82" s="1"/>
  <c r="G4" i="82"/>
  <c r="C22" i="82"/>
  <c r="H22" i="82" s="1"/>
  <c r="C23" i="82"/>
  <c r="H23" i="82" s="1"/>
  <c r="C26" i="82"/>
  <c r="H26" i="82" s="1"/>
  <c r="C27" i="82"/>
  <c r="C28" i="82"/>
  <c r="H28" i="82" s="1"/>
  <c r="C29" i="82"/>
  <c r="C30" i="82"/>
  <c r="H30" i="82" s="1"/>
  <c r="C31" i="82"/>
  <c r="C34" i="82"/>
  <c r="H34" i="82" s="1"/>
  <c r="C35" i="82"/>
  <c r="H35" i="82" s="1"/>
  <c r="C36" i="82"/>
  <c r="H36" i="82" s="1"/>
  <c r="C37" i="82"/>
  <c r="H37" i="82" s="1"/>
  <c r="C38" i="82"/>
  <c r="H38" i="82" s="1"/>
  <c r="C39" i="82"/>
  <c r="H39" i="82" s="1"/>
  <c r="C42" i="82"/>
  <c r="C43" i="82"/>
  <c r="H43" i="82" s="1"/>
  <c r="C44" i="82"/>
  <c r="H44" i="82" s="1"/>
  <c r="C10" i="82"/>
  <c r="C11" i="82"/>
  <c r="H11" i="82" s="1"/>
  <c r="C12" i="82"/>
  <c r="C13" i="82"/>
  <c r="H13" i="82" s="1"/>
  <c r="C14" i="82"/>
  <c r="H14" i="82" s="1"/>
  <c r="C15" i="82"/>
  <c r="H15" i="82" s="1"/>
  <c r="C16" i="82"/>
  <c r="H16" i="82" s="1"/>
  <c r="C17" i="82"/>
  <c r="H17" i="82" s="1"/>
  <c r="C18" i="82"/>
  <c r="D24" i="82"/>
  <c r="D32" i="82"/>
  <c r="D19" i="82"/>
  <c r="C45" i="82"/>
  <c r="C7" i="82"/>
  <c r="E4" i="82"/>
  <c r="C21" i="81"/>
  <c r="H21" i="81" s="1"/>
  <c r="G4" i="81"/>
  <c r="C22" i="81"/>
  <c r="C23" i="81"/>
  <c r="H23" i="81" s="1"/>
  <c r="C26" i="81"/>
  <c r="H26" i="81" s="1"/>
  <c r="C27" i="81"/>
  <c r="H27" i="81" s="1"/>
  <c r="C28" i="81"/>
  <c r="C29" i="81"/>
  <c r="H29" i="81" s="1"/>
  <c r="C30" i="81"/>
  <c r="H30" i="81" s="1"/>
  <c r="C31" i="81"/>
  <c r="H31" i="81" s="1"/>
  <c r="C34" i="81"/>
  <c r="H34" i="81" s="1"/>
  <c r="C35" i="81"/>
  <c r="H35" i="81" s="1"/>
  <c r="C36" i="81"/>
  <c r="H36" i="81" s="1"/>
  <c r="C37" i="81"/>
  <c r="H37" i="81" s="1"/>
  <c r="C38" i="81"/>
  <c r="H38" i="81" s="1"/>
  <c r="C39" i="81"/>
  <c r="H39" i="81" s="1"/>
  <c r="C42" i="81"/>
  <c r="H42" i="81" s="1"/>
  <c r="C43" i="81"/>
  <c r="C44" i="81"/>
  <c r="H44" i="81" s="1"/>
  <c r="C10" i="81"/>
  <c r="H10" i="81" s="1"/>
  <c r="C11" i="81"/>
  <c r="H11" i="81" s="1"/>
  <c r="C12" i="81"/>
  <c r="H12" i="81" s="1"/>
  <c r="C13" i="81"/>
  <c r="C14" i="81"/>
  <c r="H14" i="81" s="1"/>
  <c r="C15" i="81"/>
  <c r="H15" i="81" s="1"/>
  <c r="C16" i="81"/>
  <c r="H16" i="81" s="1"/>
  <c r="C17" i="81"/>
  <c r="H17" i="81" s="1"/>
  <c r="C18" i="81"/>
  <c r="H18" i="81" s="1"/>
  <c r="D46" i="81"/>
  <c r="D24" i="81"/>
  <c r="D32" i="81"/>
  <c r="D40" i="81"/>
  <c r="D19" i="81"/>
  <c r="E12" i="81" s="1"/>
  <c r="C45" i="81"/>
  <c r="C7" i="81"/>
  <c r="E4" i="81"/>
  <c r="D26" i="80"/>
  <c r="C21" i="80"/>
  <c r="G4" i="80"/>
  <c r="C22" i="80"/>
  <c r="H22" i="80" s="1"/>
  <c r="C23" i="80"/>
  <c r="H23" i="80" s="1"/>
  <c r="C26" i="80"/>
  <c r="C27" i="80"/>
  <c r="C28" i="80"/>
  <c r="H28" i="80" s="1"/>
  <c r="C29" i="80"/>
  <c r="H29" i="80" s="1"/>
  <c r="C30" i="80"/>
  <c r="H30" i="80" s="1"/>
  <c r="C31" i="80"/>
  <c r="H31" i="80" s="1"/>
  <c r="C34" i="80"/>
  <c r="C35" i="80"/>
  <c r="H35" i="80" s="1"/>
  <c r="C36" i="80"/>
  <c r="H36" i="80" s="1"/>
  <c r="C37" i="80"/>
  <c r="H37" i="80" s="1"/>
  <c r="C38" i="80"/>
  <c r="C39" i="80"/>
  <c r="H39" i="80" s="1"/>
  <c r="C42" i="80"/>
  <c r="H42" i="80" s="1"/>
  <c r="C43" i="80"/>
  <c r="C44" i="80"/>
  <c r="H44" i="80" s="1"/>
  <c r="C10" i="80"/>
  <c r="H10" i="80" s="1"/>
  <c r="C11" i="80"/>
  <c r="H11" i="80" s="1"/>
  <c r="C12" i="80"/>
  <c r="H12" i="80" s="1"/>
  <c r="C13" i="80"/>
  <c r="H13" i="80" s="1"/>
  <c r="C14" i="80"/>
  <c r="H14" i="80" s="1"/>
  <c r="C15" i="80"/>
  <c r="H15" i="80" s="1"/>
  <c r="C16" i="80"/>
  <c r="H16" i="80" s="1"/>
  <c r="C17" i="80"/>
  <c r="C18" i="80"/>
  <c r="H18" i="80" s="1"/>
  <c r="D46" i="80"/>
  <c r="D24" i="80"/>
  <c r="D40" i="80"/>
  <c r="D19" i="80"/>
  <c r="C45" i="80"/>
  <c r="C7" i="80"/>
  <c r="E4" i="80"/>
  <c r="D34" i="79"/>
  <c r="D40" i="79" s="1"/>
  <c r="D26" i="79"/>
  <c r="D32" i="79" s="1"/>
  <c r="D42" i="79"/>
  <c r="C21" i="79"/>
  <c r="G4" i="79"/>
  <c r="C22" i="79"/>
  <c r="H22" i="79" s="1"/>
  <c r="C23" i="79"/>
  <c r="H23" i="79" s="1"/>
  <c r="C26" i="79"/>
  <c r="C27" i="79"/>
  <c r="H27" i="79" s="1"/>
  <c r="C28" i="79"/>
  <c r="C29" i="79"/>
  <c r="H29" i="79" s="1"/>
  <c r="C30" i="79"/>
  <c r="C31" i="79"/>
  <c r="H31" i="79" s="1"/>
  <c r="C34" i="79"/>
  <c r="C35" i="79"/>
  <c r="H35" i="79" s="1"/>
  <c r="C36" i="79"/>
  <c r="H36" i="79" s="1"/>
  <c r="C37" i="79"/>
  <c r="H37" i="79" s="1"/>
  <c r="C38" i="79"/>
  <c r="H38" i="79" s="1"/>
  <c r="C39" i="79"/>
  <c r="H39" i="79" s="1"/>
  <c r="C42" i="79"/>
  <c r="C43" i="79"/>
  <c r="H43" i="79" s="1"/>
  <c r="C44" i="79"/>
  <c r="H44" i="79" s="1"/>
  <c r="C10" i="79"/>
  <c r="H10" i="79" s="1"/>
  <c r="C11" i="79"/>
  <c r="C12" i="79"/>
  <c r="H12" i="79" s="1"/>
  <c r="C13" i="79"/>
  <c r="H13" i="79" s="1"/>
  <c r="C14" i="79"/>
  <c r="H14" i="79" s="1"/>
  <c r="C15" i="79"/>
  <c r="H15" i="79" s="1"/>
  <c r="C16" i="79"/>
  <c r="H16" i="79" s="1"/>
  <c r="C17" i="79"/>
  <c r="H17" i="79" s="1"/>
  <c r="C18" i="79"/>
  <c r="H18" i="79" s="1"/>
  <c r="D24" i="79"/>
  <c r="D19" i="79"/>
  <c r="E19" i="79" s="1"/>
  <c r="C45" i="79"/>
  <c r="C7" i="79"/>
  <c r="E4" i="79"/>
  <c r="C21" i="78"/>
  <c r="H21" i="78" s="1"/>
  <c r="G4" i="78"/>
  <c r="C22" i="78"/>
  <c r="H22" i="78" s="1"/>
  <c r="C23" i="78"/>
  <c r="C26" i="78"/>
  <c r="H26" i="78" s="1"/>
  <c r="C27" i="78"/>
  <c r="H27" i="78" s="1"/>
  <c r="C28" i="78"/>
  <c r="H28" i="78" s="1"/>
  <c r="C29" i="78"/>
  <c r="C30" i="78"/>
  <c r="H30" i="78" s="1"/>
  <c r="C31" i="78"/>
  <c r="H31" i="78" s="1"/>
  <c r="C34" i="78"/>
  <c r="C35" i="78"/>
  <c r="H35" i="78" s="1"/>
  <c r="C36" i="78"/>
  <c r="H36" i="78" s="1"/>
  <c r="C37" i="78"/>
  <c r="H37" i="78" s="1"/>
  <c r="C38" i="78"/>
  <c r="H38" i="78" s="1"/>
  <c r="C39" i="78"/>
  <c r="H39" i="78" s="1"/>
  <c r="C42" i="78"/>
  <c r="H42" i="78" s="1"/>
  <c r="H46" i="78" s="1"/>
  <c r="C43" i="78"/>
  <c r="H43" i="78" s="1"/>
  <c r="C44" i="78"/>
  <c r="H44" i="78" s="1"/>
  <c r="C10" i="78"/>
  <c r="H10" i="78" s="1"/>
  <c r="C11" i="78"/>
  <c r="H11" i="78" s="1"/>
  <c r="C12" i="78"/>
  <c r="H12" i="78" s="1"/>
  <c r="C13" i="78"/>
  <c r="H13" i="78" s="1"/>
  <c r="C14" i="78"/>
  <c r="C15" i="78"/>
  <c r="H15" i="78" s="1"/>
  <c r="C16" i="78"/>
  <c r="H16" i="78" s="1"/>
  <c r="C17" i="78"/>
  <c r="H17" i="78" s="1"/>
  <c r="C18" i="78"/>
  <c r="D46" i="78"/>
  <c r="D24" i="78"/>
  <c r="D32" i="78"/>
  <c r="D40" i="78"/>
  <c r="D19" i="78"/>
  <c r="C45" i="78"/>
  <c r="C7" i="78"/>
  <c r="E4" i="78"/>
  <c r="E3" i="77"/>
  <c r="D43" i="77"/>
  <c r="D44" i="77"/>
  <c r="D45" i="77"/>
  <c r="D42" i="76"/>
  <c r="D42" i="75"/>
  <c r="D46" i="75" s="1"/>
  <c r="D42" i="73"/>
  <c r="D46" i="73" s="1"/>
  <c r="D42" i="68"/>
  <c r="D46" i="68" s="1"/>
  <c r="D42" i="62"/>
  <c r="D46" i="62" s="1"/>
  <c r="D42" i="59"/>
  <c r="D42" i="58"/>
  <c r="D35" i="77"/>
  <c r="D36" i="77"/>
  <c r="D37" i="77"/>
  <c r="D38" i="77"/>
  <c r="D39" i="77"/>
  <c r="D34" i="76"/>
  <c r="D34" i="75"/>
  <c r="D40" i="75" s="1"/>
  <c r="D34" i="73"/>
  <c r="D40" i="73" s="1"/>
  <c r="D34" i="68"/>
  <c r="D34" i="62"/>
  <c r="D40" i="62" s="1"/>
  <c r="D34" i="59"/>
  <c r="D40" i="59" s="1"/>
  <c r="D34" i="58"/>
  <c r="D40" i="58" s="1"/>
  <c r="D27" i="68"/>
  <c r="D27" i="77" s="1"/>
  <c r="D28" i="68"/>
  <c r="D29" i="77"/>
  <c r="D30" i="77"/>
  <c r="D31" i="77"/>
  <c r="D26" i="75"/>
  <c r="D26" i="73"/>
  <c r="D32" i="73" s="1"/>
  <c r="D26" i="68"/>
  <c r="D26" i="69"/>
  <c r="D32" i="69" s="1"/>
  <c r="D26" i="56"/>
  <c r="D32" i="56" s="1"/>
  <c r="D22" i="77"/>
  <c r="D23" i="77"/>
  <c r="D21" i="77"/>
  <c r="D15" i="65"/>
  <c r="H15" i="65" s="1"/>
  <c r="D16" i="77"/>
  <c r="D17" i="77"/>
  <c r="D18" i="77"/>
  <c r="D11" i="77"/>
  <c r="D12" i="77"/>
  <c r="D13" i="77"/>
  <c r="D14" i="77"/>
  <c r="D10" i="77"/>
  <c r="C21" i="77"/>
  <c r="C22" i="77"/>
  <c r="C23" i="77"/>
  <c r="C26" i="77"/>
  <c r="C27" i="77"/>
  <c r="C28" i="77"/>
  <c r="C29" i="77"/>
  <c r="C30" i="77"/>
  <c r="C31" i="77"/>
  <c r="C34" i="77"/>
  <c r="C35" i="77"/>
  <c r="H35" i="77" s="1"/>
  <c r="C36" i="77"/>
  <c r="C37" i="77"/>
  <c r="C38" i="77"/>
  <c r="C39" i="77"/>
  <c r="H39" i="77" s="1"/>
  <c r="C42" i="77"/>
  <c r="C43" i="77"/>
  <c r="H43" i="77" s="1"/>
  <c r="C44" i="77"/>
  <c r="C10" i="77"/>
  <c r="C11" i="77"/>
  <c r="C12" i="77"/>
  <c r="C13" i="77"/>
  <c r="H13" i="77" s="1"/>
  <c r="C14" i="77"/>
  <c r="C15" i="77"/>
  <c r="C16" i="77"/>
  <c r="H16" i="77" s="1"/>
  <c r="C17" i="77"/>
  <c r="H17" i="77" s="1"/>
  <c r="C18" i="77"/>
  <c r="C45" i="77"/>
  <c r="C7" i="77"/>
  <c r="C21" i="76"/>
  <c r="H21" i="76" s="1"/>
  <c r="G4" i="76"/>
  <c r="C22" i="76"/>
  <c r="H22" i="76" s="1"/>
  <c r="C23" i="76"/>
  <c r="C26" i="76"/>
  <c r="H26" i="76" s="1"/>
  <c r="C27" i="76"/>
  <c r="C28" i="76"/>
  <c r="H28" i="76" s="1"/>
  <c r="C29" i="76"/>
  <c r="C30" i="76"/>
  <c r="C31" i="76"/>
  <c r="H31" i="76" s="1"/>
  <c r="C34" i="76"/>
  <c r="C35" i="76"/>
  <c r="H35" i="76" s="1"/>
  <c r="C36" i="76"/>
  <c r="H36" i="76" s="1"/>
  <c r="C37" i="76"/>
  <c r="C38" i="76"/>
  <c r="H38" i="76" s="1"/>
  <c r="C39" i="76"/>
  <c r="H39" i="76" s="1"/>
  <c r="C42" i="76"/>
  <c r="C43" i="76"/>
  <c r="H43" i="76" s="1"/>
  <c r="C44" i="76"/>
  <c r="H44" i="76" s="1"/>
  <c r="C10" i="76"/>
  <c r="H10" i="76" s="1"/>
  <c r="C11" i="76"/>
  <c r="H11" i="76" s="1"/>
  <c r="C12" i="76"/>
  <c r="C13" i="76"/>
  <c r="H13" i="76" s="1"/>
  <c r="C14" i="76"/>
  <c r="H14" i="76" s="1"/>
  <c r="C15" i="76"/>
  <c r="H15" i="76" s="1"/>
  <c r="C16" i="76"/>
  <c r="C17" i="76"/>
  <c r="H17" i="76" s="1"/>
  <c r="C18" i="76"/>
  <c r="H18" i="76" s="1"/>
  <c r="D24" i="76"/>
  <c r="D32" i="76"/>
  <c r="D19" i="76"/>
  <c r="C45" i="76"/>
  <c r="C7" i="76"/>
  <c r="E4" i="76"/>
  <c r="C21" i="75"/>
  <c r="H21" i="75" s="1"/>
  <c r="G4" i="75"/>
  <c r="C22" i="75"/>
  <c r="H22" i="75" s="1"/>
  <c r="C23" i="75"/>
  <c r="H23" i="75" s="1"/>
  <c r="C26" i="75"/>
  <c r="C27" i="75"/>
  <c r="H27" i="75" s="1"/>
  <c r="C28" i="75"/>
  <c r="H28" i="75" s="1"/>
  <c r="C29" i="75"/>
  <c r="H29" i="75" s="1"/>
  <c r="C30" i="75"/>
  <c r="C31" i="75"/>
  <c r="H31" i="75" s="1"/>
  <c r="C34" i="75"/>
  <c r="C35" i="75"/>
  <c r="C36" i="75"/>
  <c r="H36" i="75" s="1"/>
  <c r="C37" i="75"/>
  <c r="H37" i="75" s="1"/>
  <c r="C38" i="75"/>
  <c r="H38" i="75" s="1"/>
  <c r="C39" i="75"/>
  <c r="C42" i="75"/>
  <c r="H42" i="75" s="1"/>
  <c r="C43" i="75"/>
  <c r="H43" i="75" s="1"/>
  <c r="C44" i="75"/>
  <c r="H44" i="75" s="1"/>
  <c r="C10" i="75"/>
  <c r="C11" i="75"/>
  <c r="H11" i="75" s="1"/>
  <c r="C12" i="75"/>
  <c r="H12" i="75" s="1"/>
  <c r="C13" i="75"/>
  <c r="C14" i="75"/>
  <c r="H14" i="75" s="1"/>
  <c r="C15" i="75"/>
  <c r="C16" i="75"/>
  <c r="H16" i="75" s="1"/>
  <c r="C17" i="75"/>
  <c r="C18" i="75"/>
  <c r="H18" i="75" s="1"/>
  <c r="D24" i="75"/>
  <c r="D19" i="75"/>
  <c r="C45" i="75"/>
  <c r="C7" i="75"/>
  <c r="E4" i="75"/>
  <c r="C21" i="74"/>
  <c r="H21" i="74" s="1"/>
  <c r="G4" i="74"/>
  <c r="C22" i="74"/>
  <c r="H22" i="74" s="1"/>
  <c r="C23" i="74"/>
  <c r="H23" i="74" s="1"/>
  <c r="C26" i="74"/>
  <c r="H26" i="74" s="1"/>
  <c r="C27" i="74"/>
  <c r="H27" i="74" s="1"/>
  <c r="C28" i="74"/>
  <c r="H28" i="74" s="1"/>
  <c r="C29" i="74"/>
  <c r="H29" i="74" s="1"/>
  <c r="C30" i="74"/>
  <c r="H30" i="74" s="1"/>
  <c r="C31" i="74"/>
  <c r="H31" i="74" s="1"/>
  <c r="C34" i="74"/>
  <c r="H34" i="74" s="1"/>
  <c r="C35" i="74"/>
  <c r="H35" i="74" s="1"/>
  <c r="C36" i="74"/>
  <c r="H36" i="74" s="1"/>
  <c r="C37" i="74"/>
  <c r="H37" i="74" s="1"/>
  <c r="C38" i="74"/>
  <c r="H38" i="74" s="1"/>
  <c r="C39" i="74"/>
  <c r="H39" i="74" s="1"/>
  <c r="C42" i="74"/>
  <c r="H42" i="74" s="1"/>
  <c r="C43" i="74"/>
  <c r="H43" i="74" s="1"/>
  <c r="C44" i="74"/>
  <c r="H44" i="74" s="1"/>
  <c r="C10" i="74"/>
  <c r="H10" i="74" s="1"/>
  <c r="C11" i="74"/>
  <c r="H11" i="74" s="1"/>
  <c r="C12" i="74"/>
  <c r="H12" i="74" s="1"/>
  <c r="C13" i="74"/>
  <c r="H13" i="74" s="1"/>
  <c r="C14" i="74"/>
  <c r="H14" i="74" s="1"/>
  <c r="C15" i="74"/>
  <c r="H15" i="74" s="1"/>
  <c r="C16" i="74"/>
  <c r="H16" i="74" s="1"/>
  <c r="C17" i="74"/>
  <c r="H17" i="74" s="1"/>
  <c r="C18" i="74"/>
  <c r="H18" i="74" s="1"/>
  <c r="D46" i="74"/>
  <c r="D24" i="74"/>
  <c r="D32" i="74"/>
  <c r="D40" i="74"/>
  <c r="D19" i="74"/>
  <c r="E11" i="74" s="1"/>
  <c r="C45" i="74"/>
  <c r="C7" i="74"/>
  <c r="E4" i="74"/>
  <c r="C21" i="73"/>
  <c r="H21" i="73" s="1"/>
  <c r="G4" i="73"/>
  <c r="C22" i="73"/>
  <c r="H22" i="73" s="1"/>
  <c r="C23" i="73"/>
  <c r="H23" i="73" s="1"/>
  <c r="C26" i="73"/>
  <c r="C27" i="73"/>
  <c r="H27" i="73" s="1"/>
  <c r="C28" i="73"/>
  <c r="H28" i="73" s="1"/>
  <c r="C29" i="73"/>
  <c r="H29" i="73" s="1"/>
  <c r="C30" i="73"/>
  <c r="H30" i="73" s="1"/>
  <c r="C31" i="73"/>
  <c r="H31" i="73" s="1"/>
  <c r="C34" i="73"/>
  <c r="H34" i="73" s="1"/>
  <c r="C35" i="73"/>
  <c r="H35" i="73" s="1"/>
  <c r="C36" i="73"/>
  <c r="H36" i="73" s="1"/>
  <c r="C37" i="73"/>
  <c r="H37" i="73" s="1"/>
  <c r="C38" i="73"/>
  <c r="H38" i="73" s="1"/>
  <c r="C39" i="73"/>
  <c r="H39" i="73" s="1"/>
  <c r="C42" i="73"/>
  <c r="C43" i="73"/>
  <c r="C44" i="73"/>
  <c r="H44" i="73" s="1"/>
  <c r="C10" i="73"/>
  <c r="C11" i="73"/>
  <c r="H11" i="73" s="1"/>
  <c r="C12" i="73"/>
  <c r="H12" i="73" s="1"/>
  <c r="C13" i="73"/>
  <c r="H13" i="73" s="1"/>
  <c r="C14" i="73"/>
  <c r="H14" i="73" s="1"/>
  <c r="C15" i="73"/>
  <c r="H15" i="73" s="1"/>
  <c r="C16" i="73"/>
  <c r="H16" i="73" s="1"/>
  <c r="C17" i="73"/>
  <c r="C18" i="73"/>
  <c r="H18" i="73" s="1"/>
  <c r="D24" i="73"/>
  <c r="D19" i="73"/>
  <c r="C45" i="73"/>
  <c r="C7" i="73"/>
  <c r="E4" i="73"/>
  <c r="C21" i="72"/>
  <c r="H21" i="72" s="1"/>
  <c r="G4" i="72"/>
  <c r="C22" i="72"/>
  <c r="H22" i="72" s="1"/>
  <c r="C23" i="72"/>
  <c r="H23" i="72" s="1"/>
  <c r="C26" i="72"/>
  <c r="H26" i="72" s="1"/>
  <c r="C27" i="72"/>
  <c r="H27" i="72" s="1"/>
  <c r="C28" i="72"/>
  <c r="H28" i="72" s="1"/>
  <c r="C29" i="72"/>
  <c r="H29" i="72" s="1"/>
  <c r="C30" i="72"/>
  <c r="H30" i="72" s="1"/>
  <c r="C31" i="72"/>
  <c r="C34" i="72"/>
  <c r="H34" i="72" s="1"/>
  <c r="C35" i="72"/>
  <c r="H35" i="72" s="1"/>
  <c r="C36" i="72"/>
  <c r="H36" i="72" s="1"/>
  <c r="C37" i="72"/>
  <c r="H37" i="72" s="1"/>
  <c r="C38" i="72"/>
  <c r="H38" i="72" s="1"/>
  <c r="C39" i="72"/>
  <c r="H39" i="72" s="1"/>
  <c r="C42" i="72"/>
  <c r="H42" i="72" s="1"/>
  <c r="C43" i="72"/>
  <c r="H43" i="72" s="1"/>
  <c r="C44" i="72"/>
  <c r="H44" i="72" s="1"/>
  <c r="C10" i="72"/>
  <c r="H10" i="72" s="1"/>
  <c r="C11" i="72"/>
  <c r="H11" i="72" s="1"/>
  <c r="C12" i="72"/>
  <c r="H12" i="72" s="1"/>
  <c r="C13" i="72"/>
  <c r="H13" i="72" s="1"/>
  <c r="C14" i="72"/>
  <c r="H14" i="72" s="1"/>
  <c r="C15" i="72"/>
  <c r="H15" i="72" s="1"/>
  <c r="C16" i="72"/>
  <c r="H16" i="72" s="1"/>
  <c r="C17" i="72"/>
  <c r="H17" i="72" s="1"/>
  <c r="C18" i="72"/>
  <c r="H18" i="72" s="1"/>
  <c r="D46" i="72"/>
  <c r="D24" i="72"/>
  <c r="D32" i="72"/>
  <c r="D40" i="72"/>
  <c r="D19" i="72"/>
  <c r="E17" i="72" s="1"/>
  <c r="C45" i="72"/>
  <c r="C7" i="72"/>
  <c r="E4" i="72"/>
  <c r="C21" i="71"/>
  <c r="H21" i="71" s="1"/>
  <c r="G4" i="71"/>
  <c r="C22" i="71"/>
  <c r="H22" i="71" s="1"/>
  <c r="C23" i="71"/>
  <c r="H23" i="71" s="1"/>
  <c r="C26" i="71"/>
  <c r="H26" i="71" s="1"/>
  <c r="C27" i="71"/>
  <c r="C28" i="71"/>
  <c r="H28" i="71" s="1"/>
  <c r="C29" i="71"/>
  <c r="H29" i="71" s="1"/>
  <c r="C30" i="71"/>
  <c r="H30" i="71" s="1"/>
  <c r="C31" i="71"/>
  <c r="C34" i="71"/>
  <c r="H34" i="71" s="1"/>
  <c r="C35" i="71"/>
  <c r="H35" i="71" s="1"/>
  <c r="C36" i="71"/>
  <c r="H36" i="71" s="1"/>
  <c r="C37" i="71"/>
  <c r="H37" i="71" s="1"/>
  <c r="C38" i="71"/>
  <c r="H38" i="71" s="1"/>
  <c r="C39" i="71"/>
  <c r="H39" i="71" s="1"/>
  <c r="C42" i="71"/>
  <c r="H42" i="71" s="1"/>
  <c r="C43" i="71"/>
  <c r="H43" i="71" s="1"/>
  <c r="C44" i="71"/>
  <c r="H44" i="71" s="1"/>
  <c r="C10" i="71"/>
  <c r="H10" i="71" s="1"/>
  <c r="C11" i="71"/>
  <c r="H11" i="71" s="1"/>
  <c r="C12" i="71"/>
  <c r="H12" i="71" s="1"/>
  <c r="C13" i="71"/>
  <c r="C14" i="71"/>
  <c r="C15" i="71"/>
  <c r="C16" i="71"/>
  <c r="C17" i="71"/>
  <c r="H17" i="71" s="1"/>
  <c r="C18" i="71"/>
  <c r="H18" i="71" s="1"/>
  <c r="D46" i="71"/>
  <c r="D24" i="71"/>
  <c r="D32" i="71"/>
  <c r="D40" i="71"/>
  <c r="D19" i="71"/>
  <c r="E12" i="71" s="1"/>
  <c r="C45" i="71"/>
  <c r="C7" i="71"/>
  <c r="E4" i="71"/>
  <c r="C21" i="70"/>
  <c r="H21" i="70" s="1"/>
  <c r="G4" i="70"/>
  <c r="C22" i="70"/>
  <c r="H22" i="70" s="1"/>
  <c r="C23" i="70"/>
  <c r="C26" i="70"/>
  <c r="H26" i="70" s="1"/>
  <c r="C27" i="70"/>
  <c r="H27" i="70" s="1"/>
  <c r="C28" i="70"/>
  <c r="H28" i="70" s="1"/>
  <c r="C29" i="70"/>
  <c r="H29" i="70" s="1"/>
  <c r="C30" i="70"/>
  <c r="H30" i="70" s="1"/>
  <c r="C31" i="70"/>
  <c r="H31" i="70" s="1"/>
  <c r="C34" i="70"/>
  <c r="C35" i="70"/>
  <c r="H35" i="70" s="1"/>
  <c r="C36" i="70"/>
  <c r="H36" i="70" s="1"/>
  <c r="C37" i="70"/>
  <c r="H37" i="70" s="1"/>
  <c r="C38" i="70"/>
  <c r="H38" i="70" s="1"/>
  <c r="C39" i="70"/>
  <c r="H39" i="70" s="1"/>
  <c r="C42" i="70"/>
  <c r="H42" i="70" s="1"/>
  <c r="C43" i="70"/>
  <c r="C44" i="70"/>
  <c r="H44" i="70" s="1"/>
  <c r="C10" i="70"/>
  <c r="H10" i="70" s="1"/>
  <c r="C11" i="70"/>
  <c r="C12" i="70"/>
  <c r="H12" i="70" s="1"/>
  <c r="C13" i="70"/>
  <c r="H13" i="70" s="1"/>
  <c r="C14" i="70"/>
  <c r="C15" i="70"/>
  <c r="H15" i="70" s="1"/>
  <c r="C16" i="70"/>
  <c r="H16" i="70" s="1"/>
  <c r="C17" i="70"/>
  <c r="H17" i="70" s="1"/>
  <c r="C18" i="70"/>
  <c r="H18" i="70" s="1"/>
  <c r="D46" i="70"/>
  <c r="D24" i="70"/>
  <c r="D32" i="70"/>
  <c r="D40" i="70"/>
  <c r="D19" i="70"/>
  <c r="C45" i="70"/>
  <c r="C7" i="70"/>
  <c r="E4" i="70"/>
  <c r="C21" i="69"/>
  <c r="H21" i="69" s="1"/>
  <c r="G4" i="69"/>
  <c r="C22" i="69"/>
  <c r="H22" i="69" s="1"/>
  <c r="C23" i="69"/>
  <c r="H23" i="69" s="1"/>
  <c r="C26" i="69"/>
  <c r="H26" i="69" s="1"/>
  <c r="C27" i="69"/>
  <c r="C28" i="69"/>
  <c r="H28" i="69" s="1"/>
  <c r="C29" i="69"/>
  <c r="H29" i="69" s="1"/>
  <c r="C30" i="69"/>
  <c r="H30" i="69" s="1"/>
  <c r="C31" i="69"/>
  <c r="H31" i="69" s="1"/>
  <c r="C34" i="69"/>
  <c r="C35" i="69"/>
  <c r="H35" i="69" s="1"/>
  <c r="C36" i="69"/>
  <c r="H36" i="69" s="1"/>
  <c r="C37" i="69"/>
  <c r="H37" i="69" s="1"/>
  <c r="C38" i="69"/>
  <c r="H38" i="69" s="1"/>
  <c r="C39" i="69"/>
  <c r="H39" i="69" s="1"/>
  <c r="C42" i="69"/>
  <c r="H42" i="69" s="1"/>
  <c r="C43" i="69"/>
  <c r="C44" i="69"/>
  <c r="H44" i="69" s="1"/>
  <c r="C10" i="69"/>
  <c r="H10" i="69" s="1"/>
  <c r="C11" i="69"/>
  <c r="H11" i="69" s="1"/>
  <c r="C12" i="69"/>
  <c r="C13" i="69"/>
  <c r="H13" i="69" s="1"/>
  <c r="C14" i="69"/>
  <c r="H14" i="69" s="1"/>
  <c r="C15" i="69"/>
  <c r="H15" i="69" s="1"/>
  <c r="C16" i="69"/>
  <c r="C17" i="69"/>
  <c r="H17" i="69" s="1"/>
  <c r="C18" i="69"/>
  <c r="H18" i="69" s="1"/>
  <c r="D46" i="69"/>
  <c r="D24" i="69"/>
  <c r="D40" i="69"/>
  <c r="D19" i="69"/>
  <c r="C45" i="69"/>
  <c r="C7" i="69"/>
  <c r="E4" i="69"/>
  <c r="C21" i="68"/>
  <c r="H21" i="68" s="1"/>
  <c r="G4" i="68"/>
  <c r="C22" i="68"/>
  <c r="C23" i="68"/>
  <c r="H23" i="68" s="1"/>
  <c r="C26" i="68"/>
  <c r="H26" i="68" s="1"/>
  <c r="C27" i="68"/>
  <c r="C28" i="68"/>
  <c r="C29" i="68"/>
  <c r="H29" i="68" s="1"/>
  <c r="C30" i="68"/>
  <c r="C31" i="68"/>
  <c r="H31" i="68" s="1"/>
  <c r="C34" i="68"/>
  <c r="C35" i="68"/>
  <c r="H35" i="68" s="1"/>
  <c r="C36" i="68"/>
  <c r="C37" i="68"/>
  <c r="H37" i="68" s="1"/>
  <c r="C38" i="68"/>
  <c r="H38" i="68" s="1"/>
  <c r="C39" i="68"/>
  <c r="H39" i="68" s="1"/>
  <c r="C42" i="68"/>
  <c r="H42" i="68" s="1"/>
  <c r="C43" i="68"/>
  <c r="H43" i="68" s="1"/>
  <c r="C44" i="68"/>
  <c r="C10" i="68"/>
  <c r="H10" i="68" s="1"/>
  <c r="C11" i="68"/>
  <c r="H11" i="68" s="1"/>
  <c r="C12" i="68"/>
  <c r="H12" i="68" s="1"/>
  <c r="C13" i="68"/>
  <c r="C14" i="68"/>
  <c r="H14" i="68" s="1"/>
  <c r="C15" i="68"/>
  <c r="H15" i="68" s="1"/>
  <c r="C16" i="68"/>
  <c r="H16" i="68" s="1"/>
  <c r="C17" i="68"/>
  <c r="C18" i="68"/>
  <c r="H18" i="68" s="1"/>
  <c r="D24" i="68"/>
  <c r="D40" i="68"/>
  <c r="D19" i="68"/>
  <c r="E19" i="68" s="1"/>
  <c r="C45" i="68"/>
  <c r="C7" i="68"/>
  <c r="E4" i="68"/>
  <c r="C21" i="67"/>
  <c r="H21" i="67" s="1"/>
  <c r="G4" i="67"/>
  <c r="C22" i="67"/>
  <c r="H22" i="67" s="1"/>
  <c r="C23" i="67"/>
  <c r="H23" i="67" s="1"/>
  <c r="C26" i="67"/>
  <c r="H26" i="67" s="1"/>
  <c r="C27" i="67"/>
  <c r="C28" i="67"/>
  <c r="H28" i="67" s="1"/>
  <c r="C29" i="67"/>
  <c r="H29" i="67" s="1"/>
  <c r="C30" i="67"/>
  <c r="H30" i="67" s="1"/>
  <c r="C31" i="67"/>
  <c r="C34" i="67"/>
  <c r="C35" i="67"/>
  <c r="H35" i="67" s="1"/>
  <c r="C36" i="67"/>
  <c r="H36" i="67" s="1"/>
  <c r="C37" i="67"/>
  <c r="H37" i="67" s="1"/>
  <c r="C38" i="67"/>
  <c r="H38" i="67" s="1"/>
  <c r="C39" i="67"/>
  <c r="H39" i="67" s="1"/>
  <c r="C42" i="67"/>
  <c r="H42" i="67" s="1"/>
  <c r="C43" i="67"/>
  <c r="H43" i="67" s="1"/>
  <c r="C44" i="67"/>
  <c r="H44" i="67" s="1"/>
  <c r="C10" i="67"/>
  <c r="H10" i="67" s="1"/>
  <c r="C11" i="67"/>
  <c r="C12" i="67"/>
  <c r="C13" i="67"/>
  <c r="H13" i="67" s="1"/>
  <c r="C14" i="67"/>
  <c r="H14" i="67" s="1"/>
  <c r="C15" i="67"/>
  <c r="H15" i="67" s="1"/>
  <c r="C16" i="67"/>
  <c r="H16" i="67" s="1"/>
  <c r="C17" i="67"/>
  <c r="H17" i="67" s="1"/>
  <c r="C18" i="67"/>
  <c r="H18" i="67" s="1"/>
  <c r="D46" i="67"/>
  <c r="D24" i="67"/>
  <c r="D32" i="67"/>
  <c r="D40" i="67"/>
  <c r="D19" i="67"/>
  <c r="E13" i="67" s="1"/>
  <c r="C45" i="67"/>
  <c r="C7" i="67"/>
  <c r="E4" i="67"/>
  <c r="C21" i="66"/>
  <c r="H21" i="66" s="1"/>
  <c r="G4" i="66"/>
  <c r="C22" i="66"/>
  <c r="H22" i="66" s="1"/>
  <c r="C23" i="66"/>
  <c r="H23" i="66" s="1"/>
  <c r="C26" i="66"/>
  <c r="H26" i="66" s="1"/>
  <c r="C27" i="66"/>
  <c r="C28" i="66"/>
  <c r="C29" i="66"/>
  <c r="H29" i="66" s="1"/>
  <c r="C30" i="66"/>
  <c r="H30" i="66" s="1"/>
  <c r="C31" i="66"/>
  <c r="H31" i="66" s="1"/>
  <c r="C34" i="66"/>
  <c r="H34" i="66" s="1"/>
  <c r="C35" i="66"/>
  <c r="H35" i="66" s="1"/>
  <c r="C36" i="66"/>
  <c r="H36" i="66" s="1"/>
  <c r="C37" i="66"/>
  <c r="H37" i="66" s="1"/>
  <c r="C38" i="66"/>
  <c r="H38" i="66" s="1"/>
  <c r="C39" i="66"/>
  <c r="H39" i="66" s="1"/>
  <c r="C42" i="66"/>
  <c r="H42" i="66" s="1"/>
  <c r="C43" i="66"/>
  <c r="C44" i="66"/>
  <c r="H44" i="66" s="1"/>
  <c r="C10" i="66"/>
  <c r="H10" i="66" s="1"/>
  <c r="C11" i="66"/>
  <c r="C12" i="66"/>
  <c r="H12" i="66" s="1"/>
  <c r="C13" i="66"/>
  <c r="H13" i="66" s="1"/>
  <c r="C14" i="66"/>
  <c r="H14" i="66" s="1"/>
  <c r="C15" i="66"/>
  <c r="C16" i="66"/>
  <c r="H16" i="66" s="1"/>
  <c r="C17" i="66"/>
  <c r="H17" i="66" s="1"/>
  <c r="C18" i="66"/>
  <c r="D46" i="66"/>
  <c r="D24" i="66"/>
  <c r="D32" i="66"/>
  <c r="D40" i="66"/>
  <c r="D19" i="66"/>
  <c r="E13" i="66" s="1"/>
  <c r="C45" i="66"/>
  <c r="C7" i="66"/>
  <c r="E4" i="66"/>
  <c r="C21" i="65"/>
  <c r="H21" i="65" s="1"/>
  <c r="G4" i="65"/>
  <c r="C22" i="65"/>
  <c r="H22" i="65" s="1"/>
  <c r="C23" i="65"/>
  <c r="H23" i="65" s="1"/>
  <c r="C26" i="65"/>
  <c r="H26" i="65" s="1"/>
  <c r="C27" i="65"/>
  <c r="H27" i="65" s="1"/>
  <c r="C28" i="65"/>
  <c r="C29" i="65"/>
  <c r="H29" i="65" s="1"/>
  <c r="C30" i="65"/>
  <c r="C31" i="65"/>
  <c r="H31" i="65" s="1"/>
  <c r="C34" i="65"/>
  <c r="H34" i="65" s="1"/>
  <c r="C35" i="65"/>
  <c r="H35" i="65" s="1"/>
  <c r="C36" i="65"/>
  <c r="C37" i="65"/>
  <c r="H37" i="65" s="1"/>
  <c r="C38" i="65"/>
  <c r="H38" i="65" s="1"/>
  <c r="C39" i="65"/>
  <c r="H39" i="65" s="1"/>
  <c r="C42" i="65"/>
  <c r="C43" i="65"/>
  <c r="H43" i="65" s="1"/>
  <c r="C44" i="65"/>
  <c r="H44" i="65" s="1"/>
  <c r="C10" i="65"/>
  <c r="H10" i="65" s="1"/>
  <c r="C11" i="65"/>
  <c r="C12" i="65"/>
  <c r="H12" i="65" s="1"/>
  <c r="C13" i="65"/>
  <c r="H13" i="65" s="1"/>
  <c r="C14" i="65"/>
  <c r="H14" i="65" s="1"/>
  <c r="C15" i="65"/>
  <c r="C16" i="65"/>
  <c r="H16" i="65" s="1"/>
  <c r="C17" i="65"/>
  <c r="H17" i="65" s="1"/>
  <c r="C18" i="65"/>
  <c r="H18" i="65" s="1"/>
  <c r="D46" i="65"/>
  <c r="D24" i="65"/>
  <c r="D32" i="65"/>
  <c r="D40" i="65"/>
  <c r="C45" i="65"/>
  <c r="C7" i="65"/>
  <c r="E4" i="65"/>
  <c r="C21" i="64"/>
  <c r="H21" i="64" s="1"/>
  <c r="G4" i="64"/>
  <c r="C22" i="64"/>
  <c r="H22" i="64" s="1"/>
  <c r="C23" i="64"/>
  <c r="H23" i="64" s="1"/>
  <c r="C26" i="64"/>
  <c r="H26" i="64" s="1"/>
  <c r="C27" i="64"/>
  <c r="C28" i="64"/>
  <c r="H28" i="64" s="1"/>
  <c r="C29" i="64"/>
  <c r="H29" i="64" s="1"/>
  <c r="C30" i="64"/>
  <c r="H30" i="64" s="1"/>
  <c r="C31" i="64"/>
  <c r="C34" i="64"/>
  <c r="H34" i="64" s="1"/>
  <c r="C35" i="64"/>
  <c r="H35" i="64" s="1"/>
  <c r="C36" i="64"/>
  <c r="H36" i="64" s="1"/>
  <c r="C37" i="64"/>
  <c r="C38" i="64"/>
  <c r="H38" i="64" s="1"/>
  <c r="C39" i="64"/>
  <c r="H39" i="64" s="1"/>
  <c r="C42" i="64"/>
  <c r="H42" i="64" s="1"/>
  <c r="C43" i="64"/>
  <c r="C44" i="64"/>
  <c r="H44" i="64" s="1"/>
  <c r="C10" i="64"/>
  <c r="H10" i="64" s="1"/>
  <c r="C11" i="64"/>
  <c r="H11" i="64" s="1"/>
  <c r="C12" i="64"/>
  <c r="C13" i="64"/>
  <c r="H13" i="64" s="1"/>
  <c r="C14" i="64"/>
  <c r="C15" i="64"/>
  <c r="H15" i="64" s="1"/>
  <c r="C16" i="64"/>
  <c r="C17" i="64"/>
  <c r="H17" i="64" s="1"/>
  <c r="C18" i="64"/>
  <c r="H18" i="64" s="1"/>
  <c r="D46" i="64"/>
  <c r="D24" i="64"/>
  <c r="D32" i="64"/>
  <c r="D40" i="64"/>
  <c r="D19" i="64"/>
  <c r="E16" i="64" s="1"/>
  <c r="C45" i="64"/>
  <c r="C7" i="64"/>
  <c r="E4" i="64"/>
  <c r="C21" i="63"/>
  <c r="H21" i="63" s="1"/>
  <c r="G4" i="63"/>
  <c r="C22" i="63"/>
  <c r="H22" i="63" s="1"/>
  <c r="C23" i="63"/>
  <c r="H23" i="63" s="1"/>
  <c r="C26" i="63"/>
  <c r="H26" i="63" s="1"/>
  <c r="C27" i="63"/>
  <c r="C28" i="63"/>
  <c r="H28" i="63" s="1"/>
  <c r="C29" i="63"/>
  <c r="H29" i="63" s="1"/>
  <c r="C30" i="63"/>
  <c r="H30" i="63" s="1"/>
  <c r="C31" i="63"/>
  <c r="C34" i="63"/>
  <c r="H34" i="63" s="1"/>
  <c r="C35" i="63"/>
  <c r="H35" i="63" s="1"/>
  <c r="C36" i="63"/>
  <c r="H36" i="63" s="1"/>
  <c r="C37" i="63"/>
  <c r="H37" i="63" s="1"/>
  <c r="C38" i="63"/>
  <c r="C39" i="63"/>
  <c r="H39" i="63" s="1"/>
  <c r="C42" i="63"/>
  <c r="H42" i="63" s="1"/>
  <c r="C43" i="63"/>
  <c r="C44" i="63"/>
  <c r="H44" i="63" s="1"/>
  <c r="C10" i="63"/>
  <c r="H10" i="63" s="1"/>
  <c r="C11" i="63"/>
  <c r="H11" i="63" s="1"/>
  <c r="C12" i="63"/>
  <c r="H12" i="63" s="1"/>
  <c r="C13" i="63"/>
  <c r="C14" i="63"/>
  <c r="H14" i="63" s="1"/>
  <c r="C15" i="63"/>
  <c r="H15" i="63" s="1"/>
  <c r="C16" i="63"/>
  <c r="H16" i="63" s="1"/>
  <c r="C17" i="63"/>
  <c r="H17" i="63" s="1"/>
  <c r="C18" i="63"/>
  <c r="H18" i="63" s="1"/>
  <c r="D46" i="63"/>
  <c r="D24" i="63"/>
  <c r="D32" i="63"/>
  <c r="D40" i="63"/>
  <c r="D19" i="63"/>
  <c r="E15" i="63" s="1"/>
  <c r="C45" i="63"/>
  <c r="C7" i="63"/>
  <c r="E4" i="63"/>
  <c r="C21" i="62"/>
  <c r="H21" i="62" s="1"/>
  <c r="G4" i="62"/>
  <c r="C22" i="62"/>
  <c r="H22" i="62" s="1"/>
  <c r="C23" i="62"/>
  <c r="H23" i="62" s="1"/>
  <c r="C26" i="62"/>
  <c r="H26" i="62" s="1"/>
  <c r="C27" i="62"/>
  <c r="H27" i="62" s="1"/>
  <c r="C28" i="62"/>
  <c r="H28" i="62" s="1"/>
  <c r="C29" i="62"/>
  <c r="H29" i="62" s="1"/>
  <c r="C30" i="62"/>
  <c r="H30" i="62" s="1"/>
  <c r="C31" i="62"/>
  <c r="C34" i="62"/>
  <c r="C35" i="62"/>
  <c r="H35" i="62" s="1"/>
  <c r="C36" i="62"/>
  <c r="H36" i="62" s="1"/>
  <c r="C37" i="62"/>
  <c r="H37" i="62" s="1"/>
  <c r="C38" i="62"/>
  <c r="C39" i="62"/>
  <c r="C42" i="62"/>
  <c r="C43" i="62"/>
  <c r="C44" i="62"/>
  <c r="H44" i="62" s="1"/>
  <c r="C10" i="62"/>
  <c r="H10" i="62" s="1"/>
  <c r="C11" i="62"/>
  <c r="H11" i="62" s="1"/>
  <c r="C12" i="62"/>
  <c r="H12" i="62" s="1"/>
  <c r="C13" i="62"/>
  <c r="H13" i="62" s="1"/>
  <c r="C14" i="62"/>
  <c r="C15" i="62"/>
  <c r="H15" i="62" s="1"/>
  <c r="C16" i="62"/>
  <c r="H16" i="62" s="1"/>
  <c r="C17" i="62"/>
  <c r="H17" i="62" s="1"/>
  <c r="C18" i="62"/>
  <c r="H18" i="62" s="1"/>
  <c r="D24" i="62"/>
  <c r="D32" i="62"/>
  <c r="D19" i="62"/>
  <c r="E15" i="62" s="1"/>
  <c r="C45" i="62"/>
  <c r="C7" i="62"/>
  <c r="E4" i="62"/>
  <c r="C21" i="61"/>
  <c r="H21" i="61" s="1"/>
  <c r="G4" i="61"/>
  <c r="C22" i="61"/>
  <c r="H22" i="61" s="1"/>
  <c r="C23" i="61"/>
  <c r="H23" i="61" s="1"/>
  <c r="C26" i="61"/>
  <c r="H26" i="61" s="1"/>
  <c r="C27" i="61"/>
  <c r="H27" i="61" s="1"/>
  <c r="C28" i="61"/>
  <c r="C29" i="61"/>
  <c r="C30" i="61"/>
  <c r="H30" i="61" s="1"/>
  <c r="C31" i="61"/>
  <c r="H31" i="61" s="1"/>
  <c r="C34" i="61"/>
  <c r="H34" i="61" s="1"/>
  <c r="C35" i="61"/>
  <c r="H35" i="61" s="1"/>
  <c r="C36" i="61"/>
  <c r="H36" i="61" s="1"/>
  <c r="C37" i="61"/>
  <c r="H37" i="61" s="1"/>
  <c r="C38" i="61"/>
  <c r="H38" i="61" s="1"/>
  <c r="C39" i="61"/>
  <c r="H39" i="61" s="1"/>
  <c r="C42" i="61"/>
  <c r="H42" i="61" s="1"/>
  <c r="C43" i="61"/>
  <c r="H43" i="61" s="1"/>
  <c r="C44" i="61"/>
  <c r="C10" i="61"/>
  <c r="C11" i="61"/>
  <c r="H11" i="61" s="1"/>
  <c r="C12" i="61"/>
  <c r="H12" i="61" s="1"/>
  <c r="C13" i="61"/>
  <c r="C14" i="61"/>
  <c r="H14" i="61" s="1"/>
  <c r="C15" i="61"/>
  <c r="H15" i="61" s="1"/>
  <c r="C16" i="61"/>
  <c r="H16" i="61" s="1"/>
  <c r="C17" i="61"/>
  <c r="H17" i="61" s="1"/>
  <c r="C18" i="61"/>
  <c r="H18" i="61" s="1"/>
  <c r="D46" i="61"/>
  <c r="D24" i="61"/>
  <c r="D32" i="61"/>
  <c r="D40" i="61"/>
  <c r="D19" i="61"/>
  <c r="C45" i="61"/>
  <c r="C7" i="61"/>
  <c r="E4" i="61"/>
  <c r="C21" i="60"/>
  <c r="H21" i="60" s="1"/>
  <c r="G4" i="60"/>
  <c r="C22" i="60"/>
  <c r="C23" i="60"/>
  <c r="H23" i="60"/>
  <c r="C26" i="60"/>
  <c r="H26" i="60" s="1"/>
  <c r="C27" i="60"/>
  <c r="C28" i="60"/>
  <c r="H28" i="60" s="1"/>
  <c r="C29" i="60"/>
  <c r="H29" i="60" s="1"/>
  <c r="C30" i="60"/>
  <c r="H30" i="60" s="1"/>
  <c r="C31" i="60"/>
  <c r="H31" i="60" s="1"/>
  <c r="C34" i="60"/>
  <c r="H34" i="60" s="1"/>
  <c r="C35" i="60"/>
  <c r="H35" i="60" s="1"/>
  <c r="C36" i="60"/>
  <c r="H36" i="60" s="1"/>
  <c r="C37" i="60"/>
  <c r="H37" i="60" s="1"/>
  <c r="C38" i="60"/>
  <c r="H38" i="60" s="1"/>
  <c r="C39" i="60"/>
  <c r="H39" i="60" s="1"/>
  <c r="C42" i="60"/>
  <c r="H42" i="60" s="1"/>
  <c r="C43" i="60"/>
  <c r="H43" i="60" s="1"/>
  <c r="C44" i="60"/>
  <c r="C10" i="60"/>
  <c r="H10" i="60" s="1"/>
  <c r="C11" i="60"/>
  <c r="H11" i="60" s="1"/>
  <c r="C12" i="60"/>
  <c r="H12" i="60" s="1"/>
  <c r="C13" i="60"/>
  <c r="H13" i="60" s="1"/>
  <c r="C14" i="60"/>
  <c r="H14" i="60" s="1"/>
  <c r="C15" i="60"/>
  <c r="H15" i="60" s="1"/>
  <c r="C16" i="60"/>
  <c r="C17" i="60"/>
  <c r="H17" i="60" s="1"/>
  <c r="C18" i="60"/>
  <c r="H18" i="60" s="1"/>
  <c r="D46" i="60"/>
  <c r="D24" i="60"/>
  <c r="D32" i="60"/>
  <c r="D40" i="60"/>
  <c r="D19" i="60"/>
  <c r="C45" i="60"/>
  <c r="C7" i="60"/>
  <c r="E4" i="60"/>
  <c r="C21" i="59"/>
  <c r="H21" i="59" s="1"/>
  <c r="G4" i="59"/>
  <c r="C22" i="59"/>
  <c r="H22" i="59" s="1"/>
  <c r="C23" i="59"/>
  <c r="H23" i="59" s="1"/>
  <c r="C26" i="59"/>
  <c r="H26" i="59" s="1"/>
  <c r="C27" i="59"/>
  <c r="H27" i="59" s="1"/>
  <c r="C28" i="59"/>
  <c r="C29" i="59"/>
  <c r="H29" i="59" s="1"/>
  <c r="C30" i="59"/>
  <c r="H30" i="59" s="1"/>
  <c r="C31" i="59"/>
  <c r="C34" i="59"/>
  <c r="C35" i="59"/>
  <c r="H35" i="59" s="1"/>
  <c r="C36" i="59"/>
  <c r="H36" i="59" s="1"/>
  <c r="C37" i="59"/>
  <c r="H37" i="59" s="1"/>
  <c r="C38" i="59"/>
  <c r="H38" i="59" s="1"/>
  <c r="C39" i="59"/>
  <c r="H39" i="59" s="1"/>
  <c r="C42" i="59"/>
  <c r="H42" i="59" s="1"/>
  <c r="C43" i="59"/>
  <c r="C44" i="59"/>
  <c r="H44" i="59" s="1"/>
  <c r="C10" i="59"/>
  <c r="H10" i="59" s="1"/>
  <c r="C11" i="59"/>
  <c r="H11" i="59" s="1"/>
  <c r="C12" i="59"/>
  <c r="C13" i="59"/>
  <c r="H13" i="59" s="1"/>
  <c r="C14" i="59"/>
  <c r="H14" i="59" s="1"/>
  <c r="C15" i="59"/>
  <c r="C16" i="59"/>
  <c r="H16" i="59" s="1"/>
  <c r="C17" i="59"/>
  <c r="C18" i="59"/>
  <c r="H18" i="59" s="1"/>
  <c r="D46" i="59"/>
  <c r="D24" i="59"/>
  <c r="D32" i="59"/>
  <c r="D19" i="59"/>
  <c r="C45" i="59"/>
  <c r="C7" i="59"/>
  <c r="E4" i="59"/>
  <c r="C21" i="58"/>
  <c r="H21" i="58" s="1"/>
  <c r="G4" i="58"/>
  <c r="C22" i="58"/>
  <c r="H22" i="58" s="1"/>
  <c r="C23" i="58"/>
  <c r="H23" i="58" s="1"/>
  <c r="C26" i="58"/>
  <c r="H26" i="58" s="1"/>
  <c r="C27" i="58"/>
  <c r="H27" i="58" s="1"/>
  <c r="C28" i="58"/>
  <c r="H28" i="58" s="1"/>
  <c r="C29" i="58"/>
  <c r="C30" i="58"/>
  <c r="H30" i="58" s="1"/>
  <c r="C31" i="58"/>
  <c r="H31" i="58" s="1"/>
  <c r="C34" i="58"/>
  <c r="C35" i="58"/>
  <c r="C36" i="58"/>
  <c r="H36" i="58" s="1"/>
  <c r="C37" i="58"/>
  <c r="H37" i="58" s="1"/>
  <c r="C38" i="58"/>
  <c r="H38" i="58" s="1"/>
  <c r="C39" i="58"/>
  <c r="C42" i="58"/>
  <c r="H42" i="58" s="1"/>
  <c r="C43" i="58"/>
  <c r="H43" i="58" s="1"/>
  <c r="C44" i="58"/>
  <c r="H44" i="58" s="1"/>
  <c r="C10" i="58"/>
  <c r="C11" i="58"/>
  <c r="H11" i="58" s="1"/>
  <c r="C12" i="58"/>
  <c r="H12" i="58" s="1"/>
  <c r="C13" i="58"/>
  <c r="H13" i="58" s="1"/>
  <c r="C14" i="58"/>
  <c r="H14" i="58" s="1"/>
  <c r="C15" i="58"/>
  <c r="H15" i="58" s="1"/>
  <c r="C16" i="58"/>
  <c r="H16" i="58" s="1"/>
  <c r="C17" i="58"/>
  <c r="H17" i="58" s="1"/>
  <c r="C18" i="58"/>
  <c r="D46" i="58"/>
  <c r="D24" i="58"/>
  <c r="D32" i="58"/>
  <c r="D19" i="58"/>
  <c r="E15" i="58" s="1"/>
  <c r="C45" i="58"/>
  <c r="C7" i="58"/>
  <c r="E4" i="58"/>
  <c r="C21" i="57"/>
  <c r="H21" i="57" s="1"/>
  <c r="G4" i="57"/>
  <c r="C22" i="57"/>
  <c r="H22" i="57" s="1"/>
  <c r="C23" i="57"/>
  <c r="H23" i="57" s="1"/>
  <c r="C26" i="57"/>
  <c r="H26" i="57" s="1"/>
  <c r="C27" i="57"/>
  <c r="H27" i="57" s="1"/>
  <c r="C28" i="57"/>
  <c r="H28" i="57" s="1"/>
  <c r="C29" i="57"/>
  <c r="H29" i="57" s="1"/>
  <c r="C30" i="57"/>
  <c r="C31" i="57"/>
  <c r="H31" i="57" s="1"/>
  <c r="C34" i="57"/>
  <c r="H34" i="57" s="1"/>
  <c r="C35" i="57"/>
  <c r="H35" i="57" s="1"/>
  <c r="C36" i="57"/>
  <c r="C37" i="57"/>
  <c r="H37" i="57" s="1"/>
  <c r="C38" i="57"/>
  <c r="H38" i="57" s="1"/>
  <c r="C39" i="57"/>
  <c r="H39" i="57" s="1"/>
  <c r="C42" i="57"/>
  <c r="H42" i="57" s="1"/>
  <c r="C43" i="57"/>
  <c r="H43" i="57" s="1"/>
  <c r="C44" i="57"/>
  <c r="H44" i="57" s="1"/>
  <c r="C10" i="57"/>
  <c r="H10" i="57" s="1"/>
  <c r="C11" i="57"/>
  <c r="H11" i="57" s="1"/>
  <c r="C12" i="57"/>
  <c r="H12" i="57" s="1"/>
  <c r="C13" i="57"/>
  <c r="H13" i="57" s="1"/>
  <c r="C14" i="57"/>
  <c r="C15" i="57"/>
  <c r="H15" i="57" s="1"/>
  <c r="C16" i="57"/>
  <c r="H16" i="57" s="1"/>
  <c r="C17" i="57"/>
  <c r="C18" i="57"/>
  <c r="H18" i="57" s="1"/>
  <c r="D46" i="57"/>
  <c r="D24" i="57"/>
  <c r="D32" i="57"/>
  <c r="D40" i="57"/>
  <c r="D19" i="57"/>
  <c r="C45" i="57"/>
  <c r="C7" i="57"/>
  <c r="E4" i="57"/>
  <c r="C21" i="56"/>
  <c r="H21" i="56" s="1"/>
  <c r="G4" i="56"/>
  <c r="C22" i="56"/>
  <c r="H22" i="56" s="1"/>
  <c r="H24" i="56" s="1"/>
  <c r="C23" i="56"/>
  <c r="H23" i="56" s="1"/>
  <c r="C26" i="56"/>
  <c r="C27" i="56"/>
  <c r="H27" i="56" s="1"/>
  <c r="C28" i="56"/>
  <c r="H28" i="56" s="1"/>
  <c r="C29" i="56"/>
  <c r="H29" i="56" s="1"/>
  <c r="C30" i="56"/>
  <c r="H30" i="56" s="1"/>
  <c r="C31" i="56"/>
  <c r="H31" i="56" s="1"/>
  <c r="C34" i="56"/>
  <c r="H34" i="56" s="1"/>
  <c r="C35" i="56"/>
  <c r="H35" i="56" s="1"/>
  <c r="C36" i="56"/>
  <c r="H36" i="56" s="1"/>
  <c r="C37" i="56"/>
  <c r="H37" i="56" s="1"/>
  <c r="C38" i="56"/>
  <c r="H38" i="56" s="1"/>
  <c r="C39" i="56"/>
  <c r="H39" i="56" s="1"/>
  <c r="C42" i="56"/>
  <c r="H42" i="56" s="1"/>
  <c r="C43" i="56"/>
  <c r="H43" i="56" s="1"/>
  <c r="C44" i="56"/>
  <c r="H44" i="56" s="1"/>
  <c r="C10" i="56"/>
  <c r="H10" i="56" s="1"/>
  <c r="C11" i="56"/>
  <c r="H11" i="56" s="1"/>
  <c r="C12" i="56"/>
  <c r="H12" i="56" s="1"/>
  <c r="C13" i="56"/>
  <c r="H13" i="56" s="1"/>
  <c r="C14" i="56"/>
  <c r="C15" i="56"/>
  <c r="H15" i="56" s="1"/>
  <c r="C16" i="56"/>
  <c r="H16" i="56" s="1"/>
  <c r="C17" i="56"/>
  <c r="H17" i="56" s="1"/>
  <c r="C18" i="56"/>
  <c r="H18" i="56" s="1"/>
  <c r="D46" i="56"/>
  <c r="D24" i="56"/>
  <c r="D40" i="56"/>
  <c r="D19" i="56"/>
  <c r="E13" i="56" s="1"/>
  <c r="C45" i="56"/>
  <c r="C7" i="56"/>
  <c r="E4" i="56"/>
  <c r="C21" i="55"/>
  <c r="H21" i="55" s="1"/>
  <c r="G4" i="55"/>
  <c r="C22" i="55"/>
  <c r="H22" i="55" s="1"/>
  <c r="C23" i="55"/>
  <c r="H23" i="55" s="1"/>
  <c r="C26" i="55"/>
  <c r="C27" i="55"/>
  <c r="H27" i="55" s="1"/>
  <c r="C28" i="55"/>
  <c r="H28" i="55" s="1"/>
  <c r="C29" i="55"/>
  <c r="H29" i="55" s="1"/>
  <c r="C30" i="55"/>
  <c r="H30" i="55" s="1"/>
  <c r="C31" i="55"/>
  <c r="H31" i="55" s="1"/>
  <c r="C34" i="55"/>
  <c r="H34" i="55" s="1"/>
  <c r="C35" i="55"/>
  <c r="H35" i="55" s="1"/>
  <c r="C36" i="55"/>
  <c r="H36" i="55" s="1"/>
  <c r="C37" i="55"/>
  <c r="H37" i="55" s="1"/>
  <c r="C38" i="55"/>
  <c r="H38" i="55" s="1"/>
  <c r="C39" i="55"/>
  <c r="H39" i="55" s="1"/>
  <c r="C42" i="55"/>
  <c r="H42" i="55" s="1"/>
  <c r="C43" i="55"/>
  <c r="H43" i="55" s="1"/>
  <c r="C44" i="55"/>
  <c r="H44" i="55" s="1"/>
  <c r="H46" i="55" s="1"/>
  <c r="C10" i="55"/>
  <c r="H10" i="55" s="1"/>
  <c r="C11" i="55"/>
  <c r="H11" i="55" s="1"/>
  <c r="C12" i="55"/>
  <c r="H12" i="55" s="1"/>
  <c r="C13" i="55"/>
  <c r="H13" i="55" s="1"/>
  <c r="C14" i="55"/>
  <c r="H14" i="55" s="1"/>
  <c r="C15" i="55"/>
  <c r="H15" i="55" s="1"/>
  <c r="C16" i="55"/>
  <c r="H16" i="55" s="1"/>
  <c r="C17" i="55"/>
  <c r="H17" i="55" s="1"/>
  <c r="C18" i="55"/>
  <c r="H18" i="55" s="1"/>
  <c r="D46" i="55"/>
  <c r="D24" i="55"/>
  <c r="D32" i="55"/>
  <c r="D40" i="55"/>
  <c r="D19" i="55"/>
  <c r="E18" i="55" s="1"/>
  <c r="C45" i="55"/>
  <c r="C7" i="55"/>
  <c r="E4" i="55"/>
  <c r="C21" i="54"/>
  <c r="H21" i="54" s="1"/>
  <c r="C22" i="54"/>
  <c r="H22" i="54" s="1"/>
  <c r="C23" i="54"/>
  <c r="H23" i="54" s="1"/>
  <c r="C26" i="54"/>
  <c r="H26" i="54" s="1"/>
  <c r="C27" i="54"/>
  <c r="H27" i="54" s="1"/>
  <c r="C28" i="54"/>
  <c r="H28" i="54" s="1"/>
  <c r="C29" i="54"/>
  <c r="H29" i="54" s="1"/>
  <c r="C30" i="54"/>
  <c r="H30" i="54" s="1"/>
  <c r="C31" i="54"/>
  <c r="H31" i="54" s="1"/>
  <c r="C34" i="54"/>
  <c r="H34" i="54" s="1"/>
  <c r="C35" i="54"/>
  <c r="H35" i="54" s="1"/>
  <c r="C36" i="54"/>
  <c r="H36" i="54" s="1"/>
  <c r="C37" i="54"/>
  <c r="H37" i="54" s="1"/>
  <c r="C38" i="54"/>
  <c r="H38" i="54" s="1"/>
  <c r="C39" i="54"/>
  <c r="H39" i="54" s="1"/>
  <c r="C42" i="54"/>
  <c r="H42" i="54" s="1"/>
  <c r="C43" i="54"/>
  <c r="H43" i="54" s="1"/>
  <c r="C44" i="54"/>
  <c r="H44" i="54" s="1"/>
  <c r="C10" i="54"/>
  <c r="H10" i="54" s="1"/>
  <c r="C11" i="54"/>
  <c r="H11" i="54" s="1"/>
  <c r="C12" i="54"/>
  <c r="H12" i="54" s="1"/>
  <c r="C13" i="54"/>
  <c r="H13" i="54" s="1"/>
  <c r="C14" i="54"/>
  <c r="H14" i="54" s="1"/>
  <c r="C15" i="54"/>
  <c r="H15" i="54" s="1"/>
  <c r="C16" i="54"/>
  <c r="H16" i="54" s="1"/>
  <c r="C17" i="54"/>
  <c r="H17" i="54" s="1"/>
  <c r="C18" i="54"/>
  <c r="H18" i="54" s="1"/>
  <c r="D46" i="54"/>
  <c r="D24" i="54"/>
  <c r="D32" i="54"/>
  <c r="D40" i="54"/>
  <c r="D19" i="54"/>
  <c r="C45" i="54"/>
  <c r="C7" i="54"/>
  <c r="G2" i="53"/>
  <c r="G4" i="53" s="1"/>
  <c r="E3" i="53"/>
  <c r="D43" i="53"/>
  <c r="D44" i="53"/>
  <c r="D45" i="53"/>
  <c r="D42" i="53"/>
  <c r="D35" i="53"/>
  <c r="D36" i="53"/>
  <c r="D37" i="53"/>
  <c r="D38" i="53"/>
  <c r="D39" i="53"/>
  <c r="D34" i="53"/>
  <c r="D27" i="53"/>
  <c r="D28" i="53"/>
  <c r="D29" i="53"/>
  <c r="D30" i="53"/>
  <c r="D31" i="53"/>
  <c r="D26" i="49"/>
  <c r="D32" i="49" s="1"/>
  <c r="D26" i="47"/>
  <c r="D22" i="53"/>
  <c r="D23" i="53"/>
  <c r="D21" i="53"/>
  <c r="H21" i="53" s="1"/>
  <c r="D11" i="53"/>
  <c r="D12" i="53"/>
  <c r="D13" i="53"/>
  <c r="D14" i="53"/>
  <c r="D15" i="53"/>
  <c r="D16" i="53"/>
  <c r="D17" i="53"/>
  <c r="D18" i="53"/>
  <c r="D10" i="53"/>
  <c r="C21" i="53"/>
  <c r="C22" i="53"/>
  <c r="H22" i="53" s="1"/>
  <c r="C23" i="53"/>
  <c r="C26" i="53"/>
  <c r="C27" i="53"/>
  <c r="C28" i="53"/>
  <c r="C29" i="53"/>
  <c r="H29" i="53" s="1"/>
  <c r="C30" i="53"/>
  <c r="C31" i="53"/>
  <c r="C34" i="53"/>
  <c r="C35" i="53"/>
  <c r="H35" i="53" s="1"/>
  <c r="C36" i="53"/>
  <c r="C37" i="53"/>
  <c r="C38" i="53"/>
  <c r="C39" i="53"/>
  <c r="H39" i="53" s="1"/>
  <c r="C42" i="53"/>
  <c r="C43" i="53"/>
  <c r="H43" i="53" s="1"/>
  <c r="C44" i="53"/>
  <c r="H44" i="53" s="1"/>
  <c r="C10" i="53"/>
  <c r="C11" i="53"/>
  <c r="C12" i="53"/>
  <c r="C13" i="53"/>
  <c r="H13" i="53" s="1"/>
  <c r="C14" i="53"/>
  <c r="C15" i="53"/>
  <c r="C16" i="53"/>
  <c r="C17" i="53"/>
  <c r="H17" i="53" s="1"/>
  <c r="C18" i="53"/>
  <c r="C45" i="53"/>
  <c r="C7" i="53"/>
  <c r="C21" i="52"/>
  <c r="H21" i="52" s="1"/>
  <c r="G4" i="52"/>
  <c r="C22" i="52"/>
  <c r="C23" i="52"/>
  <c r="H23" i="52" s="1"/>
  <c r="C26" i="52"/>
  <c r="H26" i="52" s="1"/>
  <c r="C27" i="52"/>
  <c r="H27" i="52" s="1"/>
  <c r="C28" i="52"/>
  <c r="H28" i="52" s="1"/>
  <c r="C29" i="52"/>
  <c r="H29" i="52" s="1"/>
  <c r="C30" i="52"/>
  <c r="H30" i="52" s="1"/>
  <c r="C31" i="52"/>
  <c r="H31" i="52" s="1"/>
  <c r="C34" i="52"/>
  <c r="H34" i="52" s="1"/>
  <c r="C35" i="52"/>
  <c r="H35" i="52" s="1"/>
  <c r="C36" i="52"/>
  <c r="H36" i="52" s="1"/>
  <c r="C37" i="52"/>
  <c r="H37" i="52" s="1"/>
  <c r="C38" i="52"/>
  <c r="H38" i="52" s="1"/>
  <c r="C39" i="52"/>
  <c r="H39" i="52" s="1"/>
  <c r="C42" i="52"/>
  <c r="H42" i="52" s="1"/>
  <c r="C43" i="52"/>
  <c r="H43" i="52" s="1"/>
  <c r="C44" i="52"/>
  <c r="C10" i="52"/>
  <c r="H10" i="52" s="1"/>
  <c r="C11" i="52"/>
  <c r="H11" i="52" s="1"/>
  <c r="C12" i="52"/>
  <c r="H12" i="52" s="1"/>
  <c r="C13" i="52"/>
  <c r="C14" i="52"/>
  <c r="H14" i="52" s="1"/>
  <c r="C15" i="52"/>
  <c r="H15" i="52" s="1"/>
  <c r="C16" i="52"/>
  <c r="H16" i="52" s="1"/>
  <c r="C17" i="52"/>
  <c r="C18" i="52"/>
  <c r="H18" i="52" s="1"/>
  <c r="D46" i="52"/>
  <c r="D24" i="52"/>
  <c r="D32" i="52"/>
  <c r="D40" i="52"/>
  <c r="D19" i="52"/>
  <c r="C45" i="52"/>
  <c r="C7" i="52"/>
  <c r="E4" i="52"/>
  <c r="C21" i="51"/>
  <c r="H21" i="51" s="1"/>
  <c r="G4" i="51"/>
  <c r="C22" i="51"/>
  <c r="H22" i="51" s="1"/>
  <c r="C23" i="51"/>
  <c r="C26" i="51"/>
  <c r="H26" i="51" s="1"/>
  <c r="C27" i="51"/>
  <c r="H27" i="51" s="1"/>
  <c r="C28" i="51"/>
  <c r="H28" i="51" s="1"/>
  <c r="C29" i="51"/>
  <c r="H29" i="51" s="1"/>
  <c r="C30" i="51"/>
  <c r="H30" i="51" s="1"/>
  <c r="C31" i="51"/>
  <c r="H31" i="51" s="1"/>
  <c r="C34" i="51"/>
  <c r="C35" i="51"/>
  <c r="C36" i="51"/>
  <c r="H36" i="51" s="1"/>
  <c r="C37" i="51"/>
  <c r="H37" i="51" s="1"/>
  <c r="C38" i="51"/>
  <c r="C39" i="51"/>
  <c r="H39" i="51" s="1"/>
  <c r="C42" i="51"/>
  <c r="H42" i="51" s="1"/>
  <c r="C43" i="51"/>
  <c r="H43" i="51" s="1"/>
  <c r="C44" i="51"/>
  <c r="H44" i="51" s="1"/>
  <c r="C10" i="51"/>
  <c r="H10" i="51" s="1"/>
  <c r="C11" i="51"/>
  <c r="H11" i="51" s="1"/>
  <c r="C12" i="51"/>
  <c r="H12" i="51" s="1"/>
  <c r="C13" i="51"/>
  <c r="H13" i="51" s="1"/>
  <c r="C14" i="51"/>
  <c r="H14" i="51" s="1"/>
  <c r="C15" i="51"/>
  <c r="H15" i="51" s="1"/>
  <c r="C16" i="51"/>
  <c r="H16" i="51" s="1"/>
  <c r="C17" i="51"/>
  <c r="H17" i="51" s="1"/>
  <c r="C18" i="51"/>
  <c r="H18" i="51" s="1"/>
  <c r="D46" i="51"/>
  <c r="D24" i="51"/>
  <c r="D32" i="51"/>
  <c r="D40" i="51"/>
  <c r="D19" i="51"/>
  <c r="E13" i="51" s="1"/>
  <c r="C45" i="51"/>
  <c r="C7" i="51"/>
  <c r="E4" i="51"/>
  <c r="C21" i="50"/>
  <c r="H21" i="50" s="1"/>
  <c r="G4" i="50"/>
  <c r="C22" i="50"/>
  <c r="H22" i="50" s="1"/>
  <c r="C23" i="50"/>
  <c r="H23" i="50" s="1"/>
  <c r="C26" i="50"/>
  <c r="H26" i="50" s="1"/>
  <c r="C27" i="50"/>
  <c r="H27" i="50" s="1"/>
  <c r="C28" i="50"/>
  <c r="H28" i="50" s="1"/>
  <c r="C29" i="50"/>
  <c r="H29" i="50" s="1"/>
  <c r="C30" i="50"/>
  <c r="H30" i="50" s="1"/>
  <c r="C31" i="50"/>
  <c r="H31" i="50" s="1"/>
  <c r="C34" i="50"/>
  <c r="H34" i="50" s="1"/>
  <c r="C35" i="50"/>
  <c r="C36" i="50"/>
  <c r="H36" i="50" s="1"/>
  <c r="C37" i="50"/>
  <c r="C38" i="50"/>
  <c r="H38" i="50" s="1"/>
  <c r="C39" i="50"/>
  <c r="H39" i="50" s="1"/>
  <c r="C42" i="50"/>
  <c r="H42" i="50" s="1"/>
  <c r="C43" i="50"/>
  <c r="H43" i="50" s="1"/>
  <c r="C44" i="50"/>
  <c r="H44" i="50" s="1"/>
  <c r="C10" i="50"/>
  <c r="H10" i="50" s="1"/>
  <c r="C11" i="50"/>
  <c r="H11" i="50" s="1"/>
  <c r="C12" i="50"/>
  <c r="H12" i="50" s="1"/>
  <c r="C13" i="50"/>
  <c r="H13" i="50" s="1"/>
  <c r="C14" i="50"/>
  <c r="H14" i="50" s="1"/>
  <c r="C15" i="50"/>
  <c r="H15" i="50" s="1"/>
  <c r="C16" i="50"/>
  <c r="H16" i="50" s="1"/>
  <c r="C17" i="50"/>
  <c r="H17" i="50" s="1"/>
  <c r="C18" i="50"/>
  <c r="H18" i="50" s="1"/>
  <c r="D46" i="50"/>
  <c r="D48" i="50" s="1"/>
  <c r="E32" i="50" s="1"/>
  <c r="D24" i="50"/>
  <c r="D32" i="50"/>
  <c r="D40" i="50"/>
  <c r="D19" i="50"/>
  <c r="C45" i="50"/>
  <c r="C7" i="50"/>
  <c r="E4" i="50"/>
  <c r="C21" i="49"/>
  <c r="H21" i="49" s="1"/>
  <c r="G4" i="49"/>
  <c r="C22" i="49"/>
  <c r="C23" i="49"/>
  <c r="H23" i="49" s="1"/>
  <c r="C26" i="49"/>
  <c r="H26" i="49" s="1"/>
  <c r="C27" i="49"/>
  <c r="H27" i="49" s="1"/>
  <c r="C28" i="49"/>
  <c r="H28" i="49" s="1"/>
  <c r="C29" i="49"/>
  <c r="H29" i="49" s="1"/>
  <c r="C30" i="49"/>
  <c r="H30" i="49" s="1"/>
  <c r="C31" i="49"/>
  <c r="H31" i="49" s="1"/>
  <c r="C34" i="49"/>
  <c r="H34" i="49" s="1"/>
  <c r="C35" i="49"/>
  <c r="H35" i="49" s="1"/>
  <c r="C36" i="49"/>
  <c r="H36" i="49" s="1"/>
  <c r="C37" i="49"/>
  <c r="H37" i="49" s="1"/>
  <c r="C38" i="49"/>
  <c r="H38" i="49" s="1"/>
  <c r="C39" i="49"/>
  <c r="H39" i="49" s="1"/>
  <c r="C42" i="49"/>
  <c r="H42" i="49" s="1"/>
  <c r="C43" i="49"/>
  <c r="H43" i="49" s="1"/>
  <c r="C44" i="49"/>
  <c r="H44" i="49" s="1"/>
  <c r="C10" i="49"/>
  <c r="H10" i="49" s="1"/>
  <c r="C11" i="49"/>
  <c r="H11" i="49" s="1"/>
  <c r="C12" i="49"/>
  <c r="C13" i="49"/>
  <c r="H13" i="49" s="1"/>
  <c r="C14" i="49"/>
  <c r="H14" i="49" s="1"/>
  <c r="C15" i="49"/>
  <c r="H15" i="49" s="1"/>
  <c r="C16" i="49"/>
  <c r="H16" i="49" s="1"/>
  <c r="C17" i="49"/>
  <c r="H17" i="49" s="1"/>
  <c r="C18" i="49"/>
  <c r="H18" i="49" s="1"/>
  <c r="D46" i="49"/>
  <c r="D50" i="49" s="1"/>
  <c r="D24" i="49"/>
  <c r="D40" i="49"/>
  <c r="D19" i="49"/>
  <c r="E17" i="49" s="1"/>
  <c r="C45" i="49"/>
  <c r="C7" i="49"/>
  <c r="E4" i="49"/>
  <c r="C21" i="48"/>
  <c r="G4" i="48"/>
  <c r="C22" i="48"/>
  <c r="H22" i="48" s="1"/>
  <c r="C23" i="48"/>
  <c r="C26" i="48"/>
  <c r="C27" i="48"/>
  <c r="H27" i="48" s="1"/>
  <c r="C28" i="48"/>
  <c r="H28" i="48" s="1"/>
  <c r="C29" i="48"/>
  <c r="H29" i="48" s="1"/>
  <c r="C30" i="48"/>
  <c r="H30" i="48" s="1"/>
  <c r="C31" i="48"/>
  <c r="H31" i="48" s="1"/>
  <c r="C34" i="48"/>
  <c r="H34" i="48" s="1"/>
  <c r="C35" i="48"/>
  <c r="H35" i="48" s="1"/>
  <c r="C36" i="48"/>
  <c r="H36" i="48" s="1"/>
  <c r="C37" i="48"/>
  <c r="H37" i="48" s="1"/>
  <c r="C38" i="48"/>
  <c r="H38" i="48" s="1"/>
  <c r="C39" i="48"/>
  <c r="H39" i="48" s="1"/>
  <c r="C42" i="48"/>
  <c r="H42" i="48" s="1"/>
  <c r="C43" i="48"/>
  <c r="H43" i="48" s="1"/>
  <c r="H46" i="48" s="1"/>
  <c r="C46" i="48" s="1"/>
  <c r="C44" i="48"/>
  <c r="H44" i="48" s="1"/>
  <c r="C10" i="48"/>
  <c r="H10" i="48" s="1"/>
  <c r="C11" i="48"/>
  <c r="H11" i="48" s="1"/>
  <c r="C12" i="48"/>
  <c r="H12" i="48" s="1"/>
  <c r="C13" i="48"/>
  <c r="C14" i="48"/>
  <c r="H14" i="48" s="1"/>
  <c r="C15" i="48"/>
  <c r="H15" i="48" s="1"/>
  <c r="C16" i="48"/>
  <c r="H16" i="48" s="1"/>
  <c r="C17" i="48"/>
  <c r="C18" i="48"/>
  <c r="H18" i="48" s="1"/>
  <c r="D46" i="48"/>
  <c r="D24" i="48"/>
  <c r="D50" i="48" s="1"/>
  <c r="E50" i="48" s="1"/>
  <c r="D32" i="48"/>
  <c r="D40" i="48"/>
  <c r="D19" i="48"/>
  <c r="C45" i="48"/>
  <c r="C7" i="48"/>
  <c r="E4" i="48"/>
  <c r="D10" i="41"/>
  <c r="D11" i="41"/>
  <c r="D12" i="41"/>
  <c r="D13" i="41"/>
  <c r="D14" i="41"/>
  <c r="D15" i="41"/>
  <c r="D16" i="41"/>
  <c r="D17" i="41"/>
  <c r="D18" i="41"/>
  <c r="D21" i="41"/>
  <c r="D22" i="41"/>
  <c r="D23" i="41"/>
  <c r="D26" i="38"/>
  <c r="D26" i="33"/>
  <c r="D32" i="33" s="1"/>
  <c r="D27" i="41"/>
  <c r="D28" i="41"/>
  <c r="D29" i="41"/>
  <c r="D30" i="38"/>
  <c r="D32" i="38" s="1"/>
  <c r="D31" i="41"/>
  <c r="D34" i="41"/>
  <c r="D35" i="41"/>
  <c r="D36" i="41"/>
  <c r="D37" i="41"/>
  <c r="D38" i="41"/>
  <c r="D39" i="41"/>
  <c r="D42" i="41"/>
  <c r="D43" i="41"/>
  <c r="D44" i="41"/>
  <c r="D45" i="41"/>
  <c r="E3" i="41"/>
  <c r="C21" i="47"/>
  <c r="H21" i="47" s="1"/>
  <c r="G4" i="47"/>
  <c r="C22" i="47"/>
  <c r="H22" i="47" s="1"/>
  <c r="C23" i="47"/>
  <c r="H23" i="47" s="1"/>
  <c r="H24" i="47" s="1"/>
  <c r="C26" i="47"/>
  <c r="H26" i="47" s="1"/>
  <c r="C27" i="47"/>
  <c r="H27" i="47" s="1"/>
  <c r="C28" i="47"/>
  <c r="H28" i="47" s="1"/>
  <c r="C29" i="47"/>
  <c r="H29" i="47" s="1"/>
  <c r="C30" i="47"/>
  <c r="H30" i="47" s="1"/>
  <c r="C31" i="47"/>
  <c r="H31" i="47" s="1"/>
  <c r="C34" i="47"/>
  <c r="C35" i="47"/>
  <c r="H35" i="47" s="1"/>
  <c r="C36" i="47"/>
  <c r="H36" i="47" s="1"/>
  <c r="C37" i="47"/>
  <c r="H37" i="47" s="1"/>
  <c r="C38" i="47"/>
  <c r="C39" i="47"/>
  <c r="H39" i="47" s="1"/>
  <c r="C42" i="47"/>
  <c r="H42" i="47" s="1"/>
  <c r="C43" i="47"/>
  <c r="H43" i="47" s="1"/>
  <c r="C44" i="47"/>
  <c r="H44" i="47" s="1"/>
  <c r="C10" i="47"/>
  <c r="H10" i="47" s="1"/>
  <c r="C11" i="47"/>
  <c r="H11" i="47" s="1"/>
  <c r="C12" i="47"/>
  <c r="H12" i="47" s="1"/>
  <c r="C13" i="47"/>
  <c r="H13" i="47" s="1"/>
  <c r="C14" i="47"/>
  <c r="H14" i="47" s="1"/>
  <c r="C15" i="47"/>
  <c r="H15" i="47" s="1"/>
  <c r="C16" i="47"/>
  <c r="H16" i="47" s="1"/>
  <c r="C17" i="47"/>
  <c r="H17" i="47" s="1"/>
  <c r="C18" i="47"/>
  <c r="H18" i="47" s="1"/>
  <c r="D46" i="47"/>
  <c r="D24" i="47"/>
  <c r="D32" i="47"/>
  <c r="D40" i="47"/>
  <c r="D19" i="47"/>
  <c r="E12" i="47" s="1"/>
  <c r="C45" i="47"/>
  <c r="C7" i="47"/>
  <c r="E4" i="47"/>
  <c r="C21" i="46"/>
  <c r="H21" i="46" s="1"/>
  <c r="G4" i="46"/>
  <c r="C22" i="46"/>
  <c r="H22" i="46" s="1"/>
  <c r="C23" i="46"/>
  <c r="H23" i="46" s="1"/>
  <c r="C26" i="46"/>
  <c r="H26" i="46" s="1"/>
  <c r="C27" i="46"/>
  <c r="H27" i="46" s="1"/>
  <c r="C28" i="46"/>
  <c r="H28" i="46" s="1"/>
  <c r="C29" i="46"/>
  <c r="H29" i="46" s="1"/>
  <c r="C30" i="46"/>
  <c r="H30" i="46" s="1"/>
  <c r="C31" i="46"/>
  <c r="H31" i="46" s="1"/>
  <c r="C34" i="46"/>
  <c r="H34" i="46" s="1"/>
  <c r="C35" i="46"/>
  <c r="H35" i="46" s="1"/>
  <c r="C36" i="46"/>
  <c r="H36" i="46" s="1"/>
  <c r="C37" i="46"/>
  <c r="H37" i="46" s="1"/>
  <c r="C38" i="46"/>
  <c r="H38" i="46" s="1"/>
  <c r="C39" i="46"/>
  <c r="H39" i="46" s="1"/>
  <c r="C42" i="46"/>
  <c r="H42" i="46" s="1"/>
  <c r="C43" i="46"/>
  <c r="C44" i="46"/>
  <c r="H44" i="46" s="1"/>
  <c r="C10" i="46"/>
  <c r="H10" i="46" s="1"/>
  <c r="C11" i="46"/>
  <c r="H11" i="46" s="1"/>
  <c r="C12" i="46"/>
  <c r="H12" i="46" s="1"/>
  <c r="C13" i="46"/>
  <c r="H13" i="46" s="1"/>
  <c r="C14" i="46"/>
  <c r="H14" i="46" s="1"/>
  <c r="C15" i="46"/>
  <c r="C16" i="46"/>
  <c r="H16" i="46" s="1"/>
  <c r="C17" i="46"/>
  <c r="H17" i="46" s="1"/>
  <c r="C18" i="46"/>
  <c r="H18" i="46" s="1"/>
  <c r="D46" i="46"/>
  <c r="D24" i="46"/>
  <c r="D32" i="46"/>
  <c r="D40" i="46"/>
  <c r="D19" i="46"/>
  <c r="C45" i="46"/>
  <c r="C7" i="46"/>
  <c r="E4" i="46"/>
  <c r="C21" i="45"/>
  <c r="H21" i="45" s="1"/>
  <c r="G4" i="45"/>
  <c r="C22" i="45"/>
  <c r="C23" i="45"/>
  <c r="H23" i="45" s="1"/>
  <c r="C26" i="45"/>
  <c r="H26" i="45" s="1"/>
  <c r="C27" i="45"/>
  <c r="H27" i="45" s="1"/>
  <c r="C28" i="45"/>
  <c r="H28" i="45" s="1"/>
  <c r="C29" i="45"/>
  <c r="H29" i="45" s="1"/>
  <c r="H32" i="45" s="1"/>
  <c r="C30" i="45"/>
  <c r="H30" i="45" s="1"/>
  <c r="C31" i="45"/>
  <c r="H31" i="45" s="1"/>
  <c r="C34" i="45"/>
  <c r="H34" i="45" s="1"/>
  <c r="C35" i="45"/>
  <c r="H35" i="45" s="1"/>
  <c r="C36" i="45"/>
  <c r="H36" i="45" s="1"/>
  <c r="C37" i="45"/>
  <c r="C38" i="45"/>
  <c r="H38" i="45" s="1"/>
  <c r="C39" i="45"/>
  <c r="H39" i="45" s="1"/>
  <c r="C42" i="45"/>
  <c r="H42" i="45" s="1"/>
  <c r="C43" i="45"/>
  <c r="H43" i="45" s="1"/>
  <c r="C44" i="45"/>
  <c r="H44" i="45" s="1"/>
  <c r="C10" i="45"/>
  <c r="H10" i="45" s="1"/>
  <c r="C11" i="45"/>
  <c r="H11" i="45" s="1"/>
  <c r="C12" i="45"/>
  <c r="C13" i="45"/>
  <c r="H13" i="45" s="1"/>
  <c r="C14" i="45"/>
  <c r="H14" i="45" s="1"/>
  <c r="C15" i="45"/>
  <c r="H15" i="45" s="1"/>
  <c r="C16" i="45"/>
  <c r="H16" i="45" s="1"/>
  <c r="C17" i="45"/>
  <c r="H17" i="45" s="1"/>
  <c r="C18" i="45"/>
  <c r="H18" i="45" s="1"/>
  <c r="D46" i="45"/>
  <c r="D24" i="45"/>
  <c r="D32" i="45"/>
  <c r="D40" i="45"/>
  <c r="D19" i="45"/>
  <c r="C45" i="45"/>
  <c r="C7" i="45"/>
  <c r="E4" i="45"/>
  <c r="C21" i="44"/>
  <c r="H21" i="44" s="1"/>
  <c r="G4" i="44"/>
  <c r="C22" i="44"/>
  <c r="C23" i="44"/>
  <c r="H23" i="44" s="1"/>
  <c r="C26" i="44"/>
  <c r="C27" i="44"/>
  <c r="H27" i="44" s="1"/>
  <c r="C28" i="44"/>
  <c r="H28" i="44" s="1"/>
  <c r="C29" i="44"/>
  <c r="H29" i="44" s="1"/>
  <c r="C30" i="44"/>
  <c r="H30" i="44" s="1"/>
  <c r="C31" i="44"/>
  <c r="H31" i="44" s="1"/>
  <c r="C34" i="44"/>
  <c r="H34" i="44" s="1"/>
  <c r="C35" i="44"/>
  <c r="H35" i="44" s="1"/>
  <c r="C36" i="44"/>
  <c r="H36" i="44" s="1"/>
  <c r="C37" i="44"/>
  <c r="C38" i="44"/>
  <c r="H38" i="44" s="1"/>
  <c r="C39" i="44"/>
  <c r="H39" i="44" s="1"/>
  <c r="C42" i="44"/>
  <c r="H42" i="44" s="1"/>
  <c r="C43" i="44"/>
  <c r="H43" i="44" s="1"/>
  <c r="C44" i="44"/>
  <c r="H44" i="44" s="1"/>
  <c r="C10" i="44"/>
  <c r="H10" i="44" s="1"/>
  <c r="C11" i="44"/>
  <c r="H11" i="44" s="1"/>
  <c r="C12" i="44"/>
  <c r="H12" i="44" s="1"/>
  <c r="C13" i="44"/>
  <c r="H13" i="44" s="1"/>
  <c r="C14" i="44"/>
  <c r="H14" i="44" s="1"/>
  <c r="C15" i="44"/>
  <c r="H15" i="44" s="1"/>
  <c r="C16" i="44"/>
  <c r="H16" i="44" s="1"/>
  <c r="C17" i="44"/>
  <c r="C18" i="44"/>
  <c r="H18" i="44" s="1"/>
  <c r="D46" i="44"/>
  <c r="D24" i="44"/>
  <c r="D32" i="44"/>
  <c r="D40" i="44"/>
  <c r="D19" i="44"/>
  <c r="C45" i="44"/>
  <c r="C7" i="44"/>
  <c r="E4" i="44"/>
  <c r="C21" i="43"/>
  <c r="H21" i="43" s="1"/>
  <c r="G4" i="43"/>
  <c r="C22" i="43"/>
  <c r="H22" i="43" s="1"/>
  <c r="C23" i="43"/>
  <c r="H23" i="43" s="1"/>
  <c r="C26" i="43"/>
  <c r="H26" i="43" s="1"/>
  <c r="C27" i="43"/>
  <c r="H27" i="43" s="1"/>
  <c r="C28" i="43"/>
  <c r="H28" i="43" s="1"/>
  <c r="C29" i="43"/>
  <c r="H29" i="43" s="1"/>
  <c r="C30" i="43"/>
  <c r="H30" i="43" s="1"/>
  <c r="C31" i="43"/>
  <c r="C34" i="43"/>
  <c r="H34" i="43" s="1"/>
  <c r="C35" i="43"/>
  <c r="H35" i="43" s="1"/>
  <c r="C36" i="43"/>
  <c r="H36" i="43" s="1"/>
  <c r="C37" i="43"/>
  <c r="H37" i="43" s="1"/>
  <c r="C38" i="43"/>
  <c r="H38" i="43" s="1"/>
  <c r="C39" i="43"/>
  <c r="H39" i="43" s="1"/>
  <c r="C42" i="43"/>
  <c r="H42" i="43" s="1"/>
  <c r="C43" i="43"/>
  <c r="H43" i="43" s="1"/>
  <c r="C44" i="43"/>
  <c r="H44" i="43" s="1"/>
  <c r="C10" i="43"/>
  <c r="H10" i="43" s="1"/>
  <c r="C11" i="43"/>
  <c r="H11" i="43" s="1"/>
  <c r="C12" i="43"/>
  <c r="H12" i="43" s="1"/>
  <c r="C13" i="43"/>
  <c r="H13" i="43" s="1"/>
  <c r="C14" i="43"/>
  <c r="H14" i="43" s="1"/>
  <c r="C15" i="43"/>
  <c r="H15" i="43" s="1"/>
  <c r="C16" i="43"/>
  <c r="H16" i="43" s="1"/>
  <c r="C17" i="43"/>
  <c r="H17" i="43" s="1"/>
  <c r="C18" i="43"/>
  <c r="H18" i="43" s="1"/>
  <c r="D46" i="43"/>
  <c r="D24" i="43"/>
  <c r="D32" i="43"/>
  <c r="D40" i="43"/>
  <c r="D19" i="43"/>
  <c r="E15" i="43" s="1"/>
  <c r="C45" i="43"/>
  <c r="C7" i="43"/>
  <c r="E4" i="43"/>
  <c r="C21" i="42"/>
  <c r="H21" i="42" s="1"/>
  <c r="G4" i="42"/>
  <c r="C22" i="42"/>
  <c r="H22" i="42" s="1"/>
  <c r="C23" i="42"/>
  <c r="H23" i="42" s="1"/>
  <c r="C26" i="42"/>
  <c r="H26" i="42" s="1"/>
  <c r="C27" i="42"/>
  <c r="H27" i="42"/>
  <c r="C28" i="42"/>
  <c r="H28" i="42" s="1"/>
  <c r="H32" i="42" s="1"/>
  <c r="C29" i="42"/>
  <c r="H29" i="42" s="1"/>
  <c r="C30" i="42"/>
  <c r="H30" i="42" s="1"/>
  <c r="C31" i="42"/>
  <c r="H31" i="42" s="1"/>
  <c r="C34" i="42"/>
  <c r="H34" i="42" s="1"/>
  <c r="C35" i="42"/>
  <c r="H35" i="42" s="1"/>
  <c r="C36" i="42"/>
  <c r="H36" i="42" s="1"/>
  <c r="C37" i="42"/>
  <c r="H37" i="42" s="1"/>
  <c r="C38" i="42"/>
  <c r="H38" i="42" s="1"/>
  <c r="C39" i="42"/>
  <c r="C42" i="42"/>
  <c r="C43" i="42"/>
  <c r="H43" i="42" s="1"/>
  <c r="C44" i="42"/>
  <c r="H44" i="42" s="1"/>
  <c r="C10" i="42"/>
  <c r="H10" i="42" s="1"/>
  <c r="C11" i="42"/>
  <c r="H11" i="42" s="1"/>
  <c r="C12" i="42"/>
  <c r="H12" i="42" s="1"/>
  <c r="C13" i="42"/>
  <c r="H13" i="42" s="1"/>
  <c r="C14" i="42"/>
  <c r="H14" i="42" s="1"/>
  <c r="C15" i="42"/>
  <c r="H15" i="42" s="1"/>
  <c r="C16" i="42"/>
  <c r="H16" i="42" s="1"/>
  <c r="C17" i="42"/>
  <c r="H17" i="42" s="1"/>
  <c r="C18" i="42"/>
  <c r="H18" i="42" s="1"/>
  <c r="D46" i="42"/>
  <c r="D24" i="42"/>
  <c r="D32" i="42"/>
  <c r="D40" i="42"/>
  <c r="D19" i="42"/>
  <c r="C45" i="42"/>
  <c r="C7" i="42"/>
  <c r="E4" i="42"/>
  <c r="C21" i="41"/>
  <c r="G4" i="41"/>
  <c r="C22" i="41"/>
  <c r="C23" i="41"/>
  <c r="H23" i="41" s="1"/>
  <c r="C26" i="41"/>
  <c r="C27" i="41"/>
  <c r="C28" i="41"/>
  <c r="H28" i="41" s="1"/>
  <c r="C29" i="41"/>
  <c r="C30" i="41"/>
  <c r="C31" i="41"/>
  <c r="C34" i="41"/>
  <c r="H34" i="41" s="1"/>
  <c r="C35" i="41"/>
  <c r="C36" i="41"/>
  <c r="C37" i="41"/>
  <c r="C38" i="41"/>
  <c r="H38" i="41" s="1"/>
  <c r="C39" i="41"/>
  <c r="C42" i="41"/>
  <c r="C43" i="41"/>
  <c r="C44" i="41"/>
  <c r="H44" i="41" s="1"/>
  <c r="C10" i="41"/>
  <c r="C11" i="41"/>
  <c r="C12" i="41"/>
  <c r="C13" i="41"/>
  <c r="H13" i="41" s="1"/>
  <c r="C14" i="41"/>
  <c r="C15" i="41"/>
  <c r="C16" i="41"/>
  <c r="C17" i="41"/>
  <c r="H17" i="41" s="1"/>
  <c r="C18" i="41"/>
  <c r="C45" i="41"/>
  <c r="C7" i="41"/>
  <c r="C21" i="40"/>
  <c r="H21" i="40" s="1"/>
  <c r="G4" i="40"/>
  <c r="C22" i="40"/>
  <c r="C23" i="40"/>
  <c r="C26" i="40"/>
  <c r="H26" i="40" s="1"/>
  <c r="C27" i="40"/>
  <c r="H27" i="40" s="1"/>
  <c r="C28" i="40"/>
  <c r="H28" i="40" s="1"/>
  <c r="C29" i="40"/>
  <c r="C30" i="40"/>
  <c r="H30" i="40" s="1"/>
  <c r="C31" i="40"/>
  <c r="H31" i="40" s="1"/>
  <c r="C34" i="40"/>
  <c r="C35" i="40"/>
  <c r="H35" i="40" s="1"/>
  <c r="C36" i="40"/>
  <c r="H36" i="40" s="1"/>
  <c r="C37" i="40"/>
  <c r="H37" i="40" s="1"/>
  <c r="C38" i="40"/>
  <c r="C39" i="40"/>
  <c r="H39" i="40" s="1"/>
  <c r="C42" i="40"/>
  <c r="H42" i="40" s="1"/>
  <c r="H46" i="40" s="1"/>
  <c r="C43" i="40"/>
  <c r="H43" i="40" s="1"/>
  <c r="C44" i="40"/>
  <c r="H44" i="40" s="1"/>
  <c r="C10" i="40"/>
  <c r="H10" i="40" s="1"/>
  <c r="C11" i="40"/>
  <c r="H11" i="40" s="1"/>
  <c r="C12" i="40"/>
  <c r="H12" i="40" s="1"/>
  <c r="C13" i="40"/>
  <c r="H13" i="40" s="1"/>
  <c r="C14" i="40"/>
  <c r="H14" i="40" s="1"/>
  <c r="C15" i="40"/>
  <c r="H15" i="40" s="1"/>
  <c r="C16" i="40"/>
  <c r="H16" i="40" s="1"/>
  <c r="C17" i="40"/>
  <c r="H17" i="40" s="1"/>
  <c r="C18" i="40"/>
  <c r="D46" i="40"/>
  <c r="D48" i="40" s="1"/>
  <c r="D24" i="40"/>
  <c r="D32" i="40"/>
  <c r="D40" i="40"/>
  <c r="D19" i="40"/>
  <c r="C45" i="40"/>
  <c r="C7" i="40"/>
  <c r="E4" i="40"/>
  <c r="C21" i="39"/>
  <c r="H21" i="39" s="1"/>
  <c r="G4" i="39"/>
  <c r="C22" i="39"/>
  <c r="H22" i="39" s="1"/>
  <c r="C23" i="39"/>
  <c r="C26" i="39"/>
  <c r="H26" i="39" s="1"/>
  <c r="C27" i="39"/>
  <c r="H27" i="39" s="1"/>
  <c r="C28" i="39"/>
  <c r="H28" i="39" s="1"/>
  <c r="C29" i="39"/>
  <c r="H29" i="39" s="1"/>
  <c r="C30" i="39"/>
  <c r="H30" i="39" s="1"/>
  <c r="C31" i="39"/>
  <c r="H31" i="39" s="1"/>
  <c r="C34" i="39"/>
  <c r="C35" i="39"/>
  <c r="H35" i="39" s="1"/>
  <c r="C36" i="39"/>
  <c r="H36" i="39" s="1"/>
  <c r="C37" i="39"/>
  <c r="H37" i="39" s="1"/>
  <c r="C38" i="39"/>
  <c r="H38" i="39" s="1"/>
  <c r="C39" i="39"/>
  <c r="H39" i="39" s="1"/>
  <c r="C42" i="39"/>
  <c r="H42" i="39" s="1"/>
  <c r="H46" i="39" s="1"/>
  <c r="C43" i="39"/>
  <c r="H43" i="39" s="1"/>
  <c r="C44" i="39"/>
  <c r="H44" i="39" s="1"/>
  <c r="C10" i="39"/>
  <c r="H10" i="39" s="1"/>
  <c r="C11" i="39"/>
  <c r="H11" i="39" s="1"/>
  <c r="C12" i="39"/>
  <c r="H12" i="39" s="1"/>
  <c r="C13" i="39"/>
  <c r="C14" i="39"/>
  <c r="H14" i="39" s="1"/>
  <c r="C15" i="39"/>
  <c r="H15" i="39" s="1"/>
  <c r="C16" i="39"/>
  <c r="H16" i="39" s="1"/>
  <c r="C17" i="39"/>
  <c r="H17" i="39" s="1"/>
  <c r="C18" i="39"/>
  <c r="H18" i="39" s="1"/>
  <c r="D46" i="39"/>
  <c r="D24" i="39"/>
  <c r="D32" i="39"/>
  <c r="D40" i="39"/>
  <c r="D19" i="39"/>
  <c r="C45" i="39"/>
  <c r="C7" i="39"/>
  <c r="E4" i="39"/>
  <c r="C21" i="38"/>
  <c r="H21" i="38" s="1"/>
  <c r="H24" i="38" s="1"/>
  <c r="C24" i="38" s="1"/>
  <c r="G4" i="38"/>
  <c r="C22" i="38"/>
  <c r="H22" i="38" s="1"/>
  <c r="C23" i="38"/>
  <c r="H23" i="38" s="1"/>
  <c r="C26" i="38"/>
  <c r="H26" i="38" s="1"/>
  <c r="C27" i="38"/>
  <c r="H27" i="38" s="1"/>
  <c r="C28" i="38"/>
  <c r="C29" i="38"/>
  <c r="H29" i="38" s="1"/>
  <c r="C30" i="38"/>
  <c r="C31" i="38"/>
  <c r="H31" i="38" s="1"/>
  <c r="C34" i="38"/>
  <c r="H34" i="38" s="1"/>
  <c r="C35" i="38"/>
  <c r="H35" i="38" s="1"/>
  <c r="C36" i="38"/>
  <c r="H36" i="38" s="1"/>
  <c r="C37" i="38"/>
  <c r="H37" i="38" s="1"/>
  <c r="C38" i="38"/>
  <c r="H38" i="38" s="1"/>
  <c r="C39" i="38"/>
  <c r="C42" i="38"/>
  <c r="H42" i="38" s="1"/>
  <c r="C43" i="38"/>
  <c r="H43" i="38" s="1"/>
  <c r="C44" i="38"/>
  <c r="H44" i="38" s="1"/>
  <c r="C10" i="38"/>
  <c r="H10" i="38" s="1"/>
  <c r="C11" i="38"/>
  <c r="H11" i="38" s="1"/>
  <c r="C12" i="38"/>
  <c r="H12" i="38" s="1"/>
  <c r="C13" i="38"/>
  <c r="C14" i="38"/>
  <c r="H14" i="38" s="1"/>
  <c r="C15" i="38"/>
  <c r="H15" i="38" s="1"/>
  <c r="C16" i="38"/>
  <c r="H16" i="38" s="1"/>
  <c r="C17" i="38"/>
  <c r="H17" i="38" s="1"/>
  <c r="C18" i="38"/>
  <c r="H18" i="38" s="1"/>
  <c r="D46" i="38"/>
  <c r="D24" i="38"/>
  <c r="D40" i="38"/>
  <c r="D19" i="38"/>
  <c r="C45" i="38"/>
  <c r="C7" i="38"/>
  <c r="E4" i="38"/>
  <c r="C21" i="37"/>
  <c r="G4" i="37"/>
  <c r="C22" i="37"/>
  <c r="H22" i="37" s="1"/>
  <c r="C23" i="37"/>
  <c r="C26" i="37"/>
  <c r="H26" i="37" s="1"/>
  <c r="C27" i="37"/>
  <c r="H27" i="37" s="1"/>
  <c r="C28" i="37"/>
  <c r="H28" i="37" s="1"/>
  <c r="C29" i="37"/>
  <c r="H29" i="37" s="1"/>
  <c r="C30" i="37"/>
  <c r="C31" i="37"/>
  <c r="H31" i="37" s="1"/>
  <c r="C34" i="37"/>
  <c r="H34" i="37" s="1"/>
  <c r="C35" i="37"/>
  <c r="H35" i="37" s="1"/>
  <c r="C36" i="37"/>
  <c r="H36" i="37" s="1"/>
  <c r="C37" i="37"/>
  <c r="H37" i="37" s="1"/>
  <c r="C38" i="37"/>
  <c r="H38" i="37" s="1"/>
  <c r="C39" i="37"/>
  <c r="H39" i="37" s="1"/>
  <c r="C42" i="37"/>
  <c r="H42" i="37" s="1"/>
  <c r="C43" i="37"/>
  <c r="H43" i="37" s="1"/>
  <c r="H46" i="37" s="1"/>
  <c r="C46" i="37" s="1"/>
  <c r="C44" i="37"/>
  <c r="H44" i="37" s="1"/>
  <c r="C10" i="37"/>
  <c r="H10" i="37" s="1"/>
  <c r="C11" i="37"/>
  <c r="H11" i="37" s="1"/>
  <c r="C12" i="37"/>
  <c r="H12" i="37" s="1"/>
  <c r="C13" i="37"/>
  <c r="C14" i="37"/>
  <c r="H14" i="37" s="1"/>
  <c r="C15" i="37"/>
  <c r="H15" i="37" s="1"/>
  <c r="C16" i="37"/>
  <c r="H16" i="37" s="1"/>
  <c r="C17" i="37"/>
  <c r="H17" i="37" s="1"/>
  <c r="C18" i="37"/>
  <c r="H18" i="37" s="1"/>
  <c r="D46" i="37"/>
  <c r="D24" i="37"/>
  <c r="D32" i="37"/>
  <c r="D40" i="37"/>
  <c r="D19" i="37"/>
  <c r="C45" i="37"/>
  <c r="C7" i="37"/>
  <c r="E4" i="37"/>
  <c r="C21" i="36"/>
  <c r="H21" i="36" s="1"/>
  <c r="G4" i="36"/>
  <c r="C22" i="36"/>
  <c r="H22" i="36" s="1"/>
  <c r="C23" i="36"/>
  <c r="H23" i="36" s="1"/>
  <c r="C26" i="36"/>
  <c r="C27" i="36"/>
  <c r="H27" i="36" s="1"/>
  <c r="C28" i="36"/>
  <c r="H28" i="36" s="1"/>
  <c r="C29" i="36"/>
  <c r="H29" i="36" s="1"/>
  <c r="C30" i="36"/>
  <c r="H30" i="36" s="1"/>
  <c r="C31" i="36"/>
  <c r="H31" i="36" s="1"/>
  <c r="C34" i="36"/>
  <c r="H34" i="36" s="1"/>
  <c r="C35" i="36"/>
  <c r="C36" i="36"/>
  <c r="H36" i="36" s="1"/>
  <c r="C37" i="36"/>
  <c r="H37" i="36" s="1"/>
  <c r="C38" i="36"/>
  <c r="H38" i="36" s="1"/>
  <c r="C39" i="36"/>
  <c r="H39" i="36" s="1"/>
  <c r="C42" i="36"/>
  <c r="C43" i="36"/>
  <c r="H43" i="36" s="1"/>
  <c r="C44" i="36"/>
  <c r="H44" i="36" s="1"/>
  <c r="C10" i="36"/>
  <c r="H10" i="36" s="1"/>
  <c r="C11" i="36"/>
  <c r="H11" i="36" s="1"/>
  <c r="C12" i="36"/>
  <c r="H12" i="36" s="1"/>
  <c r="C13" i="36"/>
  <c r="H13" i="36" s="1"/>
  <c r="C14" i="36"/>
  <c r="C15" i="36"/>
  <c r="H15" i="36" s="1"/>
  <c r="C16" i="36"/>
  <c r="H16" i="36" s="1"/>
  <c r="C17" i="36"/>
  <c r="H17" i="36" s="1"/>
  <c r="C18" i="36"/>
  <c r="H18" i="36" s="1"/>
  <c r="D46" i="36"/>
  <c r="D24" i="36"/>
  <c r="D32" i="36"/>
  <c r="D40" i="36"/>
  <c r="D19" i="36"/>
  <c r="E14" i="36" s="1"/>
  <c r="C45" i="36"/>
  <c r="C7" i="36"/>
  <c r="E4" i="36"/>
  <c r="C21" i="35"/>
  <c r="H21" i="35" s="1"/>
  <c r="G4" i="35"/>
  <c r="C22" i="35"/>
  <c r="H22" i="35" s="1"/>
  <c r="C23" i="35"/>
  <c r="H23" i="35" s="1"/>
  <c r="C26" i="35"/>
  <c r="H26" i="35" s="1"/>
  <c r="C27" i="35"/>
  <c r="H27" i="35" s="1"/>
  <c r="C28" i="35"/>
  <c r="H28" i="35" s="1"/>
  <c r="C29" i="35"/>
  <c r="H29" i="35" s="1"/>
  <c r="C30" i="35"/>
  <c r="H30" i="35" s="1"/>
  <c r="C31" i="35"/>
  <c r="H31" i="35" s="1"/>
  <c r="C34" i="35"/>
  <c r="H34" i="35" s="1"/>
  <c r="C35" i="35"/>
  <c r="H35" i="35" s="1"/>
  <c r="C36" i="35"/>
  <c r="C37" i="35"/>
  <c r="H37" i="35" s="1"/>
  <c r="C38" i="35"/>
  <c r="H38" i="35" s="1"/>
  <c r="C39" i="35"/>
  <c r="H39" i="35" s="1"/>
  <c r="C42" i="35"/>
  <c r="H42" i="35" s="1"/>
  <c r="C43" i="35"/>
  <c r="H43" i="35" s="1"/>
  <c r="C44" i="35"/>
  <c r="H44" i="35" s="1"/>
  <c r="C10" i="35"/>
  <c r="H10" i="35" s="1"/>
  <c r="C11" i="35"/>
  <c r="H11" i="35" s="1"/>
  <c r="C12" i="35"/>
  <c r="H12" i="35" s="1"/>
  <c r="C13" i="35"/>
  <c r="H13" i="35" s="1"/>
  <c r="C14" i="35"/>
  <c r="H14" i="35" s="1"/>
  <c r="C15" i="35"/>
  <c r="H15" i="35" s="1"/>
  <c r="C16" i="35"/>
  <c r="H16" i="35" s="1"/>
  <c r="C17" i="35"/>
  <c r="H17" i="35" s="1"/>
  <c r="C18" i="35"/>
  <c r="H18" i="35" s="1"/>
  <c r="D46" i="35"/>
  <c r="D24" i="35"/>
  <c r="D32" i="35"/>
  <c r="D40" i="35"/>
  <c r="D19" i="35"/>
  <c r="C45" i="35"/>
  <c r="C7" i="35"/>
  <c r="E4" i="35"/>
  <c r="D26" i="8"/>
  <c r="D32" i="8" s="1"/>
  <c r="D26" i="6"/>
  <c r="C21" i="34"/>
  <c r="H21" i="34" s="1"/>
  <c r="G4" i="34"/>
  <c r="C22" i="34"/>
  <c r="H22" i="34" s="1"/>
  <c r="C23" i="34"/>
  <c r="H23" i="34" s="1"/>
  <c r="C26" i="34"/>
  <c r="H26" i="34" s="1"/>
  <c r="C27" i="34"/>
  <c r="H27" i="34" s="1"/>
  <c r="C28" i="34"/>
  <c r="H28" i="34" s="1"/>
  <c r="C29" i="34"/>
  <c r="H29" i="34" s="1"/>
  <c r="C30" i="34"/>
  <c r="H30" i="34" s="1"/>
  <c r="C31" i="34"/>
  <c r="H31" i="34" s="1"/>
  <c r="C34" i="34"/>
  <c r="H34" i="34" s="1"/>
  <c r="C35" i="34"/>
  <c r="H35" i="34" s="1"/>
  <c r="C36" i="34"/>
  <c r="C37" i="34"/>
  <c r="C38" i="34"/>
  <c r="H38" i="34" s="1"/>
  <c r="C39" i="34"/>
  <c r="H39" i="34" s="1"/>
  <c r="C42" i="34"/>
  <c r="H42" i="34" s="1"/>
  <c r="C43" i="34"/>
  <c r="C44" i="34"/>
  <c r="H44" i="34" s="1"/>
  <c r="C10" i="34"/>
  <c r="H10" i="34" s="1"/>
  <c r="C11" i="34"/>
  <c r="H11" i="34" s="1"/>
  <c r="C12" i="34"/>
  <c r="H12" i="34" s="1"/>
  <c r="C13" i="34"/>
  <c r="H13" i="34" s="1"/>
  <c r="C14" i="34"/>
  <c r="H14" i="34" s="1"/>
  <c r="C15" i="34"/>
  <c r="H15" i="34" s="1"/>
  <c r="C16" i="34"/>
  <c r="H16" i="34" s="1"/>
  <c r="C17" i="34"/>
  <c r="H17" i="34" s="1"/>
  <c r="C18" i="34"/>
  <c r="H18" i="34" s="1"/>
  <c r="D46" i="34"/>
  <c r="D24" i="34"/>
  <c r="D32" i="34"/>
  <c r="D40" i="34"/>
  <c r="D50" i="34" s="1"/>
  <c r="D19" i="34"/>
  <c r="C45" i="34"/>
  <c r="C7" i="34"/>
  <c r="E4" i="34"/>
  <c r="D45" i="9"/>
  <c r="D44" i="23"/>
  <c r="D43" i="6"/>
  <c r="D43" i="23" s="1"/>
  <c r="D42" i="23"/>
  <c r="H42" i="23" s="1"/>
  <c r="D39" i="23"/>
  <c r="D38" i="23"/>
  <c r="D37" i="23"/>
  <c r="D36" i="23"/>
  <c r="D35" i="23"/>
  <c r="D34" i="6"/>
  <c r="D34" i="9"/>
  <c r="D40" i="9"/>
  <c r="D34" i="10"/>
  <c r="D40" i="10" s="1"/>
  <c r="D31" i="6"/>
  <c r="D31" i="9"/>
  <c r="D31" i="23" s="1"/>
  <c r="D30" i="6"/>
  <c r="D30" i="11"/>
  <c r="D29" i="6"/>
  <c r="D29" i="11"/>
  <c r="D29" i="15"/>
  <c r="D28" i="6"/>
  <c r="D28" i="11"/>
  <c r="D28" i="15"/>
  <c r="D27" i="6"/>
  <c r="D27" i="9"/>
  <c r="D27" i="11"/>
  <c r="D27" i="15"/>
  <c r="D27" i="17"/>
  <c r="D23" i="6"/>
  <c r="D23" i="23" s="1"/>
  <c r="D22" i="6"/>
  <c r="D22" i="11"/>
  <c r="D21" i="6"/>
  <c r="D18" i="23"/>
  <c r="D17" i="23"/>
  <c r="D16" i="23"/>
  <c r="D15" i="10"/>
  <c r="D14" i="23"/>
  <c r="D13" i="23"/>
  <c r="D12" i="23"/>
  <c r="D11" i="23"/>
  <c r="H11" i="23" s="1"/>
  <c r="D10" i="23"/>
  <c r="D26" i="10"/>
  <c r="D26" i="11"/>
  <c r="D26" i="12"/>
  <c r="D32" i="12" s="1"/>
  <c r="D26" i="13"/>
  <c r="D32" i="13" s="1"/>
  <c r="D26" i="17"/>
  <c r="C21" i="23"/>
  <c r="G4" i="23"/>
  <c r="C22" i="23"/>
  <c r="C23" i="23"/>
  <c r="C26" i="23"/>
  <c r="C27" i="23"/>
  <c r="C28" i="23"/>
  <c r="C29" i="23"/>
  <c r="C30" i="23"/>
  <c r="C31" i="23"/>
  <c r="H31" i="23" s="1"/>
  <c r="C34" i="23"/>
  <c r="C35" i="23"/>
  <c r="C36" i="23"/>
  <c r="C37" i="23"/>
  <c r="C38" i="23"/>
  <c r="H38" i="23" s="1"/>
  <c r="C39" i="23"/>
  <c r="C42" i="23"/>
  <c r="C43" i="23"/>
  <c r="H43" i="23" s="1"/>
  <c r="C44" i="23"/>
  <c r="C10" i="23"/>
  <c r="C11" i="23"/>
  <c r="C12" i="23"/>
  <c r="H12" i="23" s="1"/>
  <c r="C13" i="23"/>
  <c r="C14" i="23"/>
  <c r="C15" i="23"/>
  <c r="C16" i="23"/>
  <c r="C17" i="23"/>
  <c r="H17" i="23" s="1"/>
  <c r="C18" i="23"/>
  <c r="C45" i="23"/>
  <c r="C7" i="23"/>
  <c r="C21" i="33"/>
  <c r="H21" i="33" s="1"/>
  <c r="G4" i="33"/>
  <c r="C22" i="33"/>
  <c r="C23" i="33"/>
  <c r="H23" i="33" s="1"/>
  <c r="C26" i="33"/>
  <c r="C27" i="33"/>
  <c r="C28" i="33"/>
  <c r="H28" i="33" s="1"/>
  <c r="C29" i="33"/>
  <c r="H29" i="33" s="1"/>
  <c r="C30" i="33"/>
  <c r="H30" i="33" s="1"/>
  <c r="C31" i="33"/>
  <c r="H31" i="33" s="1"/>
  <c r="C34" i="33"/>
  <c r="H34" i="33" s="1"/>
  <c r="C35" i="33"/>
  <c r="H35" i="33" s="1"/>
  <c r="C36" i="33"/>
  <c r="H36" i="33" s="1"/>
  <c r="C37" i="33"/>
  <c r="H37" i="33" s="1"/>
  <c r="C38" i="33"/>
  <c r="H38" i="33" s="1"/>
  <c r="C39" i="33"/>
  <c r="H39" i="33" s="1"/>
  <c r="C42" i="33"/>
  <c r="H42" i="33" s="1"/>
  <c r="C43" i="33"/>
  <c r="C44" i="33"/>
  <c r="H44" i="33" s="1"/>
  <c r="C10" i="33"/>
  <c r="H10" i="33" s="1"/>
  <c r="C11" i="33"/>
  <c r="H11" i="33" s="1"/>
  <c r="C12" i="33"/>
  <c r="H12" i="33" s="1"/>
  <c r="C13" i="33"/>
  <c r="H13" i="33" s="1"/>
  <c r="C14" i="33"/>
  <c r="H14" i="33" s="1"/>
  <c r="C15" i="33"/>
  <c r="H15" i="33" s="1"/>
  <c r="C16" i="33"/>
  <c r="H16" i="33" s="1"/>
  <c r="C17" i="33"/>
  <c r="H17" i="33" s="1"/>
  <c r="C18" i="33"/>
  <c r="H18" i="33" s="1"/>
  <c r="D46" i="33"/>
  <c r="D24" i="33"/>
  <c r="D40" i="33"/>
  <c r="D19" i="33"/>
  <c r="C45" i="33"/>
  <c r="C7" i="33"/>
  <c r="E4" i="33"/>
  <c r="C21" i="32"/>
  <c r="H21" i="32" s="1"/>
  <c r="G4" i="32"/>
  <c r="C22" i="32"/>
  <c r="H22" i="32" s="1"/>
  <c r="C23" i="32"/>
  <c r="C26" i="32"/>
  <c r="H26" i="32" s="1"/>
  <c r="C27" i="32"/>
  <c r="H27" i="32" s="1"/>
  <c r="C28" i="32"/>
  <c r="H28" i="32" s="1"/>
  <c r="C29" i="32"/>
  <c r="H29" i="32" s="1"/>
  <c r="C30" i="32"/>
  <c r="H30" i="32" s="1"/>
  <c r="C31" i="32"/>
  <c r="H31" i="32" s="1"/>
  <c r="C34" i="32"/>
  <c r="C35" i="32"/>
  <c r="H35" i="32" s="1"/>
  <c r="C36" i="32"/>
  <c r="H36" i="32" s="1"/>
  <c r="C37" i="32"/>
  <c r="H37" i="32" s="1"/>
  <c r="C38" i="32"/>
  <c r="H38" i="32" s="1"/>
  <c r="C39" i="32"/>
  <c r="H39" i="32" s="1"/>
  <c r="C42" i="32"/>
  <c r="H42" i="32" s="1"/>
  <c r="C43" i="32"/>
  <c r="H43" i="32" s="1"/>
  <c r="C44" i="32"/>
  <c r="C10" i="32"/>
  <c r="H10" i="32" s="1"/>
  <c r="C11" i="32"/>
  <c r="H11" i="32" s="1"/>
  <c r="C12" i="32"/>
  <c r="H12" i="32" s="1"/>
  <c r="C13" i="32"/>
  <c r="H13" i="32" s="1"/>
  <c r="C14" i="32"/>
  <c r="H14" i="32" s="1"/>
  <c r="C15" i="32"/>
  <c r="H15" i="32" s="1"/>
  <c r="C16" i="32"/>
  <c r="H16" i="32" s="1"/>
  <c r="C17" i="32"/>
  <c r="H17" i="32" s="1"/>
  <c r="C18" i="32"/>
  <c r="H18" i="32" s="1"/>
  <c r="D46" i="32"/>
  <c r="D24" i="32"/>
  <c r="D32" i="32"/>
  <c r="D40" i="32"/>
  <c r="D19" i="32"/>
  <c r="C45" i="32"/>
  <c r="C7" i="32"/>
  <c r="E4" i="32"/>
  <c r="C21" i="31"/>
  <c r="H21" i="31" s="1"/>
  <c r="G4" i="31"/>
  <c r="C22" i="31"/>
  <c r="C23" i="31"/>
  <c r="H23" i="31" s="1"/>
  <c r="C26" i="31"/>
  <c r="H26" i="31" s="1"/>
  <c r="C27" i="31"/>
  <c r="H27" i="31" s="1"/>
  <c r="C28" i="31"/>
  <c r="H28" i="31" s="1"/>
  <c r="C29" i="31"/>
  <c r="C30" i="31"/>
  <c r="H30" i="31" s="1"/>
  <c r="C31" i="31"/>
  <c r="H31" i="31" s="1"/>
  <c r="C34" i="31"/>
  <c r="H34" i="31" s="1"/>
  <c r="C35" i="31"/>
  <c r="H35" i="31" s="1"/>
  <c r="C36" i="31"/>
  <c r="H36" i="31" s="1"/>
  <c r="C37" i="31"/>
  <c r="H37" i="31" s="1"/>
  <c r="C38" i="31"/>
  <c r="H38" i="31" s="1"/>
  <c r="C39" i="31"/>
  <c r="H39" i="31" s="1"/>
  <c r="C42" i="31"/>
  <c r="H42" i="31" s="1"/>
  <c r="C43" i="31"/>
  <c r="H43" i="31" s="1"/>
  <c r="C44" i="31"/>
  <c r="H44" i="31" s="1"/>
  <c r="C10" i="31"/>
  <c r="H10" i="31" s="1"/>
  <c r="C11" i="31"/>
  <c r="H11" i="31" s="1"/>
  <c r="C12" i="31"/>
  <c r="H12" i="31" s="1"/>
  <c r="C13" i="31"/>
  <c r="H13" i="31" s="1"/>
  <c r="C14" i="31"/>
  <c r="H14" i="31" s="1"/>
  <c r="C15" i="31"/>
  <c r="H15" i="31" s="1"/>
  <c r="C16" i="31"/>
  <c r="H16" i="31" s="1"/>
  <c r="C17" i="31"/>
  <c r="C18" i="31"/>
  <c r="H18" i="31" s="1"/>
  <c r="D46" i="31"/>
  <c r="D48" i="31" s="1"/>
  <c r="D24" i="31"/>
  <c r="D32" i="31"/>
  <c r="D40" i="31"/>
  <c r="D19" i="31"/>
  <c r="E15" i="31" s="1"/>
  <c r="C45" i="31"/>
  <c r="C7" i="31"/>
  <c r="E4" i="31"/>
  <c r="C21" i="30"/>
  <c r="H21" i="30" s="1"/>
  <c r="G4" i="30"/>
  <c r="C22" i="30"/>
  <c r="C23" i="30"/>
  <c r="C26" i="30"/>
  <c r="H26" i="30" s="1"/>
  <c r="C27" i="30"/>
  <c r="H27" i="30" s="1"/>
  <c r="C28" i="30"/>
  <c r="H28" i="30" s="1"/>
  <c r="C29" i="30"/>
  <c r="H29" i="30" s="1"/>
  <c r="C30" i="30"/>
  <c r="H30" i="30" s="1"/>
  <c r="C31" i="30"/>
  <c r="H31" i="30" s="1"/>
  <c r="C34" i="30"/>
  <c r="C35" i="30"/>
  <c r="H35" i="30" s="1"/>
  <c r="C36" i="30"/>
  <c r="C37" i="30"/>
  <c r="H37" i="30" s="1"/>
  <c r="C38" i="30"/>
  <c r="H38" i="30" s="1"/>
  <c r="C39" i="30"/>
  <c r="H39" i="30" s="1"/>
  <c r="C42" i="30"/>
  <c r="H42" i="30" s="1"/>
  <c r="C43" i="30"/>
  <c r="H43" i="30" s="1"/>
  <c r="C44" i="30"/>
  <c r="H44" i="30" s="1"/>
  <c r="C10" i="30"/>
  <c r="C11" i="30"/>
  <c r="H11" i="30" s="1"/>
  <c r="C12" i="30"/>
  <c r="H12" i="30" s="1"/>
  <c r="C13" i="30"/>
  <c r="C14" i="30"/>
  <c r="H14" i="30" s="1"/>
  <c r="C15" i="30"/>
  <c r="H15" i="30" s="1"/>
  <c r="C16" i="30"/>
  <c r="H16" i="30" s="1"/>
  <c r="C17" i="30"/>
  <c r="H17" i="30" s="1"/>
  <c r="C18" i="30"/>
  <c r="H18" i="30" s="1"/>
  <c r="D46" i="30"/>
  <c r="D24" i="30"/>
  <c r="D32" i="30"/>
  <c r="D40" i="30"/>
  <c r="D19" i="30"/>
  <c r="C45" i="30"/>
  <c r="C7" i="30"/>
  <c r="E4" i="30"/>
  <c r="C21" i="29"/>
  <c r="H21" i="29" s="1"/>
  <c r="G4" i="29"/>
  <c r="C22" i="29"/>
  <c r="H22" i="29" s="1"/>
  <c r="C23" i="29"/>
  <c r="H23" i="29" s="1"/>
  <c r="C26" i="29"/>
  <c r="H26" i="29" s="1"/>
  <c r="C27" i="29"/>
  <c r="H27" i="29" s="1"/>
  <c r="C28" i="29"/>
  <c r="C29" i="29"/>
  <c r="H29" i="29" s="1"/>
  <c r="C30" i="29"/>
  <c r="H30" i="29" s="1"/>
  <c r="C31" i="29"/>
  <c r="C34" i="29"/>
  <c r="C35" i="29"/>
  <c r="C36" i="29"/>
  <c r="H36" i="29" s="1"/>
  <c r="C37" i="29"/>
  <c r="H37" i="29" s="1"/>
  <c r="C38" i="29"/>
  <c r="H38" i="29" s="1"/>
  <c r="C39" i="29"/>
  <c r="H39" i="29" s="1"/>
  <c r="C42" i="29"/>
  <c r="H42" i="29" s="1"/>
  <c r="C43" i="29"/>
  <c r="H43" i="29" s="1"/>
  <c r="C44" i="29"/>
  <c r="H44" i="29" s="1"/>
  <c r="C10" i="29"/>
  <c r="H10" i="29" s="1"/>
  <c r="C11" i="29"/>
  <c r="H11" i="29" s="1"/>
  <c r="C12" i="29"/>
  <c r="H12" i="29" s="1"/>
  <c r="C13" i="29"/>
  <c r="H13" i="29" s="1"/>
  <c r="C14" i="29"/>
  <c r="H14" i="29" s="1"/>
  <c r="C15" i="29"/>
  <c r="H15" i="29" s="1"/>
  <c r="C16" i="29"/>
  <c r="H16" i="29" s="1"/>
  <c r="C17" i="29"/>
  <c r="H17" i="29" s="1"/>
  <c r="C18" i="29"/>
  <c r="H18" i="29" s="1"/>
  <c r="D46" i="29"/>
  <c r="D48" i="29" s="1"/>
  <c r="D24" i="29"/>
  <c r="D32" i="29"/>
  <c r="D40" i="29"/>
  <c r="D19" i="29"/>
  <c r="E10" i="29" s="1"/>
  <c r="C45" i="29"/>
  <c r="C7" i="29"/>
  <c r="E4" i="29"/>
  <c r="C21" i="28"/>
  <c r="H21" i="28" s="1"/>
  <c r="G4" i="28"/>
  <c r="C22" i="28"/>
  <c r="H22" i="28" s="1"/>
  <c r="C23" i="28"/>
  <c r="H23" i="28" s="1"/>
  <c r="C26" i="28"/>
  <c r="H26" i="28" s="1"/>
  <c r="C27" i="28"/>
  <c r="H27" i="28" s="1"/>
  <c r="C28" i="28"/>
  <c r="H28" i="28" s="1"/>
  <c r="C29" i="28"/>
  <c r="H29" i="28" s="1"/>
  <c r="C30" i="28"/>
  <c r="H30" i="28" s="1"/>
  <c r="C31" i="28"/>
  <c r="H31" i="28" s="1"/>
  <c r="C34" i="28"/>
  <c r="H34" i="28" s="1"/>
  <c r="C35" i="28"/>
  <c r="C36" i="28"/>
  <c r="H36" i="28" s="1"/>
  <c r="C37" i="28"/>
  <c r="H37" i="28" s="1"/>
  <c r="C38" i="28"/>
  <c r="C39" i="28"/>
  <c r="H39" i="28" s="1"/>
  <c r="C42" i="28"/>
  <c r="H42" i="28" s="1"/>
  <c r="C43" i="28"/>
  <c r="H43" i="28" s="1"/>
  <c r="C44" i="28"/>
  <c r="H44" i="28" s="1"/>
  <c r="C10" i="28"/>
  <c r="H10" i="28" s="1"/>
  <c r="C11" i="28"/>
  <c r="H11" i="28" s="1"/>
  <c r="C12" i="28"/>
  <c r="H12" i="28" s="1"/>
  <c r="C13" i="28"/>
  <c r="H13" i="28" s="1"/>
  <c r="C14" i="28"/>
  <c r="H14" i="28" s="1"/>
  <c r="C15" i="28"/>
  <c r="H15" i="28" s="1"/>
  <c r="C16" i="28"/>
  <c r="H16" i="28" s="1"/>
  <c r="C17" i="28"/>
  <c r="H17" i="28" s="1"/>
  <c r="C18" i="28"/>
  <c r="H18" i="28" s="1"/>
  <c r="D46" i="28"/>
  <c r="D24" i="28"/>
  <c r="D32" i="28"/>
  <c r="D40" i="28"/>
  <c r="D19" i="28"/>
  <c r="E17" i="28" s="1"/>
  <c r="C45" i="28"/>
  <c r="C7" i="28"/>
  <c r="E4" i="28"/>
  <c r="C21" i="27"/>
  <c r="H21" i="27" s="1"/>
  <c r="C22" i="27"/>
  <c r="H22" i="27" s="1"/>
  <c r="C23" i="27"/>
  <c r="H23" i="27" s="1"/>
  <c r="C26" i="27"/>
  <c r="H26" i="27" s="1"/>
  <c r="C27" i="27"/>
  <c r="H27" i="27" s="1"/>
  <c r="C28" i="27"/>
  <c r="H28" i="27" s="1"/>
  <c r="C29" i="27"/>
  <c r="H29" i="27" s="1"/>
  <c r="C30" i="27"/>
  <c r="H30" i="27" s="1"/>
  <c r="C31" i="27"/>
  <c r="H31" i="27" s="1"/>
  <c r="C34" i="27"/>
  <c r="H34" i="27" s="1"/>
  <c r="C35" i="27"/>
  <c r="H35" i="27" s="1"/>
  <c r="C36" i="27"/>
  <c r="H36" i="27" s="1"/>
  <c r="C37" i="27"/>
  <c r="H37" i="27" s="1"/>
  <c r="C38" i="27"/>
  <c r="H38" i="27" s="1"/>
  <c r="C39" i="27"/>
  <c r="H39" i="27" s="1"/>
  <c r="C42" i="27"/>
  <c r="H42" i="27" s="1"/>
  <c r="C43" i="27"/>
  <c r="H43" i="27" s="1"/>
  <c r="C44" i="27"/>
  <c r="H44" i="27" s="1"/>
  <c r="H10" i="27"/>
  <c r="C11" i="27"/>
  <c r="H11" i="27" s="1"/>
  <c r="C12" i="27"/>
  <c r="H12" i="27" s="1"/>
  <c r="C13" i="27"/>
  <c r="H13" i="27" s="1"/>
  <c r="C14" i="27"/>
  <c r="H14" i="27" s="1"/>
  <c r="C15" i="27"/>
  <c r="H15" i="27" s="1"/>
  <c r="C16" i="27"/>
  <c r="H16" i="27" s="1"/>
  <c r="C17" i="27"/>
  <c r="H17" i="27" s="1"/>
  <c r="C18" i="27"/>
  <c r="H18" i="27" s="1"/>
  <c r="D46" i="27"/>
  <c r="D24" i="27"/>
  <c r="D32" i="27"/>
  <c r="D40" i="27"/>
  <c r="D19" i="27"/>
  <c r="C45" i="27"/>
  <c r="C7" i="27"/>
  <c r="E4" i="27"/>
  <c r="C21" i="26"/>
  <c r="H21" i="26" s="1"/>
  <c r="G4" i="26"/>
  <c r="C22" i="26"/>
  <c r="H22" i="26" s="1"/>
  <c r="C23" i="26"/>
  <c r="C26" i="26"/>
  <c r="H26" i="26" s="1"/>
  <c r="C27" i="26"/>
  <c r="H27" i="26" s="1"/>
  <c r="C28" i="26"/>
  <c r="H28" i="26" s="1"/>
  <c r="C29" i="26"/>
  <c r="H29" i="26" s="1"/>
  <c r="C30" i="26"/>
  <c r="H30" i="26" s="1"/>
  <c r="C31" i="26"/>
  <c r="H31" i="26" s="1"/>
  <c r="C34" i="26"/>
  <c r="H34" i="26" s="1"/>
  <c r="C35" i="26"/>
  <c r="H35" i="26" s="1"/>
  <c r="C36" i="26"/>
  <c r="C37" i="26"/>
  <c r="H37" i="26" s="1"/>
  <c r="C38" i="26"/>
  <c r="H38" i="26" s="1"/>
  <c r="C39" i="26"/>
  <c r="C42" i="26"/>
  <c r="H42" i="26" s="1"/>
  <c r="C43" i="26"/>
  <c r="H43" i="26" s="1"/>
  <c r="C44" i="26"/>
  <c r="H44" i="26" s="1"/>
  <c r="C10" i="26"/>
  <c r="H10" i="26" s="1"/>
  <c r="C11" i="26"/>
  <c r="H11" i="26" s="1"/>
  <c r="C12" i="26"/>
  <c r="H12" i="26" s="1"/>
  <c r="C13" i="26"/>
  <c r="H13" i="26" s="1"/>
  <c r="C14" i="26"/>
  <c r="H14" i="26" s="1"/>
  <c r="C15" i="26"/>
  <c r="H15" i="26" s="1"/>
  <c r="C16" i="26"/>
  <c r="H16" i="26" s="1"/>
  <c r="C17" i="26"/>
  <c r="H17" i="26" s="1"/>
  <c r="C18" i="26"/>
  <c r="H18" i="26" s="1"/>
  <c r="D46" i="26"/>
  <c r="D24" i="26"/>
  <c r="D32" i="26"/>
  <c r="D40" i="26"/>
  <c r="D19" i="26"/>
  <c r="C45" i="26"/>
  <c r="C7" i="26"/>
  <c r="E4" i="26"/>
  <c r="C21" i="25"/>
  <c r="H21" i="25" s="1"/>
  <c r="G4" i="25"/>
  <c r="C22" i="25"/>
  <c r="H22" i="25" s="1"/>
  <c r="C23" i="25"/>
  <c r="C26" i="25"/>
  <c r="H26" i="25" s="1"/>
  <c r="C27" i="25"/>
  <c r="H27" i="25" s="1"/>
  <c r="C28" i="25"/>
  <c r="H28" i="25" s="1"/>
  <c r="C29" i="25"/>
  <c r="H29" i="25" s="1"/>
  <c r="C30" i="25"/>
  <c r="H30" i="25" s="1"/>
  <c r="C31" i="25"/>
  <c r="H31" i="25" s="1"/>
  <c r="C34" i="25"/>
  <c r="H34" i="25" s="1"/>
  <c r="C35" i="25"/>
  <c r="H35" i="25" s="1"/>
  <c r="C36" i="25"/>
  <c r="H36" i="25" s="1"/>
  <c r="C37" i="25"/>
  <c r="H37" i="25" s="1"/>
  <c r="C38" i="25"/>
  <c r="H38" i="25" s="1"/>
  <c r="C39" i="25"/>
  <c r="C42" i="25"/>
  <c r="H42" i="25" s="1"/>
  <c r="C43" i="25"/>
  <c r="H43" i="25" s="1"/>
  <c r="C44" i="25"/>
  <c r="H44" i="25" s="1"/>
  <c r="C10" i="25"/>
  <c r="H10" i="25" s="1"/>
  <c r="C11" i="25"/>
  <c r="H11" i="25" s="1"/>
  <c r="C12" i="25"/>
  <c r="H12" i="25" s="1"/>
  <c r="C13" i="25"/>
  <c r="H13" i="25" s="1"/>
  <c r="C14" i="25"/>
  <c r="H14" i="25" s="1"/>
  <c r="C15" i="25"/>
  <c r="H15" i="25" s="1"/>
  <c r="C16" i="25"/>
  <c r="H16" i="25" s="1"/>
  <c r="C17" i="25"/>
  <c r="H17" i="25" s="1"/>
  <c r="C18" i="25"/>
  <c r="H18" i="25" s="1"/>
  <c r="D46" i="25"/>
  <c r="D24" i="25"/>
  <c r="D48" i="25" s="1"/>
  <c r="D32" i="25"/>
  <c r="D40" i="25"/>
  <c r="D19" i="25"/>
  <c r="E17" i="25" s="1"/>
  <c r="C45" i="25"/>
  <c r="C7" i="25"/>
  <c r="E4" i="25"/>
  <c r="D24" i="24"/>
  <c r="C21" i="24"/>
  <c r="H21" i="24" s="1"/>
  <c r="G4" i="24"/>
  <c r="C22" i="24"/>
  <c r="H22" i="24" s="1"/>
  <c r="C23" i="24"/>
  <c r="H23" i="24" s="1"/>
  <c r="C26" i="24"/>
  <c r="H26" i="24" s="1"/>
  <c r="C27" i="24"/>
  <c r="H27" i="24" s="1"/>
  <c r="C28" i="24"/>
  <c r="H28" i="24" s="1"/>
  <c r="C29" i="24"/>
  <c r="H29" i="24" s="1"/>
  <c r="C30" i="24"/>
  <c r="H30" i="24" s="1"/>
  <c r="C31" i="24"/>
  <c r="C34" i="24"/>
  <c r="H34" i="24" s="1"/>
  <c r="C35" i="24"/>
  <c r="C36" i="24"/>
  <c r="H36" i="24" s="1"/>
  <c r="C37" i="24"/>
  <c r="H37" i="24" s="1"/>
  <c r="C38" i="24"/>
  <c r="C39" i="24"/>
  <c r="C42" i="24"/>
  <c r="H42" i="24" s="1"/>
  <c r="C43" i="24"/>
  <c r="H43" i="24" s="1"/>
  <c r="C44" i="24"/>
  <c r="H44" i="24" s="1"/>
  <c r="C10" i="24"/>
  <c r="H10" i="24" s="1"/>
  <c r="C11" i="24"/>
  <c r="H11" i="24" s="1"/>
  <c r="C12" i="24"/>
  <c r="H12" i="24" s="1"/>
  <c r="C13" i="24"/>
  <c r="H13" i="24" s="1"/>
  <c r="C14" i="24"/>
  <c r="C15" i="24"/>
  <c r="H15" i="24" s="1"/>
  <c r="C16" i="24"/>
  <c r="H16" i="24" s="1"/>
  <c r="C17" i="24"/>
  <c r="H17" i="24" s="1"/>
  <c r="C18" i="24"/>
  <c r="H18" i="24" s="1"/>
  <c r="D46" i="24"/>
  <c r="D48" i="24" s="1"/>
  <c r="D32" i="24"/>
  <c r="D40" i="24"/>
  <c r="D19" i="24"/>
  <c r="C45" i="24"/>
  <c r="C7" i="24"/>
  <c r="E4" i="24"/>
  <c r="C21" i="22"/>
  <c r="H21" i="22" s="1"/>
  <c r="G4" i="22"/>
  <c r="C22" i="22"/>
  <c r="H22" i="22" s="1"/>
  <c r="C23" i="22"/>
  <c r="C26" i="22"/>
  <c r="H26" i="22" s="1"/>
  <c r="C27" i="22"/>
  <c r="H27" i="22" s="1"/>
  <c r="C28" i="22"/>
  <c r="H28" i="22" s="1"/>
  <c r="C29" i="22"/>
  <c r="H29" i="22" s="1"/>
  <c r="C30" i="22"/>
  <c r="H30" i="22" s="1"/>
  <c r="C31" i="22"/>
  <c r="H31" i="22" s="1"/>
  <c r="C34" i="22"/>
  <c r="C35" i="22"/>
  <c r="H35" i="22" s="1"/>
  <c r="C36" i="22"/>
  <c r="H36" i="22" s="1"/>
  <c r="C37" i="22"/>
  <c r="H37" i="22" s="1"/>
  <c r="C38" i="22"/>
  <c r="H38" i="22" s="1"/>
  <c r="C39" i="22"/>
  <c r="C42" i="22"/>
  <c r="H42" i="22" s="1"/>
  <c r="C43" i="22"/>
  <c r="H43" i="22" s="1"/>
  <c r="C44" i="22"/>
  <c r="H44" i="22" s="1"/>
  <c r="C10" i="22"/>
  <c r="C11" i="22"/>
  <c r="H11" i="22" s="1"/>
  <c r="C12" i="22"/>
  <c r="H12" i="22" s="1"/>
  <c r="C13" i="22"/>
  <c r="H13" i="22" s="1"/>
  <c r="C14" i="22"/>
  <c r="H14" i="22" s="1"/>
  <c r="C15" i="22"/>
  <c r="H15" i="22" s="1"/>
  <c r="C16" i="22"/>
  <c r="H16" i="22" s="1"/>
  <c r="C17" i="22"/>
  <c r="H17" i="22" s="1"/>
  <c r="C18" i="22"/>
  <c r="D46" i="22"/>
  <c r="D24" i="22"/>
  <c r="D32" i="22"/>
  <c r="D40" i="22"/>
  <c r="D19" i="22"/>
  <c r="C45" i="22"/>
  <c r="C7" i="22"/>
  <c r="E4" i="22"/>
  <c r="D32" i="21"/>
  <c r="C21" i="21"/>
  <c r="H21" i="21" s="1"/>
  <c r="G4" i="21"/>
  <c r="C22" i="21"/>
  <c r="H22" i="21" s="1"/>
  <c r="C23" i="21"/>
  <c r="H23" i="21" s="1"/>
  <c r="C26" i="21"/>
  <c r="H26" i="21" s="1"/>
  <c r="C27" i="21"/>
  <c r="H27" i="21" s="1"/>
  <c r="C28" i="21"/>
  <c r="H28" i="21" s="1"/>
  <c r="C29" i="21"/>
  <c r="H29" i="21" s="1"/>
  <c r="C30" i="21"/>
  <c r="H30" i="21" s="1"/>
  <c r="C31" i="21"/>
  <c r="H31" i="21" s="1"/>
  <c r="C34" i="21"/>
  <c r="H34" i="21" s="1"/>
  <c r="C35" i="21"/>
  <c r="H35" i="21" s="1"/>
  <c r="C36" i="21"/>
  <c r="H36" i="21" s="1"/>
  <c r="C37" i="21"/>
  <c r="H37" i="21" s="1"/>
  <c r="C38" i="21"/>
  <c r="H38" i="21" s="1"/>
  <c r="C39" i="21"/>
  <c r="H39" i="21" s="1"/>
  <c r="C42" i="21"/>
  <c r="H42" i="21" s="1"/>
  <c r="C43" i="21"/>
  <c r="H43" i="21" s="1"/>
  <c r="C44" i="21"/>
  <c r="C10" i="21"/>
  <c r="H10" i="21" s="1"/>
  <c r="C11" i="21"/>
  <c r="H11" i="21" s="1"/>
  <c r="C12" i="21"/>
  <c r="H12" i="21" s="1"/>
  <c r="C13" i="21"/>
  <c r="H13" i="21" s="1"/>
  <c r="C14" i="21"/>
  <c r="H14" i="21" s="1"/>
  <c r="C15" i="21"/>
  <c r="H15" i="21" s="1"/>
  <c r="C16" i="21"/>
  <c r="H16" i="21" s="1"/>
  <c r="C17" i="21"/>
  <c r="H17" i="21" s="1"/>
  <c r="C18" i="21"/>
  <c r="H18" i="21" s="1"/>
  <c r="D46" i="21"/>
  <c r="D50" i="21" s="1"/>
  <c r="D24" i="21"/>
  <c r="D40" i="21"/>
  <c r="D19" i="21"/>
  <c r="C45" i="21"/>
  <c r="C7" i="21"/>
  <c r="E4" i="21"/>
  <c r="C21" i="20"/>
  <c r="H21" i="20" s="1"/>
  <c r="G4" i="20"/>
  <c r="C22" i="20"/>
  <c r="H22" i="20" s="1"/>
  <c r="C23" i="20"/>
  <c r="H23" i="20"/>
  <c r="C26" i="20"/>
  <c r="H26" i="20" s="1"/>
  <c r="C27" i="20"/>
  <c r="H27" i="20" s="1"/>
  <c r="C28" i="20"/>
  <c r="H28" i="20" s="1"/>
  <c r="C29" i="20"/>
  <c r="H29" i="20" s="1"/>
  <c r="C30" i="20"/>
  <c r="H30" i="20" s="1"/>
  <c r="C31" i="20"/>
  <c r="H31" i="20" s="1"/>
  <c r="C34" i="20"/>
  <c r="H34" i="20" s="1"/>
  <c r="C35" i="20"/>
  <c r="H35" i="20" s="1"/>
  <c r="C36" i="20"/>
  <c r="H36" i="20" s="1"/>
  <c r="C37" i="20"/>
  <c r="H37" i="20" s="1"/>
  <c r="C38" i="20"/>
  <c r="H38" i="20" s="1"/>
  <c r="C39" i="20"/>
  <c r="H39" i="20" s="1"/>
  <c r="C42" i="20"/>
  <c r="H42" i="20" s="1"/>
  <c r="C43" i="20"/>
  <c r="H43" i="20" s="1"/>
  <c r="C44" i="20"/>
  <c r="C10" i="20"/>
  <c r="H10" i="20" s="1"/>
  <c r="C11" i="20"/>
  <c r="H11" i="20" s="1"/>
  <c r="C12" i="20"/>
  <c r="H12" i="20" s="1"/>
  <c r="C13" i="20"/>
  <c r="H13" i="20" s="1"/>
  <c r="C14" i="20"/>
  <c r="H14" i="20" s="1"/>
  <c r="C15" i="20"/>
  <c r="H15" i="20" s="1"/>
  <c r="C16" i="20"/>
  <c r="H16" i="20" s="1"/>
  <c r="C17" i="20"/>
  <c r="H17" i="20" s="1"/>
  <c r="C18" i="20"/>
  <c r="H18" i="20" s="1"/>
  <c r="D46" i="20"/>
  <c r="D24" i="20"/>
  <c r="D32" i="20"/>
  <c r="D40" i="20"/>
  <c r="D19" i="20"/>
  <c r="E19" i="20" s="1"/>
  <c r="C45" i="20"/>
  <c r="C7" i="20"/>
  <c r="E4" i="20"/>
  <c r="C21" i="19"/>
  <c r="H21" i="19" s="1"/>
  <c r="G4" i="19"/>
  <c r="C22" i="19"/>
  <c r="H22" i="19" s="1"/>
  <c r="C23" i="19"/>
  <c r="H23" i="19" s="1"/>
  <c r="C26" i="19"/>
  <c r="H26" i="19" s="1"/>
  <c r="C27" i="19"/>
  <c r="H27" i="19" s="1"/>
  <c r="C28" i="19"/>
  <c r="H28" i="19" s="1"/>
  <c r="C29" i="19"/>
  <c r="H29" i="19" s="1"/>
  <c r="C30" i="19"/>
  <c r="H30" i="19" s="1"/>
  <c r="C31" i="19"/>
  <c r="H31" i="19" s="1"/>
  <c r="C34" i="19"/>
  <c r="H34" i="19" s="1"/>
  <c r="C35" i="19"/>
  <c r="H35" i="19" s="1"/>
  <c r="C36" i="19"/>
  <c r="H36" i="19" s="1"/>
  <c r="C37" i="19"/>
  <c r="C38" i="19"/>
  <c r="H38" i="19" s="1"/>
  <c r="C39" i="19"/>
  <c r="H39" i="19" s="1"/>
  <c r="C42" i="19"/>
  <c r="H42" i="19" s="1"/>
  <c r="C43" i="19"/>
  <c r="H43" i="19" s="1"/>
  <c r="C44" i="19"/>
  <c r="H44" i="19" s="1"/>
  <c r="C10" i="19"/>
  <c r="H10" i="19" s="1"/>
  <c r="C11" i="19"/>
  <c r="H11" i="19" s="1"/>
  <c r="C12" i="19"/>
  <c r="H12" i="19" s="1"/>
  <c r="C13" i="19"/>
  <c r="H13" i="19" s="1"/>
  <c r="C14" i="19"/>
  <c r="H14" i="19" s="1"/>
  <c r="C15" i="19"/>
  <c r="H15" i="19" s="1"/>
  <c r="C16" i="19"/>
  <c r="H16" i="19" s="1"/>
  <c r="C17" i="19"/>
  <c r="H17" i="19" s="1"/>
  <c r="C18" i="19"/>
  <c r="H18" i="19" s="1"/>
  <c r="D46" i="19"/>
  <c r="D24" i="19"/>
  <c r="D32" i="19"/>
  <c r="D40" i="19"/>
  <c r="D19" i="19"/>
  <c r="E15" i="19" s="1"/>
  <c r="C45" i="19"/>
  <c r="C7" i="19"/>
  <c r="E4" i="19"/>
  <c r="C21" i="18"/>
  <c r="H21" i="18" s="1"/>
  <c r="G4" i="18"/>
  <c r="C22" i="18"/>
  <c r="H22" i="18" s="1"/>
  <c r="C23" i="18"/>
  <c r="H23" i="18" s="1"/>
  <c r="C26" i="18"/>
  <c r="H26" i="18" s="1"/>
  <c r="C27" i="18"/>
  <c r="H27" i="18" s="1"/>
  <c r="C28" i="18"/>
  <c r="H28" i="18" s="1"/>
  <c r="C29" i="18"/>
  <c r="H29" i="18" s="1"/>
  <c r="C30" i="18"/>
  <c r="H30" i="18" s="1"/>
  <c r="C31" i="18"/>
  <c r="C34" i="18"/>
  <c r="H34" i="18" s="1"/>
  <c r="C35" i="18"/>
  <c r="H35" i="18" s="1"/>
  <c r="C36" i="18"/>
  <c r="H36" i="18" s="1"/>
  <c r="C37" i="18"/>
  <c r="H37" i="18" s="1"/>
  <c r="C38" i="18"/>
  <c r="H38" i="18" s="1"/>
  <c r="C39" i="18"/>
  <c r="H39" i="18" s="1"/>
  <c r="C42" i="18"/>
  <c r="H42" i="18" s="1"/>
  <c r="H46" i="18" s="1"/>
  <c r="C43" i="18"/>
  <c r="H43" i="18" s="1"/>
  <c r="C44" i="18"/>
  <c r="H44" i="18" s="1"/>
  <c r="C10" i="18"/>
  <c r="H10" i="18" s="1"/>
  <c r="C11" i="18"/>
  <c r="H11" i="18" s="1"/>
  <c r="C12" i="18"/>
  <c r="H12" i="18" s="1"/>
  <c r="C13" i="18"/>
  <c r="C14" i="18"/>
  <c r="H14" i="18" s="1"/>
  <c r="C15" i="18"/>
  <c r="H15" i="18" s="1"/>
  <c r="C16" i="18"/>
  <c r="H16" i="18" s="1"/>
  <c r="C17" i="18"/>
  <c r="H17" i="18" s="1"/>
  <c r="C18" i="18"/>
  <c r="H18" i="18" s="1"/>
  <c r="D46" i="18"/>
  <c r="D24" i="18"/>
  <c r="D32" i="18"/>
  <c r="D40" i="18"/>
  <c r="D19" i="18"/>
  <c r="E18" i="18" s="1"/>
  <c r="C45" i="18"/>
  <c r="C7" i="18"/>
  <c r="E4" i="18"/>
  <c r="C21" i="17"/>
  <c r="H21" i="17" s="1"/>
  <c r="G4" i="17"/>
  <c r="C22" i="17"/>
  <c r="H22" i="17" s="1"/>
  <c r="C23" i="17"/>
  <c r="H23" i="17" s="1"/>
  <c r="C26" i="17"/>
  <c r="C27" i="17"/>
  <c r="C28" i="17"/>
  <c r="H28" i="17" s="1"/>
  <c r="C29" i="17"/>
  <c r="H29" i="17" s="1"/>
  <c r="C30" i="17"/>
  <c r="H30" i="17" s="1"/>
  <c r="C31" i="17"/>
  <c r="C34" i="17"/>
  <c r="H34" i="17" s="1"/>
  <c r="C35" i="17"/>
  <c r="H35" i="17" s="1"/>
  <c r="C36" i="17"/>
  <c r="H36" i="17" s="1"/>
  <c r="C37" i="17"/>
  <c r="H37" i="17" s="1"/>
  <c r="C38" i="17"/>
  <c r="H38" i="17" s="1"/>
  <c r="C39" i="17"/>
  <c r="H39" i="17" s="1"/>
  <c r="C42" i="17"/>
  <c r="H42" i="17" s="1"/>
  <c r="C43" i="17"/>
  <c r="C44" i="17"/>
  <c r="H44" i="17" s="1"/>
  <c r="C10" i="17"/>
  <c r="H10" i="17" s="1"/>
  <c r="C11" i="17"/>
  <c r="H11" i="17" s="1"/>
  <c r="C12" i="17"/>
  <c r="H12" i="17" s="1"/>
  <c r="C13" i="17"/>
  <c r="H13" i="17" s="1"/>
  <c r="C14" i="17"/>
  <c r="H14" i="17" s="1"/>
  <c r="C15" i="17"/>
  <c r="H15" i="17" s="1"/>
  <c r="C16" i="17"/>
  <c r="H16" i="17" s="1"/>
  <c r="C17" i="17"/>
  <c r="H17" i="17" s="1"/>
  <c r="C18" i="17"/>
  <c r="H18" i="17" s="1"/>
  <c r="D46" i="17"/>
  <c r="D24" i="17"/>
  <c r="D40" i="17"/>
  <c r="D19" i="17"/>
  <c r="C45" i="17"/>
  <c r="C7" i="17"/>
  <c r="E4" i="17"/>
  <c r="C21" i="16"/>
  <c r="H21" i="16" s="1"/>
  <c r="G4" i="16"/>
  <c r="C22" i="16"/>
  <c r="H22" i="16" s="1"/>
  <c r="C23" i="16"/>
  <c r="H23" i="16" s="1"/>
  <c r="C26" i="16"/>
  <c r="H26" i="16" s="1"/>
  <c r="C27" i="16"/>
  <c r="H27" i="16" s="1"/>
  <c r="C28" i="16"/>
  <c r="C29" i="16"/>
  <c r="H29" i="16" s="1"/>
  <c r="C30" i="16"/>
  <c r="H30" i="16" s="1"/>
  <c r="C31" i="16"/>
  <c r="H31" i="16" s="1"/>
  <c r="C34" i="16"/>
  <c r="H34" i="16" s="1"/>
  <c r="C35" i="16"/>
  <c r="H35" i="16" s="1"/>
  <c r="C36" i="16"/>
  <c r="H36" i="16" s="1"/>
  <c r="C37" i="16"/>
  <c r="H37" i="16" s="1"/>
  <c r="C38" i="16"/>
  <c r="H38" i="16" s="1"/>
  <c r="C39" i="16"/>
  <c r="H39" i="16" s="1"/>
  <c r="C42" i="16"/>
  <c r="H42" i="16" s="1"/>
  <c r="C43" i="16"/>
  <c r="H43" i="16" s="1"/>
  <c r="C44" i="16"/>
  <c r="C10" i="16"/>
  <c r="H10" i="16" s="1"/>
  <c r="C11" i="16"/>
  <c r="H11" i="16" s="1"/>
  <c r="C12" i="16"/>
  <c r="H12" i="16" s="1"/>
  <c r="C13" i="16"/>
  <c r="H13" i="16" s="1"/>
  <c r="C14" i="16"/>
  <c r="H14" i="16" s="1"/>
  <c r="C15" i="16"/>
  <c r="H15" i="16" s="1"/>
  <c r="C16" i="16"/>
  <c r="H16" i="16" s="1"/>
  <c r="C17" i="16"/>
  <c r="H17" i="16" s="1"/>
  <c r="C18" i="16"/>
  <c r="H18" i="16" s="1"/>
  <c r="D46" i="16"/>
  <c r="D24" i="16"/>
  <c r="D32" i="16"/>
  <c r="D40" i="16"/>
  <c r="D19" i="16"/>
  <c r="C45" i="16"/>
  <c r="C7" i="16"/>
  <c r="E4" i="16"/>
  <c r="C21" i="15"/>
  <c r="H21" i="15" s="1"/>
  <c r="G4" i="15"/>
  <c r="C22" i="15"/>
  <c r="H22" i="15" s="1"/>
  <c r="C23" i="15"/>
  <c r="H23" i="15" s="1"/>
  <c r="C26" i="15"/>
  <c r="H26" i="15" s="1"/>
  <c r="C27" i="15"/>
  <c r="C28" i="15"/>
  <c r="C29" i="15"/>
  <c r="C30" i="15"/>
  <c r="H30" i="15" s="1"/>
  <c r="C31" i="15"/>
  <c r="H31" i="15" s="1"/>
  <c r="C34" i="15"/>
  <c r="H34" i="15" s="1"/>
  <c r="C35" i="15"/>
  <c r="H35" i="15" s="1"/>
  <c r="C36" i="15"/>
  <c r="H36" i="15" s="1"/>
  <c r="C37" i="15"/>
  <c r="H37" i="15" s="1"/>
  <c r="C38" i="15"/>
  <c r="C39" i="15"/>
  <c r="H39" i="15" s="1"/>
  <c r="C42" i="15"/>
  <c r="H42" i="15" s="1"/>
  <c r="C43" i="15"/>
  <c r="H43" i="15" s="1"/>
  <c r="C44" i="15"/>
  <c r="C10" i="15"/>
  <c r="H10" i="15" s="1"/>
  <c r="C11" i="15"/>
  <c r="H11" i="15" s="1"/>
  <c r="C12" i="15"/>
  <c r="H12" i="15" s="1"/>
  <c r="C13" i="15"/>
  <c r="H13" i="15" s="1"/>
  <c r="C14" i="15"/>
  <c r="H14" i="15" s="1"/>
  <c r="C15" i="15"/>
  <c r="H15" i="15" s="1"/>
  <c r="C16" i="15"/>
  <c r="H16" i="15" s="1"/>
  <c r="C17" i="15"/>
  <c r="C18" i="15"/>
  <c r="H18" i="15" s="1"/>
  <c r="D46" i="15"/>
  <c r="D24" i="15"/>
  <c r="D40" i="15"/>
  <c r="D19" i="15"/>
  <c r="E11" i="15" s="1"/>
  <c r="C45" i="15"/>
  <c r="C7" i="15"/>
  <c r="E4" i="15"/>
  <c r="C21" i="14"/>
  <c r="H21" i="14" s="1"/>
  <c r="G4" i="14"/>
  <c r="C22" i="14"/>
  <c r="H22" i="14" s="1"/>
  <c r="C23" i="14"/>
  <c r="C26" i="14"/>
  <c r="H26" i="14" s="1"/>
  <c r="C27" i="14"/>
  <c r="H27" i="14" s="1"/>
  <c r="C28" i="14"/>
  <c r="H28" i="14" s="1"/>
  <c r="C29" i="14"/>
  <c r="H29" i="14" s="1"/>
  <c r="C30" i="14"/>
  <c r="H30" i="14" s="1"/>
  <c r="C31" i="14"/>
  <c r="H31" i="14" s="1"/>
  <c r="C34" i="14"/>
  <c r="H34" i="14" s="1"/>
  <c r="C35" i="14"/>
  <c r="H35" i="14" s="1"/>
  <c r="C36" i="14"/>
  <c r="H36" i="14" s="1"/>
  <c r="C37" i="14"/>
  <c r="H37" i="14" s="1"/>
  <c r="C38" i="14"/>
  <c r="H38" i="14" s="1"/>
  <c r="C39" i="14"/>
  <c r="C42" i="14"/>
  <c r="H42" i="14" s="1"/>
  <c r="C43" i="14"/>
  <c r="H43" i="14" s="1"/>
  <c r="C44" i="14"/>
  <c r="H44" i="14" s="1"/>
  <c r="C10" i="14"/>
  <c r="C11" i="14"/>
  <c r="H11" i="14" s="1"/>
  <c r="C12" i="14"/>
  <c r="H12" i="14" s="1"/>
  <c r="C13" i="14"/>
  <c r="C14" i="14"/>
  <c r="H14" i="14" s="1"/>
  <c r="C15" i="14"/>
  <c r="H15" i="14" s="1"/>
  <c r="C16" i="14"/>
  <c r="H16" i="14" s="1"/>
  <c r="C17" i="14"/>
  <c r="H17" i="14" s="1"/>
  <c r="C18" i="14"/>
  <c r="D46" i="14"/>
  <c r="D24" i="14"/>
  <c r="D32" i="14"/>
  <c r="D40" i="14"/>
  <c r="D19" i="14"/>
  <c r="E11" i="14" s="1"/>
  <c r="C45" i="14"/>
  <c r="C7" i="14"/>
  <c r="E4" i="14"/>
  <c r="D46" i="13"/>
  <c r="C45" i="13"/>
  <c r="C44" i="13"/>
  <c r="H44" i="13" s="1"/>
  <c r="C43" i="13"/>
  <c r="H43" i="13" s="1"/>
  <c r="C42" i="13"/>
  <c r="H42" i="13" s="1"/>
  <c r="D40" i="13"/>
  <c r="C39" i="13"/>
  <c r="H39" i="13" s="1"/>
  <c r="C38" i="13"/>
  <c r="H38" i="13" s="1"/>
  <c r="C37" i="13"/>
  <c r="H37" i="13" s="1"/>
  <c r="C36" i="13"/>
  <c r="H36" i="13" s="1"/>
  <c r="C35" i="13"/>
  <c r="H35" i="13" s="1"/>
  <c r="C34" i="13"/>
  <c r="H34" i="13" s="1"/>
  <c r="C31" i="13"/>
  <c r="H31" i="13" s="1"/>
  <c r="C30" i="13"/>
  <c r="H30" i="13" s="1"/>
  <c r="C29" i="13"/>
  <c r="H29" i="13" s="1"/>
  <c r="C28" i="13"/>
  <c r="H28" i="13" s="1"/>
  <c r="C27" i="13"/>
  <c r="H27" i="13" s="1"/>
  <c r="C26" i="13"/>
  <c r="D24" i="13"/>
  <c r="C23" i="13"/>
  <c r="H23" i="13" s="1"/>
  <c r="C22" i="13"/>
  <c r="H22" i="13" s="1"/>
  <c r="C21" i="13"/>
  <c r="H21" i="13" s="1"/>
  <c r="D19" i="13"/>
  <c r="E19" i="13" s="1"/>
  <c r="C18" i="13"/>
  <c r="H18" i="13" s="1"/>
  <c r="C17" i="13"/>
  <c r="H17" i="13" s="1"/>
  <c r="C16" i="13"/>
  <c r="H16" i="13" s="1"/>
  <c r="C15" i="13"/>
  <c r="H15" i="13" s="1"/>
  <c r="C14" i="13"/>
  <c r="H14" i="13" s="1"/>
  <c r="C13" i="13"/>
  <c r="H13" i="13" s="1"/>
  <c r="C12" i="13"/>
  <c r="H12" i="13" s="1"/>
  <c r="C11" i="13"/>
  <c r="H11" i="13" s="1"/>
  <c r="C10" i="13"/>
  <c r="H10" i="13" s="1"/>
  <c r="C7" i="13"/>
  <c r="G4" i="13"/>
  <c r="E4" i="13"/>
  <c r="D46" i="12"/>
  <c r="C45" i="12"/>
  <c r="C44" i="12"/>
  <c r="H44" i="12" s="1"/>
  <c r="C43" i="12"/>
  <c r="H43" i="12" s="1"/>
  <c r="C42" i="12"/>
  <c r="H42" i="12" s="1"/>
  <c r="D40" i="12"/>
  <c r="C39" i="12"/>
  <c r="H39" i="12" s="1"/>
  <c r="C38" i="12"/>
  <c r="H38" i="12" s="1"/>
  <c r="C37" i="12"/>
  <c r="H37" i="12" s="1"/>
  <c r="C36" i="12"/>
  <c r="H36" i="12" s="1"/>
  <c r="C35" i="12"/>
  <c r="C34" i="12"/>
  <c r="H34" i="12" s="1"/>
  <c r="C31" i="12"/>
  <c r="H31" i="12" s="1"/>
  <c r="C30" i="12"/>
  <c r="C29" i="12"/>
  <c r="H29" i="12" s="1"/>
  <c r="C28" i="12"/>
  <c r="H28" i="12" s="1"/>
  <c r="C27" i="12"/>
  <c r="C26" i="12"/>
  <c r="C23" i="12"/>
  <c r="H23" i="12" s="1"/>
  <c r="H24" i="12" s="1"/>
  <c r="D24" i="12"/>
  <c r="C22" i="12"/>
  <c r="H22" i="12" s="1"/>
  <c r="C21" i="12"/>
  <c r="H21" i="12" s="1"/>
  <c r="D19" i="12"/>
  <c r="C18" i="12"/>
  <c r="H18" i="12" s="1"/>
  <c r="C17" i="12"/>
  <c r="H17" i="12" s="1"/>
  <c r="C16" i="12"/>
  <c r="H16" i="12" s="1"/>
  <c r="C15" i="12"/>
  <c r="H15" i="12" s="1"/>
  <c r="C14" i="12"/>
  <c r="H14" i="12" s="1"/>
  <c r="C13" i="12"/>
  <c r="H13" i="12" s="1"/>
  <c r="C12" i="12"/>
  <c r="H12" i="12" s="1"/>
  <c r="C11" i="12"/>
  <c r="H11" i="12" s="1"/>
  <c r="C10" i="12"/>
  <c r="H10" i="12" s="1"/>
  <c r="C7" i="12"/>
  <c r="G4" i="12"/>
  <c r="E4" i="12"/>
  <c r="D46" i="11"/>
  <c r="C45" i="11"/>
  <c r="C44" i="11"/>
  <c r="H44" i="11" s="1"/>
  <c r="C43" i="11"/>
  <c r="H43" i="11" s="1"/>
  <c r="C42" i="11"/>
  <c r="H42" i="11" s="1"/>
  <c r="C39" i="11"/>
  <c r="H39" i="11" s="1"/>
  <c r="C38" i="11"/>
  <c r="H38" i="11" s="1"/>
  <c r="C37" i="11"/>
  <c r="H37" i="11" s="1"/>
  <c r="C36" i="11"/>
  <c r="H36" i="11" s="1"/>
  <c r="C35" i="11"/>
  <c r="D40" i="11"/>
  <c r="C34" i="11"/>
  <c r="H34" i="11" s="1"/>
  <c r="C31" i="11"/>
  <c r="H31" i="11" s="1"/>
  <c r="C30" i="11"/>
  <c r="C29" i="11"/>
  <c r="C28" i="11"/>
  <c r="C27" i="11"/>
  <c r="C26" i="11"/>
  <c r="C23" i="11"/>
  <c r="H23" i="11" s="1"/>
  <c r="C22" i="11"/>
  <c r="H22" i="11" s="1"/>
  <c r="C21" i="11"/>
  <c r="H21" i="11" s="1"/>
  <c r="D19" i="11"/>
  <c r="C18" i="11"/>
  <c r="H18" i="11" s="1"/>
  <c r="C17" i="11"/>
  <c r="H17" i="11" s="1"/>
  <c r="C16" i="11"/>
  <c r="H16" i="11" s="1"/>
  <c r="C15" i="11"/>
  <c r="H15" i="11" s="1"/>
  <c r="C14" i="11"/>
  <c r="H14" i="11" s="1"/>
  <c r="C13" i="11"/>
  <c r="H13" i="11" s="1"/>
  <c r="C12" i="11"/>
  <c r="C11" i="11"/>
  <c r="H11" i="11" s="1"/>
  <c r="C10" i="11"/>
  <c r="H10" i="11" s="1"/>
  <c r="C7" i="11"/>
  <c r="G4" i="11"/>
  <c r="E4" i="11"/>
  <c r="D46" i="10"/>
  <c r="C45" i="10"/>
  <c r="C44" i="10"/>
  <c r="H44" i="10" s="1"/>
  <c r="C43" i="10"/>
  <c r="H43" i="10" s="1"/>
  <c r="C42" i="10"/>
  <c r="H42" i="10" s="1"/>
  <c r="C39" i="10"/>
  <c r="H39" i="10" s="1"/>
  <c r="C38" i="10"/>
  <c r="H38" i="10" s="1"/>
  <c r="C37" i="10"/>
  <c r="H37" i="10" s="1"/>
  <c r="C36" i="10"/>
  <c r="H36" i="10" s="1"/>
  <c r="C35" i="10"/>
  <c r="H35" i="10" s="1"/>
  <c r="C34" i="10"/>
  <c r="H34" i="10" s="1"/>
  <c r="C31" i="10"/>
  <c r="H31" i="10" s="1"/>
  <c r="C30" i="10"/>
  <c r="H30" i="10" s="1"/>
  <c r="C29" i="10"/>
  <c r="H29" i="10" s="1"/>
  <c r="C28" i="10"/>
  <c r="H28" i="10" s="1"/>
  <c r="C27" i="10"/>
  <c r="C26" i="10"/>
  <c r="H26" i="10" s="1"/>
  <c r="D24" i="10"/>
  <c r="C23" i="10"/>
  <c r="H23" i="10" s="1"/>
  <c r="C22" i="10"/>
  <c r="H22" i="10" s="1"/>
  <c r="C21" i="10"/>
  <c r="H21" i="10" s="1"/>
  <c r="C18" i="10"/>
  <c r="H18" i="10" s="1"/>
  <c r="C17" i="10"/>
  <c r="H17" i="10" s="1"/>
  <c r="C16" i="10"/>
  <c r="H16" i="10" s="1"/>
  <c r="C15" i="10"/>
  <c r="C14" i="10"/>
  <c r="C13" i="10"/>
  <c r="H13" i="10" s="1"/>
  <c r="C12" i="10"/>
  <c r="H12" i="10" s="1"/>
  <c r="C11" i="10"/>
  <c r="H11" i="10" s="1"/>
  <c r="C10" i="10"/>
  <c r="H10" i="10" s="1"/>
  <c r="C7" i="10"/>
  <c r="G4" i="10"/>
  <c r="E4" i="10"/>
  <c r="D32" i="10"/>
  <c r="C45" i="9"/>
  <c r="C44" i="9"/>
  <c r="H44" i="9" s="1"/>
  <c r="C43" i="9"/>
  <c r="H43" i="9" s="1"/>
  <c r="C42" i="9"/>
  <c r="H42" i="9" s="1"/>
  <c r="C39" i="9"/>
  <c r="H39" i="9" s="1"/>
  <c r="C38" i="9"/>
  <c r="H38" i="9" s="1"/>
  <c r="C37" i="9"/>
  <c r="H37" i="9" s="1"/>
  <c r="C36" i="9"/>
  <c r="H36" i="9" s="1"/>
  <c r="C35" i="9"/>
  <c r="C34" i="9"/>
  <c r="C31" i="9"/>
  <c r="C30" i="9"/>
  <c r="H30" i="9" s="1"/>
  <c r="C29" i="9"/>
  <c r="H29" i="9" s="1"/>
  <c r="C28" i="9"/>
  <c r="H28" i="9" s="1"/>
  <c r="C27" i="9"/>
  <c r="C26" i="9"/>
  <c r="H26" i="9" s="1"/>
  <c r="D24" i="9"/>
  <c r="C23" i="9"/>
  <c r="H23" i="9" s="1"/>
  <c r="C22" i="9"/>
  <c r="H22" i="9" s="1"/>
  <c r="C21" i="9"/>
  <c r="H21" i="9" s="1"/>
  <c r="D19" i="9"/>
  <c r="E12" i="9" s="1"/>
  <c r="C18" i="9"/>
  <c r="H18" i="9" s="1"/>
  <c r="C17" i="9"/>
  <c r="H17" i="9" s="1"/>
  <c r="C16" i="9"/>
  <c r="H16" i="9" s="1"/>
  <c r="C15" i="9"/>
  <c r="H15" i="9" s="1"/>
  <c r="C14" i="9"/>
  <c r="H14" i="9" s="1"/>
  <c r="C13" i="9"/>
  <c r="H13" i="9" s="1"/>
  <c r="C12" i="9"/>
  <c r="H12" i="9" s="1"/>
  <c r="C11" i="9"/>
  <c r="H11" i="9" s="1"/>
  <c r="C10" i="9"/>
  <c r="H10" i="9" s="1"/>
  <c r="C7" i="9"/>
  <c r="G4" i="9"/>
  <c r="E4" i="9"/>
  <c r="C45" i="8"/>
  <c r="C44" i="8"/>
  <c r="H44" i="8" s="1"/>
  <c r="C43" i="8"/>
  <c r="H43" i="8" s="1"/>
  <c r="C42" i="8"/>
  <c r="H42" i="8" s="1"/>
  <c r="C39" i="8"/>
  <c r="H39" i="8" s="1"/>
  <c r="C38" i="8"/>
  <c r="H38" i="8" s="1"/>
  <c r="C37" i="8"/>
  <c r="C36" i="8"/>
  <c r="H36" i="8" s="1"/>
  <c r="C35" i="8"/>
  <c r="H35" i="8" s="1"/>
  <c r="D40" i="8"/>
  <c r="C34" i="8"/>
  <c r="H34" i="8" s="1"/>
  <c r="C31" i="8"/>
  <c r="H31" i="8" s="1"/>
  <c r="C30" i="8"/>
  <c r="H30" i="8" s="1"/>
  <c r="C29" i="8"/>
  <c r="H29" i="8" s="1"/>
  <c r="C28" i="8"/>
  <c r="H28" i="8" s="1"/>
  <c r="C27" i="8"/>
  <c r="H27" i="8" s="1"/>
  <c r="C26" i="8"/>
  <c r="H26" i="8" s="1"/>
  <c r="C23" i="8"/>
  <c r="H23" i="8" s="1"/>
  <c r="C22" i="8"/>
  <c r="H22" i="8" s="1"/>
  <c r="C21" i="8"/>
  <c r="H21" i="8" s="1"/>
  <c r="D19" i="8"/>
  <c r="C18" i="8"/>
  <c r="H18" i="8" s="1"/>
  <c r="C17" i="8"/>
  <c r="H17" i="8" s="1"/>
  <c r="C16" i="8"/>
  <c r="H16" i="8" s="1"/>
  <c r="C15" i="8"/>
  <c r="H15" i="8" s="1"/>
  <c r="C14" i="8"/>
  <c r="H14" i="8" s="1"/>
  <c r="C13" i="8"/>
  <c r="H13" i="8" s="1"/>
  <c r="C12" i="8"/>
  <c r="H12" i="8" s="1"/>
  <c r="C11" i="8"/>
  <c r="H11" i="8" s="1"/>
  <c r="C10" i="8"/>
  <c r="H10" i="8" s="1"/>
  <c r="C7" i="8"/>
  <c r="G4" i="8"/>
  <c r="E4" i="8"/>
  <c r="D24" i="8"/>
  <c r="D46" i="8"/>
  <c r="C45" i="6"/>
  <c r="C44" i="6"/>
  <c r="H44" i="6" s="1"/>
  <c r="C43" i="6"/>
  <c r="C42" i="6"/>
  <c r="H42" i="6" s="1"/>
  <c r="C39" i="6"/>
  <c r="H39" i="6" s="1"/>
  <c r="C38" i="6"/>
  <c r="H38" i="6" s="1"/>
  <c r="C37" i="6"/>
  <c r="H37" i="6" s="1"/>
  <c r="C36" i="6"/>
  <c r="H36" i="6" s="1"/>
  <c r="C35" i="6"/>
  <c r="H35" i="6" s="1"/>
  <c r="C34" i="6"/>
  <c r="H34" i="6" s="1"/>
  <c r="C31" i="6"/>
  <c r="H31" i="6" s="1"/>
  <c r="C30" i="6"/>
  <c r="C29" i="6"/>
  <c r="C28" i="6"/>
  <c r="C27" i="6"/>
  <c r="C26" i="6"/>
  <c r="C23" i="6"/>
  <c r="H23" i="6" s="1"/>
  <c r="C22" i="6"/>
  <c r="H22" i="6" s="1"/>
  <c r="C21" i="6"/>
  <c r="C18" i="6"/>
  <c r="H18" i="6" s="1"/>
  <c r="C17" i="6"/>
  <c r="H17" i="6" s="1"/>
  <c r="C16" i="6"/>
  <c r="H16" i="6" s="1"/>
  <c r="C15" i="6"/>
  <c r="H15" i="6" s="1"/>
  <c r="C14" i="6"/>
  <c r="H14" i="6" s="1"/>
  <c r="C13" i="6"/>
  <c r="H13" i="6" s="1"/>
  <c r="C12" i="6"/>
  <c r="H12" i="6" s="1"/>
  <c r="C11" i="6"/>
  <c r="H11" i="6" s="1"/>
  <c r="C10" i="6"/>
  <c r="H10" i="6" s="1"/>
  <c r="C7" i="6"/>
  <c r="G4" i="6"/>
  <c r="E4" i="6"/>
  <c r="D40" i="6"/>
  <c r="D19" i="6"/>
  <c r="E14" i="6" s="1"/>
  <c r="E4" i="5"/>
  <c r="G4" i="5"/>
  <c r="C7" i="5"/>
  <c r="C10" i="5"/>
  <c r="H10" i="5" s="1"/>
  <c r="C11" i="5"/>
  <c r="H11" i="5" s="1"/>
  <c r="C12" i="5"/>
  <c r="H12" i="5" s="1"/>
  <c r="C13" i="5"/>
  <c r="C14" i="5"/>
  <c r="H14" i="5" s="1"/>
  <c r="C15" i="5"/>
  <c r="H15" i="5" s="1"/>
  <c r="C16" i="5"/>
  <c r="C17" i="5"/>
  <c r="H17" i="5" s="1"/>
  <c r="C18" i="5"/>
  <c r="H18" i="5" s="1"/>
  <c r="D19" i="5"/>
  <c r="C21" i="5"/>
  <c r="H21" i="5" s="1"/>
  <c r="C22" i="5"/>
  <c r="H22" i="5" s="1"/>
  <c r="C23" i="5"/>
  <c r="H23" i="5" s="1"/>
  <c r="D24" i="5"/>
  <c r="C26" i="5"/>
  <c r="H26" i="5" s="1"/>
  <c r="C27" i="5"/>
  <c r="H27" i="5" s="1"/>
  <c r="C28" i="5"/>
  <c r="H28" i="5" s="1"/>
  <c r="C29" i="5"/>
  <c r="H29" i="5" s="1"/>
  <c r="C30" i="5"/>
  <c r="C31" i="5"/>
  <c r="H31" i="5" s="1"/>
  <c r="D32" i="5"/>
  <c r="C34" i="5"/>
  <c r="H34" i="5" s="1"/>
  <c r="C35" i="5"/>
  <c r="H35" i="5" s="1"/>
  <c r="C36" i="5"/>
  <c r="H36" i="5" s="1"/>
  <c r="C37" i="5"/>
  <c r="H37" i="5" s="1"/>
  <c r="C38" i="5"/>
  <c r="H38" i="5" s="1"/>
  <c r="C39" i="5"/>
  <c r="H39" i="5" s="1"/>
  <c r="D40" i="5"/>
  <c r="C42" i="5"/>
  <c r="H42" i="5" s="1"/>
  <c r="C43" i="5"/>
  <c r="H43" i="5" s="1"/>
  <c r="C44" i="5"/>
  <c r="H44" i="5" s="1"/>
  <c r="C45" i="5"/>
  <c r="D45" i="5"/>
  <c r="D46" i="5" s="1"/>
  <c r="E4" i="4"/>
  <c r="G4" i="4"/>
  <c r="C7" i="4"/>
  <c r="C10" i="4"/>
  <c r="H10" i="4" s="1"/>
  <c r="C11" i="4"/>
  <c r="H11" i="4" s="1"/>
  <c r="C12" i="4"/>
  <c r="H12" i="4" s="1"/>
  <c r="C13" i="4"/>
  <c r="H13" i="4" s="1"/>
  <c r="C14" i="4"/>
  <c r="H14" i="4" s="1"/>
  <c r="C15" i="4"/>
  <c r="H15" i="4" s="1"/>
  <c r="C16" i="4"/>
  <c r="H16" i="4" s="1"/>
  <c r="C17" i="4"/>
  <c r="C18" i="4"/>
  <c r="H18" i="4" s="1"/>
  <c r="D19" i="4"/>
  <c r="E13" i="4" s="1"/>
  <c r="C21" i="4"/>
  <c r="H21" i="4" s="1"/>
  <c r="C22" i="4"/>
  <c r="H22" i="4" s="1"/>
  <c r="C23" i="4"/>
  <c r="H23" i="4" s="1"/>
  <c r="D24" i="4"/>
  <c r="C26" i="4"/>
  <c r="H26" i="4" s="1"/>
  <c r="C27" i="4"/>
  <c r="C28" i="4"/>
  <c r="H28" i="4" s="1"/>
  <c r="C29" i="4"/>
  <c r="H29" i="4" s="1"/>
  <c r="C30" i="4"/>
  <c r="H30" i="4" s="1"/>
  <c r="C31" i="4"/>
  <c r="H31" i="4" s="1"/>
  <c r="D32" i="4"/>
  <c r="C34" i="4"/>
  <c r="H34" i="4" s="1"/>
  <c r="C35" i="4"/>
  <c r="H35" i="4" s="1"/>
  <c r="C36" i="4"/>
  <c r="H36" i="4" s="1"/>
  <c r="C37" i="4"/>
  <c r="H37" i="4" s="1"/>
  <c r="C38" i="4"/>
  <c r="H38" i="4" s="1"/>
  <c r="C39" i="4"/>
  <c r="H39" i="4" s="1"/>
  <c r="D40" i="4"/>
  <c r="C42" i="4"/>
  <c r="H42" i="4" s="1"/>
  <c r="C43" i="4"/>
  <c r="H43" i="4" s="1"/>
  <c r="C44" i="4"/>
  <c r="H44" i="4" s="1"/>
  <c r="C45" i="4"/>
  <c r="D45" i="4"/>
  <c r="D46" i="4" s="1"/>
  <c r="E4" i="3"/>
  <c r="G4" i="3"/>
  <c r="C7" i="3"/>
  <c r="C10" i="3"/>
  <c r="C11" i="3"/>
  <c r="H11" i="3" s="1"/>
  <c r="C12" i="3"/>
  <c r="H12" i="3" s="1"/>
  <c r="C13" i="3"/>
  <c r="H13" i="3" s="1"/>
  <c r="C14" i="3"/>
  <c r="H14" i="3" s="1"/>
  <c r="D19" i="3"/>
  <c r="C15" i="3"/>
  <c r="H15" i="3" s="1"/>
  <c r="C16" i="3"/>
  <c r="C17" i="3"/>
  <c r="H17" i="3" s="1"/>
  <c r="C18" i="3"/>
  <c r="H18" i="3" s="1"/>
  <c r="C21" i="3"/>
  <c r="H21" i="3" s="1"/>
  <c r="C22" i="3"/>
  <c r="H22" i="3" s="1"/>
  <c r="C23" i="3"/>
  <c r="H23" i="3" s="1"/>
  <c r="D24" i="3"/>
  <c r="C26" i="3"/>
  <c r="H26" i="3" s="1"/>
  <c r="C27" i="3"/>
  <c r="C28" i="3"/>
  <c r="H28" i="3" s="1"/>
  <c r="C29" i="3"/>
  <c r="H29" i="3" s="1"/>
  <c r="C30" i="3"/>
  <c r="C31" i="3"/>
  <c r="H31" i="3" s="1"/>
  <c r="D32" i="3"/>
  <c r="C34" i="3"/>
  <c r="H34" i="3" s="1"/>
  <c r="C35" i="3"/>
  <c r="C36" i="3"/>
  <c r="H36" i="3" s="1"/>
  <c r="C37" i="3"/>
  <c r="H37" i="3" s="1"/>
  <c r="C38" i="3"/>
  <c r="H38" i="3" s="1"/>
  <c r="C39" i="3"/>
  <c r="H39" i="3" s="1"/>
  <c r="D40" i="3"/>
  <c r="C42" i="3"/>
  <c r="H42" i="3" s="1"/>
  <c r="C43" i="3"/>
  <c r="H43" i="3" s="1"/>
  <c r="C44" i="3"/>
  <c r="H44" i="3" s="1"/>
  <c r="C45" i="3"/>
  <c r="D45" i="3"/>
  <c r="D46" i="3" s="1"/>
  <c r="E4" i="1"/>
  <c r="G4" i="1"/>
  <c r="C7" i="1"/>
  <c r="C10" i="1"/>
  <c r="H10" i="1" s="1"/>
  <c r="C11" i="1"/>
  <c r="H11" i="1" s="1"/>
  <c r="D19" i="1"/>
  <c r="C12" i="1"/>
  <c r="H12" i="1" s="1"/>
  <c r="C13" i="1"/>
  <c r="H13" i="1" s="1"/>
  <c r="C14" i="1"/>
  <c r="H14" i="1" s="1"/>
  <c r="C15" i="1"/>
  <c r="H15" i="1" s="1"/>
  <c r="C16" i="1"/>
  <c r="H16" i="1" s="1"/>
  <c r="C17" i="1"/>
  <c r="H17" i="1" s="1"/>
  <c r="C18" i="1"/>
  <c r="H18" i="1" s="1"/>
  <c r="C21" i="1"/>
  <c r="H21" i="1" s="1"/>
  <c r="C22" i="1"/>
  <c r="H22" i="1" s="1"/>
  <c r="C23" i="1"/>
  <c r="H23" i="1" s="1"/>
  <c r="D24" i="1"/>
  <c r="C26" i="1"/>
  <c r="H26" i="1" s="1"/>
  <c r="C27" i="1"/>
  <c r="H27" i="1" s="1"/>
  <c r="C28" i="1"/>
  <c r="H28" i="1" s="1"/>
  <c r="C29" i="1"/>
  <c r="H29" i="1" s="1"/>
  <c r="C30" i="1"/>
  <c r="H30" i="1" s="1"/>
  <c r="C31" i="1"/>
  <c r="H31" i="1" s="1"/>
  <c r="D32" i="1"/>
  <c r="C34" i="1"/>
  <c r="H34" i="1" s="1"/>
  <c r="C35" i="1"/>
  <c r="C36" i="1"/>
  <c r="H36" i="1" s="1"/>
  <c r="C37" i="1"/>
  <c r="H37" i="1" s="1"/>
  <c r="C38" i="1"/>
  <c r="H38" i="1" s="1"/>
  <c r="C39" i="1"/>
  <c r="D40" i="1"/>
  <c r="C42" i="1"/>
  <c r="H42" i="1" s="1"/>
  <c r="C43" i="1"/>
  <c r="H43" i="1" s="1"/>
  <c r="C44" i="1"/>
  <c r="H44" i="1" s="1"/>
  <c r="C45" i="1"/>
  <c r="D45" i="1"/>
  <c r="D46" i="1" s="1"/>
  <c r="E18" i="3"/>
  <c r="H30" i="5"/>
  <c r="G2" i="77"/>
  <c r="E4" i="54"/>
  <c r="G4" i="54"/>
  <c r="E12" i="317"/>
  <c r="H43" i="317"/>
  <c r="H42" i="317"/>
  <c r="H24" i="306"/>
  <c r="H18" i="306"/>
  <c r="H31" i="310"/>
  <c r="H12" i="310"/>
  <c r="H29" i="310"/>
  <c r="H37" i="310"/>
  <c r="H17" i="310"/>
  <c r="H43" i="318"/>
  <c r="H15" i="318"/>
  <c r="H36" i="318"/>
  <c r="H22" i="318"/>
  <c r="H24" i="295"/>
  <c r="H15" i="295"/>
  <c r="H43" i="295"/>
  <c r="H39" i="295"/>
  <c r="D50" i="339"/>
  <c r="D46" i="6"/>
  <c r="E17" i="68"/>
  <c r="E18" i="68"/>
  <c r="E15" i="18"/>
  <c r="E10" i="68"/>
  <c r="E11" i="68"/>
  <c r="E10" i="47"/>
  <c r="E14" i="67"/>
  <c r="E12" i="68"/>
  <c r="E13" i="58"/>
  <c r="E17" i="67"/>
  <c r="E13" i="68"/>
  <c r="E14" i="58"/>
  <c r="E14" i="68"/>
  <c r="E16" i="58"/>
  <c r="E15" i="88"/>
  <c r="E19" i="98"/>
  <c r="E18" i="102"/>
  <c r="E19" i="111"/>
  <c r="E13" i="85"/>
  <c r="E19" i="91"/>
  <c r="H26" i="187"/>
  <c r="D32" i="187"/>
  <c r="D32" i="200"/>
  <c r="H15" i="118"/>
  <c r="E12" i="103"/>
  <c r="E10" i="111"/>
  <c r="E11" i="128"/>
  <c r="E11" i="111"/>
  <c r="E10" i="120"/>
  <c r="E12" i="128"/>
  <c r="E11" i="94"/>
  <c r="E10" i="104"/>
  <c r="E12" i="111"/>
  <c r="H29" i="119"/>
  <c r="E12" i="127"/>
  <c r="E14" i="133"/>
  <c r="E12" i="94"/>
  <c r="E19" i="107"/>
  <c r="E13" i="111"/>
  <c r="E12" i="113"/>
  <c r="E14" i="121"/>
  <c r="E14" i="128"/>
  <c r="E18" i="131"/>
  <c r="E11" i="91"/>
  <c r="E14" i="94"/>
  <c r="E16" i="104"/>
  <c r="E14" i="111"/>
  <c r="E13" i="113"/>
  <c r="E13" i="120"/>
  <c r="E15" i="121"/>
  <c r="E15" i="130"/>
  <c r="E16" i="133"/>
  <c r="E10" i="136"/>
  <c r="E16" i="94"/>
  <c r="E11" i="98"/>
  <c r="E10" i="102"/>
  <c r="E17" i="104"/>
  <c r="E15" i="111"/>
  <c r="E15" i="113"/>
  <c r="E14" i="120"/>
  <c r="E11" i="123"/>
  <c r="E16" i="128"/>
  <c r="E16" i="130"/>
  <c r="E17" i="133"/>
  <c r="D46" i="135"/>
  <c r="E11" i="136"/>
  <c r="E19" i="94"/>
  <c r="E12" i="98"/>
  <c r="E15" i="102"/>
  <c r="E12" i="110"/>
  <c r="E16" i="111"/>
  <c r="E16" i="113"/>
  <c r="E12" i="123"/>
  <c r="E12" i="125"/>
  <c r="E16" i="127"/>
  <c r="E17" i="128"/>
  <c r="E18" i="133"/>
  <c r="H42" i="91"/>
  <c r="E14" i="98"/>
  <c r="E16" i="102"/>
  <c r="E10" i="135"/>
  <c r="E13" i="136"/>
  <c r="E10" i="156"/>
  <c r="E16" i="157"/>
  <c r="E12" i="159"/>
  <c r="E16" i="165"/>
  <c r="E19" i="168"/>
  <c r="E15" i="202"/>
  <c r="E12" i="202"/>
  <c r="E17" i="203"/>
  <c r="E18" i="157"/>
  <c r="E15" i="159"/>
  <c r="H34" i="159"/>
  <c r="D40" i="267"/>
  <c r="E19" i="157"/>
  <c r="D40" i="160"/>
  <c r="E18" i="194"/>
  <c r="E19" i="199"/>
  <c r="E10" i="200"/>
  <c r="E16" i="205"/>
  <c r="D50" i="153"/>
  <c r="E19" i="156"/>
  <c r="H34" i="186"/>
  <c r="E11" i="200"/>
  <c r="E17" i="205"/>
  <c r="E10" i="160"/>
  <c r="E11" i="167"/>
  <c r="E12" i="200"/>
  <c r="E19" i="221"/>
  <c r="E16" i="221"/>
  <c r="E15" i="221"/>
  <c r="E12" i="221"/>
  <c r="E11" i="221"/>
  <c r="E16" i="155"/>
  <c r="E11" i="160"/>
  <c r="E13" i="167"/>
  <c r="E11" i="168"/>
  <c r="E13" i="200"/>
  <c r="D40" i="253"/>
  <c r="E18" i="155"/>
  <c r="E12" i="160"/>
  <c r="E16" i="167"/>
  <c r="E12" i="168"/>
  <c r="H29" i="180"/>
  <c r="E14" i="200"/>
  <c r="E13" i="160"/>
  <c r="E17" i="167"/>
  <c r="E13" i="168"/>
  <c r="D46" i="184"/>
  <c r="H42" i="198"/>
  <c r="E15" i="200"/>
  <c r="H26" i="201"/>
  <c r="H34" i="253"/>
  <c r="E10" i="157"/>
  <c r="E16" i="160"/>
  <c r="E19" i="167"/>
  <c r="E14" i="168"/>
  <c r="H46" i="178"/>
  <c r="C46" i="178" s="1"/>
  <c r="E10" i="198"/>
  <c r="E16" i="200"/>
  <c r="E11" i="157"/>
  <c r="E18" i="160"/>
  <c r="E15" i="168"/>
  <c r="E16" i="182"/>
  <c r="E10" i="187"/>
  <c r="E11" i="198"/>
  <c r="H26" i="199"/>
  <c r="E17" i="200"/>
  <c r="H46" i="241"/>
  <c r="C46" i="241" s="1"/>
  <c r="E12" i="157"/>
  <c r="E19" i="160"/>
  <c r="H26" i="167"/>
  <c r="E16" i="168"/>
  <c r="E10" i="186"/>
  <c r="E12" i="187"/>
  <c r="E17" i="195"/>
  <c r="E12" i="198"/>
  <c r="E10" i="199"/>
  <c r="E18" i="200"/>
  <c r="E16" i="202"/>
  <c r="E13" i="157"/>
  <c r="E18" i="182"/>
  <c r="E15" i="187"/>
  <c r="E11" i="194"/>
  <c r="E11" i="199"/>
  <c r="H42" i="200"/>
  <c r="E17" i="202"/>
  <c r="E12" i="203"/>
  <c r="E17" i="210"/>
  <c r="E17" i="220"/>
  <c r="E12" i="222"/>
  <c r="E11" i="224"/>
  <c r="D48" i="226"/>
  <c r="E12" i="227"/>
  <c r="E13" i="228"/>
  <c r="E14" i="230"/>
  <c r="E14" i="235"/>
  <c r="D50" i="241"/>
  <c r="E19" i="245"/>
  <c r="E19" i="257"/>
  <c r="E12" i="216"/>
  <c r="H24" i="258"/>
  <c r="C24" i="258" s="1"/>
  <c r="H26" i="320"/>
  <c r="D32" i="320"/>
  <c r="E14" i="216"/>
  <c r="E16" i="222"/>
  <c r="E19" i="230"/>
  <c r="E17" i="235"/>
  <c r="H24" i="242"/>
  <c r="C24" i="242" s="1"/>
  <c r="E13" i="246"/>
  <c r="E19" i="299"/>
  <c r="E18" i="299"/>
  <c r="E15" i="299"/>
  <c r="E14" i="299"/>
  <c r="E13" i="299"/>
  <c r="E12" i="299"/>
  <c r="E10" i="299"/>
  <c r="H34" i="232"/>
  <c r="E10" i="293"/>
  <c r="E19" i="293"/>
  <c r="E18" i="293"/>
  <c r="E17" i="293"/>
  <c r="E16" i="293"/>
  <c r="E15" i="293"/>
  <c r="E14" i="293"/>
  <c r="E13" i="293"/>
  <c r="E12" i="293"/>
  <c r="E11" i="293"/>
  <c r="E10" i="207"/>
  <c r="H32" i="224"/>
  <c r="C32" i="224" s="1"/>
  <c r="E11" i="233"/>
  <c r="E19" i="235"/>
  <c r="E18" i="246"/>
  <c r="D50" i="249"/>
  <c r="H24" i="274"/>
  <c r="C24" i="274" s="1"/>
  <c r="H46" i="296"/>
  <c r="C46" i="296" s="1"/>
  <c r="D32" i="212"/>
  <c r="E19" i="222"/>
  <c r="D48" i="207"/>
  <c r="E24" i="207" s="1"/>
  <c r="E10" i="245"/>
  <c r="E14" i="233"/>
  <c r="E12" i="234"/>
  <c r="E18" i="236"/>
  <c r="E11" i="245"/>
  <c r="H46" i="249"/>
  <c r="C46" i="249" s="1"/>
  <c r="E12" i="250"/>
  <c r="D50" i="268"/>
  <c r="E18" i="240"/>
  <c r="E12" i="245"/>
  <c r="E17" i="250"/>
  <c r="E16" i="213"/>
  <c r="D32" i="222"/>
  <c r="H26" i="234"/>
  <c r="E11" i="243"/>
  <c r="E13" i="245"/>
  <c r="E14" i="266"/>
  <c r="E19" i="213"/>
  <c r="H26" i="223"/>
  <c r="E12" i="243"/>
  <c r="E14" i="245"/>
  <c r="E10" i="257"/>
  <c r="H19" i="333"/>
  <c r="C19" i="333" s="1"/>
  <c r="E10" i="230"/>
  <c r="E18" i="242"/>
  <c r="E13" i="243"/>
  <c r="H42" i="244"/>
  <c r="E15" i="245"/>
  <c r="E12" i="257"/>
  <c r="E14" i="265"/>
  <c r="E11" i="230"/>
  <c r="E10" i="235"/>
  <c r="E19" i="242"/>
  <c r="E16" i="245"/>
  <c r="D46" i="256"/>
  <c r="E15" i="257"/>
  <c r="E15" i="265"/>
  <c r="H24" i="298"/>
  <c r="C24" i="298" s="1"/>
  <c r="E10" i="222"/>
  <c r="E12" i="230"/>
  <c r="E12" i="235"/>
  <c r="E10" i="248"/>
  <c r="E13" i="249"/>
  <c r="E17" i="257"/>
  <c r="E14" i="273"/>
  <c r="E12" i="278"/>
  <c r="E19" i="290"/>
  <c r="E18" i="306"/>
  <c r="D48" i="268"/>
  <c r="E42" i="268" s="1"/>
  <c r="E15" i="273"/>
  <c r="E13" i="278"/>
  <c r="E19" i="306"/>
  <c r="D48" i="315"/>
  <c r="E40" i="315" s="1"/>
  <c r="E17" i="278"/>
  <c r="E17" i="273"/>
  <c r="E18" i="278"/>
  <c r="H19" i="296"/>
  <c r="C19" i="296" s="1"/>
  <c r="H34" i="321"/>
  <c r="E18" i="273"/>
  <c r="E19" i="278"/>
  <c r="E15" i="283"/>
  <c r="H46" i="286"/>
  <c r="C46" i="286" s="1"/>
  <c r="E11" i="294"/>
  <c r="E17" i="304"/>
  <c r="E10" i="314"/>
  <c r="H24" i="316"/>
  <c r="E11" i="270"/>
  <c r="E19" i="271"/>
  <c r="E19" i="273"/>
  <c r="E11" i="275"/>
  <c r="E14" i="276"/>
  <c r="E17" i="283"/>
  <c r="E19" i="289"/>
  <c r="E12" i="294"/>
  <c r="E14" i="303"/>
  <c r="E18" i="304"/>
  <c r="E11" i="314"/>
  <c r="D19" i="326"/>
  <c r="E12" i="326" s="1"/>
  <c r="E13" i="275"/>
  <c r="E15" i="276"/>
  <c r="E10" i="279"/>
  <c r="H40" i="287"/>
  <c r="C40" i="287" s="1"/>
  <c r="E13" i="294"/>
  <c r="E19" i="304"/>
  <c r="E15" i="312"/>
  <c r="E12" i="314"/>
  <c r="E16" i="276"/>
  <c r="E11" i="279"/>
  <c r="E19" i="283"/>
  <c r="E10" i="284"/>
  <c r="E14" i="294"/>
  <c r="E10" i="295"/>
  <c r="E14" i="297"/>
  <c r="E19" i="300"/>
  <c r="D50" i="301"/>
  <c r="J50" i="301" s="1"/>
  <c r="E16" i="312"/>
  <c r="E16" i="314"/>
  <c r="E10" i="274"/>
  <c r="E15" i="275"/>
  <c r="E17" i="276"/>
  <c r="E12" i="279"/>
  <c r="E11" i="284"/>
  <c r="E15" i="294"/>
  <c r="E11" i="295"/>
  <c r="E19" i="303"/>
  <c r="E18" i="305"/>
  <c r="E17" i="312"/>
  <c r="E17" i="314"/>
  <c r="E15" i="320"/>
  <c r="D46" i="321"/>
  <c r="E10" i="329"/>
  <c r="H34" i="267"/>
  <c r="E18" i="274"/>
  <c r="E16" i="275"/>
  <c r="E18" i="276"/>
  <c r="E13" i="279"/>
  <c r="E12" i="284"/>
  <c r="E16" i="294"/>
  <c r="E12" i="295"/>
  <c r="E10" i="306"/>
  <c r="E12" i="309"/>
  <c r="E18" i="312"/>
  <c r="E18" i="314"/>
  <c r="E16" i="318"/>
  <c r="E16" i="320"/>
  <c r="E11" i="329"/>
  <c r="E17" i="275"/>
  <c r="E14" i="279"/>
  <c r="D50" i="281"/>
  <c r="H42" i="285"/>
  <c r="H46" i="285" s="1"/>
  <c r="E17" i="294"/>
  <c r="E13" i="295"/>
  <c r="D48" i="301"/>
  <c r="E11" i="306"/>
  <c r="E19" i="314"/>
  <c r="H26" i="317"/>
  <c r="E17" i="320"/>
  <c r="D50" i="325"/>
  <c r="E50" i="325" s="1"/>
  <c r="E12" i="329"/>
  <c r="E10" i="335"/>
  <c r="E18" i="275"/>
  <c r="E15" i="279"/>
  <c r="E14" i="284"/>
  <c r="E15" i="295"/>
  <c r="E12" i="306"/>
  <c r="E18" i="320"/>
  <c r="E13" i="329"/>
  <c r="E11" i="335"/>
  <c r="H42" i="336"/>
  <c r="H46" i="336" s="1"/>
  <c r="C46" i="336" s="1"/>
  <c r="E10" i="273"/>
  <c r="E15" i="284"/>
  <c r="E11" i="290"/>
  <c r="E16" i="295"/>
  <c r="E14" i="306"/>
  <c r="H46" i="313"/>
  <c r="C46" i="313" s="1"/>
  <c r="E14" i="329"/>
  <c r="E12" i="335"/>
  <c r="E11" i="273"/>
  <c r="E17" i="279"/>
  <c r="E17" i="284"/>
  <c r="E13" i="290"/>
  <c r="E17" i="295"/>
  <c r="E15" i="306"/>
  <c r="D50" i="315"/>
  <c r="E15" i="329"/>
  <c r="E18" i="335"/>
  <c r="D48" i="272"/>
  <c r="E46" i="272" s="1"/>
  <c r="A52" i="272" s="1"/>
  <c r="E10" i="278"/>
  <c r="E18" i="284"/>
  <c r="D48" i="286"/>
  <c r="E46" i="286" s="1"/>
  <c r="A52" i="286" s="1"/>
  <c r="E16" i="306"/>
  <c r="D48" i="309"/>
  <c r="H34" i="320"/>
  <c r="H27" i="327"/>
  <c r="H46" i="328"/>
  <c r="C46" i="328" s="1"/>
  <c r="E19" i="335"/>
  <c r="H19" i="338"/>
  <c r="C19" i="338" s="1"/>
  <c r="H36" i="26"/>
  <c r="H37" i="50"/>
  <c r="H35" i="1"/>
  <c r="H27" i="3"/>
  <c r="H27" i="12"/>
  <c r="E13" i="8"/>
  <c r="H14" i="57"/>
  <c r="E11" i="1"/>
  <c r="E12" i="1"/>
  <c r="E15" i="1"/>
  <c r="E13" i="1"/>
  <c r="H37" i="8"/>
  <c r="H12" i="11"/>
  <c r="H16" i="5"/>
  <c r="H27" i="4"/>
  <c r="E12" i="14"/>
  <c r="H23" i="14"/>
  <c r="H27" i="10"/>
  <c r="H31" i="24"/>
  <c r="E19" i="1"/>
  <c r="H31" i="43"/>
  <c r="H14" i="10"/>
  <c r="H35" i="12"/>
  <c r="H29" i="31"/>
  <c r="H23" i="22"/>
  <c r="H29" i="40"/>
  <c r="H16" i="3"/>
  <c r="E10" i="14"/>
  <c r="E17" i="14"/>
  <c r="H39" i="22"/>
  <c r="H43" i="6"/>
  <c r="H39" i="1"/>
  <c r="H30" i="3"/>
  <c r="E16" i="1"/>
  <c r="H17" i="4"/>
  <c r="E10" i="3"/>
  <c r="H35" i="11"/>
  <c r="H13" i="14"/>
  <c r="H28" i="16"/>
  <c r="H16" i="64"/>
  <c r="H35" i="3"/>
  <c r="H13" i="5"/>
  <c r="H30" i="12"/>
  <c r="H39" i="14"/>
  <c r="H38" i="15"/>
  <c r="E14" i="20"/>
  <c r="H44" i="20"/>
  <c r="H44" i="61"/>
  <c r="H14" i="64"/>
  <c r="H35" i="9"/>
  <c r="H34" i="22"/>
  <c r="H14" i="56"/>
  <c r="H16" i="60"/>
  <c r="H43" i="62"/>
  <c r="E15" i="4"/>
  <c r="H10" i="22"/>
  <c r="H44" i="52"/>
  <c r="H37" i="19"/>
  <c r="E11" i="21"/>
  <c r="H39" i="24"/>
  <c r="H31" i="29"/>
  <c r="H27" i="33"/>
  <c r="E10" i="4"/>
  <c r="H18" i="14"/>
  <c r="H10" i="14"/>
  <c r="H17" i="15"/>
  <c r="H44" i="16"/>
  <c r="H43" i="17"/>
  <c r="H31" i="18"/>
  <c r="H38" i="24"/>
  <c r="H13" i="30"/>
  <c r="H42" i="42"/>
  <c r="H28" i="59"/>
  <c r="H17" i="52"/>
  <c r="E14" i="11"/>
  <c r="H44" i="15"/>
  <c r="H31" i="17"/>
  <c r="H13" i="18"/>
  <c r="H18" i="22"/>
  <c r="H39" i="42"/>
  <c r="H14" i="24"/>
  <c r="E13" i="11"/>
  <c r="E18" i="21"/>
  <c r="E16" i="21"/>
  <c r="E15" i="21"/>
  <c r="H44" i="21"/>
  <c r="H35" i="51"/>
  <c r="H35" i="24"/>
  <c r="H37" i="45"/>
  <c r="H34" i="51"/>
  <c r="E11" i="26"/>
  <c r="E19" i="26"/>
  <c r="E16" i="27"/>
  <c r="H37" i="34"/>
  <c r="H13" i="38"/>
  <c r="H39" i="38"/>
  <c r="H38" i="40"/>
  <c r="H11" i="70"/>
  <c r="H21" i="80"/>
  <c r="H23" i="26"/>
  <c r="E17" i="27"/>
  <c r="E17" i="34"/>
  <c r="E17" i="35"/>
  <c r="H26" i="36"/>
  <c r="H28" i="38"/>
  <c r="H13" i="39"/>
  <c r="E18" i="42"/>
  <c r="H34" i="47"/>
  <c r="H35" i="50"/>
  <c r="H31" i="63"/>
  <c r="D32" i="92"/>
  <c r="E12" i="26"/>
  <c r="E18" i="27"/>
  <c r="H28" i="29"/>
  <c r="H10" i="30"/>
  <c r="H17" i="31"/>
  <c r="H44" i="32"/>
  <c r="H43" i="33"/>
  <c r="H36" i="34"/>
  <c r="H36" i="35"/>
  <c r="H35" i="36"/>
  <c r="H23" i="37"/>
  <c r="H12" i="49"/>
  <c r="H12" i="64"/>
  <c r="H23" i="25"/>
  <c r="H38" i="28"/>
  <c r="H36" i="30"/>
  <c r="H34" i="32"/>
  <c r="H23" i="32"/>
  <c r="H22" i="33"/>
  <c r="H13" i="23"/>
  <c r="E18" i="34"/>
  <c r="E10" i="35"/>
  <c r="H37" i="44"/>
  <c r="H43" i="63"/>
  <c r="H17" i="75"/>
  <c r="H23" i="40"/>
  <c r="E12" i="42"/>
  <c r="E17" i="42"/>
  <c r="H22" i="44"/>
  <c r="E19" i="57"/>
  <c r="E11" i="57"/>
  <c r="E18" i="57"/>
  <c r="E10" i="57"/>
  <c r="E17" i="57"/>
  <c r="E16" i="57"/>
  <c r="E15" i="57"/>
  <c r="E14" i="57"/>
  <c r="E12" i="57"/>
  <c r="H29" i="58"/>
  <c r="H15" i="59"/>
  <c r="E11" i="34"/>
  <c r="E11" i="35"/>
  <c r="E19" i="35"/>
  <c r="E12" i="36"/>
  <c r="E14" i="38"/>
  <c r="H23" i="39"/>
  <c r="H22" i="40"/>
  <c r="E10" i="42"/>
  <c r="E18" i="56"/>
  <c r="E10" i="56"/>
  <c r="E17" i="56"/>
  <c r="E16" i="56"/>
  <c r="E19" i="56"/>
  <c r="E15" i="56"/>
  <c r="E14" i="56"/>
  <c r="E12" i="56"/>
  <c r="H16" i="71"/>
  <c r="E14" i="26"/>
  <c r="H21" i="37"/>
  <c r="E11" i="42"/>
  <c r="E13" i="57"/>
  <c r="H30" i="57"/>
  <c r="H18" i="58"/>
  <c r="H39" i="58"/>
  <c r="H27" i="63"/>
  <c r="H39" i="26"/>
  <c r="H35" i="29"/>
  <c r="H34" i="30"/>
  <c r="H23" i="30"/>
  <c r="H22" i="31"/>
  <c r="E12" i="34"/>
  <c r="H43" i="34"/>
  <c r="E12" i="35"/>
  <c r="E13" i="36"/>
  <c r="H14" i="36"/>
  <c r="H42" i="36"/>
  <c r="H13" i="37"/>
  <c r="H30" i="37"/>
  <c r="E15" i="38"/>
  <c r="H18" i="40"/>
  <c r="H13" i="48"/>
  <c r="H43" i="66"/>
  <c r="H34" i="39"/>
  <c r="H34" i="40"/>
  <c r="H22" i="52"/>
  <c r="H12" i="59"/>
  <c r="H12" i="82"/>
  <c r="H10" i="97"/>
  <c r="H39" i="25"/>
  <c r="H35" i="28"/>
  <c r="H34" i="29"/>
  <c r="H22" i="30"/>
  <c r="E13" i="42"/>
  <c r="H27" i="64"/>
  <c r="H36" i="112"/>
  <c r="E16" i="26"/>
  <c r="E10" i="27"/>
  <c r="E10" i="43"/>
  <c r="H21" i="48"/>
  <c r="H23" i="51"/>
  <c r="H16" i="53"/>
  <c r="H27" i="60"/>
  <c r="H13" i="68"/>
  <c r="E11" i="27"/>
  <c r="H42" i="65"/>
  <c r="H30" i="76"/>
  <c r="H12" i="45"/>
  <c r="H42" i="53"/>
  <c r="H26" i="55"/>
  <c r="H26" i="56"/>
  <c r="H10" i="61"/>
  <c r="E10" i="63"/>
  <c r="H27" i="69"/>
  <c r="H31" i="62"/>
  <c r="H14" i="114"/>
  <c r="H28" i="66"/>
  <c r="H35" i="83"/>
  <c r="H22" i="91"/>
  <c r="H12" i="67"/>
  <c r="H30" i="68"/>
  <c r="H17" i="44"/>
  <c r="H26" i="44"/>
  <c r="H15" i="46"/>
  <c r="H43" i="46"/>
  <c r="H17" i="48"/>
  <c r="H26" i="48"/>
  <c r="H13" i="52"/>
  <c r="H12" i="69"/>
  <c r="H13" i="63"/>
  <c r="H31" i="67"/>
  <c r="H17" i="80"/>
  <c r="E11" i="44"/>
  <c r="E14" i="47"/>
  <c r="E11" i="48"/>
  <c r="E12" i="49"/>
  <c r="H11" i="53"/>
  <c r="H29" i="61"/>
  <c r="H22" i="45"/>
  <c r="H23" i="48"/>
  <c r="H22" i="49"/>
  <c r="H28" i="61"/>
  <c r="E12" i="66"/>
  <c r="E19" i="66"/>
  <c r="E11" i="66"/>
  <c r="E18" i="66"/>
  <c r="E10" i="66"/>
  <c r="E17" i="66"/>
  <c r="E16" i="66"/>
  <c r="E15" i="66"/>
  <c r="E14" i="66"/>
  <c r="H15" i="66"/>
  <c r="H10" i="75"/>
  <c r="H36" i="85"/>
  <c r="H39" i="116"/>
  <c r="H31" i="59"/>
  <c r="H44" i="60"/>
  <c r="H14" i="62"/>
  <c r="H19" i="62" s="1"/>
  <c r="H31" i="64"/>
  <c r="H43" i="73"/>
  <c r="H35" i="85"/>
  <c r="H26" i="92"/>
  <c r="H38" i="47"/>
  <c r="H38" i="51"/>
  <c r="H36" i="53"/>
  <c r="H17" i="57"/>
  <c r="E12" i="58"/>
  <c r="E19" i="58"/>
  <c r="E11" i="58"/>
  <c r="E18" i="58"/>
  <c r="E10" i="58"/>
  <c r="E17" i="58"/>
  <c r="H43" i="59"/>
  <c r="H43" i="64"/>
  <c r="H34" i="68"/>
  <c r="H17" i="59"/>
  <c r="E12" i="61"/>
  <c r="H30" i="79"/>
  <c r="H10" i="58"/>
  <c r="H13" i="61"/>
  <c r="H17" i="73"/>
  <c r="H35" i="97"/>
  <c r="D40" i="97"/>
  <c r="D48" i="66"/>
  <c r="H11" i="66"/>
  <c r="H27" i="71"/>
  <c r="H34" i="97"/>
  <c r="E15" i="67"/>
  <c r="E10" i="70"/>
  <c r="E19" i="84"/>
  <c r="H30" i="65"/>
  <c r="E16" i="67"/>
  <c r="H11" i="67"/>
  <c r="H15" i="71"/>
  <c r="E11" i="75"/>
  <c r="H27" i="76"/>
  <c r="H18" i="78"/>
  <c r="H37" i="84"/>
  <c r="H17" i="93"/>
  <c r="H39" i="102"/>
  <c r="D40" i="117"/>
  <c r="H36" i="68"/>
  <c r="H34" i="70"/>
  <c r="H23" i="70"/>
  <c r="H39" i="75"/>
  <c r="H29" i="82"/>
  <c r="E18" i="86"/>
  <c r="E10" i="86"/>
  <c r="E15" i="86"/>
  <c r="E14" i="86"/>
  <c r="E13" i="86"/>
  <c r="H23" i="87"/>
  <c r="H21" i="130"/>
  <c r="H27" i="67"/>
  <c r="H17" i="68"/>
  <c r="H16" i="69"/>
  <c r="E12" i="70"/>
  <c r="H43" i="70"/>
  <c r="H14" i="71"/>
  <c r="H31" i="71"/>
  <c r="E10" i="73"/>
  <c r="E13" i="74"/>
  <c r="E19" i="74"/>
  <c r="E13" i="75"/>
  <c r="H15" i="75"/>
  <c r="H29" i="83"/>
  <c r="H10" i="105"/>
  <c r="H13" i="130"/>
  <c r="D46" i="130"/>
  <c r="H27" i="98"/>
  <c r="H11" i="65"/>
  <c r="H28" i="65"/>
  <c r="H18" i="66"/>
  <c r="H27" i="66"/>
  <c r="E10" i="67"/>
  <c r="E18" i="67"/>
  <c r="H44" i="68"/>
  <c r="E12" i="69"/>
  <c r="H43" i="69"/>
  <c r="H14" i="70"/>
  <c r="H13" i="71"/>
  <c r="H37" i="76"/>
  <c r="H23" i="76"/>
  <c r="H24" i="76" s="1"/>
  <c r="C24" i="76" s="1"/>
  <c r="H31" i="77"/>
  <c r="H27" i="80"/>
  <c r="H31" i="92"/>
  <c r="H34" i="94"/>
  <c r="H11" i="95"/>
  <c r="H12" i="99"/>
  <c r="H39" i="100"/>
  <c r="E15" i="75"/>
  <c r="E18" i="82"/>
  <c r="H30" i="109"/>
  <c r="E11" i="67"/>
  <c r="E19" i="67"/>
  <c r="E16" i="75"/>
  <c r="E12" i="86"/>
  <c r="H34" i="87"/>
  <c r="H36" i="57"/>
  <c r="H35" i="58"/>
  <c r="H22" i="60"/>
  <c r="H39" i="62"/>
  <c r="H38" i="63"/>
  <c r="H40" i="63" s="1"/>
  <c r="C40" i="63" s="1"/>
  <c r="H37" i="64"/>
  <c r="H36" i="65"/>
  <c r="H34" i="67"/>
  <c r="H22" i="68"/>
  <c r="H31" i="72"/>
  <c r="H35" i="75"/>
  <c r="H14" i="78"/>
  <c r="H12" i="129"/>
  <c r="E12" i="67"/>
  <c r="E14" i="69"/>
  <c r="H24" i="73"/>
  <c r="C24" i="73" s="1"/>
  <c r="H21" i="79"/>
  <c r="D48" i="83"/>
  <c r="E37" i="83" s="1"/>
  <c r="D32" i="84"/>
  <c r="D48" i="84" s="1"/>
  <c r="E12" i="87"/>
  <c r="H10" i="118"/>
  <c r="E14" i="75"/>
  <c r="E18" i="75"/>
  <c r="E10" i="75"/>
  <c r="D46" i="79"/>
  <c r="H42" i="79"/>
  <c r="E19" i="86"/>
  <c r="E19" i="87"/>
  <c r="E18" i="87"/>
  <c r="E10" i="87"/>
  <c r="E17" i="87"/>
  <c r="E15" i="87"/>
  <c r="E14" i="87"/>
  <c r="H18" i="94"/>
  <c r="H18" i="135"/>
  <c r="H13" i="81"/>
  <c r="H39" i="85"/>
  <c r="E13" i="87"/>
  <c r="H17" i="94"/>
  <c r="H31" i="99"/>
  <c r="H30" i="107"/>
  <c r="E11" i="76"/>
  <c r="H16" i="76"/>
  <c r="E11" i="78"/>
  <c r="H34" i="80"/>
  <c r="H43" i="81"/>
  <c r="H31" i="82"/>
  <c r="H14" i="83"/>
  <c r="H31" i="83"/>
  <c r="H15" i="85"/>
  <c r="H14" i="86"/>
  <c r="H42" i="86"/>
  <c r="H13" i="87"/>
  <c r="H30" i="87"/>
  <c r="H12" i="88"/>
  <c r="H29" i="88"/>
  <c r="H29" i="89"/>
  <c r="H12" i="90"/>
  <c r="H29" i="90"/>
  <c r="H12" i="91"/>
  <c r="H29" i="93"/>
  <c r="H34" i="95"/>
  <c r="H14" i="96"/>
  <c r="H34" i="78"/>
  <c r="H23" i="78"/>
  <c r="H43" i="80"/>
  <c r="H22" i="81"/>
  <c r="H22" i="85"/>
  <c r="H24" i="85" s="1"/>
  <c r="H39" i="87"/>
  <c r="H38" i="91"/>
  <c r="H42" i="92"/>
  <c r="H28" i="93"/>
  <c r="H18" i="97"/>
  <c r="H29" i="97"/>
  <c r="D40" i="99"/>
  <c r="H34" i="99"/>
  <c r="H12" i="103"/>
  <c r="H13" i="131"/>
  <c r="H39" i="136"/>
  <c r="H12" i="98"/>
  <c r="H35" i="103"/>
  <c r="H38" i="118"/>
  <c r="H36" i="133"/>
  <c r="H30" i="138"/>
  <c r="H35" i="96"/>
  <c r="H21" i="98"/>
  <c r="H17" i="101"/>
  <c r="H42" i="106"/>
  <c r="E19" i="110"/>
  <c r="E11" i="110"/>
  <c r="E18" i="110"/>
  <c r="E10" i="110"/>
  <c r="E17" i="110"/>
  <c r="E16" i="110"/>
  <c r="E15" i="110"/>
  <c r="E14" i="110"/>
  <c r="E14" i="81"/>
  <c r="H11" i="84"/>
  <c r="E14" i="85"/>
  <c r="H13" i="85"/>
  <c r="H30" i="85"/>
  <c r="H29" i="86"/>
  <c r="H11" i="87"/>
  <c r="H28" i="87"/>
  <c r="H18" i="88"/>
  <c r="H10" i="88"/>
  <c r="H18" i="89"/>
  <c r="H10" i="89"/>
  <c r="H27" i="89"/>
  <c r="H18" i="90"/>
  <c r="H10" i="90"/>
  <c r="H38" i="92"/>
  <c r="H27" i="97"/>
  <c r="H17" i="99"/>
  <c r="H44" i="104"/>
  <c r="E10" i="105"/>
  <c r="H15" i="105"/>
  <c r="H12" i="110"/>
  <c r="H13" i="163"/>
  <c r="H38" i="86"/>
  <c r="H36" i="88"/>
  <c r="H36" i="89"/>
  <c r="H36" i="90"/>
  <c r="H36" i="91"/>
  <c r="H16" i="95"/>
  <c r="E14" i="96"/>
  <c r="H13" i="108"/>
  <c r="H34" i="110"/>
  <c r="H43" i="124"/>
  <c r="E16" i="145"/>
  <c r="E19" i="145"/>
  <c r="H23" i="93"/>
  <c r="H12" i="94"/>
  <c r="D32" i="98"/>
  <c r="H31" i="100"/>
  <c r="H29" i="103"/>
  <c r="H14" i="106"/>
  <c r="D48" i="156"/>
  <c r="D50" i="156"/>
  <c r="H23" i="94"/>
  <c r="H23" i="97"/>
  <c r="E17" i="112"/>
  <c r="E16" i="112"/>
  <c r="E13" i="112"/>
  <c r="E19" i="112"/>
  <c r="E18" i="112"/>
  <c r="E15" i="112"/>
  <c r="E14" i="112"/>
  <c r="E11" i="112"/>
  <c r="E10" i="112"/>
  <c r="E19" i="126"/>
  <c r="E11" i="126"/>
  <c r="E18" i="126"/>
  <c r="E17" i="126"/>
  <c r="E16" i="126"/>
  <c r="E15" i="126"/>
  <c r="E13" i="126"/>
  <c r="E12" i="126"/>
  <c r="H22" i="127"/>
  <c r="H13" i="75"/>
  <c r="H30" i="75"/>
  <c r="H12" i="76"/>
  <c r="H29" i="76"/>
  <c r="H29" i="78"/>
  <c r="H11" i="79"/>
  <c r="H28" i="79"/>
  <c r="H38" i="80"/>
  <c r="H28" i="81"/>
  <c r="H18" i="82"/>
  <c r="H10" i="82"/>
  <c r="H27" i="82"/>
  <c r="H18" i="83"/>
  <c r="H10" i="83"/>
  <c r="H27" i="83"/>
  <c r="H26" i="84"/>
  <c r="H11" i="85"/>
  <c r="H28" i="85"/>
  <c r="H18" i="86"/>
  <c r="H10" i="86"/>
  <c r="H17" i="87"/>
  <c r="H26" i="87"/>
  <c r="H16" i="88"/>
  <c r="H16" i="90"/>
  <c r="H16" i="91"/>
  <c r="H44" i="91"/>
  <c r="H46" i="91" s="1"/>
  <c r="D40" i="96"/>
  <c r="H14" i="99"/>
  <c r="D40" i="100"/>
  <c r="H34" i="100"/>
  <c r="H26" i="101"/>
  <c r="H36" i="106"/>
  <c r="H13" i="109"/>
  <c r="E16" i="80"/>
  <c r="H29" i="96"/>
  <c r="D40" i="98"/>
  <c r="H16" i="104"/>
  <c r="H38" i="104"/>
  <c r="E15" i="105"/>
  <c r="E14" i="105"/>
  <c r="E13" i="105"/>
  <c r="E19" i="105"/>
  <c r="E11" i="105"/>
  <c r="H13" i="107"/>
  <c r="H12" i="97"/>
  <c r="H21" i="109"/>
  <c r="H21" i="129"/>
  <c r="H34" i="93"/>
  <c r="H17" i="100"/>
  <c r="H21" i="107"/>
  <c r="H34" i="129"/>
  <c r="E17" i="94"/>
  <c r="E17" i="97"/>
  <c r="E17" i="98"/>
  <c r="H37" i="99"/>
  <c r="H37" i="100"/>
  <c r="H37" i="101"/>
  <c r="H36" i="102"/>
  <c r="H18" i="103"/>
  <c r="H10" i="103"/>
  <c r="H27" i="103"/>
  <c r="H35" i="105"/>
  <c r="H34" i="106"/>
  <c r="H23" i="106"/>
  <c r="D19" i="108"/>
  <c r="H22" i="108"/>
  <c r="H22" i="109"/>
  <c r="H35" i="112"/>
  <c r="H21" i="131"/>
  <c r="H43" i="132"/>
  <c r="H21" i="137"/>
  <c r="H39" i="147"/>
  <c r="H37" i="116"/>
  <c r="H35" i="118"/>
  <c r="H27" i="121"/>
  <c r="H18" i="133"/>
  <c r="H36" i="137"/>
  <c r="H42" i="137"/>
  <c r="E10" i="94"/>
  <c r="E18" i="94"/>
  <c r="H34" i="96"/>
  <c r="H23" i="96"/>
  <c r="E10" i="97"/>
  <c r="E18" i="97"/>
  <c r="H17" i="97"/>
  <c r="E10" i="98"/>
  <c r="E18" i="98"/>
  <c r="H17" i="98"/>
  <c r="H26" i="98"/>
  <c r="H36" i="101"/>
  <c r="H35" i="102"/>
  <c r="E10" i="103"/>
  <c r="H17" i="103"/>
  <c r="H35" i="104"/>
  <c r="H34" i="105"/>
  <c r="H23" i="105"/>
  <c r="H22" i="106"/>
  <c r="H38" i="113"/>
  <c r="H11" i="120"/>
  <c r="D48" i="135"/>
  <c r="E42" i="135" s="1"/>
  <c r="H13" i="136"/>
  <c r="H43" i="154"/>
  <c r="H46" i="154" s="1"/>
  <c r="C46" i="154" s="1"/>
  <c r="H26" i="158"/>
  <c r="E11" i="102"/>
  <c r="E19" i="102"/>
  <c r="E11" i="104"/>
  <c r="H26" i="123"/>
  <c r="H30" i="131"/>
  <c r="H23" i="158"/>
  <c r="H23" i="98"/>
  <c r="H16" i="99"/>
  <c r="H44" i="99"/>
  <c r="H16" i="100"/>
  <c r="H44" i="100"/>
  <c r="H16" i="101"/>
  <c r="H44" i="101"/>
  <c r="E12" i="102"/>
  <c r="H15" i="102"/>
  <c r="H43" i="102"/>
  <c r="H34" i="103"/>
  <c r="E12" i="104"/>
  <c r="H15" i="104"/>
  <c r="H14" i="105"/>
  <c r="H13" i="106"/>
  <c r="H30" i="106"/>
  <c r="H12" i="107"/>
  <c r="H29" i="108"/>
  <c r="H12" i="109"/>
  <c r="H11" i="110"/>
  <c r="H28" i="110"/>
  <c r="E18" i="113"/>
  <c r="E10" i="113"/>
  <c r="E17" i="113"/>
  <c r="E14" i="113"/>
  <c r="H37" i="115"/>
  <c r="E18" i="125"/>
  <c r="E10" i="125"/>
  <c r="E16" i="125"/>
  <c r="E15" i="125"/>
  <c r="E14" i="125"/>
  <c r="D32" i="128"/>
  <c r="D50" i="128" s="1"/>
  <c r="H37" i="114"/>
  <c r="H31" i="116"/>
  <c r="H16" i="132"/>
  <c r="H18" i="153"/>
  <c r="H30" i="155"/>
  <c r="E13" i="102"/>
  <c r="H12" i="111"/>
  <c r="H15" i="132"/>
  <c r="H29" i="139"/>
  <c r="E13" i="94"/>
  <c r="E13" i="97"/>
  <c r="E13" i="98"/>
  <c r="E13" i="103"/>
  <c r="E10" i="124"/>
  <c r="E17" i="124"/>
  <c r="E16" i="124"/>
  <c r="E14" i="124"/>
  <c r="E13" i="124"/>
  <c r="H42" i="101"/>
  <c r="H46" i="101" s="1"/>
  <c r="C46" i="101" s="1"/>
  <c r="H31" i="101"/>
  <c r="H30" i="102"/>
  <c r="H13" i="104"/>
  <c r="H30" i="104"/>
  <c r="H29" i="105"/>
  <c r="H11" i="106"/>
  <c r="H28" i="106"/>
  <c r="H27" i="107"/>
  <c r="H10" i="108"/>
  <c r="H27" i="108"/>
  <c r="H10" i="109"/>
  <c r="H19" i="109" s="1"/>
  <c r="C19" i="109" s="1"/>
  <c r="H17" i="110"/>
  <c r="H26" i="110"/>
  <c r="E11" i="113"/>
  <c r="E19" i="114"/>
  <c r="E11" i="114"/>
  <c r="E18" i="114"/>
  <c r="E10" i="114"/>
  <c r="E15" i="114"/>
  <c r="H34" i="115"/>
  <c r="H35" i="123"/>
  <c r="H23" i="126"/>
  <c r="H36" i="135"/>
  <c r="H22" i="135"/>
  <c r="E18" i="158"/>
  <c r="E10" i="158"/>
  <c r="E14" i="158"/>
  <c r="E13" i="158"/>
  <c r="E17" i="158"/>
  <c r="E15" i="158"/>
  <c r="E19" i="158"/>
  <c r="E16" i="158"/>
  <c r="E12" i="158"/>
  <c r="E11" i="158"/>
  <c r="H36" i="117"/>
  <c r="H37" i="156"/>
  <c r="H22" i="111"/>
  <c r="H21" i="117"/>
  <c r="H21" i="135"/>
  <c r="H28" i="136"/>
  <c r="H11" i="138"/>
  <c r="H16" i="159"/>
  <c r="H34" i="117"/>
  <c r="H42" i="128"/>
  <c r="H38" i="144"/>
  <c r="H12" i="149"/>
  <c r="H11" i="151"/>
  <c r="E10" i="119"/>
  <c r="E18" i="119"/>
  <c r="H12" i="140"/>
  <c r="H38" i="141"/>
  <c r="H21" i="157"/>
  <c r="H43" i="111"/>
  <c r="H46" i="111" s="1"/>
  <c r="C46" i="111" s="1"/>
  <c r="E13" i="123"/>
  <c r="H14" i="123"/>
  <c r="H42" i="123"/>
  <c r="H31" i="123"/>
  <c r="H21" i="125"/>
  <c r="H39" i="126"/>
  <c r="H38" i="127"/>
  <c r="H11" i="128"/>
  <c r="H28" i="128"/>
  <c r="H37" i="129"/>
  <c r="H18" i="130"/>
  <c r="H10" i="130"/>
  <c r="H27" i="130"/>
  <c r="H18" i="131"/>
  <c r="H10" i="131"/>
  <c r="H29" i="132"/>
  <c r="E11" i="119"/>
  <c r="E19" i="119"/>
  <c r="H16" i="119"/>
  <c r="H44" i="119"/>
  <c r="H34" i="120"/>
  <c r="H23" i="120"/>
  <c r="H14" i="122"/>
  <c r="H31" i="122"/>
  <c r="H13" i="124"/>
  <c r="H12" i="126"/>
  <c r="H29" i="126"/>
  <c r="H11" i="127"/>
  <c r="H28" i="127"/>
  <c r="H37" i="128"/>
  <c r="H18" i="129"/>
  <c r="H10" i="129"/>
  <c r="H36" i="130"/>
  <c r="H36" i="131"/>
  <c r="H12" i="132"/>
  <c r="H31" i="133"/>
  <c r="E12" i="134"/>
  <c r="E19" i="134"/>
  <c r="E11" i="134"/>
  <c r="H27" i="134"/>
  <c r="H10" i="136"/>
  <c r="H34" i="145"/>
  <c r="H14" i="147"/>
  <c r="H17" i="152"/>
  <c r="H22" i="136"/>
  <c r="D50" i="139"/>
  <c r="E50" i="139" s="1"/>
  <c r="H13" i="139"/>
  <c r="H16" i="118"/>
  <c r="H23" i="118"/>
  <c r="E12" i="119"/>
  <c r="H15" i="119"/>
  <c r="H43" i="119"/>
  <c r="H22" i="120"/>
  <c r="H39" i="123"/>
  <c r="H12" i="124"/>
  <c r="H29" i="124"/>
  <c r="H12" i="125"/>
  <c r="H29" i="125"/>
  <c r="H11" i="126"/>
  <c r="H18" i="127"/>
  <c r="H36" i="128"/>
  <c r="H17" i="129"/>
  <c r="H26" i="129"/>
  <c r="H35" i="130"/>
  <c r="H35" i="131"/>
  <c r="H11" i="132"/>
  <c r="H37" i="132"/>
  <c r="E18" i="134"/>
  <c r="H10" i="134"/>
  <c r="E11" i="154"/>
  <c r="E17" i="154"/>
  <c r="E10" i="154"/>
  <c r="E18" i="154"/>
  <c r="E15" i="123"/>
  <c r="H21" i="139"/>
  <c r="H35" i="148"/>
  <c r="E13" i="119"/>
  <c r="E19" i="129"/>
  <c r="H11" i="112"/>
  <c r="H27" i="113"/>
  <c r="H17" i="115"/>
  <c r="H16" i="116"/>
  <c r="H15" i="117"/>
  <c r="E16" i="123"/>
  <c r="D32" i="132"/>
  <c r="H26" i="132"/>
  <c r="H29" i="144"/>
  <c r="E14" i="119"/>
  <c r="H44" i="127"/>
  <c r="H34" i="128"/>
  <c r="H23" i="128"/>
  <c r="H24" i="128" s="1"/>
  <c r="C24" i="128" s="1"/>
  <c r="H15" i="129"/>
  <c r="H43" i="129"/>
  <c r="H46" i="129" s="1"/>
  <c r="C46" i="129" s="1"/>
  <c r="H22" i="130"/>
  <c r="H38" i="133"/>
  <c r="H13" i="138"/>
  <c r="H37" i="142"/>
  <c r="H17" i="160"/>
  <c r="E17" i="123"/>
  <c r="E10" i="134"/>
  <c r="H21" i="138"/>
  <c r="H21" i="151"/>
  <c r="H43" i="134"/>
  <c r="H21" i="134"/>
  <c r="H30" i="139"/>
  <c r="H27" i="144"/>
  <c r="H39" i="158"/>
  <c r="H12" i="161"/>
  <c r="E10" i="123"/>
  <c r="H15" i="134"/>
  <c r="E18" i="144"/>
  <c r="E16" i="144"/>
  <c r="H28" i="147"/>
  <c r="H35" i="151"/>
  <c r="H44" i="153"/>
  <c r="H38" i="158"/>
  <c r="H29" i="162"/>
  <c r="H11" i="147"/>
  <c r="H10" i="148"/>
  <c r="H21" i="156"/>
  <c r="H38" i="160"/>
  <c r="E13" i="162"/>
  <c r="E17" i="162"/>
  <c r="E16" i="162"/>
  <c r="E15" i="162"/>
  <c r="E12" i="162"/>
  <c r="E18" i="162"/>
  <c r="E14" i="162"/>
  <c r="E11" i="162"/>
  <c r="H36" i="138"/>
  <c r="E11" i="141"/>
  <c r="E19" i="141"/>
  <c r="H43" i="142"/>
  <c r="H17" i="144"/>
  <c r="H35" i="144"/>
  <c r="H14" i="145"/>
  <c r="H31" i="146"/>
  <c r="H43" i="151"/>
  <c r="H28" i="153"/>
  <c r="H35" i="158"/>
  <c r="E10" i="162"/>
  <c r="H21" i="148"/>
  <c r="E12" i="150"/>
  <c r="E17" i="150"/>
  <c r="H10" i="150"/>
  <c r="H29" i="151"/>
  <c r="H23" i="152"/>
  <c r="H29" i="176"/>
  <c r="H35" i="137"/>
  <c r="H35" i="138"/>
  <c r="H35" i="139"/>
  <c r="H34" i="140"/>
  <c r="D50" i="141"/>
  <c r="H15" i="141"/>
  <c r="H42" i="142"/>
  <c r="H31" i="142"/>
  <c r="H16" i="144"/>
  <c r="H34" i="144"/>
  <c r="H13" i="145"/>
  <c r="H28" i="145"/>
  <c r="H32" i="145" s="1"/>
  <c r="H18" i="148"/>
  <c r="H30" i="148"/>
  <c r="H12" i="152"/>
  <c r="H11" i="155"/>
  <c r="H31" i="156"/>
  <c r="H13" i="160"/>
  <c r="H36" i="160"/>
  <c r="H40" i="160" s="1"/>
  <c r="C40" i="160" s="1"/>
  <c r="H43" i="161"/>
  <c r="H38" i="162"/>
  <c r="H39" i="176"/>
  <c r="D50" i="146"/>
  <c r="E17" i="146"/>
  <c r="H36" i="154"/>
  <c r="H36" i="155"/>
  <c r="H21" i="155"/>
  <c r="H18" i="156"/>
  <c r="H19" i="156" s="1"/>
  <c r="C19" i="156" s="1"/>
  <c r="H30" i="156"/>
  <c r="E19" i="162"/>
  <c r="H26" i="175"/>
  <c r="H23" i="135"/>
  <c r="H23" i="136"/>
  <c r="H23" i="138"/>
  <c r="H23" i="139"/>
  <c r="E14" i="142"/>
  <c r="E12" i="146"/>
  <c r="H31" i="147"/>
  <c r="H42" i="148"/>
  <c r="H21" i="149"/>
  <c r="H24" i="149" s="1"/>
  <c r="C24" i="149" s="1"/>
  <c r="H15" i="151"/>
  <c r="H29" i="156"/>
  <c r="H27" i="161"/>
  <c r="H32" i="161" s="1"/>
  <c r="C32" i="161" s="1"/>
  <c r="H39" i="163"/>
  <c r="H12" i="165"/>
  <c r="D50" i="136"/>
  <c r="H21" i="141"/>
  <c r="H15" i="146"/>
  <c r="E10" i="152"/>
  <c r="E13" i="152"/>
  <c r="E14" i="152"/>
  <c r="H13" i="157"/>
  <c r="H21" i="169"/>
  <c r="H11" i="174"/>
  <c r="H22" i="138"/>
  <c r="H22" i="139"/>
  <c r="H13" i="141"/>
  <c r="H30" i="141"/>
  <c r="H32" i="141" s="1"/>
  <c r="C32" i="141" s="1"/>
  <c r="E15" i="142"/>
  <c r="H12" i="142"/>
  <c r="H11" i="145"/>
  <c r="E13" i="146"/>
  <c r="E14" i="163"/>
  <c r="E16" i="163"/>
  <c r="E15" i="163"/>
  <c r="E13" i="163"/>
  <c r="E12" i="163"/>
  <c r="E11" i="163"/>
  <c r="E18" i="163"/>
  <c r="E17" i="163"/>
  <c r="H11" i="169"/>
  <c r="H29" i="173"/>
  <c r="H29" i="150"/>
  <c r="H12" i="153"/>
  <c r="H22" i="153"/>
  <c r="H31" i="154"/>
  <c r="D27" i="179"/>
  <c r="H27" i="155"/>
  <c r="H43" i="159"/>
  <c r="H13" i="162"/>
  <c r="H23" i="164"/>
  <c r="H38" i="146"/>
  <c r="H27" i="146"/>
  <c r="H27" i="148"/>
  <c r="H29" i="149"/>
  <c r="H37" i="151"/>
  <c r="E17" i="152"/>
  <c r="H31" i="152"/>
  <c r="H36" i="157"/>
  <c r="H28" i="159"/>
  <c r="H44" i="160"/>
  <c r="H14" i="149"/>
  <c r="H39" i="149"/>
  <c r="H15" i="150"/>
  <c r="H44" i="152"/>
  <c r="H26" i="156"/>
  <c r="H39" i="159"/>
  <c r="H30" i="160"/>
  <c r="H36" i="161"/>
  <c r="E10" i="163"/>
  <c r="H18" i="172"/>
  <c r="H21" i="150"/>
  <c r="D32" i="155"/>
  <c r="H26" i="159"/>
  <c r="H17" i="173"/>
  <c r="H30" i="181"/>
  <c r="H26" i="198"/>
  <c r="H32" i="198" s="1"/>
  <c r="C32" i="198" s="1"/>
  <c r="H27" i="154"/>
  <c r="D44" i="179"/>
  <c r="H44" i="179" s="1"/>
  <c r="H16" i="161"/>
  <c r="H38" i="161"/>
  <c r="H37" i="168"/>
  <c r="H40" i="168" s="1"/>
  <c r="C40" i="168" s="1"/>
  <c r="H37" i="171"/>
  <c r="D50" i="166"/>
  <c r="H12" i="166"/>
  <c r="H13" i="171"/>
  <c r="H21" i="171"/>
  <c r="H26" i="151"/>
  <c r="D32" i="151"/>
  <c r="H11" i="154"/>
  <c r="H19" i="154" s="1"/>
  <c r="C19" i="154" s="1"/>
  <c r="H11" i="159"/>
  <c r="D50" i="169"/>
  <c r="E19" i="147"/>
  <c r="E10" i="151"/>
  <c r="E15" i="151"/>
  <c r="H10" i="172"/>
  <c r="H30" i="172"/>
  <c r="H34" i="154"/>
  <c r="H13" i="155"/>
  <c r="H26" i="155"/>
  <c r="E18" i="159"/>
  <c r="E10" i="159"/>
  <c r="E17" i="159"/>
  <c r="E16" i="159"/>
  <c r="E14" i="159"/>
  <c r="E13" i="159"/>
  <c r="H15" i="163"/>
  <c r="H31" i="169"/>
  <c r="E12" i="147"/>
  <c r="H12" i="155"/>
  <c r="H30" i="157"/>
  <c r="D46" i="159"/>
  <c r="H39" i="162"/>
  <c r="H36" i="163"/>
  <c r="H36" i="164"/>
  <c r="H40" i="164" s="1"/>
  <c r="C40" i="164" s="1"/>
  <c r="H21" i="164"/>
  <c r="E15" i="153"/>
  <c r="H29" i="157"/>
  <c r="H17" i="158"/>
  <c r="H17" i="159"/>
  <c r="D48" i="160"/>
  <c r="H24" i="161"/>
  <c r="C24" i="161" s="1"/>
  <c r="H26" i="164"/>
  <c r="H39" i="154"/>
  <c r="H22" i="155"/>
  <c r="H23" i="156"/>
  <c r="H22" i="157"/>
  <c r="H14" i="158"/>
  <c r="H46" i="158"/>
  <c r="C46" i="158" s="1"/>
  <c r="H31" i="158"/>
  <c r="H14" i="159"/>
  <c r="H31" i="159"/>
  <c r="H22" i="160"/>
  <c r="H26" i="162"/>
  <c r="E16" i="164"/>
  <c r="H44" i="174"/>
  <c r="H12" i="179"/>
  <c r="H38" i="185"/>
  <c r="H44" i="164"/>
  <c r="D28" i="179"/>
  <c r="H28" i="179" s="1"/>
  <c r="D28" i="180"/>
  <c r="H42" i="169"/>
  <c r="H27" i="172"/>
  <c r="H24" i="185"/>
  <c r="C24" i="185" s="1"/>
  <c r="H30" i="164"/>
  <c r="D40" i="165"/>
  <c r="H38" i="167"/>
  <c r="H46" i="170"/>
  <c r="C46" i="170" s="1"/>
  <c r="E14" i="155"/>
  <c r="G4" i="155"/>
  <c r="E13" i="156"/>
  <c r="E14" i="157"/>
  <c r="E14" i="160"/>
  <c r="E14" i="161"/>
  <c r="H17" i="162"/>
  <c r="D48" i="163"/>
  <c r="H24" i="163"/>
  <c r="C24" i="163" s="1"/>
  <c r="H28" i="169"/>
  <c r="H26" i="173"/>
  <c r="H28" i="178"/>
  <c r="H32" i="178" s="1"/>
  <c r="C32" i="178" s="1"/>
  <c r="H28" i="183"/>
  <c r="H29" i="165"/>
  <c r="E14" i="156"/>
  <c r="E15" i="160"/>
  <c r="H29" i="160"/>
  <c r="E15" i="161"/>
  <c r="H16" i="162"/>
  <c r="H39" i="166"/>
  <c r="H32" i="166"/>
  <c r="C32" i="166" s="1"/>
  <c r="H43" i="165"/>
  <c r="H32" i="170"/>
  <c r="C32" i="170" s="1"/>
  <c r="H24" i="181"/>
  <c r="C24" i="181" s="1"/>
  <c r="H12" i="194"/>
  <c r="H17" i="165"/>
  <c r="H35" i="167"/>
  <c r="H40" i="167" s="1"/>
  <c r="C40" i="167" s="1"/>
  <c r="H38" i="170"/>
  <c r="H12" i="173"/>
  <c r="E14" i="164"/>
  <c r="E19" i="164"/>
  <c r="E11" i="164"/>
  <c r="E17" i="164"/>
  <c r="H12" i="188"/>
  <c r="E17" i="161"/>
  <c r="E14" i="165"/>
  <c r="E13" i="165"/>
  <c r="E19" i="165"/>
  <c r="E11" i="165"/>
  <c r="E18" i="165"/>
  <c r="E10" i="165"/>
  <c r="E17" i="165"/>
  <c r="H26" i="165"/>
  <c r="H16" i="168"/>
  <c r="D50" i="170"/>
  <c r="E50" i="170" s="1"/>
  <c r="H23" i="180"/>
  <c r="H24" i="184"/>
  <c r="C24" i="184" s="1"/>
  <c r="E12" i="164"/>
  <c r="H13" i="164"/>
  <c r="D32" i="165"/>
  <c r="H15" i="165"/>
  <c r="H36" i="166"/>
  <c r="D48" i="173"/>
  <c r="E46" i="173" s="1"/>
  <c r="A52" i="173" s="1"/>
  <c r="H34" i="184"/>
  <c r="E16" i="172"/>
  <c r="H37" i="192"/>
  <c r="H21" i="195"/>
  <c r="E17" i="166"/>
  <c r="E10" i="167"/>
  <c r="E18" i="167"/>
  <c r="E15" i="170"/>
  <c r="E18" i="175"/>
  <c r="D32" i="195"/>
  <c r="E17" i="172"/>
  <c r="E10" i="173"/>
  <c r="E18" i="173"/>
  <c r="H23" i="190"/>
  <c r="H24" i="190" s="1"/>
  <c r="C24" i="190" s="1"/>
  <c r="E10" i="172"/>
  <c r="E18" i="172"/>
  <c r="E11" i="173"/>
  <c r="H24" i="177"/>
  <c r="D32" i="189"/>
  <c r="H21" i="196"/>
  <c r="H34" i="165"/>
  <c r="H40" i="165" s="1"/>
  <c r="E11" i="166"/>
  <c r="E19" i="166"/>
  <c r="H16" i="166"/>
  <c r="E12" i="167"/>
  <c r="D50" i="167"/>
  <c r="H15" i="167"/>
  <c r="H19" i="167" s="1"/>
  <c r="C19" i="167" s="1"/>
  <c r="H22" i="168"/>
  <c r="H36" i="169"/>
  <c r="E17" i="170"/>
  <c r="H18" i="170"/>
  <c r="H23" i="173"/>
  <c r="H22" i="174"/>
  <c r="H15" i="175"/>
  <c r="H43" i="175"/>
  <c r="H24" i="176"/>
  <c r="E11" i="181"/>
  <c r="E10" i="181"/>
  <c r="E17" i="181"/>
  <c r="E14" i="181"/>
  <c r="H16" i="184"/>
  <c r="E12" i="185"/>
  <c r="H36" i="197"/>
  <c r="H30" i="199"/>
  <c r="H32" i="199" s="1"/>
  <c r="C32" i="199" s="1"/>
  <c r="H23" i="166"/>
  <c r="H22" i="167"/>
  <c r="H24" i="167" s="1"/>
  <c r="C24" i="167" s="1"/>
  <c r="H14" i="168"/>
  <c r="H31" i="168"/>
  <c r="H17" i="169"/>
  <c r="H26" i="169"/>
  <c r="H36" i="170"/>
  <c r="H16" i="172"/>
  <c r="H44" i="172"/>
  <c r="D48" i="177"/>
  <c r="H29" i="189"/>
  <c r="H22" i="173"/>
  <c r="H21" i="174"/>
  <c r="E13" i="175"/>
  <c r="H14" i="175"/>
  <c r="H34" i="182"/>
  <c r="E13" i="185"/>
  <c r="H22" i="164"/>
  <c r="H14" i="165"/>
  <c r="H42" i="165"/>
  <c r="H31" i="165"/>
  <c r="H13" i="168"/>
  <c r="H16" i="169"/>
  <c r="H44" i="169"/>
  <c r="H35" i="170"/>
  <c r="H34" i="171"/>
  <c r="H23" i="171"/>
  <c r="H24" i="171" s="1"/>
  <c r="H43" i="172"/>
  <c r="H14" i="173"/>
  <c r="H42" i="173"/>
  <c r="H31" i="173"/>
  <c r="H13" i="174"/>
  <c r="H30" i="174"/>
  <c r="E11" i="185"/>
  <c r="E19" i="185"/>
  <c r="E10" i="185"/>
  <c r="E16" i="185"/>
  <c r="E15" i="185"/>
  <c r="H10" i="193"/>
  <c r="E14" i="167"/>
  <c r="E19" i="170"/>
  <c r="E14" i="175"/>
  <c r="H44" i="176"/>
  <c r="D34" i="179"/>
  <c r="D48" i="178"/>
  <c r="H13" i="179"/>
  <c r="H17" i="180"/>
  <c r="E12" i="170"/>
  <c r="H11" i="179"/>
  <c r="H21" i="180"/>
  <c r="H31" i="181"/>
  <c r="D50" i="195"/>
  <c r="H16" i="200"/>
  <c r="H39" i="177"/>
  <c r="H36" i="178"/>
  <c r="H39" i="181"/>
  <c r="H29" i="181"/>
  <c r="H14" i="182"/>
  <c r="H10" i="183"/>
  <c r="H36" i="183"/>
  <c r="H17" i="186"/>
  <c r="D48" i="187"/>
  <c r="H15" i="189"/>
  <c r="D48" i="190"/>
  <c r="H37" i="198"/>
  <c r="H43" i="206"/>
  <c r="H18" i="183"/>
  <c r="D48" i="185"/>
  <c r="E24" i="185" s="1"/>
  <c r="H11" i="185"/>
  <c r="H36" i="185"/>
  <c r="H36" i="198"/>
  <c r="H24" i="207"/>
  <c r="C24" i="207" s="1"/>
  <c r="H12" i="181"/>
  <c r="H38" i="181"/>
  <c r="H28" i="181"/>
  <c r="H35" i="183"/>
  <c r="D32" i="184"/>
  <c r="D32" i="186"/>
  <c r="H39" i="187"/>
  <c r="E15" i="189"/>
  <c r="E14" i="189"/>
  <c r="E13" i="189"/>
  <c r="E12" i="189"/>
  <c r="E19" i="189"/>
  <c r="E11" i="189"/>
  <c r="E18" i="189"/>
  <c r="E10" i="189"/>
  <c r="H34" i="190"/>
  <c r="D50" i="194"/>
  <c r="H46" i="196"/>
  <c r="C46" i="196" s="1"/>
  <c r="H16" i="177"/>
  <c r="H44" i="177"/>
  <c r="H34" i="178"/>
  <c r="H40" i="178" s="1"/>
  <c r="C40" i="178" s="1"/>
  <c r="H23" i="178"/>
  <c r="H22" i="179"/>
  <c r="H11" i="181"/>
  <c r="H27" i="181"/>
  <c r="E14" i="186"/>
  <c r="H43" i="188"/>
  <c r="D40" i="188"/>
  <c r="D50" i="188" s="1"/>
  <c r="H14" i="195"/>
  <c r="H12" i="180"/>
  <c r="E18" i="183"/>
  <c r="H23" i="187"/>
  <c r="H38" i="191"/>
  <c r="D48" i="197"/>
  <c r="H21" i="179"/>
  <c r="D48" i="183"/>
  <c r="E13" i="178"/>
  <c r="E10" i="183"/>
  <c r="E19" i="183"/>
  <c r="H26" i="184"/>
  <c r="H32" i="184" s="1"/>
  <c r="C32" i="184" s="1"/>
  <c r="H39" i="201"/>
  <c r="H37" i="202"/>
  <c r="H44" i="214"/>
  <c r="H14" i="176"/>
  <c r="H15" i="188"/>
  <c r="H43" i="214"/>
  <c r="E43" i="219"/>
  <c r="E14" i="178"/>
  <c r="E11" i="183"/>
  <c r="H26" i="186"/>
  <c r="H32" i="186" s="1"/>
  <c r="H23" i="193"/>
  <c r="H29" i="203"/>
  <c r="H32" i="203" s="1"/>
  <c r="C32" i="203" s="1"/>
  <c r="H24" i="206"/>
  <c r="C24" i="206" s="1"/>
  <c r="E15" i="188"/>
  <c r="E14" i="188"/>
  <c r="E13" i="188"/>
  <c r="E12" i="188"/>
  <c r="E19" i="188"/>
  <c r="E11" i="188"/>
  <c r="E18" i="188"/>
  <c r="E10" i="188"/>
  <c r="H22" i="191"/>
  <c r="H24" i="191" s="1"/>
  <c r="C24" i="191" s="1"/>
  <c r="E19" i="195"/>
  <c r="E11" i="195"/>
  <c r="E16" i="195"/>
  <c r="E15" i="195"/>
  <c r="E14" i="195"/>
  <c r="E13" i="195"/>
  <c r="E12" i="195"/>
  <c r="E10" i="195"/>
  <c r="H22" i="196"/>
  <c r="H37" i="197"/>
  <c r="H12" i="202"/>
  <c r="H13" i="183"/>
  <c r="E18" i="184"/>
  <c r="H34" i="187"/>
  <c r="E16" i="189"/>
  <c r="D40" i="189"/>
  <c r="H39" i="190"/>
  <c r="H22" i="197"/>
  <c r="H39" i="200"/>
  <c r="H11" i="205"/>
  <c r="E17" i="187"/>
  <c r="E17" i="190"/>
  <c r="E10" i="191"/>
  <c r="E18" i="191"/>
  <c r="E11" i="192"/>
  <c r="E19" i="192"/>
  <c r="H34" i="193"/>
  <c r="H28" i="195"/>
  <c r="D50" i="196"/>
  <c r="D27" i="269"/>
  <c r="D32" i="202"/>
  <c r="D50" i="202" s="1"/>
  <c r="H37" i="211"/>
  <c r="H40" i="211" s="1"/>
  <c r="C40" i="211" s="1"/>
  <c r="H36" i="187"/>
  <c r="H17" i="188"/>
  <c r="H26" i="188"/>
  <c r="H32" i="188" s="1"/>
  <c r="C32" i="188" s="1"/>
  <c r="H17" i="189"/>
  <c r="H19" i="189" s="1"/>
  <c r="C19" i="189" s="1"/>
  <c r="H26" i="189"/>
  <c r="H36" i="190"/>
  <c r="H35" i="191"/>
  <c r="H34" i="192"/>
  <c r="H23" i="192"/>
  <c r="E12" i="193"/>
  <c r="D50" i="193"/>
  <c r="H15" i="193"/>
  <c r="H43" i="193"/>
  <c r="H11" i="195"/>
  <c r="H37" i="195"/>
  <c r="H39" i="196"/>
  <c r="H31" i="197"/>
  <c r="H12" i="204"/>
  <c r="D48" i="205"/>
  <c r="E46" i="205" s="1"/>
  <c r="D50" i="205"/>
  <c r="H12" i="226"/>
  <c r="H17" i="190"/>
  <c r="H26" i="190"/>
  <c r="H32" i="190" s="1"/>
  <c r="C32" i="190" s="1"/>
  <c r="H16" i="191"/>
  <c r="H44" i="191"/>
  <c r="H46" i="191" s="1"/>
  <c r="C46" i="191" s="1"/>
  <c r="D50" i="192"/>
  <c r="H15" i="192"/>
  <c r="H43" i="192"/>
  <c r="H12" i="196"/>
  <c r="H19" i="196" s="1"/>
  <c r="C19" i="196" s="1"/>
  <c r="H11" i="226"/>
  <c r="H42" i="193"/>
  <c r="H21" i="198"/>
  <c r="D32" i="201"/>
  <c r="D48" i="201" s="1"/>
  <c r="D40" i="204"/>
  <c r="H44" i="207"/>
  <c r="H23" i="186"/>
  <c r="H24" i="186" s="1"/>
  <c r="C24" i="186" s="1"/>
  <c r="E11" i="187"/>
  <c r="E19" i="187"/>
  <c r="H23" i="188"/>
  <c r="H24" i="188" s="1"/>
  <c r="H23" i="189"/>
  <c r="H24" i="189" s="1"/>
  <c r="E11" i="190"/>
  <c r="E19" i="190"/>
  <c r="E12" i="191"/>
  <c r="D50" i="191"/>
  <c r="H15" i="191"/>
  <c r="E13" i="192"/>
  <c r="H42" i="192"/>
  <c r="H30" i="193"/>
  <c r="H22" i="194"/>
  <c r="H18" i="195"/>
  <c r="H26" i="195"/>
  <c r="D48" i="196"/>
  <c r="D48" i="200"/>
  <c r="D50" i="200"/>
  <c r="H43" i="207"/>
  <c r="H46" i="207" s="1"/>
  <c r="H27" i="209"/>
  <c r="H17" i="213"/>
  <c r="H43" i="215"/>
  <c r="E14" i="193"/>
  <c r="D48" i="193"/>
  <c r="E32" i="193" s="1"/>
  <c r="H13" i="193"/>
  <c r="H15" i="194"/>
  <c r="H43" i="194"/>
  <c r="H37" i="196"/>
  <c r="H27" i="196"/>
  <c r="H24" i="200"/>
  <c r="H26" i="209"/>
  <c r="E15" i="193"/>
  <c r="D50" i="198"/>
  <c r="E50" i="198" s="1"/>
  <c r="H13" i="199"/>
  <c r="H12" i="203"/>
  <c r="H14" i="185"/>
  <c r="H31" i="185"/>
  <c r="E13" i="187"/>
  <c r="H14" i="187"/>
  <c r="H19" i="187" s="1"/>
  <c r="C19" i="187" s="1"/>
  <c r="H42" i="187"/>
  <c r="H46" i="187" s="1"/>
  <c r="H31" i="187"/>
  <c r="H32" i="187" s="1"/>
  <c r="C32" i="187" s="1"/>
  <c r="E13" i="190"/>
  <c r="E14" i="191"/>
  <c r="H13" i="191"/>
  <c r="H30" i="191"/>
  <c r="H32" i="191" s="1"/>
  <c r="C32" i="191" s="1"/>
  <c r="E15" i="192"/>
  <c r="H12" i="192"/>
  <c r="H29" i="192"/>
  <c r="H38" i="193"/>
  <c r="H28" i="193"/>
  <c r="H15" i="207"/>
  <c r="H19" i="207" s="1"/>
  <c r="C19" i="207" s="1"/>
  <c r="E16" i="193"/>
  <c r="E14" i="196"/>
  <c r="H35" i="199"/>
  <c r="H40" i="199" s="1"/>
  <c r="C40" i="199" s="1"/>
  <c r="H21" i="199"/>
  <c r="D40" i="203"/>
  <c r="H46" i="204"/>
  <c r="C46" i="204" s="1"/>
  <c r="H19" i="206"/>
  <c r="C19" i="206" s="1"/>
  <c r="H26" i="229"/>
  <c r="H32" i="200"/>
  <c r="C32" i="200" s="1"/>
  <c r="H18" i="210"/>
  <c r="H37" i="210"/>
  <c r="H40" i="210" s="1"/>
  <c r="C40" i="210" s="1"/>
  <c r="H34" i="196"/>
  <c r="D50" i="197"/>
  <c r="D48" i="199"/>
  <c r="E46" i="199" s="1"/>
  <c r="A52" i="199" s="1"/>
  <c r="H44" i="200"/>
  <c r="E16" i="208"/>
  <c r="E15" i="208"/>
  <c r="E14" i="208"/>
  <c r="E13" i="208"/>
  <c r="E19" i="208"/>
  <c r="E11" i="208"/>
  <c r="E18" i="208"/>
  <c r="E10" i="208"/>
  <c r="E17" i="208"/>
  <c r="E12" i="208"/>
  <c r="H17" i="210"/>
  <c r="H36" i="212"/>
  <c r="H40" i="212" s="1"/>
  <c r="C40" i="212" s="1"/>
  <c r="D48" i="208"/>
  <c r="E40" i="208" s="1"/>
  <c r="H21" i="208"/>
  <c r="H17" i="209"/>
  <c r="H24" i="216"/>
  <c r="C24" i="216" s="1"/>
  <c r="H40" i="205"/>
  <c r="C40" i="205" s="1"/>
  <c r="H37" i="209"/>
  <c r="E18" i="214"/>
  <c r="E10" i="214"/>
  <c r="E17" i="214"/>
  <c r="E16" i="214"/>
  <c r="E15" i="214"/>
  <c r="E14" i="214"/>
  <c r="E13" i="214"/>
  <c r="D50" i="214"/>
  <c r="E12" i="214"/>
  <c r="E18" i="215"/>
  <c r="E10" i="215"/>
  <c r="E17" i="215"/>
  <c r="E16" i="215"/>
  <c r="E15" i="215"/>
  <c r="E14" i="215"/>
  <c r="E13" i="215"/>
  <c r="E12" i="215"/>
  <c r="H21" i="219"/>
  <c r="H24" i="219" s="1"/>
  <c r="C24" i="219" s="1"/>
  <c r="H21" i="220"/>
  <c r="D46" i="221"/>
  <c r="H36" i="200"/>
  <c r="H36" i="201"/>
  <c r="E10" i="202"/>
  <c r="E18" i="202"/>
  <c r="E10" i="203"/>
  <c r="E18" i="203"/>
  <c r="E10" i="204"/>
  <c r="E18" i="204"/>
  <c r="E10" i="205"/>
  <c r="E18" i="205"/>
  <c r="H28" i="206"/>
  <c r="E17" i="207"/>
  <c r="H44" i="208"/>
  <c r="H15" i="209"/>
  <c r="E19" i="214"/>
  <c r="E19" i="215"/>
  <c r="H44" i="216"/>
  <c r="E14" i="206"/>
  <c r="H30" i="208"/>
  <c r="D40" i="213"/>
  <c r="D50" i="213" s="1"/>
  <c r="H12" i="220"/>
  <c r="D48" i="224"/>
  <c r="E11" i="202"/>
  <c r="E19" i="202"/>
  <c r="E11" i="203"/>
  <c r="E19" i="203"/>
  <c r="E11" i="204"/>
  <c r="E19" i="204"/>
  <c r="E11" i="205"/>
  <c r="E19" i="205"/>
  <c r="H43" i="205"/>
  <c r="H31" i="205"/>
  <c r="H32" i="205" s="1"/>
  <c r="C32" i="205" s="1"/>
  <c r="H27" i="206"/>
  <c r="H13" i="209"/>
  <c r="H21" i="209"/>
  <c r="H44" i="212"/>
  <c r="D48" i="216"/>
  <c r="H12" i="222"/>
  <c r="H30" i="222"/>
  <c r="H16" i="201"/>
  <c r="H44" i="201"/>
  <c r="H34" i="202"/>
  <c r="H23" i="202"/>
  <c r="H34" i="203"/>
  <c r="H23" i="203"/>
  <c r="H34" i="204"/>
  <c r="H40" i="204" s="1"/>
  <c r="H23" i="204"/>
  <c r="H15" i="205"/>
  <c r="H19" i="205" s="1"/>
  <c r="C19" i="205" s="1"/>
  <c r="E16" i="206"/>
  <c r="E15" i="207"/>
  <c r="D50" i="207"/>
  <c r="E16" i="209"/>
  <c r="E15" i="209"/>
  <c r="E14" i="209"/>
  <c r="E13" i="209"/>
  <c r="E19" i="209"/>
  <c r="E11" i="209"/>
  <c r="E18" i="209"/>
  <c r="E10" i="209"/>
  <c r="H10" i="210"/>
  <c r="H26" i="213"/>
  <c r="H12" i="219"/>
  <c r="H11" i="221"/>
  <c r="H29" i="222"/>
  <c r="H34" i="201"/>
  <c r="H23" i="201"/>
  <c r="H15" i="203"/>
  <c r="H42" i="205"/>
  <c r="H26" i="207"/>
  <c r="H32" i="207" s="1"/>
  <c r="C32" i="207" s="1"/>
  <c r="H16" i="208"/>
  <c r="H16" i="216"/>
  <c r="H23" i="213"/>
  <c r="H24" i="213" s="1"/>
  <c r="C24" i="213" s="1"/>
  <c r="H15" i="214"/>
  <c r="H15" i="215"/>
  <c r="D50" i="199"/>
  <c r="E13" i="202"/>
  <c r="E13" i="203"/>
  <c r="E13" i="204"/>
  <c r="E13" i="205"/>
  <c r="E11" i="207"/>
  <c r="E43" i="207"/>
  <c r="E12" i="209"/>
  <c r="H35" i="215"/>
  <c r="H26" i="227"/>
  <c r="H16" i="197"/>
  <c r="H44" i="197"/>
  <c r="H46" i="197" s="1"/>
  <c r="C46" i="197" s="1"/>
  <c r="H15" i="198"/>
  <c r="H22" i="199"/>
  <c r="H14" i="200"/>
  <c r="H19" i="200" s="1"/>
  <c r="C19" i="200" s="1"/>
  <c r="H14" i="201"/>
  <c r="H42" i="201"/>
  <c r="H31" i="201"/>
  <c r="H32" i="201" s="1"/>
  <c r="H21" i="202"/>
  <c r="H21" i="203"/>
  <c r="H21" i="204"/>
  <c r="E18" i="206"/>
  <c r="H30" i="209"/>
  <c r="H35" i="214"/>
  <c r="H22" i="198"/>
  <c r="E14" i="202"/>
  <c r="E14" i="203"/>
  <c r="E14" i="204"/>
  <c r="E14" i="205"/>
  <c r="E12" i="207"/>
  <c r="H40" i="207"/>
  <c r="C40" i="207" s="1"/>
  <c r="H13" i="208"/>
  <c r="H37" i="208"/>
  <c r="H40" i="208" s="1"/>
  <c r="C40" i="208" s="1"/>
  <c r="H26" i="208"/>
  <c r="H26" i="211"/>
  <c r="H16" i="212"/>
  <c r="H34" i="213"/>
  <c r="E10" i="206"/>
  <c r="E19" i="206"/>
  <c r="E17" i="209"/>
  <c r="H40" i="233"/>
  <c r="C40" i="233" s="1"/>
  <c r="E13" i="207"/>
  <c r="H26" i="210"/>
  <c r="H17" i="211"/>
  <c r="E10" i="210"/>
  <c r="E18" i="210"/>
  <c r="E10" i="211"/>
  <c r="E18" i="211"/>
  <c r="E11" i="212"/>
  <c r="E19" i="212"/>
  <c r="H21" i="217"/>
  <c r="D40" i="221"/>
  <c r="D50" i="224"/>
  <c r="H30" i="234"/>
  <c r="H16" i="209"/>
  <c r="H44" i="209"/>
  <c r="E11" i="210"/>
  <c r="E19" i="210"/>
  <c r="H16" i="210"/>
  <c r="H44" i="210"/>
  <c r="E11" i="211"/>
  <c r="E19" i="211"/>
  <c r="H16" i="211"/>
  <c r="H44" i="211"/>
  <c r="E12" i="212"/>
  <c r="H43" i="212"/>
  <c r="H42" i="214"/>
  <c r="H31" i="214"/>
  <c r="H42" i="215"/>
  <c r="H31" i="215"/>
  <c r="H30" i="217"/>
  <c r="H21" i="214"/>
  <c r="H21" i="215"/>
  <c r="D48" i="222"/>
  <c r="H37" i="225"/>
  <c r="H23" i="228"/>
  <c r="H13" i="236"/>
  <c r="H43" i="209"/>
  <c r="E12" i="210"/>
  <c r="D50" i="210"/>
  <c r="E50" i="210" s="1"/>
  <c r="H15" i="210"/>
  <c r="H43" i="210"/>
  <c r="E12" i="211"/>
  <c r="D50" i="211"/>
  <c r="J50" i="211" s="1"/>
  <c r="H15" i="211"/>
  <c r="H43" i="211"/>
  <c r="E13" i="212"/>
  <c r="H14" i="212"/>
  <c r="H42" i="212"/>
  <c r="H31" i="212"/>
  <c r="D48" i="214"/>
  <c r="H13" i="214"/>
  <c r="H30" i="214"/>
  <c r="H13" i="215"/>
  <c r="H30" i="215"/>
  <c r="H39" i="216"/>
  <c r="J50" i="226"/>
  <c r="E50" i="226"/>
  <c r="H36" i="228"/>
  <c r="H15" i="229"/>
  <c r="H12" i="236"/>
  <c r="H42" i="233"/>
  <c r="H46" i="233" s="1"/>
  <c r="C46" i="233" s="1"/>
  <c r="H26" i="233"/>
  <c r="H18" i="244"/>
  <c r="H21" i="247"/>
  <c r="H42" i="208"/>
  <c r="H42" i="209"/>
  <c r="E13" i="210"/>
  <c r="H42" i="210"/>
  <c r="E13" i="211"/>
  <c r="H42" i="211"/>
  <c r="E14" i="212"/>
  <c r="H30" i="212"/>
  <c r="H29" i="214"/>
  <c r="H29" i="215"/>
  <c r="E11" i="225"/>
  <c r="H24" i="225"/>
  <c r="C24" i="225" s="1"/>
  <c r="H15" i="231"/>
  <c r="D32" i="247"/>
  <c r="H21" i="210"/>
  <c r="H24" i="210" s="1"/>
  <c r="C24" i="210" s="1"/>
  <c r="H21" i="211"/>
  <c r="H38" i="215"/>
  <c r="E16" i="216"/>
  <c r="H11" i="216"/>
  <c r="H28" i="216"/>
  <c r="H39" i="221"/>
  <c r="H34" i="228"/>
  <c r="H40" i="228" s="1"/>
  <c r="C40" i="228" s="1"/>
  <c r="E18" i="231"/>
  <c r="E10" i="231"/>
  <c r="E17" i="231"/>
  <c r="E16" i="231"/>
  <c r="E15" i="231"/>
  <c r="E13" i="231"/>
  <c r="D50" i="231"/>
  <c r="E19" i="231"/>
  <c r="E14" i="231"/>
  <c r="E12" i="231"/>
  <c r="H24" i="232"/>
  <c r="C24" i="232" s="1"/>
  <c r="E14" i="210"/>
  <c r="D48" i="210"/>
  <c r="H13" i="210"/>
  <c r="H30" i="210"/>
  <c r="E14" i="211"/>
  <c r="D48" i="211"/>
  <c r="H13" i="211"/>
  <c r="H30" i="211"/>
  <c r="E15" i="212"/>
  <c r="H12" i="212"/>
  <c r="H29" i="212"/>
  <c r="H38" i="213"/>
  <c r="H11" i="214"/>
  <c r="H28" i="214"/>
  <c r="H11" i="215"/>
  <c r="H28" i="215"/>
  <c r="H37" i="216"/>
  <c r="H24" i="218"/>
  <c r="C24" i="218" s="1"/>
  <c r="H37" i="224"/>
  <c r="E15" i="225"/>
  <c r="E19" i="225"/>
  <c r="E18" i="225"/>
  <c r="E17" i="225"/>
  <c r="E16" i="225"/>
  <c r="E14" i="225"/>
  <c r="E13" i="225"/>
  <c r="E12" i="225"/>
  <c r="H17" i="233"/>
  <c r="H11" i="239"/>
  <c r="H21" i="223"/>
  <c r="H12" i="209"/>
  <c r="H29" i="209"/>
  <c r="E15" i="210"/>
  <c r="H12" i="210"/>
  <c r="H29" i="210"/>
  <c r="H32" i="210" s="1"/>
  <c r="C32" i="210" s="1"/>
  <c r="E15" i="211"/>
  <c r="H12" i="211"/>
  <c r="H29" i="211"/>
  <c r="E16" i="212"/>
  <c r="H11" i="212"/>
  <c r="H28" i="212"/>
  <c r="H37" i="213"/>
  <c r="H18" i="214"/>
  <c r="H10" i="214"/>
  <c r="H27" i="214"/>
  <c r="H18" i="215"/>
  <c r="H10" i="215"/>
  <c r="H27" i="215"/>
  <c r="H36" i="216"/>
  <c r="H37" i="217"/>
  <c r="H26" i="219"/>
  <c r="H21" i="222"/>
  <c r="H42" i="223"/>
  <c r="D46" i="223"/>
  <c r="D50" i="223" s="1"/>
  <c r="E50" i="223" s="1"/>
  <c r="E17" i="213"/>
  <c r="E10" i="216"/>
  <c r="E18" i="216"/>
  <c r="H31" i="218"/>
  <c r="H32" i="218" s="1"/>
  <c r="C32" i="218" s="1"/>
  <c r="D46" i="218"/>
  <c r="H13" i="222"/>
  <c r="H34" i="222"/>
  <c r="H27" i="227"/>
  <c r="H32" i="227" s="1"/>
  <c r="C32" i="227" s="1"/>
  <c r="E10" i="213"/>
  <c r="E11" i="216"/>
  <c r="H36" i="235"/>
  <c r="H16" i="243"/>
  <c r="H11" i="218"/>
  <c r="H11" i="219"/>
  <c r="H11" i="220"/>
  <c r="H37" i="222"/>
  <c r="H11" i="223"/>
  <c r="H18" i="225"/>
  <c r="H10" i="225"/>
  <c r="H10" i="226"/>
  <c r="E13" i="227"/>
  <c r="E17" i="229"/>
  <c r="E16" i="229"/>
  <c r="E15" i="229"/>
  <c r="E14" i="229"/>
  <c r="E13" i="229"/>
  <c r="E12" i="229"/>
  <c r="H16" i="234"/>
  <c r="D48" i="235"/>
  <c r="E46" i="235" s="1"/>
  <c r="A52" i="235" s="1"/>
  <c r="H11" i="235"/>
  <c r="H30" i="236"/>
  <c r="H23" i="237"/>
  <c r="H24" i="237" s="1"/>
  <c r="C24" i="237" s="1"/>
  <c r="H37" i="218"/>
  <c r="H37" i="219"/>
  <c r="H36" i="221"/>
  <c r="H18" i="222"/>
  <c r="H10" i="222"/>
  <c r="H27" i="222"/>
  <c r="H37" i="223"/>
  <c r="H17" i="224"/>
  <c r="H34" i="224"/>
  <c r="H23" i="224"/>
  <c r="H24" i="224" s="1"/>
  <c r="C24" i="224" s="1"/>
  <c r="H34" i="225"/>
  <c r="H35" i="226"/>
  <c r="H40" i="226" s="1"/>
  <c r="C40" i="226" s="1"/>
  <c r="E15" i="227"/>
  <c r="E14" i="227"/>
  <c r="H31" i="232"/>
  <c r="H29" i="236"/>
  <c r="E17" i="237"/>
  <c r="H18" i="219"/>
  <c r="H10" i="219"/>
  <c r="H27" i="219"/>
  <c r="H18" i="220"/>
  <c r="H10" i="220"/>
  <c r="H27" i="220"/>
  <c r="H32" i="220" s="1"/>
  <c r="C32" i="220" s="1"/>
  <c r="H36" i="222"/>
  <c r="H18" i="223"/>
  <c r="H10" i="223"/>
  <c r="H14" i="233"/>
  <c r="E16" i="237"/>
  <c r="E15" i="237"/>
  <c r="E14" i="237"/>
  <c r="E13" i="237"/>
  <c r="E12" i="237"/>
  <c r="E11" i="237"/>
  <c r="E19" i="237"/>
  <c r="E10" i="237"/>
  <c r="E15" i="228"/>
  <c r="E14" i="228"/>
  <c r="E18" i="237"/>
  <c r="H35" i="242"/>
  <c r="E10" i="219"/>
  <c r="E18" i="219"/>
  <c r="E10" i="220"/>
  <c r="E18" i="220"/>
  <c r="E10" i="223"/>
  <c r="E18" i="223"/>
  <c r="E40" i="226"/>
  <c r="E18" i="227"/>
  <c r="E17" i="228"/>
  <c r="E10" i="229"/>
  <c r="H40" i="229"/>
  <c r="C40" i="229" s="1"/>
  <c r="H42" i="232"/>
  <c r="E19" i="234"/>
  <c r="E11" i="234"/>
  <c r="E18" i="234"/>
  <c r="E10" i="234"/>
  <c r="E17" i="234"/>
  <c r="E16" i="234"/>
  <c r="E15" i="234"/>
  <c r="E14" i="234"/>
  <c r="H23" i="234"/>
  <c r="H24" i="234" s="1"/>
  <c r="C24" i="234" s="1"/>
  <c r="H37" i="237"/>
  <c r="H16" i="217"/>
  <c r="H19" i="217" s="1"/>
  <c r="C19" i="217" s="1"/>
  <c r="H44" i="217"/>
  <c r="H46" i="217" s="1"/>
  <c r="C46" i="217" s="1"/>
  <c r="H35" i="218"/>
  <c r="H35" i="219"/>
  <c r="H35" i="220"/>
  <c r="H40" i="220" s="1"/>
  <c r="C40" i="220" s="1"/>
  <c r="H34" i="221"/>
  <c r="H23" i="221"/>
  <c r="H24" i="221" s="1"/>
  <c r="C24" i="221" s="1"/>
  <c r="H16" i="222"/>
  <c r="H44" i="222"/>
  <c r="H35" i="223"/>
  <c r="H43" i="224"/>
  <c r="H46" i="224" s="1"/>
  <c r="C46" i="224" s="1"/>
  <c r="E39" i="226"/>
  <c r="H36" i="230"/>
  <c r="H17" i="232"/>
  <c r="H13" i="234"/>
  <c r="D40" i="245"/>
  <c r="E38" i="226"/>
  <c r="E16" i="226"/>
  <c r="E15" i="226"/>
  <c r="E14" i="226"/>
  <c r="E13" i="226"/>
  <c r="E19" i="227"/>
  <c r="D48" i="227"/>
  <c r="E18" i="228"/>
  <c r="H26" i="232"/>
  <c r="H36" i="240"/>
  <c r="D50" i="222"/>
  <c r="E17" i="226"/>
  <c r="E37" i="226"/>
  <c r="D48" i="228"/>
  <c r="H36" i="239"/>
  <c r="H37" i="241"/>
  <c r="H40" i="241" s="1"/>
  <c r="C40" i="241" s="1"/>
  <c r="E12" i="219"/>
  <c r="D50" i="219"/>
  <c r="J50" i="219" s="1"/>
  <c r="E12" i="220"/>
  <c r="D50" i="220"/>
  <c r="H15" i="220"/>
  <c r="H43" i="220"/>
  <c r="H46" i="220" s="1"/>
  <c r="C46" i="220" s="1"/>
  <c r="H14" i="221"/>
  <c r="H19" i="221" s="1"/>
  <c r="C19" i="221" s="1"/>
  <c r="H42" i="221"/>
  <c r="H46" i="221" s="1"/>
  <c r="H31" i="221"/>
  <c r="H32" i="221" s="1"/>
  <c r="C32" i="221" s="1"/>
  <c r="H22" i="222"/>
  <c r="E12" i="223"/>
  <c r="H15" i="223"/>
  <c r="H43" i="223"/>
  <c r="E19" i="228"/>
  <c r="H43" i="229"/>
  <c r="H15" i="237"/>
  <c r="E23" i="226"/>
  <c r="E42" i="226"/>
  <c r="E26" i="226"/>
  <c r="E44" i="226"/>
  <c r="E27" i="226"/>
  <c r="E45" i="226"/>
  <c r="E28" i="226"/>
  <c r="E46" i="226"/>
  <c r="A52" i="226" s="1"/>
  <c r="E29" i="226"/>
  <c r="E30" i="226"/>
  <c r="H22" i="230"/>
  <c r="H24" i="230" s="1"/>
  <c r="C24" i="230" s="1"/>
  <c r="H31" i="233"/>
  <c r="H44" i="234"/>
  <c r="H16" i="235"/>
  <c r="H14" i="237"/>
  <c r="H26" i="244"/>
  <c r="E34" i="226"/>
  <c r="E10" i="227"/>
  <c r="H38" i="227"/>
  <c r="H40" i="227" s="1"/>
  <c r="C40" i="227" s="1"/>
  <c r="H14" i="232"/>
  <c r="H37" i="235"/>
  <c r="H32" i="235"/>
  <c r="C32" i="235" s="1"/>
  <c r="E15" i="236"/>
  <c r="E17" i="236"/>
  <c r="E16" i="236"/>
  <c r="E14" i="236"/>
  <c r="E13" i="236"/>
  <c r="E12" i="236"/>
  <c r="E19" i="226"/>
  <c r="E32" i="226"/>
  <c r="E19" i="229"/>
  <c r="H27" i="229"/>
  <c r="E13" i="234"/>
  <c r="H16" i="228"/>
  <c r="H19" i="228" s="1"/>
  <c r="C19" i="228" s="1"/>
  <c r="H23" i="229"/>
  <c r="H24" i="229" s="1"/>
  <c r="C24" i="229" s="1"/>
  <c r="D50" i="230"/>
  <c r="H15" i="230"/>
  <c r="H43" i="230"/>
  <c r="H46" i="230" s="1"/>
  <c r="C46" i="230" s="1"/>
  <c r="H42" i="231"/>
  <c r="H46" i="231" s="1"/>
  <c r="C46" i="231" s="1"/>
  <c r="H22" i="233"/>
  <c r="H24" i="233" s="1"/>
  <c r="C24" i="233" s="1"/>
  <c r="H37" i="236"/>
  <c r="H40" i="236" s="1"/>
  <c r="H27" i="236"/>
  <c r="H34" i="237"/>
  <c r="H14" i="238"/>
  <c r="H43" i="247"/>
  <c r="H46" i="247" s="1"/>
  <c r="C46" i="247" s="1"/>
  <c r="H26" i="248"/>
  <c r="H10" i="249"/>
  <c r="H44" i="235"/>
  <c r="H34" i="235"/>
  <c r="H23" i="235"/>
  <c r="H24" i="235" s="1"/>
  <c r="H10" i="236"/>
  <c r="H10" i="237"/>
  <c r="H18" i="247"/>
  <c r="H22" i="228"/>
  <c r="H14" i="229"/>
  <c r="H42" i="229"/>
  <c r="H39" i="231"/>
  <c r="H13" i="232"/>
  <c r="H30" i="232"/>
  <c r="D48" i="233"/>
  <c r="H13" i="233"/>
  <c r="H30" i="233"/>
  <c r="H12" i="234"/>
  <c r="H31" i="237"/>
  <c r="E16" i="238"/>
  <c r="E15" i="238"/>
  <c r="E14" i="238"/>
  <c r="E13" i="238"/>
  <c r="E19" i="238"/>
  <c r="E11" i="238"/>
  <c r="D48" i="244"/>
  <c r="H36" i="244"/>
  <c r="H40" i="244" s="1"/>
  <c r="C40" i="244" s="1"/>
  <c r="H12" i="267"/>
  <c r="H14" i="226"/>
  <c r="H42" i="226"/>
  <c r="H46" i="226" s="1"/>
  <c r="C46" i="226" s="1"/>
  <c r="H31" i="226"/>
  <c r="H13" i="229"/>
  <c r="H30" i="229"/>
  <c r="H39" i="230"/>
  <c r="H38" i="231"/>
  <c r="E15" i="232"/>
  <c r="H12" i="232"/>
  <c r="H29" i="232"/>
  <c r="E15" i="233"/>
  <c r="H12" i="233"/>
  <c r="H29" i="233"/>
  <c r="H11" i="234"/>
  <c r="H44" i="236"/>
  <c r="H46" i="236" s="1"/>
  <c r="C46" i="236" s="1"/>
  <c r="H23" i="236"/>
  <c r="H18" i="237"/>
  <c r="H21" i="246"/>
  <c r="H24" i="246" s="1"/>
  <c r="C24" i="246" s="1"/>
  <c r="E15" i="230"/>
  <c r="H31" i="238"/>
  <c r="H32" i="238" s="1"/>
  <c r="C32" i="238" s="1"/>
  <c r="D46" i="246"/>
  <c r="H29" i="229"/>
  <c r="E16" i="232"/>
  <c r="E16" i="233"/>
  <c r="H42" i="237"/>
  <c r="H46" i="237" s="1"/>
  <c r="C46" i="237" s="1"/>
  <c r="E10" i="238"/>
  <c r="J50" i="249"/>
  <c r="E50" i="249"/>
  <c r="E17" i="232"/>
  <c r="E17" i="233"/>
  <c r="H31" i="236"/>
  <c r="H10" i="244"/>
  <c r="H42" i="238"/>
  <c r="H46" i="238" s="1"/>
  <c r="H37" i="240"/>
  <c r="H36" i="242"/>
  <c r="H24" i="245"/>
  <c r="C24" i="245" s="1"/>
  <c r="E10" i="232"/>
  <c r="E10" i="233"/>
  <c r="H17" i="243"/>
  <c r="H30" i="246"/>
  <c r="H32" i="246" s="1"/>
  <c r="C32" i="246" s="1"/>
  <c r="H34" i="246"/>
  <c r="H42" i="258"/>
  <c r="E11" i="240"/>
  <c r="E19" i="240"/>
  <c r="H16" i="240"/>
  <c r="E11" i="241"/>
  <c r="E19" i="241"/>
  <c r="H31" i="243"/>
  <c r="H21" i="243"/>
  <c r="H16" i="244"/>
  <c r="H28" i="245"/>
  <c r="H30" i="247"/>
  <c r="H19" i="248"/>
  <c r="C19" i="248" s="1"/>
  <c r="H18" i="249"/>
  <c r="H16" i="258"/>
  <c r="H19" i="258" s="1"/>
  <c r="C19" i="258" s="1"/>
  <c r="E11" i="239"/>
  <c r="E19" i="239"/>
  <c r="H43" i="244"/>
  <c r="E17" i="249"/>
  <c r="E16" i="249"/>
  <c r="E15" i="249"/>
  <c r="E14" i="249"/>
  <c r="E19" i="249"/>
  <c r="H44" i="250"/>
  <c r="H17" i="275"/>
  <c r="H23" i="238"/>
  <c r="H24" i="238" s="1"/>
  <c r="C24" i="238" s="1"/>
  <c r="H34" i="239"/>
  <c r="H23" i="239"/>
  <c r="H24" i="239" s="1"/>
  <c r="H14" i="242"/>
  <c r="H42" i="242"/>
  <c r="H46" i="242" s="1"/>
  <c r="C46" i="242" s="1"/>
  <c r="H31" i="242"/>
  <c r="H30" i="243"/>
  <c r="H15" i="244"/>
  <c r="E12" i="247"/>
  <c r="E19" i="247"/>
  <c r="E11" i="247"/>
  <c r="E18" i="247"/>
  <c r="E10" i="247"/>
  <c r="E17" i="247"/>
  <c r="H15" i="247"/>
  <c r="H28" i="257"/>
  <c r="H15" i="239"/>
  <c r="H22" i="240"/>
  <c r="H24" i="240" s="1"/>
  <c r="C24" i="240" s="1"/>
  <c r="H22" i="241"/>
  <c r="H30" i="244"/>
  <c r="H27" i="249"/>
  <c r="H22" i="251"/>
  <c r="H26" i="245"/>
  <c r="H44" i="252"/>
  <c r="H16" i="253"/>
  <c r="H28" i="266"/>
  <c r="E13" i="239"/>
  <c r="H14" i="239"/>
  <c r="H42" i="239"/>
  <c r="H31" i="239"/>
  <c r="H39" i="242"/>
  <c r="E15" i="243"/>
  <c r="D32" i="243"/>
  <c r="D48" i="243" s="1"/>
  <c r="H12" i="243"/>
  <c r="E14" i="246"/>
  <c r="E13" i="247"/>
  <c r="H23" i="259"/>
  <c r="H24" i="259" s="1"/>
  <c r="C24" i="259" s="1"/>
  <c r="H27" i="266"/>
  <c r="H27" i="247"/>
  <c r="E24" i="249"/>
  <c r="H39" i="266"/>
  <c r="E14" i="239"/>
  <c r="E16" i="243"/>
  <c r="D50" i="244"/>
  <c r="H36" i="249"/>
  <c r="H40" i="249" s="1"/>
  <c r="C40" i="249" s="1"/>
  <c r="H23" i="250"/>
  <c r="H24" i="250" s="1"/>
  <c r="C24" i="250" s="1"/>
  <c r="H39" i="237"/>
  <c r="H39" i="238"/>
  <c r="H40" i="238" s="1"/>
  <c r="H39" i="239"/>
  <c r="E15" i="240"/>
  <c r="H12" i="240"/>
  <c r="H29" i="240"/>
  <c r="H32" i="240" s="1"/>
  <c r="C32" i="240" s="1"/>
  <c r="E15" i="241"/>
  <c r="H12" i="241"/>
  <c r="H19" i="241" s="1"/>
  <c r="C19" i="241" s="1"/>
  <c r="H29" i="241"/>
  <c r="E16" i="242"/>
  <c r="H11" i="242"/>
  <c r="H28" i="242"/>
  <c r="H37" i="243"/>
  <c r="H40" i="243" s="1"/>
  <c r="C40" i="243" s="1"/>
  <c r="E15" i="247"/>
  <c r="H42" i="248"/>
  <c r="H46" i="248" s="1"/>
  <c r="C46" i="248" s="1"/>
  <c r="E10" i="249"/>
  <c r="H13" i="249"/>
  <c r="D50" i="255"/>
  <c r="J50" i="255" s="1"/>
  <c r="E12" i="255"/>
  <c r="E19" i="255"/>
  <c r="E11" i="255"/>
  <c r="E18" i="255"/>
  <c r="E10" i="255"/>
  <c r="E17" i="255"/>
  <c r="E16" i="255"/>
  <c r="E15" i="255"/>
  <c r="E14" i="255"/>
  <c r="E13" i="255"/>
  <c r="E15" i="239"/>
  <c r="E17" i="243"/>
  <c r="H34" i="245"/>
  <c r="E12" i="246"/>
  <c r="E19" i="246"/>
  <c r="E11" i="246"/>
  <c r="E11" i="249"/>
  <c r="H36" i="246"/>
  <c r="E16" i="247"/>
  <c r="H16" i="254"/>
  <c r="H34" i="260"/>
  <c r="E10" i="243"/>
  <c r="E17" i="246"/>
  <c r="H10" i="247"/>
  <c r="E12" i="249"/>
  <c r="H15" i="254"/>
  <c r="E18" i="253"/>
  <c r="E10" i="253"/>
  <c r="E17" i="253"/>
  <c r="E16" i="253"/>
  <c r="E15" i="253"/>
  <c r="E14" i="253"/>
  <c r="H24" i="255"/>
  <c r="C24" i="255" s="1"/>
  <c r="D50" i="258"/>
  <c r="H31" i="260"/>
  <c r="H32" i="260" s="1"/>
  <c r="C32" i="260" s="1"/>
  <c r="E18" i="250"/>
  <c r="E10" i="250"/>
  <c r="E16" i="250"/>
  <c r="E15" i="250"/>
  <c r="E14" i="250"/>
  <c r="E13" i="250"/>
  <c r="H31" i="250"/>
  <c r="E18" i="252"/>
  <c r="E10" i="252"/>
  <c r="E17" i="252"/>
  <c r="E16" i="252"/>
  <c r="E15" i="252"/>
  <c r="E14" i="252"/>
  <c r="E19" i="263"/>
  <c r="E11" i="263"/>
  <c r="E18" i="263"/>
  <c r="E10" i="263"/>
  <c r="E17" i="263"/>
  <c r="E16" i="263"/>
  <c r="E15" i="263"/>
  <c r="E14" i="263"/>
  <c r="D50" i="263"/>
  <c r="E13" i="263"/>
  <c r="E12" i="263"/>
  <c r="H18" i="272"/>
  <c r="H27" i="272"/>
  <c r="H32" i="272" s="1"/>
  <c r="C32" i="272" s="1"/>
  <c r="H43" i="255"/>
  <c r="H46" i="255" s="1"/>
  <c r="C46" i="255" s="1"/>
  <c r="H28" i="256"/>
  <c r="E18" i="260"/>
  <c r="E10" i="260"/>
  <c r="E17" i="260"/>
  <c r="E12" i="260"/>
  <c r="E11" i="260"/>
  <c r="E19" i="260"/>
  <c r="E16" i="260"/>
  <c r="E15" i="260"/>
  <c r="H35" i="261"/>
  <c r="H21" i="248"/>
  <c r="H24" i="248" s="1"/>
  <c r="C24" i="248" s="1"/>
  <c r="H17" i="250"/>
  <c r="E11" i="251"/>
  <c r="E12" i="252"/>
  <c r="H34" i="257"/>
  <c r="H40" i="257" s="1"/>
  <c r="H24" i="263"/>
  <c r="C24" i="263" s="1"/>
  <c r="H42" i="250"/>
  <c r="E18" i="251"/>
  <c r="E10" i="251"/>
  <c r="E17" i="251"/>
  <c r="E16" i="251"/>
  <c r="E15" i="251"/>
  <c r="H26" i="257"/>
  <c r="H16" i="245"/>
  <c r="H19" i="245" s="1"/>
  <c r="C19" i="245" s="1"/>
  <c r="H44" i="245"/>
  <c r="H35" i="246"/>
  <c r="H17" i="247"/>
  <c r="H26" i="247"/>
  <c r="E12" i="251"/>
  <c r="E13" i="252"/>
  <c r="D50" i="248"/>
  <c r="E19" i="252"/>
  <c r="H44" i="254"/>
  <c r="E14" i="260"/>
  <c r="H35" i="262"/>
  <c r="H26" i="250"/>
  <c r="E13" i="251"/>
  <c r="H15" i="255"/>
  <c r="H26" i="264"/>
  <c r="H32" i="264" s="1"/>
  <c r="C32" i="264" s="1"/>
  <c r="E11" i="250"/>
  <c r="H14" i="250"/>
  <c r="E14" i="251"/>
  <c r="D40" i="257"/>
  <c r="H30" i="258"/>
  <c r="H24" i="260"/>
  <c r="H37" i="250"/>
  <c r="H40" i="250" s="1"/>
  <c r="C40" i="250" s="1"/>
  <c r="E19" i="251"/>
  <c r="D32" i="257"/>
  <c r="H36" i="264"/>
  <c r="H21" i="251"/>
  <c r="H21" i="252"/>
  <c r="H24" i="252" s="1"/>
  <c r="C24" i="252" s="1"/>
  <c r="H21" i="253"/>
  <c r="H21" i="254"/>
  <c r="H24" i="254" s="1"/>
  <c r="C24" i="254" s="1"/>
  <c r="H39" i="255"/>
  <c r="E11" i="257"/>
  <c r="H12" i="257"/>
  <c r="H11" i="259"/>
  <c r="H34" i="259"/>
  <c r="H43" i="260"/>
  <c r="H34" i="263"/>
  <c r="H38" i="258"/>
  <c r="D48" i="264"/>
  <c r="D50" i="264"/>
  <c r="H11" i="265"/>
  <c r="H19" i="265" s="1"/>
  <c r="C19" i="265" s="1"/>
  <c r="H27" i="274"/>
  <c r="H26" i="258"/>
  <c r="H42" i="260"/>
  <c r="H22" i="256"/>
  <c r="H24" i="256" s="1"/>
  <c r="C24" i="256" s="1"/>
  <c r="E12" i="258"/>
  <c r="D46" i="259"/>
  <c r="H31" i="261"/>
  <c r="H12" i="250"/>
  <c r="H29" i="250"/>
  <c r="H38" i="251"/>
  <c r="E17" i="256"/>
  <c r="E13" i="257"/>
  <c r="E19" i="259"/>
  <c r="E11" i="259"/>
  <c r="E18" i="259"/>
  <c r="E10" i="259"/>
  <c r="E17" i="259"/>
  <c r="E16" i="259"/>
  <c r="H36" i="268"/>
  <c r="H23" i="277"/>
  <c r="E18" i="258"/>
  <c r="E10" i="258"/>
  <c r="E17" i="258"/>
  <c r="H46" i="263"/>
  <c r="C46" i="263" s="1"/>
  <c r="H11" i="250"/>
  <c r="H28" i="250"/>
  <c r="H37" i="251"/>
  <c r="H37" i="252"/>
  <c r="H37" i="253"/>
  <c r="H37" i="254"/>
  <c r="H40" i="254" s="1"/>
  <c r="C40" i="254" s="1"/>
  <c r="H36" i="255"/>
  <c r="E10" i="256"/>
  <c r="E14" i="257"/>
  <c r="E18" i="261"/>
  <c r="E10" i="261"/>
  <c r="E17" i="261"/>
  <c r="E16" i="261"/>
  <c r="E15" i="261"/>
  <c r="E13" i="261"/>
  <c r="H42" i="261"/>
  <c r="H11" i="270"/>
  <c r="H18" i="251"/>
  <c r="H10" i="251"/>
  <c r="H19" i="251" s="1"/>
  <c r="C19" i="251" s="1"/>
  <c r="H27" i="251"/>
  <c r="H32" i="251" s="1"/>
  <c r="C32" i="251" s="1"/>
  <c r="H18" i="252"/>
  <c r="H10" i="252"/>
  <c r="H27" i="252"/>
  <c r="H32" i="252" s="1"/>
  <c r="C32" i="252" s="1"/>
  <c r="H18" i="253"/>
  <c r="H10" i="253"/>
  <c r="H27" i="253"/>
  <c r="H32" i="253" s="1"/>
  <c r="C32" i="253" s="1"/>
  <c r="H18" i="254"/>
  <c r="H10" i="254"/>
  <c r="H27" i="254"/>
  <c r="H32" i="254" s="1"/>
  <c r="H17" i="255"/>
  <c r="H26" i="255"/>
  <c r="H34" i="268"/>
  <c r="D48" i="270"/>
  <c r="E46" i="270" s="1"/>
  <c r="A52" i="270" s="1"/>
  <c r="D15" i="269"/>
  <c r="D19" i="269" s="1"/>
  <c r="H36" i="269"/>
  <c r="E15" i="258"/>
  <c r="D32" i="259"/>
  <c r="H28" i="259"/>
  <c r="E14" i="261"/>
  <c r="H10" i="268"/>
  <c r="H19" i="268" s="1"/>
  <c r="C19" i="268" s="1"/>
  <c r="H14" i="261"/>
  <c r="E18" i="262"/>
  <c r="E10" i="262"/>
  <c r="E17" i="262"/>
  <c r="E16" i="262"/>
  <c r="E15" i="262"/>
  <c r="E13" i="262"/>
  <c r="H37" i="267"/>
  <c r="H40" i="267" s="1"/>
  <c r="C40" i="267" s="1"/>
  <c r="H14" i="262"/>
  <c r="H42" i="262"/>
  <c r="H46" i="262" s="1"/>
  <c r="C46" i="262" s="1"/>
  <c r="H31" i="262"/>
  <c r="H32" i="262" s="1"/>
  <c r="C32" i="262" s="1"/>
  <c r="H13" i="263"/>
  <c r="H19" i="263" s="1"/>
  <c r="C19" i="263" s="1"/>
  <c r="H30" i="263"/>
  <c r="H22" i="265"/>
  <c r="H24" i="265" s="1"/>
  <c r="H13" i="274"/>
  <c r="H26" i="279"/>
  <c r="D26" i="269"/>
  <c r="H15" i="264"/>
  <c r="H19" i="264" s="1"/>
  <c r="C19" i="264" s="1"/>
  <c r="H43" i="264"/>
  <c r="H46" i="264" s="1"/>
  <c r="C46" i="264" s="1"/>
  <c r="H36" i="266"/>
  <c r="E17" i="268"/>
  <c r="E15" i="268"/>
  <c r="E14" i="268"/>
  <c r="E13" i="268"/>
  <c r="D42" i="269"/>
  <c r="H11" i="271"/>
  <c r="D50" i="274"/>
  <c r="E12" i="274"/>
  <c r="E17" i="274"/>
  <c r="E16" i="274"/>
  <c r="E15" i="274"/>
  <c r="E14" i="274"/>
  <c r="E13" i="274"/>
  <c r="E11" i="274"/>
  <c r="D50" i="266"/>
  <c r="E12" i="266"/>
  <c r="G2" i="269"/>
  <c r="G4" i="269" s="1"/>
  <c r="E16" i="266"/>
  <c r="E21" i="268"/>
  <c r="E39" i="268"/>
  <c r="E22" i="268"/>
  <c r="E24" i="268"/>
  <c r="E43" i="268"/>
  <c r="E26" i="268"/>
  <c r="E44" i="268"/>
  <c r="E27" i="268"/>
  <c r="E28" i="268"/>
  <c r="E29" i="268"/>
  <c r="H37" i="272"/>
  <c r="D32" i="276"/>
  <c r="H27" i="276"/>
  <c r="H32" i="276" s="1"/>
  <c r="H31" i="281"/>
  <c r="H11" i="269"/>
  <c r="H24" i="273"/>
  <c r="C24" i="273" s="1"/>
  <c r="H30" i="281"/>
  <c r="D34" i="269"/>
  <c r="E17" i="266"/>
  <c r="H29" i="267"/>
  <c r="H32" i="267" s="1"/>
  <c r="C32" i="267" s="1"/>
  <c r="E10" i="268"/>
  <c r="E37" i="268"/>
  <c r="E46" i="268"/>
  <c r="A52" i="268" s="1"/>
  <c r="H17" i="269"/>
  <c r="H44" i="276"/>
  <c r="E29" i="266"/>
  <c r="E36" i="268"/>
  <c r="H38" i="270"/>
  <c r="H40" i="270" s="1"/>
  <c r="C40" i="270" s="1"/>
  <c r="H35" i="272"/>
  <c r="H22" i="278"/>
  <c r="H24" i="278" s="1"/>
  <c r="C24" i="278" s="1"/>
  <c r="H18" i="257"/>
  <c r="H10" i="257"/>
  <c r="H27" i="257"/>
  <c r="H37" i="258"/>
  <c r="H40" i="258" s="1"/>
  <c r="H18" i="259"/>
  <c r="H10" i="259"/>
  <c r="H27" i="259"/>
  <c r="H37" i="260"/>
  <c r="H37" i="261"/>
  <c r="H37" i="262"/>
  <c r="H36" i="263"/>
  <c r="H26" i="263"/>
  <c r="E19" i="264"/>
  <c r="E17" i="265"/>
  <c r="E18" i="266"/>
  <c r="E28" i="266"/>
  <c r="E32" i="266"/>
  <c r="E11" i="268"/>
  <c r="E35" i="268"/>
  <c r="E23" i="272"/>
  <c r="E42" i="272"/>
  <c r="E24" i="272"/>
  <c r="E43" i="272"/>
  <c r="E26" i="272"/>
  <c r="E44" i="272"/>
  <c r="E27" i="272"/>
  <c r="E45" i="272"/>
  <c r="E28" i="272"/>
  <c r="E29" i="272"/>
  <c r="E30" i="272"/>
  <c r="E31" i="272"/>
  <c r="E34" i="272"/>
  <c r="E35" i="272"/>
  <c r="E36" i="272"/>
  <c r="H12" i="273"/>
  <c r="H19" i="273" s="1"/>
  <c r="C19" i="273" s="1"/>
  <c r="E11" i="264"/>
  <c r="E27" i="266"/>
  <c r="D48" i="267"/>
  <c r="E34" i="268"/>
  <c r="H38" i="268"/>
  <c r="H11" i="272"/>
  <c r="E10" i="266"/>
  <c r="E19" i="266"/>
  <c r="E26" i="266"/>
  <c r="E12" i="268"/>
  <c r="E32" i="268"/>
  <c r="E10" i="265"/>
  <c r="E45" i="266"/>
  <c r="E31" i="268"/>
  <c r="H23" i="268"/>
  <c r="H24" i="268" s="1"/>
  <c r="C24" i="268" s="1"/>
  <c r="H14" i="269"/>
  <c r="D50" i="273"/>
  <c r="J50" i="273" s="1"/>
  <c r="H28" i="274"/>
  <c r="E11" i="266"/>
  <c r="E44" i="266"/>
  <c r="E23" i="266"/>
  <c r="H13" i="267"/>
  <c r="E16" i="268"/>
  <c r="E23" i="268"/>
  <c r="H39" i="274"/>
  <c r="H40" i="274" s="1"/>
  <c r="C40" i="274" s="1"/>
  <c r="H30" i="275"/>
  <c r="H22" i="269"/>
  <c r="H17" i="270"/>
  <c r="H26" i="270"/>
  <c r="H35" i="271"/>
  <c r="H44" i="272"/>
  <c r="H34" i="272"/>
  <c r="H23" i="272"/>
  <c r="H24" i="272" s="1"/>
  <c r="C24" i="272" s="1"/>
  <c r="H36" i="273"/>
  <c r="D32" i="275"/>
  <c r="D50" i="275" s="1"/>
  <c r="H34" i="277"/>
  <c r="D46" i="278"/>
  <c r="D50" i="278" s="1"/>
  <c r="H14" i="284"/>
  <c r="H13" i="275"/>
  <c r="H46" i="281"/>
  <c r="C46" i="281" s="1"/>
  <c r="H30" i="283"/>
  <c r="E32" i="272"/>
  <c r="D50" i="272"/>
  <c r="H26" i="275"/>
  <c r="H16" i="276"/>
  <c r="H29" i="278"/>
  <c r="H24" i="287"/>
  <c r="C24" i="287" s="1"/>
  <c r="H35" i="292"/>
  <c r="E12" i="270"/>
  <c r="D50" i="270"/>
  <c r="H15" i="270"/>
  <c r="H43" i="270"/>
  <c r="H46" i="270" s="1"/>
  <c r="H22" i="271"/>
  <c r="H24" i="271" s="1"/>
  <c r="C24" i="271" s="1"/>
  <c r="H42" i="272"/>
  <c r="H34" i="273"/>
  <c r="H17" i="274"/>
  <c r="E15" i="282"/>
  <c r="D50" i="282"/>
  <c r="J50" i="282" s="1"/>
  <c r="E12" i="282"/>
  <c r="E11" i="282"/>
  <c r="E10" i="282"/>
  <c r="E19" i="282"/>
  <c r="E18" i="282"/>
  <c r="E17" i="282"/>
  <c r="E16" i="282"/>
  <c r="H21" i="267"/>
  <c r="H42" i="271"/>
  <c r="H46" i="271" s="1"/>
  <c r="H42" i="278"/>
  <c r="H46" i="278" s="1"/>
  <c r="E16" i="280"/>
  <c r="E17" i="280"/>
  <c r="E15" i="280"/>
  <c r="E14" i="280"/>
  <c r="E13" i="280"/>
  <c r="E12" i="280"/>
  <c r="H28" i="283"/>
  <c r="E13" i="270"/>
  <c r="H21" i="280"/>
  <c r="H24" i="280" s="1"/>
  <c r="C24" i="280" s="1"/>
  <c r="H38" i="282"/>
  <c r="H40" i="282" s="1"/>
  <c r="C40" i="282" s="1"/>
  <c r="H42" i="289"/>
  <c r="D46" i="289"/>
  <c r="H21" i="270"/>
  <c r="H24" i="270" s="1"/>
  <c r="C24" i="270" s="1"/>
  <c r="H13" i="271"/>
  <c r="H19" i="271" s="1"/>
  <c r="C19" i="271" s="1"/>
  <c r="H30" i="271"/>
  <c r="H32" i="271" s="1"/>
  <c r="C32" i="271" s="1"/>
  <c r="H13" i="272"/>
  <c r="H40" i="275"/>
  <c r="C40" i="275" s="1"/>
  <c r="H39" i="278"/>
  <c r="H37" i="269"/>
  <c r="E14" i="270"/>
  <c r="H13" i="270"/>
  <c r="H30" i="270"/>
  <c r="H39" i="271"/>
  <c r="H21" i="275"/>
  <c r="E15" i="277"/>
  <c r="E14" i="277"/>
  <c r="D50" i="277"/>
  <c r="E13" i="277"/>
  <c r="E12" i="277"/>
  <c r="E19" i="277"/>
  <c r="E11" i="277"/>
  <c r="E18" i="277"/>
  <c r="E10" i="277"/>
  <c r="D50" i="279"/>
  <c r="J50" i="279" s="1"/>
  <c r="H12" i="276"/>
  <c r="H24" i="276"/>
  <c r="C24" i="276" s="1"/>
  <c r="H32" i="277"/>
  <c r="C32" i="277" s="1"/>
  <c r="H27" i="279"/>
  <c r="H38" i="277"/>
  <c r="D48" i="279"/>
  <c r="E10" i="280"/>
  <c r="D48" i="295"/>
  <c r="E32" i="295" s="1"/>
  <c r="H31" i="294"/>
  <c r="H32" i="294" s="1"/>
  <c r="C32" i="294" s="1"/>
  <c r="E38" i="277"/>
  <c r="H35" i="277"/>
  <c r="H30" i="278"/>
  <c r="H42" i="283"/>
  <c r="H46" i="283" s="1"/>
  <c r="H24" i="285"/>
  <c r="C24" i="285" s="1"/>
  <c r="H35" i="286"/>
  <c r="H40" i="286" s="1"/>
  <c r="C40" i="286" s="1"/>
  <c r="E11" i="281"/>
  <c r="H22" i="282"/>
  <c r="H24" i="282" s="1"/>
  <c r="H35" i="285"/>
  <c r="D46" i="293"/>
  <c r="H42" i="293"/>
  <c r="H46" i="293" s="1"/>
  <c r="E36" i="277"/>
  <c r="H31" i="279"/>
  <c r="H24" i="284"/>
  <c r="C24" i="284" s="1"/>
  <c r="H34" i="286"/>
  <c r="H43" i="294"/>
  <c r="H46" i="294" s="1"/>
  <c r="C46" i="294" s="1"/>
  <c r="H12" i="280"/>
  <c r="H19" i="280" s="1"/>
  <c r="C19" i="280" s="1"/>
  <c r="E14" i="281"/>
  <c r="E19" i="281"/>
  <c r="E18" i="281"/>
  <c r="H40" i="284"/>
  <c r="C40" i="284" s="1"/>
  <c r="H11" i="287"/>
  <c r="D48" i="296"/>
  <c r="E40" i="296" s="1"/>
  <c r="D50" i="296"/>
  <c r="E34" i="277"/>
  <c r="E32" i="277"/>
  <c r="E14" i="278"/>
  <c r="E13" i="281"/>
  <c r="H15" i="283"/>
  <c r="E12" i="275"/>
  <c r="E31" i="277"/>
  <c r="E18" i="279"/>
  <c r="E17" i="286"/>
  <c r="E16" i="286"/>
  <c r="E15" i="286"/>
  <c r="E12" i="286"/>
  <c r="E11" i="286"/>
  <c r="E10" i="286"/>
  <c r="E19" i="286"/>
  <c r="E18" i="286"/>
  <c r="E18" i="287"/>
  <c r="E10" i="287"/>
  <c r="E17" i="287"/>
  <c r="E16" i="287"/>
  <c r="E12" i="287"/>
  <c r="E11" i="287"/>
  <c r="E19" i="287"/>
  <c r="E15" i="287"/>
  <c r="E30" i="277"/>
  <c r="H13" i="277"/>
  <c r="H19" i="277" s="1"/>
  <c r="C19" i="277" s="1"/>
  <c r="E15" i="278"/>
  <c r="H29" i="284"/>
  <c r="H23" i="292"/>
  <c r="D46" i="299"/>
  <c r="H42" i="299"/>
  <c r="H46" i="299" s="1"/>
  <c r="E29" i="277"/>
  <c r="E15" i="281"/>
  <c r="H40" i="281"/>
  <c r="C40" i="281" s="1"/>
  <c r="H44" i="282"/>
  <c r="H46" i="282" s="1"/>
  <c r="C46" i="282" s="1"/>
  <c r="H24" i="283"/>
  <c r="C24" i="283" s="1"/>
  <c r="H40" i="291"/>
  <c r="C40" i="291" s="1"/>
  <c r="H14" i="292"/>
  <c r="E46" i="277"/>
  <c r="A52" i="277" s="1"/>
  <c r="E28" i="277"/>
  <c r="E16" i="281"/>
  <c r="H21" i="281"/>
  <c r="H24" i="281" s="1"/>
  <c r="C24" i="281" s="1"/>
  <c r="D46" i="283"/>
  <c r="H18" i="285"/>
  <c r="H26" i="290"/>
  <c r="H36" i="292"/>
  <c r="E45" i="277"/>
  <c r="E17" i="281"/>
  <c r="H12" i="283"/>
  <c r="H34" i="283"/>
  <c r="H40" i="283" s="1"/>
  <c r="C40" i="283" s="1"/>
  <c r="H17" i="285"/>
  <c r="H13" i="288"/>
  <c r="H19" i="288" s="1"/>
  <c r="H35" i="288"/>
  <c r="E11" i="285"/>
  <c r="H34" i="288"/>
  <c r="H40" i="288" s="1"/>
  <c r="C40" i="288" s="1"/>
  <c r="H29" i="282"/>
  <c r="H32" i="282" s="1"/>
  <c r="D46" i="285"/>
  <c r="D50" i="285" s="1"/>
  <c r="H31" i="286"/>
  <c r="H44" i="289"/>
  <c r="E19" i="291"/>
  <c r="E11" i="291"/>
  <c r="E14" i="291"/>
  <c r="E13" i="291"/>
  <c r="E16" i="291"/>
  <c r="E15" i="291"/>
  <c r="E12" i="291"/>
  <c r="E10" i="291"/>
  <c r="H30" i="293"/>
  <c r="H32" i="293" s="1"/>
  <c r="H22" i="290"/>
  <c r="H24" i="290" s="1"/>
  <c r="C24" i="290" s="1"/>
  <c r="H28" i="297"/>
  <c r="H11" i="283"/>
  <c r="H16" i="289"/>
  <c r="H14" i="290"/>
  <c r="H43" i="297"/>
  <c r="H12" i="282"/>
  <c r="H19" i="282" s="1"/>
  <c r="C19" i="282" s="1"/>
  <c r="E13" i="285"/>
  <c r="H14" i="285"/>
  <c r="H21" i="288"/>
  <c r="H24" i="288" s="1"/>
  <c r="C24" i="288" s="1"/>
  <c r="H35" i="296"/>
  <c r="H40" i="296" s="1"/>
  <c r="C40" i="296" s="1"/>
  <c r="H13" i="281"/>
  <c r="H19" i="281" s="1"/>
  <c r="C19" i="281" s="1"/>
  <c r="E14" i="285"/>
  <c r="H42" i="288"/>
  <c r="D48" i="290"/>
  <c r="D50" i="290"/>
  <c r="J50" i="290" s="1"/>
  <c r="H12" i="290"/>
  <c r="H30" i="291"/>
  <c r="D48" i="288"/>
  <c r="H29" i="291"/>
  <c r="H42" i="292"/>
  <c r="H46" i="292" s="1"/>
  <c r="C46" i="292" s="1"/>
  <c r="H38" i="297"/>
  <c r="E15" i="285"/>
  <c r="H26" i="285"/>
  <c r="H32" i="285" s="1"/>
  <c r="C32" i="285" s="1"/>
  <c r="H32" i="287"/>
  <c r="C32" i="287" s="1"/>
  <c r="H29" i="298"/>
  <c r="H32" i="298" s="1"/>
  <c r="C32" i="298" s="1"/>
  <c r="H10" i="290"/>
  <c r="H42" i="291"/>
  <c r="H21" i="296"/>
  <c r="D46" i="284"/>
  <c r="E17" i="291"/>
  <c r="H26" i="292"/>
  <c r="D50" i="295"/>
  <c r="H12" i="299"/>
  <c r="E18" i="285"/>
  <c r="E10" i="285"/>
  <c r="E17" i="285"/>
  <c r="E16" i="285"/>
  <c r="E18" i="291"/>
  <c r="H16" i="291"/>
  <c r="H19" i="291" s="1"/>
  <c r="C19" i="291" s="1"/>
  <c r="H39" i="298"/>
  <c r="H43" i="290"/>
  <c r="H46" i="290" s="1"/>
  <c r="C46" i="290" s="1"/>
  <c r="H24" i="291"/>
  <c r="H34" i="292"/>
  <c r="H15" i="293"/>
  <c r="H11" i="284"/>
  <c r="H28" i="284"/>
  <c r="H38" i="285"/>
  <c r="H12" i="286"/>
  <c r="H19" i="286" s="1"/>
  <c r="C19" i="286" s="1"/>
  <c r="H29" i="286"/>
  <c r="H13" i="294"/>
  <c r="H19" i="294" s="1"/>
  <c r="C19" i="294" s="1"/>
  <c r="H13" i="289"/>
  <c r="D50" i="294"/>
  <c r="D32" i="291"/>
  <c r="E19" i="292"/>
  <c r="E11" i="292"/>
  <c r="E12" i="292"/>
  <c r="D50" i="292"/>
  <c r="E10" i="292"/>
  <c r="E18" i="292"/>
  <c r="E16" i="292"/>
  <c r="H36" i="298"/>
  <c r="H43" i="291"/>
  <c r="D32" i="297"/>
  <c r="H21" i="294"/>
  <c r="D40" i="297"/>
  <c r="H17" i="301"/>
  <c r="H23" i="289"/>
  <c r="H38" i="290"/>
  <c r="E19" i="297"/>
  <c r="E11" i="297"/>
  <c r="E12" i="297"/>
  <c r="E13" i="297"/>
  <c r="E10" i="297"/>
  <c r="E18" i="297"/>
  <c r="E17" i="297"/>
  <c r="H44" i="297"/>
  <c r="H16" i="297"/>
  <c r="H19" i="297" s="1"/>
  <c r="C19" i="297" s="1"/>
  <c r="H39" i="297"/>
  <c r="H12" i="304"/>
  <c r="E18" i="290"/>
  <c r="E10" i="290"/>
  <c r="H11" i="304"/>
  <c r="H26" i="303"/>
  <c r="E12" i="290"/>
  <c r="H27" i="290"/>
  <c r="H39" i="292"/>
  <c r="H29" i="292"/>
  <c r="H18" i="293"/>
  <c r="H10" i="293"/>
  <c r="H44" i="300"/>
  <c r="H46" i="300" s="1"/>
  <c r="C46" i="300" s="1"/>
  <c r="H12" i="292"/>
  <c r="H36" i="297"/>
  <c r="H39" i="299"/>
  <c r="H44" i="302"/>
  <c r="H35" i="297"/>
  <c r="H26" i="308"/>
  <c r="E35" i="309"/>
  <c r="E36" i="309"/>
  <c r="E37" i="309"/>
  <c r="E38" i="309"/>
  <c r="E21" i="309"/>
  <c r="E39" i="309"/>
  <c r="E22" i="309"/>
  <c r="E23" i="309"/>
  <c r="E42" i="309"/>
  <c r="E24" i="309"/>
  <c r="E43" i="309"/>
  <c r="E26" i="309"/>
  <c r="E44" i="309"/>
  <c r="E27" i="309"/>
  <c r="E45" i="309"/>
  <c r="E28" i="309"/>
  <c r="E46" i="309"/>
  <c r="A52" i="309" s="1"/>
  <c r="E29" i="309"/>
  <c r="E30" i="309"/>
  <c r="E31" i="309"/>
  <c r="E32" i="309"/>
  <c r="E34" i="309"/>
  <c r="H34" i="293"/>
  <c r="H24" i="293"/>
  <c r="C24" i="293" s="1"/>
  <c r="E18" i="296"/>
  <c r="E10" i="296"/>
  <c r="E15" i="296"/>
  <c r="E12" i="296"/>
  <c r="E14" i="290"/>
  <c r="E17" i="298"/>
  <c r="E16" i="298"/>
  <c r="E15" i="298"/>
  <c r="E14" i="298"/>
  <c r="E12" i="298"/>
  <c r="H17" i="308"/>
  <c r="H31" i="297"/>
  <c r="H16" i="300"/>
  <c r="E38" i="301"/>
  <c r="E21" i="301"/>
  <c r="E39" i="301"/>
  <c r="E22" i="301"/>
  <c r="E23" i="301"/>
  <c r="E24" i="301"/>
  <c r="E43" i="301"/>
  <c r="E26" i="301"/>
  <c r="E44" i="301"/>
  <c r="E45" i="301"/>
  <c r="E31" i="301"/>
  <c r="E34" i="301"/>
  <c r="E29" i="301"/>
  <c r="E32" i="301"/>
  <c r="E35" i="301"/>
  <c r="E36" i="301"/>
  <c r="E37" i="301"/>
  <c r="E15" i="290"/>
  <c r="E13" i="296"/>
  <c r="H38" i="304"/>
  <c r="H27" i="300"/>
  <c r="H15" i="311"/>
  <c r="E18" i="294"/>
  <c r="E10" i="294"/>
  <c r="D46" i="298"/>
  <c r="D50" i="298" s="1"/>
  <c r="E17" i="299"/>
  <c r="E16" i="299"/>
  <c r="H24" i="299"/>
  <c r="C24" i="299" s="1"/>
  <c r="E16" i="305"/>
  <c r="E15" i="305"/>
  <c r="E14" i="305"/>
  <c r="E13" i="305"/>
  <c r="E12" i="305"/>
  <c r="E11" i="305"/>
  <c r="E19" i="305"/>
  <c r="E10" i="305"/>
  <c r="H17" i="302"/>
  <c r="H16" i="309"/>
  <c r="H21" i="297"/>
  <c r="H24" i="297" s="1"/>
  <c r="H13" i="300"/>
  <c r="H28" i="304"/>
  <c r="H22" i="300"/>
  <c r="H36" i="303"/>
  <c r="E17" i="305"/>
  <c r="H24" i="305"/>
  <c r="C24" i="305" s="1"/>
  <c r="H34" i="307"/>
  <c r="E17" i="300"/>
  <c r="E16" i="300"/>
  <c r="E15" i="300"/>
  <c r="E14" i="300"/>
  <c r="H36" i="301"/>
  <c r="H26" i="302"/>
  <c r="H15" i="312"/>
  <c r="E11" i="299"/>
  <c r="D50" i="304"/>
  <c r="E18" i="300"/>
  <c r="H34" i="301"/>
  <c r="H23" i="301"/>
  <c r="E12" i="302"/>
  <c r="H15" i="302"/>
  <c r="H43" i="302"/>
  <c r="H34" i="303"/>
  <c r="H23" i="303"/>
  <c r="H36" i="304"/>
  <c r="D48" i="305"/>
  <c r="H29" i="313"/>
  <c r="E13" i="302"/>
  <c r="D40" i="312"/>
  <c r="H34" i="312"/>
  <c r="H14" i="301"/>
  <c r="H42" i="301"/>
  <c r="H46" i="301" s="1"/>
  <c r="C46" i="301" s="1"/>
  <c r="H31" i="301"/>
  <c r="H21" i="302"/>
  <c r="H24" i="302" s="1"/>
  <c r="C24" i="302" s="1"/>
  <c r="H14" i="303"/>
  <c r="H42" i="303"/>
  <c r="H46" i="303" s="1"/>
  <c r="C46" i="303" s="1"/>
  <c r="H31" i="303"/>
  <c r="H32" i="303" s="1"/>
  <c r="C32" i="303" s="1"/>
  <c r="H44" i="304"/>
  <c r="H34" i="304"/>
  <c r="H23" i="304"/>
  <c r="H24" i="304" s="1"/>
  <c r="C24" i="304" s="1"/>
  <c r="D48" i="306"/>
  <c r="H24" i="311"/>
  <c r="C24" i="311" s="1"/>
  <c r="D32" i="312"/>
  <c r="H26" i="312"/>
  <c r="H11" i="316"/>
  <c r="H40" i="316"/>
  <c r="C40" i="316" s="1"/>
  <c r="H21" i="300"/>
  <c r="H18" i="305"/>
  <c r="H40" i="308"/>
  <c r="C40" i="308" s="1"/>
  <c r="H24" i="309"/>
  <c r="C24" i="309" s="1"/>
  <c r="H30" i="300"/>
  <c r="H39" i="301"/>
  <c r="E15" i="302"/>
  <c r="H12" i="302"/>
  <c r="H29" i="302"/>
  <c r="H39" i="303"/>
  <c r="H15" i="304"/>
  <c r="H31" i="304"/>
  <c r="H42" i="305"/>
  <c r="H46" i="305" s="1"/>
  <c r="C46" i="305" s="1"/>
  <c r="D50" i="306"/>
  <c r="J50" i="306" s="1"/>
  <c r="D50" i="311"/>
  <c r="J50" i="311" s="1"/>
  <c r="E12" i="311"/>
  <c r="E19" i="311"/>
  <c r="E11" i="311"/>
  <c r="E18" i="311"/>
  <c r="E10" i="311"/>
  <c r="E17" i="311"/>
  <c r="E16" i="311"/>
  <c r="E15" i="311"/>
  <c r="E14" i="311"/>
  <c r="H29" i="312"/>
  <c r="H12" i="300"/>
  <c r="H29" i="300"/>
  <c r="H38" i="301"/>
  <c r="E16" i="302"/>
  <c r="H11" i="302"/>
  <c r="H28" i="302"/>
  <c r="H38" i="303"/>
  <c r="H29" i="305"/>
  <c r="H43" i="311"/>
  <c r="H46" i="311" s="1"/>
  <c r="C46" i="311" s="1"/>
  <c r="H11" i="298"/>
  <c r="H19" i="298" s="1"/>
  <c r="C19" i="298" s="1"/>
  <c r="H28" i="298"/>
  <c r="H11" i="299"/>
  <c r="H28" i="299"/>
  <c r="H38" i="300"/>
  <c r="E16" i="301"/>
  <c r="H11" i="301"/>
  <c r="H28" i="301"/>
  <c r="H37" i="302"/>
  <c r="E16" i="303"/>
  <c r="H11" i="303"/>
  <c r="H19" i="303" s="1"/>
  <c r="C19" i="303" s="1"/>
  <c r="H28" i="303"/>
  <c r="H15" i="305"/>
  <c r="E17" i="302"/>
  <c r="H44" i="309"/>
  <c r="E14" i="295"/>
  <c r="E19" i="309"/>
  <c r="E11" i="309"/>
  <c r="E18" i="309"/>
  <c r="E10" i="309"/>
  <c r="E17" i="309"/>
  <c r="E16" i="309"/>
  <c r="E15" i="309"/>
  <c r="E14" i="309"/>
  <c r="E13" i="309"/>
  <c r="E10" i="302"/>
  <c r="E40" i="309"/>
  <c r="H11" i="314"/>
  <c r="H22" i="307"/>
  <c r="H24" i="307" s="1"/>
  <c r="C24" i="307" s="1"/>
  <c r="E12" i="308"/>
  <c r="D50" i="308"/>
  <c r="H15" i="308"/>
  <c r="H43" i="308"/>
  <c r="H14" i="309"/>
  <c r="H42" i="309"/>
  <c r="H31" i="309"/>
  <c r="D48" i="311"/>
  <c r="E36" i="311" s="1"/>
  <c r="H13" i="311"/>
  <c r="H30" i="311"/>
  <c r="H32" i="311" s="1"/>
  <c r="C32" i="311" s="1"/>
  <c r="H28" i="312"/>
  <c r="H39" i="313"/>
  <c r="H29" i="314"/>
  <c r="D48" i="320"/>
  <c r="E34" i="320" s="1"/>
  <c r="E13" i="308"/>
  <c r="H14" i="308"/>
  <c r="H42" i="308"/>
  <c r="H31" i="308"/>
  <c r="H13" i="307"/>
  <c r="H19" i="307" s="1"/>
  <c r="C19" i="307" s="1"/>
  <c r="H30" i="307"/>
  <c r="H39" i="309"/>
  <c r="H40" i="309" s="1"/>
  <c r="C40" i="309" s="1"/>
  <c r="H38" i="311"/>
  <c r="H40" i="311" s="1"/>
  <c r="H11" i="312"/>
  <c r="E14" i="308"/>
  <c r="H11" i="315"/>
  <c r="H10" i="305"/>
  <c r="H27" i="305"/>
  <c r="H32" i="305" s="1"/>
  <c r="C32" i="305" s="1"/>
  <c r="H38" i="307"/>
  <c r="E15" i="308"/>
  <c r="H12" i="308"/>
  <c r="H29" i="308"/>
  <c r="H11" i="309"/>
  <c r="H28" i="309"/>
  <c r="H32" i="309" s="1"/>
  <c r="C32" i="309" s="1"/>
  <c r="H18" i="311"/>
  <c r="H10" i="311"/>
  <c r="H35" i="312"/>
  <c r="D48" i="313"/>
  <c r="D50" i="313"/>
  <c r="H24" i="319"/>
  <c r="C24" i="319" s="1"/>
  <c r="E16" i="307"/>
  <c r="H34" i="319"/>
  <c r="H28" i="320"/>
  <c r="H32" i="320" s="1"/>
  <c r="C32" i="320" s="1"/>
  <c r="E16" i="308"/>
  <c r="E11" i="312"/>
  <c r="E19" i="312"/>
  <c r="C24" i="316"/>
  <c r="E17" i="307"/>
  <c r="E13" i="310"/>
  <c r="H19" i="319"/>
  <c r="C19" i="319" s="1"/>
  <c r="E17" i="308"/>
  <c r="E12" i="312"/>
  <c r="E10" i="307"/>
  <c r="H12" i="314"/>
  <c r="H24" i="314"/>
  <c r="E23" i="315"/>
  <c r="E42" i="315"/>
  <c r="E24" i="315"/>
  <c r="E43" i="315"/>
  <c r="E26" i="315"/>
  <c r="E44" i="315"/>
  <c r="E27" i="315"/>
  <c r="E45" i="315"/>
  <c r="E28" i="315"/>
  <c r="E46" i="315"/>
  <c r="A52" i="315" s="1"/>
  <c r="E29" i="315"/>
  <c r="E30" i="315"/>
  <c r="E31" i="315"/>
  <c r="E32" i="315"/>
  <c r="E34" i="315"/>
  <c r="E35" i="315"/>
  <c r="E36" i="315"/>
  <c r="E37" i="315"/>
  <c r="E10" i="308"/>
  <c r="H18" i="314"/>
  <c r="H10" i="314"/>
  <c r="H17" i="316"/>
  <c r="H39" i="320"/>
  <c r="H22" i="322"/>
  <c r="H24" i="322" s="1"/>
  <c r="H42" i="326"/>
  <c r="H46" i="326" s="1"/>
  <c r="C46" i="326" s="1"/>
  <c r="H17" i="314"/>
  <c r="H26" i="314"/>
  <c r="H16" i="315"/>
  <c r="H16" i="316"/>
  <c r="H44" i="316"/>
  <c r="H14" i="320"/>
  <c r="E12" i="321"/>
  <c r="E19" i="321"/>
  <c r="E11" i="321"/>
  <c r="E18" i="321"/>
  <c r="E10" i="321"/>
  <c r="E17" i="321"/>
  <c r="E15" i="321"/>
  <c r="E14" i="321"/>
  <c r="H26" i="313"/>
  <c r="H35" i="314"/>
  <c r="H40" i="314" s="1"/>
  <c r="C40" i="314" s="1"/>
  <c r="H34" i="315"/>
  <c r="H40" i="315" s="1"/>
  <c r="C40" i="315" s="1"/>
  <c r="H23" i="315"/>
  <c r="H24" i="315" s="1"/>
  <c r="D48" i="318"/>
  <c r="E40" i="318" s="1"/>
  <c r="D50" i="318"/>
  <c r="H46" i="319"/>
  <c r="C46" i="319" s="1"/>
  <c r="H43" i="321"/>
  <c r="E13" i="317"/>
  <c r="E19" i="317"/>
  <c r="E19" i="319"/>
  <c r="E11" i="319"/>
  <c r="E18" i="319"/>
  <c r="E10" i="319"/>
  <c r="E16" i="319"/>
  <c r="E19" i="322"/>
  <c r="E11" i="322"/>
  <c r="E18" i="322"/>
  <c r="E10" i="322"/>
  <c r="E17" i="322"/>
  <c r="E16" i="322"/>
  <c r="E15" i="322"/>
  <c r="E14" i="322"/>
  <c r="H43" i="322"/>
  <c r="E17" i="323"/>
  <c r="E15" i="323"/>
  <c r="D50" i="323"/>
  <c r="J50" i="323" s="1"/>
  <c r="E12" i="323"/>
  <c r="E11" i="323"/>
  <c r="E10" i="323"/>
  <c r="E19" i="323"/>
  <c r="E18" i="323"/>
  <c r="E16" i="323"/>
  <c r="H23" i="313"/>
  <c r="H24" i="313" s="1"/>
  <c r="C24" i="313" s="1"/>
  <c r="D50" i="314"/>
  <c r="H15" i="314"/>
  <c r="H43" i="314"/>
  <c r="H46" i="314" s="1"/>
  <c r="H14" i="315"/>
  <c r="H42" i="315"/>
  <c r="H31" i="315"/>
  <c r="H32" i="315" s="1"/>
  <c r="C32" i="315" s="1"/>
  <c r="H14" i="316"/>
  <c r="H42" i="316"/>
  <c r="H31" i="316"/>
  <c r="E12" i="319"/>
  <c r="E13" i="322"/>
  <c r="H36" i="329"/>
  <c r="H26" i="329"/>
  <c r="H32" i="329" s="1"/>
  <c r="D32" i="329"/>
  <c r="D50" i="329" s="1"/>
  <c r="D50" i="320"/>
  <c r="J50" i="320" s="1"/>
  <c r="H34" i="327"/>
  <c r="E13" i="314"/>
  <c r="E14" i="315"/>
  <c r="E14" i="316"/>
  <c r="E13" i="319"/>
  <c r="H11" i="320"/>
  <c r="H16" i="325"/>
  <c r="H15" i="321"/>
  <c r="E13" i="323"/>
  <c r="H15" i="323"/>
  <c r="E14" i="314"/>
  <c r="E15" i="315"/>
  <c r="E15" i="316"/>
  <c r="E14" i="319"/>
  <c r="E19" i="326"/>
  <c r="E11" i="326"/>
  <c r="E18" i="326"/>
  <c r="E10" i="326"/>
  <c r="E17" i="326"/>
  <c r="E16" i="326"/>
  <c r="E15" i="326"/>
  <c r="E14" i="326"/>
  <c r="E13" i="326"/>
  <c r="D50" i="326"/>
  <c r="J50" i="326" s="1"/>
  <c r="H26" i="318"/>
  <c r="H32" i="318" s="1"/>
  <c r="H37" i="319"/>
  <c r="E14" i="323"/>
  <c r="E15" i="319"/>
  <c r="H24" i="321"/>
  <c r="C24" i="321" s="1"/>
  <c r="H30" i="326"/>
  <c r="H13" i="321"/>
  <c r="H30" i="321"/>
  <c r="D48" i="323"/>
  <c r="H13" i="323"/>
  <c r="E19" i="327"/>
  <c r="E11" i="327"/>
  <c r="E18" i="327"/>
  <c r="E10" i="327"/>
  <c r="E17" i="327"/>
  <c r="E16" i="327"/>
  <c r="E15" i="327"/>
  <c r="E14" i="327"/>
  <c r="H43" i="324"/>
  <c r="H46" i="324" s="1"/>
  <c r="C46" i="324" s="1"/>
  <c r="D32" i="321"/>
  <c r="H29" i="321"/>
  <c r="H17" i="324"/>
  <c r="H38" i="321"/>
  <c r="H12" i="322"/>
  <c r="H23" i="323"/>
  <c r="E18" i="324"/>
  <c r="E10" i="324"/>
  <c r="E17" i="324"/>
  <c r="E16" i="324"/>
  <c r="E15" i="324"/>
  <c r="H14" i="326"/>
  <c r="H15" i="324"/>
  <c r="J50" i="325"/>
  <c r="H24" i="325"/>
  <c r="C24" i="325" s="1"/>
  <c r="H36" i="320"/>
  <c r="H18" i="321"/>
  <c r="H10" i="321"/>
  <c r="H27" i="321"/>
  <c r="H10" i="322"/>
  <c r="H26" i="324"/>
  <c r="E19" i="325"/>
  <c r="E11" i="325"/>
  <c r="E18" i="325"/>
  <c r="E10" i="325"/>
  <c r="E17" i="325"/>
  <c r="E16" i="325"/>
  <c r="E15" i="325"/>
  <c r="E14" i="325"/>
  <c r="E13" i="325"/>
  <c r="H44" i="325"/>
  <c r="H26" i="332"/>
  <c r="H17" i="322"/>
  <c r="H43" i="323"/>
  <c r="H30" i="323"/>
  <c r="H31" i="326"/>
  <c r="H36" i="332"/>
  <c r="H40" i="332" s="1"/>
  <c r="E11" i="324"/>
  <c r="H21" i="329"/>
  <c r="H14" i="325"/>
  <c r="H42" i="325"/>
  <c r="H31" i="325"/>
  <c r="H12" i="326"/>
  <c r="H29" i="326"/>
  <c r="H31" i="328"/>
  <c r="H32" i="328" s="1"/>
  <c r="C32" i="328" s="1"/>
  <c r="H24" i="328"/>
  <c r="C24" i="328" s="1"/>
  <c r="H17" i="337"/>
  <c r="D48" i="326"/>
  <c r="E45" i="325"/>
  <c r="E27" i="325"/>
  <c r="H12" i="327"/>
  <c r="H19" i="327" s="1"/>
  <c r="C19" i="327" s="1"/>
  <c r="H29" i="327"/>
  <c r="H17" i="335"/>
  <c r="E44" i="325"/>
  <c r="E26" i="325"/>
  <c r="H21" i="323"/>
  <c r="H39" i="324"/>
  <c r="E43" i="325"/>
  <c r="E24" i="325"/>
  <c r="H38" i="325"/>
  <c r="H36" i="326"/>
  <c r="H28" i="327"/>
  <c r="H14" i="328"/>
  <c r="H19" i="328" s="1"/>
  <c r="C19" i="328" s="1"/>
  <c r="H21" i="330"/>
  <c r="H12" i="324"/>
  <c r="H29" i="324"/>
  <c r="E42" i="325"/>
  <c r="E23" i="325"/>
  <c r="H11" i="325"/>
  <c r="H28" i="325"/>
  <c r="H17" i="326"/>
  <c r="H26" i="326"/>
  <c r="H37" i="327"/>
  <c r="H39" i="328"/>
  <c r="H46" i="331"/>
  <c r="C46" i="331" s="1"/>
  <c r="H18" i="332"/>
  <c r="H27" i="333"/>
  <c r="E22" i="325"/>
  <c r="E39" i="325"/>
  <c r="E21" i="325"/>
  <c r="E18" i="328"/>
  <c r="H17" i="331"/>
  <c r="H26" i="336"/>
  <c r="H38" i="323"/>
  <c r="H40" i="323" s="1"/>
  <c r="C40" i="323" s="1"/>
  <c r="H37" i="324"/>
  <c r="E38" i="325"/>
  <c r="H36" i="325"/>
  <c r="H34" i="326"/>
  <c r="H23" i="326"/>
  <c r="H17" i="327"/>
  <c r="H26" i="327"/>
  <c r="E10" i="328"/>
  <c r="H23" i="331"/>
  <c r="H37" i="333"/>
  <c r="E37" i="325"/>
  <c r="D50" i="328"/>
  <c r="J50" i="328" s="1"/>
  <c r="D48" i="332"/>
  <c r="D50" i="332"/>
  <c r="H35" i="334"/>
  <c r="H40" i="334" s="1"/>
  <c r="C40" i="334" s="1"/>
  <c r="H21" i="334"/>
  <c r="H17" i="336"/>
  <c r="E36" i="325"/>
  <c r="D48" i="334"/>
  <c r="D50" i="334"/>
  <c r="E12" i="328"/>
  <c r="H36" i="328"/>
  <c r="H11" i="329"/>
  <c r="H12" i="334"/>
  <c r="H19" i="334" s="1"/>
  <c r="C19" i="334" s="1"/>
  <c r="H23" i="335"/>
  <c r="H23" i="336"/>
  <c r="H26" i="337"/>
  <c r="H37" i="330"/>
  <c r="H14" i="331"/>
  <c r="H15" i="332"/>
  <c r="H29" i="334"/>
  <c r="H32" i="334" s="1"/>
  <c r="C32" i="334" s="1"/>
  <c r="H22" i="333"/>
  <c r="H24" i="333" s="1"/>
  <c r="C24" i="333" s="1"/>
  <c r="H36" i="330"/>
  <c r="H14" i="332"/>
  <c r="H43" i="334"/>
  <c r="H12" i="335"/>
  <c r="H36" i="335"/>
  <c r="H17" i="330"/>
  <c r="H26" i="330"/>
  <c r="H32" i="330" s="1"/>
  <c r="C32" i="330" s="1"/>
  <c r="E10" i="331"/>
  <c r="E18" i="331"/>
  <c r="D50" i="331"/>
  <c r="E50" i="331" s="1"/>
  <c r="H12" i="331"/>
  <c r="H38" i="331"/>
  <c r="H28" i="331"/>
  <c r="H32" i="331" s="1"/>
  <c r="C32" i="331" s="1"/>
  <c r="H35" i="329"/>
  <c r="H16" i="330"/>
  <c r="H44" i="330"/>
  <c r="E11" i="331"/>
  <c r="E19" i="331"/>
  <c r="H37" i="331"/>
  <c r="H34" i="335"/>
  <c r="D46" i="333"/>
  <c r="H34" i="336"/>
  <c r="H40" i="336" s="1"/>
  <c r="C40" i="336" s="1"/>
  <c r="E12" i="331"/>
  <c r="E11" i="332"/>
  <c r="H34" i="337"/>
  <c r="H40" i="337" s="1"/>
  <c r="C40" i="337" s="1"/>
  <c r="D48" i="331"/>
  <c r="H23" i="337"/>
  <c r="E13" i="335"/>
  <c r="E13" i="336"/>
  <c r="E13" i="337"/>
  <c r="H21" i="335"/>
  <c r="H21" i="336"/>
  <c r="H21" i="337"/>
  <c r="E14" i="335"/>
  <c r="E14" i="336"/>
  <c r="E14" i="337"/>
  <c r="E15" i="335"/>
  <c r="H29" i="335"/>
  <c r="E15" i="336"/>
  <c r="H12" i="336"/>
  <c r="H29" i="336"/>
  <c r="E15" i="337"/>
  <c r="H12" i="337"/>
  <c r="H29" i="337"/>
  <c r="E16" i="335"/>
  <c r="H11" i="335"/>
  <c r="H28" i="335"/>
  <c r="E16" i="336"/>
  <c r="H11" i="336"/>
  <c r="H28" i="336"/>
  <c r="E16" i="337"/>
  <c r="H11" i="337"/>
  <c r="H28" i="337"/>
  <c r="J50" i="339"/>
  <c r="E50" i="339"/>
  <c r="E26" i="243"/>
  <c r="E24" i="219"/>
  <c r="E29" i="219"/>
  <c r="E46" i="197"/>
  <c r="A52" i="197" s="1"/>
  <c r="H32" i="317"/>
  <c r="C32" i="317" s="1"/>
  <c r="E34" i="266"/>
  <c r="E42" i="266"/>
  <c r="E43" i="266"/>
  <c r="E21" i="266"/>
  <c r="E22" i="266"/>
  <c r="E30" i="266"/>
  <c r="E31" i="266"/>
  <c r="E35" i="266"/>
  <c r="E36" i="266"/>
  <c r="E37" i="266"/>
  <c r="E38" i="266"/>
  <c r="E39" i="266"/>
  <c r="E40" i="266"/>
  <c r="E28" i="219"/>
  <c r="J50" i="241"/>
  <c r="E50" i="241"/>
  <c r="E27" i="219"/>
  <c r="E50" i="301"/>
  <c r="E42" i="219"/>
  <c r="H19" i="164"/>
  <c r="C19" i="164" s="1"/>
  <c r="E23" i="219"/>
  <c r="H40" i="130"/>
  <c r="C40" i="130" s="1"/>
  <c r="E46" i="227"/>
  <c r="A52" i="227" s="1"/>
  <c r="E32" i="219"/>
  <c r="E22" i="219"/>
  <c r="H32" i="129"/>
  <c r="C32" i="129" s="1"/>
  <c r="E39" i="219"/>
  <c r="H40" i="183"/>
  <c r="C40" i="183" s="1"/>
  <c r="D48" i="298"/>
  <c r="E44" i="298" s="1"/>
  <c r="E40" i="199"/>
  <c r="E21" i="219"/>
  <c r="H24" i="166"/>
  <c r="H46" i="71"/>
  <c r="C46" i="71" s="1"/>
  <c r="E40" i="219"/>
  <c r="E38" i="219"/>
  <c r="H32" i="151"/>
  <c r="H32" i="86"/>
  <c r="C32" i="86" s="1"/>
  <c r="E21" i="272"/>
  <c r="E22" i="272"/>
  <c r="E37" i="272"/>
  <c r="E38" i="272"/>
  <c r="E39" i="272"/>
  <c r="E40" i="272"/>
  <c r="J50" i="268"/>
  <c r="E50" i="268"/>
  <c r="E26" i="219"/>
  <c r="E37" i="219"/>
  <c r="J50" i="281"/>
  <c r="E50" i="281"/>
  <c r="E21" i="315"/>
  <c r="E22" i="315"/>
  <c r="E38" i="315"/>
  <c r="E39" i="315"/>
  <c r="E35" i="325"/>
  <c r="E28" i="325"/>
  <c r="E29" i="325"/>
  <c r="E30" i="325"/>
  <c r="E31" i="325"/>
  <c r="E40" i="197"/>
  <c r="E36" i="219"/>
  <c r="H40" i="138"/>
  <c r="C40" i="138" s="1"/>
  <c r="H19" i="119"/>
  <c r="C19" i="119" s="1"/>
  <c r="H19" i="149"/>
  <c r="C19" i="149" s="1"/>
  <c r="H19" i="101"/>
  <c r="C19" i="101" s="1"/>
  <c r="H19" i="11"/>
  <c r="C19" i="11" s="1"/>
  <c r="E36" i="226"/>
  <c r="E21" i="226"/>
  <c r="E22" i="226"/>
  <c r="E24" i="226"/>
  <c r="E31" i="226"/>
  <c r="E35" i="226"/>
  <c r="E43" i="226"/>
  <c r="H19" i="312"/>
  <c r="C19" i="312" s="1"/>
  <c r="E35" i="219"/>
  <c r="H40" i="114"/>
  <c r="E18" i="256"/>
  <c r="E19" i="256"/>
  <c r="E16" i="256"/>
  <c r="E14" i="256"/>
  <c r="E13" i="256"/>
  <c r="E12" i="256"/>
  <c r="E11" i="256"/>
  <c r="E32" i="199"/>
  <c r="E46" i="219"/>
  <c r="A52" i="219" s="1"/>
  <c r="E34" i="219"/>
  <c r="H32" i="165"/>
  <c r="C32" i="165" s="1"/>
  <c r="H40" i="102"/>
  <c r="C40" i="102" s="1"/>
  <c r="J50" i="315"/>
  <c r="E50" i="315"/>
  <c r="E27" i="277"/>
  <c r="E21" i="277"/>
  <c r="E22" i="277"/>
  <c r="E23" i="277"/>
  <c r="E26" i="277"/>
  <c r="E35" i="277"/>
  <c r="E37" i="277"/>
  <c r="E39" i="277"/>
  <c r="E40" i="277"/>
  <c r="E42" i="277"/>
  <c r="E43" i="277"/>
  <c r="E44" i="277"/>
  <c r="E45" i="219"/>
  <c r="E31" i="219"/>
  <c r="E40" i="207"/>
  <c r="E42" i="207"/>
  <c r="E46" i="207"/>
  <c r="A52" i="207" s="1"/>
  <c r="E21" i="207"/>
  <c r="E44" i="219"/>
  <c r="H40" i="85"/>
  <c r="C40" i="85" s="1"/>
  <c r="E46" i="266"/>
  <c r="A52" i="266" s="1"/>
  <c r="D48" i="245"/>
  <c r="D50" i="245"/>
  <c r="E27" i="201"/>
  <c r="E35" i="201"/>
  <c r="E37" i="201"/>
  <c r="E34" i="201"/>
  <c r="E40" i="201"/>
  <c r="E44" i="201"/>
  <c r="E22" i="201"/>
  <c r="E34" i="326"/>
  <c r="E35" i="326"/>
  <c r="E40" i="326"/>
  <c r="E23" i="326"/>
  <c r="E28" i="326"/>
  <c r="E46" i="326"/>
  <c r="A52" i="326" s="1"/>
  <c r="J50" i="332"/>
  <c r="E50" i="332"/>
  <c r="C24" i="314"/>
  <c r="E42" i="332"/>
  <c r="C32" i="293"/>
  <c r="E30" i="156"/>
  <c r="E31" i="156"/>
  <c r="E26" i="156"/>
  <c r="E21" i="156"/>
  <c r="E32" i="156"/>
  <c r="E40" i="156"/>
  <c r="D48" i="155"/>
  <c r="E32" i="155" s="1"/>
  <c r="D50" i="155"/>
  <c r="H24" i="236"/>
  <c r="C24" i="236" s="1"/>
  <c r="E38" i="214"/>
  <c r="E21" i="214"/>
  <c r="E26" i="214"/>
  <c r="E32" i="214"/>
  <c r="E35" i="214"/>
  <c r="D48" i="289"/>
  <c r="E46" i="289" s="1"/>
  <c r="A52" i="289" s="1"/>
  <c r="D50" i="289"/>
  <c r="E38" i="313"/>
  <c r="E43" i="313"/>
  <c r="H24" i="292"/>
  <c r="C24" i="292" s="1"/>
  <c r="H24" i="277"/>
  <c r="C24" i="277" s="1"/>
  <c r="J50" i="198"/>
  <c r="E34" i="84"/>
  <c r="E38" i="84"/>
  <c r="E22" i="84"/>
  <c r="E24" i="84"/>
  <c r="E44" i="84"/>
  <c r="E45" i="84"/>
  <c r="E46" i="84"/>
  <c r="A52" i="84" s="1"/>
  <c r="E27" i="84"/>
  <c r="E28" i="84"/>
  <c r="E50" i="294"/>
  <c r="J50" i="294"/>
  <c r="J50" i="331"/>
  <c r="E50" i="328"/>
  <c r="E24" i="326"/>
  <c r="E50" i="230"/>
  <c r="J50" i="230"/>
  <c r="H32" i="123"/>
  <c r="E24" i="183"/>
  <c r="H24" i="127"/>
  <c r="C24" i="127" s="1"/>
  <c r="C24" i="282"/>
  <c r="E50" i="214"/>
  <c r="J50" i="214"/>
  <c r="C24" i="176"/>
  <c r="E35" i="334"/>
  <c r="E36" i="305"/>
  <c r="E37" i="305"/>
  <c r="E38" i="305"/>
  <c r="E39" i="305"/>
  <c r="E21" i="305"/>
  <c r="E22" i="305"/>
  <c r="E23" i="305"/>
  <c r="E43" i="305"/>
  <c r="E44" i="305"/>
  <c r="E26" i="305"/>
  <c r="E45" i="305"/>
  <c r="E27" i="305"/>
  <c r="E28" i="305"/>
  <c r="E29" i="305"/>
  <c r="E30" i="305"/>
  <c r="E46" i="305"/>
  <c r="A52" i="305" s="1"/>
  <c r="E31" i="305"/>
  <c r="E32" i="305"/>
  <c r="E35" i="305"/>
  <c r="E34" i="305"/>
  <c r="E40" i="305"/>
  <c r="E24" i="305"/>
  <c r="E42" i="305"/>
  <c r="J50" i="191"/>
  <c r="E50" i="191"/>
  <c r="H24" i="91"/>
  <c r="C24" i="91" s="1"/>
  <c r="E43" i="227"/>
  <c r="E45" i="227"/>
  <c r="E23" i="227"/>
  <c r="E34" i="227"/>
  <c r="E38" i="227"/>
  <c r="E28" i="222"/>
  <c r="E29" i="222"/>
  <c r="E30" i="222"/>
  <c r="E31" i="222"/>
  <c r="E35" i="222"/>
  <c r="E36" i="222"/>
  <c r="E37" i="222"/>
  <c r="E38" i="222"/>
  <c r="E21" i="222"/>
  <c r="E39" i="222"/>
  <c r="E22" i="222"/>
  <c r="E26" i="222"/>
  <c r="E27" i="222"/>
  <c r="E42" i="222"/>
  <c r="E43" i="222"/>
  <c r="E44" i="222"/>
  <c r="E45" i="222"/>
  <c r="E23" i="222"/>
  <c r="E24" i="222"/>
  <c r="H24" i="204"/>
  <c r="C24" i="204" s="1"/>
  <c r="E30" i="224"/>
  <c r="E36" i="224"/>
  <c r="E39" i="224"/>
  <c r="E24" i="224"/>
  <c r="E27" i="224"/>
  <c r="E45" i="224"/>
  <c r="D48" i="204"/>
  <c r="D50" i="204"/>
  <c r="D48" i="184"/>
  <c r="D50" i="184"/>
  <c r="H24" i="124"/>
  <c r="C24" i="124" s="1"/>
  <c r="E27" i="264"/>
  <c r="E28" i="264"/>
  <c r="E31" i="264"/>
  <c r="E34" i="264"/>
  <c r="E37" i="264"/>
  <c r="E39" i="264"/>
  <c r="E26" i="264"/>
  <c r="E42" i="264"/>
  <c r="E45" i="264"/>
  <c r="E22" i="264"/>
  <c r="E50" i="258"/>
  <c r="J50" i="258"/>
  <c r="H24" i="203"/>
  <c r="C24" i="203" s="1"/>
  <c r="E35" i="216"/>
  <c r="E45" i="216"/>
  <c r="E28" i="216"/>
  <c r="E29" i="216"/>
  <c r="E31" i="216"/>
  <c r="E27" i="200"/>
  <c r="E45" i="200"/>
  <c r="E28" i="200"/>
  <c r="E29" i="200"/>
  <c r="E30" i="200"/>
  <c r="E31" i="200"/>
  <c r="E35" i="200"/>
  <c r="E36" i="200"/>
  <c r="E37" i="200"/>
  <c r="E38" i="200"/>
  <c r="E21" i="200"/>
  <c r="E39" i="200"/>
  <c r="E34" i="200"/>
  <c r="E40" i="200"/>
  <c r="E42" i="200"/>
  <c r="E43" i="200"/>
  <c r="E44" i="200"/>
  <c r="E26" i="200"/>
  <c r="E22" i="200"/>
  <c r="E23" i="200"/>
  <c r="E24" i="200"/>
  <c r="E46" i="200"/>
  <c r="A52" i="200" s="1"/>
  <c r="D48" i="329"/>
  <c r="E50" i="290"/>
  <c r="D48" i="285"/>
  <c r="H24" i="202"/>
  <c r="C24" i="202" s="1"/>
  <c r="C24" i="200"/>
  <c r="E34" i="196"/>
  <c r="E21" i="196"/>
  <c r="E22" i="196"/>
  <c r="E42" i="196"/>
  <c r="E23" i="196"/>
  <c r="E43" i="196"/>
  <c r="E44" i="196"/>
  <c r="E26" i="196"/>
  <c r="E45" i="196"/>
  <c r="E27" i="196"/>
  <c r="E28" i="196"/>
  <c r="E29" i="196"/>
  <c r="E46" i="196"/>
  <c r="A52" i="196" s="1"/>
  <c r="E30" i="196"/>
  <c r="E31" i="196"/>
  <c r="E35" i="196"/>
  <c r="E36" i="196"/>
  <c r="E37" i="196"/>
  <c r="E38" i="196"/>
  <c r="E39" i="196"/>
  <c r="E32" i="196"/>
  <c r="E40" i="196"/>
  <c r="E24" i="196"/>
  <c r="E32" i="201"/>
  <c r="E26" i="205"/>
  <c r="E44" i="205"/>
  <c r="E27" i="205"/>
  <c r="E45" i="205"/>
  <c r="E28" i="205"/>
  <c r="E29" i="205"/>
  <c r="E30" i="205"/>
  <c r="E31" i="205"/>
  <c r="E32" i="205"/>
  <c r="E34" i="205"/>
  <c r="E35" i="205"/>
  <c r="E36" i="205"/>
  <c r="E37" i="205"/>
  <c r="E38" i="205"/>
  <c r="E23" i="205"/>
  <c r="E39" i="205"/>
  <c r="E40" i="205"/>
  <c r="E42" i="205"/>
  <c r="E43" i="205"/>
  <c r="E21" i="205"/>
  <c r="E22" i="205"/>
  <c r="E24" i="205"/>
  <c r="H24" i="178"/>
  <c r="C24" i="178" s="1"/>
  <c r="H40" i="182"/>
  <c r="C40" i="182" s="1"/>
  <c r="H24" i="148"/>
  <c r="C24" i="148" s="1"/>
  <c r="H19" i="131"/>
  <c r="C19" i="131" s="1"/>
  <c r="H24" i="301"/>
  <c r="C24" i="301" s="1"/>
  <c r="E36" i="295"/>
  <c r="E31" i="295"/>
  <c r="E39" i="295"/>
  <c r="E22" i="295"/>
  <c r="E44" i="295"/>
  <c r="E23" i="295"/>
  <c r="E45" i="295"/>
  <c r="E26" i="295"/>
  <c r="E27" i="295"/>
  <c r="E28" i="295"/>
  <c r="E29" i="295"/>
  <c r="E30" i="295"/>
  <c r="E34" i="295"/>
  <c r="E35" i="295"/>
  <c r="E37" i="295"/>
  <c r="E38" i="295"/>
  <c r="E40" i="295"/>
  <c r="E42" i="295"/>
  <c r="E43" i="295"/>
  <c r="E21" i="295"/>
  <c r="E46" i="295"/>
  <c r="A52" i="295" s="1"/>
  <c r="H46" i="289"/>
  <c r="C46" i="289" s="1"/>
  <c r="E34" i="222"/>
  <c r="E40" i="222"/>
  <c r="J50" i="207"/>
  <c r="E50" i="207"/>
  <c r="H24" i="192"/>
  <c r="C24" i="192" s="1"/>
  <c r="E26" i="178"/>
  <c r="E44" i="178"/>
  <c r="E27" i="178"/>
  <c r="E45" i="178"/>
  <c r="E28" i="178"/>
  <c r="E29" i="178"/>
  <c r="E30" i="178"/>
  <c r="E31" i="178"/>
  <c r="E32" i="178"/>
  <c r="E34" i="178"/>
  <c r="E35" i="178"/>
  <c r="E36" i="178"/>
  <c r="E37" i="178"/>
  <c r="E38" i="178"/>
  <c r="E21" i="178"/>
  <c r="E22" i="178"/>
  <c r="E23" i="178"/>
  <c r="E39" i="178"/>
  <c r="E40" i="178"/>
  <c r="E43" i="178"/>
  <c r="E42" i="178"/>
  <c r="E46" i="178"/>
  <c r="A52" i="178" s="1"/>
  <c r="D48" i="100"/>
  <c r="E40" i="100" s="1"/>
  <c r="D50" i="100"/>
  <c r="H40" i="301"/>
  <c r="C40" i="301" s="1"/>
  <c r="E36" i="296"/>
  <c r="E37" i="296"/>
  <c r="E38" i="296"/>
  <c r="E45" i="296"/>
  <c r="E34" i="296"/>
  <c r="E35" i="296"/>
  <c r="E39" i="296"/>
  <c r="E42" i="296"/>
  <c r="E43" i="296"/>
  <c r="E21" i="296"/>
  <c r="E44" i="296"/>
  <c r="E23" i="296"/>
  <c r="E26" i="296"/>
  <c r="E22" i="296"/>
  <c r="E27" i="296"/>
  <c r="E28" i="296"/>
  <c r="E29" i="296"/>
  <c r="E30" i="296"/>
  <c r="E31" i="296"/>
  <c r="J50" i="277"/>
  <c r="E50" i="277"/>
  <c r="J50" i="274"/>
  <c r="E50" i="274"/>
  <c r="E24" i="270"/>
  <c r="E43" i="270"/>
  <c r="E26" i="270"/>
  <c r="E44" i="270"/>
  <c r="E27" i="270"/>
  <c r="E45" i="270"/>
  <c r="E28" i="270"/>
  <c r="E29" i="270"/>
  <c r="E30" i="270"/>
  <c r="E31" i="270"/>
  <c r="E32" i="270"/>
  <c r="E34" i="270"/>
  <c r="E35" i="270"/>
  <c r="E36" i="270"/>
  <c r="E37" i="270"/>
  <c r="E21" i="270"/>
  <c r="E22" i="270"/>
  <c r="E23" i="270"/>
  <c r="E38" i="270"/>
  <c r="E39" i="270"/>
  <c r="E40" i="270"/>
  <c r="E42" i="270"/>
  <c r="H40" i="222"/>
  <c r="C40" i="222" s="1"/>
  <c r="E46" i="222"/>
  <c r="A52" i="222" s="1"/>
  <c r="E50" i="211"/>
  <c r="J50" i="224"/>
  <c r="E50" i="224"/>
  <c r="H46" i="201"/>
  <c r="C46" i="201" s="1"/>
  <c r="E32" i="200"/>
  <c r="E36" i="83"/>
  <c r="E39" i="83"/>
  <c r="E27" i="83"/>
  <c r="E30" i="83"/>
  <c r="E32" i="83"/>
  <c r="E34" i="83"/>
  <c r="E27" i="311"/>
  <c r="E46" i="296"/>
  <c r="A52" i="296" s="1"/>
  <c r="E24" i="296"/>
  <c r="H24" i="211"/>
  <c r="C24" i="211" s="1"/>
  <c r="H24" i="152"/>
  <c r="C24" i="152" s="1"/>
  <c r="J50" i="128"/>
  <c r="E50" i="128"/>
  <c r="E50" i="326"/>
  <c r="E34" i="318"/>
  <c r="E27" i="318"/>
  <c r="E42" i="318"/>
  <c r="E43" i="318"/>
  <c r="E44" i="318"/>
  <c r="E23" i="318"/>
  <c r="E29" i="244"/>
  <c r="E31" i="244"/>
  <c r="E36" i="244"/>
  <c r="E37" i="244"/>
  <c r="E21" i="244"/>
  <c r="E40" i="244"/>
  <c r="E23" i="244"/>
  <c r="E43" i="244"/>
  <c r="E26" i="244"/>
  <c r="E27" i="244"/>
  <c r="H32" i="232"/>
  <c r="C32" i="232" s="1"/>
  <c r="H24" i="194"/>
  <c r="C24" i="194" s="1"/>
  <c r="H24" i="198"/>
  <c r="C24" i="198" s="1"/>
  <c r="E27" i="190"/>
  <c r="E45" i="190"/>
  <c r="E28" i="190"/>
  <c r="E29" i="190"/>
  <c r="E30" i="190"/>
  <c r="E31" i="190"/>
  <c r="E34" i="190"/>
  <c r="E35" i="190"/>
  <c r="E36" i="190"/>
  <c r="E37" i="190"/>
  <c r="E38" i="190"/>
  <c r="E21" i="190"/>
  <c r="E39" i="190"/>
  <c r="E22" i="190"/>
  <c r="E23" i="190"/>
  <c r="E26" i="190"/>
  <c r="E40" i="190"/>
  <c r="E42" i="190"/>
  <c r="E43" i="190"/>
  <c r="E44" i="190"/>
  <c r="E46" i="190"/>
  <c r="A52" i="190" s="1"/>
  <c r="E24" i="190"/>
  <c r="E32" i="190"/>
  <c r="E24" i="178"/>
  <c r="E38" i="160"/>
  <c r="E21" i="160"/>
  <c r="E24" i="160"/>
  <c r="E43" i="160"/>
  <c r="E28" i="160"/>
  <c r="E29" i="160"/>
  <c r="E42" i="160"/>
  <c r="E45" i="160"/>
  <c r="E32" i="160"/>
  <c r="E34" i="160"/>
  <c r="E37" i="160"/>
  <c r="E46" i="160"/>
  <c r="A52" i="160" s="1"/>
  <c r="E43" i="323"/>
  <c r="E37" i="323"/>
  <c r="E22" i="323"/>
  <c r="E29" i="323"/>
  <c r="E32" i="323"/>
  <c r="E32" i="296"/>
  <c r="E24" i="295"/>
  <c r="E29" i="211"/>
  <c r="H46" i="208"/>
  <c r="C46" i="208" s="1"/>
  <c r="E32" i="222"/>
  <c r="H24" i="220"/>
  <c r="C24" i="220" s="1"/>
  <c r="D50" i="176"/>
  <c r="H24" i="267"/>
  <c r="C24" i="267" s="1"/>
  <c r="E36" i="228"/>
  <c r="H24" i="223"/>
  <c r="C24" i="223" s="1"/>
  <c r="J50" i="210"/>
  <c r="H24" i="215"/>
  <c r="C24" i="215" s="1"/>
  <c r="E50" i="199"/>
  <c r="J50" i="199"/>
  <c r="D48" i="213"/>
  <c r="E40" i="213" s="1"/>
  <c r="H24" i="87"/>
  <c r="C24" i="56"/>
  <c r="D48" i="49"/>
  <c r="E32" i="29"/>
  <c r="E36" i="29"/>
  <c r="E37" i="29"/>
  <c r="E22" i="29"/>
  <c r="E24" i="29"/>
  <c r="E43" i="29"/>
  <c r="E27" i="29"/>
  <c r="E45" i="29"/>
  <c r="E40" i="29"/>
  <c r="E28" i="331"/>
  <c r="E44" i="331"/>
  <c r="E26" i="331"/>
  <c r="E38" i="331"/>
  <c r="E40" i="331"/>
  <c r="E42" i="331"/>
  <c r="H24" i="294"/>
  <c r="C24" i="294" s="1"/>
  <c r="E22" i="279"/>
  <c r="E29" i="279"/>
  <c r="E30" i="279"/>
  <c r="E31" i="279"/>
  <c r="E35" i="279"/>
  <c r="E36" i="279"/>
  <c r="E38" i="279"/>
  <c r="E39" i="279"/>
  <c r="E21" i="279"/>
  <c r="E42" i="279"/>
  <c r="E23" i="279"/>
  <c r="E24" i="279"/>
  <c r="E26" i="279"/>
  <c r="E27" i="279"/>
  <c r="E28" i="279"/>
  <c r="E37" i="279"/>
  <c r="E43" i="279"/>
  <c r="E45" i="279"/>
  <c r="E44" i="279"/>
  <c r="H24" i="275"/>
  <c r="C24" i="275" s="1"/>
  <c r="E46" i="279"/>
  <c r="A52" i="279" s="1"/>
  <c r="H24" i="241"/>
  <c r="E50" i="219"/>
  <c r="H24" i="214"/>
  <c r="C24" i="214" s="1"/>
  <c r="D48" i="221"/>
  <c r="C40" i="204"/>
  <c r="E28" i="199"/>
  <c r="E29" i="199"/>
  <c r="E30" i="199"/>
  <c r="E31" i="199"/>
  <c r="E34" i="199"/>
  <c r="E36" i="199"/>
  <c r="E37" i="199"/>
  <c r="E38" i="199"/>
  <c r="E21" i="199"/>
  <c r="E39" i="199"/>
  <c r="E22" i="199"/>
  <c r="E23" i="199"/>
  <c r="E24" i="199"/>
  <c r="E26" i="199"/>
  <c r="E27" i="199"/>
  <c r="E35" i="199"/>
  <c r="E42" i="199"/>
  <c r="E43" i="199"/>
  <c r="E44" i="199"/>
  <c r="E45" i="199"/>
  <c r="E28" i="187"/>
  <c r="E30" i="187"/>
  <c r="E38" i="187"/>
  <c r="E21" i="187"/>
  <c r="E23" i="187"/>
  <c r="E26" i="187"/>
  <c r="E40" i="187"/>
  <c r="E42" i="187"/>
  <c r="E32" i="187"/>
  <c r="H32" i="172"/>
  <c r="C32" i="172" s="1"/>
  <c r="H24" i="151"/>
  <c r="C24" i="151" s="1"/>
  <c r="H24" i="121"/>
  <c r="C24" i="121" s="1"/>
  <c r="E37" i="243"/>
  <c r="E46" i="243"/>
  <c r="A52" i="243" s="1"/>
  <c r="E29" i="243"/>
  <c r="E30" i="243"/>
  <c r="H40" i="235"/>
  <c r="C40" i="235" s="1"/>
  <c r="H24" i="247"/>
  <c r="H24" i="208"/>
  <c r="C24" i="208" s="1"/>
  <c r="H32" i="65"/>
  <c r="H24" i="330"/>
  <c r="C24" i="330" s="1"/>
  <c r="J50" i="304"/>
  <c r="E50" i="304"/>
  <c r="H32" i="308"/>
  <c r="C32" i="308" s="1"/>
  <c r="H24" i="253"/>
  <c r="C24" i="253" s="1"/>
  <c r="J50" i="244"/>
  <c r="E50" i="244"/>
  <c r="D50" i="243"/>
  <c r="E37" i="233"/>
  <c r="E39" i="233"/>
  <c r="E22" i="233"/>
  <c r="E24" i="233"/>
  <c r="E43" i="233"/>
  <c r="E27" i="233"/>
  <c r="E45" i="233"/>
  <c r="E31" i="233"/>
  <c r="E34" i="233"/>
  <c r="E46" i="233"/>
  <c r="A52" i="233" s="1"/>
  <c r="E29" i="233"/>
  <c r="H19" i="223"/>
  <c r="C19" i="223" s="1"/>
  <c r="H19" i="222"/>
  <c r="C19" i="222" s="1"/>
  <c r="E42" i="210"/>
  <c r="E44" i="210"/>
  <c r="E46" i="210"/>
  <c r="A52" i="210" s="1"/>
  <c r="E32" i="210"/>
  <c r="E21" i="210"/>
  <c r="H24" i="209"/>
  <c r="C24" i="209" s="1"/>
  <c r="E21" i="193"/>
  <c r="E39" i="193"/>
  <c r="E22" i="193"/>
  <c r="E23" i="193"/>
  <c r="E24" i="193"/>
  <c r="E43" i="193"/>
  <c r="E26" i="193"/>
  <c r="E44" i="193"/>
  <c r="E27" i="193"/>
  <c r="E45" i="193"/>
  <c r="E28" i="193"/>
  <c r="E29" i="193"/>
  <c r="E30" i="193"/>
  <c r="E31" i="193"/>
  <c r="E35" i="193"/>
  <c r="E36" i="193"/>
  <c r="E37" i="193"/>
  <c r="E38" i="193"/>
  <c r="E46" i="193"/>
  <c r="A52" i="193" s="1"/>
  <c r="E42" i="193"/>
  <c r="E40" i="193"/>
  <c r="E34" i="193"/>
  <c r="E32" i="318"/>
  <c r="J50" i="313"/>
  <c r="E50" i="313"/>
  <c r="E27" i="235"/>
  <c r="E45" i="235"/>
  <c r="E30" i="235"/>
  <c r="E31" i="235"/>
  <c r="E34" i="235"/>
  <c r="E35" i="235"/>
  <c r="E36" i="235"/>
  <c r="E37" i="235"/>
  <c r="E38" i="235"/>
  <c r="E39" i="235"/>
  <c r="E22" i="235"/>
  <c r="E42" i="235"/>
  <c r="E23" i="235"/>
  <c r="E43" i="235"/>
  <c r="E28" i="235"/>
  <c r="E29" i="235"/>
  <c r="E40" i="235"/>
  <c r="E44" i="235"/>
  <c r="E24" i="235"/>
  <c r="E21" i="235"/>
  <c r="E26" i="235"/>
  <c r="H19" i="226"/>
  <c r="C19" i="226" s="1"/>
  <c r="E40" i="224"/>
  <c r="E22" i="208"/>
  <c r="E23" i="208"/>
  <c r="E42" i="208"/>
  <c r="E24" i="208"/>
  <c r="E43" i="208"/>
  <c r="E26" i="208"/>
  <c r="E44" i="208"/>
  <c r="E28" i="208"/>
  <c r="E30" i="208"/>
  <c r="E35" i="208"/>
  <c r="E37" i="208"/>
  <c r="E21" i="208"/>
  <c r="E27" i="208"/>
  <c r="E29" i="208"/>
  <c r="E31" i="208"/>
  <c r="E32" i="208"/>
  <c r="E34" i="208"/>
  <c r="E36" i="208"/>
  <c r="E38" i="208"/>
  <c r="E39" i="208"/>
  <c r="E45" i="208"/>
  <c r="E46" i="208"/>
  <c r="A52" i="208" s="1"/>
  <c r="J50" i="197"/>
  <c r="E50" i="197"/>
  <c r="H32" i="126"/>
  <c r="C32" i="126" s="1"/>
  <c r="J50" i="34"/>
  <c r="E50" i="34"/>
  <c r="E35" i="40"/>
  <c r="E21" i="40"/>
  <c r="E44" i="40"/>
  <c r="E26" i="40"/>
  <c r="E30" i="40"/>
  <c r="E46" i="40"/>
  <c r="A52" i="40" s="1"/>
  <c r="E39" i="40"/>
  <c r="D48" i="195"/>
  <c r="E29" i="195" s="1"/>
  <c r="H19" i="172"/>
  <c r="C19" i="172" s="1"/>
  <c r="H27" i="179"/>
  <c r="H24" i="131"/>
  <c r="C24" i="131" s="1"/>
  <c r="H40" i="50"/>
  <c r="C40" i="50" s="1"/>
  <c r="H24" i="16"/>
  <c r="C24" i="16" s="1"/>
  <c r="H27" i="269"/>
  <c r="E35" i="197"/>
  <c r="E36" i="197"/>
  <c r="E43" i="197"/>
  <c r="E37" i="197"/>
  <c r="E42" i="197"/>
  <c r="E44" i="197"/>
  <c r="E23" i="197"/>
  <c r="E26" i="197"/>
  <c r="E29" i="197"/>
  <c r="E30" i="197"/>
  <c r="H19" i="193"/>
  <c r="C19" i="193" s="1"/>
  <c r="H24" i="153"/>
  <c r="C24" i="153" s="1"/>
  <c r="H24" i="150"/>
  <c r="J50" i="146"/>
  <c r="E50" i="146"/>
  <c r="H24" i="142"/>
  <c r="C24" i="142" s="1"/>
  <c r="D48" i="132"/>
  <c r="H32" i="98"/>
  <c r="C32" i="98" s="1"/>
  <c r="H24" i="69"/>
  <c r="C24" i="69" s="1"/>
  <c r="H24" i="45"/>
  <c r="C24" i="45" s="1"/>
  <c r="H40" i="24"/>
  <c r="C40" i="24" s="1"/>
  <c r="H24" i="193"/>
  <c r="C24" i="193" s="1"/>
  <c r="H19" i="185"/>
  <c r="C19" i="185" s="1"/>
  <c r="D48" i="188"/>
  <c r="E50" i="167"/>
  <c r="J50" i="167"/>
  <c r="H24" i="172"/>
  <c r="C24" i="172" s="1"/>
  <c r="H24" i="94"/>
  <c r="C24" i="94" s="1"/>
  <c r="H40" i="110"/>
  <c r="C40" i="110" s="1"/>
  <c r="H46" i="99"/>
  <c r="H19" i="91"/>
  <c r="C19" i="91" s="1"/>
  <c r="H24" i="60"/>
  <c r="C24" i="60" s="1"/>
  <c r="J50" i="200"/>
  <c r="E50" i="200"/>
  <c r="E27" i="185"/>
  <c r="E45" i="185"/>
  <c r="E28" i="185"/>
  <c r="E29" i="185"/>
  <c r="E30" i="185"/>
  <c r="E39" i="185"/>
  <c r="E40" i="185"/>
  <c r="E42" i="185"/>
  <c r="E43" i="185"/>
  <c r="E21" i="185"/>
  <c r="E44" i="185"/>
  <c r="E22" i="185"/>
  <c r="E23" i="185"/>
  <c r="E26" i="185"/>
  <c r="E31" i="185"/>
  <c r="E32" i="185"/>
  <c r="E34" i="185"/>
  <c r="E35" i="185"/>
  <c r="E36" i="185"/>
  <c r="E37" i="185"/>
  <c r="E38" i="185"/>
  <c r="E28" i="163"/>
  <c r="E39" i="163"/>
  <c r="E21" i="163"/>
  <c r="E23" i="163"/>
  <c r="E43" i="163"/>
  <c r="E26" i="163"/>
  <c r="E45" i="163"/>
  <c r="E30" i="163"/>
  <c r="E32" i="163"/>
  <c r="E36" i="163"/>
  <c r="E31" i="163"/>
  <c r="H19" i="129"/>
  <c r="C19" i="129" s="1"/>
  <c r="E28" i="135"/>
  <c r="E29" i="135"/>
  <c r="E31" i="135"/>
  <c r="E43" i="135"/>
  <c r="E26" i="135"/>
  <c r="E37" i="135"/>
  <c r="E38" i="135"/>
  <c r="E35" i="135"/>
  <c r="H40" i="166"/>
  <c r="C40" i="166" s="1"/>
  <c r="H24" i="160"/>
  <c r="C24" i="160" s="1"/>
  <c r="H19" i="145"/>
  <c r="C19" i="145" s="1"/>
  <c r="H24" i="169"/>
  <c r="C24" i="169" s="1"/>
  <c r="H24" i="155"/>
  <c r="C24" i="155" s="1"/>
  <c r="H19" i="148"/>
  <c r="C19" i="148" s="1"/>
  <c r="E28" i="137"/>
  <c r="E29" i="137"/>
  <c r="E30" i="137"/>
  <c r="E31" i="137"/>
  <c r="E36" i="137"/>
  <c r="E21" i="137"/>
  <c r="E27" i="137"/>
  <c r="E35" i="137"/>
  <c r="E37" i="137"/>
  <c r="E38" i="137"/>
  <c r="E39" i="137"/>
  <c r="E43" i="137"/>
  <c r="E44" i="137"/>
  <c r="E45" i="137"/>
  <c r="E23" i="137"/>
  <c r="E24" i="137"/>
  <c r="E26" i="137"/>
  <c r="E22" i="137"/>
  <c r="H24" i="117"/>
  <c r="C24" i="117" s="1"/>
  <c r="H24" i="106"/>
  <c r="C24" i="106" s="1"/>
  <c r="H24" i="51"/>
  <c r="C24" i="51" s="1"/>
  <c r="H32" i="10"/>
  <c r="C32" i="10" s="1"/>
  <c r="J50" i="170"/>
  <c r="H19" i="159"/>
  <c r="C19" i="159" s="1"/>
  <c r="D50" i="151"/>
  <c r="E50" i="151" s="1"/>
  <c r="J50" i="136"/>
  <c r="E50" i="136"/>
  <c r="E42" i="137"/>
  <c r="H24" i="137"/>
  <c r="C24" i="137" s="1"/>
  <c r="H19" i="103"/>
  <c r="C19" i="103" s="1"/>
  <c r="H40" i="80"/>
  <c r="C40" i="80" s="1"/>
  <c r="H32" i="4"/>
  <c r="C32" i="4" s="1"/>
  <c r="H19" i="20"/>
  <c r="C19" i="20" s="1"/>
  <c r="E45" i="177"/>
  <c r="E28" i="177"/>
  <c r="E31" i="177"/>
  <c r="E34" i="177"/>
  <c r="E37" i="177"/>
  <c r="E38" i="177"/>
  <c r="E43" i="177"/>
  <c r="E44" i="177"/>
  <c r="E40" i="177"/>
  <c r="E42" i="177"/>
  <c r="H46" i="169"/>
  <c r="C46" i="169" s="1"/>
  <c r="H24" i="135"/>
  <c r="C24" i="135" s="1"/>
  <c r="H19" i="110"/>
  <c r="C19" i="110" s="1"/>
  <c r="E46" i="137"/>
  <c r="A52" i="137" s="1"/>
  <c r="H24" i="120"/>
  <c r="H19" i="90"/>
  <c r="C19" i="90" s="1"/>
  <c r="D50" i="97"/>
  <c r="H46" i="192"/>
  <c r="C46" i="192" s="1"/>
  <c r="J50" i="173"/>
  <c r="E50" i="173"/>
  <c r="J50" i="169"/>
  <c r="E50" i="169"/>
  <c r="D48" i="151"/>
  <c r="J50" i="139"/>
  <c r="E18" i="108"/>
  <c r="E10" i="108"/>
  <c r="E17" i="108"/>
  <c r="E16" i="108"/>
  <c r="E15" i="108"/>
  <c r="E14" i="108"/>
  <c r="E13" i="108"/>
  <c r="D50" i="108"/>
  <c r="E50" i="108" s="1"/>
  <c r="E19" i="108"/>
  <c r="E12" i="108"/>
  <c r="E11" i="108"/>
  <c r="H32" i="101"/>
  <c r="C32" i="101" s="1"/>
  <c r="H24" i="79"/>
  <c r="C24" i="79" s="1"/>
  <c r="H24" i="52"/>
  <c r="C24" i="52" s="1"/>
  <c r="H32" i="229"/>
  <c r="H24" i="199"/>
  <c r="H48" i="199" s="1"/>
  <c r="J50" i="196"/>
  <c r="E50" i="196"/>
  <c r="H24" i="187"/>
  <c r="C24" i="187" s="1"/>
  <c r="H46" i="172"/>
  <c r="C46" i="172" s="1"/>
  <c r="E26" i="173"/>
  <c r="E44" i="173"/>
  <c r="E27" i="173"/>
  <c r="E45" i="173"/>
  <c r="E28" i="173"/>
  <c r="E29" i="173"/>
  <c r="E30" i="173"/>
  <c r="E31" i="173"/>
  <c r="E34" i="173"/>
  <c r="E35" i="173"/>
  <c r="E37" i="173"/>
  <c r="E38" i="173"/>
  <c r="E21" i="173"/>
  <c r="E39" i="173"/>
  <c r="E22" i="173"/>
  <c r="E23" i="173"/>
  <c r="E24" i="173"/>
  <c r="E36" i="173"/>
  <c r="E40" i="173"/>
  <c r="E42" i="173"/>
  <c r="E43" i="173"/>
  <c r="H32" i="164"/>
  <c r="C32" i="164" s="1"/>
  <c r="H46" i="152"/>
  <c r="C46" i="152" s="1"/>
  <c r="H32" i="156"/>
  <c r="C32" i="156" s="1"/>
  <c r="H24" i="157"/>
  <c r="C24" i="157" s="1"/>
  <c r="H40" i="126"/>
  <c r="C40" i="126" s="1"/>
  <c r="H19" i="98"/>
  <c r="C19" i="98" s="1"/>
  <c r="H32" i="71"/>
  <c r="C32" i="71" s="1"/>
  <c r="H19" i="55"/>
  <c r="C19" i="55" s="1"/>
  <c r="H24" i="21"/>
  <c r="E50" i="193"/>
  <c r="J50" i="193"/>
  <c r="D48" i="128"/>
  <c r="E37" i="128" s="1"/>
  <c r="E40" i="137"/>
  <c r="H24" i="108"/>
  <c r="C24" i="108" s="1"/>
  <c r="H24" i="98"/>
  <c r="C24" i="98" s="1"/>
  <c r="H46" i="100"/>
  <c r="C46" i="100" s="1"/>
  <c r="H19" i="16"/>
  <c r="C19" i="16" s="1"/>
  <c r="D48" i="202"/>
  <c r="E42" i="202" s="1"/>
  <c r="J50" i="172"/>
  <c r="E50" i="172"/>
  <c r="J50" i="166"/>
  <c r="E50" i="166"/>
  <c r="H19" i="155"/>
  <c r="C19" i="155" s="1"/>
  <c r="H24" i="156"/>
  <c r="C24" i="156" s="1"/>
  <c r="H19" i="135"/>
  <c r="C19" i="135" s="1"/>
  <c r="H24" i="125"/>
  <c r="C24" i="125" s="1"/>
  <c r="H24" i="103"/>
  <c r="C24" i="103" s="1"/>
  <c r="H19" i="133"/>
  <c r="C19" i="133" s="1"/>
  <c r="H40" i="129"/>
  <c r="C40" i="129" s="1"/>
  <c r="H24" i="97"/>
  <c r="C24" i="97" s="1"/>
  <c r="H24" i="105"/>
  <c r="C24" i="105" s="1"/>
  <c r="E26" i="93"/>
  <c r="E44" i="93"/>
  <c r="E37" i="93"/>
  <c r="E22" i="93"/>
  <c r="E23" i="93"/>
  <c r="E32" i="93"/>
  <c r="E38" i="93"/>
  <c r="E42" i="93"/>
  <c r="H24" i="48"/>
  <c r="C24" i="48" s="1"/>
  <c r="J50" i="48"/>
  <c r="H24" i="58"/>
  <c r="C24" i="58" s="1"/>
  <c r="D48" i="5"/>
  <c r="H24" i="9"/>
  <c r="C24" i="9" s="1"/>
  <c r="H40" i="45"/>
  <c r="H40" i="44"/>
  <c r="C40" i="44" s="1"/>
  <c r="H46" i="65"/>
  <c r="C46" i="65" s="1"/>
  <c r="E26" i="24"/>
  <c r="E44" i="24"/>
  <c r="E31" i="24"/>
  <c r="E38" i="24"/>
  <c r="E21" i="24"/>
  <c r="E30" i="24"/>
  <c r="E42" i="24"/>
  <c r="E43" i="24"/>
  <c r="E24" i="24"/>
  <c r="H24" i="43"/>
  <c r="C24" i="43" s="1"/>
  <c r="H32" i="3"/>
  <c r="C32" i="3" s="1"/>
  <c r="H32" i="52"/>
  <c r="C32" i="52" s="1"/>
  <c r="H19" i="68"/>
  <c r="C19" i="68" s="1"/>
  <c r="C40" i="258"/>
  <c r="J50" i="176"/>
  <c r="E50" i="176"/>
  <c r="E30" i="329"/>
  <c r="E36" i="329"/>
  <c r="E22" i="329"/>
  <c r="E24" i="329"/>
  <c r="E27" i="329"/>
  <c r="E28" i="329"/>
  <c r="E29" i="329"/>
  <c r="E35" i="329"/>
  <c r="E37" i="329"/>
  <c r="E38" i="329"/>
  <c r="E40" i="329"/>
  <c r="E21" i="329"/>
  <c r="E45" i="329"/>
  <c r="E26" i="329"/>
  <c r="E23" i="132"/>
  <c r="E24" i="132"/>
  <c r="E45" i="132"/>
  <c r="E27" i="132"/>
  <c r="E46" i="132"/>
  <c r="A52" i="132" s="1"/>
  <c r="E30" i="132"/>
  <c r="E31" i="132"/>
  <c r="E34" i="132"/>
  <c r="E35" i="132"/>
  <c r="E37" i="132"/>
  <c r="E39" i="132"/>
  <c r="E26" i="132"/>
  <c r="E31" i="213"/>
  <c r="H48" i="178"/>
  <c r="E45" i="49"/>
  <c r="E31" i="49"/>
  <c r="E23" i="49"/>
  <c r="E40" i="49"/>
  <c r="E46" i="49"/>
  <c r="A52" i="49" s="1"/>
  <c r="E28" i="289"/>
  <c r="E29" i="289"/>
  <c r="E30" i="289"/>
  <c r="E31" i="289"/>
  <c r="E38" i="289"/>
  <c r="E39" i="289"/>
  <c r="E43" i="289"/>
  <c r="E21" i="289"/>
  <c r="E44" i="289"/>
  <c r="E22" i="289"/>
  <c r="E45" i="289"/>
  <c r="E35" i="289"/>
  <c r="E36" i="289"/>
  <c r="E37" i="289"/>
  <c r="E23" i="289"/>
  <c r="E26" i="289"/>
  <c r="E27" i="289"/>
  <c r="E32" i="289"/>
  <c r="E34" i="289"/>
  <c r="E40" i="289"/>
  <c r="E24" i="289"/>
  <c r="E42" i="289"/>
  <c r="J50" i="100"/>
  <c r="E50" i="100"/>
  <c r="E27" i="100"/>
  <c r="E45" i="100"/>
  <c r="E30" i="100"/>
  <c r="E31" i="100"/>
  <c r="E35" i="100"/>
  <c r="E37" i="100"/>
  <c r="E38" i="100"/>
  <c r="E21" i="100"/>
  <c r="E39" i="100"/>
  <c r="E22" i="100"/>
  <c r="E23" i="100"/>
  <c r="E26" i="100"/>
  <c r="E28" i="100"/>
  <c r="E29" i="100"/>
  <c r="E36" i="100"/>
  <c r="E42" i="100"/>
  <c r="E43" i="100"/>
  <c r="E44" i="100"/>
  <c r="E46" i="100"/>
  <c r="A52" i="100" s="1"/>
  <c r="E34" i="100"/>
  <c r="E32" i="100"/>
  <c r="E24" i="100"/>
  <c r="E27" i="188"/>
  <c r="E30" i="188"/>
  <c r="E37" i="188"/>
  <c r="E23" i="188"/>
  <c r="E43" i="188"/>
  <c r="E26" i="204"/>
  <c r="E45" i="204"/>
  <c r="E28" i="204"/>
  <c r="E31" i="204"/>
  <c r="E32" i="204"/>
  <c r="E37" i="204"/>
  <c r="E38" i="204"/>
  <c r="E23" i="204"/>
  <c r="E39" i="204"/>
  <c r="E46" i="204"/>
  <c r="A52" i="204" s="1"/>
  <c r="E34" i="204"/>
  <c r="J50" i="151"/>
  <c r="E37" i="285"/>
  <c r="E23" i="285"/>
  <c r="E44" i="285"/>
  <c r="E28" i="285"/>
  <c r="E32" i="285"/>
  <c r="E42" i="285"/>
  <c r="E27" i="195"/>
  <c r="E30" i="195"/>
  <c r="E48" i="200"/>
  <c r="J50" i="202"/>
  <c r="E50" i="202"/>
  <c r="J50" i="289"/>
  <c r="E50" i="289"/>
  <c r="E44" i="184"/>
  <c r="E27" i="184"/>
  <c r="E45" i="184"/>
  <c r="E30" i="184"/>
  <c r="E31" i="184"/>
  <c r="E34" i="184"/>
  <c r="E35" i="184"/>
  <c r="E36" i="184"/>
  <c r="E37" i="184"/>
  <c r="E38" i="184"/>
  <c r="E39" i="184"/>
  <c r="E40" i="184"/>
  <c r="E21" i="184"/>
  <c r="E42" i="184"/>
  <c r="E22" i="184"/>
  <c r="E43" i="184"/>
  <c r="E23" i="184"/>
  <c r="E28" i="184"/>
  <c r="E29" i="184"/>
  <c r="E26" i="184"/>
  <c r="E24" i="184"/>
  <c r="E46" i="184"/>
  <c r="A52" i="184" s="1"/>
  <c r="E50" i="155"/>
  <c r="J50" i="155"/>
  <c r="E44" i="151"/>
  <c r="E29" i="151"/>
  <c r="E22" i="151"/>
  <c r="E28" i="151"/>
  <c r="E30" i="151"/>
  <c r="E45" i="151"/>
  <c r="E26" i="151"/>
  <c r="E46" i="151"/>
  <c r="A52" i="151" s="1"/>
  <c r="E32" i="132"/>
  <c r="E32" i="184"/>
  <c r="E38" i="155"/>
  <c r="E21" i="155"/>
  <c r="E39" i="155"/>
  <c r="E28" i="155"/>
  <c r="E29" i="155"/>
  <c r="E30" i="155"/>
  <c r="E31" i="155"/>
  <c r="E34" i="155"/>
  <c r="E35" i="155"/>
  <c r="E36" i="155"/>
  <c r="E37" i="155"/>
  <c r="E43" i="155"/>
  <c r="E23" i="155"/>
  <c r="E24" i="155"/>
  <c r="E27" i="155"/>
  <c r="E42" i="155"/>
  <c r="E45" i="155"/>
  <c r="E22" i="155"/>
  <c r="E46" i="155"/>
  <c r="A52" i="155" s="1"/>
  <c r="E40" i="155"/>
  <c r="E26" i="155"/>
  <c r="E44" i="155"/>
  <c r="E22" i="245"/>
  <c r="E30" i="245"/>
  <c r="E32" i="195"/>
  <c r="J50" i="204"/>
  <c r="E50" i="204"/>
  <c r="H24" i="346"/>
  <c r="H12" i="346"/>
  <c r="H11" i="346"/>
  <c r="H28" i="346"/>
  <c r="H32" i="346" s="1"/>
  <c r="C32" i="346" s="1"/>
  <c r="H37" i="346"/>
  <c r="H36" i="346"/>
  <c r="H16" i="346"/>
  <c r="H44" i="346"/>
  <c r="H46" i="346" s="1"/>
  <c r="C46" i="346" s="1"/>
  <c r="H32" i="347"/>
  <c r="H37" i="347"/>
  <c r="H36" i="347"/>
  <c r="H35" i="347"/>
  <c r="H39" i="347"/>
  <c r="H46" i="364"/>
  <c r="C46" i="364" s="1"/>
  <c r="H13" i="364"/>
  <c r="H30" i="364"/>
  <c r="H39" i="364"/>
  <c r="H40" i="364" s="1"/>
  <c r="C40" i="364" s="1"/>
  <c r="H11" i="364"/>
  <c r="H28" i="364"/>
  <c r="H34" i="365"/>
  <c r="H40" i="365" s="1"/>
  <c r="C40" i="365" s="1"/>
  <c r="H23" i="365"/>
  <c r="H43" i="365"/>
  <c r="H14" i="365"/>
  <c r="H42" i="365"/>
  <c r="H31" i="365"/>
  <c r="H21" i="365"/>
  <c r="H13" i="365"/>
  <c r="H19" i="365" s="1"/>
  <c r="C19" i="365" s="1"/>
  <c r="H30" i="365"/>
  <c r="H12" i="366"/>
  <c r="H29" i="366"/>
  <c r="H38" i="366"/>
  <c r="H27" i="366"/>
  <c r="H36" i="366"/>
  <c r="H35" i="366"/>
  <c r="H16" i="366"/>
  <c r="H34" i="366"/>
  <c r="H22" i="366"/>
  <c r="H42" i="366"/>
  <c r="H46" i="366" s="1"/>
  <c r="C46" i="366" s="1"/>
  <c r="H46" i="362"/>
  <c r="C46" i="362" s="1"/>
  <c r="H12" i="362"/>
  <c r="H29" i="362"/>
  <c r="H38" i="362"/>
  <c r="H40" i="362" s="1"/>
  <c r="C40" i="362" s="1"/>
  <c r="H18" i="362"/>
  <c r="H10" i="362"/>
  <c r="H27" i="362"/>
  <c r="H32" i="362" s="1"/>
  <c r="H24" i="363"/>
  <c r="C24" i="363" s="1"/>
  <c r="H38" i="363"/>
  <c r="H46" i="387"/>
  <c r="C46" i="387" s="1"/>
  <c r="H40" i="387"/>
  <c r="H32" i="387"/>
  <c r="C32" i="387" s="1"/>
  <c r="H24" i="387"/>
  <c r="C24" i="387" s="1"/>
  <c r="H19" i="387"/>
  <c r="C19" i="387" s="1"/>
  <c r="H46" i="386"/>
  <c r="C46" i="386" s="1"/>
  <c r="H24" i="386"/>
  <c r="H46" i="385"/>
  <c r="C46" i="385" s="1"/>
  <c r="H24" i="385"/>
  <c r="C24" i="385" s="1"/>
  <c r="H19" i="385"/>
  <c r="C19" i="385" s="1"/>
  <c r="H46" i="384"/>
  <c r="C46" i="384" s="1"/>
  <c r="H40" i="384"/>
  <c r="H24" i="384"/>
  <c r="C24" i="384" s="1"/>
  <c r="H19" i="384"/>
  <c r="C19" i="384" s="1"/>
  <c r="H46" i="383"/>
  <c r="C46" i="383" s="1"/>
  <c r="D50" i="383"/>
  <c r="E50" i="383" s="1"/>
  <c r="D48" i="383"/>
  <c r="E28" i="383" s="1"/>
  <c r="H24" i="383"/>
  <c r="C24" i="383" s="1"/>
  <c r="H46" i="381"/>
  <c r="C46" i="381" s="1"/>
  <c r="H40" i="381"/>
  <c r="C40" i="381" s="1"/>
  <c r="H19" i="381"/>
  <c r="C19" i="381" s="1"/>
  <c r="H46" i="380"/>
  <c r="C46" i="380" s="1"/>
  <c r="H40" i="380"/>
  <c r="C40" i="380" s="1"/>
  <c r="D50" i="380"/>
  <c r="D48" i="380"/>
  <c r="H24" i="380"/>
  <c r="C24" i="380" s="1"/>
  <c r="H46" i="379"/>
  <c r="C46" i="379" s="1"/>
  <c r="D50" i="379"/>
  <c r="D48" i="379"/>
  <c r="H40" i="379"/>
  <c r="C40" i="379" s="1"/>
  <c r="H24" i="379"/>
  <c r="C24" i="379" s="1"/>
  <c r="H19" i="379"/>
  <c r="C19" i="379" s="1"/>
  <c r="H14" i="372"/>
  <c r="H42" i="372"/>
  <c r="H46" i="372" s="1"/>
  <c r="H31" i="372"/>
  <c r="H29" i="372"/>
  <c r="H11" i="372"/>
  <c r="H35" i="372"/>
  <c r="C24" i="386"/>
  <c r="E46" i="383"/>
  <c r="A52" i="383" s="1"/>
  <c r="H24" i="392"/>
  <c r="C24" i="392" s="1"/>
  <c r="H46" i="391"/>
  <c r="C46" i="391" s="1"/>
  <c r="D50" i="391"/>
  <c r="J50" i="391" s="1"/>
  <c r="D48" i="391"/>
  <c r="E26" i="391" s="1"/>
  <c r="H24" i="391"/>
  <c r="C24" i="391" s="1"/>
  <c r="H40" i="403"/>
  <c r="C40" i="403" s="1"/>
  <c r="H24" i="403"/>
  <c r="C24" i="403" s="1"/>
  <c r="H46" i="402"/>
  <c r="C46" i="402" s="1"/>
  <c r="H40" i="402"/>
  <c r="C40" i="402" s="1"/>
  <c r="D50" i="402"/>
  <c r="J50" i="402" s="1"/>
  <c r="D48" i="402"/>
  <c r="H32" i="402"/>
  <c r="C32" i="402" s="1"/>
  <c r="H24" i="402"/>
  <c r="C24" i="402" s="1"/>
  <c r="E50" i="402"/>
  <c r="D50" i="407"/>
  <c r="D48" i="407"/>
  <c r="H32" i="407"/>
  <c r="C32" i="407" s="1"/>
  <c r="H19" i="407"/>
  <c r="C19" i="407" s="1"/>
  <c r="H46" i="413"/>
  <c r="C46" i="413" s="1"/>
  <c r="H40" i="413"/>
  <c r="C40" i="413" s="1"/>
  <c r="H24" i="413"/>
  <c r="C24" i="413" s="1"/>
  <c r="E35" i="391"/>
  <c r="D50" i="116"/>
  <c r="D48" i="116"/>
  <c r="H32" i="115"/>
  <c r="C32" i="115" s="1"/>
  <c r="C46" i="314"/>
  <c r="E22" i="49"/>
  <c r="C24" i="188"/>
  <c r="E13" i="269"/>
  <c r="E16" i="269"/>
  <c r="E12" i="269"/>
  <c r="E11" i="269"/>
  <c r="E14" i="269"/>
  <c r="E15" i="269"/>
  <c r="E18" i="269"/>
  <c r="E10" i="269"/>
  <c r="E17" i="269"/>
  <c r="E19" i="269"/>
  <c r="E22" i="132"/>
  <c r="E36" i="132"/>
  <c r="E42" i="132"/>
  <c r="E21" i="132"/>
  <c r="E43" i="132"/>
  <c r="E38" i="132"/>
  <c r="E44" i="132"/>
  <c r="E40" i="132"/>
  <c r="E28" i="132"/>
  <c r="E29" i="132"/>
  <c r="J50" i="223"/>
  <c r="E46" i="228"/>
  <c r="A52" i="228" s="1"/>
  <c r="E43" i="228"/>
  <c r="E39" i="228"/>
  <c r="E44" i="228"/>
  <c r="E21" i="228"/>
  <c r="E27" i="228"/>
  <c r="E45" i="228"/>
  <c r="E28" i="228"/>
  <c r="E29" i="228"/>
  <c r="E23" i="228"/>
  <c r="E31" i="228"/>
  <c r="E32" i="228"/>
  <c r="E34" i="228"/>
  <c r="E38" i="228"/>
  <c r="E42" i="228"/>
  <c r="E40" i="228"/>
  <c r="E22" i="228"/>
  <c r="E24" i="228"/>
  <c r="C24" i="291"/>
  <c r="E22" i="267"/>
  <c r="E44" i="267"/>
  <c r="E21" i="267"/>
  <c r="E46" i="267"/>
  <c r="A52" i="267" s="1"/>
  <c r="E31" i="267"/>
  <c r="E27" i="267"/>
  <c r="E35" i="267"/>
  <c r="E38" i="267"/>
  <c r="E39" i="267"/>
  <c r="H40" i="144"/>
  <c r="C40" i="144" s="1"/>
  <c r="H24" i="329"/>
  <c r="C24" i="329" s="1"/>
  <c r="H24" i="243"/>
  <c r="C24" i="243" s="1"/>
  <c r="E22" i="213"/>
  <c r="E46" i="213"/>
  <c r="A52" i="213" s="1"/>
  <c r="E43" i="213"/>
  <c r="E27" i="213"/>
  <c r="H24" i="326"/>
  <c r="C24" i="326" s="1"/>
  <c r="E18" i="288"/>
  <c r="E19" i="288"/>
  <c r="D50" i="288"/>
  <c r="E12" i="288"/>
  <c r="E17" i="288"/>
  <c r="E10" i="288"/>
  <c r="E15" i="288"/>
  <c r="E16" i="288"/>
  <c r="E14" i="288"/>
  <c r="E13" i="288"/>
  <c r="E16" i="375"/>
  <c r="E18" i="375"/>
  <c r="E15" i="375"/>
  <c r="E14" i="375"/>
  <c r="E13" i="375"/>
  <c r="E11" i="375"/>
  <c r="E19" i="375"/>
  <c r="E17" i="375"/>
  <c r="E10" i="375"/>
  <c r="E50" i="279"/>
  <c r="H24" i="228"/>
  <c r="J50" i="222"/>
  <c r="E50" i="222"/>
  <c r="E26" i="207"/>
  <c r="E30" i="207"/>
  <c r="E44" i="207"/>
  <c r="E31" i="207"/>
  <c r="E27" i="207"/>
  <c r="E45" i="207"/>
  <c r="E28" i="207"/>
  <c r="E29" i="207"/>
  <c r="E32" i="207"/>
  <c r="E34" i="207"/>
  <c r="E22" i="207"/>
  <c r="E23" i="207"/>
  <c r="E35" i="207"/>
  <c r="E36" i="207"/>
  <c r="E38" i="207"/>
  <c r="E37" i="207"/>
  <c r="E39" i="207"/>
  <c r="C48" i="178"/>
  <c r="E36" i="249"/>
  <c r="E21" i="249"/>
  <c r="E37" i="249"/>
  <c r="E38" i="249"/>
  <c r="E39" i="249"/>
  <c r="E40" i="249"/>
  <c r="E23" i="249"/>
  <c r="E43" i="249"/>
  <c r="E44" i="249"/>
  <c r="E30" i="249"/>
  <c r="E32" i="249"/>
  <c r="E34" i="249"/>
  <c r="E22" i="249"/>
  <c r="E35" i="249"/>
  <c r="E26" i="249"/>
  <c r="E31" i="249"/>
  <c r="E27" i="249"/>
  <c r="E29" i="249"/>
  <c r="E28" i="249"/>
  <c r="E42" i="249"/>
  <c r="E45" i="249"/>
  <c r="E46" i="249"/>
  <c r="A52" i="249" s="1"/>
  <c r="E50" i="298"/>
  <c r="J50" i="298"/>
  <c r="D48" i="278"/>
  <c r="E46" i="278" s="1"/>
  <c r="A52" i="278" s="1"/>
  <c r="H19" i="335"/>
  <c r="C19" i="335" s="1"/>
  <c r="D50" i="333"/>
  <c r="D48" i="333"/>
  <c r="E32" i="137"/>
  <c r="E34" i="137"/>
  <c r="H19" i="301"/>
  <c r="C19" i="301" s="1"/>
  <c r="E11" i="288"/>
  <c r="E50" i="282"/>
  <c r="H46" i="308"/>
  <c r="C46" i="308" s="1"/>
  <c r="H19" i="309"/>
  <c r="C19" i="309" s="1"/>
  <c r="E50" i="296"/>
  <c r="J50" i="296"/>
  <c r="J50" i="329"/>
  <c r="E50" i="329"/>
  <c r="E44" i="288"/>
  <c r="E46" i="216"/>
  <c r="A52" i="216" s="1"/>
  <c r="E36" i="216"/>
  <c r="E34" i="216"/>
  <c r="E42" i="216"/>
  <c r="E37" i="216"/>
  <c r="E30" i="216"/>
  <c r="E38" i="216"/>
  <c r="E32" i="216"/>
  <c r="E21" i="216"/>
  <c r="E39" i="216"/>
  <c r="E22" i="216"/>
  <c r="E23" i="216"/>
  <c r="E24" i="216"/>
  <c r="E43" i="216"/>
  <c r="E26" i="216"/>
  <c r="E44" i="216"/>
  <c r="E27" i="216"/>
  <c r="E30" i="183"/>
  <c r="E31" i="183"/>
  <c r="E32" i="183"/>
  <c r="E34" i="183"/>
  <c r="E28" i="183"/>
  <c r="E35" i="183"/>
  <c r="E29" i="183"/>
  <c r="E36" i="183"/>
  <c r="E21" i="183"/>
  <c r="E37" i="183"/>
  <c r="E42" i="183"/>
  <c r="E38" i="183"/>
  <c r="E22" i="183"/>
  <c r="E39" i="183"/>
  <c r="E43" i="183"/>
  <c r="E40" i="183"/>
  <c r="E23" i="183"/>
  <c r="E46" i="183"/>
  <c r="A52" i="183" s="1"/>
  <c r="E44" i="183"/>
  <c r="H40" i="320"/>
  <c r="C40" i="320" s="1"/>
  <c r="H19" i="321"/>
  <c r="C19" i="321" s="1"/>
  <c r="D50" i="284"/>
  <c r="E50" i="284" s="1"/>
  <c r="D48" i="284"/>
  <c r="E31" i="298"/>
  <c r="E34" i="298"/>
  <c r="E36" i="298"/>
  <c r="E32" i="298"/>
  <c r="E37" i="298"/>
  <c r="E22" i="298"/>
  <c r="E24" i="298"/>
  <c r="E26" i="298"/>
  <c r="E28" i="298"/>
  <c r="E29" i="298"/>
  <c r="E45" i="298"/>
  <c r="E27" i="298"/>
  <c r="E38" i="298"/>
  <c r="E35" i="298"/>
  <c r="E40" i="320"/>
  <c r="E42" i="320"/>
  <c r="E43" i="320"/>
  <c r="H24" i="296"/>
  <c r="C24" i="296" s="1"/>
  <c r="H32" i="261"/>
  <c r="C32" i="261" s="1"/>
  <c r="E40" i="211"/>
  <c r="E31" i="211"/>
  <c r="E34" i="211"/>
  <c r="E35" i="211"/>
  <c r="E23" i="211"/>
  <c r="E37" i="211"/>
  <c r="E21" i="211"/>
  <c r="E24" i="211"/>
  <c r="E36" i="211"/>
  <c r="E38" i="211"/>
  <c r="E26" i="211"/>
  <c r="E39" i="211"/>
  <c r="E27" i="211"/>
  <c r="E45" i="211"/>
  <c r="H40" i="335"/>
  <c r="C40" i="335" s="1"/>
  <c r="H40" i="324"/>
  <c r="C40" i="324" s="1"/>
  <c r="H19" i="300"/>
  <c r="C19" i="300" s="1"/>
  <c r="H19" i="290"/>
  <c r="C19" i="288"/>
  <c r="H19" i="165"/>
  <c r="C19" i="165" s="1"/>
  <c r="E48" i="315"/>
  <c r="H32" i="336"/>
  <c r="H24" i="336"/>
  <c r="H48" i="336" s="1"/>
  <c r="E45" i="268"/>
  <c r="E30" i="268"/>
  <c r="E40" i="268"/>
  <c r="E38" i="268"/>
  <c r="H19" i="336"/>
  <c r="C19" i="336" s="1"/>
  <c r="H24" i="335"/>
  <c r="C24" i="335" s="1"/>
  <c r="E48" i="309"/>
  <c r="E48" i="277"/>
  <c r="H32" i="335"/>
  <c r="C32" i="335" s="1"/>
  <c r="H40" i="327"/>
  <c r="C40" i="327" s="1"/>
  <c r="H32" i="292"/>
  <c r="H46" i="288"/>
  <c r="H46" i="272"/>
  <c r="C46" i="272" s="1"/>
  <c r="H24" i="50"/>
  <c r="C24" i="50" s="1"/>
  <c r="H32" i="337"/>
  <c r="H19" i="311"/>
  <c r="C19" i="311" s="1"/>
  <c r="H40" i="330"/>
  <c r="C40" i="330" s="1"/>
  <c r="H32" i="325"/>
  <c r="E40" i="279"/>
  <c r="H46" i="17"/>
  <c r="C46" i="17" s="1"/>
  <c r="H40" i="303"/>
  <c r="C40" i="303" s="1"/>
  <c r="H19" i="304"/>
  <c r="C19" i="304" s="1"/>
  <c r="H19" i="233"/>
  <c r="C19" i="233" s="1"/>
  <c r="H40" i="224"/>
  <c r="H46" i="176"/>
  <c r="C46" i="176" s="1"/>
  <c r="D48" i="46"/>
  <c r="D50" i="46"/>
  <c r="E50" i="46" s="1"/>
  <c r="H19" i="47"/>
  <c r="D50" i="50"/>
  <c r="E24" i="50"/>
  <c r="H32" i="67"/>
  <c r="E10" i="71"/>
  <c r="D50" i="71"/>
  <c r="E14" i="71"/>
  <c r="E11" i="71"/>
  <c r="E19" i="71"/>
  <c r="H32" i="112"/>
  <c r="H19" i="255"/>
  <c r="C19" i="255" s="1"/>
  <c r="H19" i="267"/>
  <c r="C19" i="267" s="1"/>
  <c r="H19" i="161"/>
  <c r="C19" i="161" s="1"/>
  <c r="C46" i="113"/>
  <c r="D50" i="102"/>
  <c r="D48" i="102"/>
  <c r="H19" i="209"/>
  <c r="C19" i="209" s="1"/>
  <c r="H19" i="194"/>
  <c r="C19" i="194" s="1"/>
  <c r="H32" i="162"/>
  <c r="C32" i="162" s="1"/>
  <c r="H40" i="132"/>
  <c r="H46" i="13"/>
  <c r="C46" i="13" s="1"/>
  <c r="E19" i="45"/>
  <c r="E13" i="45"/>
  <c r="E10" i="45"/>
  <c r="E15" i="45"/>
  <c r="E11" i="45"/>
  <c r="E12" i="45"/>
  <c r="H32" i="108"/>
  <c r="C32" i="108" s="1"/>
  <c r="H32" i="51"/>
  <c r="C32" i="51" s="1"/>
  <c r="H32" i="173"/>
  <c r="C32" i="173" s="1"/>
  <c r="D48" i="12"/>
  <c r="D50" i="12"/>
  <c r="D46" i="9"/>
  <c r="D45" i="23"/>
  <c r="H19" i="42"/>
  <c r="C19" i="42" s="1"/>
  <c r="D48" i="85"/>
  <c r="D50" i="85"/>
  <c r="E50" i="85" s="1"/>
  <c r="H19" i="211"/>
  <c r="C19" i="211" s="1"/>
  <c r="H19" i="175"/>
  <c r="C19" i="175" s="1"/>
  <c r="H40" i="95"/>
  <c r="C40" i="95" s="1"/>
  <c r="D24" i="6"/>
  <c r="D21" i="23"/>
  <c r="E15" i="37"/>
  <c r="E17" i="37"/>
  <c r="E12" i="37"/>
  <c r="E10" i="37"/>
  <c r="E11" i="37"/>
  <c r="E19" i="37"/>
  <c r="E14" i="37"/>
  <c r="D50" i="37"/>
  <c r="E50" i="37" s="1"/>
  <c r="E13" i="37"/>
  <c r="D48" i="81"/>
  <c r="D50" i="81"/>
  <c r="H32" i="214"/>
  <c r="C32" i="186"/>
  <c r="H19" i="173"/>
  <c r="C19" i="173" s="1"/>
  <c r="E32" i="173"/>
  <c r="H19" i="115"/>
  <c r="C19" i="115" s="1"/>
  <c r="H32" i="125"/>
  <c r="C32" i="125" s="1"/>
  <c r="D24" i="11"/>
  <c r="D22" i="23"/>
  <c r="H34" i="148"/>
  <c r="H19" i="283"/>
  <c r="C19" i="283" s="1"/>
  <c r="H46" i="210"/>
  <c r="H40" i="200"/>
  <c r="C40" i="200" s="1"/>
  <c r="H19" i="125"/>
  <c r="C19" i="125" s="1"/>
  <c r="E40" i="93"/>
  <c r="D26" i="23"/>
  <c r="H26" i="23" s="1"/>
  <c r="D32" i="17"/>
  <c r="D50" i="63"/>
  <c r="D48" i="63"/>
  <c r="H40" i="112"/>
  <c r="C40" i="112" s="1"/>
  <c r="E18" i="31"/>
  <c r="E16" i="31"/>
  <c r="D50" i="31"/>
  <c r="E14" i="31"/>
  <c r="E13" i="31"/>
  <c r="E12" i="31"/>
  <c r="E10" i="31"/>
  <c r="E17" i="31"/>
  <c r="H19" i="236"/>
  <c r="C19" i="236" s="1"/>
  <c r="C32" i="201"/>
  <c r="H24" i="32"/>
  <c r="C24" i="32" s="1"/>
  <c r="H40" i="33"/>
  <c r="C40" i="33" s="1"/>
  <c r="H32" i="236"/>
  <c r="C32" i="236" s="1"/>
  <c r="H40" i="133"/>
  <c r="C40" i="133" s="1"/>
  <c r="D48" i="96"/>
  <c r="H19" i="1"/>
  <c r="C19" i="1" s="1"/>
  <c r="H40" i="219"/>
  <c r="C40" i="219" s="1"/>
  <c r="H32" i="147"/>
  <c r="H40" i="137"/>
  <c r="C40" i="137" s="1"/>
  <c r="D50" i="26"/>
  <c r="H32" i="133"/>
  <c r="C32" i="133" s="1"/>
  <c r="H32" i="105"/>
  <c r="C32" i="105" s="1"/>
  <c r="H40" i="57"/>
  <c r="C40" i="57" s="1"/>
  <c r="H19" i="33"/>
  <c r="C19" i="33" s="1"/>
  <c r="H19" i="24"/>
  <c r="C19" i="24" s="1"/>
  <c r="D48" i="37"/>
  <c r="H46" i="45"/>
  <c r="C46" i="45" s="1"/>
  <c r="E46" i="50"/>
  <c r="A52" i="50" s="1"/>
  <c r="D50" i="62"/>
  <c r="E17" i="62"/>
  <c r="E15" i="78"/>
  <c r="E18" i="78"/>
  <c r="E17" i="78"/>
  <c r="E16" i="78"/>
  <c r="D50" i="78"/>
  <c r="E14" i="78"/>
  <c r="E12" i="78"/>
  <c r="E10" i="78"/>
  <c r="D48" i="162"/>
  <c r="H19" i="99"/>
  <c r="C19" i="99" s="1"/>
  <c r="E14" i="17"/>
  <c r="E16" i="17"/>
  <c r="D48" i="71"/>
  <c r="D46" i="265"/>
  <c r="D50" i="265" s="1"/>
  <c r="H42" i="265"/>
  <c r="H46" i="265" s="1"/>
  <c r="H32" i="87"/>
  <c r="H19" i="88"/>
  <c r="C19" i="88" s="1"/>
  <c r="H46" i="61"/>
  <c r="C46" i="61" s="1"/>
  <c r="E12" i="24"/>
  <c r="E17" i="24"/>
  <c r="E15" i="24"/>
  <c r="E14" i="24"/>
  <c r="E13" i="24"/>
  <c r="E11" i="24"/>
  <c r="E10" i="24"/>
  <c r="E4" i="53"/>
  <c r="D24" i="269"/>
  <c r="H46" i="63"/>
  <c r="E17" i="30"/>
  <c r="E14" i="30"/>
  <c r="E11" i="30"/>
  <c r="E16" i="283"/>
  <c r="E14" i="283"/>
  <c r="E10" i="283"/>
  <c r="E11" i="283"/>
  <c r="H19" i="72"/>
  <c r="C19" i="72" s="1"/>
  <c r="H19" i="4"/>
  <c r="C19" i="4" s="1"/>
  <c r="E18" i="49"/>
  <c r="E11" i="49"/>
  <c r="E14" i="49"/>
  <c r="E10" i="49"/>
  <c r="E13" i="49"/>
  <c r="E15" i="49"/>
  <c r="E16" i="49"/>
  <c r="H46" i="112"/>
  <c r="C46" i="112" s="1"/>
  <c r="H32" i="130"/>
  <c r="C32" i="130" s="1"/>
  <c r="H32" i="116"/>
  <c r="C32" i="116" s="1"/>
  <c r="H19" i="87"/>
  <c r="C19" i="87" s="1"/>
  <c r="H32" i="76"/>
  <c r="C32" i="76" s="1"/>
  <c r="H19" i="37"/>
  <c r="C19" i="37" s="1"/>
  <c r="E18" i="30"/>
  <c r="H46" i="30"/>
  <c r="C46" i="30" s="1"/>
  <c r="H40" i="48"/>
  <c r="E17" i="193"/>
  <c r="E11" i="193"/>
  <c r="H46" i="122"/>
  <c r="C46" i="122" s="1"/>
  <c r="H24" i="55"/>
  <c r="H46" i="66"/>
  <c r="C46" i="66" s="1"/>
  <c r="E19" i="82"/>
  <c r="E11" i="82"/>
  <c r="E12" i="82"/>
  <c r="H24" i="84"/>
  <c r="H19" i="70"/>
  <c r="H30" i="6"/>
  <c r="H40" i="73"/>
  <c r="C40" i="73" s="1"/>
  <c r="H29" i="77"/>
  <c r="E14" i="109"/>
  <c r="E16" i="109"/>
  <c r="E15" i="109"/>
  <c r="E13" i="109"/>
  <c r="E12" i="109"/>
  <c r="E11" i="109"/>
  <c r="E10" i="109"/>
  <c r="E18" i="109"/>
  <c r="D32" i="123"/>
  <c r="C32" i="123" s="1"/>
  <c r="H19" i="51"/>
  <c r="C19" i="51" s="1"/>
  <c r="D50" i="234"/>
  <c r="E14" i="18"/>
  <c r="E16" i="18"/>
  <c r="E17" i="18"/>
  <c r="E10" i="22"/>
  <c r="E16" i="22"/>
  <c r="E17" i="22"/>
  <c r="E11" i="22"/>
  <c r="E12" i="22"/>
  <c r="H46" i="69"/>
  <c r="C46" i="69" s="1"/>
  <c r="H19" i="46"/>
  <c r="C19" i="46" s="1"/>
  <c r="D46" i="23"/>
  <c r="E14" i="35"/>
  <c r="E16" i="35"/>
  <c r="E16" i="81"/>
  <c r="E18" i="81"/>
  <c r="E14" i="9"/>
  <c r="E13" i="9"/>
  <c r="D29" i="23"/>
  <c r="H29" i="23" s="1"/>
  <c r="H19" i="34"/>
  <c r="C19" i="34" s="1"/>
  <c r="H34" i="136"/>
  <c r="H40" i="136" s="1"/>
  <c r="C40" i="136" s="1"/>
  <c r="E18" i="217"/>
  <c r="E15" i="217"/>
  <c r="E14" i="217"/>
  <c r="E13" i="217"/>
  <c r="E12" i="217"/>
  <c r="E10" i="217"/>
  <c r="E19" i="217"/>
  <c r="H24" i="5"/>
  <c r="C24" i="5" s="1"/>
  <c r="H26" i="17"/>
  <c r="H40" i="20"/>
  <c r="C40" i="20" s="1"/>
  <c r="E16" i="48"/>
  <c r="E11" i="56"/>
  <c r="E15" i="60"/>
  <c r="H11" i="77"/>
  <c r="D48" i="78"/>
  <c r="E18" i="128"/>
  <c r="E19" i="128"/>
  <c r="E18" i="140"/>
  <c r="E12" i="140"/>
  <c r="E11" i="140"/>
  <c r="E10" i="140"/>
  <c r="H26" i="146"/>
  <c r="G2" i="179"/>
  <c r="D46" i="182"/>
  <c r="H42" i="182"/>
  <c r="H46" i="182" s="1"/>
  <c r="H29" i="6"/>
  <c r="E14" i="15"/>
  <c r="D50" i="44"/>
  <c r="E10" i="88"/>
  <c r="E15" i="91"/>
  <c r="E12" i="91"/>
  <c r="E18" i="91"/>
  <c r="E16" i="93"/>
  <c r="D48" i="112"/>
  <c r="E32" i="112" s="1"/>
  <c r="H46" i="144"/>
  <c r="C46" i="144" s="1"/>
  <c r="E19" i="159"/>
  <c r="E11" i="159"/>
  <c r="H24" i="4"/>
  <c r="C24" i="4" s="1"/>
  <c r="E15" i="15"/>
  <c r="H16" i="23"/>
  <c r="D50" i="52"/>
  <c r="E14" i="60"/>
  <c r="D48" i="134"/>
  <c r="E29" i="134" s="1"/>
  <c r="E16" i="315"/>
  <c r="E18" i="315"/>
  <c r="H27" i="77"/>
  <c r="D48" i="170"/>
  <c r="E18" i="317"/>
  <c r="E17" i="317"/>
  <c r="E16" i="317"/>
  <c r="E15" i="317"/>
  <c r="E14" i="317"/>
  <c r="E11" i="317"/>
  <c r="E19" i="3"/>
  <c r="E12" i="6"/>
  <c r="H40" i="13"/>
  <c r="C40" i="13" s="1"/>
  <c r="H46" i="44"/>
  <c r="C46" i="44" s="1"/>
  <c r="D48" i="70"/>
  <c r="E18" i="142"/>
  <c r="E17" i="142"/>
  <c r="E11" i="142"/>
  <c r="H19" i="306"/>
  <c r="C19" i="306" s="1"/>
  <c r="E18" i="6"/>
  <c r="H27" i="11"/>
  <c r="H46" i="56"/>
  <c r="C46" i="56" s="1"/>
  <c r="H23" i="77"/>
  <c r="E12" i="88"/>
  <c r="E18" i="88"/>
  <c r="E19" i="88"/>
  <c r="E17" i="88"/>
  <c r="E16" i="88"/>
  <c r="E14" i="88"/>
  <c r="E17" i="90"/>
  <c r="E14" i="90"/>
  <c r="E18" i="90"/>
  <c r="E10" i="90"/>
  <c r="D48" i="101"/>
  <c r="D50" i="190"/>
  <c r="E13" i="6"/>
  <c r="D48" i="20"/>
  <c r="E46" i="20" s="1"/>
  <c r="A52" i="20" s="1"/>
  <c r="H22" i="77"/>
  <c r="E10" i="95"/>
  <c r="D48" i="122"/>
  <c r="H46" i="4"/>
  <c r="H46" i="11"/>
  <c r="C46" i="11" s="1"/>
  <c r="H10" i="53"/>
  <c r="D50" i="56"/>
  <c r="E18" i="76"/>
  <c r="E13" i="95"/>
  <c r="H18" i="179"/>
  <c r="H26" i="185"/>
  <c r="H32" i="185" s="1"/>
  <c r="E13" i="194"/>
  <c r="E16" i="194"/>
  <c r="E15" i="194"/>
  <c r="E14" i="194"/>
  <c r="E12" i="194"/>
  <c r="H46" i="27"/>
  <c r="C46" i="27" s="1"/>
  <c r="E19" i="38"/>
  <c r="D50" i="40"/>
  <c r="H23" i="53"/>
  <c r="H26" i="80"/>
  <c r="H32" i="80" s="1"/>
  <c r="E14" i="3"/>
  <c r="E13" i="13"/>
  <c r="D48" i="47"/>
  <c r="D48" i="55"/>
  <c r="E28" i="55" s="1"/>
  <c r="H36" i="77"/>
  <c r="H40" i="81"/>
  <c r="C40" i="81" s="1"/>
  <c r="E15" i="98"/>
  <c r="E10" i="129"/>
  <c r="E17" i="129"/>
  <c r="E16" i="129"/>
  <c r="E15" i="129"/>
  <c r="E14" i="129"/>
  <c r="H24" i="133"/>
  <c r="C24" i="133" s="1"/>
  <c r="E16" i="156"/>
  <c r="E18" i="156"/>
  <c r="E17" i="156"/>
  <c r="E15" i="156"/>
  <c r="E12" i="156"/>
  <c r="E11" i="156"/>
  <c r="H44" i="23"/>
  <c r="H46" i="23" s="1"/>
  <c r="H29" i="41"/>
  <c r="H46" i="317"/>
  <c r="C46" i="317" s="1"/>
  <c r="H46" i="38"/>
  <c r="C46" i="38" s="1"/>
  <c r="H19" i="43"/>
  <c r="H40" i="56"/>
  <c r="C40" i="56" s="1"/>
  <c r="D48" i="58"/>
  <c r="H42" i="98"/>
  <c r="E13" i="140"/>
  <c r="H46" i="156"/>
  <c r="C46" i="156" s="1"/>
  <c r="H32" i="182"/>
  <c r="C32" i="182" s="1"/>
  <c r="D48" i="260"/>
  <c r="E14" i="287"/>
  <c r="D50" i="287"/>
  <c r="H46" i="195"/>
  <c r="C46" i="195" s="1"/>
  <c r="H24" i="231"/>
  <c r="H34" i="234"/>
  <c r="H34" i="88"/>
  <c r="H40" i="88" s="1"/>
  <c r="H24" i="101"/>
  <c r="H39" i="118"/>
  <c r="E15" i="147"/>
  <c r="H43" i="180"/>
  <c r="E16" i="183"/>
  <c r="E11" i="184"/>
  <c r="E16" i="186"/>
  <c r="E16" i="187"/>
  <c r="D48" i="375"/>
  <c r="E24" i="375" s="1"/>
  <c r="E14" i="122"/>
  <c r="D48" i="127"/>
  <c r="H19" i="128"/>
  <c r="C19" i="128" s="1"/>
  <c r="E17" i="183"/>
  <c r="E12" i="184"/>
  <c r="E17" i="186"/>
  <c r="E16" i="192"/>
  <c r="E17" i="212"/>
  <c r="E18" i="212"/>
  <c r="E10" i="212"/>
  <c r="E13" i="219"/>
  <c r="H34" i="223"/>
  <c r="D48" i="287"/>
  <c r="H37" i="118"/>
  <c r="E16" i="119"/>
  <c r="E15" i="122"/>
  <c r="H40" i="125"/>
  <c r="C40" i="125" s="1"/>
  <c r="H46" i="140"/>
  <c r="C46" i="140" s="1"/>
  <c r="E10" i="146"/>
  <c r="H34" i="151"/>
  <c r="E11" i="153"/>
  <c r="H26" i="154"/>
  <c r="H34" i="176"/>
  <c r="H40" i="176" s="1"/>
  <c r="C40" i="176" s="1"/>
  <c r="H35" i="179"/>
  <c r="E13" i="184"/>
  <c r="E10" i="190"/>
  <c r="H26" i="192"/>
  <c r="H32" i="192" s="1"/>
  <c r="C32" i="192" s="1"/>
  <c r="D50" i="208"/>
  <c r="H42" i="251"/>
  <c r="D46" i="251"/>
  <c r="D48" i="251" s="1"/>
  <c r="E18" i="308"/>
  <c r="E19" i="308"/>
  <c r="E17" i="122"/>
  <c r="E13" i="148"/>
  <c r="E12" i="153"/>
  <c r="E17" i="157"/>
  <c r="E10" i="164"/>
  <c r="E15" i="165"/>
  <c r="E14" i="172"/>
  <c r="E12" i="190"/>
  <c r="H42" i="257"/>
  <c r="H34" i="265"/>
  <c r="E15" i="266"/>
  <c r="E13" i="266"/>
  <c r="E19" i="99"/>
  <c r="E17" i="120"/>
  <c r="E18" i="122"/>
  <c r="E16" i="134"/>
  <c r="H26" i="134"/>
  <c r="H32" i="134" s="1"/>
  <c r="E13" i="153"/>
  <c r="E13" i="164"/>
  <c r="E15" i="172"/>
  <c r="H16" i="180"/>
  <c r="E16" i="184"/>
  <c r="E15" i="190"/>
  <c r="E17" i="191"/>
  <c r="E14" i="218"/>
  <c r="E11" i="218"/>
  <c r="E18" i="226"/>
  <c r="E12" i="226"/>
  <c r="E11" i="226"/>
  <c r="E10" i="226"/>
  <c r="H26" i="266"/>
  <c r="H32" i="266" s="1"/>
  <c r="E16" i="279"/>
  <c r="E19" i="279"/>
  <c r="H26" i="96"/>
  <c r="H32" i="96" s="1"/>
  <c r="C32" i="96" s="1"/>
  <c r="H40" i="111"/>
  <c r="C40" i="111" s="1"/>
  <c r="E19" i="120"/>
  <c r="E19" i="123"/>
  <c r="H42" i="136"/>
  <c r="H26" i="157"/>
  <c r="H32" i="157" s="1"/>
  <c r="C32" i="157" s="1"/>
  <c r="D48" i="169"/>
  <c r="E19" i="172"/>
  <c r="E16" i="190"/>
  <c r="E16" i="207"/>
  <c r="E14" i="342"/>
  <c r="E16" i="342"/>
  <c r="D48" i="91"/>
  <c r="D24" i="179"/>
  <c r="E15" i="191"/>
  <c r="D48" i="230"/>
  <c r="E28" i="230" s="1"/>
  <c r="D48" i="255"/>
  <c r="D48" i="303"/>
  <c r="H31" i="84"/>
  <c r="H27" i="84"/>
  <c r="E14" i="102"/>
  <c r="E17" i="114"/>
  <c r="D50" i="120"/>
  <c r="J50" i="120" s="1"/>
  <c r="H26" i="121"/>
  <c r="D48" i="126"/>
  <c r="E46" i="126" s="1"/>
  <c r="A52" i="126" s="1"/>
  <c r="H46" i="149"/>
  <c r="C46" i="149" s="1"/>
  <c r="D48" i="153"/>
  <c r="H26" i="177"/>
  <c r="H46" i="189"/>
  <c r="C46" i="189" s="1"/>
  <c r="H19" i="190"/>
  <c r="C19" i="190" s="1"/>
  <c r="E12" i="196"/>
  <c r="E17" i="211"/>
  <c r="E19" i="265"/>
  <c r="E18" i="265"/>
  <c r="H42" i="266"/>
  <c r="E15" i="270"/>
  <c r="E18" i="270"/>
  <c r="E17" i="270"/>
  <c r="E16" i="270"/>
  <c r="E10" i="270"/>
  <c r="H46" i="134"/>
  <c r="C46" i="134" s="1"/>
  <c r="D48" i="142"/>
  <c r="D48" i="145"/>
  <c r="H42" i="163"/>
  <c r="D40" i="300"/>
  <c r="D48" i="300" s="1"/>
  <c r="H34" i="300"/>
  <c r="H40" i="300" s="1"/>
  <c r="E17" i="380"/>
  <c r="E15" i="380"/>
  <c r="E14" i="380"/>
  <c r="E13" i="380"/>
  <c r="E12" i="380"/>
  <c r="E19" i="380"/>
  <c r="E11" i="380"/>
  <c r="E10" i="380"/>
  <c r="E16" i="380"/>
  <c r="D48" i="385"/>
  <c r="E46" i="385" s="1"/>
  <c r="A52" i="385" s="1"/>
  <c r="D50" i="385"/>
  <c r="H26" i="102"/>
  <c r="H42" i="135"/>
  <c r="H46" i="135" s="1"/>
  <c r="C46" i="135" s="1"/>
  <c r="H30" i="180"/>
  <c r="H30" i="354"/>
  <c r="D48" i="282"/>
  <c r="D48" i="294"/>
  <c r="D50" i="440"/>
  <c r="D48" i="440"/>
  <c r="E40" i="440" s="1"/>
  <c r="E13" i="216"/>
  <c r="E15" i="222"/>
  <c r="E10" i="236"/>
  <c r="H24" i="249"/>
  <c r="H23" i="269"/>
  <c r="H32" i="288"/>
  <c r="E11" i="338"/>
  <c r="E12" i="338"/>
  <c r="E14" i="338"/>
  <c r="E19" i="338"/>
  <c r="E16" i="338"/>
  <c r="E13" i="338"/>
  <c r="E19" i="340"/>
  <c r="E18" i="340"/>
  <c r="E17" i="340"/>
  <c r="E16" i="340"/>
  <c r="E15" i="340"/>
  <c r="E14" i="340"/>
  <c r="E13" i="340"/>
  <c r="E12" i="340"/>
  <c r="E17" i="350"/>
  <c r="H34" i="363"/>
  <c r="H40" i="363" s="1"/>
  <c r="E19" i="370"/>
  <c r="E16" i="370"/>
  <c r="E14" i="370"/>
  <c r="E13" i="370"/>
  <c r="E12" i="370"/>
  <c r="E11" i="370"/>
  <c r="H32" i="421"/>
  <c r="C32" i="421" s="1"/>
  <c r="H27" i="202"/>
  <c r="E15" i="216"/>
  <c r="E17" i="222"/>
  <c r="E11" i="236"/>
  <c r="E12" i="244"/>
  <c r="H43" i="269"/>
  <c r="H28" i="269"/>
  <c r="H42" i="268"/>
  <c r="H46" i="268" s="1"/>
  <c r="C46" i="268" s="1"/>
  <c r="E16" i="304"/>
  <c r="E15" i="304"/>
  <c r="E14" i="304"/>
  <c r="E13" i="304"/>
  <c r="E12" i="304"/>
  <c r="E10" i="304"/>
  <c r="H34" i="305"/>
  <c r="E18" i="338"/>
  <c r="H31" i="338"/>
  <c r="E18" i="350"/>
  <c r="D46" i="431"/>
  <c r="H34" i="209"/>
  <c r="E18" i="222"/>
  <c r="D48" i="231"/>
  <c r="E14" i="244"/>
  <c r="H21" i="269"/>
  <c r="H24" i="269" s="1"/>
  <c r="D48" i="281"/>
  <c r="D50" i="307"/>
  <c r="E14" i="355"/>
  <c r="E13" i="355"/>
  <c r="E18" i="362"/>
  <c r="E17" i="362"/>
  <c r="E19" i="362"/>
  <c r="E16" i="362"/>
  <c r="E15" i="362"/>
  <c r="E14" i="362"/>
  <c r="D32" i="431"/>
  <c r="H34" i="214"/>
  <c r="H46" i="228"/>
  <c r="C46" i="228" s="1"/>
  <c r="E15" i="244"/>
  <c r="H34" i="248"/>
  <c r="H42" i="256"/>
  <c r="H24" i="286"/>
  <c r="C24" i="286" s="1"/>
  <c r="E19" i="318"/>
  <c r="E18" i="318"/>
  <c r="E17" i="318"/>
  <c r="E15" i="318"/>
  <c r="E13" i="318"/>
  <c r="E15" i="331"/>
  <c r="E16" i="343"/>
  <c r="D32" i="347"/>
  <c r="D48" i="362"/>
  <c r="E42" i="362" s="1"/>
  <c r="E11" i="396"/>
  <c r="E15" i="396"/>
  <c r="E14" i="396"/>
  <c r="E13" i="396"/>
  <c r="E12" i="396"/>
  <c r="H19" i="398"/>
  <c r="C19" i="398" s="1"/>
  <c r="H26" i="398"/>
  <c r="D32" i="398"/>
  <c r="D50" i="398" s="1"/>
  <c r="H46" i="405"/>
  <c r="C46" i="405" s="1"/>
  <c r="D46" i="412"/>
  <c r="H42" i="412"/>
  <c r="H26" i="217"/>
  <c r="E16" i="350"/>
  <c r="E15" i="350"/>
  <c r="E14" i="350"/>
  <c r="E13" i="350"/>
  <c r="E12" i="350"/>
  <c r="E11" i="350"/>
  <c r="E10" i="350"/>
  <c r="H42" i="373"/>
  <c r="D46" i="373"/>
  <c r="E16" i="396"/>
  <c r="H30" i="392"/>
  <c r="E12" i="253"/>
  <c r="E12" i="259"/>
  <c r="E13" i="273"/>
  <c r="H42" i="276"/>
  <c r="H46" i="276" s="1"/>
  <c r="E17" i="331"/>
  <c r="E18" i="396"/>
  <c r="H24" i="227"/>
  <c r="D50" i="233"/>
  <c r="D48" i="240"/>
  <c r="E14" i="241"/>
  <c r="E16" i="246"/>
  <c r="E13" i="253"/>
  <c r="E13" i="259"/>
  <c r="H26" i="259"/>
  <c r="H18" i="269"/>
  <c r="E10" i="271"/>
  <c r="H31" i="373"/>
  <c r="H26" i="373"/>
  <c r="D32" i="373"/>
  <c r="E19" i="396"/>
  <c r="H42" i="234"/>
  <c r="H46" i="234" s="1"/>
  <c r="C46" i="234" s="1"/>
  <c r="H42" i="235"/>
  <c r="H46" i="235" s="1"/>
  <c r="C46" i="235" s="1"/>
  <c r="H46" i="243"/>
  <c r="C46" i="243" s="1"/>
  <c r="D48" i="254"/>
  <c r="E12" i="271"/>
  <c r="E16" i="296"/>
  <c r="E17" i="296"/>
  <c r="E15" i="330"/>
  <c r="E17" i="330"/>
  <c r="E16" i="330"/>
  <c r="E14" i="330"/>
  <c r="E13" i="330"/>
  <c r="E12" i="330"/>
  <c r="E10" i="330"/>
  <c r="E13" i="331"/>
  <c r="H32" i="345"/>
  <c r="C32" i="345" s="1"/>
  <c r="D32" i="338"/>
  <c r="H26" i="359"/>
  <c r="D32" i="359"/>
  <c r="E14" i="391"/>
  <c r="E16" i="391"/>
  <c r="E15" i="391"/>
  <c r="E13" i="391"/>
  <c r="E11" i="391"/>
  <c r="E10" i="391"/>
  <c r="H42" i="216"/>
  <c r="E15" i="246"/>
  <c r="E15" i="259"/>
  <c r="H42" i="267"/>
  <c r="E13" i="271"/>
  <c r="H42" i="274"/>
  <c r="H46" i="274" s="1"/>
  <c r="D50" i="300"/>
  <c r="E50" i="300" s="1"/>
  <c r="D40" i="388"/>
  <c r="E14" i="271"/>
  <c r="E10" i="300"/>
  <c r="E16" i="328"/>
  <c r="E17" i="329"/>
  <c r="E11" i="333"/>
  <c r="E13" i="348"/>
  <c r="E14" i="397"/>
  <c r="E11" i="397"/>
  <c r="E18" i="397"/>
  <c r="E17" i="397"/>
  <c r="E16" i="397"/>
  <c r="E15" i="397"/>
  <c r="E19" i="397"/>
  <c r="H40" i="439"/>
  <c r="C40" i="439" s="1"/>
  <c r="D48" i="457"/>
  <c r="E44" i="457" s="1"/>
  <c r="E17" i="328"/>
  <c r="E18" i="329"/>
  <c r="E12" i="333"/>
  <c r="E13" i="339"/>
  <c r="D48" i="343"/>
  <c r="E14" i="348"/>
  <c r="D48" i="355"/>
  <c r="E21" i="355" s="1"/>
  <c r="E17" i="367"/>
  <c r="E18" i="367"/>
  <c r="E13" i="367"/>
  <c r="E12" i="367"/>
  <c r="E17" i="371"/>
  <c r="E18" i="371"/>
  <c r="E15" i="371"/>
  <c r="E14" i="371"/>
  <c r="E13" i="371"/>
  <c r="H26" i="381"/>
  <c r="H32" i="381" s="1"/>
  <c r="E14" i="312"/>
  <c r="E12" i="324"/>
  <c r="E19" i="329"/>
  <c r="E13" i="333"/>
  <c r="H34" i="333"/>
  <c r="H40" i="333" s="1"/>
  <c r="C40" i="333" s="1"/>
  <c r="H42" i="333"/>
  <c r="H46" i="333" s="1"/>
  <c r="C46" i="333" s="1"/>
  <c r="H27" i="338"/>
  <c r="E15" i="348"/>
  <c r="H42" i="298"/>
  <c r="H46" i="298" s="1"/>
  <c r="H46" i="340"/>
  <c r="C46" i="340" s="1"/>
  <c r="E16" i="348"/>
  <c r="D50" i="371"/>
  <c r="J50" i="371" s="1"/>
  <c r="H32" i="410"/>
  <c r="C32" i="410" s="1"/>
  <c r="H32" i="415"/>
  <c r="H42" i="322"/>
  <c r="H46" i="322" s="1"/>
  <c r="C46" i="322" s="1"/>
  <c r="H24" i="355"/>
  <c r="C24" i="355" s="1"/>
  <c r="D48" i="371"/>
  <c r="D48" i="400"/>
  <c r="E32" i="400" s="1"/>
  <c r="D50" i="400"/>
  <c r="H42" i="455"/>
  <c r="D46" i="455"/>
  <c r="D48" i="292"/>
  <c r="H26" i="296"/>
  <c r="H32" i="296" s="1"/>
  <c r="D48" i="346"/>
  <c r="E18" i="348"/>
  <c r="H38" i="351"/>
  <c r="H26" i="363"/>
  <c r="H32" i="363" s="1"/>
  <c r="H19" i="423"/>
  <c r="C19" i="423" s="1"/>
  <c r="E18" i="433"/>
  <c r="E15" i="433"/>
  <c r="E14" i="433"/>
  <c r="E13" i="433"/>
  <c r="E12" i="433"/>
  <c r="E11" i="433"/>
  <c r="E16" i="433"/>
  <c r="E19" i="433"/>
  <c r="E10" i="433"/>
  <c r="H42" i="297"/>
  <c r="H46" i="297" s="1"/>
  <c r="H22" i="338"/>
  <c r="D50" i="345"/>
  <c r="D32" i="367"/>
  <c r="E15" i="374"/>
  <c r="E19" i="374"/>
  <c r="E18" i="374"/>
  <c r="E16" i="374"/>
  <c r="E12" i="374"/>
  <c r="E11" i="374"/>
  <c r="E10" i="374"/>
  <c r="H24" i="433"/>
  <c r="C24" i="433" s="1"/>
  <c r="H26" i="297"/>
  <c r="H42" i="320"/>
  <c r="H46" i="320" s="1"/>
  <c r="C46" i="320" s="1"/>
  <c r="D50" i="324"/>
  <c r="E50" i="324" s="1"/>
  <c r="E18" i="339"/>
  <c r="E14" i="354"/>
  <c r="E13" i="354"/>
  <c r="E12" i="354"/>
  <c r="H40" i="393"/>
  <c r="C40" i="393" s="1"/>
  <c r="E10" i="397"/>
  <c r="H46" i="349"/>
  <c r="C46" i="349" s="1"/>
  <c r="D50" i="366"/>
  <c r="D46" i="392"/>
  <c r="H42" i="392"/>
  <c r="H46" i="392" s="1"/>
  <c r="H42" i="327"/>
  <c r="H46" i="327" s="1"/>
  <c r="C46" i="327" s="1"/>
  <c r="H42" i="352"/>
  <c r="H26" i="357"/>
  <c r="D46" i="374"/>
  <c r="D50" i="374" s="1"/>
  <c r="H24" i="395"/>
  <c r="C24" i="395" s="1"/>
  <c r="H24" i="429"/>
  <c r="C24" i="429" s="1"/>
  <c r="H19" i="378"/>
  <c r="C19" i="378" s="1"/>
  <c r="H36" i="406"/>
  <c r="H32" i="409"/>
  <c r="C32" i="409" s="1"/>
  <c r="H34" i="431"/>
  <c r="D40" i="431"/>
  <c r="H46" i="451"/>
  <c r="C46" i="451" s="1"/>
  <c r="E19" i="454"/>
  <c r="E18" i="454"/>
  <c r="E17" i="454"/>
  <c r="E16" i="454"/>
  <c r="E15" i="454"/>
  <c r="E14" i="454"/>
  <c r="E13" i="454"/>
  <c r="E12" i="454"/>
  <c r="E11" i="454"/>
  <c r="E10" i="454"/>
  <c r="H46" i="376"/>
  <c r="C46" i="376" s="1"/>
  <c r="H34" i="412"/>
  <c r="H40" i="412" s="1"/>
  <c r="C40" i="412" s="1"/>
  <c r="E13" i="419"/>
  <c r="E19" i="419"/>
  <c r="E18" i="419"/>
  <c r="E17" i="419"/>
  <c r="E16" i="419"/>
  <c r="D32" i="430"/>
  <c r="H32" i="435"/>
  <c r="C32" i="435" s="1"/>
  <c r="D50" i="445"/>
  <c r="E14" i="445"/>
  <c r="E19" i="445"/>
  <c r="E16" i="453"/>
  <c r="E19" i="453"/>
  <c r="E18" i="453"/>
  <c r="E17" i="453"/>
  <c r="E13" i="453"/>
  <c r="E12" i="453"/>
  <c r="E11" i="453"/>
  <c r="E10" i="453"/>
  <c r="H24" i="389"/>
  <c r="C24" i="389" s="1"/>
  <c r="H26" i="404"/>
  <c r="D32" i="404"/>
  <c r="D48" i="404" s="1"/>
  <c r="H24" i="417"/>
  <c r="C24" i="417" s="1"/>
  <c r="D50" i="418"/>
  <c r="D48" i="418"/>
  <c r="E32" i="418" s="1"/>
  <c r="H26" i="427"/>
  <c r="H34" i="438"/>
  <c r="H34" i="385"/>
  <c r="H40" i="385" s="1"/>
  <c r="C40" i="385" s="1"/>
  <c r="E10" i="395"/>
  <c r="H46" i="414"/>
  <c r="D40" i="422"/>
  <c r="H34" i="422"/>
  <c r="H40" i="422" s="1"/>
  <c r="D40" i="430"/>
  <c r="E18" i="436"/>
  <c r="E13" i="436"/>
  <c r="E12" i="436"/>
  <c r="E11" i="436"/>
  <c r="E19" i="436"/>
  <c r="H34" i="437"/>
  <c r="H40" i="437" s="1"/>
  <c r="D40" i="437"/>
  <c r="E14" i="443"/>
  <c r="E16" i="443"/>
  <c r="E15" i="443"/>
  <c r="E19" i="443"/>
  <c r="E11" i="443"/>
  <c r="E10" i="443"/>
  <c r="H46" i="396"/>
  <c r="C46" i="396" s="1"/>
  <c r="H16" i="406"/>
  <c r="D50" i="408"/>
  <c r="J50" i="408" s="1"/>
  <c r="E18" i="429"/>
  <c r="E16" i="429"/>
  <c r="E15" i="429"/>
  <c r="E14" i="429"/>
  <c r="E13" i="429"/>
  <c r="E12" i="429"/>
  <c r="D48" i="452"/>
  <c r="H40" i="377"/>
  <c r="C40" i="377" s="1"/>
  <c r="H26" i="378"/>
  <c r="H32" i="378" s="1"/>
  <c r="C32" i="378" s="1"/>
  <c r="H42" i="390"/>
  <c r="H32" i="393"/>
  <c r="G4" i="415"/>
  <c r="E4" i="415"/>
  <c r="D48" i="421"/>
  <c r="D50" i="421"/>
  <c r="E50" i="421" s="1"/>
  <c r="H19" i="440"/>
  <c r="C19" i="440" s="1"/>
  <c r="E15" i="365"/>
  <c r="D48" i="366"/>
  <c r="E21" i="366" s="1"/>
  <c r="H32" i="418"/>
  <c r="C32" i="418" s="1"/>
  <c r="E15" i="455"/>
  <c r="E19" i="455"/>
  <c r="E18" i="455"/>
  <c r="D48" i="459"/>
  <c r="E32" i="459" s="1"/>
  <c r="H40" i="397"/>
  <c r="C40" i="397" s="1"/>
  <c r="D48" i="408"/>
  <c r="E44" i="408" s="1"/>
  <c r="E12" i="414"/>
  <c r="E18" i="414"/>
  <c r="E19" i="414"/>
  <c r="E17" i="414"/>
  <c r="E16" i="414"/>
  <c r="E15" i="414"/>
  <c r="E14" i="414"/>
  <c r="E13" i="414"/>
  <c r="E12" i="428"/>
  <c r="E16" i="428"/>
  <c r="E15" i="428"/>
  <c r="E14" i="428"/>
  <c r="E13" i="428"/>
  <c r="E15" i="435"/>
  <c r="E11" i="435"/>
  <c r="E10" i="435"/>
  <c r="E19" i="435"/>
  <c r="H32" i="447"/>
  <c r="C32" i="447" s="1"/>
  <c r="H34" i="361"/>
  <c r="E11" i="366"/>
  <c r="E11" i="378"/>
  <c r="E10" i="398"/>
  <c r="H24" i="414"/>
  <c r="C24" i="414" s="1"/>
  <c r="H34" i="434"/>
  <c r="D40" i="434"/>
  <c r="E12" i="444"/>
  <c r="E11" i="444"/>
  <c r="H46" i="353"/>
  <c r="C46" i="353" s="1"/>
  <c r="E12" i="366"/>
  <c r="E10" i="369"/>
  <c r="H34" i="373"/>
  <c r="E12" i="378"/>
  <c r="E14" i="389"/>
  <c r="D48" i="396"/>
  <c r="E42" i="396" s="1"/>
  <c r="E18" i="401"/>
  <c r="D50" i="401"/>
  <c r="E19" i="401"/>
  <c r="E16" i="401"/>
  <c r="E13" i="401"/>
  <c r="E12" i="401"/>
  <c r="E11" i="401"/>
  <c r="E10" i="401"/>
  <c r="H19" i="418"/>
  <c r="C19" i="418" s="1"/>
  <c r="D48" i="426"/>
  <c r="E23" i="426" s="1"/>
  <c r="E13" i="366"/>
  <c r="E11" i="369"/>
  <c r="E19" i="395"/>
  <c r="E15" i="395"/>
  <c r="E11" i="398"/>
  <c r="E14" i="400"/>
  <c r="E16" i="400"/>
  <c r="E12" i="400"/>
  <c r="E11" i="400"/>
  <c r="E10" i="400"/>
  <c r="H19" i="404"/>
  <c r="C19" i="404" s="1"/>
  <c r="E15" i="411"/>
  <c r="E12" i="411"/>
  <c r="E11" i="411"/>
  <c r="E10" i="411"/>
  <c r="H26" i="412"/>
  <c r="H24" i="424"/>
  <c r="C24" i="424" s="1"/>
  <c r="E10" i="429"/>
  <c r="H24" i="455"/>
  <c r="H32" i="445"/>
  <c r="C32" i="445" s="1"/>
  <c r="H42" i="447"/>
  <c r="H19" i="405"/>
  <c r="C19" i="405" s="1"/>
  <c r="E18" i="405"/>
  <c r="H15" i="406"/>
  <c r="H29" i="406"/>
  <c r="H40" i="415"/>
  <c r="C40" i="415" s="1"/>
  <c r="E15" i="422"/>
  <c r="E18" i="424"/>
  <c r="H40" i="429"/>
  <c r="C40" i="429" s="1"/>
  <c r="E10" i="410"/>
  <c r="H34" i="416"/>
  <c r="H34" i="420"/>
  <c r="H40" i="420" s="1"/>
  <c r="C40" i="420" s="1"/>
  <c r="H46" i="424"/>
  <c r="C46" i="424" s="1"/>
  <c r="E13" i="421"/>
  <c r="E17" i="423"/>
  <c r="H32" i="425"/>
  <c r="C32" i="425" s="1"/>
  <c r="E15" i="427"/>
  <c r="D32" i="429"/>
  <c r="D50" i="429" s="1"/>
  <c r="E11" i="439"/>
  <c r="H34" i="398"/>
  <c r="H24" i="405"/>
  <c r="C24" i="405" s="1"/>
  <c r="E17" i="409"/>
  <c r="E11" i="410"/>
  <c r="E11" i="412"/>
  <c r="E17" i="416"/>
  <c r="E16" i="422"/>
  <c r="E15" i="434"/>
  <c r="H34" i="450"/>
  <c r="H40" i="450" s="1"/>
  <c r="C40" i="450" s="1"/>
  <c r="E18" i="404"/>
  <c r="E12" i="412"/>
  <c r="E12" i="413"/>
  <c r="E18" i="415"/>
  <c r="E17" i="418"/>
  <c r="E17" i="420"/>
  <c r="E14" i="421"/>
  <c r="E10" i="423"/>
  <c r="E18" i="423"/>
  <c r="E16" i="427"/>
  <c r="H34" i="433"/>
  <c r="H40" i="433" s="1"/>
  <c r="E17" i="437"/>
  <c r="E12" i="439"/>
  <c r="E10" i="451"/>
  <c r="H26" i="453"/>
  <c r="H12" i="406"/>
  <c r="E19" i="409"/>
  <c r="E18" i="416"/>
  <c r="E16" i="434"/>
  <c r="E18" i="446"/>
  <c r="E17" i="450"/>
  <c r="H11" i="406"/>
  <c r="E17" i="412"/>
  <c r="E13" i="413"/>
  <c r="E11" i="423"/>
  <c r="E17" i="426"/>
  <c r="E13" i="439"/>
  <c r="E16" i="447"/>
  <c r="D40" i="448"/>
  <c r="D48" i="449"/>
  <c r="D48" i="451"/>
  <c r="E23" i="451" s="1"/>
  <c r="E11" i="451"/>
  <c r="H26" i="455"/>
  <c r="E10" i="404"/>
  <c r="E12" i="408"/>
  <c r="E18" i="412"/>
  <c r="E16" i="421"/>
  <c r="H34" i="428"/>
  <c r="H40" i="428" s="1"/>
  <c r="C40" i="428" s="1"/>
  <c r="H42" i="430"/>
  <c r="H46" i="430" s="1"/>
  <c r="C46" i="430" s="1"/>
  <c r="E17" i="434"/>
  <c r="H19" i="445"/>
  <c r="C19" i="445" s="1"/>
  <c r="E18" i="450"/>
  <c r="E19" i="404"/>
  <c r="H24" i="404"/>
  <c r="H46" i="404"/>
  <c r="C46" i="404" s="1"/>
  <c r="H39" i="406"/>
  <c r="E19" i="412"/>
  <c r="E14" i="413"/>
  <c r="E12" i="423"/>
  <c r="D40" i="427"/>
  <c r="D48" i="427" s="1"/>
  <c r="E14" i="439"/>
  <c r="E17" i="447"/>
  <c r="H32" i="449"/>
  <c r="E10" i="457"/>
  <c r="H38" i="406"/>
  <c r="H42" i="420"/>
  <c r="H46" i="420" s="1"/>
  <c r="C46" i="420" s="1"/>
  <c r="H24" i="430"/>
  <c r="C24" i="430" s="1"/>
  <c r="H24" i="432"/>
  <c r="C24" i="432" s="1"/>
  <c r="E12" i="440"/>
  <c r="H42" i="450"/>
  <c r="H46" i="450" s="1"/>
  <c r="H42" i="452"/>
  <c r="H46" i="452" s="1"/>
  <c r="C46" i="452" s="1"/>
  <c r="E11" i="457"/>
  <c r="D48" i="409"/>
  <c r="E24" i="409" s="1"/>
  <c r="H26" i="431"/>
  <c r="H32" i="431" s="1"/>
  <c r="C32" i="431" s="1"/>
  <c r="E15" i="439"/>
  <c r="E14" i="451"/>
  <c r="H19" i="461"/>
  <c r="C19" i="461" s="1"/>
  <c r="H48" i="402"/>
  <c r="C40" i="384"/>
  <c r="J50" i="380"/>
  <c r="E50" i="380"/>
  <c r="E30" i="391"/>
  <c r="E36" i="391"/>
  <c r="E31" i="380"/>
  <c r="E34" i="391"/>
  <c r="E39" i="391"/>
  <c r="E35" i="380"/>
  <c r="H40" i="93"/>
  <c r="C40" i="93" s="1"/>
  <c r="H40" i="94"/>
  <c r="C40" i="94" s="1"/>
  <c r="H14" i="100"/>
  <c r="H19" i="100" s="1"/>
  <c r="C19" i="100" s="1"/>
  <c r="H40" i="100"/>
  <c r="H27" i="102"/>
  <c r="H40" i="104"/>
  <c r="C40" i="104" s="1"/>
  <c r="H13" i="83"/>
  <c r="H32" i="85"/>
  <c r="C32" i="85" s="1"/>
  <c r="E26" i="202"/>
  <c r="E22" i="202"/>
  <c r="E44" i="202"/>
  <c r="E23" i="202"/>
  <c r="E45" i="202"/>
  <c r="E24" i="202"/>
  <c r="E28" i="202"/>
  <c r="E39" i="202"/>
  <c r="E29" i="202"/>
  <c r="E46" i="202"/>
  <c r="A52" i="202" s="1"/>
  <c r="E30" i="202"/>
  <c r="E31" i="202"/>
  <c r="E27" i="202"/>
  <c r="E35" i="202"/>
  <c r="E36" i="202"/>
  <c r="E37" i="202"/>
  <c r="E38" i="202"/>
  <c r="E40" i="202"/>
  <c r="E21" i="202"/>
  <c r="E43" i="202"/>
  <c r="E32" i="202"/>
  <c r="E34" i="202"/>
  <c r="C24" i="265"/>
  <c r="H46" i="16"/>
  <c r="C46" i="16" s="1"/>
  <c r="E21" i="128"/>
  <c r="H24" i="300"/>
  <c r="C24" i="300" s="1"/>
  <c r="H24" i="303"/>
  <c r="C24" i="322"/>
  <c r="C24" i="315"/>
  <c r="C46" i="207"/>
  <c r="C48" i="207" s="1"/>
  <c r="H48" i="207"/>
  <c r="H50" i="207" s="1"/>
  <c r="E6" i="207" s="1"/>
  <c r="E50" i="285"/>
  <c r="J50" i="285"/>
  <c r="E29" i="286"/>
  <c r="E30" i="286"/>
  <c r="E31" i="286"/>
  <c r="E32" i="286"/>
  <c r="E38" i="286"/>
  <c r="E34" i="286"/>
  <c r="E39" i="286"/>
  <c r="E22" i="286"/>
  <c r="E24" i="286"/>
  <c r="E43" i="286"/>
  <c r="E26" i="286"/>
  <c r="E21" i="286"/>
  <c r="E23" i="286"/>
  <c r="E42" i="286"/>
  <c r="E44" i="286"/>
  <c r="E27" i="286"/>
  <c r="E28" i="286"/>
  <c r="E35" i="286"/>
  <c r="E36" i="286"/>
  <c r="E37" i="286"/>
  <c r="E45" i="286"/>
  <c r="E40" i="286"/>
  <c r="C24" i="150"/>
  <c r="C40" i="114"/>
  <c r="C40" i="332"/>
  <c r="E45" i="320"/>
  <c r="E23" i="320"/>
  <c r="E26" i="320"/>
  <c r="E27" i="320"/>
  <c r="E28" i="320"/>
  <c r="E31" i="320"/>
  <c r="E30" i="320"/>
  <c r="E35" i="320"/>
  <c r="E37" i="320"/>
  <c r="E36" i="320"/>
  <c r="E29" i="320"/>
  <c r="E38" i="320"/>
  <c r="E24" i="320"/>
  <c r="E21" i="320"/>
  <c r="E32" i="320"/>
  <c r="E39" i="320"/>
  <c r="E46" i="320"/>
  <c r="A52" i="320" s="1"/>
  <c r="E44" i="320"/>
  <c r="J50" i="308"/>
  <c r="E50" i="308"/>
  <c r="C32" i="282"/>
  <c r="C48" i="282" s="1"/>
  <c r="C24" i="247"/>
  <c r="E48" i="272"/>
  <c r="H40" i="328"/>
  <c r="C40" i="328" s="1"/>
  <c r="C48" i="328" s="1"/>
  <c r="E31" i="318"/>
  <c r="E22" i="318"/>
  <c r="E35" i="318"/>
  <c r="E24" i="318"/>
  <c r="E36" i="318"/>
  <c r="E46" i="318"/>
  <c r="A52" i="318" s="1"/>
  <c r="E38" i="318"/>
  <c r="E21" i="318"/>
  <c r="E26" i="318"/>
  <c r="E39" i="318"/>
  <c r="E28" i="318"/>
  <c r="E29" i="318"/>
  <c r="E30" i="318"/>
  <c r="E37" i="318"/>
  <c r="E45" i="318"/>
  <c r="J50" i="188"/>
  <c r="E50" i="188"/>
  <c r="H24" i="331"/>
  <c r="E34" i="135"/>
  <c r="E46" i="135"/>
  <c r="A52" i="135" s="1"/>
  <c r="E32" i="135"/>
  <c r="E39" i="135"/>
  <c r="E44" i="135"/>
  <c r="E40" i="135"/>
  <c r="E21" i="135"/>
  <c r="E45" i="135"/>
  <c r="E22" i="135"/>
  <c r="E24" i="135"/>
  <c r="E23" i="135"/>
  <c r="E27" i="135"/>
  <c r="E30" i="135"/>
  <c r="E36" i="135"/>
  <c r="E24" i="334"/>
  <c r="E39" i="334"/>
  <c r="E22" i="334"/>
  <c r="E45" i="334"/>
  <c r="E23" i="334"/>
  <c r="E21" i="334"/>
  <c r="E42" i="334"/>
  <c r="E27" i="334"/>
  <c r="E26" i="334"/>
  <c r="E28" i="334"/>
  <c r="E44" i="334"/>
  <c r="E29" i="334"/>
  <c r="E36" i="334"/>
  <c r="E30" i="334"/>
  <c r="E31" i="334"/>
  <c r="E32" i="334"/>
  <c r="E46" i="334"/>
  <c r="A52" i="334" s="1"/>
  <c r="E38" i="334"/>
  <c r="C24" i="297"/>
  <c r="E22" i="320"/>
  <c r="E48" i="226"/>
  <c r="D48" i="283"/>
  <c r="C46" i="283"/>
  <c r="D50" i="283"/>
  <c r="J50" i="283" s="1"/>
  <c r="D48" i="212"/>
  <c r="E32" i="212" s="1"/>
  <c r="D50" i="212"/>
  <c r="E50" i="212" s="1"/>
  <c r="H32" i="304"/>
  <c r="H40" i="37"/>
  <c r="E50" i="323"/>
  <c r="C24" i="241"/>
  <c r="H32" i="169"/>
  <c r="E32" i="25"/>
  <c r="E35" i="25"/>
  <c r="E36" i="25"/>
  <c r="E23" i="25"/>
  <c r="E21" i="25"/>
  <c r="E44" i="25"/>
  <c r="E34" i="25"/>
  <c r="E27" i="25"/>
  <c r="E37" i="25"/>
  <c r="E38" i="25"/>
  <c r="E22" i="25"/>
  <c r="E42" i="25"/>
  <c r="E39" i="25"/>
  <c r="E24" i="25"/>
  <c r="E45" i="25"/>
  <c r="E46" i="25"/>
  <c r="A52" i="25" s="1"/>
  <c r="E17" i="33"/>
  <c r="E15" i="33"/>
  <c r="E13" i="33"/>
  <c r="E10" i="33"/>
  <c r="E18" i="33"/>
  <c r="E11" i="33"/>
  <c r="E19" i="33"/>
  <c r="E16" i="33"/>
  <c r="E14" i="33"/>
  <c r="E12" i="33"/>
  <c r="H30" i="11"/>
  <c r="D30" i="23"/>
  <c r="D48" i="45"/>
  <c r="E40" i="45" s="1"/>
  <c r="H19" i="308"/>
  <c r="C19" i="308" s="1"/>
  <c r="J50" i="87"/>
  <c r="E50" i="87"/>
  <c r="D50" i="18"/>
  <c r="C46" i="18"/>
  <c r="D48" i="256"/>
  <c r="D50" i="256"/>
  <c r="H40" i="5"/>
  <c r="E16" i="5"/>
  <c r="E12" i="5"/>
  <c r="E14" i="5"/>
  <c r="E10" i="5"/>
  <c r="E17" i="5"/>
  <c r="E15" i="5"/>
  <c r="E13" i="5"/>
  <c r="D50" i="5"/>
  <c r="E50" i="5" s="1"/>
  <c r="E18" i="5"/>
  <c r="E50" i="320"/>
  <c r="H32" i="258"/>
  <c r="D48" i="3"/>
  <c r="D50" i="3"/>
  <c r="E50" i="3" s="1"/>
  <c r="H40" i="3"/>
  <c r="C40" i="3" s="1"/>
  <c r="H40" i="4"/>
  <c r="H46" i="22"/>
  <c r="C46" i="22" s="1"/>
  <c r="D48" i="67"/>
  <c r="H24" i="11"/>
  <c r="E19" i="92"/>
  <c r="E18" i="92"/>
  <c r="E16" i="92"/>
  <c r="E13" i="92"/>
  <c r="E10" i="92"/>
  <c r="E14" i="92"/>
  <c r="E12" i="92"/>
  <c r="E17" i="92"/>
  <c r="E11" i="92"/>
  <c r="E46" i="187"/>
  <c r="H19" i="15"/>
  <c r="C19" i="15" s="1"/>
  <c r="H19" i="9"/>
  <c r="C19" i="9" s="1"/>
  <c r="E24" i="31"/>
  <c r="E32" i="31"/>
  <c r="E37" i="31"/>
  <c r="E44" i="31"/>
  <c r="E46" i="31"/>
  <c r="A52" i="31" s="1"/>
  <c r="E28" i="31"/>
  <c r="D48" i="275"/>
  <c r="E46" i="185"/>
  <c r="H24" i="24"/>
  <c r="E40" i="216"/>
  <c r="E34" i="134"/>
  <c r="E13" i="20"/>
  <c r="E12" i="20"/>
  <c r="E17" i="20"/>
  <c r="E18" i="20"/>
  <c r="E10" i="20"/>
  <c r="E15" i="20"/>
  <c r="D48" i="32"/>
  <c r="D50" i="32"/>
  <c r="E44" i="20"/>
  <c r="E35" i="20"/>
  <c r="H46" i="295"/>
  <c r="C46" i="295" s="1"/>
  <c r="E16" i="42"/>
  <c r="E15" i="42"/>
  <c r="E14" i="42"/>
  <c r="E19" i="42"/>
  <c r="E18" i="100"/>
  <c r="E17" i="100"/>
  <c r="E16" i="100"/>
  <c r="E14" i="100"/>
  <c r="E13" i="100"/>
  <c r="E12" i="100"/>
  <c r="E11" i="100"/>
  <c r="E10" i="100"/>
  <c r="E19" i="100"/>
  <c r="E15" i="100"/>
  <c r="D48" i="144"/>
  <c r="H46" i="1"/>
  <c r="C46" i="1" s="1"/>
  <c r="H40" i="10"/>
  <c r="D32" i="9"/>
  <c r="H27" i="9"/>
  <c r="H19" i="310"/>
  <c r="C19" i="310" s="1"/>
  <c r="H32" i="46"/>
  <c r="E46" i="177"/>
  <c r="A52" i="177" s="1"/>
  <c r="E17" i="1"/>
  <c r="E18" i="1"/>
  <c r="D50" i="1"/>
  <c r="E50" i="1" s="1"/>
  <c r="E14" i="1"/>
  <c r="E10" i="1"/>
  <c r="H26" i="79"/>
  <c r="D48" i="1"/>
  <c r="H46" i="6"/>
  <c r="C46" i="6" s="1"/>
  <c r="H32" i="19"/>
  <c r="H19" i="6"/>
  <c r="C19" i="6" s="1"/>
  <c r="H40" i="15"/>
  <c r="H46" i="12"/>
  <c r="H19" i="13"/>
  <c r="E12" i="4"/>
  <c r="E17" i="6"/>
  <c r="H40" i="74"/>
  <c r="H24" i="86"/>
  <c r="C24" i="306"/>
  <c r="E15" i="6"/>
  <c r="E11" i="6"/>
  <c r="D32" i="11"/>
  <c r="D50" i="11" s="1"/>
  <c r="E16" i="50"/>
  <c r="E19" i="50"/>
  <c r="E18" i="50"/>
  <c r="E17" i="50"/>
  <c r="E15" i="50"/>
  <c r="E14" i="50"/>
  <c r="E12" i="50"/>
  <c r="E18" i="9"/>
  <c r="E11" i="9"/>
  <c r="E19" i="9"/>
  <c r="E13" i="30"/>
  <c r="E12" i="30"/>
  <c r="E19" i="30"/>
  <c r="H40" i="82"/>
  <c r="D48" i="104"/>
  <c r="H30" i="53"/>
  <c r="H24" i="18"/>
  <c r="C24" i="18" s="1"/>
  <c r="D50" i="22"/>
  <c r="E19" i="25"/>
  <c r="E18" i="25"/>
  <c r="E16" i="25"/>
  <c r="E14" i="25"/>
  <c r="E13" i="25"/>
  <c r="E12" i="25"/>
  <c r="E11" i="25"/>
  <c r="E10" i="25"/>
  <c r="E19" i="101"/>
  <c r="E18" i="101"/>
  <c r="E17" i="101"/>
  <c r="E15" i="101"/>
  <c r="E14" i="101"/>
  <c r="E13" i="101"/>
  <c r="E12" i="101"/>
  <c r="E11" i="101"/>
  <c r="E10" i="101"/>
  <c r="D50" i="55"/>
  <c r="E18" i="127"/>
  <c r="E17" i="127"/>
  <c r="H22" i="41"/>
  <c r="D24" i="41"/>
  <c r="D48" i="21"/>
  <c r="D48" i="26"/>
  <c r="E17" i="71"/>
  <c r="E18" i="71"/>
  <c r="E13" i="71"/>
  <c r="E15" i="89"/>
  <c r="E14" i="89"/>
  <c r="E12" i="89"/>
  <c r="D50" i="89"/>
  <c r="E50" i="89" s="1"/>
  <c r="E18" i="89"/>
  <c r="E50" i="120"/>
  <c r="D50" i="154"/>
  <c r="E16" i="4"/>
  <c r="E18" i="46"/>
  <c r="E17" i="46"/>
  <c r="E14" i="46"/>
  <c r="E10" i="46"/>
  <c r="E17" i="99"/>
  <c r="E15" i="99"/>
  <c r="E14" i="99"/>
  <c r="E12" i="99"/>
  <c r="E11" i="99"/>
  <c r="E10" i="99"/>
  <c r="E18" i="99"/>
  <c r="D50" i="45"/>
  <c r="J50" i="45" s="1"/>
  <c r="E38" i="71"/>
  <c r="H18" i="53"/>
  <c r="H37" i="77"/>
  <c r="E16" i="85"/>
  <c r="E17" i="85"/>
  <c r="E11" i="85"/>
  <c r="E10" i="85"/>
  <c r="D50" i="93"/>
  <c r="E18" i="96"/>
  <c r="E17" i="96"/>
  <c r="E10" i="96"/>
  <c r="D46" i="206"/>
  <c r="D50" i="206" s="1"/>
  <c r="H42" i="206"/>
  <c r="H46" i="206" s="1"/>
  <c r="D34" i="23"/>
  <c r="E15" i="69"/>
  <c r="E19" i="69"/>
  <c r="E16" i="69"/>
  <c r="E11" i="69"/>
  <c r="E11" i="29"/>
  <c r="D50" i="110"/>
  <c r="E17" i="136"/>
  <c r="E15" i="136"/>
  <c r="E18" i="136"/>
  <c r="E18" i="15"/>
  <c r="D50" i="39"/>
  <c r="E12" i="107"/>
  <c r="E17" i="117"/>
  <c r="E16" i="117"/>
  <c r="E15" i="117"/>
  <c r="E14" i="117"/>
  <c r="E11" i="117"/>
  <c r="E10" i="117"/>
  <c r="E13" i="117"/>
  <c r="H34" i="206"/>
  <c r="E19" i="15"/>
  <c r="E16" i="37"/>
  <c r="E19" i="49"/>
  <c r="E13" i="116"/>
  <c r="E12" i="116"/>
  <c r="E10" i="116"/>
  <c r="D46" i="117"/>
  <c r="H46" i="183"/>
  <c r="E19" i="22"/>
  <c r="E10" i="81"/>
  <c r="E13" i="107"/>
  <c r="E10" i="107"/>
  <c r="H46" i="162"/>
  <c r="C46" i="162" s="1"/>
  <c r="E16" i="188"/>
  <c r="E17" i="188"/>
  <c r="E16" i="24"/>
  <c r="E18" i="37"/>
  <c r="E12" i="44"/>
  <c r="E14" i="45"/>
  <c r="E12" i="60"/>
  <c r="D50" i="74"/>
  <c r="E13" i="79"/>
  <c r="E11" i="81"/>
  <c r="D24" i="118"/>
  <c r="H34" i="169"/>
  <c r="H40" i="169" s="1"/>
  <c r="C40" i="169" s="1"/>
  <c r="E4" i="180"/>
  <c r="G4" i="180"/>
  <c r="E18" i="22"/>
  <c r="E13" i="44"/>
  <c r="E16" i="45"/>
  <c r="E15" i="79"/>
  <c r="E13" i="81"/>
  <c r="E11" i="97"/>
  <c r="D48" i="106"/>
  <c r="D40" i="175"/>
  <c r="E19" i="197"/>
  <c r="E18" i="197"/>
  <c r="E17" i="197"/>
  <c r="E16" i="197"/>
  <c r="E15" i="197"/>
  <c r="E14" i="197"/>
  <c r="E13" i="197"/>
  <c r="E12" i="197"/>
  <c r="E11" i="197"/>
  <c r="E10" i="197"/>
  <c r="E19" i="248"/>
  <c r="E18" i="248"/>
  <c r="E17" i="248"/>
  <c r="E16" i="248"/>
  <c r="E15" i="248"/>
  <c r="E14" i="248"/>
  <c r="E13" i="248"/>
  <c r="E11" i="248"/>
  <c r="E12" i="248"/>
  <c r="E14" i="44"/>
  <c r="E17" i="45"/>
  <c r="E13" i="48"/>
  <c r="E16" i="60"/>
  <c r="E16" i="76"/>
  <c r="E15" i="81"/>
  <c r="E12" i="97"/>
  <c r="H42" i="186"/>
  <c r="E11" i="18"/>
  <c r="E19" i="31"/>
  <c r="E19" i="43"/>
  <c r="E15" i="44"/>
  <c r="E18" i="45"/>
  <c r="E16" i="47"/>
  <c r="E15" i="48"/>
  <c r="E17" i="76"/>
  <c r="E17" i="81"/>
  <c r="E14" i="97"/>
  <c r="H24" i="122"/>
  <c r="E18" i="168"/>
  <c r="E10" i="168"/>
  <c r="D32" i="215"/>
  <c r="H26" i="215"/>
  <c r="E18" i="44"/>
  <c r="E18" i="48"/>
  <c r="E17" i="70"/>
  <c r="E19" i="81"/>
  <c r="E11" i="90"/>
  <c r="E13" i="91"/>
  <c r="E19" i="97"/>
  <c r="H34" i="189"/>
  <c r="H40" i="189" s="1"/>
  <c r="C40" i="189" s="1"/>
  <c r="E15" i="90"/>
  <c r="E14" i="91"/>
  <c r="D48" i="149"/>
  <c r="E13" i="110"/>
  <c r="E14" i="136"/>
  <c r="H34" i="174"/>
  <c r="E13" i="114"/>
  <c r="E11" i="121"/>
  <c r="E13" i="147"/>
  <c r="E15" i="148"/>
  <c r="E17" i="192"/>
  <c r="E11" i="242"/>
  <c r="E10" i="242"/>
  <c r="E17" i="242"/>
  <c r="E19" i="267"/>
  <c r="E18" i="267"/>
  <c r="E17" i="267"/>
  <c r="E16" i="267"/>
  <c r="E15" i="267"/>
  <c r="E14" i="267"/>
  <c r="E13" i="267"/>
  <c r="E12" i="267"/>
  <c r="E11" i="267"/>
  <c r="E10" i="267"/>
  <c r="H46" i="280"/>
  <c r="C46" i="280" s="1"/>
  <c r="E19" i="298"/>
  <c r="E18" i="298"/>
  <c r="E13" i="298"/>
  <c r="E11" i="298"/>
  <c r="E10" i="298"/>
  <c r="E14" i="114"/>
  <c r="E19" i="121"/>
  <c r="E11" i="122"/>
  <c r="E18" i="129"/>
  <c r="E13" i="131"/>
  <c r="E18" i="147"/>
  <c r="E11" i="152"/>
  <c r="E14" i="153"/>
  <c r="E15" i="164"/>
  <c r="E12" i="166"/>
  <c r="E14" i="169"/>
  <c r="E14" i="170"/>
  <c r="E13" i="174"/>
  <c r="E12" i="177"/>
  <c r="E17" i="109"/>
  <c r="E12" i="122"/>
  <c r="E14" i="131"/>
  <c r="E18" i="139"/>
  <c r="E13" i="166"/>
  <c r="E15" i="169"/>
  <c r="E18" i="170"/>
  <c r="E14" i="174"/>
  <c r="E13" i="177"/>
  <c r="E16" i="191"/>
  <c r="E10" i="196"/>
  <c r="D46" i="225"/>
  <c r="H42" i="225"/>
  <c r="H46" i="225" s="1"/>
  <c r="D50" i="227"/>
  <c r="E42" i="281"/>
  <c r="D32" i="299"/>
  <c r="H26" i="299"/>
  <c r="D48" i="110"/>
  <c r="E13" i="122"/>
  <c r="E13" i="129"/>
  <c r="E15" i="131"/>
  <c r="E11" i="151"/>
  <c r="E15" i="166"/>
  <c r="E16" i="169"/>
  <c r="E15" i="174"/>
  <c r="E11" i="175"/>
  <c r="E14" i="177"/>
  <c r="E15" i="183"/>
  <c r="E18" i="187"/>
  <c r="E11" i="196"/>
  <c r="E14" i="207"/>
  <c r="E17" i="217"/>
  <c r="H26" i="239"/>
  <c r="D32" i="239"/>
  <c r="D48" i="252"/>
  <c r="E40" i="252" s="1"/>
  <c r="H38" i="345"/>
  <c r="E12" i="151"/>
  <c r="E16" i="166"/>
  <c r="E17" i="169"/>
  <c r="E16" i="174"/>
  <c r="E17" i="175"/>
  <c r="E15" i="177"/>
  <c r="E13" i="286"/>
  <c r="E14" i="286"/>
  <c r="E17" i="292"/>
  <c r="E15" i="292"/>
  <c r="E14" i="292"/>
  <c r="E13" i="292"/>
  <c r="E16" i="151"/>
  <c r="E12" i="173"/>
  <c r="E16" i="177"/>
  <c r="E13" i="196"/>
  <c r="E14" i="198"/>
  <c r="E12" i="199"/>
  <c r="E12" i="205"/>
  <c r="E19" i="207"/>
  <c r="E19" i="218"/>
  <c r="E18" i="218"/>
  <c r="E16" i="218"/>
  <c r="E13" i="218"/>
  <c r="E12" i="218"/>
  <c r="E10" i="218"/>
  <c r="E15" i="218"/>
  <c r="E16" i="228"/>
  <c r="E11" i="228"/>
  <c r="E10" i="228"/>
  <c r="E18" i="235"/>
  <c r="E16" i="235"/>
  <c r="E15" i="235"/>
  <c r="E13" i="235"/>
  <c r="E16" i="122"/>
  <c r="E17" i="151"/>
  <c r="E19" i="169"/>
  <c r="E13" i="173"/>
  <c r="E18" i="174"/>
  <c r="E17" i="177"/>
  <c r="E16" i="178"/>
  <c r="E10" i="193"/>
  <c r="E16" i="196"/>
  <c r="E15" i="198"/>
  <c r="E13" i="199"/>
  <c r="E19" i="220"/>
  <c r="E16" i="220"/>
  <c r="E15" i="220"/>
  <c r="E14" i="220"/>
  <c r="E13" i="220"/>
  <c r="H46" i="277"/>
  <c r="E19" i="130"/>
  <c r="H34" i="131"/>
  <c r="H40" i="131" s="1"/>
  <c r="E19" i="151"/>
  <c r="E15" i="173"/>
  <c r="E18" i="177"/>
  <c r="E18" i="178"/>
  <c r="E17" i="196"/>
  <c r="E16" i="198"/>
  <c r="E15" i="199"/>
  <c r="E18" i="229"/>
  <c r="E11" i="229"/>
  <c r="E19" i="232"/>
  <c r="E14" i="232"/>
  <c r="E13" i="232"/>
  <c r="E12" i="232"/>
  <c r="E11" i="232"/>
  <c r="E18" i="232"/>
  <c r="H32" i="265"/>
  <c r="C32" i="265" s="1"/>
  <c r="H30" i="340"/>
  <c r="H30" i="350"/>
  <c r="E14" i="134"/>
  <c r="E13" i="193"/>
  <c r="E18" i="196"/>
  <c r="E17" i="198"/>
  <c r="E16" i="199"/>
  <c r="D50" i="260"/>
  <c r="E13" i="260"/>
  <c r="E19" i="262"/>
  <c r="D50" i="262"/>
  <c r="E50" i="262" s="1"/>
  <c r="H46" i="338"/>
  <c r="C46" i="338" s="1"/>
  <c r="E19" i="122"/>
  <c r="E15" i="134"/>
  <c r="E18" i="193"/>
  <c r="E19" i="196"/>
  <c r="E18" i="198"/>
  <c r="E17" i="199"/>
  <c r="D32" i="217"/>
  <c r="H26" i="280"/>
  <c r="D32" i="280"/>
  <c r="E19" i="198"/>
  <c r="E18" i="199"/>
  <c r="E16" i="203"/>
  <c r="E11" i="148"/>
  <c r="H24" i="264"/>
  <c r="C24" i="264" s="1"/>
  <c r="H46" i="279"/>
  <c r="E17" i="219"/>
  <c r="E13" i="222"/>
  <c r="E11" i="244"/>
  <c r="E12" i="261"/>
  <c r="E19" i="272"/>
  <c r="H30" i="341"/>
  <c r="H32" i="341" s="1"/>
  <c r="C32" i="341" s="1"/>
  <c r="H29" i="342"/>
  <c r="D42" i="351"/>
  <c r="D46" i="348"/>
  <c r="H42" i="348"/>
  <c r="H46" i="348" s="1"/>
  <c r="E19" i="334"/>
  <c r="E18" i="334"/>
  <c r="E17" i="334"/>
  <c r="E15" i="334"/>
  <c r="E14" i="334"/>
  <c r="E13" i="334"/>
  <c r="E12" i="334"/>
  <c r="E11" i="334"/>
  <c r="E10" i="334"/>
  <c r="D50" i="350"/>
  <c r="D48" i="350"/>
  <c r="E46" i="350" s="1"/>
  <c r="A52" i="350" s="1"/>
  <c r="E10" i="240"/>
  <c r="E16" i="244"/>
  <c r="E11" i="258"/>
  <c r="H42" i="335"/>
  <c r="D46" i="335"/>
  <c r="D50" i="335" s="1"/>
  <c r="H31" i="348"/>
  <c r="D48" i="349"/>
  <c r="E14" i="222"/>
  <c r="E13" i="240"/>
  <c r="E17" i="244"/>
  <c r="E13" i="258"/>
  <c r="E18" i="313"/>
  <c r="E17" i="313"/>
  <c r="E16" i="313"/>
  <c r="E15" i="313"/>
  <c r="E14" i="313"/>
  <c r="E13" i="313"/>
  <c r="E12" i="313"/>
  <c r="E11" i="313"/>
  <c r="E10" i="313"/>
  <c r="E19" i="313"/>
  <c r="D32" i="322"/>
  <c r="H26" i="322"/>
  <c r="E13" i="230"/>
  <c r="E14" i="240"/>
  <c r="E18" i="244"/>
  <c r="E14" i="258"/>
  <c r="E17" i="264"/>
  <c r="D46" i="297"/>
  <c r="D48" i="297" s="1"/>
  <c r="D32" i="336"/>
  <c r="H40" i="339"/>
  <c r="C40" i="339" s="1"/>
  <c r="H24" i="345"/>
  <c r="C24" i="345" s="1"/>
  <c r="E17" i="230"/>
  <c r="E12" i="233"/>
  <c r="E19" i="244"/>
  <c r="H12" i="343"/>
  <c r="H13" i="345"/>
  <c r="H24" i="353"/>
  <c r="C24" i="353" s="1"/>
  <c r="E18" i="230"/>
  <c r="E13" i="233"/>
  <c r="E10" i="272"/>
  <c r="E19" i="301"/>
  <c r="E18" i="301"/>
  <c r="E14" i="301"/>
  <c r="E13" i="301"/>
  <c r="E12" i="301"/>
  <c r="E10" i="301"/>
  <c r="D48" i="308"/>
  <c r="E19" i="233"/>
  <c r="E13" i="244"/>
  <c r="E18" i="257"/>
  <c r="E11" i="272"/>
  <c r="E18" i="283"/>
  <c r="E18" i="289"/>
  <c r="E12" i="300"/>
  <c r="E11" i="300"/>
  <c r="E13" i="300"/>
  <c r="H26" i="225"/>
  <c r="E19" i="270"/>
  <c r="E13" i="272"/>
  <c r="D40" i="276"/>
  <c r="E13" i="321"/>
  <c r="E16" i="321"/>
  <c r="D34" i="351"/>
  <c r="E17" i="223"/>
  <c r="E18" i="224"/>
  <c r="E18" i="233"/>
  <c r="E17" i="239"/>
  <c r="E13" i="241"/>
  <c r="E11" i="253"/>
  <c r="E14" i="272"/>
  <c r="H24" i="308"/>
  <c r="H21" i="340"/>
  <c r="H29" i="343"/>
  <c r="H15" i="355"/>
  <c r="E15" i="272"/>
  <c r="H32" i="319"/>
  <c r="H13" i="341"/>
  <c r="H21" i="341"/>
  <c r="H24" i="341" s="1"/>
  <c r="C24" i="341" s="1"/>
  <c r="E14" i="219"/>
  <c r="E18" i="241"/>
  <c r="E16" i="272"/>
  <c r="D48" i="341"/>
  <c r="H40" i="341"/>
  <c r="C40" i="341" s="1"/>
  <c r="H12" i="342"/>
  <c r="D40" i="342"/>
  <c r="D48" i="342" s="1"/>
  <c r="E15" i="219"/>
  <c r="E17" i="272"/>
  <c r="E14" i="296"/>
  <c r="D50" i="305"/>
  <c r="H42" i="312"/>
  <c r="D46" i="312"/>
  <c r="H19" i="340"/>
  <c r="C19" i="340" s="1"/>
  <c r="H24" i="348"/>
  <c r="C24" i="348" s="1"/>
  <c r="H28" i="352"/>
  <c r="E11" i="310"/>
  <c r="E10" i="333"/>
  <c r="E14" i="341"/>
  <c r="E15" i="342"/>
  <c r="E15" i="343"/>
  <c r="D29" i="351"/>
  <c r="H29" i="351" s="1"/>
  <c r="H19" i="353"/>
  <c r="C19" i="353" s="1"/>
  <c r="H37" i="345"/>
  <c r="H40" i="345" s="1"/>
  <c r="D31" i="351"/>
  <c r="H27" i="352"/>
  <c r="E17" i="353"/>
  <c r="E16" i="353"/>
  <c r="E15" i="353"/>
  <c r="E14" i="353"/>
  <c r="E13" i="353"/>
  <c r="E12" i="353"/>
  <c r="E11" i="353"/>
  <c r="E19" i="353"/>
  <c r="H15" i="356"/>
  <c r="E12" i="303"/>
  <c r="E15" i="310"/>
  <c r="E19" i="346"/>
  <c r="D50" i="346"/>
  <c r="J50" i="346" s="1"/>
  <c r="E16" i="346"/>
  <c r="H14" i="356"/>
  <c r="H34" i="370"/>
  <c r="E13" i="303"/>
  <c r="E16" i="310"/>
  <c r="E10" i="315"/>
  <c r="E14" i="333"/>
  <c r="E10" i="337"/>
  <c r="E16" i="341"/>
  <c r="E17" i="342"/>
  <c r="E17" i="343"/>
  <c r="H13" i="349"/>
  <c r="H28" i="350"/>
  <c r="H32" i="350" s="1"/>
  <c r="C32" i="350" s="1"/>
  <c r="H34" i="356"/>
  <c r="E15" i="303"/>
  <c r="E17" i="310"/>
  <c r="E11" i="315"/>
  <c r="E15" i="333"/>
  <c r="E11" i="337"/>
  <c r="D27" i="351"/>
  <c r="H27" i="351" s="1"/>
  <c r="H37" i="349"/>
  <c r="H38" i="352"/>
  <c r="E11" i="302"/>
  <c r="E18" i="303"/>
  <c r="E18" i="310"/>
  <c r="E12" i="315"/>
  <c r="E10" i="316"/>
  <c r="E10" i="318"/>
  <c r="E17" i="333"/>
  <c r="E12" i="337"/>
  <c r="E17" i="341"/>
  <c r="E10" i="342"/>
  <c r="E18" i="342"/>
  <c r="E10" i="343"/>
  <c r="E18" i="343"/>
  <c r="E11" i="345"/>
  <c r="E19" i="345"/>
  <c r="H12" i="349"/>
  <c r="H24" i="349"/>
  <c r="C24" i="349" s="1"/>
  <c r="H39" i="351"/>
  <c r="H30" i="353"/>
  <c r="E14" i="302"/>
  <c r="E11" i="307"/>
  <c r="E19" i="310"/>
  <c r="E13" i="315"/>
  <c r="E11" i="316"/>
  <c r="E11" i="318"/>
  <c r="E18" i="333"/>
  <c r="E18" i="337"/>
  <c r="E11" i="347"/>
  <c r="D40" i="347"/>
  <c r="E19" i="302"/>
  <c r="E12" i="307"/>
  <c r="E17" i="315"/>
  <c r="E12" i="316"/>
  <c r="E12" i="318"/>
  <c r="E11" i="328"/>
  <c r="E19" i="333"/>
  <c r="E19" i="337"/>
  <c r="H36" i="340"/>
  <c r="E10" i="341"/>
  <c r="E18" i="341"/>
  <c r="E11" i="342"/>
  <c r="E19" i="342"/>
  <c r="E11" i="343"/>
  <c r="E19" i="343"/>
  <c r="E12" i="345"/>
  <c r="H44" i="345"/>
  <c r="H46" i="345" s="1"/>
  <c r="C46" i="345" s="1"/>
  <c r="E10" i="346"/>
  <c r="E12" i="347"/>
  <c r="D40" i="348"/>
  <c r="H21" i="351"/>
  <c r="H23" i="342"/>
  <c r="H24" i="342" s="1"/>
  <c r="C24" i="342" s="1"/>
  <c r="H23" i="343"/>
  <c r="E11" i="346"/>
  <c r="E13" i="347"/>
  <c r="D19" i="351"/>
  <c r="E11" i="351" s="1"/>
  <c r="H24" i="352"/>
  <c r="C24" i="352" s="1"/>
  <c r="H14" i="357"/>
  <c r="H21" i="357"/>
  <c r="E14" i="307"/>
  <c r="E19" i="315"/>
  <c r="E17" i="316"/>
  <c r="E14" i="318"/>
  <c r="E14" i="328"/>
  <c r="E11" i="330"/>
  <c r="E11" i="341"/>
  <c r="E19" i="341"/>
  <c r="E12" i="342"/>
  <c r="E12" i="343"/>
  <c r="D50" i="343"/>
  <c r="H15" i="343"/>
  <c r="E12" i="346"/>
  <c r="E14" i="347"/>
  <c r="H26" i="348"/>
  <c r="H12" i="352"/>
  <c r="H24" i="354"/>
  <c r="C24" i="354" s="1"/>
  <c r="H13" i="357"/>
  <c r="E13" i="346"/>
  <c r="E15" i="347"/>
  <c r="H17" i="351"/>
  <c r="E19" i="307"/>
  <c r="E11" i="308"/>
  <c r="H34" i="340"/>
  <c r="H40" i="340" s="1"/>
  <c r="C40" i="340" s="1"/>
  <c r="H23" i="340"/>
  <c r="H24" i="340" s="1"/>
  <c r="C24" i="340" s="1"/>
  <c r="E12" i="341"/>
  <c r="D50" i="341"/>
  <c r="H15" i="341"/>
  <c r="H43" i="341"/>
  <c r="H46" i="341" s="1"/>
  <c r="C46" i="341" s="1"/>
  <c r="E13" i="342"/>
  <c r="H14" i="342"/>
  <c r="H42" i="342"/>
  <c r="H46" i="342" s="1"/>
  <c r="C46" i="342" s="1"/>
  <c r="H31" i="342"/>
  <c r="E13" i="343"/>
  <c r="H14" i="343"/>
  <c r="H42" i="343"/>
  <c r="H46" i="343" s="1"/>
  <c r="C46" i="343" s="1"/>
  <c r="H31" i="343"/>
  <c r="H15" i="345"/>
  <c r="E14" i="346"/>
  <c r="E16" i="347"/>
  <c r="D50" i="349"/>
  <c r="H13" i="350"/>
  <c r="H21" i="350"/>
  <c r="D50" i="340"/>
  <c r="E15" i="346"/>
  <c r="E17" i="347"/>
  <c r="H12" i="361"/>
  <c r="H19" i="361" s="1"/>
  <c r="C19" i="361" s="1"/>
  <c r="E14" i="332"/>
  <c r="E15" i="345"/>
  <c r="E17" i="346"/>
  <c r="E18" i="347"/>
  <c r="H29" i="349"/>
  <c r="H12" i="351"/>
  <c r="D28" i="351"/>
  <c r="E18" i="346"/>
  <c r="E19" i="347"/>
  <c r="H17" i="348"/>
  <c r="H19" i="348" s="1"/>
  <c r="C19" i="348" s="1"/>
  <c r="H34" i="348"/>
  <c r="H40" i="348" s="1"/>
  <c r="H11" i="350"/>
  <c r="H11" i="351"/>
  <c r="E10" i="353"/>
  <c r="H16" i="355"/>
  <c r="E18" i="355"/>
  <c r="E10" i="355"/>
  <c r="E17" i="355"/>
  <c r="E16" i="355"/>
  <c r="H43" i="360"/>
  <c r="H18" i="351"/>
  <c r="H10" i="351"/>
  <c r="H36" i="352"/>
  <c r="H26" i="352"/>
  <c r="H28" i="353"/>
  <c r="E15" i="355"/>
  <c r="E38" i="355"/>
  <c r="E42" i="355"/>
  <c r="E27" i="355"/>
  <c r="H14" i="359"/>
  <c r="H22" i="359"/>
  <c r="H15" i="360"/>
  <c r="H19" i="360" s="1"/>
  <c r="C19" i="360" s="1"/>
  <c r="H26" i="361"/>
  <c r="D32" i="361"/>
  <c r="H31" i="356"/>
  <c r="H13" i="359"/>
  <c r="H36" i="350"/>
  <c r="H35" i="351"/>
  <c r="E19" i="355"/>
  <c r="H16" i="352"/>
  <c r="H34" i="352"/>
  <c r="H14" i="354"/>
  <c r="H39" i="354"/>
  <c r="E19" i="356"/>
  <c r="E11" i="356"/>
  <c r="E18" i="356"/>
  <c r="E10" i="356"/>
  <c r="E17" i="356"/>
  <c r="E16" i="356"/>
  <c r="E15" i="356"/>
  <c r="D50" i="357"/>
  <c r="H30" i="357"/>
  <c r="E19" i="358"/>
  <c r="E11" i="358"/>
  <c r="E18" i="358"/>
  <c r="E10" i="358"/>
  <c r="E17" i="358"/>
  <c r="E16" i="358"/>
  <c r="E15" i="358"/>
  <c r="E12" i="358"/>
  <c r="H27" i="361"/>
  <c r="H23" i="369"/>
  <c r="H17" i="349"/>
  <c r="H26" i="349"/>
  <c r="H16" i="350"/>
  <c r="H44" i="350"/>
  <c r="H46" i="350" s="1"/>
  <c r="C46" i="350" s="1"/>
  <c r="H15" i="351"/>
  <c r="E31" i="355"/>
  <c r="E14" i="358"/>
  <c r="H43" i="358"/>
  <c r="H38" i="361"/>
  <c r="H35" i="349"/>
  <c r="H34" i="350"/>
  <c r="H23" i="350"/>
  <c r="H24" i="350" s="1"/>
  <c r="C24" i="350" s="1"/>
  <c r="H22" i="351"/>
  <c r="E30" i="355"/>
  <c r="H42" i="356"/>
  <c r="H46" i="356" s="1"/>
  <c r="C46" i="356" s="1"/>
  <c r="D48" i="357"/>
  <c r="H24" i="360"/>
  <c r="C24" i="360" s="1"/>
  <c r="H14" i="351"/>
  <c r="E11" i="355"/>
  <c r="H30" i="359"/>
  <c r="H32" i="359" s="1"/>
  <c r="E35" i="362"/>
  <c r="E27" i="362"/>
  <c r="E45" i="362"/>
  <c r="H26" i="354"/>
  <c r="H32" i="354" s="1"/>
  <c r="E12" i="356"/>
  <c r="E19" i="360"/>
  <c r="E11" i="360"/>
  <c r="E18" i="360"/>
  <c r="E10" i="360"/>
  <c r="E17" i="360"/>
  <c r="E16" i="360"/>
  <c r="E15" i="360"/>
  <c r="E12" i="360"/>
  <c r="E18" i="354"/>
  <c r="E10" i="354"/>
  <c r="E17" i="354"/>
  <c r="E12" i="355"/>
  <c r="H23" i="356"/>
  <c r="H24" i="356" s="1"/>
  <c r="C24" i="356" s="1"/>
  <c r="H29" i="352"/>
  <c r="D50" i="355"/>
  <c r="H46" i="355"/>
  <c r="C46" i="355" s="1"/>
  <c r="E13" i="356"/>
  <c r="H22" i="357"/>
  <c r="H15" i="358"/>
  <c r="H42" i="359"/>
  <c r="H46" i="359" s="1"/>
  <c r="C46" i="359" s="1"/>
  <c r="E14" i="360"/>
  <c r="D48" i="365"/>
  <c r="E46" i="365" s="1"/>
  <c r="A52" i="365" s="1"/>
  <c r="H35" i="370"/>
  <c r="H21" i="358"/>
  <c r="E19" i="364"/>
  <c r="E18" i="364"/>
  <c r="E17" i="364"/>
  <c r="D48" i="369"/>
  <c r="E46" i="369" s="1"/>
  <c r="A52" i="369" s="1"/>
  <c r="E17" i="368"/>
  <c r="E16" i="368"/>
  <c r="E15" i="368"/>
  <c r="E14" i="368"/>
  <c r="E13" i="368"/>
  <c r="E12" i="368"/>
  <c r="E11" i="368"/>
  <c r="E19" i="368"/>
  <c r="D50" i="369"/>
  <c r="D40" i="390"/>
  <c r="H18" i="370"/>
  <c r="H19" i="370" s="1"/>
  <c r="C19" i="370" s="1"/>
  <c r="H30" i="355"/>
  <c r="H29" i="356"/>
  <c r="E16" i="357"/>
  <c r="H11" i="357"/>
  <c r="E16" i="359"/>
  <c r="H11" i="359"/>
  <c r="E15" i="361"/>
  <c r="H38" i="356"/>
  <c r="H11" i="358"/>
  <c r="H28" i="358"/>
  <c r="H37" i="359"/>
  <c r="H40" i="359" s="1"/>
  <c r="C40" i="359" s="1"/>
  <c r="H44" i="361"/>
  <c r="H12" i="355"/>
  <c r="H29" i="355"/>
  <c r="H11" i="356"/>
  <c r="H28" i="356"/>
  <c r="E17" i="357"/>
  <c r="H18" i="357"/>
  <c r="H10" i="357"/>
  <c r="H27" i="357"/>
  <c r="H37" i="358"/>
  <c r="H40" i="358" s="1"/>
  <c r="C40" i="358" s="1"/>
  <c r="E17" i="359"/>
  <c r="H18" i="359"/>
  <c r="H37" i="360"/>
  <c r="E16" i="361"/>
  <c r="E10" i="368"/>
  <c r="H21" i="368"/>
  <c r="H42" i="375"/>
  <c r="H46" i="375" s="1"/>
  <c r="C46" i="375" s="1"/>
  <c r="H11" i="355"/>
  <c r="H28" i="355"/>
  <c r="H32" i="355" s="1"/>
  <c r="C32" i="355" s="1"/>
  <c r="H18" i="356"/>
  <c r="H10" i="356"/>
  <c r="E10" i="357"/>
  <c r="E18" i="357"/>
  <c r="E10" i="359"/>
  <c r="E18" i="359"/>
  <c r="H17" i="359"/>
  <c r="H36" i="360"/>
  <c r="E17" i="361"/>
  <c r="E18" i="368"/>
  <c r="D46" i="368"/>
  <c r="E11" i="357"/>
  <c r="E19" i="357"/>
  <c r="E11" i="359"/>
  <c r="E19" i="359"/>
  <c r="E10" i="361"/>
  <c r="E18" i="361"/>
  <c r="E10" i="364"/>
  <c r="H26" i="367"/>
  <c r="H32" i="369"/>
  <c r="C32" i="369" s="1"/>
  <c r="H42" i="371"/>
  <c r="E11" i="364"/>
  <c r="E12" i="357"/>
  <c r="E12" i="359"/>
  <c r="E11" i="361"/>
  <c r="E19" i="361"/>
  <c r="E12" i="364"/>
  <c r="H30" i="368"/>
  <c r="H16" i="369"/>
  <c r="H22" i="377"/>
  <c r="H24" i="377" s="1"/>
  <c r="C24" i="377" s="1"/>
  <c r="D48" i="378"/>
  <c r="E24" i="378" s="1"/>
  <c r="H12" i="390"/>
  <c r="H16" i="367"/>
  <c r="H44" i="367"/>
  <c r="H34" i="367"/>
  <c r="H40" i="367" s="1"/>
  <c r="C40" i="367" s="1"/>
  <c r="H23" i="367"/>
  <c r="H43" i="369"/>
  <c r="H22" i="369"/>
  <c r="H44" i="370"/>
  <c r="D50" i="376"/>
  <c r="E50" i="376" s="1"/>
  <c r="H15" i="367"/>
  <c r="H43" i="367"/>
  <c r="H22" i="367"/>
  <c r="H11" i="368"/>
  <c r="H37" i="368"/>
  <c r="H14" i="369"/>
  <c r="H21" i="369"/>
  <c r="H43" i="370"/>
  <c r="D48" i="377"/>
  <c r="D48" i="397"/>
  <c r="H31" i="367"/>
  <c r="H27" i="368"/>
  <c r="H14" i="375"/>
  <c r="H13" i="376"/>
  <c r="D50" i="394"/>
  <c r="J50" i="394" s="1"/>
  <c r="D48" i="394"/>
  <c r="E30" i="394" s="1"/>
  <c r="D50" i="395"/>
  <c r="D48" i="395"/>
  <c r="H37" i="373"/>
  <c r="H22" i="409"/>
  <c r="H24" i="409" s="1"/>
  <c r="D50" i="365"/>
  <c r="H39" i="369"/>
  <c r="H40" i="369" s="1"/>
  <c r="C40" i="369" s="1"/>
  <c r="H35" i="371"/>
  <c r="H24" i="375"/>
  <c r="H23" i="408"/>
  <c r="E14" i="367"/>
  <c r="H13" i="367"/>
  <c r="H35" i="368"/>
  <c r="H24" i="372"/>
  <c r="H21" i="376"/>
  <c r="H11" i="374"/>
  <c r="H34" i="378"/>
  <c r="E17" i="365"/>
  <c r="E18" i="366"/>
  <c r="E15" i="367"/>
  <c r="E17" i="370"/>
  <c r="E28" i="375"/>
  <c r="E29" i="375"/>
  <c r="E30" i="375"/>
  <c r="E31" i="375"/>
  <c r="E32" i="375"/>
  <c r="E34" i="375"/>
  <c r="E35" i="375"/>
  <c r="E36" i="375"/>
  <c r="E37" i="375"/>
  <c r="E38" i="375"/>
  <c r="E21" i="375"/>
  <c r="E39" i="375"/>
  <c r="E22" i="375"/>
  <c r="E40" i="375"/>
  <c r="E23" i="375"/>
  <c r="E42" i="375"/>
  <c r="E27" i="375"/>
  <c r="E45" i="375"/>
  <c r="E18" i="365"/>
  <c r="E12" i="369"/>
  <c r="E13" i="372"/>
  <c r="E12" i="372"/>
  <c r="E11" i="372"/>
  <c r="E10" i="372"/>
  <c r="E19" i="372"/>
  <c r="E46" i="375"/>
  <c r="A52" i="375" s="1"/>
  <c r="H31" i="375"/>
  <c r="E16" i="367"/>
  <c r="E18" i="370"/>
  <c r="D50" i="370"/>
  <c r="H30" i="376"/>
  <c r="H14" i="399"/>
  <c r="E18" i="384"/>
  <c r="E10" i="384"/>
  <c r="E17" i="384"/>
  <c r="E16" i="384"/>
  <c r="E15" i="384"/>
  <c r="E14" i="384"/>
  <c r="E13" i="384"/>
  <c r="E11" i="384"/>
  <c r="E12" i="384"/>
  <c r="E19" i="384"/>
  <c r="D48" i="387"/>
  <c r="E46" i="387" s="1"/>
  <c r="A52" i="387" s="1"/>
  <c r="H32" i="395"/>
  <c r="H13" i="399"/>
  <c r="H42" i="368"/>
  <c r="H46" i="368" s="1"/>
  <c r="H17" i="371"/>
  <c r="H17" i="373"/>
  <c r="H28" i="374"/>
  <c r="E17" i="379"/>
  <c r="E16" i="379"/>
  <c r="E15" i="379"/>
  <c r="E14" i="379"/>
  <c r="E18" i="379"/>
  <c r="E10" i="379"/>
  <c r="E13" i="379"/>
  <c r="E12" i="379"/>
  <c r="E11" i="379"/>
  <c r="D48" i="376"/>
  <c r="E40" i="376" s="1"/>
  <c r="H19" i="397"/>
  <c r="C19" i="397" s="1"/>
  <c r="H35" i="401"/>
  <c r="H11" i="390"/>
  <c r="H32" i="394"/>
  <c r="C32" i="394" s="1"/>
  <c r="H40" i="395"/>
  <c r="C40" i="395" s="1"/>
  <c r="H21" i="406"/>
  <c r="H32" i="388"/>
  <c r="H24" i="394"/>
  <c r="H21" i="399"/>
  <c r="H24" i="399" s="1"/>
  <c r="C24" i="399" s="1"/>
  <c r="D31" i="406"/>
  <c r="H37" i="376"/>
  <c r="H40" i="376" s="1"/>
  <c r="C40" i="376" s="1"/>
  <c r="H12" i="377"/>
  <c r="H29" i="377"/>
  <c r="E12" i="373"/>
  <c r="H15" i="373"/>
  <c r="H43" i="373"/>
  <c r="H46" i="373" s="1"/>
  <c r="H16" i="374"/>
  <c r="H19" i="374" s="1"/>
  <c r="C19" i="374" s="1"/>
  <c r="H44" i="374"/>
  <c r="H11" i="375"/>
  <c r="H28" i="375"/>
  <c r="H18" i="376"/>
  <c r="H10" i="376"/>
  <c r="H27" i="376"/>
  <c r="H42" i="378"/>
  <c r="H46" i="378" s="1"/>
  <c r="C46" i="378" s="1"/>
  <c r="E17" i="393"/>
  <c r="E16" i="393"/>
  <c r="E15" i="393"/>
  <c r="E14" i="393"/>
  <c r="D50" i="393"/>
  <c r="J50" i="393" s="1"/>
  <c r="E13" i="393"/>
  <c r="E12" i="393"/>
  <c r="E18" i="393"/>
  <c r="E10" i="393"/>
  <c r="H26" i="399"/>
  <c r="D32" i="399"/>
  <c r="D50" i="399" s="1"/>
  <c r="H28" i="390"/>
  <c r="H13" i="371"/>
  <c r="H19" i="371" s="1"/>
  <c r="C19" i="371" s="1"/>
  <c r="H30" i="371"/>
  <c r="H32" i="371" s="1"/>
  <c r="E13" i="373"/>
  <c r="D50" i="375"/>
  <c r="H24" i="397"/>
  <c r="C24" i="397" s="1"/>
  <c r="H22" i="374"/>
  <c r="H36" i="375"/>
  <c r="H40" i="375" s="1"/>
  <c r="C40" i="375" s="1"/>
  <c r="D50" i="377"/>
  <c r="H46" i="394"/>
  <c r="C46" i="394" s="1"/>
  <c r="E16" i="399"/>
  <c r="E15" i="399"/>
  <c r="E14" i="399"/>
  <c r="E13" i="399"/>
  <c r="E12" i="399"/>
  <c r="E11" i="399"/>
  <c r="H30" i="399"/>
  <c r="H44" i="410"/>
  <c r="H46" i="410" s="1"/>
  <c r="C46" i="410" s="1"/>
  <c r="E14" i="373"/>
  <c r="E17" i="385"/>
  <c r="E16" i="385"/>
  <c r="E15" i="385"/>
  <c r="E14" i="385"/>
  <c r="E13" i="385"/>
  <c r="E12" i="385"/>
  <c r="E18" i="385"/>
  <c r="E10" i="385"/>
  <c r="H32" i="398"/>
  <c r="H29" i="399"/>
  <c r="H26" i="377"/>
  <c r="D32" i="381"/>
  <c r="D50" i="381" s="1"/>
  <c r="H34" i="388"/>
  <c r="H40" i="388" s="1"/>
  <c r="E16" i="392"/>
  <c r="E15" i="392"/>
  <c r="E14" i="392"/>
  <c r="E13" i="392"/>
  <c r="E19" i="392"/>
  <c r="E12" i="392"/>
  <c r="E11" i="392"/>
  <c r="E10" i="399"/>
  <c r="E16" i="371"/>
  <c r="E15" i="373"/>
  <c r="E14" i="374"/>
  <c r="E12" i="375"/>
  <c r="D50" i="378"/>
  <c r="H19" i="394"/>
  <c r="C19" i="394" s="1"/>
  <c r="E17" i="399"/>
  <c r="H46" i="399"/>
  <c r="C46" i="399" s="1"/>
  <c r="E12" i="377"/>
  <c r="E15" i="378"/>
  <c r="E19" i="378"/>
  <c r="H46" i="395"/>
  <c r="C46" i="395" s="1"/>
  <c r="E18" i="399"/>
  <c r="H24" i="401"/>
  <c r="C24" i="401" s="1"/>
  <c r="E11" i="393"/>
  <c r="H26" i="397"/>
  <c r="H32" i="397" s="1"/>
  <c r="C32" i="397" s="1"/>
  <c r="E19" i="399"/>
  <c r="H39" i="399"/>
  <c r="H40" i="399" s="1"/>
  <c r="C40" i="399" s="1"/>
  <c r="H24" i="378"/>
  <c r="C24" i="378" s="1"/>
  <c r="E24" i="385"/>
  <c r="D50" i="387"/>
  <c r="H26" i="389"/>
  <c r="H32" i="389" s="1"/>
  <c r="D32" i="389"/>
  <c r="H40" i="394"/>
  <c r="C40" i="394" s="1"/>
  <c r="H32" i="396"/>
  <c r="H14" i="401"/>
  <c r="E15" i="383"/>
  <c r="E16" i="390"/>
  <c r="E16" i="398"/>
  <c r="H18" i="400"/>
  <c r="E23" i="408"/>
  <c r="E42" i="408"/>
  <c r="E24" i="408"/>
  <c r="E43" i="408"/>
  <c r="H40" i="409"/>
  <c r="C40" i="409" s="1"/>
  <c r="D48" i="411"/>
  <c r="E26" i="411" s="1"/>
  <c r="D50" i="411"/>
  <c r="H31" i="401"/>
  <c r="H17" i="390"/>
  <c r="H26" i="390"/>
  <c r="H46" i="400"/>
  <c r="C46" i="400" s="1"/>
  <c r="H35" i="406"/>
  <c r="H35" i="390"/>
  <c r="H40" i="405"/>
  <c r="C40" i="405" s="1"/>
  <c r="H10" i="406"/>
  <c r="H18" i="406"/>
  <c r="C46" i="414"/>
  <c r="D50" i="414"/>
  <c r="E50" i="414" s="1"/>
  <c r="D48" i="414"/>
  <c r="E4" i="394"/>
  <c r="H39" i="400"/>
  <c r="H40" i="400" s="1"/>
  <c r="C40" i="400" s="1"/>
  <c r="H27" i="400"/>
  <c r="H17" i="406"/>
  <c r="H34" i="408"/>
  <c r="E10" i="389"/>
  <c r="E18" i="389"/>
  <c r="H34" i="390"/>
  <c r="H23" i="390"/>
  <c r="G4" i="394"/>
  <c r="H17" i="410"/>
  <c r="E11" i="383"/>
  <c r="E12" i="390"/>
  <c r="H15" i="390"/>
  <c r="H43" i="390"/>
  <c r="E17" i="396"/>
  <c r="E19" i="398"/>
  <c r="E12" i="398"/>
  <c r="D19" i="406"/>
  <c r="E17" i="407"/>
  <c r="E16" i="407"/>
  <c r="E15" i="407"/>
  <c r="E14" i="407"/>
  <c r="E13" i="407"/>
  <c r="E12" i="407"/>
  <c r="E11" i="407"/>
  <c r="E19" i="407"/>
  <c r="E45" i="409"/>
  <c r="H43" i="409"/>
  <c r="H46" i="409" s="1"/>
  <c r="C46" i="409" s="1"/>
  <c r="E44" i="409"/>
  <c r="E12" i="383"/>
  <c r="E13" i="390"/>
  <c r="E12" i="391"/>
  <c r="E12" i="395"/>
  <c r="D50" i="397"/>
  <c r="E12" i="397"/>
  <c r="E13" i="398"/>
  <c r="E32" i="408"/>
  <c r="E26" i="409"/>
  <c r="E19" i="389"/>
  <c r="E12" i="389"/>
  <c r="D42" i="406"/>
  <c r="E13" i="400"/>
  <c r="H42" i="401"/>
  <c r="H46" i="401" s="1"/>
  <c r="C46" i="401" s="1"/>
  <c r="E13" i="383"/>
  <c r="E14" i="390"/>
  <c r="D50" i="396"/>
  <c r="D30" i="406"/>
  <c r="H30" i="406" s="1"/>
  <c r="E13" i="395"/>
  <c r="E13" i="397"/>
  <c r="E14" i="398"/>
  <c r="H15" i="409"/>
  <c r="H19" i="409" s="1"/>
  <c r="C19" i="409" s="1"/>
  <c r="E10" i="396"/>
  <c r="D34" i="406"/>
  <c r="H26" i="403"/>
  <c r="D32" i="403"/>
  <c r="E19" i="408"/>
  <c r="E11" i="408"/>
  <c r="E18" i="408"/>
  <c r="E10" i="408"/>
  <c r="E17" i="408"/>
  <c r="E16" i="408"/>
  <c r="E15" i="408"/>
  <c r="E14" i="408"/>
  <c r="E13" i="408"/>
  <c r="D27" i="406"/>
  <c r="H10" i="400"/>
  <c r="E10" i="407"/>
  <c r="E22" i="409"/>
  <c r="E23" i="409"/>
  <c r="E28" i="409"/>
  <c r="E29" i="409"/>
  <c r="E30" i="409"/>
  <c r="E46" i="409"/>
  <c r="A52" i="409" s="1"/>
  <c r="E31" i="409"/>
  <c r="E32" i="409"/>
  <c r="E34" i="409"/>
  <c r="E35" i="409"/>
  <c r="E36" i="409"/>
  <c r="E37" i="409"/>
  <c r="E38" i="409"/>
  <c r="E39" i="409"/>
  <c r="E42" i="409"/>
  <c r="E21" i="409"/>
  <c r="E43" i="409"/>
  <c r="E27" i="409"/>
  <c r="H21" i="410"/>
  <c r="D50" i="415"/>
  <c r="E50" i="415" s="1"/>
  <c r="D48" i="415"/>
  <c r="E14" i="402"/>
  <c r="E16" i="403"/>
  <c r="H26" i="405"/>
  <c r="E16" i="404"/>
  <c r="H13" i="406"/>
  <c r="H17" i="411"/>
  <c r="E15" i="401"/>
  <c r="H21" i="408"/>
  <c r="E12" i="410"/>
  <c r="E36" i="418"/>
  <c r="E34" i="418"/>
  <c r="E31" i="418"/>
  <c r="E28" i="418"/>
  <c r="E27" i="418"/>
  <c r="E22" i="418"/>
  <c r="E44" i="418"/>
  <c r="E24" i="418"/>
  <c r="E37" i="418"/>
  <c r="H24" i="418"/>
  <c r="C24" i="418" s="1"/>
  <c r="H32" i="416"/>
  <c r="C32" i="416" s="1"/>
  <c r="H38" i="401"/>
  <c r="E15" i="402"/>
  <c r="E17" i="403"/>
  <c r="E17" i="404"/>
  <c r="H13" i="408"/>
  <c r="H30" i="408"/>
  <c r="H28" i="411"/>
  <c r="D48" i="416"/>
  <c r="E14" i="410"/>
  <c r="E13" i="410"/>
  <c r="H18" i="419"/>
  <c r="H19" i="419" s="1"/>
  <c r="C19" i="419" s="1"/>
  <c r="E16" i="402"/>
  <c r="E18" i="403"/>
  <c r="H12" i="408"/>
  <c r="H29" i="408"/>
  <c r="E15" i="410"/>
  <c r="H13" i="410"/>
  <c r="H19" i="415"/>
  <c r="E17" i="401"/>
  <c r="E19" i="402"/>
  <c r="D26" i="406"/>
  <c r="E17" i="402"/>
  <c r="D50" i="409"/>
  <c r="E50" i="409" s="1"/>
  <c r="E16" i="410"/>
  <c r="D48" i="410"/>
  <c r="E46" i="410" s="1"/>
  <c r="A52" i="410" s="1"/>
  <c r="H19" i="414"/>
  <c r="C19" i="414" s="1"/>
  <c r="H40" i="417"/>
  <c r="C40" i="417" s="1"/>
  <c r="H17" i="401"/>
  <c r="H26" i="401"/>
  <c r="E46" i="418"/>
  <c r="A52" i="418" s="1"/>
  <c r="D50" i="416"/>
  <c r="J50" i="416" s="1"/>
  <c r="E10" i="402"/>
  <c r="E18" i="402"/>
  <c r="E17" i="410"/>
  <c r="H12" i="411"/>
  <c r="H40" i="414"/>
  <c r="C40" i="414" s="1"/>
  <c r="H36" i="408"/>
  <c r="E11" i="402"/>
  <c r="D43" i="406"/>
  <c r="H43" i="406" s="1"/>
  <c r="E18" i="410"/>
  <c r="H23" i="421"/>
  <c r="H24" i="421" s="1"/>
  <c r="C24" i="421" s="1"/>
  <c r="H42" i="421"/>
  <c r="H46" i="421" s="1"/>
  <c r="C46" i="421" s="1"/>
  <c r="E40" i="409"/>
  <c r="H11" i="412"/>
  <c r="E19" i="410"/>
  <c r="H40" i="410"/>
  <c r="C40" i="410" s="1"/>
  <c r="H10" i="412"/>
  <c r="H13" i="422"/>
  <c r="H19" i="422" s="1"/>
  <c r="C19" i="422" s="1"/>
  <c r="H28" i="423"/>
  <c r="D32" i="423"/>
  <c r="H26" i="423"/>
  <c r="H46" i="419"/>
  <c r="C46" i="419" s="1"/>
  <c r="H26" i="411"/>
  <c r="H16" i="412"/>
  <c r="H44" i="412"/>
  <c r="H24" i="423"/>
  <c r="C24" i="423" s="1"/>
  <c r="D50" i="439"/>
  <c r="J50" i="439" s="1"/>
  <c r="D48" i="439"/>
  <c r="H44" i="439"/>
  <c r="H34" i="411"/>
  <c r="H40" i="411" s="1"/>
  <c r="C40" i="411" s="1"/>
  <c r="H23" i="411"/>
  <c r="H22" i="412"/>
  <c r="H24" i="412" s="1"/>
  <c r="C24" i="412" s="1"/>
  <c r="H13" i="417"/>
  <c r="H19" i="417" s="1"/>
  <c r="H26" i="419"/>
  <c r="D32" i="419"/>
  <c r="H31" i="417"/>
  <c r="D40" i="419"/>
  <c r="H34" i="419"/>
  <c r="H40" i="419" s="1"/>
  <c r="D50" i="420"/>
  <c r="D48" i="420"/>
  <c r="E32" i="420" s="1"/>
  <c r="H15" i="421"/>
  <c r="H19" i="421" s="1"/>
  <c r="C19" i="421" s="1"/>
  <c r="H35" i="425"/>
  <c r="H15" i="410"/>
  <c r="H43" i="410"/>
  <c r="E13" i="411"/>
  <c r="H14" i="411"/>
  <c r="H42" i="411"/>
  <c r="H46" i="411" s="1"/>
  <c r="C46" i="411" s="1"/>
  <c r="H31" i="411"/>
  <c r="E14" i="412"/>
  <c r="H13" i="412"/>
  <c r="H30" i="412"/>
  <c r="H32" i="412" s="1"/>
  <c r="D50" i="424"/>
  <c r="D48" i="424"/>
  <c r="H18" i="425"/>
  <c r="H36" i="425"/>
  <c r="E12" i="415"/>
  <c r="H32" i="424"/>
  <c r="C32" i="424" s="1"/>
  <c r="E14" i="411"/>
  <c r="E15" i="412"/>
  <c r="E11" i="414"/>
  <c r="H22" i="427"/>
  <c r="H44" i="428"/>
  <c r="H46" i="428" s="1"/>
  <c r="C46" i="428" s="1"/>
  <c r="E13" i="415"/>
  <c r="H19" i="420"/>
  <c r="C19" i="420" s="1"/>
  <c r="H23" i="427"/>
  <c r="D19" i="417"/>
  <c r="E13" i="417" s="1"/>
  <c r="H32" i="422"/>
  <c r="H17" i="426"/>
  <c r="H19" i="426" s="1"/>
  <c r="C19" i="426" s="1"/>
  <c r="H34" i="426"/>
  <c r="H42" i="427"/>
  <c r="H46" i="427" s="1"/>
  <c r="C46" i="427" s="1"/>
  <c r="H12" i="427"/>
  <c r="J50" i="429"/>
  <c r="E50" i="429"/>
  <c r="H26" i="428"/>
  <c r="H42" i="428"/>
  <c r="D46" i="428"/>
  <c r="H21" i="438"/>
  <c r="H42" i="438"/>
  <c r="H46" i="438" s="1"/>
  <c r="C46" i="438" s="1"/>
  <c r="H27" i="439"/>
  <c r="E16" i="425"/>
  <c r="E15" i="425"/>
  <c r="D50" i="425"/>
  <c r="J50" i="425" s="1"/>
  <c r="E14" i="425"/>
  <c r="E19" i="425"/>
  <c r="E13" i="425"/>
  <c r="E12" i="425"/>
  <c r="H13" i="427"/>
  <c r="H27" i="427"/>
  <c r="H27" i="428"/>
  <c r="D32" i="428"/>
  <c r="D50" i="428" s="1"/>
  <c r="J50" i="428" s="1"/>
  <c r="H11" i="432"/>
  <c r="H26" i="432"/>
  <c r="H32" i="432" s="1"/>
  <c r="C32" i="432" s="1"/>
  <c r="H44" i="432"/>
  <c r="H28" i="427"/>
  <c r="H28" i="428"/>
  <c r="E17" i="431"/>
  <c r="E16" i="431"/>
  <c r="E15" i="431"/>
  <c r="E14" i="431"/>
  <c r="E18" i="431"/>
  <c r="E19" i="431"/>
  <c r="E13" i="431"/>
  <c r="E12" i="431"/>
  <c r="E11" i="431"/>
  <c r="E10" i="431"/>
  <c r="H38" i="431"/>
  <c r="D48" i="425"/>
  <c r="E16" i="426"/>
  <c r="E15" i="426"/>
  <c r="E14" i="426"/>
  <c r="E13" i="426"/>
  <c r="E12" i="426"/>
  <c r="H14" i="427"/>
  <c r="H29" i="428"/>
  <c r="H21" i="431"/>
  <c r="H39" i="431"/>
  <c r="H12" i="432"/>
  <c r="H18" i="435"/>
  <c r="H19" i="435" s="1"/>
  <c r="C19" i="435" s="1"/>
  <c r="H37" i="435"/>
  <c r="E18" i="418"/>
  <c r="H22" i="431"/>
  <c r="H42" i="431"/>
  <c r="H46" i="431" s="1"/>
  <c r="C46" i="431" s="1"/>
  <c r="E10" i="425"/>
  <c r="E21" i="426"/>
  <c r="H10" i="430"/>
  <c r="H23" i="431"/>
  <c r="H43" i="431"/>
  <c r="H19" i="437"/>
  <c r="C19" i="437" s="1"/>
  <c r="E11" i="425"/>
  <c r="E10" i="426"/>
  <c r="H14" i="428"/>
  <c r="H11" i="430"/>
  <c r="E11" i="416"/>
  <c r="E12" i="418"/>
  <c r="H24" i="425"/>
  <c r="C24" i="425" s="1"/>
  <c r="E11" i="426"/>
  <c r="E19" i="426"/>
  <c r="D50" i="426"/>
  <c r="J50" i="426" s="1"/>
  <c r="E17" i="438"/>
  <c r="D50" i="438"/>
  <c r="E16" i="438"/>
  <c r="E15" i="438"/>
  <c r="E14" i="438"/>
  <c r="E19" i="438"/>
  <c r="E18" i="438"/>
  <c r="E10" i="438"/>
  <c r="E13" i="438"/>
  <c r="E12" i="438"/>
  <c r="E11" i="438"/>
  <c r="H39" i="438"/>
  <c r="H13" i="439"/>
  <c r="H26" i="439"/>
  <c r="H38" i="435"/>
  <c r="H22" i="438"/>
  <c r="H43" i="438"/>
  <c r="H14" i="439"/>
  <c r="H28" i="439"/>
  <c r="H24" i="440"/>
  <c r="C24" i="440" s="1"/>
  <c r="H13" i="436"/>
  <c r="H23" i="438"/>
  <c r="H44" i="438"/>
  <c r="H19" i="431"/>
  <c r="C19" i="431" s="1"/>
  <c r="H28" i="434"/>
  <c r="H21" i="435"/>
  <c r="H24" i="435" s="1"/>
  <c r="C24" i="435" s="1"/>
  <c r="D50" i="435"/>
  <c r="D48" i="435"/>
  <c r="E40" i="435" s="1"/>
  <c r="E30" i="449"/>
  <c r="E29" i="449"/>
  <c r="E28" i="449"/>
  <c r="E46" i="449"/>
  <c r="A52" i="449" s="1"/>
  <c r="E27" i="449"/>
  <c r="E26" i="449"/>
  <c r="E45" i="449"/>
  <c r="E23" i="449"/>
  <c r="E44" i="449"/>
  <c r="E22" i="449"/>
  <c r="E43" i="449"/>
  <c r="E21" i="449"/>
  <c r="E32" i="449"/>
  <c r="E42" i="449"/>
  <c r="E39" i="449"/>
  <c r="E38" i="449"/>
  <c r="E40" i="449"/>
  <c r="E37" i="449"/>
  <c r="E36" i="449"/>
  <c r="E35" i="449"/>
  <c r="E34" i="449"/>
  <c r="E31" i="449"/>
  <c r="E28" i="451"/>
  <c r="E27" i="451"/>
  <c r="E21" i="451"/>
  <c r="E45" i="451"/>
  <c r="E26" i="451"/>
  <c r="E43" i="451"/>
  <c r="E42" i="451"/>
  <c r="E38" i="451"/>
  <c r="E37" i="451"/>
  <c r="E32" i="451"/>
  <c r="E31" i="451"/>
  <c r="H38" i="452"/>
  <c r="H29" i="434"/>
  <c r="H14" i="436"/>
  <c r="E15" i="421"/>
  <c r="H11" i="444"/>
  <c r="H19" i="444" s="1"/>
  <c r="C19" i="444" s="1"/>
  <c r="H13" i="446"/>
  <c r="H19" i="446" s="1"/>
  <c r="C19" i="446" s="1"/>
  <c r="D48" i="446"/>
  <c r="D50" i="446"/>
  <c r="H44" i="446"/>
  <c r="E17" i="422"/>
  <c r="E17" i="427"/>
  <c r="E10" i="428"/>
  <c r="E18" i="428"/>
  <c r="H24" i="447"/>
  <c r="C24" i="447" s="1"/>
  <c r="E17" i="421"/>
  <c r="H24" i="445"/>
  <c r="C24" i="445" s="1"/>
  <c r="E10" i="427"/>
  <c r="E11" i="428"/>
  <c r="E17" i="430"/>
  <c r="E19" i="430"/>
  <c r="E16" i="430"/>
  <c r="E15" i="430"/>
  <c r="E14" i="430"/>
  <c r="E13" i="430"/>
  <c r="E12" i="430"/>
  <c r="H42" i="432"/>
  <c r="H46" i="440"/>
  <c r="C46" i="440" s="1"/>
  <c r="H42" i="433"/>
  <c r="H46" i="433" s="1"/>
  <c r="C46" i="433" s="1"/>
  <c r="D46" i="433"/>
  <c r="H11" i="438"/>
  <c r="H19" i="438" s="1"/>
  <c r="C19" i="438" s="1"/>
  <c r="D48" i="438"/>
  <c r="E32" i="438" s="1"/>
  <c r="H28" i="442"/>
  <c r="H16" i="443"/>
  <c r="H31" i="443"/>
  <c r="H40" i="434"/>
  <c r="H19" i="434"/>
  <c r="C19" i="434" s="1"/>
  <c r="D32" i="433"/>
  <c r="H26" i="437"/>
  <c r="H32" i="437" s="1"/>
  <c r="C32" i="437" s="1"/>
  <c r="D32" i="437"/>
  <c r="H26" i="438"/>
  <c r="H32" i="438" s="1"/>
  <c r="C32" i="438" s="1"/>
  <c r="H29" i="442"/>
  <c r="H26" i="442"/>
  <c r="H24" i="436"/>
  <c r="C24" i="436" s="1"/>
  <c r="H15" i="442"/>
  <c r="H19" i="442" s="1"/>
  <c r="C19" i="442" s="1"/>
  <c r="H30" i="442"/>
  <c r="H17" i="443"/>
  <c r="H34" i="443"/>
  <c r="H46" i="444"/>
  <c r="C46" i="444" s="1"/>
  <c r="E17" i="429"/>
  <c r="H19" i="433"/>
  <c r="C19" i="433" s="1"/>
  <c r="D32" i="442"/>
  <c r="D50" i="442" s="1"/>
  <c r="H18" i="443"/>
  <c r="H36" i="443"/>
  <c r="H40" i="436"/>
  <c r="C40" i="436" s="1"/>
  <c r="D50" i="436"/>
  <c r="D48" i="436"/>
  <c r="E40" i="436" s="1"/>
  <c r="E17" i="432"/>
  <c r="E16" i="432"/>
  <c r="E15" i="432"/>
  <c r="E14" i="432"/>
  <c r="E18" i="432"/>
  <c r="E10" i="432"/>
  <c r="H32" i="436"/>
  <c r="C32" i="436" s="1"/>
  <c r="D40" i="433"/>
  <c r="D50" i="433" s="1"/>
  <c r="E40" i="451"/>
  <c r="D48" i="432"/>
  <c r="H24" i="439"/>
  <c r="C24" i="439" s="1"/>
  <c r="H43" i="446"/>
  <c r="H24" i="451"/>
  <c r="C24" i="451" s="1"/>
  <c r="H36" i="452"/>
  <c r="E16" i="435"/>
  <c r="H11" i="448"/>
  <c r="C24" i="455"/>
  <c r="H46" i="449"/>
  <c r="C46" i="449" s="1"/>
  <c r="H18" i="452"/>
  <c r="H19" i="452" s="1"/>
  <c r="C19" i="452" s="1"/>
  <c r="H37" i="452"/>
  <c r="E14" i="436"/>
  <c r="H40" i="446"/>
  <c r="C40" i="446" s="1"/>
  <c r="E12" i="435"/>
  <c r="H19" i="447"/>
  <c r="C19" i="447" s="1"/>
  <c r="H10" i="449"/>
  <c r="H19" i="449" s="1"/>
  <c r="C19" i="449" s="1"/>
  <c r="E17" i="433"/>
  <c r="E18" i="434"/>
  <c r="E15" i="436"/>
  <c r="E13" i="435"/>
  <c r="E16" i="436"/>
  <c r="E14" i="435"/>
  <c r="E17" i="436"/>
  <c r="E17" i="444"/>
  <c r="E16" i="444"/>
  <c r="E15" i="444"/>
  <c r="D50" i="444"/>
  <c r="E14" i="444"/>
  <c r="E19" i="444"/>
  <c r="E13" i="444"/>
  <c r="E18" i="444"/>
  <c r="E10" i="444"/>
  <c r="H40" i="445"/>
  <c r="C40" i="445" s="1"/>
  <c r="H24" i="449"/>
  <c r="C24" i="449" s="1"/>
  <c r="H21" i="444"/>
  <c r="H39" i="444"/>
  <c r="H40" i="444" s="1"/>
  <c r="C40" i="444" s="1"/>
  <c r="H10" i="448"/>
  <c r="E10" i="436"/>
  <c r="H32" i="444"/>
  <c r="C32" i="444" s="1"/>
  <c r="H22" i="444"/>
  <c r="H24" i="446"/>
  <c r="C24" i="446" s="1"/>
  <c r="H17" i="457"/>
  <c r="H28" i="457"/>
  <c r="H32" i="457" s="1"/>
  <c r="E16" i="449"/>
  <c r="E15" i="449"/>
  <c r="E14" i="449"/>
  <c r="E13" i="449"/>
  <c r="E12" i="449"/>
  <c r="E11" i="449"/>
  <c r="E18" i="445"/>
  <c r="E10" i="445"/>
  <c r="E17" i="445"/>
  <c r="E16" i="445"/>
  <c r="E15" i="445"/>
  <c r="H32" i="448"/>
  <c r="C32" i="448" s="1"/>
  <c r="E16" i="452"/>
  <c r="E15" i="452"/>
  <c r="E19" i="452"/>
  <c r="E14" i="452"/>
  <c r="D50" i="452"/>
  <c r="E50" i="452" s="1"/>
  <c r="E13" i="452"/>
  <c r="E12" i="452"/>
  <c r="E11" i="452"/>
  <c r="H39" i="452"/>
  <c r="E14" i="440"/>
  <c r="H24" i="450"/>
  <c r="C24" i="450" s="1"/>
  <c r="H24" i="452"/>
  <c r="C24" i="452" s="1"/>
  <c r="H26" i="459"/>
  <c r="H27" i="453"/>
  <c r="H37" i="459"/>
  <c r="H40" i="459" s="1"/>
  <c r="C40" i="459" s="1"/>
  <c r="E15" i="440"/>
  <c r="D46" i="447"/>
  <c r="D50" i="447" s="1"/>
  <c r="J50" i="447" s="1"/>
  <c r="E12" i="443"/>
  <c r="E23" i="452"/>
  <c r="E26" i="452"/>
  <c r="H30" i="451"/>
  <c r="H10" i="452"/>
  <c r="H36" i="456"/>
  <c r="E16" i="440"/>
  <c r="E11" i="445"/>
  <c r="H40" i="449"/>
  <c r="C40" i="449" s="1"/>
  <c r="D46" i="450"/>
  <c r="D50" i="450" s="1"/>
  <c r="J50" i="450" s="1"/>
  <c r="H31" i="451"/>
  <c r="E10" i="452"/>
  <c r="H27" i="454"/>
  <c r="E13" i="443"/>
  <c r="H27" i="450"/>
  <c r="E17" i="440"/>
  <c r="D48" i="445"/>
  <c r="E40" i="445" s="1"/>
  <c r="E12" i="445"/>
  <c r="E17" i="449"/>
  <c r="H28" i="450"/>
  <c r="D32" i="450"/>
  <c r="E16" i="448"/>
  <c r="E15" i="448"/>
  <c r="E14" i="448"/>
  <c r="E13" i="448"/>
  <c r="E19" i="448"/>
  <c r="E12" i="448"/>
  <c r="E17" i="448"/>
  <c r="H19" i="451"/>
  <c r="C19" i="451" s="1"/>
  <c r="H29" i="450"/>
  <c r="E10" i="440"/>
  <c r="E13" i="445"/>
  <c r="H24" i="448"/>
  <c r="E18" i="449"/>
  <c r="H30" i="450"/>
  <c r="D48" i="458"/>
  <c r="D50" i="458"/>
  <c r="H11" i="458"/>
  <c r="H16" i="454"/>
  <c r="H19" i="454" s="1"/>
  <c r="C19" i="454" s="1"/>
  <c r="H11" i="459"/>
  <c r="H34" i="453"/>
  <c r="H40" i="453" s="1"/>
  <c r="C40" i="453" s="1"/>
  <c r="H23" i="453"/>
  <c r="H24" i="453" s="1"/>
  <c r="C24" i="453" s="1"/>
  <c r="H10" i="459"/>
  <c r="H24" i="459"/>
  <c r="C24" i="459" s="1"/>
  <c r="H24" i="454"/>
  <c r="C24" i="454" s="1"/>
  <c r="H37" i="460"/>
  <c r="H40" i="460" s="1"/>
  <c r="C40" i="460" s="1"/>
  <c r="E10" i="447"/>
  <c r="E18" i="447"/>
  <c r="H21" i="453"/>
  <c r="D48" i="454"/>
  <c r="E46" i="454" s="1"/>
  <c r="A52" i="454" s="1"/>
  <c r="E14" i="453"/>
  <c r="H11" i="457"/>
  <c r="E11" i="447"/>
  <c r="E11" i="450"/>
  <c r="E12" i="451"/>
  <c r="E15" i="453"/>
  <c r="H12" i="453"/>
  <c r="H19" i="453" s="1"/>
  <c r="C19" i="453" s="1"/>
  <c r="H29" i="453"/>
  <c r="D48" i="456"/>
  <c r="E46" i="456" s="1"/>
  <c r="A52" i="456" s="1"/>
  <c r="H24" i="457"/>
  <c r="C24" i="457" s="1"/>
  <c r="E12" i="447"/>
  <c r="D50" i="456"/>
  <c r="H38" i="456"/>
  <c r="H40" i="457"/>
  <c r="C40" i="457" s="1"/>
  <c r="E24" i="449"/>
  <c r="E13" i="451"/>
  <c r="H11" i="455"/>
  <c r="H38" i="458"/>
  <c r="D50" i="451"/>
  <c r="H37" i="458"/>
  <c r="E16" i="455"/>
  <c r="E16" i="457"/>
  <c r="E16" i="459"/>
  <c r="E42" i="459"/>
  <c r="E11" i="456"/>
  <c r="E19" i="456"/>
  <c r="E11" i="458"/>
  <c r="E19" i="458"/>
  <c r="E34" i="459"/>
  <c r="E12" i="460"/>
  <c r="D50" i="460"/>
  <c r="H15" i="460"/>
  <c r="H43" i="460"/>
  <c r="H44" i="454"/>
  <c r="H46" i="454" s="1"/>
  <c r="C46" i="454" s="1"/>
  <c r="E12" i="455"/>
  <c r="H15" i="455"/>
  <c r="H43" i="455"/>
  <c r="H34" i="456"/>
  <c r="H23" i="456"/>
  <c r="E12" i="457"/>
  <c r="D50" i="457"/>
  <c r="H15" i="457"/>
  <c r="H43" i="457"/>
  <c r="H34" i="458"/>
  <c r="H23" i="458"/>
  <c r="H24" i="458" s="1"/>
  <c r="C24" i="458" s="1"/>
  <c r="E12" i="459"/>
  <c r="D50" i="459"/>
  <c r="H15" i="459"/>
  <c r="H43" i="459"/>
  <c r="H46" i="459" s="1"/>
  <c r="C46" i="459" s="1"/>
  <c r="H22" i="460"/>
  <c r="H34" i="454"/>
  <c r="H40" i="454" s="1"/>
  <c r="C40" i="454" s="1"/>
  <c r="H14" i="460"/>
  <c r="H42" i="460"/>
  <c r="H46" i="460" s="1"/>
  <c r="C46" i="460" s="1"/>
  <c r="H31" i="460"/>
  <c r="E13" i="457"/>
  <c r="E13" i="459"/>
  <c r="E13" i="456"/>
  <c r="H14" i="456"/>
  <c r="H42" i="456"/>
  <c r="H46" i="456" s="1"/>
  <c r="C46" i="456" s="1"/>
  <c r="H31" i="456"/>
  <c r="H32" i="456" s="1"/>
  <c r="C32" i="456" s="1"/>
  <c r="E13" i="458"/>
  <c r="H14" i="458"/>
  <c r="H42" i="458"/>
  <c r="H31" i="458"/>
  <c r="H32" i="458" s="1"/>
  <c r="C32" i="458" s="1"/>
  <c r="E46" i="459"/>
  <c r="A52" i="459" s="1"/>
  <c r="E14" i="460"/>
  <c r="H13" i="460"/>
  <c r="H30" i="460"/>
  <c r="E14" i="455"/>
  <c r="E14" i="457"/>
  <c r="E14" i="459"/>
  <c r="E14" i="456"/>
  <c r="E14" i="458"/>
  <c r="E27" i="459"/>
  <c r="E15" i="460"/>
  <c r="E44" i="459"/>
  <c r="E43" i="457"/>
  <c r="C32" i="134"/>
  <c r="E34" i="251"/>
  <c r="E35" i="251"/>
  <c r="E43" i="251"/>
  <c r="E44" i="251"/>
  <c r="E37" i="251"/>
  <c r="E26" i="251"/>
  <c r="E27" i="251"/>
  <c r="E31" i="404"/>
  <c r="E29" i="404"/>
  <c r="E30" i="404"/>
  <c r="E28" i="404"/>
  <c r="E27" i="404"/>
  <c r="E44" i="404"/>
  <c r="E43" i="404"/>
  <c r="E39" i="404"/>
  <c r="E38" i="404"/>
  <c r="E23" i="404"/>
  <c r="E22" i="404"/>
  <c r="E21" i="404"/>
  <c r="E26" i="404"/>
  <c r="E40" i="404"/>
  <c r="E24" i="404"/>
  <c r="E45" i="404"/>
  <c r="E42" i="404"/>
  <c r="E34" i="404"/>
  <c r="E35" i="404"/>
  <c r="E46" i="404"/>
  <c r="A52" i="404" s="1"/>
  <c r="E37" i="404"/>
  <c r="E36" i="404"/>
  <c r="C40" i="363"/>
  <c r="E22" i="426"/>
  <c r="C24" i="101"/>
  <c r="E42" i="426"/>
  <c r="E45" i="400"/>
  <c r="E26" i="408"/>
  <c r="E29" i="362"/>
  <c r="E26" i="134"/>
  <c r="J50" i="400"/>
  <c r="E50" i="400"/>
  <c r="C24" i="227"/>
  <c r="E46" i="170"/>
  <c r="A52" i="170" s="1"/>
  <c r="E32" i="170"/>
  <c r="E35" i="170"/>
  <c r="E30" i="170"/>
  <c r="E36" i="170"/>
  <c r="E42" i="170"/>
  <c r="E37" i="170"/>
  <c r="E38" i="170"/>
  <c r="E21" i="170"/>
  <c r="E39" i="170"/>
  <c r="E22" i="170"/>
  <c r="E24" i="170"/>
  <c r="E43" i="170"/>
  <c r="E26" i="170"/>
  <c r="E44" i="170"/>
  <c r="E27" i="170"/>
  <c r="E34" i="170"/>
  <c r="E40" i="170"/>
  <c r="E45" i="170"/>
  <c r="E23" i="170"/>
  <c r="E28" i="170"/>
  <c r="E29" i="170"/>
  <c r="E31" i="170"/>
  <c r="E44" i="112"/>
  <c r="E26" i="112"/>
  <c r="E38" i="112"/>
  <c r="E28" i="112"/>
  <c r="E21" i="112"/>
  <c r="E31" i="112"/>
  <c r="E22" i="112"/>
  <c r="E48" i="112" s="1"/>
  <c r="E35" i="112"/>
  <c r="E40" i="112"/>
  <c r="E36" i="112"/>
  <c r="E23" i="112"/>
  <c r="E37" i="112"/>
  <c r="E42" i="112"/>
  <c r="E43" i="112"/>
  <c r="E45" i="112"/>
  <c r="E46" i="112"/>
  <c r="A52" i="112" s="1"/>
  <c r="E29" i="112"/>
  <c r="E30" i="112"/>
  <c r="E34" i="112"/>
  <c r="E39" i="112"/>
  <c r="E24" i="112"/>
  <c r="E27" i="112"/>
  <c r="E26" i="71"/>
  <c r="E44" i="71"/>
  <c r="E27" i="71"/>
  <c r="E45" i="71"/>
  <c r="E28" i="71"/>
  <c r="E46" i="71"/>
  <c r="A52" i="71" s="1"/>
  <c r="E29" i="71"/>
  <c r="E21" i="71"/>
  <c r="E30" i="71"/>
  <c r="E39" i="71"/>
  <c r="E31" i="71"/>
  <c r="E22" i="71"/>
  <c r="E32" i="71"/>
  <c r="E35" i="71"/>
  <c r="E23" i="71"/>
  <c r="E42" i="71"/>
  <c r="E24" i="71"/>
  <c r="E43" i="71"/>
  <c r="J50" i="81"/>
  <c r="E50" i="81"/>
  <c r="E43" i="426"/>
  <c r="E24" i="37"/>
  <c r="E43" i="37"/>
  <c r="E26" i="37"/>
  <c r="E21" i="37"/>
  <c r="E44" i="37"/>
  <c r="E46" i="37"/>
  <c r="A52" i="37" s="1"/>
  <c r="E27" i="37"/>
  <c r="E45" i="37"/>
  <c r="E38" i="37"/>
  <c r="E28" i="37"/>
  <c r="E29" i="37"/>
  <c r="E37" i="37"/>
  <c r="E30" i="37"/>
  <c r="E31" i="37"/>
  <c r="E39" i="37"/>
  <c r="E32" i="37"/>
  <c r="E34" i="37"/>
  <c r="E22" i="37"/>
  <c r="E23" i="37"/>
  <c r="E42" i="37"/>
  <c r="E35" i="37"/>
  <c r="E40" i="37"/>
  <c r="E36" i="37"/>
  <c r="C32" i="67"/>
  <c r="J50" i="421"/>
  <c r="E21" i="400"/>
  <c r="E22" i="408"/>
  <c r="J50" i="385"/>
  <c r="E50" i="385"/>
  <c r="E44" i="78"/>
  <c r="E42" i="78"/>
  <c r="E27" i="78"/>
  <c r="E45" i="78"/>
  <c r="E30" i="78"/>
  <c r="E31" i="78"/>
  <c r="E32" i="78"/>
  <c r="E34" i="78"/>
  <c r="E35" i="78"/>
  <c r="E40" i="78"/>
  <c r="E21" i="78"/>
  <c r="E23" i="78"/>
  <c r="E28" i="78"/>
  <c r="E29" i="78"/>
  <c r="E39" i="78"/>
  <c r="E22" i="78"/>
  <c r="E46" i="78"/>
  <c r="A52" i="78" s="1"/>
  <c r="E24" i="78"/>
  <c r="E43" i="78"/>
  <c r="E26" i="78"/>
  <c r="E36" i="78"/>
  <c r="E37" i="78"/>
  <c r="E38" i="78"/>
  <c r="E30" i="25"/>
  <c r="E29" i="25"/>
  <c r="J50" i="63"/>
  <c r="E50" i="63"/>
  <c r="J50" i="300"/>
  <c r="H46" i="163"/>
  <c r="C46" i="163" s="1"/>
  <c r="E43" i="362"/>
  <c r="E21" i="362"/>
  <c r="E23" i="362"/>
  <c r="E44" i="362"/>
  <c r="E28" i="70"/>
  <c r="E46" i="70"/>
  <c r="A52" i="70" s="1"/>
  <c r="E29" i="70"/>
  <c r="E30" i="70"/>
  <c r="E31" i="70"/>
  <c r="E32" i="70"/>
  <c r="E34" i="70"/>
  <c r="E35" i="70"/>
  <c r="E23" i="70"/>
  <c r="E37" i="70"/>
  <c r="E42" i="70"/>
  <c r="E21" i="70"/>
  <c r="E24" i="70"/>
  <c r="E22" i="70"/>
  <c r="E43" i="70"/>
  <c r="E36" i="70"/>
  <c r="E26" i="70"/>
  <c r="E44" i="70"/>
  <c r="E27" i="70"/>
  <c r="E45" i="70"/>
  <c r="E38" i="70"/>
  <c r="E39" i="70"/>
  <c r="E40" i="70"/>
  <c r="E26" i="457"/>
  <c r="E40" i="426"/>
  <c r="E36" i="400"/>
  <c r="E39" i="408"/>
  <c r="E22" i="362"/>
  <c r="E38" i="134"/>
  <c r="E43" i="134"/>
  <c r="E40" i="385"/>
  <c r="E34" i="385"/>
  <c r="E30" i="385"/>
  <c r="E31" i="385"/>
  <c r="E39" i="385"/>
  <c r="E29" i="385"/>
  <c r="E28" i="385"/>
  <c r="E27" i="385"/>
  <c r="E22" i="385"/>
  <c r="E26" i="385"/>
  <c r="E44" i="385"/>
  <c r="E45" i="385"/>
  <c r="E23" i="385"/>
  <c r="E42" i="385"/>
  <c r="E43" i="385"/>
  <c r="E21" i="385"/>
  <c r="E35" i="385"/>
  <c r="E38" i="385"/>
  <c r="E37" i="385"/>
  <c r="E36" i="385"/>
  <c r="H40" i="234"/>
  <c r="C40" i="234" s="1"/>
  <c r="E27" i="122"/>
  <c r="E35" i="122"/>
  <c r="E50" i="52"/>
  <c r="J50" i="52"/>
  <c r="C24" i="55"/>
  <c r="D50" i="17"/>
  <c r="J50" i="50"/>
  <c r="E50" i="50"/>
  <c r="E30" i="426"/>
  <c r="E35" i="426"/>
  <c r="E34" i="426"/>
  <c r="E31" i="426"/>
  <c r="E32" i="457"/>
  <c r="C24" i="249"/>
  <c r="E29" i="426"/>
  <c r="E45" i="426"/>
  <c r="E21" i="408"/>
  <c r="E39" i="362"/>
  <c r="E42" i="134"/>
  <c r="E35" i="134"/>
  <c r="D48" i="429"/>
  <c r="E24" i="459"/>
  <c r="E22" i="459"/>
  <c r="E30" i="459"/>
  <c r="E35" i="459"/>
  <c r="E37" i="459"/>
  <c r="E39" i="459"/>
  <c r="H46" i="216"/>
  <c r="C46" i="216" s="1"/>
  <c r="E40" i="231"/>
  <c r="E45" i="231"/>
  <c r="E29" i="231"/>
  <c r="E30" i="231"/>
  <c r="E28" i="231"/>
  <c r="E36" i="231"/>
  <c r="E31" i="231"/>
  <c r="E37" i="231"/>
  <c r="E32" i="231"/>
  <c r="E38" i="231"/>
  <c r="E34" i="231"/>
  <c r="E21" i="231"/>
  <c r="E35" i="231"/>
  <c r="E46" i="231"/>
  <c r="A52" i="231" s="1"/>
  <c r="E39" i="231"/>
  <c r="E22" i="231"/>
  <c r="E42" i="231"/>
  <c r="E23" i="231"/>
  <c r="E24" i="231"/>
  <c r="E43" i="231"/>
  <c r="E26" i="231"/>
  <c r="E44" i="231"/>
  <c r="E27" i="231"/>
  <c r="E28" i="91"/>
  <c r="E30" i="91"/>
  <c r="E24" i="91"/>
  <c r="E43" i="91"/>
  <c r="E40" i="91"/>
  <c r="E31" i="91"/>
  <c r="E35" i="91"/>
  <c r="E36" i="91"/>
  <c r="E38" i="91"/>
  <c r="E21" i="91"/>
  <c r="E23" i="91"/>
  <c r="E26" i="91"/>
  <c r="C24" i="231"/>
  <c r="E22" i="31"/>
  <c r="E38" i="31"/>
  <c r="E42" i="31"/>
  <c r="E21" i="31"/>
  <c r="E39" i="31"/>
  <c r="E26" i="31"/>
  <c r="E27" i="31"/>
  <c r="E45" i="31"/>
  <c r="E30" i="31"/>
  <c r="E31" i="31"/>
  <c r="E34" i="31"/>
  <c r="E35" i="31"/>
  <c r="E36" i="31"/>
  <c r="E45" i="162"/>
  <c r="E34" i="162"/>
  <c r="E28" i="162"/>
  <c r="E23" i="162"/>
  <c r="E31" i="162"/>
  <c r="E36" i="162"/>
  <c r="E43" i="162"/>
  <c r="E38" i="162"/>
  <c r="E21" i="162"/>
  <c r="E40" i="162"/>
  <c r="E44" i="162"/>
  <c r="J50" i="85"/>
  <c r="E29" i="50"/>
  <c r="E30" i="50"/>
  <c r="E31" i="50"/>
  <c r="E22" i="50"/>
  <c r="E34" i="50"/>
  <c r="E36" i="50"/>
  <c r="E23" i="50"/>
  <c r="E40" i="50"/>
  <c r="E42" i="50"/>
  <c r="E43" i="50"/>
  <c r="E26" i="50"/>
  <c r="E28" i="50"/>
  <c r="E21" i="50"/>
  <c r="E35" i="50"/>
  <c r="E37" i="50"/>
  <c r="E38" i="50"/>
  <c r="E39" i="50"/>
  <c r="E44" i="50"/>
  <c r="E27" i="50"/>
  <c r="E45" i="50"/>
  <c r="E31" i="284"/>
  <c r="E42" i="284"/>
  <c r="E35" i="284"/>
  <c r="E24" i="284"/>
  <c r="E37" i="284"/>
  <c r="E43" i="284"/>
  <c r="E21" i="284"/>
  <c r="E44" i="284"/>
  <c r="E22" i="284"/>
  <c r="E45" i="284"/>
  <c r="E46" i="284"/>
  <c r="A52" i="284" s="1"/>
  <c r="E26" i="284"/>
  <c r="E27" i="284"/>
  <c r="E30" i="284"/>
  <c r="E34" i="284"/>
  <c r="E36" i="284"/>
  <c r="E38" i="284"/>
  <c r="E23" i="284"/>
  <c r="E39" i="284"/>
  <c r="E28" i="284"/>
  <c r="E29" i="284"/>
  <c r="E40" i="284"/>
  <c r="E32" i="284"/>
  <c r="J50" i="62"/>
  <c r="E50" i="62"/>
  <c r="E50" i="71"/>
  <c r="J50" i="71"/>
  <c r="D50" i="404"/>
  <c r="E32" i="404"/>
  <c r="E30" i="371"/>
  <c r="H40" i="305"/>
  <c r="C40" i="305" s="1"/>
  <c r="C48" i="305" s="1"/>
  <c r="H32" i="154"/>
  <c r="C32" i="154" s="1"/>
  <c r="E46" i="134"/>
  <c r="A52" i="134" s="1"/>
  <c r="E36" i="134"/>
  <c r="E31" i="134"/>
  <c r="E44" i="134"/>
  <c r="E45" i="134"/>
  <c r="E40" i="134"/>
  <c r="E23" i="134"/>
  <c r="E39" i="134"/>
  <c r="E21" i="134"/>
  <c r="E22" i="134"/>
  <c r="E26" i="426"/>
  <c r="E34" i="408"/>
  <c r="E38" i="408"/>
  <c r="H19" i="358"/>
  <c r="C19" i="358" s="1"/>
  <c r="E38" i="362"/>
  <c r="H40" i="350"/>
  <c r="C40" i="350" s="1"/>
  <c r="E30" i="134"/>
  <c r="E37" i="134"/>
  <c r="H32" i="259"/>
  <c r="C32" i="259" s="1"/>
  <c r="E21" i="153"/>
  <c r="E24" i="153"/>
  <c r="E28" i="153"/>
  <c r="E40" i="153"/>
  <c r="E42" i="153"/>
  <c r="E43" i="153"/>
  <c r="E22" i="153"/>
  <c r="E46" i="153"/>
  <c r="A52" i="153" s="1"/>
  <c r="E30" i="153"/>
  <c r="E31" i="153"/>
  <c r="E39" i="153"/>
  <c r="E34" i="153"/>
  <c r="E38" i="153"/>
  <c r="E36" i="153"/>
  <c r="E37" i="153"/>
  <c r="E23" i="153"/>
  <c r="E26" i="153"/>
  <c r="E44" i="153"/>
  <c r="E27" i="153"/>
  <c r="E45" i="153"/>
  <c r="E29" i="153"/>
  <c r="E35" i="153"/>
  <c r="E32" i="153"/>
  <c r="E35" i="127"/>
  <c r="E37" i="127"/>
  <c r="E21" i="127"/>
  <c r="E39" i="127"/>
  <c r="E22" i="127"/>
  <c r="E23" i="127"/>
  <c r="E24" i="127"/>
  <c r="E26" i="127"/>
  <c r="E45" i="127"/>
  <c r="E31" i="127"/>
  <c r="E34" i="127"/>
  <c r="E40" i="127"/>
  <c r="E36" i="127"/>
  <c r="E38" i="127"/>
  <c r="E42" i="127"/>
  <c r="E43" i="127"/>
  <c r="E44" i="127"/>
  <c r="E28" i="127"/>
  <c r="E30" i="127"/>
  <c r="E32" i="127"/>
  <c r="E46" i="127"/>
  <c r="A52" i="127" s="1"/>
  <c r="E27" i="127"/>
  <c r="E29" i="127"/>
  <c r="E32" i="85"/>
  <c r="E46" i="85"/>
  <c r="A52" i="85" s="1"/>
  <c r="E31" i="85"/>
  <c r="E38" i="85"/>
  <c r="E26" i="85"/>
  <c r="E21" i="85"/>
  <c r="E34" i="85"/>
  <c r="E39" i="85"/>
  <c r="E35" i="85"/>
  <c r="E23" i="85"/>
  <c r="E37" i="85"/>
  <c r="E24" i="85"/>
  <c r="E40" i="85"/>
  <c r="E28" i="85"/>
  <c r="E29" i="85"/>
  <c r="E30" i="85"/>
  <c r="E36" i="85"/>
  <c r="E44" i="85"/>
  <c r="E45" i="85"/>
  <c r="E27" i="85"/>
  <c r="E22" i="85"/>
  <c r="E42" i="85"/>
  <c r="E43" i="85"/>
  <c r="J50" i="284"/>
  <c r="E27" i="333"/>
  <c r="E30" i="333"/>
  <c r="E40" i="333"/>
  <c r="E35" i="333"/>
  <c r="E24" i="333"/>
  <c r="E37" i="333"/>
  <c r="E43" i="333"/>
  <c r="E28" i="333"/>
  <c r="E32" i="333"/>
  <c r="E34" i="333"/>
  <c r="E40" i="300"/>
  <c r="E43" i="300"/>
  <c r="E29" i="300"/>
  <c r="E26" i="300"/>
  <c r="E44" i="300"/>
  <c r="E28" i="300"/>
  <c r="E35" i="300"/>
  <c r="E46" i="300"/>
  <c r="A52" i="300" s="1"/>
  <c r="E36" i="300"/>
  <c r="E37" i="300"/>
  <c r="E38" i="300"/>
  <c r="E21" i="300"/>
  <c r="E45" i="300"/>
  <c r="E39" i="300"/>
  <c r="E32" i="300"/>
  <c r="E22" i="300"/>
  <c r="E23" i="300"/>
  <c r="E42" i="300"/>
  <c r="E24" i="300"/>
  <c r="E34" i="300"/>
  <c r="E27" i="300"/>
  <c r="E30" i="300"/>
  <c r="E31" i="300"/>
  <c r="E27" i="81"/>
  <c r="E29" i="81"/>
  <c r="E35" i="81"/>
  <c r="H46" i="98"/>
  <c r="J50" i="37"/>
  <c r="E44" i="426"/>
  <c r="E28" i="426"/>
  <c r="E24" i="426"/>
  <c r="E31" i="408"/>
  <c r="E30" i="408"/>
  <c r="E37" i="408"/>
  <c r="E37" i="362"/>
  <c r="C32" i="393"/>
  <c r="J50" i="324"/>
  <c r="E44" i="440"/>
  <c r="E24" i="440"/>
  <c r="E43" i="440"/>
  <c r="E32" i="440"/>
  <c r="E39" i="440"/>
  <c r="E34" i="440"/>
  <c r="E38" i="440"/>
  <c r="E42" i="440"/>
  <c r="E37" i="440"/>
  <c r="E46" i="440"/>
  <c r="A52" i="440" s="1"/>
  <c r="E36" i="440"/>
  <c r="E35" i="440"/>
  <c r="E31" i="440"/>
  <c r="E30" i="440"/>
  <c r="E29" i="440"/>
  <c r="E28" i="440"/>
  <c r="E45" i="440"/>
  <c r="E27" i="440"/>
  <c r="E26" i="440"/>
  <c r="E23" i="440"/>
  <c r="E22" i="440"/>
  <c r="E21" i="440"/>
  <c r="J50" i="46"/>
  <c r="C32" i="292"/>
  <c r="J50" i="333"/>
  <c r="E50" i="333"/>
  <c r="E24" i="457"/>
  <c r="E22" i="457"/>
  <c r="E30" i="457"/>
  <c r="E35" i="457"/>
  <c r="E37" i="457"/>
  <c r="E39" i="457"/>
  <c r="C32" i="288"/>
  <c r="H40" i="248"/>
  <c r="C40" i="248" s="1"/>
  <c r="C24" i="336"/>
  <c r="E27" i="426"/>
  <c r="E29" i="408"/>
  <c r="E36" i="408"/>
  <c r="E36" i="362"/>
  <c r="E50" i="401"/>
  <c r="J50" i="401"/>
  <c r="J50" i="440"/>
  <c r="E50" i="440"/>
  <c r="E50" i="307"/>
  <c r="J50" i="307"/>
  <c r="E30" i="303"/>
  <c r="J50" i="445"/>
  <c r="E50" i="445"/>
  <c r="E43" i="255"/>
  <c r="E26" i="255"/>
  <c r="E32" i="255"/>
  <c r="E27" i="255"/>
  <c r="E45" i="255"/>
  <c r="E35" i="255"/>
  <c r="E30" i="255"/>
  <c r="E21" i="255"/>
  <c r="E40" i="255"/>
  <c r="E23" i="255"/>
  <c r="E31" i="255"/>
  <c r="E37" i="255"/>
  <c r="E46" i="426"/>
  <c r="A52" i="426" s="1"/>
  <c r="E36" i="426"/>
  <c r="E46" i="408"/>
  <c r="A52" i="408" s="1"/>
  <c r="E35" i="408"/>
  <c r="E34" i="362"/>
  <c r="C24" i="404"/>
  <c r="E42" i="346"/>
  <c r="E45" i="346"/>
  <c r="E43" i="355"/>
  <c r="E44" i="355"/>
  <c r="E45" i="355"/>
  <c r="E32" i="355"/>
  <c r="E35" i="355"/>
  <c r="E36" i="355"/>
  <c r="D48" i="398"/>
  <c r="E32" i="398" s="1"/>
  <c r="E30" i="294"/>
  <c r="E34" i="294"/>
  <c r="E46" i="294"/>
  <c r="A52" i="294" s="1"/>
  <c r="E23" i="294"/>
  <c r="E28" i="294"/>
  <c r="E29" i="294"/>
  <c r="E31" i="294"/>
  <c r="E37" i="294"/>
  <c r="E26" i="294"/>
  <c r="E45" i="294"/>
  <c r="E35" i="294"/>
  <c r="E36" i="294"/>
  <c r="E40" i="294"/>
  <c r="E38" i="294"/>
  <c r="E39" i="294"/>
  <c r="E42" i="294"/>
  <c r="E21" i="294"/>
  <c r="E43" i="294"/>
  <c r="E32" i="294"/>
  <c r="E22" i="294"/>
  <c r="E44" i="294"/>
  <c r="E24" i="294"/>
  <c r="E27" i="294"/>
  <c r="E30" i="126"/>
  <c r="E31" i="126"/>
  <c r="E38" i="126"/>
  <c r="E39" i="126"/>
  <c r="E40" i="126"/>
  <c r="E23" i="126"/>
  <c r="E42" i="126"/>
  <c r="E24" i="126"/>
  <c r="E26" i="126"/>
  <c r="E27" i="126"/>
  <c r="E34" i="126"/>
  <c r="E35" i="126"/>
  <c r="E36" i="126"/>
  <c r="E37" i="126"/>
  <c r="E21" i="126"/>
  <c r="E22" i="126"/>
  <c r="E43" i="126"/>
  <c r="E44" i="126"/>
  <c r="E29" i="126"/>
  <c r="E45" i="126"/>
  <c r="E32" i="126"/>
  <c r="E28" i="126"/>
  <c r="E43" i="375"/>
  <c r="E44" i="375"/>
  <c r="E26" i="375"/>
  <c r="E32" i="20"/>
  <c r="E34" i="20"/>
  <c r="E36" i="20"/>
  <c r="E38" i="20"/>
  <c r="E21" i="20"/>
  <c r="E22" i="20"/>
  <c r="E40" i="20"/>
  <c r="E26" i="20"/>
  <c r="E27" i="20"/>
  <c r="E37" i="20"/>
  <c r="E45" i="20"/>
  <c r="E31" i="20"/>
  <c r="E28" i="20"/>
  <c r="E23" i="20"/>
  <c r="E24" i="20"/>
  <c r="E29" i="20"/>
  <c r="E30" i="20"/>
  <c r="E43" i="20"/>
  <c r="J50" i="78"/>
  <c r="E50" i="78"/>
  <c r="E40" i="31"/>
  <c r="H21" i="23"/>
  <c r="E32" i="46"/>
  <c r="E29" i="46"/>
  <c r="E23" i="46"/>
  <c r="E37" i="46"/>
  <c r="E40" i="46"/>
  <c r="E44" i="46"/>
  <c r="C24" i="228"/>
  <c r="E46" i="116"/>
  <c r="A52" i="116" s="1"/>
  <c r="E26" i="116"/>
  <c r="E38" i="116"/>
  <c r="E23" i="116"/>
  <c r="E45" i="116"/>
  <c r="E39" i="116"/>
  <c r="E43" i="116"/>
  <c r="E32" i="116"/>
  <c r="E31" i="116"/>
  <c r="E34" i="116"/>
  <c r="E22" i="116"/>
  <c r="C40" i="224"/>
  <c r="C48" i="224" s="1"/>
  <c r="H48" i="224"/>
  <c r="E26" i="400"/>
  <c r="E31" i="400"/>
  <c r="E34" i="400"/>
  <c r="E37" i="400"/>
  <c r="E38" i="400"/>
  <c r="E39" i="400"/>
  <c r="E22" i="400"/>
  <c r="E30" i="400"/>
  <c r="E35" i="400"/>
  <c r="E42" i="400"/>
  <c r="E44" i="400"/>
  <c r="E28" i="145"/>
  <c r="E37" i="145"/>
  <c r="E22" i="145"/>
  <c r="E31" i="145"/>
  <c r="E35" i="145"/>
  <c r="E32" i="142"/>
  <c r="E23" i="142"/>
  <c r="E39" i="63"/>
  <c r="E37" i="63"/>
  <c r="E23" i="63"/>
  <c r="E38" i="63"/>
  <c r="E24" i="63"/>
  <c r="E26" i="63"/>
  <c r="E45" i="63"/>
  <c r="E44" i="63"/>
  <c r="E22" i="63"/>
  <c r="E28" i="63"/>
  <c r="E32" i="63"/>
  <c r="E35" i="63"/>
  <c r="E27" i="63"/>
  <c r="E21" i="63"/>
  <c r="E42" i="63"/>
  <c r="E43" i="63"/>
  <c r="E29" i="63"/>
  <c r="E30" i="63"/>
  <c r="E31" i="63"/>
  <c r="E34" i="63"/>
  <c r="E36" i="63"/>
  <c r="E46" i="63"/>
  <c r="A52" i="63" s="1"/>
  <c r="E40" i="63"/>
  <c r="E37" i="426"/>
  <c r="E28" i="408"/>
  <c r="E43" i="371"/>
  <c r="E32" i="362"/>
  <c r="E28" i="134"/>
  <c r="E43" i="396"/>
  <c r="E39" i="396"/>
  <c r="E26" i="396"/>
  <c r="E38" i="396"/>
  <c r="E46" i="396"/>
  <c r="A52" i="396" s="1"/>
  <c r="E37" i="396"/>
  <c r="E30" i="396"/>
  <c r="E36" i="396"/>
  <c r="E32" i="396"/>
  <c r="E35" i="396"/>
  <c r="E34" i="396"/>
  <c r="E29" i="396"/>
  <c r="E31" i="396"/>
  <c r="E44" i="396"/>
  <c r="E21" i="396"/>
  <c r="E40" i="396"/>
  <c r="E23" i="396"/>
  <c r="E22" i="396"/>
  <c r="E45" i="396"/>
  <c r="E27" i="396"/>
  <c r="C32" i="415"/>
  <c r="E39" i="282"/>
  <c r="E21" i="282"/>
  <c r="H32" i="121"/>
  <c r="C32" i="121" s="1"/>
  <c r="E46" i="251"/>
  <c r="A52" i="251" s="1"/>
  <c r="D50" i="251"/>
  <c r="E4" i="179"/>
  <c r="G4" i="179"/>
  <c r="C19" i="70"/>
  <c r="C40" i="48"/>
  <c r="C32" i="87"/>
  <c r="C46" i="210"/>
  <c r="C48" i="210" s="1"/>
  <c r="H48" i="210"/>
  <c r="E23" i="457"/>
  <c r="E32" i="426"/>
  <c r="E40" i="408"/>
  <c r="E45" i="408"/>
  <c r="E24" i="371"/>
  <c r="E46" i="362"/>
  <c r="A52" i="362" s="1"/>
  <c r="E46" i="400"/>
  <c r="A52" i="400" s="1"/>
  <c r="E21" i="292"/>
  <c r="E22" i="292"/>
  <c r="E44" i="292"/>
  <c r="E36" i="292"/>
  <c r="E23" i="292"/>
  <c r="E46" i="292"/>
  <c r="A52" i="292" s="1"/>
  <c r="E24" i="292"/>
  <c r="E26" i="292"/>
  <c r="E27" i="292"/>
  <c r="E28" i="292"/>
  <c r="E37" i="292"/>
  <c r="E32" i="292"/>
  <c r="E29" i="292"/>
  <c r="E30" i="292"/>
  <c r="E31" i="292"/>
  <c r="E34" i="292"/>
  <c r="E35" i="292"/>
  <c r="E39" i="292"/>
  <c r="E38" i="292"/>
  <c r="E45" i="292"/>
  <c r="E40" i="292"/>
  <c r="E42" i="292"/>
  <c r="E43" i="292"/>
  <c r="H46" i="251"/>
  <c r="C46" i="251" s="1"/>
  <c r="E45" i="287"/>
  <c r="E44" i="287"/>
  <c r="E21" i="287"/>
  <c r="E46" i="287"/>
  <c r="A52" i="287" s="1"/>
  <c r="E23" i="287"/>
  <c r="E42" i="287"/>
  <c r="E35" i="287"/>
  <c r="E37" i="287"/>
  <c r="E36" i="287"/>
  <c r="E38" i="287"/>
  <c r="E39" i="287"/>
  <c r="E22" i="287"/>
  <c r="E24" i="287"/>
  <c r="E43" i="287"/>
  <c r="E26" i="287"/>
  <c r="E27" i="287"/>
  <c r="E28" i="287"/>
  <c r="E29" i="287"/>
  <c r="E30" i="287"/>
  <c r="E31" i="287"/>
  <c r="E40" i="287"/>
  <c r="E32" i="287"/>
  <c r="E34" i="287"/>
  <c r="E46" i="55"/>
  <c r="A52" i="55" s="1"/>
  <c r="E29" i="55"/>
  <c r="E30" i="55"/>
  <c r="E24" i="55"/>
  <c r="E36" i="55"/>
  <c r="E37" i="55"/>
  <c r="E38" i="55"/>
  <c r="E21" i="55"/>
  <c r="E39" i="55"/>
  <c r="E22" i="55"/>
  <c r="E23" i="55"/>
  <c r="E42" i="55"/>
  <c r="E26" i="55"/>
  <c r="E40" i="55"/>
  <c r="E44" i="55"/>
  <c r="E27" i="55"/>
  <c r="E45" i="55"/>
  <c r="E43" i="55"/>
  <c r="E31" i="55"/>
  <c r="E32" i="55"/>
  <c r="E34" i="55"/>
  <c r="E35" i="55"/>
  <c r="J50" i="190"/>
  <c r="E50" i="190"/>
  <c r="J50" i="12"/>
  <c r="E50" i="12"/>
  <c r="C19" i="290"/>
  <c r="E34" i="278"/>
  <c r="E39" i="278"/>
  <c r="E42" i="278"/>
  <c r="E21" i="278"/>
  <c r="E30" i="278"/>
  <c r="E22" i="278"/>
  <c r="E35" i="278"/>
  <c r="E23" i="278"/>
  <c r="E36" i="278"/>
  <c r="E24" i="278"/>
  <c r="E37" i="278"/>
  <c r="E43" i="278"/>
  <c r="E38" i="278"/>
  <c r="E26" i="278"/>
  <c r="E44" i="278"/>
  <c r="E27" i="278"/>
  <c r="E45" i="278"/>
  <c r="E28" i="278"/>
  <c r="E29" i="278"/>
  <c r="E31" i="278"/>
  <c r="E32" i="278"/>
  <c r="E40" i="278"/>
  <c r="J50" i="116"/>
  <c r="E50" i="116"/>
  <c r="E24" i="400"/>
  <c r="E32" i="230"/>
  <c r="E36" i="230"/>
  <c r="E31" i="230"/>
  <c r="E21" i="230"/>
  <c r="E34" i="230"/>
  <c r="E30" i="230"/>
  <c r="E35" i="230"/>
  <c r="E39" i="230"/>
  <c r="E40" i="230"/>
  <c r="E37" i="230"/>
  <c r="E29" i="230"/>
  <c r="E43" i="230"/>
  <c r="E24" i="230"/>
  <c r="E45" i="230"/>
  <c r="E27" i="230"/>
  <c r="E23" i="230"/>
  <c r="E22" i="230"/>
  <c r="E42" i="230"/>
  <c r="E44" i="230"/>
  <c r="E26" i="230"/>
  <c r="E27" i="457"/>
  <c r="E42" i="457"/>
  <c r="E38" i="426"/>
  <c r="E29" i="400"/>
  <c r="H40" i="390"/>
  <c r="C40" i="390" s="1"/>
  <c r="E27" i="408"/>
  <c r="E42" i="371"/>
  <c r="E31" i="362"/>
  <c r="E36" i="452"/>
  <c r="E40" i="400"/>
  <c r="E40" i="254"/>
  <c r="E36" i="254"/>
  <c r="E28" i="254"/>
  <c r="E30" i="254"/>
  <c r="E31" i="254"/>
  <c r="E32" i="254"/>
  <c r="E42" i="254"/>
  <c r="E37" i="254"/>
  <c r="E29" i="254"/>
  <c r="E44" i="254"/>
  <c r="E43" i="254"/>
  <c r="E23" i="254"/>
  <c r="E39" i="254"/>
  <c r="E26" i="254"/>
  <c r="E46" i="254"/>
  <c r="A52" i="254" s="1"/>
  <c r="E34" i="254"/>
  <c r="E22" i="254"/>
  <c r="E35" i="254"/>
  <c r="E38" i="254"/>
  <c r="E24" i="254"/>
  <c r="E21" i="254"/>
  <c r="E45" i="254"/>
  <c r="E27" i="254"/>
  <c r="J50" i="208"/>
  <c r="E50" i="208"/>
  <c r="H40" i="223"/>
  <c r="C40" i="223" s="1"/>
  <c r="E27" i="47"/>
  <c r="E45" i="47"/>
  <c r="E28" i="47"/>
  <c r="E29" i="47"/>
  <c r="E30" i="47"/>
  <c r="E31" i="47"/>
  <c r="E21" i="47"/>
  <c r="E34" i="47"/>
  <c r="E39" i="47"/>
  <c r="E22" i="47"/>
  <c r="E40" i="47"/>
  <c r="E23" i="47"/>
  <c r="E42" i="47"/>
  <c r="E24" i="47"/>
  <c r="E43" i="47"/>
  <c r="E26" i="47"/>
  <c r="E37" i="47"/>
  <c r="E35" i="47"/>
  <c r="E36" i="47"/>
  <c r="E38" i="47"/>
  <c r="E32" i="47"/>
  <c r="E44" i="47"/>
  <c r="E46" i="47"/>
  <c r="A52" i="47" s="1"/>
  <c r="C24" i="84"/>
  <c r="C32" i="214"/>
  <c r="E24" i="12"/>
  <c r="E27" i="12"/>
  <c r="E37" i="12"/>
  <c r="E43" i="12"/>
  <c r="E40" i="12"/>
  <c r="E28" i="12"/>
  <c r="C32" i="112"/>
  <c r="C32" i="337"/>
  <c r="E35" i="281"/>
  <c r="E36" i="281"/>
  <c r="E30" i="281"/>
  <c r="E31" i="281"/>
  <c r="E21" i="281"/>
  <c r="E26" i="281"/>
  <c r="E27" i="281"/>
  <c r="E32" i="281"/>
  <c r="E22" i="281"/>
  <c r="E38" i="281"/>
  <c r="E24" i="281"/>
  <c r="E46" i="281"/>
  <c r="A52" i="281" s="1"/>
  <c r="E43" i="281"/>
  <c r="E28" i="281"/>
  <c r="E45" i="281"/>
  <c r="E23" i="281"/>
  <c r="E29" i="281"/>
  <c r="E34" i="281"/>
  <c r="E40" i="281"/>
  <c r="E46" i="96"/>
  <c r="A52" i="96" s="1"/>
  <c r="E23" i="96"/>
  <c r="E22" i="96"/>
  <c r="E24" i="96"/>
  <c r="E28" i="96"/>
  <c r="E36" i="96"/>
  <c r="E44" i="96"/>
  <c r="E40" i="96"/>
  <c r="E27" i="96"/>
  <c r="E45" i="96"/>
  <c r="E30" i="96"/>
  <c r="E35" i="96"/>
  <c r="E37" i="96"/>
  <c r="E34" i="96"/>
  <c r="E38" i="96"/>
  <c r="E39" i="96"/>
  <c r="E42" i="96"/>
  <c r="E43" i="96"/>
  <c r="E21" i="96"/>
  <c r="E32" i="96"/>
  <c r="E29" i="96"/>
  <c r="E31" i="96"/>
  <c r="E26" i="96"/>
  <c r="E45" i="457"/>
  <c r="E39" i="426"/>
  <c r="E28" i="400"/>
  <c r="E23" i="371"/>
  <c r="E30" i="362"/>
  <c r="D50" i="342"/>
  <c r="E27" i="134"/>
  <c r="D48" i="374"/>
  <c r="E46" i="374" s="1"/>
  <c r="A52" i="374" s="1"/>
  <c r="E50" i="233"/>
  <c r="J50" i="233"/>
  <c r="E27" i="169"/>
  <c r="E30" i="169"/>
  <c r="E28" i="169"/>
  <c r="E31" i="169"/>
  <c r="E29" i="169"/>
  <c r="E34" i="169"/>
  <c r="E45" i="169"/>
  <c r="E35" i="169"/>
  <c r="E36" i="169"/>
  <c r="E46" i="169"/>
  <c r="A52" i="169" s="1"/>
  <c r="E32" i="169"/>
  <c r="E37" i="169"/>
  <c r="E40" i="169"/>
  <c r="E38" i="169"/>
  <c r="E42" i="169"/>
  <c r="E21" i="169"/>
  <c r="E39" i="169"/>
  <c r="E23" i="169"/>
  <c r="E24" i="169"/>
  <c r="E43" i="169"/>
  <c r="E26" i="169"/>
  <c r="E44" i="169"/>
  <c r="E22" i="169"/>
  <c r="E46" i="260"/>
  <c r="A52" i="260" s="1"/>
  <c r="E44" i="260"/>
  <c r="E26" i="260"/>
  <c r="E28" i="260"/>
  <c r="E45" i="260"/>
  <c r="E29" i="260"/>
  <c r="E31" i="260"/>
  <c r="E32" i="260"/>
  <c r="E36" i="260"/>
  <c r="E34" i="260"/>
  <c r="E21" i="260"/>
  <c r="E39" i="260"/>
  <c r="E40" i="260"/>
  <c r="E37" i="260"/>
  <c r="E38" i="260"/>
  <c r="E22" i="260"/>
  <c r="E24" i="260"/>
  <c r="E43" i="260"/>
  <c r="E30" i="260"/>
  <c r="E23" i="260"/>
  <c r="E27" i="260"/>
  <c r="E35" i="260"/>
  <c r="E42" i="260"/>
  <c r="E34" i="101"/>
  <c r="E32" i="101"/>
  <c r="E35" i="101"/>
  <c r="E37" i="101"/>
  <c r="E21" i="101"/>
  <c r="E39" i="101"/>
  <c r="E22" i="101"/>
  <c r="E40" i="101"/>
  <c r="E36" i="101"/>
  <c r="E42" i="101"/>
  <c r="E43" i="101"/>
  <c r="E44" i="101"/>
  <c r="E46" i="101"/>
  <c r="A52" i="101" s="1"/>
  <c r="E23" i="101"/>
  <c r="E24" i="101"/>
  <c r="E27" i="101"/>
  <c r="E45" i="101"/>
  <c r="E30" i="101"/>
  <c r="E31" i="101"/>
  <c r="E26" i="101"/>
  <c r="E38" i="101"/>
  <c r="E28" i="101"/>
  <c r="E29" i="101"/>
  <c r="D48" i="123"/>
  <c r="E32" i="123" s="1"/>
  <c r="C46" i="63"/>
  <c r="E35" i="102"/>
  <c r="E26" i="102"/>
  <c r="E34" i="102"/>
  <c r="E43" i="102"/>
  <c r="E44" i="102"/>
  <c r="E45" i="102"/>
  <c r="E22" i="102"/>
  <c r="E29" i="102"/>
  <c r="E30" i="102"/>
  <c r="E32" i="102"/>
  <c r="E31" i="102"/>
  <c r="E36" i="102"/>
  <c r="E37" i="102"/>
  <c r="E38" i="102"/>
  <c r="E39" i="102"/>
  <c r="E40" i="102"/>
  <c r="E42" i="102"/>
  <c r="E46" i="102"/>
  <c r="A52" i="102" s="1"/>
  <c r="E21" i="102"/>
  <c r="E23" i="102"/>
  <c r="E24" i="102"/>
  <c r="E27" i="102"/>
  <c r="E28" i="102"/>
  <c r="C32" i="325"/>
  <c r="E27" i="342"/>
  <c r="E45" i="342"/>
  <c r="E28" i="342"/>
  <c r="E29" i="342"/>
  <c r="E30" i="342"/>
  <c r="E32" i="342"/>
  <c r="E39" i="342"/>
  <c r="E22" i="342"/>
  <c r="E23" i="342"/>
  <c r="E24" i="342"/>
  <c r="E42" i="342"/>
  <c r="E43" i="342"/>
  <c r="E46" i="342"/>
  <c r="A52" i="342" s="1"/>
  <c r="E34" i="342"/>
  <c r="H24" i="390"/>
  <c r="C24" i="390" s="1"/>
  <c r="E26" i="458"/>
  <c r="E23" i="458"/>
  <c r="E50" i="426"/>
  <c r="E46" i="427"/>
  <c r="A52" i="427" s="1"/>
  <c r="J50" i="411"/>
  <c r="E50" i="411"/>
  <c r="E50" i="394"/>
  <c r="H31" i="351"/>
  <c r="D50" i="299"/>
  <c r="D48" i="299"/>
  <c r="E29" i="21"/>
  <c r="E42" i="21"/>
  <c r="E22" i="21"/>
  <c r="E39" i="21"/>
  <c r="E36" i="21"/>
  <c r="E37" i="21"/>
  <c r="E43" i="21"/>
  <c r="E27" i="21"/>
  <c r="E35" i="21"/>
  <c r="C19" i="13"/>
  <c r="E35" i="67"/>
  <c r="E27" i="67"/>
  <c r="E21" i="67"/>
  <c r="E26" i="67"/>
  <c r="E30" i="67"/>
  <c r="E45" i="67"/>
  <c r="E31" i="67"/>
  <c r="E40" i="67"/>
  <c r="E34" i="67"/>
  <c r="E36" i="67"/>
  <c r="E37" i="67"/>
  <c r="E38" i="67"/>
  <c r="E39" i="67"/>
  <c r="E22" i="67"/>
  <c r="E23" i="67"/>
  <c r="E42" i="67"/>
  <c r="E32" i="67"/>
  <c r="E44" i="67"/>
  <c r="E46" i="67"/>
  <c r="A52" i="67" s="1"/>
  <c r="E28" i="67"/>
  <c r="E29" i="67"/>
  <c r="E43" i="67"/>
  <c r="C32" i="258"/>
  <c r="E24" i="256"/>
  <c r="E27" i="256"/>
  <c r="E38" i="256"/>
  <c r="E43" i="256"/>
  <c r="E26" i="256"/>
  <c r="E44" i="256"/>
  <c r="E28" i="256"/>
  <c r="E31" i="256"/>
  <c r="E29" i="256"/>
  <c r="E21" i="256"/>
  <c r="E34" i="256"/>
  <c r="E40" i="256"/>
  <c r="E30" i="256"/>
  <c r="E39" i="256"/>
  <c r="E35" i="256"/>
  <c r="E32" i="256"/>
  <c r="E45" i="256"/>
  <c r="E36" i="256"/>
  <c r="E42" i="256"/>
  <c r="E37" i="256"/>
  <c r="E22" i="256"/>
  <c r="E23" i="256"/>
  <c r="E46" i="256"/>
  <c r="A52" i="256" s="1"/>
  <c r="C32" i="336"/>
  <c r="E30" i="411"/>
  <c r="E31" i="411"/>
  <c r="E36" i="411"/>
  <c r="E37" i="411"/>
  <c r="J50" i="32"/>
  <c r="E50" i="32"/>
  <c r="E23" i="439"/>
  <c r="E21" i="439"/>
  <c r="J50" i="409"/>
  <c r="E27" i="415"/>
  <c r="H24" i="376"/>
  <c r="C24" i="376" s="1"/>
  <c r="H32" i="348"/>
  <c r="C32" i="348" s="1"/>
  <c r="E29" i="350"/>
  <c r="E30" i="350"/>
  <c r="E31" i="350"/>
  <c r="E34" i="350"/>
  <c r="E35" i="350"/>
  <c r="E36" i="350"/>
  <c r="E38" i="350"/>
  <c r="E21" i="350"/>
  <c r="E39" i="350"/>
  <c r="E23" i="350"/>
  <c r="E42" i="350"/>
  <c r="E28" i="350"/>
  <c r="E22" i="350"/>
  <c r="E26" i="350"/>
  <c r="E27" i="350"/>
  <c r="E37" i="350"/>
  <c r="E40" i="350"/>
  <c r="E43" i="350"/>
  <c r="E44" i="350"/>
  <c r="E45" i="350"/>
  <c r="E46" i="21"/>
  <c r="A52" i="21" s="1"/>
  <c r="C32" i="19"/>
  <c r="J50" i="436"/>
  <c r="E50" i="436"/>
  <c r="J50" i="154"/>
  <c r="E50" i="154"/>
  <c r="J50" i="457"/>
  <c r="E50" i="457"/>
  <c r="J50" i="415"/>
  <c r="E29" i="414"/>
  <c r="E45" i="414"/>
  <c r="E21" i="414"/>
  <c r="E42" i="414"/>
  <c r="E31" i="414"/>
  <c r="E37" i="414"/>
  <c r="E23" i="414"/>
  <c r="E22" i="414"/>
  <c r="E24" i="414"/>
  <c r="E26" i="414"/>
  <c r="E40" i="414"/>
  <c r="E43" i="414"/>
  <c r="E46" i="414"/>
  <c r="A52" i="414" s="1"/>
  <c r="E44" i="414"/>
  <c r="E32" i="414"/>
  <c r="E39" i="414"/>
  <c r="E38" i="414"/>
  <c r="E36" i="414"/>
  <c r="E35" i="414"/>
  <c r="E34" i="414"/>
  <c r="E30" i="414"/>
  <c r="E28" i="414"/>
  <c r="E27" i="414"/>
  <c r="E34" i="378"/>
  <c r="E40" i="378"/>
  <c r="E37" i="308"/>
  <c r="E31" i="308"/>
  <c r="E32" i="308"/>
  <c r="E36" i="308"/>
  <c r="E40" i="308"/>
  <c r="E44" i="308"/>
  <c r="E38" i="308"/>
  <c r="E28" i="308"/>
  <c r="E43" i="308"/>
  <c r="E29" i="308"/>
  <c r="E30" i="308"/>
  <c r="E27" i="308"/>
  <c r="E34" i="308"/>
  <c r="E42" i="308"/>
  <c r="E45" i="308"/>
  <c r="E23" i="308"/>
  <c r="E26" i="308"/>
  <c r="E22" i="308"/>
  <c r="E35" i="308"/>
  <c r="E46" i="308"/>
  <c r="A52" i="308" s="1"/>
  <c r="E24" i="308"/>
  <c r="E39" i="308"/>
  <c r="E21" i="308"/>
  <c r="J50" i="350"/>
  <c r="E50" i="350"/>
  <c r="C46" i="183"/>
  <c r="H34" i="23"/>
  <c r="D40" i="23"/>
  <c r="E24" i="3"/>
  <c r="E36" i="3"/>
  <c r="E39" i="3"/>
  <c r="J50" i="212"/>
  <c r="E48" i="202"/>
  <c r="E38" i="432"/>
  <c r="C19" i="415"/>
  <c r="C32" i="388"/>
  <c r="E50" i="346"/>
  <c r="C32" i="304"/>
  <c r="J50" i="414"/>
  <c r="D48" i="399"/>
  <c r="E32" i="399" s="1"/>
  <c r="J50" i="376"/>
  <c r="E50" i="355"/>
  <c r="J50" i="355"/>
  <c r="D40" i="351"/>
  <c r="H34" i="351"/>
  <c r="D48" i="348"/>
  <c r="E46" i="348" s="1"/>
  <c r="A52" i="348" s="1"/>
  <c r="J50" i="227"/>
  <c r="E50" i="227"/>
  <c r="E50" i="45"/>
  <c r="E50" i="55"/>
  <c r="J50" i="55"/>
  <c r="C32" i="169"/>
  <c r="C48" i="169" s="1"/>
  <c r="H48" i="169"/>
  <c r="E40" i="212"/>
  <c r="E34" i="212"/>
  <c r="E38" i="212"/>
  <c r="E36" i="212"/>
  <c r="E31" i="212"/>
  <c r="E37" i="212"/>
  <c r="E21" i="212"/>
  <c r="E43" i="212"/>
  <c r="E26" i="212"/>
  <c r="E39" i="212"/>
  <c r="E24" i="212"/>
  <c r="E35" i="212"/>
  <c r="E44" i="212"/>
  <c r="E22" i="212"/>
  <c r="E27" i="212"/>
  <c r="E23" i="212"/>
  <c r="E42" i="212"/>
  <c r="E45" i="212"/>
  <c r="E28" i="212"/>
  <c r="E46" i="212"/>
  <c r="A52" i="212" s="1"/>
  <c r="E30" i="212"/>
  <c r="E29" i="212"/>
  <c r="E30" i="410"/>
  <c r="E21" i="410"/>
  <c r="E44" i="410"/>
  <c r="E23" i="410"/>
  <c r="E27" i="410"/>
  <c r="E31" i="410"/>
  <c r="E35" i="410"/>
  <c r="E36" i="410"/>
  <c r="E42" i="410"/>
  <c r="E39" i="410"/>
  <c r="J50" i="342"/>
  <c r="E50" i="342"/>
  <c r="H32" i="375"/>
  <c r="C32" i="375" s="1"/>
  <c r="E32" i="365"/>
  <c r="H24" i="368"/>
  <c r="C24" i="368" s="1"/>
  <c r="H24" i="343"/>
  <c r="C24" i="343" s="1"/>
  <c r="E32" i="349"/>
  <c r="D50" i="280"/>
  <c r="J50" i="280" s="1"/>
  <c r="D48" i="280"/>
  <c r="E32" i="280" s="1"/>
  <c r="J50" i="74"/>
  <c r="E50" i="74"/>
  <c r="D48" i="206"/>
  <c r="E46" i="206" s="1"/>
  <c r="A52" i="206" s="1"/>
  <c r="J50" i="89"/>
  <c r="C24" i="86"/>
  <c r="A52" i="185"/>
  <c r="E48" i="185"/>
  <c r="C40" i="433"/>
  <c r="E36" i="438"/>
  <c r="E40" i="438"/>
  <c r="E35" i="438"/>
  <c r="E31" i="438"/>
  <c r="E30" i="438"/>
  <c r="E29" i="438"/>
  <c r="E28" i="438"/>
  <c r="E27" i="438"/>
  <c r="E23" i="438"/>
  <c r="E22" i="438"/>
  <c r="E45" i="438"/>
  <c r="E24" i="438"/>
  <c r="E37" i="438"/>
  <c r="E44" i="438"/>
  <c r="E43" i="438"/>
  <c r="E39" i="438"/>
  <c r="E38" i="438"/>
  <c r="E21" i="438"/>
  <c r="E26" i="438"/>
  <c r="E34" i="438"/>
  <c r="E42" i="438"/>
  <c r="E46" i="438"/>
  <c r="A52" i="438" s="1"/>
  <c r="E26" i="435"/>
  <c r="E37" i="435"/>
  <c r="E21" i="435"/>
  <c r="E24" i="416"/>
  <c r="E42" i="416"/>
  <c r="D50" i="368"/>
  <c r="H24" i="358"/>
  <c r="H40" i="352"/>
  <c r="C40" i="352" s="1"/>
  <c r="D48" i="347"/>
  <c r="D50" i="347"/>
  <c r="H40" i="370"/>
  <c r="C40" i="370" s="1"/>
  <c r="E31" i="341"/>
  <c r="E43" i="341"/>
  <c r="E44" i="341"/>
  <c r="D50" i="225"/>
  <c r="J50" i="225" s="1"/>
  <c r="D48" i="225"/>
  <c r="E46" i="225" s="1"/>
  <c r="A52" i="225" s="1"/>
  <c r="J50" i="22"/>
  <c r="E50" i="22"/>
  <c r="C40" i="74"/>
  <c r="C32" i="46"/>
  <c r="C46" i="297"/>
  <c r="E37" i="144"/>
  <c r="E38" i="144"/>
  <c r="E22" i="144"/>
  <c r="E40" i="144"/>
  <c r="E42" i="144"/>
  <c r="E23" i="144"/>
  <c r="E43" i="144"/>
  <c r="E24" i="144"/>
  <c r="E44" i="144"/>
  <c r="E26" i="144"/>
  <c r="E45" i="144"/>
  <c r="E27" i="144"/>
  <c r="E21" i="144"/>
  <c r="E28" i="144"/>
  <c r="E39" i="144"/>
  <c r="E29" i="144"/>
  <c r="E34" i="144"/>
  <c r="E30" i="144"/>
  <c r="E35" i="144"/>
  <c r="E36" i="144"/>
  <c r="E31" i="144"/>
  <c r="E32" i="144"/>
  <c r="E35" i="349"/>
  <c r="E22" i="349"/>
  <c r="E45" i="349"/>
  <c r="E26" i="349"/>
  <c r="E30" i="349"/>
  <c r="E39" i="349"/>
  <c r="E43" i="349"/>
  <c r="E36" i="427"/>
  <c r="E35" i="427"/>
  <c r="E34" i="427"/>
  <c r="E31" i="427"/>
  <c r="E30" i="427"/>
  <c r="E29" i="427"/>
  <c r="E28" i="427"/>
  <c r="E27" i="427"/>
  <c r="E26" i="427"/>
  <c r="E45" i="427"/>
  <c r="E23" i="427"/>
  <c r="E43" i="427"/>
  <c r="E42" i="427"/>
  <c r="E39" i="427"/>
  <c r="E38" i="427"/>
  <c r="E37" i="427"/>
  <c r="E22" i="427"/>
  <c r="E21" i="427"/>
  <c r="E40" i="427"/>
  <c r="E44" i="427"/>
  <c r="E43" i="1"/>
  <c r="E28" i="1"/>
  <c r="E39" i="1"/>
  <c r="E42" i="1"/>
  <c r="E21" i="1"/>
  <c r="E48" i="1" s="1"/>
  <c r="E40" i="1"/>
  <c r="E23" i="1"/>
  <c r="E34" i="1"/>
  <c r="E37" i="1"/>
  <c r="E44" i="1"/>
  <c r="E35" i="1"/>
  <c r="E24" i="1"/>
  <c r="E32" i="1"/>
  <c r="E30" i="1"/>
  <c r="E27" i="1"/>
  <c r="E29" i="1"/>
  <c r="E26" i="1"/>
  <c r="E45" i="1"/>
  <c r="E38" i="1"/>
  <c r="E36" i="1"/>
  <c r="E22" i="1"/>
  <c r="E31" i="1"/>
  <c r="E11" i="406"/>
  <c r="E12" i="406"/>
  <c r="E14" i="406"/>
  <c r="E15" i="406"/>
  <c r="E16" i="406"/>
  <c r="E19" i="406"/>
  <c r="J50" i="399"/>
  <c r="E50" i="399"/>
  <c r="E29" i="376"/>
  <c r="E30" i="376"/>
  <c r="E31" i="376"/>
  <c r="E34" i="376"/>
  <c r="E35" i="376"/>
  <c r="E36" i="376"/>
  <c r="E37" i="376"/>
  <c r="E38" i="376"/>
  <c r="E21" i="376"/>
  <c r="E39" i="376"/>
  <c r="E22" i="376"/>
  <c r="E23" i="376"/>
  <c r="E42" i="376"/>
  <c r="E24" i="376"/>
  <c r="E43" i="376"/>
  <c r="E28" i="376"/>
  <c r="E27" i="376"/>
  <c r="E44" i="376"/>
  <c r="E45" i="376"/>
  <c r="E26" i="376"/>
  <c r="H40" i="373"/>
  <c r="C40" i="373" s="1"/>
  <c r="C24" i="372"/>
  <c r="J50" i="365"/>
  <c r="E50" i="365"/>
  <c r="H28" i="351"/>
  <c r="E40" i="348"/>
  <c r="C32" i="319"/>
  <c r="H42" i="351"/>
  <c r="E50" i="260"/>
  <c r="J50" i="260"/>
  <c r="E50" i="39"/>
  <c r="J50" i="39"/>
  <c r="E28" i="32"/>
  <c r="E46" i="32"/>
  <c r="A52" i="32" s="1"/>
  <c r="E26" i="32"/>
  <c r="E36" i="32"/>
  <c r="E45" i="32"/>
  <c r="E40" i="32"/>
  <c r="C40" i="37"/>
  <c r="H24" i="460"/>
  <c r="C24" i="460" s="1"/>
  <c r="E29" i="445"/>
  <c r="E28" i="445"/>
  <c r="E27" i="445"/>
  <c r="E24" i="445"/>
  <c r="E26" i="445"/>
  <c r="E45" i="445"/>
  <c r="E23" i="445"/>
  <c r="E46" i="445"/>
  <c r="A52" i="445" s="1"/>
  <c r="E44" i="445"/>
  <c r="E22" i="445"/>
  <c r="E43" i="445"/>
  <c r="E21" i="445"/>
  <c r="E42" i="445"/>
  <c r="E39" i="445"/>
  <c r="E38" i="445"/>
  <c r="E30" i="445"/>
  <c r="E35" i="445"/>
  <c r="E32" i="445"/>
  <c r="E34" i="445"/>
  <c r="E31" i="445"/>
  <c r="E36" i="445"/>
  <c r="E37" i="445"/>
  <c r="H24" i="456"/>
  <c r="C24" i="456" s="1"/>
  <c r="H32" i="419"/>
  <c r="C32" i="419" s="1"/>
  <c r="H32" i="401"/>
  <c r="C32" i="401" s="1"/>
  <c r="C32" i="396"/>
  <c r="H19" i="356"/>
  <c r="C19" i="356" s="1"/>
  <c r="H32" i="361"/>
  <c r="E14" i="351"/>
  <c r="E32" i="350"/>
  <c r="E35" i="106"/>
  <c r="E46" i="106"/>
  <c r="A52" i="106" s="1"/>
  <c r="E22" i="106"/>
  <c r="E40" i="106"/>
  <c r="E24" i="106"/>
  <c r="E43" i="106"/>
  <c r="E44" i="106"/>
  <c r="E27" i="106"/>
  <c r="E30" i="106"/>
  <c r="E31" i="106"/>
  <c r="E32" i="106"/>
  <c r="E34" i="106"/>
  <c r="C40" i="15"/>
  <c r="E48" i="320"/>
  <c r="D48" i="322"/>
  <c r="C24" i="122"/>
  <c r="J50" i="435"/>
  <c r="E50" i="435"/>
  <c r="H34" i="406"/>
  <c r="D40" i="406"/>
  <c r="C24" i="448"/>
  <c r="D48" i="442"/>
  <c r="E44" i="424"/>
  <c r="E37" i="424"/>
  <c r="E18" i="406"/>
  <c r="E28" i="397"/>
  <c r="E44" i="397"/>
  <c r="E42" i="397"/>
  <c r="E24" i="397"/>
  <c r="E35" i="397"/>
  <c r="D48" i="368"/>
  <c r="J50" i="305"/>
  <c r="E50" i="305"/>
  <c r="C46" i="279"/>
  <c r="E36" i="252"/>
  <c r="E31" i="252"/>
  <c r="E32" i="252"/>
  <c r="E34" i="252"/>
  <c r="E35" i="252"/>
  <c r="E38" i="252"/>
  <c r="E22" i="252"/>
  <c r="E46" i="252"/>
  <c r="A52" i="252" s="1"/>
  <c r="E39" i="252"/>
  <c r="E21" i="252"/>
  <c r="E37" i="252"/>
  <c r="E44" i="252"/>
  <c r="E26" i="252"/>
  <c r="E43" i="252"/>
  <c r="E28" i="252"/>
  <c r="E45" i="252"/>
  <c r="E24" i="252"/>
  <c r="E42" i="252"/>
  <c r="E30" i="252"/>
  <c r="E27" i="252"/>
  <c r="E23" i="252"/>
  <c r="E29" i="252"/>
  <c r="E50" i="93"/>
  <c r="J50" i="93"/>
  <c r="C24" i="24"/>
  <c r="H48" i="328"/>
  <c r="H50" i="328" s="1"/>
  <c r="E6" i="328" s="1"/>
  <c r="E50" i="18"/>
  <c r="J50" i="18"/>
  <c r="D50" i="297"/>
  <c r="E50" i="297" s="1"/>
  <c r="E27" i="454"/>
  <c r="E29" i="454"/>
  <c r="E30" i="454"/>
  <c r="E36" i="454"/>
  <c r="E26" i="454"/>
  <c r="E32" i="454"/>
  <c r="E34" i="454"/>
  <c r="E39" i="454"/>
  <c r="E40" i="454"/>
  <c r="E22" i="454"/>
  <c r="E21" i="454"/>
  <c r="A52" i="187"/>
  <c r="E34" i="149"/>
  <c r="E35" i="149"/>
  <c r="E31" i="149"/>
  <c r="E39" i="149"/>
  <c r="E23" i="149"/>
  <c r="E24" i="149"/>
  <c r="E38" i="149"/>
  <c r="E30" i="149"/>
  <c r="E26" i="149"/>
  <c r="E45" i="149"/>
  <c r="E40" i="149"/>
  <c r="E27" i="149"/>
  <c r="E28" i="149"/>
  <c r="E29" i="149"/>
  <c r="E32" i="149"/>
  <c r="E36" i="149"/>
  <c r="E37" i="149"/>
  <c r="E46" i="149"/>
  <c r="A52" i="149" s="1"/>
  <c r="E42" i="149"/>
  <c r="E43" i="149"/>
  <c r="E44" i="149"/>
  <c r="E21" i="149"/>
  <c r="E22" i="149"/>
  <c r="J50" i="424"/>
  <c r="E50" i="424"/>
  <c r="E46" i="411"/>
  <c r="A52" i="411" s="1"/>
  <c r="J50" i="397"/>
  <c r="E50" i="397"/>
  <c r="H31" i="406"/>
  <c r="E32" i="387"/>
  <c r="E40" i="387"/>
  <c r="E24" i="387"/>
  <c r="E29" i="387"/>
  <c r="E44" i="387"/>
  <c r="E22" i="387"/>
  <c r="E43" i="387"/>
  <c r="E21" i="387"/>
  <c r="E39" i="387"/>
  <c r="E37" i="387"/>
  <c r="E45" i="387"/>
  <c r="E42" i="387"/>
  <c r="E38" i="387"/>
  <c r="E36" i="387"/>
  <c r="E35" i="387"/>
  <c r="E34" i="387"/>
  <c r="E31" i="387"/>
  <c r="E30" i="387"/>
  <c r="E28" i="387"/>
  <c r="E27" i="387"/>
  <c r="E23" i="387"/>
  <c r="E26" i="387"/>
  <c r="E38" i="395"/>
  <c r="E37" i="395"/>
  <c r="E36" i="395"/>
  <c r="E35" i="395"/>
  <c r="E34" i="395"/>
  <c r="E31" i="395"/>
  <c r="E30" i="395"/>
  <c r="E29" i="395"/>
  <c r="E28" i="395"/>
  <c r="E27" i="395"/>
  <c r="E40" i="395"/>
  <c r="E26" i="395"/>
  <c r="E45" i="395"/>
  <c r="E23" i="395"/>
  <c r="E46" i="395"/>
  <c r="A52" i="395" s="1"/>
  <c r="E42" i="395"/>
  <c r="E44" i="395"/>
  <c r="E43" i="395"/>
  <c r="E39" i="395"/>
  <c r="E22" i="395"/>
  <c r="E21" i="395"/>
  <c r="E24" i="395"/>
  <c r="E32" i="110"/>
  <c r="E43" i="110"/>
  <c r="E39" i="110"/>
  <c r="E22" i="110"/>
  <c r="E42" i="110"/>
  <c r="E26" i="110"/>
  <c r="E45" i="110"/>
  <c r="E28" i="110"/>
  <c r="E35" i="110"/>
  <c r="E36" i="110"/>
  <c r="E38" i="110"/>
  <c r="C24" i="11"/>
  <c r="E28" i="365"/>
  <c r="E29" i="365"/>
  <c r="E30" i="365"/>
  <c r="E31" i="365"/>
  <c r="E34" i="365"/>
  <c r="E35" i="365"/>
  <c r="E36" i="365"/>
  <c r="E44" i="365"/>
  <c r="E45" i="365"/>
  <c r="E21" i="365"/>
  <c r="E22" i="365"/>
  <c r="E23" i="365"/>
  <c r="E24" i="365"/>
  <c r="E26" i="365"/>
  <c r="E27" i="365"/>
  <c r="E37" i="365"/>
  <c r="E39" i="365"/>
  <c r="E43" i="365"/>
  <c r="E38" i="365"/>
  <c r="E40" i="365"/>
  <c r="E42" i="365"/>
  <c r="J50" i="460"/>
  <c r="E50" i="460"/>
  <c r="E30" i="446"/>
  <c r="E29" i="446"/>
  <c r="E46" i="446"/>
  <c r="A52" i="446" s="1"/>
  <c r="E28" i="446"/>
  <c r="E27" i="446"/>
  <c r="E26" i="446"/>
  <c r="E45" i="446"/>
  <c r="E23" i="446"/>
  <c r="E44" i="446"/>
  <c r="E22" i="446"/>
  <c r="E32" i="446"/>
  <c r="E43" i="446"/>
  <c r="E21" i="446"/>
  <c r="E42" i="446"/>
  <c r="E39" i="446"/>
  <c r="E31" i="446"/>
  <c r="E38" i="446"/>
  <c r="E37" i="446"/>
  <c r="E36" i="446"/>
  <c r="E35" i="446"/>
  <c r="E34" i="446"/>
  <c r="E40" i="446"/>
  <c r="J50" i="341"/>
  <c r="E50" i="341"/>
  <c r="C40" i="4"/>
  <c r="H48" i="4"/>
  <c r="H50" i="4" s="1"/>
  <c r="E6" i="4" s="1"/>
  <c r="D48" i="276"/>
  <c r="E40" i="276" s="1"/>
  <c r="D50" i="276"/>
  <c r="E26" i="275"/>
  <c r="E27" i="275"/>
  <c r="E37" i="275"/>
  <c r="E38" i="275"/>
  <c r="E39" i="275"/>
  <c r="E40" i="275"/>
  <c r="E42" i="275"/>
  <c r="E28" i="275"/>
  <c r="E43" i="275"/>
  <c r="E29" i="275"/>
  <c r="E44" i="275"/>
  <c r="E30" i="275"/>
  <c r="E45" i="275"/>
  <c r="E31" i="275"/>
  <c r="E34" i="275"/>
  <c r="E46" i="275"/>
  <c r="A52" i="275" s="1"/>
  <c r="E24" i="275"/>
  <c r="E32" i="275"/>
  <c r="E23" i="275"/>
  <c r="E35" i="275"/>
  <c r="E36" i="275"/>
  <c r="E21" i="275"/>
  <c r="E22" i="275"/>
  <c r="D48" i="433"/>
  <c r="E40" i="433" s="1"/>
  <c r="J50" i="438"/>
  <c r="E50" i="438"/>
  <c r="C32" i="422"/>
  <c r="H32" i="400"/>
  <c r="C32" i="400" s="1"/>
  <c r="J50" i="370"/>
  <c r="E50" i="370"/>
  <c r="J50" i="395"/>
  <c r="E50" i="395"/>
  <c r="E31" i="377"/>
  <c r="E22" i="377"/>
  <c r="E26" i="377"/>
  <c r="E35" i="378"/>
  <c r="E36" i="378"/>
  <c r="E37" i="378"/>
  <c r="E38" i="378"/>
  <c r="E21" i="378"/>
  <c r="E39" i="378"/>
  <c r="E22" i="378"/>
  <c r="E23" i="378"/>
  <c r="E42" i="378"/>
  <c r="E43" i="378"/>
  <c r="E26" i="378"/>
  <c r="E44" i="378"/>
  <c r="E27" i="378"/>
  <c r="E45" i="378"/>
  <c r="E28" i="378"/>
  <c r="E29" i="378"/>
  <c r="E32" i="378"/>
  <c r="E30" i="378"/>
  <c r="E31" i="378"/>
  <c r="E24" i="369"/>
  <c r="E43" i="369"/>
  <c r="E23" i="369"/>
  <c r="E44" i="369"/>
  <c r="E26" i="369"/>
  <c r="E45" i="369"/>
  <c r="E27" i="369"/>
  <c r="E28" i="369"/>
  <c r="E29" i="369"/>
  <c r="E30" i="369"/>
  <c r="E31" i="369"/>
  <c r="E32" i="369"/>
  <c r="E34" i="369"/>
  <c r="E35" i="369"/>
  <c r="E36" i="369"/>
  <c r="E37" i="369"/>
  <c r="E38" i="369"/>
  <c r="E22" i="369"/>
  <c r="E42" i="369"/>
  <c r="E21" i="369"/>
  <c r="E39" i="369"/>
  <c r="E40" i="369"/>
  <c r="D50" i="312"/>
  <c r="J50" i="312" s="1"/>
  <c r="D50" i="322"/>
  <c r="C46" i="277"/>
  <c r="H32" i="239"/>
  <c r="C32" i="239" s="1"/>
  <c r="H40" i="206"/>
  <c r="C40" i="206" s="1"/>
  <c r="D50" i="9"/>
  <c r="D48" i="9"/>
  <c r="J50" i="11"/>
  <c r="E50" i="11"/>
  <c r="E50" i="283"/>
  <c r="E48" i="318"/>
  <c r="E24" i="410"/>
  <c r="E40" i="342"/>
  <c r="C46" i="12"/>
  <c r="J50" i="442"/>
  <c r="E50" i="442"/>
  <c r="E24" i="446"/>
  <c r="H32" i="411"/>
  <c r="H24" i="410"/>
  <c r="J50" i="456"/>
  <c r="E50" i="456"/>
  <c r="H32" i="439"/>
  <c r="C32" i="439" s="1"/>
  <c r="J50" i="444"/>
  <c r="E50" i="444"/>
  <c r="E38" i="425"/>
  <c r="E32" i="425"/>
  <c r="E37" i="425"/>
  <c r="E36" i="425"/>
  <c r="E35" i="425"/>
  <c r="E34" i="425"/>
  <c r="E30" i="425"/>
  <c r="E29" i="425"/>
  <c r="E22" i="425"/>
  <c r="E21" i="425"/>
  <c r="E45" i="425"/>
  <c r="E46" i="425"/>
  <c r="A52" i="425" s="1"/>
  <c r="E44" i="425"/>
  <c r="E43" i="425"/>
  <c r="E42" i="425"/>
  <c r="E39" i="425"/>
  <c r="E31" i="425"/>
  <c r="E23" i="425"/>
  <c r="E28" i="425"/>
  <c r="E27" i="425"/>
  <c r="E26" i="425"/>
  <c r="E24" i="425"/>
  <c r="E12" i="417"/>
  <c r="E11" i="417"/>
  <c r="E18" i="417"/>
  <c r="E10" i="417"/>
  <c r="E17" i="417"/>
  <c r="E16" i="417"/>
  <c r="E19" i="417"/>
  <c r="E15" i="417"/>
  <c r="E14" i="417"/>
  <c r="E36" i="420"/>
  <c r="E35" i="420"/>
  <c r="E34" i="420"/>
  <c r="E31" i="420"/>
  <c r="E30" i="420"/>
  <c r="E28" i="420"/>
  <c r="E27" i="420"/>
  <c r="E26" i="420"/>
  <c r="E45" i="420"/>
  <c r="E46" i="420"/>
  <c r="A52" i="420" s="1"/>
  <c r="E44" i="420"/>
  <c r="E22" i="420"/>
  <c r="E37" i="420"/>
  <c r="E43" i="420"/>
  <c r="E42" i="420"/>
  <c r="E39" i="420"/>
  <c r="E38" i="420"/>
  <c r="E29" i="420"/>
  <c r="E23" i="420"/>
  <c r="E21" i="420"/>
  <c r="H24" i="411"/>
  <c r="C24" i="411" s="1"/>
  <c r="H26" i="406"/>
  <c r="H42" i="406"/>
  <c r="D46" i="406"/>
  <c r="E50" i="393"/>
  <c r="H19" i="375"/>
  <c r="C19" i="375" s="1"/>
  <c r="E32" i="395"/>
  <c r="H19" i="357"/>
  <c r="C19" i="357" s="1"/>
  <c r="H19" i="350"/>
  <c r="C19" i="350" s="1"/>
  <c r="E19" i="351"/>
  <c r="H40" i="356"/>
  <c r="C40" i="356" s="1"/>
  <c r="H46" i="312"/>
  <c r="C46" i="312" s="1"/>
  <c r="C24" i="308"/>
  <c r="C48" i="308" s="1"/>
  <c r="H48" i="308"/>
  <c r="H50" i="308" s="1"/>
  <c r="E6" i="308" s="1"/>
  <c r="D50" i="336"/>
  <c r="D48" i="336"/>
  <c r="E30" i="336" s="1"/>
  <c r="D48" i="335"/>
  <c r="E46" i="335" s="1"/>
  <c r="A52" i="335" s="1"/>
  <c r="C46" i="274"/>
  <c r="H32" i="215"/>
  <c r="C32" i="215" s="1"/>
  <c r="H46" i="186"/>
  <c r="H48" i="186" s="1"/>
  <c r="J50" i="110"/>
  <c r="E50" i="110"/>
  <c r="H32" i="79"/>
  <c r="C32" i="79" s="1"/>
  <c r="C40" i="10"/>
  <c r="D48" i="11"/>
  <c r="E46" i="1"/>
  <c r="A52" i="1" s="1"/>
  <c r="C40" i="5"/>
  <c r="E21" i="45"/>
  <c r="E24" i="45"/>
  <c r="E23" i="45"/>
  <c r="E22" i="45"/>
  <c r="E32" i="45"/>
  <c r="E26" i="45"/>
  <c r="E44" i="45"/>
  <c r="E27" i="45"/>
  <c r="E43" i="45"/>
  <c r="E46" i="45"/>
  <c r="A52" i="45" s="1"/>
  <c r="E45" i="45"/>
  <c r="E29" i="45"/>
  <c r="E30" i="45"/>
  <c r="E37" i="45"/>
  <c r="E31" i="45"/>
  <c r="E34" i="45"/>
  <c r="E28" i="45"/>
  <c r="E35" i="45"/>
  <c r="E36" i="45"/>
  <c r="E42" i="45"/>
  <c r="E39" i="45"/>
  <c r="E38" i="45"/>
  <c r="F12" i="207"/>
  <c r="F35" i="207"/>
  <c r="F23" i="207"/>
  <c r="G23" i="207" s="1"/>
  <c r="F13" i="207"/>
  <c r="F37" i="207"/>
  <c r="F43" i="207"/>
  <c r="F26" i="207"/>
  <c r="I26" i="207" s="1"/>
  <c r="F15" i="207"/>
  <c r="F38" i="207"/>
  <c r="F16" i="207"/>
  <c r="G16" i="207" s="1"/>
  <c r="F27" i="207"/>
  <c r="F11" i="207"/>
  <c r="F18" i="207"/>
  <c r="F31" i="207"/>
  <c r="F28" i="207"/>
  <c r="G28" i="207" s="1"/>
  <c r="F42" i="207"/>
  <c r="F29" i="207"/>
  <c r="F44" i="207"/>
  <c r="F21" i="207"/>
  <c r="F22" i="207"/>
  <c r="F30" i="207"/>
  <c r="F34" i="207"/>
  <c r="F36" i="207"/>
  <c r="G36" i="207" s="1"/>
  <c r="F17" i="207"/>
  <c r="F14" i="207"/>
  <c r="F10" i="207"/>
  <c r="F39" i="207"/>
  <c r="F45" i="207"/>
  <c r="G45" i="207" s="1"/>
  <c r="E50" i="446"/>
  <c r="J50" i="446"/>
  <c r="E31" i="436"/>
  <c r="E30" i="436"/>
  <c r="E28" i="436"/>
  <c r="E27" i="436"/>
  <c r="E26" i="436"/>
  <c r="E22" i="436"/>
  <c r="E45" i="436"/>
  <c r="E21" i="436"/>
  <c r="E32" i="436"/>
  <c r="E35" i="436"/>
  <c r="E42" i="436"/>
  <c r="E44" i="436"/>
  <c r="E39" i="436"/>
  <c r="E38" i="436"/>
  <c r="E36" i="436"/>
  <c r="E24" i="436"/>
  <c r="E34" i="436"/>
  <c r="E26" i="456"/>
  <c r="E44" i="456"/>
  <c r="E27" i="456"/>
  <c r="E45" i="456"/>
  <c r="E28" i="456"/>
  <c r="E29" i="456"/>
  <c r="E30" i="456"/>
  <c r="E31" i="456"/>
  <c r="E32" i="456"/>
  <c r="E34" i="456"/>
  <c r="E35" i="456"/>
  <c r="E24" i="456"/>
  <c r="E43" i="456"/>
  <c r="E39" i="456"/>
  <c r="E40" i="456"/>
  <c r="E42" i="456"/>
  <c r="E21" i="456"/>
  <c r="E38" i="456"/>
  <c r="E22" i="456"/>
  <c r="E23" i="456"/>
  <c r="E36" i="456"/>
  <c r="E37" i="456"/>
  <c r="J50" i="459"/>
  <c r="E50" i="459"/>
  <c r="J50" i="458"/>
  <c r="E50" i="458"/>
  <c r="H19" i="448"/>
  <c r="C19" i="448" s="1"/>
  <c r="E50" i="451"/>
  <c r="J50" i="451"/>
  <c r="E24" i="454"/>
  <c r="E40" i="425"/>
  <c r="E50" i="416"/>
  <c r="E10" i="406"/>
  <c r="E24" i="411"/>
  <c r="E50" i="387"/>
  <c r="J50" i="387"/>
  <c r="E22" i="394"/>
  <c r="E46" i="376"/>
  <c r="A52" i="376" s="1"/>
  <c r="H19" i="355"/>
  <c r="C19" i="355" s="1"/>
  <c r="J50" i="335"/>
  <c r="E50" i="335"/>
  <c r="J50" i="349"/>
  <c r="E50" i="349"/>
  <c r="J50" i="343"/>
  <c r="E50" i="343"/>
  <c r="H32" i="299"/>
  <c r="C32" i="299" s="1"/>
  <c r="D50" i="215"/>
  <c r="D48" i="215"/>
  <c r="E32" i="215" s="1"/>
  <c r="E46" i="144"/>
  <c r="A52" i="144" s="1"/>
  <c r="E24" i="26"/>
  <c r="E27" i="26"/>
  <c r="E36" i="26"/>
  <c r="E31" i="26"/>
  <c r="E37" i="26"/>
  <c r="E22" i="26"/>
  <c r="E28" i="26"/>
  <c r="E29" i="26"/>
  <c r="E38" i="26"/>
  <c r="E30" i="26"/>
  <c r="E34" i="26"/>
  <c r="E35" i="26"/>
  <c r="E46" i="26"/>
  <c r="A52" i="26" s="1"/>
  <c r="E21" i="26"/>
  <c r="E39" i="26"/>
  <c r="E40" i="26"/>
  <c r="E23" i="26"/>
  <c r="E42" i="26"/>
  <c r="E43" i="26"/>
  <c r="E26" i="26"/>
  <c r="E44" i="26"/>
  <c r="E45" i="26"/>
  <c r="E22" i="104"/>
  <c r="E21" i="104"/>
  <c r="E34" i="104"/>
  <c r="E32" i="104"/>
  <c r="E38" i="104"/>
  <c r="E24" i="104"/>
  <c r="E40" i="104"/>
  <c r="E43" i="104"/>
  <c r="E26" i="104"/>
  <c r="E44" i="104"/>
  <c r="E27" i="104"/>
  <c r="E39" i="104"/>
  <c r="E45" i="104"/>
  <c r="E42" i="104"/>
  <c r="E28" i="104"/>
  <c r="E46" i="104"/>
  <c r="A52" i="104" s="1"/>
  <c r="E29" i="104"/>
  <c r="E30" i="104"/>
  <c r="E31" i="104"/>
  <c r="E35" i="104"/>
  <c r="E23" i="104"/>
  <c r="E36" i="104"/>
  <c r="E37" i="104"/>
  <c r="E32" i="26"/>
  <c r="E24" i="67"/>
  <c r="J50" i="256"/>
  <c r="E50" i="256"/>
  <c r="H30" i="23"/>
  <c r="D48" i="312"/>
  <c r="E46" i="312" s="1"/>
  <c r="A52" i="312" s="1"/>
  <c r="E24" i="283"/>
  <c r="E31" i="283"/>
  <c r="E38" i="283"/>
  <c r="E42" i="283"/>
  <c r="E23" i="283"/>
  <c r="E40" i="283"/>
  <c r="E35" i="283"/>
  <c r="E32" i="283"/>
  <c r="E37" i="283"/>
  <c r="E39" i="283"/>
  <c r="E21" i="283"/>
  <c r="E44" i="283"/>
  <c r="E22" i="283"/>
  <c r="E45" i="283"/>
  <c r="E26" i="283"/>
  <c r="E30" i="283"/>
  <c r="E43" i="283"/>
  <c r="E34" i="283"/>
  <c r="E36" i="283"/>
  <c r="E29" i="283"/>
  <c r="E46" i="283"/>
  <c r="A52" i="283" s="1"/>
  <c r="E28" i="283"/>
  <c r="E27" i="283"/>
  <c r="H48" i="85"/>
  <c r="C46" i="298"/>
  <c r="E45" i="123"/>
  <c r="E31" i="123"/>
  <c r="E24" i="123"/>
  <c r="E29" i="123"/>
  <c r="E30" i="123"/>
  <c r="E46" i="123"/>
  <c r="A52" i="123" s="1"/>
  <c r="E39" i="123"/>
  <c r="E40" i="123"/>
  <c r="E21" i="123"/>
  <c r="E22" i="123"/>
  <c r="E27" i="123"/>
  <c r="E43" i="123"/>
  <c r="E42" i="123"/>
  <c r="E23" i="123"/>
  <c r="E44" i="123"/>
  <c r="E26" i="123"/>
  <c r="E37" i="123"/>
  <c r="E28" i="123"/>
  <c r="E34" i="123"/>
  <c r="E35" i="123"/>
  <c r="E36" i="123"/>
  <c r="E38" i="123"/>
  <c r="J50" i="265"/>
  <c r="E50" i="265"/>
  <c r="E48" i="404"/>
  <c r="E37" i="398"/>
  <c r="E36" i="398"/>
  <c r="E30" i="398"/>
  <c r="E29" i="398"/>
  <c r="E28" i="398"/>
  <c r="E21" i="398"/>
  <c r="E43" i="398"/>
  <c r="E40" i="398"/>
  <c r="E22" i="398"/>
  <c r="E46" i="398"/>
  <c r="A52" i="398" s="1"/>
  <c r="E43" i="429"/>
  <c r="E28" i="429"/>
  <c r="E27" i="429"/>
  <c r="E26" i="429"/>
  <c r="E46" i="429"/>
  <c r="A52" i="429" s="1"/>
  <c r="E23" i="429"/>
  <c r="E45" i="429"/>
  <c r="E22" i="429"/>
  <c r="E44" i="429"/>
  <c r="E42" i="429"/>
  <c r="E39" i="429"/>
  <c r="E38" i="429"/>
  <c r="E37" i="429"/>
  <c r="E36" i="429"/>
  <c r="E35" i="429"/>
  <c r="E34" i="429"/>
  <c r="E31" i="429"/>
  <c r="E30" i="429"/>
  <c r="E29" i="429"/>
  <c r="E40" i="429"/>
  <c r="E21" i="429"/>
  <c r="E24" i="429"/>
  <c r="E32" i="429"/>
  <c r="E48" i="78"/>
  <c r="E26" i="374"/>
  <c r="E44" i="374"/>
  <c r="E27" i="374"/>
  <c r="E39" i="374"/>
  <c r="E45" i="374"/>
  <c r="E24" i="374"/>
  <c r="E28" i="374"/>
  <c r="E38" i="374"/>
  <c r="E29" i="374"/>
  <c r="E37" i="374"/>
  <c r="E30" i="374"/>
  <c r="E22" i="374"/>
  <c r="E31" i="374"/>
  <c r="E21" i="374"/>
  <c r="E42" i="374"/>
  <c r="E34" i="374"/>
  <c r="E32" i="374"/>
  <c r="E35" i="374"/>
  <c r="E36" i="374"/>
  <c r="E40" i="374"/>
  <c r="E23" i="374"/>
  <c r="E43" i="374"/>
  <c r="E50" i="404"/>
  <c r="J50" i="404"/>
  <c r="E50" i="251"/>
  <c r="J50" i="251"/>
  <c r="E37" i="336"/>
  <c r="E42" i="336"/>
  <c r="J50" i="297"/>
  <c r="E50" i="428"/>
  <c r="I36" i="207"/>
  <c r="E22" i="276"/>
  <c r="E32" i="276"/>
  <c r="E28" i="276"/>
  <c r="E26" i="276"/>
  <c r="E29" i="276"/>
  <c r="E35" i="276"/>
  <c r="E30" i="276"/>
  <c r="E23" i="276"/>
  <c r="E31" i="276"/>
  <c r="E46" i="276"/>
  <c r="E34" i="276"/>
  <c r="E36" i="276"/>
  <c r="E37" i="276"/>
  <c r="E38" i="276"/>
  <c r="E39" i="276"/>
  <c r="E21" i="276"/>
  <c r="E27" i="276"/>
  <c r="E45" i="276"/>
  <c r="E42" i="276"/>
  <c r="E43" i="276"/>
  <c r="E44" i="276"/>
  <c r="E24" i="276"/>
  <c r="E48" i="308"/>
  <c r="E35" i="299"/>
  <c r="E36" i="299"/>
  <c r="E21" i="299"/>
  <c r="E43" i="299"/>
  <c r="E38" i="299"/>
  <c r="E22" i="299"/>
  <c r="E45" i="299"/>
  <c r="E29" i="299"/>
  <c r="E34" i="299"/>
  <c r="E24" i="299"/>
  <c r="J50" i="381"/>
  <c r="E50" i="381"/>
  <c r="E28" i="9"/>
  <c r="E38" i="9"/>
  <c r="E22" i="9"/>
  <c r="E42" i="9"/>
  <c r="E40" i="9"/>
  <c r="E38" i="442"/>
  <c r="E40" i="442"/>
  <c r="E24" i="442"/>
  <c r="E35" i="442"/>
  <c r="E30" i="442"/>
  <c r="E28" i="442"/>
  <c r="E43" i="442"/>
  <c r="E42" i="442"/>
  <c r="E23" i="442"/>
  <c r="E22" i="442"/>
  <c r="E26" i="442"/>
  <c r="E46" i="442"/>
  <c r="A52" i="442" s="1"/>
  <c r="J50" i="206"/>
  <c r="E50" i="206"/>
  <c r="E50" i="299"/>
  <c r="J50" i="299"/>
  <c r="I30" i="207"/>
  <c r="G30" i="207"/>
  <c r="G37" i="207"/>
  <c r="I37" i="207"/>
  <c r="J50" i="9"/>
  <c r="E50" i="9"/>
  <c r="E45" i="206"/>
  <c r="E30" i="206"/>
  <c r="E34" i="206"/>
  <c r="E35" i="206"/>
  <c r="E38" i="206"/>
  <c r="E39" i="206"/>
  <c r="E27" i="206"/>
  <c r="E42" i="206"/>
  <c r="E22" i="206"/>
  <c r="E23" i="206"/>
  <c r="E43" i="206"/>
  <c r="F13" i="308"/>
  <c r="F29" i="308"/>
  <c r="F12" i="308"/>
  <c r="F26" i="308"/>
  <c r="F37" i="308"/>
  <c r="F17" i="308"/>
  <c r="F11" i="308"/>
  <c r="F30" i="308"/>
  <c r="I30" i="308" s="1"/>
  <c r="F22" i="308"/>
  <c r="I22" i="308" s="1"/>
  <c r="F31" i="308"/>
  <c r="F23" i="308"/>
  <c r="F44" i="308"/>
  <c r="G44" i="308" s="1"/>
  <c r="F34" i="308"/>
  <c r="G34" i="308" s="1"/>
  <c r="F14" i="308"/>
  <c r="F42" i="308"/>
  <c r="F16" i="308"/>
  <c r="F45" i="308"/>
  <c r="G45" i="308" s="1"/>
  <c r="F21" i="308"/>
  <c r="F15" i="308"/>
  <c r="F39" i="308"/>
  <c r="I39" i="308" s="1"/>
  <c r="F28" i="308"/>
  <c r="I28" i="308" s="1"/>
  <c r="F38" i="308"/>
  <c r="F27" i="308"/>
  <c r="F36" i="308"/>
  <c r="I36" i="308" s="1"/>
  <c r="F10" i="308"/>
  <c r="F35" i="308"/>
  <c r="F18" i="308"/>
  <c r="F43" i="308"/>
  <c r="I43" i="308" s="1"/>
  <c r="G22" i="207"/>
  <c r="I22" i="207"/>
  <c r="I13" i="207"/>
  <c r="G13" i="207"/>
  <c r="E36" i="368"/>
  <c r="E37" i="368"/>
  <c r="E26" i="368"/>
  <c r="E45" i="368"/>
  <c r="E32" i="368"/>
  <c r="E34" i="368"/>
  <c r="E39" i="322"/>
  <c r="I15" i="207"/>
  <c r="G15" i="207"/>
  <c r="E42" i="11"/>
  <c r="E21" i="11"/>
  <c r="E39" i="11"/>
  <c r="E22" i="11"/>
  <c r="E24" i="11"/>
  <c r="E44" i="11"/>
  <c r="J50" i="368"/>
  <c r="E50" i="368"/>
  <c r="G38" i="207"/>
  <c r="I38" i="207"/>
  <c r="F23" i="328"/>
  <c r="F21" i="328"/>
  <c r="F16" i="328"/>
  <c r="G16" i="328" s="1"/>
  <c r="F42" i="328"/>
  <c r="I42" i="328" s="1"/>
  <c r="F17" i="328"/>
  <c r="G17" i="328" s="1"/>
  <c r="F31" i="328"/>
  <c r="G31" i="328" s="1"/>
  <c r="F10" i="328"/>
  <c r="G10" i="328" s="1"/>
  <c r="F11" i="328"/>
  <c r="I11" i="328" s="1"/>
  <c r="F36" i="328"/>
  <c r="F13" i="328"/>
  <c r="G13" i="328" s="1"/>
  <c r="F30" i="328"/>
  <c r="I30" i="328" s="1"/>
  <c r="F44" i="328"/>
  <c r="F14" i="328"/>
  <c r="I14" i="328" s="1"/>
  <c r="F15" i="328"/>
  <c r="I15" i="328" s="1"/>
  <c r="F28" i="328"/>
  <c r="F35" i="328"/>
  <c r="F26" i="328"/>
  <c r="I26" i="328" s="1"/>
  <c r="F18" i="328"/>
  <c r="I18" i="328" s="1"/>
  <c r="F34" i="328"/>
  <c r="I29" i="207"/>
  <c r="G29" i="207"/>
  <c r="G12" i="207"/>
  <c r="I12" i="207"/>
  <c r="E46" i="368"/>
  <c r="A52" i="368" s="1"/>
  <c r="E42" i="280"/>
  <c r="E30" i="280"/>
  <c r="E37" i="280"/>
  <c r="E38" i="280"/>
  <c r="E34" i="280"/>
  <c r="E40" i="280"/>
  <c r="E39" i="280"/>
  <c r="E35" i="280"/>
  <c r="E21" i="280"/>
  <c r="E22" i="280"/>
  <c r="E44" i="280"/>
  <c r="E26" i="280"/>
  <c r="E45" i="280"/>
  <c r="E27" i="280"/>
  <c r="E24" i="280"/>
  <c r="E23" i="280"/>
  <c r="E29" i="280"/>
  <c r="E46" i="280"/>
  <c r="A52" i="280" s="1"/>
  <c r="E31" i="280"/>
  <c r="E28" i="280"/>
  <c r="E36" i="280"/>
  <c r="E43" i="280"/>
  <c r="E50" i="450"/>
  <c r="E32" i="11"/>
  <c r="E50" i="336"/>
  <c r="J50" i="336"/>
  <c r="G17" i="207"/>
  <c r="I17" i="207"/>
  <c r="E36" i="399"/>
  <c r="E37" i="399"/>
  <c r="E38" i="399"/>
  <c r="E39" i="399"/>
  <c r="E21" i="399"/>
  <c r="E22" i="399"/>
  <c r="E42" i="399"/>
  <c r="E23" i="399"/>
  <c r="E43" i="399"/>
  <c r="E24" i="399"/>
  <c r="E44" i="399"/>
  <c r="E45" i="399"/>
  <c r="E27" i="399"/>
  <c r="E28" i="399"/>
  <c r="E29" i="399"/>
  <c r="E46" i="399"/>
  <c r="A52" i="399" s="1"/>
  <c r="E30" i="399"/>
  <c r="E34" i="399"/>
  <c r="E31" i="399"/>
  <c r="E35" i="399"/>
  <c r="E26" i="399"/>
  <c r="E40" i="399"/>
  <c r="G42" i="207"/>
  <c r="I42" i="207"/>
  <c r="E43" i="433"/>
  <c r="E39" i="433"/>
  <c r="E34" i="433"/>
  <c r="E38" i="433"/>
  <c r="E42" i="433"/>
  <c r="E37" i="433"/>
  <c r="E36" i="433"/>
  <c r="E35" i="433"/>
  <c r="E31" i="433"/>
  <c r="E30" i="433"/>
  <c r="E29" i="433"/>
  <c r="E28" i="433"/>
  <c r="E27" i="433"/>
  <c r="E45" i="433"/>
  <c r="E44" i="433"/>
  <c r="E26" i="433"/>
  <c r="E23" i="433"/>
  <c r="E22" i="433"/>
  <c r="E21" i="433"/>
  <c r="E24" i="433"/>
  <c r="E48" i="149"/>
  <c r="E50" i="347"/>
  <c r="J50" i="347"/>
  <c r="E50" i="280"/>
  <c r="E50" i="447"/>
  <c r="I28" i="207"/>
  <c r="E32" i="433"/>
  <c r="E39" i="225"/>
  <c r="E24" i="225"/>
  <c r="E23" i="225"/>
  <c r="E44" i="225"/>
  <c r="E34" i="225"/>
  <c r="E45" i="225"/>
  <c r="E29" i="225"/>
  <c r="E42" i="225"/>
  <c r="E32" i="225"/>
  <c r="E35" i="225"/>
  <c r="E38" i="225"/>
  <c r="E22" i="347"/>
  <c r="E28" i="347"/>
  <c r="E29" i="347"/>
  <c r="E35" i="347"/>
  <c r="E39" i="347"/>
  <c r="E42" i="347"/>
  <c r="I14" i="207"/>
  <c r="G14" i="207"/>
  <c r="F17" i="4"/>
  <c r="F23" i="4"/>
  <c r="F22" i="4"/>
  <c r="G22" i="4" s="1"/>
  <c r="F30" i="4"/>
  <c r="F16" i="4"/>
  <c r="F44" i="4"/>
  <c r="F42" i="4"/>
  <c r="I42" i="4" s="1"/>
  <c r="I46" i="4" s="1"/>
  <c r="F46" i="4" s="1"/>
  <c r="F11" i="4"/>
  <c r="F26" i="4"/>
  <c r="F31" i="4"/>
  <c r="F15" i="4"/>
  <c r="G15" i="4" s="1"/>
  <c r="F29" i="4"/>
  <c r="I29" i="4" s="1"/>
  <c r="F14" i="4"/>
  <c r="F45" i="4"/>
  <c r="G45" i="4" s="1"/>
  <c r="F27" i="4"/>
  <c r="G27" i="4" s="1"/>
  <c r="F12" i="4"/>
  <c r="F38" i="4"/>
  <c r="F36" i="4"/>
  <c r="F10" i="4"/>
  <c r="I10" i="4" s="1"/>
  <c r="I19" i="4" s="1"/>
  <c r="F19" i="4" s="1"/>
  <c r="G19" i="4" s="1"/>
  <c r="F43" i="4"/>
  <c r="F28" i="4"/>
  <c r="F35" i="4"/>
  <c r="F21" i="4"/>
  <c r="G21" i="4" s="1"/>
  <c r="F39" i="4"/>
  <c r="F34" i="4"/>
  <c r="F13" i="4"/>
  <c r="I13" i="4" s="1"/>
  <c r="F18" i="4"/>
  <c r="I18" i="4" s="1"/>
  <c r="F37" i="4"/>
  <c r="G37" i="4" s="1"/>
  <c r="E31" i="348"/>
  <c r="E37" i="348"/>
  <c r="E22" i="348"/>
  <c r="E45" i="348"/>
  <c r="E23" i="348"/>
  <c r="E26" i="348"/>
  <c r="E27" i="348"/>
  <c r="E28" i="348"/>
  <c r="E29" i="348"/>
  <c r="E30" i="348"/>
  <c r="E35" i="348"/>
  <c r="E36" i="348"/>
  <c r="E38" i="348"/>
  <c r="E39" i="348"/>
  <c r="E21" i="348"/>
  <c r="E44" i="348"/>
  <c r="E43" i="348"/>
  <c r="E34" i="348"/>
  <c r="E32" i="348"/>
  <c r="E24" i="348"/>
  <c r="E42" i="348"/>
  <c r="E40" i="215"/>
  <c r="E21" i="215"/>
  <c r="E22" i="215"/>
  <c r="E31" i="215"/>
  <c r="E23" i="215"/>
  <c r="E34" i="215"/>
  <c r="E42" i="215"/>
  <c r="E24" i="215"/>
  <c r="E43" i="215"/>
  <c r="E44" i="215"/>
  <c r="E27" i="215"/>
  <c r="E45" i="215"/>
  <c r="E28" i="215"/>
  <c r="E38" i="215"/>
  <c r="E30" i="215"/>
  <c r="E35" i="215"/>
  <c r="E36" i="215"/>
  <c r="E37" i="215"/>
  <c r="E39" i="215"/>
  <c r="E26" i="215"/>
  <c r="E29" i="215"/>
  <c r="E46" i="215"/>
  <c r="A52" i="215" s="1"/>
  <c r="G18" i="207"/>
  <c r="I18" i="207"/>
  <c r="E29" i="335"/>
  <c r="E30" i="335"/>
  <c r="E38" i="335"/>
  <c r="E40" i="335"/>
  <c r="E22" i="335"/>
  <c r="E23" i="335"/>
  <c r="E32" i="335"/>
  <c r="E26" i="335"/>
  <c r="E35" i="335"/>
  <c r="E27" i="335"/>
  <c r="E28" i="335"/>
  <c r="E48" i="369"/>
  <c r="H48" i="341"/>
  <c r="J50" i="276"/>
  <c r="E50" i="276"/>
  <c r="E35" i="312"/>
  <c r="E37" i="312"/>
  <c r="E38" i="312"/>
  <c r="E32" i="312"/>
  <c r="E39" i="312"/>
  <c r="E42" i="312"/>
  <c r="E43" i="312"/>
  <c r="E21" i="312"/>
  <c r="E40" i="312"/>
  <c r="E22" i="312"/>
  <c r="E23" i="312"/>
  <c r="E44" i="312"/>
  <c r="E27" i="312"/>
  <c r="E45" i="312"/>
  <c r="E31" i="312"/>
  <c r="E26" i="312"/>
  <c r="E24" i="312"/>
  <c r="E28" i="312"/>
  <c r="E29" i="312"/>
  <c r="E30" i="312"/>
  <c r="E36" i="312"/>
  <c r="E34" i="312"/>
  <c r="J50" i="215"/>
  <c r="E50" i="215"/>
  <c r="I11" i="207"/>
  <c r="G11" i="207"/>
  <c r="E48" i="445"/>
  <c r="E46" i="433"/>
  <c r="A52" i="433" s="1"/>
  <c r="E48" i="374"/>
  <c r="I37" i="4"/>
  <c r="I36" i="328"/>
  <c r="G36" i="328"/>
  <c r="G21" i="308"/>
  <c r="I21" i="308"/>
  <c r="G29" i="308"/>
  <c r="I29" i="308"/>
  <c r="I26" i="4"/>
  <c r="I32" i="4" s="1"/>
  <c r="F32" i="4" s="1"/>
  <c r="G32" i="4" s="1"/>
  <c r="G26" i="4"/>
  <c r="I15" i="4"/>
  <c r="G11" i="328"/>
  <c r="I14" i="308"/>
  <c r="G14" i="308"/>
  <c r="I21" i="4"/>
  <c r="I48" i="4" s="1"/>
  <c r="I31" i="328"/>
  <c r="I28" i="4"/>
  <c r="G28" i="4"/>
  <c r="G16" i="4"/>
  <c r="I16" i="4"/>
  <c r="G18" i="328"/>
  <c r="I17" i="328"/>
  <c r="I18" i="308"/>
  <c r="G18" i="308"/>
  <c r="G23" i="308"/>
  <c r="I23" i="308"/>
  <c r="G34" i="4"/>
  <c r="I34" i="4"/>
  <c r="I40" i="4" s="1"/>
  <c r="F40" i="4" s="1"/>
  <c r="G43" i="4"/>
  <c r="I43" i="4"/>
  <c r="G30" i="4"/>
  <c r="I30" i="4"/>
  <c r="G26" i="328"/>
  <c r="G35" i="308"/>
  <c r="I35" i="308"/>
  <c r="G31" i="308"/>
  <c r="I31" i="308"/>
  <c r="G10" i="4"/>
  <c r="I22" i="4"/>
  <c r="G35" i="328"/>
  <c r="I35" i="328"/>
  <c r="I39" i="4"/>
  <c r="G39" i="4"/>
  <c r="G42" i="328"/>
  <c r="I11" i="4"/>
  <c r="G11" i="4"/>
  <c r="G38" i="4"/>
  <c r="I38" i="4"/>
  <c r="I17" i="4"/>
  <c r="G17" i="4"/>
  <c r="G15" i="328"/>
  <c r="I16" i="328"/>
  <c r="G27" i="308"/>
  <c r="I27" i="308"/>
  <c r="I11" i="308"/>
  <c r="G11" i="308"/>
  <c r="I10" i="328"/>
  <c r="I12" i="4"/>
  <c r="G12" i="4"/>
  <c r="G14" i="328"/>
  <c r="G38" i="308"/>
  <c r="I38" i="308"/>
  <c r="I17" i="308"/>
  <c r="G17" i="308"/>
  <c r="I27" i="4"/>
  <c r="I44" i="328"/>
  <c r="G44" i="328"/>
  <c r="I42" i="308"/>
  <c r="G42" i="308"/>
  <c r="G30" i="328"/>
  <c r="G14" i="4"/>
  <c r="I14" i="4"/>
  <c r="G23" i="328"/>
  <c r="I23" i="328"/>
  <c r="G15" i="308"/>
  <c r="I15" i="308"/>
  <c r="I12" i="308"/>
  <c r="G12" i="308"/>
  <c r="G29" i="4" l="1"/>
  <c r="E48" i="429"/>
  <c r="E48" i="26"/>
  <c r="E48" i="387"/>
  <c r="E32" i="442"/>
  <c r="E37" i="442"/>
  <c r="E34" i="442"/>
  <c r="E45" i="442"/>
  <c r="E29" i="442"/>
  <c r="E39" i="442"/>
  <c r="E36" i="442"/>
  <c r="E31" i="442"/>
  <c r="E44" i="442"/>
  <c r="E21" i="442"/>
  <c r="E27" i="442"/>
  <c r="E32" i="299"/>
  <c r="E30" i="299"/>
  <c r="E37" i="299"/>
  <c r="E39" i="299"/>
  <c r="E23" i="299"/>
  <c r="E28" i="299"/>
  <c r="E42" i="299"/>
  <c r="E31" i="299"/>
  <c r="E26" i="299"/>
  <c r="E44" i="299"/>
  <c r="E27" i="299"/>
  <c r="E46" i="299"/>
  <c r="A52" i="299" s="1"/>
  <c r="E40" i="299"/>
  <c r="E48" i="283"/>
  <c r="E23" i="11"/>
  <c r="E27" i="11"/>
  <c r="E29" i="11"/>
  <c r="E38" i="11"/>
  <c r="E26" i="11"/>
  <c r="E45" i="11"/>
  <c r="E48" i="254"/>
  <c r="J50" i="433"/>
  <c r="E50" i="433"/>
  <c r="I39" i="207"/>
  <c r="G39" i="207"/>
  <c r="I21" i="207"/>
  <c r="G21" i="207"/>
  <c r="G27" i="207"/>
  <c r="I27" i="207"/>
  <c r="E26" i="336"/>
  <c r="E31" i="336"/>
  <c r="E48" i="275"/>
  <c r="E48" i="365"/>
  <c r="F38" i="328"/>
  <c r="F39" i="328"/>
  <c r="F29" i="328"/>
  <c r="F27" i="328"/>
  <c r="F37" i="328"/>
  <c r="F22" i="328"/>
  <c r="F45" i="328"/>
  <c r="G45" i="328" s="1"/>
  <c r="F43" i="328"/>
  <c r="F12" i="328"/>
  <c r="E48" i="127"/>
  <c r="E48" i="231"/>
  <c r="E48" i="37"/>
  <c r="G43" i="207"/>
  <c r="I43" i="207"/>
  <c r="I35" i="207"/>
  <c r="G35" i="207"/>
  <c r="E24" i="368"/>
  <c r="E21" i="368"/>
  <c r="E29" i="368"/>
  <c r="E22" i="368"/>
  <c r="E30" i="368"/>
  <c r="E26" i="322"/>
  <c r="E30" i="322"/>
  <c r="E38" i="322"/>
  <c r="E48" i="102"/>
  <c r="E48" i="63"/>
  <c r="E23" i="435"/>
  <c r="E35" i="435"/>
  <c r="E42" i="435"/>
  <c r="E48" i="256"/>
  <c r="E48" i="67"/>
  <c r="E32" i="391"/>
  <c r="E39" i="311"/>
  <c r="H32" i="352"/>
  <c r="C32" i="352" s="1"/>
  <c r="E32" i="383"/>
  <c r="E29" i="311"/>
  <c r="E37" i="436"/>
  <c r="E46" i="436"/>
  <c r="A52" i="436" s="1"/>
  <c r="E43" i="436"/>
  <c r="E23" i="436"/>
  <c r="E29" i="436"/>
  <c r="E43" i="454"/>
  <c r="E38" i="454"/>
  <c r="E23" i="454"/>
  <c r="E35" i="454"/>
  <c r="E28" i="454"/>
  <c r="E48" i="252"/>
  <c r="E50" i="425"/>
  <c r="E29" i="435"/>
  <c r="E43" i="435"/>
  <c r="E45" i="435"/>
  <c r="E38" i="410"/>
  <c r="E34" i="410"/>
  <c r="E26" i="410"/>
  <c r="E22" i="410"/>
  <c r="E29" i="410"/>
  <c r="E42" i="411"/>
  <c r="E21" i="411"/>
  <c r="E45" i="411"/>
  <c r="D48" i="428"/>
  <c r="E48" i="440"/>
  <c r="H19" i="460"/>
  <c r="C19" i="460" s="1"/>
  <c r="H32" i="453"/>
  <c r="C32" i="453" s="1"/>
  <c r="E35" i="451"/>
  <c r="E30" i="451"/>
  <c r="E39" i="451"/>
  <c r="E44" i="451"/>
  <c r="E22" i="451"/>
  <c r="E29" i="451"/>
  <c r="H24" i="431"/>
  <c r="C24" i="431" s="1"/>
  <c r="H19" i="432"/>
  <c r="C19" i="432" s="1"/>
  <c r="H32" i="428"/>
  <c r="C32" i="428" s="1"/>
  <c r="D48" i="419"/>
  <c r="C19" i="417"/>
  <c r="H32" i="423"/>
  <c r="C32" i="423" s="1"/>
  <c r="E42" i="418"/>
  <c r="E39" i="418"/>
  <c r="E40" i="418"/>
  <c r="E43" i="418"/>
  <c r="E45" i="418"/>
  <c r="E29" i="418"/>
  <c r="E35" i="418"/>
  <c r="H24" i="408"/>
  <c r="C24" i="408" s="1"/>
  <c r="E27" i="400"/>
  <c r="E32" i="385"/>
  <c r="E48" i="385" s="1"/>
  <c r="H24" i="367"/>
  <c r="C24" i="367" s="1"/>
  <c r="H40" i="360"/>
  <c r="C40" i="360" s="1"/>
  <c r="E26" i="362"/>
  <c r="E23" i="355"/>
  <c r="E40" i="334"/>
  <c r="E37" i="334"/>
  <c r="E43" i="334"/>
  <c r="E34" i="334"/>
  <c r="E50" i="314"/>
  <c r="J50" i="314"/>
  <c r="E40" i="311"/>
  <c r="E37" i="311"/>
  <c r="E22" i="311"/>
  <c r="E43" i="311"/>
  <c r="E45" i="311"/>
  <c r="E30" i="311"/>
  <c r="E34" i="311"/>
  <c r="E38" i="311"/>
  <c r="E23" i="311"/>
  <c r="E26" i="311"/>
  <c r="E28" i="311"/>
  <c r="E31" i="311"/>
  <c r="E35" i="311"/>
  <c r="E21" i="311"/>
  <c r="E42" i="311"/>
  <c r="E44" i="311"/>
  <c r="E46" i="311"/>
  <c r="A52" i="311" s="1"/>
  <c r="E29" i="306"/>
  <c r="E43" i="306"/>
  <c r="E42" i="454"/>
  <c r="E37" i="454"/>
  <c r="E44" i="454"/>
  <c r="E31" i="454"/>
  <c r="E45" i="454"/>
  <c r="E22" i="435"/>
  <c r="E32" i="435"/>
  <c r="E31" i="435"/>
  <c r="E48" i="438"/>
  <c r="E40" i="410"/>
  <c r="E37" i="410"/>
  <c r="E32" i="410"/>
  <c r="E45" i="410"/>
  <c r="E43" i="410"/>
  <c r="E40" i="411"/>
  <c r="E35" i="411"/>
  <c r="E27" i="411"/>
  <c r="H19" i="459"/>
  <c r="C19" i="459" s="1"/>
  <c r="H24" i="444"/>
  <c r="H19" i="443"/>
  <c r="C19" i="443" s="1"/>
  <c r="H32" i="434"/>
  <c r="C32" i="434" s="1"/>
  <c r="E36" i="451"/>
  <c r="E46" i="451"/>
  <c r="A52" i="451" s="1"/>
  <c r="E34" i="451"/>
  <c r="E24" i="451"/>
  <c r="E38" i="418"/>
  <c r="E26" i="418"/>
  <c r="E21" i="418"/>
  <c r="E23" i="418"/>
  <c r="E30" i="418"/>
  <c r="E43" i="400"/>
  <c r="C32" i="398"/>
  <c r="E28" i="362"/>
  <c r="E28" i="355"/>
  <c r="D48" i="430"/>
  <c r="C32" i="381"/>
  <c r="H32" i="373"/>
  <c r="C32" i="373" s="1"/>
  <c r="E24" i="362"/>
  <c r="C24" i="269"/>
  <c r="E24" i="311"/>
  <c r="E32" i="311"/>
  <c r="E50" i="255"/>
  <c r="H46" i="316"/>
  <c r="C46" i="316" s="1"/>
  <c r="E17" i="9"/>
  <c r="E14" i="19"/>
  <c r="E12" i="18"/>
  <c r="E19" i="19"/>
  <c r="E15" i="13"/>
  <c r="H40" i="173"/>
  <c r="C40" i="173" s="1"/>
  <c r="D46" i="174"/>
  <c r="D42" i="180"/>
  <c r="D50" i="174"/>
  <c r="D46" i="175"/>
  <c r="H42" i="175"/>
  <c r="D42" i="179"/>
  <c r="H42" i="179" s="1"/>
  <c r="H19" i="178"/>
  <c r="C19" i="178" s="1"/>
  <c r="E12" i="181"/>
  <c r="E18" i="181"/>
  <c r="E15" i="181"/>
  <c r="E19" i="181"/>
  <c r="E16" i="181"/>
  <c r="C46" i="181"/>
  <c r="E10" i="182"/>
  <c r="E11" i="182"/>
  <c r="E12" i="182"/>
  <c r="E13" i="182"/>
  <c r="E17" i="182"/>
  <c r="E15" i="182"/>
  <c r="E14" i="183"/>
  <c r="E12" i="183"/>
  <c r="E14" i="184"/>
  <c r="E19" i="184"/>
  <c r="E17" i="184"/>
  <c r="E14" i="185"/>
  <c r="E18" i="185"/>
  <c r="E17" i="185"/>
  <c r="E11" i="186"/>
  <c r="E15" i="186"/>
  <c r="E18" i="186"/>
  <c r="H19" i="324"/>
  <c r="C19" i="324" s="1"/>
  <c r="H46" i="325"/>
  <c r="C46" i="325" s="1"/>
  <c r="H19" i="275"/>
  <c r="C19" i="275" s="1"/>
  <c r="H19" i="252"/>
  <c r="C19" i="252" s="1"/>
  <c r="H19" i="243"/>
  <c r="C19" i="243" s="1"/>
  <c r="H40" i="231"/>
  <c r="C40" i="231" s="1"/>
  <c r="H40" i="253"/>
  <c r="D48" i="223"/>
  <c r="E15" i="34"/>
  <c r="E13" i="34"/>
  <c r="E10" i="34"/>
  <c r="E19" i="34"/>
  <c r="E11" i="43"/>
  <c r="E12" i="43"/>
  <c r="E16" i="43"/>
  <c r="E14" i="43"/>
  <c r="E17" i="43"/>
  <c r="E18" i="43"/>
  <c r="E13" i="43"/>
  <c r="E17" i="44"/>
  <c r="E16" i="44"/>
  <c r="E16" i="46"/>
  <c r="E11" i="46"/>
  <c r="E15" i="46"/>
  <c r="E19" i="46"/>
  <c r="E13" i="46"/>
  <c r="E11" i="47"/>
  <c r="E18" i="47"/>
  <c r="E15" i="47"/>
  <c r="E13" i="47"/>
  <c r="D50" i="69"/>
  <c r="E50" i="153"/>
  <c r="J50" i="153"/>
  <c r="E10" i="9"/>
  <c r="E15" i="9"/>
  <c r="E16" i="9"/>
  <c r="E17" i="13"/>
  <c r="E16" i="13"/>
  <c r="E10" i="13"/>
  <c r="E13" i="18"/>
  <c r="E19" i="18"/>
  <c r="E10" i="18"/>
  <c r="E11" i="19"/>
  <c r="E12" i="19"/>
  <c r="E13" i="19"/>
  <c r="E11" i="20"/>
  <c r="E16" i="20"/>
  <c r="E15" i="76"/>
  <c r="E10" i="76"/>
  <c r="E12" i="76"/>
  <c r="E14" i="76"/>
  <c r="E19" i="76"/>
  <c r="E13" i="76"/>
  <c r="H19" i="242"/>
  <c r="C19" i="242" s="1"/>
  <c r="H46" i="244"/>
  <c r="C46" i="244" s="1"/>
  <c r="H40" i="237"/>
  <c r="C40" i="237" s="1"/>
  <c r="H46" i="229"/>
  <c r="C46" i="229" s="1"/>
  <c r="C46" i="221"/>
  <c r="H32" i="209"/>
  <c r="C32" i="209" s="1"/>
  <c r="H46" i="173"/>
  <c r="C46" i="173" s="1"/>
  <c r="H40" i="171"/>
  <c r="C40" i="171" s="1"/>
  <c r="C40" i="165"/>
  <c r="C24" i="177"/>
  <c r="H24" i="139"/>
  <c r="C24" i="139" s="1"/>
  <c r="H32" i="176"/>
  <c r="C32" i="176" s="1"/>
  <c r="C48" i="176" s="1"/>
  <c r="H34" i="59"/>
  <c r="H40" i="59" s="1"/>
  <c r="C40" i="59" s="1"/>
  <c r="E12" i="130"/>
  <c r="E17" i="69"/>
  <c r="E10" i="69"/>
  <c r="E18" i="69"/>
  <c r="E13" i="69"/>
  <c r="E17" i="74"/>
  <c r="E14" i="74"/>
  <c r="E17" i="75"/>
  <c r="E19" i="75"/>
  <c r="E12" i="75"/>
  <c r="D46" i="82"/>
  <c r="H42" i="82"/>
  <c r="E12" i="124"/>
  <c r="E18" i="124"/>
  <c r="E15" i="124"/>
  <c r="E19" i="125"/>
  <c r="E11" i="125"/>
  <c r="E17" i="125"/>
  <c r="E13" i="125"/>
  <c r="E10" i="126"/>
  <c r="E14" i="126"/>
  <c r="E19" i="127"/>
  <c r="E11" i="127"/>
  <c r="E10" i="127"/>
  <c r="E14" i="127"/>
  <c r="E15" i="127"/>
  <c r="E13" i="128"/>
  <c r="E15" i="128"/>
  <c r="E11" i="129"/>
  <c r="E12" i="129"/>
  <c r="E18" i="130"/>
  <c r="E10" i="130"/>
  <c r="E13" i="130"/>
  <c r="E14" i="130"/>
  <c r="E17" i="130"/>
  <c r="E19" i="131"/>
  <c r="E17" i="131"/>
  <c r="E11" i="133"/>
  <c r="E13" i="133"/>
  <c r="E15" i="133"/>
  <c r="D50" i="133"/>
  <c r="E17" i="134"/>
  <c r="E13" i="134"/>
  <c r="E16" i="136"/>
  <c r="E12" i="136"/>
  <c r="E19" i="136"/>
  <c r="D46" i="150"/>
  <c r="H42" i="150"/>
  <c r="D26" i="179"/>
  <c r="H26" i="179" s="1"/>
  <c r="D26" i="180"/>
  <c r="H26" i="180" s="1"/>
  <c r="H32" i="194"/>
  <c r="C32" i="194" s="1"/>
  <c r="E12" i="206"/>
  <c r="E13" i="206"/>
  <c r="D15" i="77"/>
  <c r="H15" i="77" s="1"/>
  <c r="D19" i="65"/>
  <c r="D34" i="77"/>
  <c r="E19" i="85"/>
  <c r="E18" i="85"/>
  <c r="E15" i="85"/>
  <c r="E12" i="85"/>
  <c r="E17" i="86"/>
  <c r="E11" i="86"/>
  <c r="E16" i="86"/>
  <c r="E11" i="87"/>
  <c r="E16" i="87"/>
  <c r="E17" i="91"/>
  <c r="E10" i="91"/>
  <c r="E16" i="91"/>
  <c r="E15" i="103"/>
  <c r="E11" i="103"/>
  <c r="E14" i="103"/>
  <c r="E16" i="103"/>
  <c r="E19" i="103"/>
  <c r="E17" i="103"/>
  <c r="E18" i="103"/>
  <c r="E14" i="104"/>
  <c r="E15" i="104"/>
  <c r="E18" i="104"/>
  <c r="E19" i="104"/>
  <c r="E13" i="104"/>
  <c r="E18" i="105"/>
  <c r="E17" i="105"/>
  <c r="E16" i="105"/>
  <c r="E12" i="105"/>
  <c r="E17" i="107"/>
  <c r="E18" i="107"/>
  <c r="E11" i="107"/>
  <c r="E14" i="107"/>
  <c r="E16" i="107"/>
  <c r="E15" i="107"/>
  <c r="D12" i="118"/>
  <c r="H12" i="118" s="1"/>
  <c r="H12" i="108"/>
  <c r="H19" i="108" s="1"/>
  <c r="D50" i="101"/>
  <c r="H26" i="103"/>
  <c r="H32" i="103" s="1"/>
  <c r="C32" i="103" s="1"/>
  <c r="D50" i="104"/>
  <c r="D48" i="108"/>
  <c r="G4" i="118"/>
  <c r="E4" i="118"/>
  <c r="D29" i="179"/>
  <c r="H29" i="179" s="1"/>
  <c r="D32" i="119"/>
  <c r="D50" i="119" s="1"/>
  <c r="E16" i="120"/>
  <c r="E11" i="120"/>
  <c r="E18" i="120"/>
  <c r="E12" i="120"/>
  <c r="E15" i="120"/>
  <c r="E18" i="121"/>
  <c r="E13" i="121"/>
  <c r="E18" i="123"/>
  <c r="E14" i="123"/>
  <c r="H26" i="127"/>
  <c r="H32" i="127" s="1"/>
  <c r="E11" i="217"/>
  <c r="E16" i="217"/>
  <c r="D40" i="217"/>
  <c r="H34" i="217"/>
  <c r="H40" i="217" s="1"/>
  <c r="E15" i="413"/>
  <c r="E16" i="413"/>
  <c r="E19" i="413"/>
  <c r="H32" i="189"/>
  <c r="H24" i="197"/>
  <c r="C24" i="197" s="1"/>
  <c r="H46" i="177"/>
  <c r="C46" i="177" s="1"/>
  <c r="H19" i="182"/>
  <c r="C19" i="182" s="1"/>
  <c r="H46" i="175"/>
  <c r="C46" i="175" s="1"/>
  <c r="H24" i="195"/>
  <c r="C24" i="195" s="1"/>
  <c r="H40" i="154"/>
  <c r="C40" i="154" s="1"/>
  <c r="H19" i="171"/>
  <c r="C19" i="171" s="1"/>
  <c r="H40" i="127"/>
  <c r="C40" i="127" s="1"/>
  <c r="H46" i="123"/>
  <c r="C46" i="123" s="1"/>
  <c r="H40" i="68"/>
  <c r="C40" i="68" s="1"/>
  <c r="H24" i="25"/>
  <c r="C24" i="25" s="1"/>
  <c r="H24" i="22"/>
  <c r="E17" i="216"/>
  <c r="G4" i="244"/>
  <c r="H42" i="222"/>
  <c r="H46" i="222" s="1"/>
  <c r="C46" i="222" s="1"/>
  <c r="E14" i="461"/>
  <c r="E19" i="461"/>
  <c r="E4" i="358"/>
  <c r="G4" i="358"/>
  <c r="E16" i="418"/>
  <c r="E10" i="418"/>
  <c r="E19" i="418"/>
  <c r="E10" i="449"/>
  <c r="E19" i="449"/>
  <c r="H46" i="46"/>
  <c r="C46" i="46" s="1"/>
  <c r="H42" i="131"/>
  <c r="C24" i="12"/>
  <c r="H46" i="14"/>
  <c r="D48" i="18"/>
  <c r="H38" i="180"/>
  <c r="H26" i="338"/>
  <c r="H34" i="447"/>
  <c r="H40" i="447" s="1"/>
  <c r="C40" i="447" s="1"/>
  <c r="H24" i="318"/>
  <c r="C24" i="318" s="1"/>
  <c r="H16" i="41"/>
  <c r="H12" i="41"/>
  <c r="H43" i="41"/>
  <c r="H37" i="41"/>
  <c r="H31" i="41"/>
  <c r="D24" i="77"/>
  <c r="H11" i="118"/>
  <c r="H24" i="132"/>
  <c r="C24" i="132" s="1"/>
  <c r="D48" i="133"/>
  <c r="D48" i="136"/>
  <c r="D48" i="139"/>
  <c r="H24" i="144"/>
  <c r="C24" i="144" s="1"/>
  <c r="H46" i="145"/>
  <c r="H24" i="146"/>
  <c r="C24" i="146" s="1"/>
  <c r="D48" i="146"/>
  <c r="D48" i="147"/>
  <c r="H46" i="147"/>
  <c r="H24" i="147"/>
  <c r="C24" i="147" s="1"/>
  <c r="D48" i="148"/>
  <c r="D50" i="149"/>
  <c r="H40" i="153"/>
  <c r="C40" i="153" s="1"/>
  <c r="H24" i="154"/>
  <c r="C24" i="154" s="1"/>
  <c r="C48" i="154" s="1"/>
  <c r="D48" i="154"/>
  <c r="D48" i="157"/>
  <c r="H42" i="159"/>
  <c r="H46" i="159" s="1"/>
  <c r="C46" i="159" s="1"/>
  <c r="D50" i="163"/>
  <c r="H24" i="165"/>
  <c r="C24" i="165" s="1"/>
  <c r="D48" i="166"/>
  <c r="H46" i="166"/>
  <c r="C46" i="166" s="1"/>
  <c r="D48" i="167"/>
  <c r="D50" i="168"/>
  <c r="H24" i="170"/>
  <c r="C24" i="170" s="1"/>
  <c r="D48" i="172"/>
  <c r="D48" i="174"/>
  <c r="E42" i="174" s="1"/>
  <c r="D48" i="176"/>
  <c r="D50" i="177"/>
  <c r="H37" i="180"/>
  <c r="D24" i="180"/>
  <c r="H36" i="180"/>
  <c r="D50" i="181"/>
  <c r="D50" i="183"/>
  <c r="H24" i="183"/>
  <c r="C24" i="183" s="1"/>
  <c r="D50" i="185"/>
  <c r="H40" i="188"/>
  <c r="H12" i="269"/>
  <c r="H22" i="406"/>
  <c r="H31" i="413"/>
  <c r="E16" i="437"/>
  <c r="H24" i="62"/>
  <c r="H24" i="63"/>
  <c r="C24" i="63" s="1"/>
  <c r="D48" i="64"/>
  <c r="D50" i="66"/>
  <c r="H24" i="66"/>
  <c r="D50" i="111"/>
  <c r="H32" i="111"/>
  <c r="C32" i="111" s="1"/>
  <c r="D50" i="112"/>
  <c r="H24" i="112"/>
  <c r="D48" i="113"/>
  <c r="H46" i="114"/>
  <c r="C46" i="114" s="1"/>
  <c r="D48" i="115"/>
  <c r="H24" i="115"/>
  <c r="C24" i="115" s="1"/>
  <c r="H36" i="118"/>
  <c r="D48" i="120"/>
  <c r="D48" i="121"/>
  <c r="D50" i="122"/>
  <c r="H40" i="122"/>
  <c r="C40" i="122" s="1"/>
  <c r="D48" i="125"/>
  <c r="H42" i="130"/>
  <c r="H36" i="179"/>
  <c r="H42" i="188"/>
  <c r="H46" i="188" s="1"/>
  <c r="H42" i="246"/>
  <c r="H15" i="256"/>
  <c r="D48" i="258"/>
  <c r="H42" i="259"/>
  <c r="H46" i="259" s="1"/>
  <c r="D48" i="307"/>
  <c r="H42" i="358"/>
  <c r="H46" i="358" s="1"/>
  <c r="C46" i="358" s="1"/>
  <c r="H42" i="361"/>
  <c r="H46" i="361" s="1"/>
  <c r="C46" i="361" s="1"/>
  <c r="E15" i="377"/>
  <c r="G2" i="406"/>
  <c r="H26" i="414"/>
  <c r="H32" i="414" s="1"/>
  <c r="C32" i="414" s="1"/>
  <c r="C48" i="414" s="1"/>
  <c r="E10" i="421"/>
  <c r="H31" i="466"/>
  <c r="G30" i="308"/>
  <c r="E48" i="104"/>
  <c r="I10" i="207"/>
  <c r="G10" i="207"/>
  <c r="E48" i="45"/>
  <c r="E48" i="278"/>
  <c r="E50" i="17"/>
  <c r="J50" i="17"/>
  <c r="E27" i="458"/>
  <c r="E30" i="458"/>
  <c r="E35" i="458"/>
  <c r="E21" i="458"/>
  <c r="E38" i="458"/>
  <c r="E45" i="458"/>
  <c r="E31" i="458"/>
  <c r="E36" i="458"/>
  <c r="E22" i="458"/>
  <c r="E39" i="458"/>
  <c r="E44" i="458"/>
  <c r="E34" i="458"/>
  <c r="E37" i="458"/>
  <c r="E28" i="458"/>
  <c r="E24" i="458"/>
  <c r="E40" i="458"/>
  <c r="E32" i="458"/>
  <c r="E46" i="458"/>
  <c r="A52" i="458" s="1"/>
  <c r="E43" i="458"/>
  <c r="E29" i="458"/>
  <c r="E42" i="458"/>
  <c r="E40" i="432"/>
  <c r="E46" i="432"/>
  <c r="A52" i="432" s="1"/>
  <c r="E35" i="432"/>
  <c r="E45" i="432"/>
  <c r="E43" i="432"/>
  <c r="E34" i="432"/>
  <c r="E44" i="432"/>
  <c r="E26" i="432"/>
  <c r="E39" i="432"/>
  <c r="E27" i="432"/>
  <c r="E29" i="432"/>
  <c r="H24" i="438"/>
  <c r="C24" i="438" s="1"/>
  <c r="E32" i="424"/>
  <c r="E45" i="424"/>
  <c r="E43" i="424"/>
  <c r="E38" i="424"/>
  <c r="E35" i="424"/>
  <c r="E21" i="424"/>
  <c r="E27" i="424"/>
  <c r="E24" i="424"/>
  <c r="E34" i="424"/>
  <c r="E46" i="424"/>
  <c r="A52" i="424" s="1"/>
  <c r="E31" i="424"/>
  <c r="E22" i="424"/>
  <c r="E26" i="424"/>
  <c r="E39" i="424"/>
  <c r="E29" i="424"/>
  <c r="E42" i="424"/>
  <c r="E28" i="424"/>
  <c r="E30" i="424"/>
  <c r="E40" i="424"/>
  <c r="E23" i="424"/>
  <c r="E32" i="419"/>
  <c r="E44" i="419"/>
  <c r="E42" i="419"/>
  <c r="E46" i="419"/>
  <c r="A52" i="419" s="1"/>
  <c r="E34" i="419"/>
  <c r="E28" i="419"/>
  <c r="E24" i="419"/>
  <c r="E31" i="419"/>
  <c r="E37" i="419"/>
  <c r="E30" i="419"/>
  <c r="E27" i="419"/>
  <c r="E21" i="419"/>
  <c r="E26" i="419"/>
  <c r="E38" i="419"/>
  <c r="E35" i="419"/>
  <c r="E22" i="419"/>
  <c r="H46" i="439"/>
  <c r="C46" i="439" s="1"/>
  <c r="C48" i="439" s="1"/>
  <c r="H46" i="412"/>
  <c r="C46" i="412" s="1"/>
  <c r="H48" i="412"/>
  <c r="E29" i="416"/>
  <c r="E26" i="416"/>
  <c r="E22" i="416"/>
  <c r="E39" i="416"/>
  <c r="E30" i="416"/>
  <c r="E31" i="416"/>
  <c r="E28" i="416"/>
  <c r="E45" i="416"/>
  <c r="E43" i="416"/>
  <c r="E38" i="416"/>
  <c r="E40" i="416"/>
  <c r="E44" i="416"/>
  <c r="E36" i="416"/>
  <c r="E27" i="416"/>
  <c r="E21" i="416"/>
  <c r="E35" i="416"/>
  <c r="E23" i="416"/>
  <c r="E37" i="416"/>
  <c r="E30" i="415"/>
  <c r="E36" i="415"/>
  <c r="E21" i="415"/>
  <c r="E43" i="415"/>
  <c r="E31" i="415"/>
  <c r="E34" i="415"/>
  <c r="E38" i="415"/>
  <c r="E44" i="415"/>
  <c r="E39" i="415"/>
  <c r="E42" i="415"/>
  <c r="E26" i="415"/>
  <c r="H27" i="406"/>
  <c r="D32" i="406"/>
  <c r="E50" i="398"/>
  <c r="J50" i="398"/>
  <c r="D50" i="389"/>
  <c r="D48" i="389"/>
  <c r="J50" i="378"/>
  <c r="E50" i="378"/>
  <c r="J50" i="377"/>
  <c r="E50" i="377"/>
  <c r="J50" i="375"/>
  <c r="E50" i="375"/>
  <c r="E50" i="369"/>
  <c r="J50" i="369"/>
  <c r="E24" i="357"/>
  <c r="E28" i="357"/>
  <c r="E21" i="357"/>
  <c r="E30" i="357"/>
  <c r="E35" i="357"/>
  <c r="G44" i="4"/>
  <c r="I44" i="4"/>
  <c r="I44" i="308"/>
  <c r="E50" i="225"/>
  <c r="I34" i="207"/>
  <c r="G34" i="207"/>
  <c r="G44" i="207"/>
  <c r="I44" i="207"/>
  <c r="I46" i="207" s="1"/>
  <c r="F46" i="207" s="1"/>
  <c r="G46" i="207" s="1"/>
  <c r="G31" i="207"/>
  <c r="I31" i="207"/>
  <c r="E35" i="336"/>
  <c r="E43" i="336"/>
  <c r="E44" i="336"/>
  <c r="E46" i="336"/>
  <c r="A52" i="336" s="1"/>
  <c r="E38" i="336"/>
  <c r="E32" i="336"/>
  <c r="E39" i="336"/>
  <c r="E23" i="336"/>
  <c r="E40" i="336"/>
  <c r="E27" i="336"/>
  <c r="E21" i="336"/>
  <c r="E29" i="336"/>
  <c r="E22" i="336"/>
  <c r="E24" i="336"/>
  <c r="E36" i="336"/>
  <c r="E28" i="336"/>
  <c r="E34" i="336"/>
  <c r="E48" i="446"/>
  <c r="G39" i="308"/>
  <c r="G36" i="308"/>
  <c r="G43" i="308"/>
  <c r="E48" i="280"/>
  <c r="I22" i="328"/>
  <c r="G22" i="328"/>
  <c r="I16" i="207"/>
  <c r="E45" i="336"/>
  <c r="C24" i="410"/>
  <c r="C48" i="410" s="1"/>
  <c r="H48" i="410"/>
  <c r="E32" i="9"/>
  <c r="E37" i="9"/>
  <c r="E45" i="9"/>
  <c r="E29" i="9"/>
  <c r="E27" i="9"/>
  <c r="E43" i="9"/>
  <c r="E31" i="9"/>
  <c r="E44" i="9"/>
  <c r="E26" i="9"/>
  <c r="E36" i="9"/>
  <c r="E46" i="9"/>
  <c r="A52" i="9" s="1"/>
  <c r="E21" i="9"/>
  <c r="E35" i="9"/>
  <c r="E30" i="9"/>
  <c r="E39" i="9"/>
  <c r="E24" i="9"/>
  <c r="E34" i="9"/>
  <c r="E23" i="9"/>
  <c r="E48" i="9" s="1"/>
  <c r="E36" i="424"/>
  <c r="E34" i="416"/>
  <c r="C46" i="288"/>
  <c r="H48" i="288"/>
  <c r="H50" i="288" s="1"/>
  <c r="E6" i="288" s="1"/>
  <c r="I23" i="4"/>
  <c r="G23" i="4"/>
  <c r="I16" i="308"/>
  <c r="G16" i="308"/>
  <c r="I26" i="308"/>
  <c r="G26" i="308"/>
  <c r="G13" i="4"/>
  <c r="E48" i="144"/>
  <c r="H32" i="356"/>
  <c r="C32" i="356" s="1"/>
  <c r="E37" i="341"/>
  <c r="E22" i="341"/>
  <c r="E24" i="349"/>
  <c r="E31" i="349"/>
  <c r="E37" i="349"/>
  <c r="E21" i="349"/>
  <c r="E28" i="349"/>
  <c r="E42" i="349"/>
  <c r="E40" i="349"/>
  <c r="E34" i="349"/>
  <c r="E38" i="349"/>
  <c r="E23" i="349"/>
  <c r="E29" i="349"/>
  <c r="E44" i="349"/>
  <c r="D50" i="217"/>
  <c r="D48" i="217"/>
  <c r="E36" i="106"/>
  <c r="E23" i="106"/>
  <c r="E29" i="106"/>
  <c r="E45" i="106"/>
  <c r="E38" i="106"/>
  <c r="E37" i="106"/>
  <c r="E39" i="106"/>
  <c r="E42" i="106"/>
  <c r="E26" i="106"/>
  <c r="E28" i="106"/>
  <c r="E21" i="106"/>
  <c r="E23" i="21"/>
  <c r="E44" i="21"/>
  <c r="E45" i="21"/>
  <c r="E21" i="21"/>
  <c r="E26" i="21"/>
  <c r="E32" i="21"/>
  <c r="E38" i="21"/>
  <c r="E28" i="21"/>
  <c r="E34" i="21"/>
  <c r="E40" i="21"/>
  <c r="E30" i="21"/>
  <c r="E24" i="21"/>
  <c r="E31" i="21"/>
  <c r="E21" i="32"/>
  <c r="E24" i="32"/>
  <c r="E31" i="32"/>
  <c r="E39" i="32"/>
  <c r="E44" i="32"/>
  <c r="E29" i="32"/>
  <c r="E26" i="3"/>
  <c r="E45" i="3"/>
  <c r="E40" i="3"/>
  <c r="E48" i="135"/>
  <c r="E48" i="286"/>
  <c r="I13" i="328"/>
  <c r="G28" i="308"/>
  <c r="G22" i="308"/>
  <c r="G42" i="4"/>
  <c r="G18" i="4"/>
  <c r="E45" i="335"/>
  <c r="E44" i="335"/>
  <c r="E42" i="335"/>
  <c r="E39" i="335"/>
  <c r="E37" i="335"/>
  <c r="E43" i="335"/>
  <c r="E37" i="225"/>
  <c r="E31" i="225"/>
  <c r="E28" i="225"/>
  <c r="E27" i="225"/>
  <c r="E26" i="225"/>
  <c r="E22" i="225"/>
  <c r="E34" i="11"/>
  <c r="E35" i="11"/>
  <c r="E28" i="11"/>
  <c r="E37" i="11"/>
  <c r="E40" i="11"/>
  <c r="E28" i="322"/>
  <c r="I23" i="207"/>
  <c r="E40" i="368"/>
  <c r="E35" i="368"/>
  <c r="E28" i="368"/>
  <c r="E44" i="368"/>
  <c r="E39" i="368"/>
  <c r="E43" i="368"/>
  <c r="E26" i="206"/>
  <c r="E29" i="206"/>
  <c r="E21" i="206"/>
  <c r="E37" i="206"/>
  <c r="E32" i="206"/>
  <c r="E28" i="206"/>
  <c r="G26" i="207"/>
  <c r="E24" i="398"/>
  <c r="E45" i="398"/>
  <c r="E26" i="398"/>
  <c r="E44" i="398"/>
  <c r="E31" i="398"/>
  <c r="E42" i="398"/>
  <c r="C48" i="356"/>
  <c r="E27" i="349"/>
  <c r="E36" i="349"/>
  <c r="J50" i="262"/>
  <c r="E36" i="81"/>
  <c r="E39" i="81"/>
  <c r="E34" i="81"/>
  <c r="E38" i="81"/>
  <c r="E24" i="81"/>
  <c r="E31" i="81"/>
  <c r="E22" i="81"/>
  <c r="E45" i="81"/>
  <c r="E43" i="81"/>
  <c r="E34" i="12"/>
  <c r="E31" i="12"/>
  <c r="E23" i="12"/>
  <c r="E38" i="12"/>
  <c r="E35" i="12"/>
  <c r="E21" i="12"/>
  <c r="E36" i="12"/>
  <c r="E46" i="12"/>
  <c r="A52" i="12" s="1"/>
  <c r="E22" i="12"/>
  <c r="E26" i="12"/>
  <c r="E42" i="12"/>
  <c r="E45" i="12"/>
  <c r="E44" i="12"/>
  <c r="E39" i="12"/>
  <c r="E29" i="12"/>
  <c r="E30" i="12"/>
  <c r="E32" i="12"/>
  <c r="J50" i="102"/>
  <c r="E50" i="102"/>
  <c r="E46" i="46"/>
  <c r="A52" i="46" s="1"/>
  <c r="E30" i="46"/>
  <c r="E26" i="46"/>
  <c r="E42" i="46"/>
  <c r="E36" i="46"/>
  <c r="E45" i="46"/>
  <c r="E34" i="46"/>
  <c r="E35" i="46"/>
  <c r="E38" i="46"/>
  <c r="E39" i="46"/>
  <c r="E24" i="46"/>
  <c r="E21" i="46"/>
  <c r="E28" i="46"/>
  <c r="E43" i="46"/>
  <c r="E22" i="46"/>
  <c r="E31" i="46"/>
  <c r="E27" i="46"/>
  <c r="G40" i="4"/>
  <c r="I34" i="308"/>
  <c r="E34" i="335"/>
  <c r="E36" i="335"/>
  <c r="E24" i="335"/>
  <c r="E21" i="335"/>
  <c r="E31" i="335"/>
  <c r="E36" i="225"/>
  <c r="E40" i="225"/>
  <c r="E30" i="225"/>
  <c r="E21" i="225"/>
  <c r="E43" i="225"/>
  <c r="I40" i="207"/>
  <c r="F40" i="207" s="1"/>
  <c r="G40" i="207" s="1"/>
  <c r="E30" i="11"/>
  <c r="E31" i="11"/>
  <c r="E46" i="11"/>
  <c r="A52" i="11" s="1"/>
  <c r="E43" i="11"/>
  <c r="E36" i="11"/>
  <c r="E37" i="322"/>
  <c r="E42" i="368"/>
  <c r="E31" i="368"/>
  <c r="E27" i="368"/>
  <c r="E23" i="368"/>
  <c r="E38" i="368"/>
  <c r="E40" i="206"/>
  <c r="E44" i="206"/>
  <c r="E24" i="206"/>
  <c r="E36" i="206"/>
  <c r="E31" i="206"/>
  <c r="E39" i="398"/>
  <c r="E34" i="398"/>
  <c r="E38" i="398"/>
  <c r="E27" i="398"/>
  <c r="E35" i="398"/>
  <c r="E23" i="398"/>
  <c r="E24" i="430"/>
  <c r="E36" i="430"/>
  <c r="E26" i="430"/>
  <c r="E34" i="430"/>
  <c r="E31" i="430"/>
  <c r="E27" i="346"/>
  <c r="E39" i="346"/>
  <c r="E36" i="346"/>
  <c r="E44" i="240"/>
  <c r="E38" i="240"/>
  <c r="E46" i="240"/>
  <c r="A52" i="240" s="1"/>
  <c r="E27" i="240"/>
  <c r="E34" i="240"/>
  <c r="E38" i="282"/>
  <c r="E27" i="282"/>
  <c r="E26" i="282"/>
  <c r="E35" i="282"/>
  <c r="E36" i="142"/>
  <c r="E26" i="142"/>
  <c r="E46" i="142"/>
  <c r="A52" i="142" s="1"/>
  <c r="E44" i="142"/>
  <c r="E35" i="303"/>
  <c r="E45" i="303"/>
  <c r="E24" i="303"/>
  <c r="E32" i="303"/>
  <c r="E50" i="287"/>
  <c r="J50" i="287"/>
  <c r="D50" i="182"/>
  <c r="D48" i="182"/>
  <c r="E50" i="26"/>
  <c r="J50" i="26"/>
  <c r="H22" i="23"/>
  <c r="D24" i="23"/>
  <c r="J50" i="288"/>
  <c r="E50" i="288"/>
  <c r="E42" i="407"/>
  <c r="E21" i="407"/>
  <c r="E36" i="407"/>
  <c r="E48" i="100"/>
  <c r="E50" i="97"/>
  <c r="J50" i="97"/>
  <c r="E40" i="116"/>
  <c r="E28" i="116"/>
  <c r="E44" i="116"/>
  <c r="E27" i="116"/>
  <c r="E29" i="116"/>
  <c r="E35" i="116"/>
  <c r="E21" i="116"/>
  <c r="E36" i="116"/>
  <c r="E42" i="116"/>
  <c r="E24" i="116"/>
  <c r="E30" i="116"/>
  <c r="E37" i="116"/>
  <c r="E29" i="407"/>
  <c r="H19" i="412"/>
  <c r="C19" i="412" s="1"/>
  <c r="H40" i="408"/>
  <c r="C40" i="408" s="1"/>
  <c r="H19" i="400"/>
  <c r="C19" i="400" s="1"/>
  <c r="C32" i="389"/>
  <c r="J50" i="383"/>
  <c r="E46" i="298"/>
  <c r="A52" i="298" s="1"/>
  <c r="C48" i="288"/>
  <c r="E48" i="85"/>
  <c r="H19" i="369"/>
  <c r="C19" i="369" s="1"/>
  <c r="D50" i="348"/>
  <c r="E39" i="298"/>
  <c r="E48" i="311"/>
  <c r="H19" i="195"/>
  <c r="C19" i="195" s="1"/>
  <c r="H40" i="193"/>
  <c r="C40" i="193" s="1"/>
  <c r="H46" i="214"/>
  <c r="C46" i="214" s="1"/>
  <c r="D48" i="189"/>
  <c r="H46" i="54"/>
  <c r="D48" i="198"/>
  <c r="H46" i="202"/>
  <c r="C46" i="202" s="1"/>
  <c r="H24" i="212"/>
  <c r="C24" i="212" s="1"/>
  <c r="D50" i="216"/>
  <c r="D43" i="351"/>
  <c r="H34" i="448"/>
  <c r="E13" i="460"/>
  <c r="H26" i="462"/>
  <c r="H48" i="282"/>
  <c r="H50" i="282" s="1"/>
  <c r="E6" i="282" s="1"/>
  <c r="H32" i="270"/>
  <c r="C32" i="270" s="1"/>
  <c r="H32" i="278"/>
  <c r="C32" i="278" s="1"/>
  <c r="C32" i="276"/>
  <c r="H46" i="193"/>
  <c r="C46" i="193" s="1"/>
  <c r="H24" i="130"/>
  <c r="C24" i="130" s="1"/>
  <c r="H19" i="57"/>
  <c r="C19" i="57" s="1"/>
  <c r="H40" i="11"/>
  <c r="C40" i="11" s="1"/>
  <c r="H32" i="18"/>
  <c r="C32" i="18" s="1"/>
  <c r="H40" i="19"/>
  <c r="C40" i="19" s="1"/>
  <c r="H19" i="22"/>
  <c r="C19" i="22" s="1"/>
  <c r="H40" i="26"/>
  <c r="C40" i="26" s="1"/>
  <c r="H32" i="27"/>
  <c r="C32" i="27" s="1"/>
  <c r="H24" i="30"/>
  <c r="C24" i="30" s="1"/>
  <c r="H24" i="31"/>
  <c r="C24" i="31" s="1"/>
  <c r="H27" i="17"/>
  <c r="H32" i="17" s="1"/>
  <c r="C32" i="17" s="1"/>
  <c r="H26" i="6"/>
  <c r="H40" i="35"/>
  <c r="C40" i="35" s="1"/>
  <c r="H40" i="40"/>
  <c r="C40" i="40" s="1"/>
  <c r="H32" i="40"/>
  <c r="C32" i="40" s="1"/>
  <c r="H24" i="40"/>
  <c r="C32" i="45"/>
  <c r="H40" i="47"/>
  <c r="C40" i="47" s="1"/>
  <c r="C24" i="47"/>
  <c r="D46" i="41"/>
  <c r="H36" i="41"/>
  <c r="H24" i="49"/>
  <c r="C24" i="49" s="1"/>
  <c r="H40" i="51"/>
  <c r="C40" i="51" s="1"/>
  <c r="C46" i="55"/>
  <c r="H32" i="58"/>
  <c r="C32" i="58" s="1"/>
  <c r="H32" i="59"/>
  <c r="C32" i="59" s="1"/>
  <c r="H24" i="61"/>
  <c r="C24" i="61" s="1"/>
  <c r="H24" i="80"/>
  <c r="C24" i="80" s="1"/>
  <c r="H24" i="81"/>
  <c r="C24" i="81" s="1"/>
  <c r="H32" i="82"/>
  <c r="C32" i="82" s="1"/>
  <c r="H32" i="90"/>
  <c r="C32" i="90" s="1"/>
  <c r="H32" i="93"/>
  <c r="C32" i="93" s="1"/>
  <c r="H24" i="93"/>
  <c r="C24" i="93" s="1"/>
  <c r="H40" i="96"/>
  <c r="C40" i="96" s="1"/>
  <c r="H27" i="88"/>
  <c r="H32" i="106"/>
  <c r="C32" i="106" s="1"/>
  <c r="H40" i="116"/>
  <c r="C40" i="116" s="1"/>
  <c r="H17" i="118"/>
  <c r="H13" i="118"/>
  <c r="H21" i="118"/>
  <c r="H40" i="119"/>
  <c r="C40" i="119" s="1"/>
  <c r="D50" i="135"/>
  <c r="H32" i="136"/>
  <c r="C32" i="136" s="1"/>
  <c r="H40" i="147"/>
  <c r="C40" i="147" s="1"/>
  <c r="H32" i="149"/>
  <c r="C32" i="149" s="1"/>
  <c r="H46" i="150"/>
  <c r="C46" i="150" s="1"/>
  <c r="H38" i="179"/>
  <c r="D48" i="191"/>
  <c r="D48" i="192"/>
  <c r="D48" i="194"/>
  <c r="H32" i="284"/>
  <c r="H32" i="160"/>
  <c r="C32" i="160" s="1"/>
  <c r="H32" i="159"/>
  <c r="C32" i="159" s="1"/>
  <c r="H40" i="151"/>
  <c r="C40" i="151" s="1"/>
  <c r="H32" i="146"/>
  <c r="C32" i="146" s="1"/>
  <c r="H19" i="151"/>
  <c r="C19" i="151" s="1"/>
  <c r="H24" i="109"/>
  <c r="C24" i="109" s="1"/>
  <c r="H40" i="87"/>
  <c r="C40" i="87" s="1"/>
  <c r="H19" i="95"/>
  <c r="C19" i="95" s="1"/>
  <c r="H40" i="97"/>
  <c r="C40" i="97" s="1"/>
  <c r="H24" i="20"/>
  <c r="H39" i="41"/>
  <c r="H24" i="310"/>
  <c r="C24" i="310" s="1"/>
  <c r="D48" i="314"/>
  <c r="H24" i="317"/>
  <c r="C24" i="317" s="1"/>
  <c r="H24" i="251"/>
  <c r="C24" i="251" s="1"/>
  <c r="H40" i="239"/>
  <c r="C40" i="239" s="1"/>
  <c r="H32" i="245"/>
  <c r="C32" i="245" s="1"/>
  <c r="H46" i="209"/>
  <c r="H40" i="170"/>
  <c r="H19" i="153"/>
  <c r="C19" i="153" s="1"/>
  <c r="H40" i="115"/>
  <c r="C40" i="115" s="1"/>
  <c r="H19" i="71"/>
  <c r="C19" i="71" s="1"/>
  <c r="H19" i="65"/>
  <c r="C19" i="65" s="1"/>
  <c r="H19" i="64"/>
  <c r="C19" i="64" s="1"/>
  <c r="C24" i="66"/>
  <c r="D48" i="72"/>
  <c r="D48" i="74"/>
  <c r="D50" i="228"/>
  <c r="D50" i="235"/>
  <c r="H26" i="243"/>
  <c r="H24" i="244"/>
  <c r="C24" i="244" s="1"/>
  <c r="H46" i="246"/>
  <c r="C46" i="246" s="1"/>
  <c r="D50" i="252"/>
  <c r="H19" i="256"/>
  <c r="H24" i="261"/>
  <c r="C24" i="261" s="1"/>
  <c r="H24" i="262"/>
  <c r="C24" i="262" s="1"/>
  <c r="D48" i="263"/>
  <c r="H32" i="268"/>
  <c r="C32" i="268" s="1"/>
  <c r="D48" i="274"/>
  <c r="H24" i="279"/>
  <c r="C24" i="279" s="1"/>
  <c r="D50" i="286"/>
  <c r="H46" i="306"/>
  <c r="C46" i="306" s="1"/>
  <c r="D50" i="309"/>
  <c r="H46" i="332"/>
  <c r="C46" i="332" s="1"/>
  <c r="D48" i="339"/>
  <c r="H26" i="383"/>
  <c r="E10" i="434"/>
  <c r="H26" i="440"/>
  <c r="H32" i="440" s="1"/>
  <c r="C32" i="440" s="1"/>
  <c r="H26" i="464"/>
  <c r="I24" i="4"/>
  <c r="F24" i="4" s="1"/>
  <c r="G24" i="4" s="1"/>
  <c r="I24" i="308"/>
  <c r="F24" i="308" s="1"/>
  <c r="G24" i="308" s="1"/>
  <c r="I32" i="207"/>
  <c r="F32" i="207" s="1"/>
  <c r="G32" i="207" s="1"/>
  <c r="E28" i="3"/>
  <c r="E29" i="3"/>
  <c r="E38" i="3"/>
  <c r="E42" i="3"/>
  <c r="E31" i="3"/>
  <c r="E30" i="3"/>
  <c r="E34" i="3"/>
  <c r="E21" i="3"/>
  <c r="E48" i="3" s="1"/>
  <c r="E23" i="3"/>
  <c r="E27" i="3"/>
  <c r="E32" i="3"/>
  <c r="E22" i="3"/>
  <c r="E44" i="3"/>
  <c r="E43" i="3"/>
  <c r="E37" i="3"/>
  <c r="E35" i="3"/>
  <c r="E46" i="3"/>
  <c r="A52" i="3" s="1"/>
  <c r="C32" i="449"/>
  <c r="C48" i="449" s="1"/>
  <c r="H48" i="449"/>
  <c r="H50" i="449" s="1"/>
  <c r="E6" i="449" s="1"/>
  <c r="D50" i="448"/>
  <c r="E50" i="448" s="1"/>
  <c r="D48" i="448"/>
  <c r="E40" i="448" s="1"/>
  <c r="H46" i="447"/>
  <c r="H48" i="447" s="1"/>
  <c r="H50" i="447" s="1"/>
  <c r="E6" i="447" s="1"/>
  <c r="D50" i="434"/>
  <c r="D48" i="434"/>
  <c r="E40" i="434" s="1"/>
  <c r="E31" i="366"/>
  <c r="E42" i="366"/>
  <c r="E28" i="366"/>
  <c r="E23" i="366"/>
  <c r="E22" i="366"/>
  <c r="E36" i="366"/>
  <c r="E31" i="421"/>
  <c r="E44" i="421"/>
  <c r="D48" i="422"/>
  <c r="D50" i="422"/>
  <c r="E32" i="430"/>
  <c r="E21" i="430"/>
  <c r="E39" i="430"/>
  <c r="E37" i="430"/>
  <c r="E40" i="430"/>
  <c r="E28" i="430"/>
  <c r="E22" i="430"/>
  <c r="E45" i="430"/>
  <c r="E43" i="430"/>
  <c r="E42" i="430"/>
  <c r="E35" i="430"/>
  <c r="E29" i="430"/>
  <c r="E23" i="430"/>
  <c r="J50" i="366"/>
  <c r="E50" i="366"/>
  <c r="E50" i="345"/>
  <c r="J50" i="345"/>
  <c r="E30" i="346"/>
  <c r="E31" i="346"/>
  <c r="E29" i="346"/>
  <c r="E37" i="346"/>
  <c r="E24" i="346"/>
  <c r="E40" i="346"/>
  <c r="E22" i="346"/>
  <c r="E38" i="346"/>
  <c r="E43" i="346"/>
  <c r="E23" i="346"/>
  <c r="E21" i="346"/>
  <c r="E44" i="346"/>
  <c r="E35" i="346"/>
  <c r="E34" i="346"/>
  <c r="E26" i="346"/>
  <c r="E45" i="343"/>
  <c r="E31" i="343"/>
  <c r="E36" i="343"/>
  <c r="E39" i="343"/>
  <c r="E42" i="343"/>
  <c r="E29" i="343"/>
  <c r="E35" i="343"/>
  <c r="E22" i="343"/>
  <c r="E44" i="343"/>
  <c r="E27" i="343"/>
  <c r="E32" i="343"/>
  <c r="E38" i="343"/>
  <c r="E23" i="343"/>
  <c r="E28" i="343"/>
  <c r="E34" i="343"/>
  <c r="E21" i="343"/>
  <c r="E26" i="343"/>
  <c r="E46" i="343"/>
  <c r="A52" i="343" s="1"/>
  <c r="E37" i="343"/>
  <c r="E24" i="343"/>
  <c r="E30" i="343"/>
  <c r="E43" i="343"/>
  <c r="D48" i="388"/>
  <c r="E40" i="388" s="1"/>
  <c r="D50" i="388"/>
  <c r="H46" i="267"/>
  <c r="C46" i="267" s="1"/>
  <c r="C48" i="267" s="1"/>
  <c r="H48" i="267"/>
  <c r="H50" i="267" s="1"/>
  <c r="E39" i="240"/>
  <c r="E37" i="240"/>
  <c r="E35" i="240"/>
  <c r="E23" i="240"/>
  <c r="E29" i="240"/>
  <c r="E31" i="240"/>
  <c r="E24" i="240"/>
  <c r="E42" i="240"/>
  <c r="E26" i="240"/>
  <c r="E36" i="240"/>
  <c r="E40" i="240"/>
  <c r="E21" i="240"/>
  <c r="E45" i="240"/>
  <c r="E43" i="240"/>
  <c r="H40" i="214"/>
  <c r="C40" i="214" s="1"/>
  <c r="H48" i="214"/>
  <c r="H40" i="209"/>
  <c r="C40" i="209" s="1"/>
  <c r="E23" i="282"/>
  <c r="E32" i="282"/>
  <c r="E37" i="282"/>
  <c r="E24" i="282"/>
  <c r="E30" i="282"/>
  <c r="E34" i="282"/>
  <c r="E31" i="282"/>
  <c r="E44" i="282"/>
  <c r="E42" i="282"/>
  <c r="E45" i="282"/>
  <c r="E28" i="282"/>
  <c r="E46" i="282"/>
  <c r="A52" i="282" s="1"/>
  <c r="E22" i="282"/>
  <c r="E36" i="282"/>
  <c r="E43" i="282"/>
  <c r="E29" i="282"/>
  <c r="E40" i="282"/>
  <c r="E35" i="142"/>
  <c r="E39" i="142"/>
  <c r="E31" i="142"/>
  <c r="E34" i="142"/>
  <c r="E43" i="142"/>
  <c r="E28" i="142"/>
  <c r="E37" i="142"/>
  <c r="E29" i="142"/>
  <c r="E40" i="142"/>
  <c r="E42" i="142"/>
  <c r="E27" i="142"/>
  <c r="E21" i="142"/>
  <c r="E38" i="142"/>
  <c r="E30" i="142"/>
  <c r="E22" i="142"/>
  <c r="E24" i="142"/>
  <c r="E45" i="142"/>
  <c r="E27" i="303"/>
  <c r="E29" i="303"/>
  <c r="E21" i="303"/>
  <c r="E22" i="303"/>
  <c r="E42" i="303"/>
  <c r="E37" i="303"/>
  <c r="E40" i="303"/>
  <c r="E28" i="303"/>
  <c r="E38" i="303"/>
  <c r="E39" i="303"/>
  <c r="E23" i="303"/>
  <c r="E43" i="303"/>
  <c r="E44" i="303"/>
  <c r="E46" i="303"/>
  <c r="A52" i="303" s="1"/>
  <c r="E31" i="303"/>
  <c r="E34" i="303"/>
  <c r="E36" i="303"/>
  <c r="E26" i="303"/>
  <c r="E35" i="58"/>
  <c r="E39" i="58"/>
  <c r="E44" i="58"/>
  <c r="E26" i="58"/>
  <c r="E37" i="58"/>
  <c r="E42" i="58"/>
  <c r="E27" i="58"/>
  <c r="E40" i="58"/>
  <c r="E43" i="58"/>
  <c r="E46" i="58"/>
  <c r="A52" i="58" s="1"/>
  <c r="E23" i="58"/>
  <c r="E31" i="58"/>
  <c r="J50" i="40"/>
  <c r="E50" i="40"/>
  <c r="J50" i="56"/>
  <c r="E50" i="56"/>
  <c r="E26" i="122"/>
  <c r="E40" i="122"/>
  <c r="E31" i="122"/>
  <c r="E23" i="122"/>
  <c r="E34" i="122"/>
  <c r="E39" i="122"/>
  <c r="E24" i="122"/>
  <c r="E45" i="122"/>
  <c r="E30" i="122"/>
  <c r="E32" i="122"/>
  <c r="E44" i="122"/>
  <c r="E36" i="122"/>
  <c r="E43" i="122"/>
  <c r="E28" i="122"/>
  <c r="E38" i="122"/>
  <c r="E22" i="122"/>
  <c r="E29" i="122"/>
  <c r="E37" i="122"/>
  <c r="E42" i="122"/>
  <c r="E46" i="122"/>
  <c r="A52" i="122" s="1"/>
  <c r="E21" i="122"/>
  <c r="E50" i="44"/>
  <c r="J50" i="44"/>
  <c r="E48" i="270"/>
  <c r="I46" i="308"/>
  <c r="F46" i="308" s="1"/>
  <c r="G46" i="308" s="1"/>
  <c r="E37" i="217"/>
  <c r="E35" i="217"/>
  <c r="E31" i="217"/>
  <c r="E29" i="217"/>
  <c r="E27" i="217"/>
  <c r="E32" i="397"/>
  <c r="E26" i="397"/>
  <c r="E29" i="397"/>
  <c r="E23" i="397"/>
  <c r="E21" i="397"/>
  <c r="E38" i="397"/>
  <c r="E31" i="397"/>
  <c r="E46" i="397"/>
  <c r="A52" i="397" s="1"/>
  <c r="E27" i="397"/>
  <c r="E22" i="397"/>
  <c r="E40" i="397"/>
  <c r="E37" i="397"/>
  <c r="E34" i="397"/>
  <c r="E45" i="397"/>
  <c r="E43" i="397"/>
  <c r="E39" i="397"/>
  <c r="E36" i="397"/>
  <c r="E30" i="397"/>
  <c r="C48" i="336"/>
  <c r="E46" i="221"/>
  <c r="A52" i="221" s="1"/>
  <c r="E28" i="221"/>
  <c r="E35" i="221"/>
  <c r="E21" i="221"/>
  <c r="E44" i="221"/>
  <c r="E32" i="221"/>
  <c r="E29" i="221"/>
  <c r="E36" i="221"/>
  <c r="E39" i="221"/>
  <c r="E22" i="221"/>
  <c r="E42" i="221"/>
  <c r="E27" i="221"/>
  <c r="E37" i="221"/>
  <c r="E23" i="221"/>
  <c r="E40" i="221"/>
  <c r="E30" i="221"/>
  <c r="E26" i="221"/>
  <c r="E34" i="221"/>
  <c r="E31" i="221"/>
  <c r="E43" i="221"/>
  <c r="E45" i="221"/>
  <c r="E24" i="221"/>
  <c r="E38" i="221"/>
  <c r="E39" i="288"/>
  <c r="E29" i="288"/>
  <c r="E40" i="288"/>
  <c r="E23" i="288"/>
  <c r="E31" i="288"/>
  <c r="E34" i="288"/>
  <c r="E32" i="288"/>
  <c r="E38" i="288"/>
  <c r="E42" i="288"/>
  <c r="E43" i="288"/>
  <c r="E22" i="288"/>
  <c r="E45" i="288"/>
  <c r="E35" i="288"/>
  <c r="E26" i="288"/>
  <c r="E28" i="288"/>
  <c r="E37" i="288"/>
  <c r="E24" i="288"/>
  <c r="E46" i="288"/>
  <c r="A52" i="288" s="1"/>
  <c r="E30" i="288"/>
  <c r="E21" i="288"/>
  <c r="E27" i="288"/>
  <c r="E36" i="288"/>
  <c r="E32" i="290"/>
  <c r="E37" i="290"/>
  <c r="E43" i="290"/>
  <c r="E45" i="290"/>
  <c r="E38" i="290"/>
  <c r="E27" i="290"/>
  <c r="E35" i="290"/>
  <c r="E22" i="290"/>
  <c r="E24" i="290"/>
  <c r="E28" i="290"/>
  <c r="E39" i="290"/>
  <c r="E30" i="290"/>
  <c r="E36" i="290"/>
  <c r="E44" i="290"/>
  <c r="E40" i="290"/>
  <c r="E42" i="290"/>
  <c r="E29" i="290"/>
  <c r="E31" i="290"/>
  <c r="E26" i="290"/>
  <c r="E46" i="290"/>
  <c r="A52" i="290" s="1"/>
  <c r="E23" i="290"/>
  <c r="E34" i="290"/>
  <c r="E21" i="290"/>
  <c r="E50" i="141"/>
  <c r="J50" i="141"/>
  <c r="E48" i="101"/>
  <c r="E46" i="182"/>
  <c r="A52" i="182" s="1"/>
  <c r="E32" i="182"/>
  <c r="E24" i="182"/>
  <c r="E23" i="182"/>
  <c r="E44" i="182"/>
  <c r="E27" i="182"/>
  <c r="E34" i="182"/>
  <c r="E48" i="409"/>
  <c r="E50" i="396"/>
  <c r="J50" i="396"/>
  <c r="E42" i="357"/>
  <c r="E38" i="357"/>
  <c r="E23" i="357"/>
  <c r="E44" i="357"/>
  <c r="E29" i="357"/>
  <c r="E32" i="357"/>
  <c r="E36" i="357"/>
  <c r="E39" i="357"/>
  <c r="E43" i="357"/>
  <c r="E31" i="357"/>
  <c r="E45" i="357"/>
  <c r="E37" i="357"/>
  <c r="E22" i="357"/>
  <c r="E26" i="357"/>
  <c r="E27" i="357"/>
  <c r="E46" i="357"/>
  <c r="A52" i="357" s="1"/>
  <c r="E50" i="357"/>
  <c r="J50" i="357"/>
  <c r="E12" i="351"/>
  <c r="E15" i="351"/>
  <c r="E13" i="351"/>
  <c r="E16" i="351"/>
  <c r="E10" i="351"/>
  <c r="E32" i="341"/>
  <c r="E30" i="341"/>
  <c r="E36" i="341"/>
  <c r="E39" i="341"/>
  <c r="E24" i="341"/>
  <c r="E27" i="341"/>
  <c r="E34" i="341"/>
  <c r="E38" i="341"/>
  <c r="E23" i="341"/>
  <c r="E28" i="341"/>
  <c r="E45" i="341"/>
  <c r="E29" i="341"/>
  <c r="E35" i="341"/>
  <c r="E21" i="341"/>
  <c r="E42" i="341"/>
  <c r="E26" i="341"/>
  <c r="E40" i="343"/>
  <c r="E48" i="294"/>
  <c r="E48" i="451"/>
  <c r="E48" i="449"/>
  <c r="E40" i="245"/>
  <c r="E35" i="245"/>
  <c r="E39" i="245"/>
  <c r="E23" i="245"/>
  <c r="E26" i="245"/>
  <c r="E46" i="245"/>
  <c r="A52" i="245" s="1"/>
  <c r="E34" i="245"/>
  <c r="E36" i="245"/>
  <c r="E21" i="245"/>
  <c r="E43" i="245"/>
  <c r="E45" i="245"/>
  <c r="E29" i="245"/>
  <c r="E31" i="245"/>
  <c r="E42" i="245"/>
  <c r="E28" i="245"/>
  <c r="E38" i="245"/>
  <c r="E27" i="245"/>
  <c r="E24" i="245"/>
  <c r="E32" i="245"/>
  <c r="E37" i="245"/>
  <c r="E44" i="245"/>
  <c r="E48" i="169"/>
  <c r="C48" i="214"/>
  <c r="D48" i="257"/>
  <c r="E40" i="257" s="1"/>
  <c r="D50" i="257"/>
  <c r="E50" i="248"/>
  <c r="J50" i="248"/>
  <c r="J50" i="263"/>
  <c r="E50" i="263"/>
  <c r="H40" i="401"/>
  <c r="H19" i="406"/>
  <c r="C19" i="406" s="1"/>
  <c r="H19" i="390"/>
  <c r="C19" i="390" s="1"/>
  <c r="H40" i="349"/>
  <c r="C40" i="349" s="1"/>
  <c r="E46" i="230"/>
  <c r="A52" i="230" s="1"/>
  <c r="E38" i="230"/>
  <c r="E40" i="71"/>
  <c r="E37" i="71"/>
  <c r="E48" i="305"/>
  <c r="E50" i="192"/>
  <c r="J50" i="192"/>
  <c r="D48" i="450"/>
  <c r="H19" i="430"/>
  <c r="C19" i="430" s="1"/>
  <c r="H19" i="411"/>
  <c r="C19" i="411" s="1"/>
  <c r="H32" i="377"/>
  <c r="C32" i="377" s="1"/>
  <c r="E37" i="281"/>
  <c r="E44" i="281"/>
  <c r="E28" i="49"/>
  <c r="E35" i="49"/>
  <c r="E24" i="49"/>
  <c r="E42" i="49"/>
  <c r="E32" i="49"/>
  <c r="E34" i="49"/>
  <c r="E44" i="49"/>
  <c r="E29" i="49"/>
  <c r="E38" i="49"/>
  <c r="E37" i="49"/>
  <c r="E43" i="49"/>
  <c r="E36" i="49"/>
  <c r="E27" i="49"/>
  <c r="E21" i="49"/>
  <c r="E26" i="49"/>
  <c r="E30" i="49"/>
  <c r="E39" i="49"/>
  <c r="J50" i="270"/>
  <c r="E50" i="270"/>
  <c r="J50" i="275"/>
  <c r="E50" i="275"/>
  <c r="E26" i="267"/>
  <c r="E28" i="267"/>
  <c r="E24" i="267"/>
  <c r="E32" i="267"/>
  <c r="E36" i="267"/>
  <c r="E42" i="267"/>
  <c r="E45" i="267"/>
  <c r="E23" i="267"/>
  <c r="E30" i="267"/>
  <c r="E34" i="267"/>
  <c r="E37" i="267"/>
  <c r="E43" i="267"/>
  <c r="E29" i="267"/>
  <c r="E40" i="267"/>
  <c r="D48" i="246"/>
  <c r="D50" i="246"/>
  <c r="J50" i="220"/>
  <c r="E50" i="220"/>
  <c r="E40" i="25"/>
  <c r="E28" i="25"/>
  <c r="E31" i="25"/>
  <c r="E43" i="25"/>
  <c r="E26" i="25"/>
  <c r="E23" i="31"/>
  <c r="E43" i="31"/>
  <c r="E29" i="31"/>
  <c r="H46" i="455"/>
  <c r="C46" i="455" s="1"/>
  <c r="H32" i="442"/>
  <c r="C40" i="388"/>
  <c r="H19" i="373"/>
  <c r="C19" i="373" s="1"/>
  <c r="H19" i="359"/>
  <c r="C19" i="359" s="1"/>
  <c r="H24" i="357"/>
  <c r="C24" i="357" s="1"/>
  <c r="E40" i="188"/>
  <c r="E45" i="188"/>
  <c r="E32" i="188"/>
  <c r="E38" i="188"/>
  <c r="E31" i="188"/>
  <c r="E46" i="188"/>
  <c r="A52" i="188" s="1"/>
  <c r="E26" i="188"/>
  <c r="E28" i="188"/>
  <c r="E35" i="188"/>
  <c r="E21" i="188"/>
  <c r="E39" i="188"/>
  <c r="E24" i="188"/>
  <c r="E29" i="188"/>
  <c r="E22" i="188"/>
  <c r="E34" i="188"/>
  <c r="E44" i="188"/>
  <c r="E36" i="188"/>
  <c r="E42" i="188"/>
  <c r="E21" i="285"/>
  <c r="E24" i="285"/>
  <c r="E45" i="285"/>
  <c r="E29" i="285"/>
  <c r="E34" i="285"/>
  <c r="E40" i="285"/>
  <c r="E39" i="285"/>
  <c r="E43" i="285"/>
  <c r="E26" i="285"/>
  <c r="E30" i="285"/>
  <c r="E35" i="285"/>
  <c r="E22" i="285"/>
  <c r="E27" i="285"/>
  <c r="E36" i="285"/>
  <c r="E46" i="285"/>
  <c r="A52" i="285" s="1"/>
  <c r="E38" i="285"/>
  <c r="E31" i="285"/>
  <c r="J50" i="184"/>
  <c r="E50" i="184"/>
  <c r="E28" i="211"/>
  <c r="E32" i="211"/>
  <c r="E46" i="211"/>
  <c r="A52" i="211" s="1"/>
  <c r="E22" i="211"/>
  <c r="E42" i="211"/>
  <c r="E43" i="211"/>
  <c r="E44" i="211"/>
  <c r="E30" i="211"/>
  <c r="E40" i="210"/>
  <c r="E22" i="210"/>
  <c r="E43" i="210"/>
  <c r="E45" i="210"/>
  <c r="E30" i="210"/>
  <c r="E35" i="210"/>
  <c r="E38" i="210"/>
  <c r="E23" i="210"/>
  <c r="E26" i="210"/>
  <c r="E28" i="210"/>
  <c r="E31" i="210"/>
  <c r="E37" i="210"/>
  <c r="E39" i="210"/>
  <c r="E27" i="210"/>
  <c r="E34" i="210"/>
  <c r="E24" i="210"/>
  <c r="E29" i="210"/>
  <c r="E36" i="210"/>
  <c r="E32" i="151"/>
  <c r="E36" i="151"/>
  <c r="E35" i="151"/>
  <c r="E23" i="151"/>
  <c r="E31" i="151"/>
  <c r="E21" i="151"/>
  <c r="E34" i="151"/>
  <c r="E37" i="151"/>
  <c r="E38" i="151"/>
  <c r="E27" i="151"/>
  <c r="E39" i="151"/>
  <c r="E24" i="151"/>
  <c r="E50" i="243"/>
  <c r="J50" i="243"/>
  <c r="E35" i="83"/>
  <c r="E45" i="83"/>
  <c r="D50" i="247"/>
  <c r="D48" i="247"/>
  <c r="E36" i="214"/>
  <c r="E39" i="214"/>
  <c r="E24" i="214"/>
  <c r="E27" i="214"/>
  <c r="E29" i="214"/>
  <c r="E31" i="214"/>
  <c r="E37" i="214"/>
  <c r="E22" i="214"/>
  <c r="E43" i="214"/>
  <c r="E45" i="214"/>
  <c r="E30" i="214"/>
  <c r="E34" i="214"/>
  <c r="E23" i="214"/>
  <c r="E28" i="214"/>
  <c r="E40" i="214"/>
  <c r="E42" i="214"/>
  <c r="E46" i="214"/>
  <c r="A52" i="214" s="1"/>
  <c r="H19" i="124"/>
  <c r="C19" i="124" s="1"/>
  <c r="E36" i="84"/>
  <c r="E35" i="84"/>
  <c r="E40" i="84"/>
  <c r="E43" i="84"/>
  <c r="E29" i="84"/>
  <c r="E37" i="84"/>
  <c r="E23" i="84"/>
  <c r="E26" i="84"/>
  <c r="E31" i="84"/>
  <c r="E21" i="84"/>
  <c r="H34" i="77"/>
  <c r="D40" i="77"/>
  <c r="H46" i="32"/>
  <c r="C46" i="32" s="1"/>
  <c r="E38" i="83"/>
  <c r="E26" i="83"/>
  <c r="E28" i="83"/>
  <c r="E23" i="83"/>
  <c r="E42" i="83"/>
  <c r="E21" i="83"/>
  <c r="E44" i="83"/>
  <c r="E29" i="83"/>
  <c r="E24" i="83"/>
  <c r="E31" i="83"/>
  <c r="E13" i="12"/>
  <c r="E11" i="12"/>
  <c r="E16" i="12"/>
  <c r="E15" i="12"/>
  <c r="E10" i="12"/>
  <c r="E17" i="12"/>
  <c r="E14" i="12"/>
  <c r="E18" i="12"/>
  <c r="E19" i="12"/>
  <c r="E12" i="12"/>
  <c r="H19" i="14"/>
  <c r="C19" i="14" s="1"/>
  <c r="E14" i="16"/>
  <c r="E13" i="16"/>
  <c r="E17" i="16"/>
  <c r="D50" i="16"/>
  <c r="E15" i="16"/>
  <c r="E10" i="16"/>
  <c r="E11" i="16"/>
  <c r="E12" i="16"/>
  <c r="E18" i="16"/>
  <c r="E19" i="16"/>
  <c r="E16" i="16"/>
  <c r="E19" i="17"/>
  <c r="E12" i="17"/>
  <c r="E17" i="17"/>
  <c r="E10" i="17"/>
  <c r="E11" i="17"/>
  <c r="E15" i="17"/>
  <c r="E18" i="17"/>
  <c r="H40" i="17"/>
  <c r="C40" i="17" s="1"/>
  <c r="H19" i="18"/>
  <c r="C19" i="18" s="1"/>
  <c r="E50" i="21"/>
  <c r="J50" i="21"/>
  <c r="D48" i="22"/>
  <c r="E24" i="22" s="1"/>
  <c r="H32" i="22"/>
  <c r="C32" i="22" s="1"/>
  <c r="E46" i="24"/>
  <c r="A52" i="24" s="1"/>
  <c r="E28" i="24"/>
  <c r="E34" i="24"/>
  <c r="E39" i="24"/>
  <c r="E36" i="24"/>
  <c r="E45" i="24"/>
  <c r="E29" i="24"/>
  <c r="E37" i="24"/>
  <c r="E27" i="24"/>
  <c r="E40" i="24"/>
  <c r="E23" i="24"/>
  <c r="E12" i="28"/>
  <c r="E10" i="28"/>
  <c r="E14" i="28"/>
  <c r="E11" i="28"/>
  <c r="E15" i="28"/>
  <c r="E18" i="28"/>
  <c r="E16" i="28"/>
  <c r="E13" i="28"/>
  <c r="E19" i="28"/>
  <c r="E17" i="29"/>
  <c r="E18" i="29"/>
  <c r="D50" i="29"/>
  <c r="E16" i="29"/>
  <c r="E15" i="29"/>
  <c r="E12" i="29"/>
  <c r="E34" i="29"/>
  <c r="E38" i="29"/>
  <c r="E23" i="29"/>
  <c r="E26" i="29"/>
  <c r="E28" i="29"/>
  <c r="E30" i="29"/>
  <c r="E35" i="29"/>
  <c r="E21" i="29"/>
  <c r="E42" i="29"/>
  <c r="E44" i="29"/>
  <c r="E29" i="29"/>
  <c r="E15" i="30"/>
  <c r="E16" i="30"/>
  <c r="H19" i="31"/>
  <c r="C19" i="31" s="1"/>
  <c r="H32" i="31"/>
  <c r="C32" i="31" s="1"/>
  <c r="E19" i="32"/>
  <c r="E15" i="32"/>
  <c r="E13" i="32"/>
  <c r="E14" i="32"/>
  <c r="E17" i="32"/>
  <c r="E18" i="32"/>
  <c r="E16" i="32"/>
  <c r="E10" i="32"/>
  <c r="H19" i="32"/>
  <c r="C19" i="32" s="1"/>
  <c r="H40" i="34"/>
  <c r="C40" i="34" s="1"/>
  <c r="H32" i="36"/>
  <c r="C32" i="36" s="1"/>
  <c r="H19" i="38"/>
  <c r="C19" i="38" s="1"/>
  <c r="E24" i="40"/>
  <c r="E28" i="40"/>
  <c r="E42" i="40"/>
  <c r="E22" i="40"/>
  <c r="E27" i="40"/>
  <c r="E36" i="40"/>
  <c r="E40" i="40"/>
  <c r="E31" i="40"/>
  <c r="E43" i="40"/>
  <c r="E45" i="40"/>
  <c r="E29" i="40"/>
  <c r="E37" i="40"/>
  <c r="E32" i="40"/>
  <c r="D48" i="44"/>
  <c r="E40" i="44" s="1"/>
  <c r="H19" i="48"/>
  <c r="C19" i="48" s="1"/>
  <c r="H32" i="48"/>
  <c r="J50" i="49"/>
  <c r="E50" i="49"/>
  <c r="H32" i="50"/>
  <c r="C32" i="50" s="1"/>
  <c r="H19" i="52"/>
  <c r="C19" i="52" s="1"/>
  <c r="H40" i="55"/>
  <c r="C40" i="55" s="1"/>
  <c r="H32" i="57"/>
  <c r="C32" i="57" s="1"/>
  <c r="E16" i="59"/>
  <c r="E11" i="59"/>
  <c r="E13" i="59"/>
  <c r="E18" i="59"/>
  <c r="E12" i="59"/>
  <c r="E19" i="59"/>
  <c r="E10" i="59"/>
  <c r="E17" i="59"/>
  <c r="E19" i="61"/>
  <c r="E16" i="61"/>
  <c r="E13" i="61"/>
  <c r="E17" i="61"/>
  <c r="E18" i="61"/>
  <c r="E15" i="61"/>
  <c r="E10" i="61"/>
  <c r="E14" i="61"/>
  <c r="E12" i="62"/>
  <c r="E14" i="62"/>
  <c r="E18" i="62"/>
  <c r="E13" i="62"/>
  <c r="E10" i="62"/>
  <c r="E11" i="62"/>
  <c r="E16" i="62"/>
  <c r="E19" i="62"/>
  <c r="D32" i="75"/>
  <c r="D50" i="75"/>
  <c r="D26" i="77"/>
  <c r="H28" i="68"/>
  <c r="D28" i="77"/>
  <c r="H28" i="77" s="1"/>
  <c r="D40" i="76"/>
  <c r="H34" i="76"/>
  <c r="D42" i="77"/>
  <c r="H42" i="76"/>
  <c r="H46" i="76" s="1"/>
  <c r="E13" i="78"/>
  <c r="E19" i="78"/>
  <c r="C46" i="78"/>
  <c r="H40" i="78"/>
  <c r="C40" i="78" s="1"/>
  <c r="E16" i="79"/>
  <c r="E17" i="79"/>
  <c r="E11" i="79"/>
  <c r="E14" i="79"/>
  <c r="E12" i="79"/>
  <c r="E17" i="80"/>
  <c r="E14" i="80"/>
  <c r="E11" i="80"/>
  <c r="E10" i="80"/>
  <c r="E15" i="80"/>
  <c r="E18" i="80"/>
  <c r="E12" i="80"/>
  <c r="E13" i="80"/>
  <c r="E19" i="80"/>
  <c r="D32" i="80"/>
  <c r="D50" i="80" s="1"/>
  <c r="E17" i="82"/>
  <c r="E16" i="82"/>
  <c r="E10" i="82"/>
  <c r="E15" i="82"/>
  <c r="E14" i="82"/>
  <c r="E13" i="82"/>
  <c r="E12" i="83"/>
  <c r="D50" i="83"/>
  <c r="E11" i="83"/>
  <c r="E18" i="83"/>
  <c r="E14" i="83"/>
  <c r="E19" i="83"/>
  <c r="E10" i="83"/>
  <c r="E17" i="83"/>
  <c r="E16" i="83"/>
  <c r="E46" i="83"/>
  <c r="A52" i="83" s="1"/>
  <c r="E12" i="84"/>
  <c r="E18" i="84"/>
  <c r="E14" i="84"/>
  <c r="E17" i="84"/>
  <c r="E10" i="84"/>
  <c r="E13" i="84"/>
  <c r="E16" i="84"/>
  <c r="E11" i="84"/>
  <c r="D50" i="84"/>
  <c r="E15" i="84"/>
  <c r="H40" i="84"/>
  <c r="C40" i="84" s="1"/>
  <c r="D30" i="118"/>
  <c r="H30" i="84"/>
  <c r="E30" i="84"/>
  <c r="D50" i="86"/>
  <c r="D48" i="86"/>
  <c r="E24" i="86" s="1"/>
  <c r="H19" i="86"/>
  <c r="C19" i="86" s="1"/>
  <c r="E10" i="93"/>
  <c r="E12" i="93"/>
  <c r="E46" i="93"/>
  <c r="A52" i="93" s="1"/>
  <c r="E24" i="93"/>
  <c r="E29" i="93"/>
  <c r="E21" i="93"/>
  <c r="E27" i="93"/>
  <c r="E35" i="93"/>
  <c r="E43" i="93"/>
  <c r="E30" i="93"/>
  <c r="E39" i="93"/>
  <c r="E28" i="93"/>
  <c r="E36" i="93"/>
  <c r="E45" i="93"/>
  <c r="D48" i="97"/>
  <c r="H19" i="97"/>
  <c r="C19" i="97" s="1"/>
  <c r="E38" i="136"/>
  <c r="E26" i="136"/>
  <c r="E39" i="136"/>
  <c r="E46" i="136"/>
  <c r="A52" i="136" s="1"/>
  <c r="E40" i="139"/>
  <c r="E28" i="139"/>
  <c r="E34" i="139"/>
  <c r="E38" i="139"/>
  <c r="E42" i="139"/>
  <c r="E24" i="139"/>
  <c r="E32" i="139"/>
  <c r="E29" i="139"/>
  <c r="E35" i="139"/>
  <c r="E21" i="139"/>
  <c r="E43" i="139"/>
  <c r="E26" i="139"/>
  <c r="E40" i="151"/>
  <c r="E32" i="154"/>
  <c r="E35" i="154"/>
  <c r="E42" i="154"/>
  <c r="E45" i="154"/>
  <c r="E38" i="154"/>
  <c r="E28" i="154"/>
  <c r="E44" i="154"/>
  <c r="E21" i="154"/>
  <c r="E24" i="154"/>
  <c r="E36" i="154"/>
  <c r="E40" i="154"/>
  <c r="E29" i="154"/>
  <c r="E48" i="216"/>
  <c r="E10" i="30"/>
  <c r="E11" i="31"/>
  <c r="E40" i="391"/>
  <c r="E27" i="391"/>
  <c r="E31" i="391"/>
  <c r="E21" i="391"/>
  <c r="E48" i="391" s="1"/>
  <c r="E29" i="391"/>
  <c r="H19" i="364"/>
  <c r="C19" i="364" s="1"/>
  <c r="E43" i="151"/>
  <c r="E42" i="151"/>
  <c r="E22" i="24"/>
  <c r="E35" i="24"/>
  <c r="E32" i="24"/>
  <c r="D50" i="79"/>
  <c r="E31" i="93"/>
  <c r="E34" i="93"/>
  <c r="E32" i="84"/>
  <c r="E38" i="40"/>
  <c r="E23" i="40"/>
  <c r="E34" i="40"/>
  <c r="E46" i="29"/>
  <c r="A52" i="29" s="1"/>
  <c r="E39" i="29"/>
  <c r="E31" i="29"/>
  <c r="E21" i="213"/>
  <c r="E39" i="213"/>
  <c r="E42" i="213"/>
  <c r="E45" i="213"/>
  <c r="E44" i="213"/>
  <c r="E36" i="213"/>
  <c r="E34" i="213"/>
  <c r="E40" i="83"/>
  <c r="E43" i="83"/>
  <c r="E22" i="83"/>
  <c r="E40" i="204"/>
  <c r="E44" i="204"/>
  <c r="E29" i="204"/>
  <c r="E35" i="204"/>
  <c r="E21" i="204"/>
  <c r="E42" i="204"/>
  <c r="E24" i="204"/>
  <c r="E27" i="204"/>
  <c r="E30" i="204"/>
  <c r="E36" i="204"/>
  <c r="E22" i="204"/>
  <c r="E43" i="204"/>
  <c r="E48" i="222"/>
  <c r="E39" i="84"/>
  <c r="E42" i="84"/>
  <c r="E44" i="214"/>
  <c r="J50" i="334"/>
  <c r="E50" i="334"/>
  <c r="E36" i="326"/>
  <c r="E39" i="326"/>
  <c r="E43" i="326"/>
  <c r="E27" i="326"/>
  <c r="E29" i="326"/>
  <c r="E37" i="326"/>
  <c r="E22" i="326"/>
  <c r="E44" i="326"/>
  <c r="E42" i="326"/>
  <c r="E30" i="326"/>
  <c r="E38" i="326"/>
  <c r="E26" i="326"/>
  <c r="E31" i="326"/>
  <c r="E21" i="326"/>
  <c r="E45" i="326"/>
  <c r="E32" i="326"/>
  <c r="E46" i="264"/>
  <c r="A52" i="264" s="1"/>
  <c r="E29" i="264"/>
  <c r="E35" i="264"/>
  <c r="E21" i="264"/>
  <c r="E43" i="264"/>
  <c r="E23" i="264"/>
  <c r="E38" i="264"/>
  <c r="E30" i="264"/>
  <c r="E36" i="264"/>
  <c r="E40" i="264"/>
  <c r="E44" i="264"/>
  <c r="E24" i="264"/>
  <c r="E32" i="264"/>
  <c r="E46" i="244"/>
  <c r="A52" i="244" s="1"/>
  <c r="E30" i="244"/>
  <c r="E34" i="244"/>
  <c r="E38" i="244"/>
  <c r="E22" i="244"/>
  <c r="E45" i="244"/>
  <c r="E44" i="244"/>
  <c r="E28" i="244"/>
  <c r="E35" i="244"/>
  <c r="E39" i="244"/>
  <c r="E42" i="244"/>
  <c r="E24" i="244"/>
  <c r="E32" i="244"/>
  <c r="E40" i="233"/>
  <c r="E38" i="233"/>
  <c r="E23" i="233"/>
  <c r="E26" i="233"/>
  <c r="E28" i="233"/>
  <c r="E35" i="233"/>
  <c r="E32" i="233"/>
  <c r="E21" i="233"/>
  <c r="E42" i="233"/>
  <c r="E44" i="233"/>
  <c r="E30" i="233"/>
  <c r="E36" i="233"/>
  <c r="E42" i="163"/>
  <c r="E46" i="163"/>
  <c r="A52" i="163" s="1"/>
  <c r="E37" i="163"/>
  <c r="E40" i="163"/>
  <c r="E24" i="163"/>
  <c r="E27" i="163"/>
  <c r="E34" i="163"/>
  <c r="E38" i="163"/>
  <c r="E22" i="163"/>
  <c r="E44" i="163"/>
  <c r="E29" i="163"/>
  <c r="E35" i="163"/>
  <c r="E39" i="160"/>
  <c r="E26" i="160"/>
  <c r="E30" i="160"/>
  <c r="E23" i="160"/>
  <c r="E35" i="160"/>
  <c r="E40" i="160"/>
  <c r="E22" i="160"/>
  <c r="E44" i="160"/>
  <c r="E31" i="160"/>
  <c r="E27" i="160"/>
  <c r="E36" i="160"/>
  <c r="E18" i="93"/>
  <c r="H19" i="188"/>
  <c r="C19" i="188" s="1"/>
  <c r="E32" i="197"/>
  <c r="E31" i="197"/>
  <c r="E22" i="197"/>
  <c r="E38" i="197"/>
  <c r="E45" i="197"/>
  <c r="E27" i="197"/>
  <c r="E34" i="197"/>
  <c r="E24" i="197"/>
  <c r="E39" i="197"/>
  <c r="E21" i="197"/>
  <c r="E28" i="197"/>
  <c r="J50" i="194"/>
  <c r="E50" i="194"/>
  <c r="D48" i="186"/>
  <c r="E36" i="186" s="1"/>
  <c r="D50" i="186"/>
  <c r="J50" i="186" s="1"/>
  <c r="E34" i="187"/>
  <c r="E39" i="187"/>
  <c r="E36" i="187"/>
  <c r="E43" i="187"/>
  <c r="E27" i="187"/>
  <c r="E35" i="187"/>
  <c r="E22" i="187"/>
  <c r="E37" i="187"/>
  <c r="E44" i="187"/>
  <c r="E24" i="177"/>
  <c r="E29" i="177"/>
  <c r="E35" i="177"/>
  <c r="E21" i="177"/>
  <c r="E22" i="177"/>
  <c r="E26" i="177"/>
  <c r="E27" i="177"/>
  <c r="E30" i="177"/>
  <c r="E36" i="177"/>
  <c r="E39" i="177"/>
  <c r="E23" i="177"/>
  <c r="H42" i="180"/>
  <c r="H46" i="180" s="1"/>
  <c r="D46" i="180"/>
  <c r="H32" i="179"/>
  <c r="E24" i="156"/>
  <c r="E42" i="156"/>
  <c r="E34" i="156"/>
  <c r="E43" i="156"/>
  <c r="E27" i="156"/>
  <c r="E37" i="156"/>
  <c r="E28" i="156"/>
  <c r="E38" i="156"/>
  <c r="E44" i="156"/>
  <c r="E29" i="156"/>
  <c r="E45" i="156"/>
  <c r="E22" i="156"/>
  <c r="E39" i="156"/>
  <c r="E35" i="156"/>
  <c r="E23" i="156"/>
  <c r="E46" i="156"/>
  <c r="A52" i="156" s="1"/>
  <c r="E36" i="156"/>
  <c r="J50" i="145"/>
  <c r="E50" i="145"/>
  <c r="H46" i="86"/>
  <c r="C46" i="86" s="1"/>
  <c r="E13" i="83"/>
  <c r="D46" i="76"/>
  <c r="E13" i="17"/>
  <c r="C24" i="87"/>
  <c r="E28" i="313"/>
  <c r="E23" i="313"/>
  <c r="E34" i="313"/>
  <c r="E35" i="306"/>
  <c r="E24" i="306"/>
  <c r="E21" i="306"/>
  <c r="E32" i="306"/>
  <c r="D48" i="293"/>
  <c r="D50" i="293"/>
  <c r="J50" i="293" s="1"/>
  <c r="E29" i="201"/>
  <c r="E45" i="201"/>
  <c r="E38" i="201"/>
  <c r="E42" i="201"/>
  <c r="E23" i="201"/>
  <c r="E28" i="201"/>
  <c r="E39" i="201"/>
  <c r="E43" i="201"/>
  <c r="H24" i="78"/>
  <c r="C24" i="78" s="1"/>
  <c r="H46" i="81"/>
  <c r="C46" i="81" s="1"/>
  <c r="H46" i="15"/>
  <c r="C46" i="15" s="1"/>
  <c r="H32" i="372"/>
  <c r="C32" i="372" s="1"/>
  <c r="E44" i="332"/>
  <c r="E31" i="332"/>
  <c r="E36" i="332"/>
  <c r="E32" i="279"/>
  <c r="E48" i="279" s="1"/>
  <c r="E34" i="279"/>
  <c r="H32" i="81"/>
  <c r="E50" i="156"/>
  <c r="J50" i="156"/>
  <c r="H40" i="28"/>
  <c r="C40" i="28" s="1"/>
  <c r="C46" i="285"/>
  <c r="D50" i="253"/>
  <c r="D48" i="253"/>
  <c r="H32" i="104"/>
  <c r="C32" i="104" s="1"/>
  <c r="H19" i="111"/>
  <c r="C19" i="111" s="1"/>
  <c r="D27" i="118"/>
  <c r="H27" i="118" s="1"/>
  <c r="E27" i="120"/>
  <c r="E35" i="120"/>
  <c r="E31" i="121"/>
  <c r="E44" i="121"/>
  <c r="E23" i="121"/>
  <c r="E12" i="141"/>
  <c r="E14" i="141"/>
  <c r="D50" i="142"/>
  <c r="E13" i="142"/>
  <c r="E17" i="144"/>
  <c r="E15" i="144"/>
  <c r="E10" i="144"/>
  <c r="C46" i="145"/>
  <c r="C46" i="147"/>
  <c r="E12" i="152"/>
  <c r="H40" i="152"/>
  <c r="C40" i="152" s="1"/>
  <c r="D32" i="152"/>
  <c r="H26" i="152"/>
  <c r="E16" i="153"/>
  <c r="E19" i="153"/>
  <c r="E10" i="153"/>
  <c r="E12" i="154"/>
  <c r="E19" i="154"/>
  <c r="E15" i="154"/>
  <c r="E13" i="154"/>
  <c r="E40" i="167"/>
  <c r="E43" i="167"/>
  <c r="E45" i="167"/>
  <c r="E31" i="167"/>
  <c r="E37" i="167"/>
  <c r="D32" i="171"/>
  <c r="H26" i="171"/>
  <c r="E46" i="174"/>
  <c r="A52" i="174" s="1"/>
  <c r="E24" i="174"/>
  <c r="E27" i="174"/>
  <c r="E30" i="174"/>
  <c r="E36" i="174"/>
  <c r="E38" i="174"/>
  <c r="E10" i="175"/>
  <c r="E12" i="175"/>
  <c r="E19" i="176"/>
  <c r="E11" i="176"/>
  <c r="E19" i="178"/>
  <c r="D50" i="178"/>
  <c r="D19" i="180"/>
  <c r="E46" i="194"/>
  <c r="A52" i="194" s="1"/>
  <c r="E37" i="194"/>
  <c r="E22" i="194"/>
  <c r="E24" i="194"/>
  <c r="E29" i="194"/>
  <c r="E48" i="219"/>
  <c r="C19" i="108"/>
  <c r="H40" i="331"/>
  <c r="C40" i="331" s="1"/>
  <c r="H32" i="314"/>
  <c r="H19" i="292"/>
  <c r="C19" i="292" s="1"/>
  <c r="H40" i="242"/>
  <c r="C40" i="242" s="1"/>
  <c r="H46" i="223"/>
  <c r="C46" i="223" s="1"/>
  <c r="H24" i="222"/>
  <c r="H32" i="219"/>
  <c r="C32" i="219" s="1"/>
  <c r="H19" i="214"/>
  <c r="C19" i="214" s="1"/>
  <c r="H40" i="213"/>
  <c r="C40" i="213" s="1"/>
  <c r="H40" i="215"/>
  <c r="C40" i="215" s="1"/>
  <c r="H40" i="202"/>
  <c r="C40" i="202" s="1"/>
  <c r="H46" i="200"/>
  <c r="H40" i="187"/>
  <c r="C40" i="187" s="1"/>
  <c r="H19" i="183"/>
  <c r="C19" i="183" s="1"/>
  <c r="E18" i="153"/>
  <c r="D50" i="148"/>
  <c r="E14" i="146"/>
  <c r="E15" i="152"/>
  <c r="E18" i="152"/>
  <c r="D50" i="157"/>
  <c r="E13" i="141"/>
  <c r="H40" i="155"/>
  <c r="C40" i="155" s="1"/>
  <c r="E10" i="150"/>
  <c r="E13" i="144"/>
  <c r="D50" i="144"/>
  <c r="H24" i="138"/>
  <c r="C24" i="138" s="1"/>
  <c r="H46" i="127"/>
  <c r="C46" i="127" s="1"/>
  <c r="E45" i="121"/>
  <c r="E14" i="154"/>
  <c r="H40" i="123"/>
  <c r="C40" i="123" s="1"/>
  <c r="E29" i="121"/>
  <c r="H40" i="120"/>
  <c r="C40" i="120" s="1"/>
  <c r="H40" i="117"/>
  <c r="C40" i="117" s="1"/>
  <c r="E44" i="125"/>
  <c r="E45" i="120"/>
  <c r="H19" i="94"/>
  <c r="C19" i="94" s="1"/>
  <c r="E11" i="145"/>
  <c r="H46" i="82"/>
  <c r="C19" i="62"/>
  <c r="H19" i="75"/>
  <c r="C19" i="75" s="1"/>
  <c r="H40" i="29"/>
  <c r="C40" i="29" s="1"/>
  <c r="H19" i="28"/>
  <c r="C19" i="28" s="1"/>
  <c r="C24" i="22"/>
  <c r="E19" i="139"/>
  <c r="E12" i="3"/>
  <c r="E15" i="3"/>
  <c r="E17" i="3"/>
  <c r="E19" i="5"/>
  <c r="E11" i="5"/>
  <c r="C32" i="151"/>
  <c r="H19" i="270"/>
  <c r="C19" i="270" s="1"/>
  <c r="H32" i="263"/>
  <c r="C32" i="263" s="1"/>
  <c r="H40" i="268"/>
  <c r="C46" i="259"/>
  <c r="H46" i="260"/>
  <c r="C46" i="260" s="1"/>
  <c r="H46" i="250"/>
  <c r="C46" i="250" s="1"/>
  <c r="D34" i="180"/>
  <c r="H46" i="165"/>
  <c r="E17" i="153"/>
  <c r="H32" i="148"/>
  <c r="C32" i="148" s="1"/>
  <c r="D32" i="179"/>
  <c r="D50" i="147"/>
  <c r="E19" i="152"/>
  <c r="H40" i="140"/>
  <c r="C40" i="140" s="1"/>
  <c r="E15" i="150"/>
  <c r="E18" i="150"/>
  <c r="H32" i="153"/>
  <c r="C32" i="153" s="1"/>
  <c r="E12" i="142"/>
  <c r="H46" i="153"/>
  <c r="C46" i="153" s="1"/>
  <c r="E14" i="144"/>
  <c r="E40" i="121"/>
  <c r="E16" i="154"/>
  <c r="H24" i="136"/>
  <c r="C24" i="136" s="1"/>
  <c r="H32" i="132"/>
  <c r="C32" i="132" s="1"/>
  <c r="E32" i="121"/>
  <c r="H19" i="140"/>
  <c r="C19" i="140" s="1"/>
  <c r="H19" i="138"/>
  <c r="C19" i="138" s="1"/>
  <c r="H24" i="126"/>
  <c r="C24" i="126" s="1"/>
  <c r="H24" i="158"/>
  <c r="C24" i="158" s="1"/>
  <c r="E36" i="120"/>
  <c r="E43" i="120"/>
  <c r="H46" i="132"/>
  <c r="C46" i="132" s="1"/>
  <c r="E46" i="108"/>
  <c r="A52" i="108" s="1"/>
  <c r="E15" i="145"/>
  <c r="D48" i="79"/>
  <c r="E40" i="79" s="1"/>
  <c r="H19" i="59"/>
  <c r="C19" i="59" s="1"/>
  <c r="H46" i="53"/>
  <c r="H46" i="28"/>
  <c r="C46" i="28" s="1"/>
  <c r="H32" i="14"/>
  <c r="C32" i="14" s="1"/>
  <c r="D48" i="19"/>
  <c r="E14" i="21"/>
  <c r="E13" i="21"/>
  <c r="E10" i="21"/>
  <c r="D50" i="27"/>
  <c r="H24" i="29"/>
  <c r="C24" i="29" s="1"/>
  <c r="E15" i="35"/>
  <c r="E18" i="35"/>
  <c r="E13" i="35"/>
  <c r="E10" i="38"/>
  <c r="E12" i="38"/>
  <c r="E19" i="48"/>
  <c r="E17" i="48"/>
  <c r="E14" i="48"/>
  <c r="D48" i="317"/>
  <c r="E45" i="317" s="1"/>
  <c r="D50" i="317"/>
  <c r="H32" i="168"/>
  <c r="C32" i="168" s="1"/>
  <c r="H19" i="184"/>
  <c r="C19" i="184" s="1"/>
  <c r="H19" i="170"/>
  <c r="C19" i="170" s="1"/>
  <c r="H40" i="184"/>
  <c r="C40" i="184" s="1"/>
  <c r="H46" i="164"/>
  <c r="C46" i="164" s="1"/>
  <c r="H40" i="149"/>
  <c r="H40" i="157"/>
  <c r="C40" i="157" s="1"/>
  <c r="H40" i="146"/>
  <c r="C40" i="146" s="1"/>
  <c r="H46" i="148"/>
  <c r="C46" i="148" s="1"/>
  <c r="H46" i="161"/>
  <c r="C46" i="161" s="1"/>
  <c r="C24" i="85"/>
  <c r="C48" i="85" s="1"/>
  <c r="E17" i="21"/>
  <c r="E12" i="21"/>
  <c r="E14" i="14"/>
  <c r="E15" i="36"/>
  <c r="H42" i="62"/>
  <c r="H46" i="62" s="1"/>
  <c r="C46" i="62" s="1"/>
  <c r="C24" i="62"/>
  <c r="H40" i="66"/>
  <c r="C40" i="66" s="1"/>
  <c r="H46" i="74"/>
  <c r="C46" i="74" s="1"/>
  <c r="E18" i="443"/>
  <c r="E17" i="443"/>
  <c r="H19" i="227"/>
  <c r="C19" i="227" s="1"/>
  <c r="D48" i="236"/>
  <c r="D50" i="236"/>
  <c r="D50" i="237"/>
  <c r="D48" i="237"/>
  <c r="D32" i="242"/>
  <c r="H26" i="242"/>
  <c r="D48" i="261"/>
  <c r="D50" i="261"/>
  <c r="E18" i="264"/>
  <c r="E16" i="264"/>
  <c r="E13" i="265"/>
  <c r="E11" i="265"/>
  <c r="E12" i="265"/>
  <c r="E16" i="265"/>
  <c r="E12" i="273"/>
  <c r="E16" i="273"/>
  <c r="E19" i="276"/>
  <c r="E12" i="276"/>
  <c r="H40" i="295"/>
  <c r="C40" i="295" s="1"/>
  <c r="H40" i="30"/>
  <c r="C40" i="30" s="1"/>
  <c r="D50" i="160"/>
  <c r="H40" i="318"/>
  <c r="C40" i="318" s="1"/>
  <c r="D24" i="53"/>
  <c r="H28" i="53"/>
  <c r="D46" i="53"/>
  <c r="D48" i="54"/>
  <c r="E40" i="54" s="1"/>
  <c r="D48" i="56"/>
  <c r="E24" i="56" s="1"/>
  <c r="D50" i="58"/>
  <c r="H46" i="58"/>
  <c r="C46" i="58" s="1"/>
  <c r="D48" i="60"/>
  <c r="D50" i="61"/>
  <c r="E18" i="221"/>
  <c r="E14" i="221"/>
  <c r="E10" i="221"/>
  <c r="E17" i="221"/>
  <c r="E13" i="221"/>
  <c r="E11" i="424"/>
  <c r="E13" i="424"/>
  <c r="E10" i="424"/>
  <c r="E16" i="442"/>
  <c r="E18" i="442"/>
  <c r="E17" i="442"/>
  <c r="H15" i="326"/>
  <c r="H34" i="338"/>
  <c r="H40" i="338" s="1"/>
  <c r="C40" i="338" s="1"/>
  <c r="H28" i="338"/>
  <c r="H24" i="339"/>
  <c r="C24" i="339" s="1"/>
  <c r="H26" i="380"/>
  <c r="H32" i="380" s="1"/>
  <c r="C32" i="380" s="1"/>
  <c r="H34" i="392"/>
  <c r="H40" i="392" s="1"/>
  <c r="C40" i="392" s="1"/>
  <c r="E19" i="450"/>
  <c r="E16" i="450"/>
  <c r="E17" i="460"/>
  <c r="H46" i="198"/>
  <c r="C46" i="198" s="1"/>
  <c r="H19" i="295"/>
  <c r="C19" i="295" s="1"/>
  <c r="H26" i="11"/>
  <c r="H34" i="62"/>
  <c r="H26" i="75"/>
  <c r="H32" i="75" s="1"/>
  <c r="C32" i="75" s="1"/>
  <c r="H21" i="77"/>
  <c r="H24" i="77" s="1"/>
  <c r="C24" i="77" s="1"/>
  <c r="H26" i="222"/>
  <c r="H32" i="222" s="1"/>
  <c r="C32" i="222" s="1"/>
  <c r="H46" i="310"/>
  <c r="E10" i="377"/>
  <c r="E11" i="418"/>
  <c r="E14" i="418"/>
  <c r="E19" i="423"/>
  <c r="E16" i="423"/>
  <c r="H43" i="429"/>
  <c r="E18" i="437"/>
  <c r="E11" i="440"/>
  <c r="E18" i="440"/>
  <c r="D48" i="464"/>
  <c r="E29" i="464" s="1"/>
  <c r="H40" i="232"/>
  <c r="D50" i="267"/>
  <c r="D50" i="187"/>
  <c r="C24" i="295"/>
  <c r="H42" i="194"/>
  <c r="H46" i="194" s="1"/>
  <c r="C46" i="194" s="1"/>
  <c r="H42" i="304"/>
  <c r="H46" i="304" s="1"/>
  <c r="C46" i="304" s="1"/>
  <c r="H42" i="369"/>
  <c r="H46" i="369" s="1"/>
  <c r="C46" i="369" s="1"/>
  <c r="D32" i="358"/>
  <c r="E14" i="423"/>
  <c r="E17" i="428"/>
  <c r="E15" i="450"/>
  <c r="E48" i="442"/>
  <c r="E48" i="299"/>
  <c r="E23" i="347"/>
  <c r="E21" i="347"/>
  <c r="E30" i="347"/>
  <c r="E36" i="347"/>
  <c r="E44" i="347"/>
  <c r="E46" i="347"/>
  <c r="A52" i="347" s="1"/>
  <c r="E24" i="347"/>
  <c r="E26" i="347"/>
  <c r="E31" i="347"/>
  <c r="E37" i="347"/>
  <c r="E45" i="347"/>
  <c r="E40" i="347"/>
  <c r="E43" i="347"/>
  <c r="E27" i="347"/>
  <c r="E32" i="347"/>
  <c r="E38" i="347"/>
  <c r="E34" i="347"/>
  <c r="E48" i="96"/>
  <c r="E48" i="215"/>
  <c r="E48" i="399"/>
  <c r="I10" i="308"/>
  <c r="G10" i="308"/>
  <c r="G37" i="308"/>
  <c r="I37" i="308"/>
  <c r="I40" i="308" s="1"/>
  <c r="F40" i="308" s="1"/>
  <c r="G40" i="308" s="1"/>
  <c r="I13" i="308"/>
  <c r="G13" i="308"/>
  <c r="E32" i="322"/>
  <c r="E23" i="322"/>
  <c r="E44" i="322"/>
  <c r="E34" i="322"/>
  <c r="E42" i="322"/>
  <c r="E22" i="322"/>
  <c r="E36" i="322"/>
  <c r="E24" i="322"/>
  <c r="E27" i="322"/>
  <c r="E29" i="322"/>
  <c r="E21" i="322"/>
  <c r="E31" i="322"/>
  <c r="E43" i="322"/>
  <c r="E45" i="322"/>
  <c r="E35" i="322"/>
  <c r="E46" i="322"/>
  <c r="A52" i="322" s="1"/>
  <c r="E40" i="322"/>
  <c r="E48" i="414"/>
  <c r="C40" i="345"/>
  <c r="C48" i="345" s="1"/>
  <c r="H48" i="345"/>
  <c r="E48" i="433"/>
  <c r="I24" i="207"/>
  <c r="F24" i="207" s="1"/>
  <c r="G24" i="207" s="1"/>
  <c r="E48" i="276"/>
  <c r="E48" i="436"/>
  <c r="E48" i="300"/>
  <c r="I35" i="4"/>
  <c r="G35" i="4"/>
  <c r="I36" i="4"/>
  <c r="G36" i="4"/>
  <c r="I31" i="4"/>
  <c r="G31" i="4"/>
  <c r="I34" i="328"/>
  <c r="G34" i="328"/>
  <c r="I28" i="328"/>
  <c r="G28" i="328"/>
  <c r="I21" i="328"/>
  <c r="G21" i="328"/>
  <c r="E48" i="368"/>
  <c r="E48" i="206"/>
  <c r="E48" i="336"/>
  <c r="J50" i="322"/>
  <c r="E50" i="322"/>
  <c r="E48" i="395"/>
  <c r="C24" i="444"/>
  <c r="C48" i="444" s="1"/>
  <c r="H48" i="444"/>
  <c r="H50" i="444" s="1"/>
  <c r="E6" i="444" s="1"/>
  <c r="J50" i="374"/>
  <c r="E50" i="374"/>
  <c r="C24" i="394"/>
  <c r="C48" i="394" s="1"/>
  <c r="H48" i="394"/>
  <c r="H50" i="394" s="1"/>
  <c r="E6" i="394" s="1"/>
  <c r="C32" i="395"/>
  <c r="C48" i="395" s="1"/>
  <c r="H48" i="395"/>
  <c r="C24" i="375"/>
  <c r="H48" i="375"/>
  <c r="H50" i="375" s="1"/>
  <c r="E6" i="375" s="1"/>
  <c r="E35" i="394"/>
  <c r="E29" i="394"/>
  <c r="E45" i="394"/>
  <c r="E39" i="394"/>
  <c r="E38" i="394"/>
  <c r="E34" i="394"/>
  <c r="E28" i="394"/>
  <c r="E23" i="394"/>
  <c r="E40" i="394"/>
  <c r="E21" i="394"/>
  <c r="E37" i="394"/>
  <c r="E27" i="394"/>
  <c r="E43" i="394"/>
  <c r="E36" i="394"/>
  <c r="E26" i="394"/>
  <c r="E42" i="394"/>
  <c r="E31" i="394"/>
  <c r="E44" i="394"/>
  <c r="E32" i="377"/>
  <c r="E34" i="377"/>
  <c r="E38" i="377"/>
  <c r="E40" i="377"/>
  <c r="E43" i="377"/>
  <c r="E44" i="377"/>
  <c r="E29" i="377"/>
  <c r="E35" i="377"/>
  <c r="E21" i="377"/>
  <c r="E23" i="377"/>
  <c r="E28" i="377"/>
  <c r="E27" i="377"/>
  <c r="E36" i="377"/>
  <c r="E42" i="377"/>
  <c r="E37" i="377"/>
  <c r="E24" i="377"/>
  <c r="E30" i="377"/>
  <c r="E39" i="377"/>
  <c r="E45" i="377"/>
  <c r="D50" i="361"/>
  <c r="D48" i="361"/>
  <c r="E32" i="361" s="1"/>
  <c r="H32" i="349"/>
  <c r="C32" i="349" s="1"/>
  <c r="C48" i="349" s="1"/>
  <c r="E50" i="340"/>
  <c r="J50" i="340"/>
  <c r="E37" i="66"/>
  <c r="E23" i="66"/>
  <c r="E26" i="66"/>
  <c r="E22" i="66"/>
  <c r="E45" i="66"/>
  <c r="E35" i="66"/>
  <c r="E21" i="66"/>
  <c r="E24" i="66"/>
  <c r="E28" i="66"/>
  <c r="E29" i="66"/>
  <c r="E40" i="66"/>
  <c r="E36" i="66"/>
  <c r="E39" i="66"/>
  <c r="E43" i="66"/>
  <c r="E46" i="66"/>
  <c r="A52" i="66" s="1"/>
  <c r="E30" i="66"/>
  <c r="E32" i="66"/>
  <c r="E44" i="66"/>
  <c r="E34" i="66"/>
  <c r="E27" i="66"/>
  <c r="E38" i="66"/>
  <c r="E31" i="66"/>
  <c r="C32" i="411"/>
  <c r="H48" i="411"/>
  <c r="H50" i="411" s="1"/>
  <c r="E6" i="411" s="1"/>
  <c r="E37" i="448"/>
  <c r="E26" i="448"/>
  <c r="E45" i="448"/>
  <c r="E31" i="448"/>
  <c r="E36" i="448"/>
  <c r="E23" i="448"/>
  <c r="E44" i="448"/>
  <c r="E48" i="292"/>
  <c r="E48" i="284"/>
  <c r="E48" i="50"/>
  <c r="E48" i="31"/>
  <c r="E48" i="70"/>
  <c r="E50" i="420"/>
  <c r="J50" i="420"/>
  <c r="E24" i="439"/>
  <c r="E36" i="439"/>
  <c r="E38" i="439"/>
  <c r="E27" i="439"/>
  <c r="E34" i="439"/>
  <c r="E45" i="439"/>
  <c r="E40" i="439"/>
  <c r="E29" i="439"/>
  <c r="E42" i="439"/>
  <c r="H19" i="410"/>
  <c r="C19" i="410" s="1"/>
  <c r="E48" i="260"/>
  <c r="E48" i="153"/>
  <c r="E38" i="32"/>
  <c r="E37" i="32"/>
  <c r="E42" i="32"/>
  <c r="E35" i="32"/>
  <c r="E27" i="32"/>
  <c r="E23" i="32"/>
  <c r="E22" i="32"/>
  <c r="E32" i="32"/>
  <c r="E43" i="32"/>
  <c r="E30" i="32"/>
  <c r="E34" i="32"/>
  <c r="F43" i="282"/>
  <c r="F28" i="282"/>
  <c r="F30" i="282"/>
  <c r="F17" i="282"/>
  <c r="F13" i="282"/>
  <c r="F21" i="282"/>
  <c r="F42" i="282"/>
  <c r="F36" i="282"/>
  <c r="F23" i="282"/>
  <c r="F26" i="282"/>
  <c r="F35" i="282"/>
  <c r="F38" i="282"/>
  <c r="F44" i="282"/>
  <c r="F45" i="282"/>
  <c r="G45" i="282" s="1"/>
  <c r="E42" i="66"/>
  <c r="I32" i="308"/>
  <c r="F32" i="308" s="1"/>
  <c r="G32" i="308" s="1"/>
  <c r="E48" i="47"/>
  <c r="E24" i="110"/>
  <c r="E30" i="110"/>
  <c r="E40" i="110"/>
  <c r="E44" i="110"/>
  <c r="E34" i="110"/>
  <c r="E29" i="110"/>
  <c r="E31" i="110"/>
  <c r="E21" i="110"/>
  <c r="E23" i="110"/>
  <c r="E27" i="110"/>
  <c r="E46" i="110"/>
  <c r="A52" i="110" s="1"/>
  <c r="E37" i="110"/>
  <c r="E32" i="452"/>
  <c r="E40" i="452"/>
  <c r="E29" i="452"/>
  <c r="E45" i="452"/>
  <c r="E43" i="452"/>
  <c r="E35" i="452"/>
  <c r="E38" i="452"/>
  <c r="E34" i="452"/>
  <c r="E28" i="452"/>
  <c r="E22" i="452"/>
  <c r="E24" i="452"/>
  <c r="E46" i="452"/>
  <c r="A52" i="452" s="1"/>
  <c r="E31" i="452"/>
  <c r="E44" i="452"/>
  <c r="E30" i="452"/>
  <c r="E21" i="452"/>
  <c r="E39" i="452"/>
  <c r="E27" i="452"/>
  <c r="E42" i="452"/>
  <c r="E37" i="452"/>
  <c r="J50" i="418"/>
  <c r="E50" i="418"/>
  <c r="D50" i="431"/>
  <c r="D48" i="431"/>
  <c r="D48" i="392"/>
  <c r="E46" i="392" s="1"/>
  <c r="A52" i="392" s="1"/>
  <c r="D50" i="392"/>
  <c r="E35" i="371"/>
  <c r="E32" i="371"/>
  <c r="E22" i="371"/>
  <c r="E46" i="371"/>
  <c r="A52" i="371" s="1"/>
  <c r="E44" i="371"/>
  <c r="E38" i="371"/>
  <c r="E34" i="371"/>
  <c r="E21" i="371"/>
  <c r="E26" i="371"/>
  <c r="E31" i="371"/>
  <c r="E39" i="371"/>
  <c r="E29" i="371"/>
  <c r="E40" i="371"/>
  <c r="E37" i="371"/>
  <c r="E36" i="371"/>
  <c r="E28" i="371"/>
  <c r="E27" i="371"/>
  <c r="E45" i="371"/>
  <c r="E32" i="145"/>
  <c r="E46" i="145"/>
  <c r="A52" i="145" s="1"/>
  <c r="E24" i="145"/>
  <c r="E40" i="145"/>
  <c r="E44" i="145"/>
  <c r="E45" i="145"/>
  <c r="E38" i="145"/>
  <c r="E43" i="145"/>
  <c r="E29" i="145"/>
  <c r="E21" i="145"/>
  <c r="E26" i="145"/>
  <c r="E30" i="145"/>
  <c r="E23" i="145"/>
  <c r="E27" i="145"/>
  <c r="E39" i="145"/>
  <c r="E42" i="145"/>
  <c r="E34" i="145"/>
  <c r="E36" i="145"/>
  <c r="J50" i="234"/>
  <c r="E50" i="234"/>
  <c r="J50" i="31"/>
  <c r="E50" i="31"/>
  <c r="D48" i="17"/>
  <c r="E48" i="208"/>
  <c r="H32" i="390"/>
  <c r="C32" i="390" s="1"/>
  <c r="H19" i="343"/>
  <c r="C19" i="343" s="1"/>
  <c r="E29" i="366"/>
  <c r="E32" i="366"/>
  <c r="E37" i="366"/>
  <c r="E39" i="366"/>
  <c r="E26" i="366"/>
  <c r="E27" i="366"/>
  <c r="E30" i="366"/>
  <c r="E34" i="366"/>
  <c r="E38" i="366"/>
  <c r="E43" i="366"/>
  <c r="E40" i="366"/>
  <c r="E24" i="366"/>
  <c r="E23" i="421"/>
  <c r="E21" i="421"/>
  <c r="E29" i="421"/>
  <c r="E36" i="421"/>
  <c r="E32" i="240"/>
  <c r="E22" i="240"/>
  <c r="E28" i="240"/>
  <c r="C46" i="23"/>
  <c r="E26" i="162"/>
  <c r="E27" i="162"/>
  <c r="E29" i="162"/>
  <c r="E32" i="162"/>
  <c r="E39" i="162"/>
  <c r="E22" i="162"/>
  <c r="E46" i="162"/>
  <c r="A52" i="162" s="1"/>
  <c r="E35" i="162"/>
  <c r="E30" i="162"/>
  <c r="E37" i="162"/>
  <c r="E24" i="162"/>
  <c r="E42" i="162"/>
  <c r="E46" i="333"/>
  <c r="A52" i="333" s="1"/>
  <c r="E26" i="333"/>
  <c r="E29" i="333"/>
  <c r="E42" i="333"/>
  <c r="E38" i="333"/>
  <c r="E23" i="333"/>
  <c r="E21" i="333"/>
  <c r="E45" i="333"/>
  <c r="E31" i="333"/>
  <c r="E36" i="333"/>
  <c r="E44" i="333"/>
  <c r="E22" i="333"/>
  <c r="E39" i="333"/>
  <c r="E50" i="379"/>
  <c r="J50" i="379"/>
  <c r="E44" i="380"/>
  <c r="E28" i="380"/>
  <c r="E32" i="380"/>
  <c r="E46" i="380"/>
  <c r="A52" i="380" s="1"/>
  <c r="E23" i="380"/>
  <c r="E36" i="380"/>
  <c r="E38" i="380"/>
  <c r="E29" i="380"/>
  <c r="E34" i="380"/>
  <c r="E37" i="380"/>
  <c r="E40" i="380"/>
  <c r="E45" i="383"/>
  <c r="E22" i="383"/>
  <c r="E31" i="383"/>
  <c r="E38" i="383"/>
  <c r="E24" i="383"/>
  <c r="E36" i="383"/>
  <c r="E26" i="383"/>
  <c r="E29" i="383"/>
  <c r="E40" i="383"/>
  <c r="E23" i="383"/>
  <c r="J50" i="272"/>
  <c r="E50" i="272"/>
  <c r="E48" i="266"/>
  <c r="D40" i="269"/>
  <c r="H34" i="269"/>
  <c r="H42" i="269"/>
  <c r="D46" i="269"/>
  <c r="H26" i="269"/>
  <c r="D32" i="269"/>
  <c r="J50" i="264"/>
  <c r="E50" i="264"/>
  <c r="C24" i="260"/>
  <c r="J50" i="452"/>
  <c r="E28" i="435"/>
  <c r="E30" i="435"/>
  <c r="E36" i="435"/>
  <c r="E38" i="435"/>
  <c r="E27" i="435"/>
  <c r="E28" i="432"/>
  <c r="E22" i="432"/>
  <c r="E30" i="432"/>
  <c r="E36" i="432"/>
  <c r="E42" i="432"/>
  <c r="E24" i="432"/>
  <c r="E50" i="439"/>
  <c r="E39" i="411"/>
  <c r="E23" i="411"/>
  <c r="E34" i="411"/>
  <c r="E29" i="411"/>
  <c r="E44" i="411"/>
  <c r="D48" i="381"/>
  <c r="H40" i="456"/>
  <c r="E32" i="416"/>
  <c r="E48" i="416" s="1"/>
  <c r="E46" i="416"/>
  <c r="A52" i="416" s="1"/>
  <c r="E35" i="366"/>
  <c r="E45" i="366"/>
  <c r="E27" i="380"/>
  <c r="E28" i="58"/>
  <c r="E30" i="58"/>
  <c r="E34" i="58"/>
  <c r="E32" i="58"/>
  <c r="E45" i="58"/>
  <c r="E24" i="58"/>
  <c r="E29" i="58"/>
  <c r="E36" i="58"/>
  <c r="E21" i="58"/>
  <c r="E38" i="58"/>
  <c r="E22" i="58"/>
  <c r="E21" i="81"/>
  <c r="E42" i="81"/>
  <c r="E28" i="81"/>
  <c r="E23" i="81"/>
  <c r="E37" i="81"/>
  <c r="E40" i="81"/>
  <c r="E26" i="81"/>
  <c r="E32" i="81"/>
  <c r="E46" i="81"/>
  <c r="A52" i="81" s="1"/>
  <c r="E30" i="81"/>
  <c r="E44" i="81"/>
  <c r="E30" i="128"/>
  <c r="E36" i="128"/>
  <c r="E22" i="128"/>
  <c r="E43" i="128"/>
  <c r="E27" i="128"/>
  <c r="E40" i="128"/>
  <c r="E34" i="128"/>
  <c r="E38" i="128"/>
  <c r="E42" i="128"/>
  <c r="E45" i="128"/>
  <c r="E29" i="128"/>
  <c r="E35" i="128"/>
  <c r="E39" i="128"/>
  <c r="E24" i="128"/>
  <c r="E46" i="128"/>
  <c r="A52" i="128" s="1"/>
  <c r="E26" i="128"/>
  <c r="E23" i="128"/>
  <c r="E32" i="128"/>
  <c r="E44" i="128"/>
  <c r="E31" i="128"/>
  <c r="E28" i="128"/>
  <c r="C48" i="350"/>
  <c r="C32" i="361"/>
  <c r="E24" i="435"/>
  <c r="E34" i="435"/>
  <c r="E46" i="435"/>
  <c r="A52" i="435" s="1"/>
  <c r="E39" i="435"/>
  <c r="E44" i="435"/>
  <c r="C48" i="375"/>
  <c r="E28" i="410"/>
  <c r="E48" i="410" s="1"/>
  <c r="H48" i="414"/>
  <c r="H50" i="414" s="1"/>
  <c r="E6" i="414" s="1"/>
  <c r="E32" i="432"/>
  <c r="E23" i="432"/>
  <c r="E31" i="432"/>
  <c r="E37" i="432"/>
  <c r="E21" i="432"/>
  <c r="E43" i="411"/>
  <c r="E38" i="411"/>
  <c r="E22" i="411"/>
  <c r="E32" i="411"/>
  <c r="E28" i="411"/>
  <c r="E32" i="376"/>
  <c r="E48" i="376" s="1"/>
  <c r="E27" i="421"/>
  <c r="E44" i="366"/>
  <c r="E46" i="366"/>
  <c r="A52" i="366" s="1"/>
  <c r="E30" i="240"/>
  <c r="E34" i="383"/>
  <c r="E40" i="355"/>
  <c r="E39" i="355"/>
  <c r="E24" i="355"/>
  <c r="E46" i="355"/>
  <c r="A52" i="355" s="1"/>
  <c r="E34" i="355"/>
  <c r="E37" i="355"/>
  <c r="E22" i="355"/>
  <c r="E26" i="355"/>
  <c r="E29" i="355"/>
  <c r="D50" i="373"/>
  <c r="E44" i="255"/>
  <c r="E46" i="255"/>
  <c r="A52" i="255" s="1"/>
  <c r="E29" i="255"/>
  <c r="E39" i="255"/>
  <c r="E42" i="255"/>
  <c r="E38" i="255"/>
  <c r="E28" i="255"/>
  <c r="E34" i="255"/>
  <c r="E36" i="255"/>
  <c r="E22" i="255"/>
  <c r="E24" i="255"/>
  <c r="E34" i="91"/>
  <c r="E44" i="91"/>
  <c r="E45" i="91"/>
  <c r="E29" i="91"/>
  <c r="E39" i="91"/>
  <c r="E46" i="91"/>
  <c r="A52" i="91" s="1"/>
  <c r="E42" i="91"/>
  <c r="E27" i="91"/>
  <c r="E32" i="91"/>
  <c r="E37" i="91"/>
  <c r="E22" i="91"/>
  <c r="H46" i="136"/>
  <c r="C46" i="136" s="1"/>
  <c r="C48" i="136" s="1"/>
  <c r="E32" i="251"/>
  <c r="E38" i="251"/>
  <c r="E24" i="251"/>
  <c r="E40" i="251"/>
  <c r="E31" i="251"/>
  <c r="E22" i="251"/>
  <c r="E23" i="251"/>
  <c r="E45" i="251"/>
  <c r="E35" i="383"/>
  <c r="E30" i="383"/>
  <c r="H40" i="346"/>
  <c r="C40" i="346" s="1"/>
  <c r="C40" i="45"/>
  <c r="C48" i="45" s="1"/>
  <c r="H48" i="45"/>
  <c r="H19" i="439"/>
  <c r="C19" i="439" s="1"/>
  <c r="C46" i="373"/>
  <c r="E39" i="281"/>
  <c r="E48" i="281" s="1"/>
  <c r="E36" i="71"/>
  <c r="E39" i="20"/>
  <c r="C40" i="437"/>
  <c r="H32" i="269"/>
  <c r="C32" i="269" s="1"/>
  <c r="H24" i="53"/>
  <c r="C24" i="53" s="1"/>
  <c r="E26" i="407"/>
  <c r="H19" i="366"/>
  <c r="C19" i="366" s="1"/>
  <c r="H50" i="336"/>
  <c r="E6" i="336" s="1"/>
  <c r="C40" i="434"/>
  <c r="H32" i="343"/>
  <c r="C32" i="343" s="1"/>
  <c r="E34" i="71"/>
  <c r="E42" i="20"/>
  <c r="H48" i="303"/>
  <c r="H50" i="303" s="1"/>
  <c r="E6" i="303" s="1"/>
  <c r="D48" i="373"/>
  <c r="E48" i="173"/>
  <c r="E38" i="407"/>
  <c r="E40" i="407"/>
  <c r="E28" i="407"/>
  <c r="H19" i="346"/>
  <c r="C19" i="346" s="1"/>
  <c r="E38" i="213"/>
  <c r="E26" i="213"/>
  <c r="E30" i="213"/>
  <c r="E23" i="213"/>
  <c r="E28" i="213"/>
  <c r="E32" i="213"/>
  <c r="E37" i="213"/>
  <c r="E24" i="213"/>
  <c r="E29" i="213"/>
  <c r="E35" i="213"/>
  <c r="E50" i="245"/>
  <c r="J50" i="245"/>
  <c r="C46" i="392"/>
  <c r="C32" i="347"/>
  <c r="D48" i="165"/>
  <c r="D50" i="165"/>
  <c r="D32" i="180"/>
  <c r="H28" i="180"/>
  <c r="H32" i="180" s="1"/>
  <c r="D19" i="10"/>
  <c r="E15" i="10" s="1"/>
  <c r="H15" i="10"/>
  <c r="H19" i="10" s="1"/>
  <c r="C19" i="10" s="1"/>
  <c r="D15" i="23"/>
  <c r="H27" i="6"/>
  <c r="D27" i="23"/>
  <c r="H27" i="23" s="1"/>
  <c r="H32" i="39"/>
  <c r="C32" i="39" s="1"/>
  <c r="E46" i="113"/>
  <c r="A52" i="113" s="1"/>
  <c r="E32" i="113"/>
  <c r="H19" i="253"/>
  <c r="C19" i="253" s="1"/>
  <c r="E26" i="228"/>
  <c r="E37" i="228"/>
  <c r="E30" i="228"/>
  <c r="E35" i="228"/>
  <c r="E40" i="227"/>
  <c r="E26" i="227"/>
  <c r="E28" i="227"/>
  <c r="E30" i="227"/>
  <c r="E35" i="227"/>
  <c r="E39" i="227"/>
  <c r="E22" i="227"/>
  <c r="E44" i="227"/>
  <c r="E29" i="227"/>
  <c r="E31" i="227"/>
  <c r="E36" i="227"/>
  <c r="E42" i="227"/>
  <c r="E24" i="227"/>
  <c r="E27" i="227"/>
  <c r="E21" i="227"/>
  <c r="E32" i="227"/>
  <c r="E37" i="227"/>
  <c r="E43" i="223"/>
  <c r="E31" i="223"/>
  <c r="E42" i="223"/>
  <c r="E27" i="223"/>
  <c r="E31" i="224"/>
  <c r="E37" i="224"/>
  <c r="E22" i="224"/>
  <c r="E43" i="224"/>
  <c r="E28" i="224"/>
  <c r="E34" i="224"/>
  <c r="E38" i="224"/>
  <c r="E23" i="224"/>
  <c r="E46" i="224"/>
  <c r="A52" i="224" s="1"/>
  <c r="E29" i="224"/>
  <c r="E32" i="224"/>
  <c r="E35" i="224"/>
  <c r="E21" i="224"/>
  <c r="E42" i="224"/>
  <c r="E26" i="224"/>
  <c r="E44" i="224"/>
  <c r="J50" i="205"/>
  <c r="E50" i="205"/>
  <c r="E45" i="183"/>
  <c r="E26" i="183"/>
  <c r="E27" i="183"/>
  <c r="E24" i="187"/>
  <c r="E45" i="187"/>
  <c r="E31" i="187"/>
  <c r="E29" i="187"/>
  <c r="J50" i="195"/>
  <c r="E50" i="195"/>
  <c r="E23" i="298"/>
  <c r="E42" i="298"/>
  <c r="E30" i="298"/>
  <c r="E40" i="298"/>
  <c r="E21" i="298"/>
  <c r="E43" i="298"/>
  <c r="E37" i="332"/>
  <c r="E28" i="332"/>
  <c r="E32" i="332"/>
  <c r="E21" i="332"/>
  <c r="E43" i="332"/>
  <c r="E29" i="332"/>
  <c r="E34" i="332"/>
  <c r="E22" i="332"/>
  <c r="E45" i="332"/>
  <c r="E26" i="332"/>
  <c r="E30" i="332"/>
  <c r="E35" i="332"/>
  <c r="E23" i="332"/>
  <c r="E46" i="332"/>
  <c r="A52" i="332" s="1"/>
  <c r="E40" i="323"/>
  <c r="E21" i="323"/>
  <c r="E26" i="323"/>
  <c r="E38" i="323"/>
  <c r="E23" i="323"/>
  <c r="E30" i="323"/>
  <c r="E34" i="323"/>
  <c r="E39" i="323"/>
  <c r="E44" i="323"/>
  <c r="E42" i="323"/>
  <c r="E27" i="323"/>
  <c r="E31" i="323"/>
  <c r="E35" i="323"/>
  <c r="E24" i="323"/>
  <c r="E36" i="323"/>
  <c r="E45" i="323"/>
  <c r="E28" i="323"/>
  <c r="E46" i="323"/>
  <c r="A52" i="323" s="1"/>
  <c r="E50" i="318"/>
  <c r="J50" i="318"/>
  <c r="E46" i="313"/>
  <c r="A52" i="313" s="1"/>
  <c r="E29" i="313"/>
  <c r="E35" i="313"/>
  <c r="E39" i="313"/>
  <c r="E44" i="313"/>
  <c r="E26" i="313"/>
  <c r="E27" i="313"/>
  <c r="E30" i="313"/>
  <c r="E36" i="313"/>
  <c r="E40" i="313"/>
  <c r="E21" i="313"/>
  <c r="E45" i="313"/>
  <c r="E31" i="313"/>
  <c r="E37" i="313"/>
  <c r="E42" i="313"/>
  <c r="E22" i="313"/>
  <c r="E32" i="313"/>
  <c r="E24" i="313"/>
  <c r="E40" i="306"/>
  <c r="E36" i="306"/>
  <c r="E39" i="306"/>
  <c r="E30" i="306"/>
  <c r="E44" i="306"/>
  <c r="E26" i="306"/>
  <c r="E37" i="306"/>
  <c r="E22" i="306"/>
  <c r="E31" i="306"/>
  <c r="E45" i="306"/>
  <c r="E27" i="306"/>
  <c r="E34" i="306"/>
  <c r="E38" i="306"/>
  <c r="E28" i="306"/>
  <c r="E42" i="306"/>
  <c r="E23" i="306"/>
  <c r="E46" i="306"/>
  <c r="A52" i="306" s="1"/>
  <c r="J50" i="292"/>
  <c r="E50" i="292"/>
  <c r="E36" i="125"/>
  <c r="E39" i="125"/>
  <c r="E24" i="125"/>
  <c r="E27" i="125"/>
  <c r="E29" i="125"/>
  <c r="E37" i="125"/>
  <c r="E22" i="125"/>
  <c r="E43" i="125"/>
  <c r="E45" i="125"/>
  <c r="E30" i="125"/>
  <c r="E23" i="125"/>
  <c r="E28" i="125"/>
  <c r="E32" i="125"/>
  <c r="E42" i="125"/>
  <c r="E46" i="125"/>
  <c r="A52" i="125" s="1"/>
  <c r="E34" i="125"/>
  <c r="E38" i="125"/>
  <c r="E26" i="125"/>
  <c r="E35" i="125"/>
  <c r="D48" i="35"/>
  <c r="E23" i="35" s="1"/>
  <c r="D50" i="35"/>
  <c r="D48" i="36"/>
  <c r="E24" i="36" s="1"/>
  <c r="D50" i="36"/>
  <c r="E19" i="39"/>
  <c r="E10" i="39"/>
  <c r="E15" i="39"/>
  <c r="E13" i="39"/>
  <c r="E14" i="39"/>
  <c r="E16" i="39"/>
  <c r="C46" i="39"/>
  <c r="E12" i="40"/>
  <c r="E18" i="40"/>
  <c r="E15" i="40"/>
  <c r="E10" i="40"/>
  <c r="E16" i="40"/>
  <c r="E13" i="40"/>
  <c r="E14" i="40"/>
  <c r="C46" i="40"/>
  <c r="D50" i="42"/>
  <c r="C32" i="42"/>
  <c r="D50" i="43"/>
  <c r="D48" i="43"/>
  <c r="H11" i="41"/>
  <c r="D19" i="41"/>
  <c r="E11" i="50"/>
  <c r="E13" i="50"/>
  <c r="E17" i="51"/>
  <c r="E12" i="51"/>
  <c r="E15" i="51"/>
  <c r="E11" i="51"/>
  <c r="E16" i="51"/>
  <c r="E18" i="51"/>
  <c r="E10" i="51"/>
  <c r="D50" i="51"/>
  <c r="E19" i="51"/>
  <c r="E14" i="51"/>
  <c r="D48" i="51"/>
  <c r="E46" i="51" s="1"/>
  <c r="A52" i="51" s="1"/>
  <c r="E18" i="52"/>
  <c r="E13" i="52"/>
  <c r="E19" i="52"/>
  <c r="E11" i="52"/>
  <c r="E12" i="52"/>
  <c r="E14" i="52"/>
  <c r="E16" i="52"/>
  <c r="E10" i="52"/>
  <c r="E17" i="52"/>
  <c r="D48" i="52"/>
  <c r="E46" i="52" s="1"/>
  <c r="A52" i="52" s="1"/>
  <c r="H38" i="53"/>
  <c r="D40" i="53"/>
  <c r="E14" i="54"/>
  <c r="E10" i="54"/>
  <c r="E15" i="54"/>
  <c r="D50" i="54"/>
  <c r="E13" i="54"/>
  <c r="E19" i="54"/>
  <c r="E17" i="54"/>
  <c r="E12" i="54"/>
  <c r="E18" i="54"/>
  <c r="C46" i="54"/>
  <c r="D50" i="57"/>
  <c r="D48" i="57"/>
  <c r="E32" i="57" s="1"/>
  <c r="E17" i="60"/>
  <c r="D50" i="60"/>
  <c r="E13" i="60"/>
  <c r="E18" i="60"/>
  <c r="E14" i="63"/>
  <c r="E18" i="63"/>
  <c r="E17" i="63"/>
  <c r="E12" i="63"/>
  <c r="E13" i="63"/>
  <c r="E16" i="63"/>
  <c r="E19" i="63"/>
  <c r="E18" i="64"/>
  <c r="E15" i="64"/>
  <c r="E19" i="64"/>
  <c r="E10" i="64"/>
  <c r="E13" i="64"/>
  <c r="E14" i="64"/>
  <c r="E17" i="64"/>
  <c r="D50" i="64"/>
  <c r="E11" i="64"/>
  <c r="E16" i="70"/>
  <c r="E18" i="70"/>
  <c r="E19" i="70"/>
  <c r="D50" i="70"/>
  <c r="E14" i="70"/>
  <c r="E19" i="72"/>
  <c r="E16" i="72"/>
  <c r="D50" i="72"/>
  <c r="E18" i="72"/>
  <c r="E15" i="72"/>
  <c r="E12" i="72"/>
  <c r="E14" i="73"/>
  <c r="E11" i="73"/>
  <c r="E13" i="73"/>
  <c r="E12" i="73"/>
  <c r="E15" i="73"/>
  <c r="E18" i="73"/>
  <c r="E39" i="74"/>
  <c r="E23" i="74"/>
  <c r="E30" i="74"/>
  <c r="E40" i="74"/>
  <c r="E35" i="74"/>
  <c r="E43" i="74"/>
  <c r="E10" i="89"/>
  <c r="E19" i="89"/>
  <c r="E19" i="90"/>
  <c r="E13" i="90"/>
  <c r="E16" i="90"/>
  <c r="D40" i="92"/>
  <c r="H34" i="92"/>
  <c r="H40" i="92" s="1"/>
  <c r="C40" i="92" s="1"/>
  <c r="E14" i="93"/>
  <c r="E15" i="93"/>
  <c r="E17" i="93"/>
  <c r="E14" i="95"/>
  <c r="E16" i="95"/>
  <c r="E18" i="95"/>
  <c r="E15" i="95"/>
  <c r="D50" i="95"/>
  <c r="E12" i="95"/>
  <c r="E11" i="95"/>
  <c r="E17" i="95"/>
  <c r="D32" i="95"/>
  <c r="D31" i="118"/>
  <c r="H31" i="118" s="1"/>
  <c r="E19" i="96"/>
  <c r="E11" i="96"/>
  <c r="E13" i="96"/>
  <c r="D46" i="98"/>
  <c r="C46" i="98" s="1"/>
  <c r="D42" i="118"/>
  <c r="D48" i="103"/>
  <c r="D50" i="103"/>
  <c r="D50" i="105"/>
  <c r="D48" i="105"/>
  <c r="E24" i="105" s="1"/>
  <c r="D32" i="107"/>
  <c r="D26" i="118"/>
  <c r="H26" i="118" s="1"/>
  <c r="E27" i="108"/>
  <c r="E40" i="108"/>
  <c r="E36" i="108"/>
  <c r="E39" i="108"/>
  <c r="E24" i="108"/>
  <c r="E28" i="108"/>
  <c r="E37" i="108"/>
  <c r="E22" i="108"/>
  <c r="E43" i="108"/>
  <c r="E29" i="108"/>
  <c r="D50" i="109"/>
  <c r="D48" i="109"/>
  <c r="E17" i="115"/>
  <c r="E14" i="115"/>
  <c r="E16" i="115"/>
  <c r="E12" i="115"/>
  <c r="D50" i="115"/>
  <c r="E11" i="115"/>
  <c r="E18" i="115"/>
  <c r="E14" i="116"/>
  <c r="E17" i="116"/>
  <c r="E11" i="116"/>
  <c r="E15" i="116"/>
  <c r="E16" i="116"/>
  <c r="E18" i="116"/>
  <c r="E19" i="117"/>
  <c r="E18" i="117"/>
  <c r="D29" i="118"/>
  <c r="H29" i="118" s="1"/>
  <c r="H29" i="117"/>
  <c r="H32" i="117" s="1"/>
  <c r="E46" i="120"/>
  <c r="E23" i="120"/>
  <c r="E26" i="120"/>
  <c r="E28" i="120"/>
  <c r="E32" i="120"/>
  <c r="E40" i="120"/>
  <c r="E39" i="120"/>
  <c r="E42" i="120"/>
  <c r="E44" i="120"/>
  <c r="E29" i="120"/>
  <c r="E34" i="120"/>
  <c r="H32" i="120"/>
  <c r="C32" i="120" s="1"/>
  <c r="E32" i="133"/>
  <c r="E24" i="133"/>
  <c r="E14" i="138"/>
  <c r="E11" i="138"/>
  <c r="E17" i="138"/>
  <c r="E10" i="138"/>
  <c r="E13" i="138"/>
  <c r="E14" i="139"/>
  <c r="E10" i="139"/>
  <c r="E15" i="139"/>
  <c r="E16" i="139"/>
  <c r="E11" i="139"/>
  <c r="E17" i="139"/>
  <c r="E13" i="139"/>
  <c r="E19" i="140"/>
  <c r="E14" i="140"/>
  <c r="E15" i="140"/>
  <c r="D32" i="140"/>
  <c r="D50" i="140" s="1"/>
  <c r="H26" i="140"/>
  <c r="E15" i="141"/>
  <c r="E10" i="141"/>
  <c r="E16" i="141"/>
  <c r="E17" i="141"/>
  <c r="E18" i="141"/>
  <c r="E19" i="142"/>
  <c r="E16" i="142"/>
  <c r="E10" i="142"/>
  <c r="E19" i="144"/>
  <c r="E12" i="144"/>
  <c r="E11" i="144"/>
  <c r="E14" i="145"/>
  <c r="E17" i="145"/>
  <c r="E18" i="145"/>
  <c r="E13" i="145"/>
  <c r="E10" i="145"/>
  <c r="E16" i="146"/>
  <c r="E11" i="146"/>
  <c r="E15" i="146"/>
  <c r="E18" i="146"/>
  <c r="E14" i="147"/>
  <c r="E16" i="147"/>
  <c r="E17" i="147"/>
  <c r="E14" i="148"/>
  <c r="E16" i="148"/>
  <c r="E12" i="149"/>
  <c r="E16" i="149"/>
  <c r="E18" i="149"/>
  <c r="E11" i="149"/>
  <c r="E14" i="149"/>
  <c r="E10" i="149"/>
  <c r="E17" i="149"/>
  <c r="E13" i="149"/>
  <c r="E15" i="149"/>
  <c r="E19" i="149"/>
  <c r="E13" i="150"/>
  <c r="E16" i="150"/>
  <c r="E19" i="150"/>
  <c r="E14" i="150"/>
  <c r="E14" i="151"/>
  <c r="E13" i="151"/>
  <c r="D48" i="161"/>
  <c r="D50" i="161"/>
  <c r="H32" i="139"/>
  <c r="C32" i="139" s="1"/>
  <c r="E15" i="115"/>
  <c r="E31" i="108"/>
  <c r="E42" i="108"/>
  <c r="E12" i="96"/>
  <c r="E15" i="96"/>
  <c r="E19" i="93"/>
  <c r="D48" i="111"/>
  <c r="D32" i="117"/>
  <c r="E16" i="71"/>
  <c r="E15" i="71"/>
  <c r="E11" i="70"/>
  <c r="E15" i="52"/>
  <c r="E10" i="72"/>
  <c r="D48" i="48"/>
  <c r="H40" i="39"/>
  <c r="C40" i="39" s="1"/>
  <c r="H19" i="35"/>
  <c r="C19" i="35" s="1"/>
  <c r="E22" i="74"/>
  <c r="E11" i="54"/>
  <c r="E12" i="90"/>
  <c r="E17" i="89"/>
  <c r="E12" i="117"/>
  <c r="E10" i="115"/>
  <c r="E13" i="93"/>
  <c r="E30" i="108"/>
  <c r="E23" i="108"/>
  <c r="E32" i="108"/>
  <c r="E45" i="108"/>
  <c r="E19" i="73"/>
  <c r="E15" i="70"/>
  <c r="E17" i="73"/>
  <c r="H46" i="72"/>
  <c r="C46" i="72" s="1"/>
  <c r="E13" i="70"/>
  <c r="E11" i="72"/>
  <c r="E13" i="72"/>
  <c r="E17" i="39"/>
  <c r="H46" i="36"/>
  <c r="C46" i="36" s="1"/>
  <c r="D48" i="61"/>
  <c r="E46" i="61" s="1"/>
  <c r="E21" i="74"/>
  <c r="E18" i="39"/>
  <c r="D26" i="53"/>
  <c r="E16" i="54"/>
  <c r="E11" i="39"/>
  <c r="C32" i="329"/>
  <c r="H40" i="260"/>
  <c r="C40" i="260" s="1"/>
  <c r="H40" i="196"/>
  <c r="C40" i="196" s="1"/>
  <c r="E19" i="115"/>
  <c r="E16" i="96"/>
  <c r="E44" i="108"/>
  <c r="E21" i="108"/>
  <c r="E11" i="93"/>
  <c r="H32" i="89"/>
  <c r="C32" i="89" s="1"/>
  <c r="E35" i="108"/>
  <c r="E19" i="60"/>
  <c r="E16" i="73"/>
  <c r="E11" i="40"/>
  <c r="E14" i="72"/>
  <c r="E11" i="63"/>
  <c r="E12" i="64"/>
  <c r="H46" i="42"/>
  <c r="C46" i="42" s="1"/>
  <c r="D50" i="121"/>
  <c r="E13" i="115"/>
  <c r="E19" i="95"/>
  <c r="E16" i="89"/>
  <c r="E13" i="89"/>
  <c r="E11" i="60"/>
  <c r="E13" i="170"/>
  <c r="E10" i="170"/>
  <c r="E13" i="171"/>
  <c r="E16" i="171"/>
  <c r="E11" i="171"/>
  <c r="E19" i="171"/>
  <c r="E15" i="171"/>
  <c r="E10" i="171"/>
  <c r="E14" i="173"/>
  <c r="E17" i="173"/>
  <c r="E15" i="175"/>
  <c r="E16" i="175"/>
  <c r="E17" i="176"/>
  <c r="E13" i="176"/>
  <c r="E16" i="176"/>
  <c r="E12" i="176"/>
  <c r="E15" i="178"/>
  <c r="E17" i="178"/>
  <c r="E12" i="178"/>
  <c r="E19" i="191"/>
  <c r="E13" i="191"/>
  <c r="E10" i="192"/>
  <c r="E12" i="192"/>
  <c r="E16" i="240"/>
  <c r="E12" i="240"/>
  <c r="D50" i="240"/>
  <c r="E16" i="241"/>
  <c r="E12" i="241"/>
  <c r="E12" i="242"/>
  <c r="E13" i="242"/>
  <c r="E14" i="242"/>
  <c r="E18" i="243"/>
  <c r="E14" i="243"/>
  <c r="E19" i="243"/>
  <c r="H19" i="260"/>
  <c r="C19" i="260" s="1"/>
  <c r="E11" i="262"/>
  <c r="E12" i="262"/>
  <c r="E14" i="262"/>
  <c r="E12" i="264"/>
  <c r="E13" i="264"/>
  <c r="E10" i="264"/>
  <c r="E14" i="264"/>
  <c r="E15" i="264"/>
  <c r="E11" i="178"/>
  <c r="E19" i="175"/>
  <c r="D48" i="119"/>
  <c r="E14" i="176"/>
  <c r="E18" i="171"/>
  <c r="E4" i="77"/>
  <c r="G4" i="77"/>
  <c r="E15" i="8"/>
  <c r="E19" i="8"/>
  <c r="E17" i="8"/>
  <c r="E18" i="14"/>
  <c r="E15" i="14"/>
  <c r="E13" i="14"/>
  <c r="H29" i="15"/>
  <c r="E13" i="22"/>
  <c r="E14" i="22"/>
  <c r="E19" i="24"/>
  <c r="D50" i="24"/>
  <c r="E10" i="26"/>
  <c r="E18" i="26"/>
  <c r="E13" i="27"/>
  <c r="E14" i="27"/>
  <c r="E19" i="27"/>
  <c r="E15" i="27"/>
  <c r="H36" i="23"/>
  <c r="D32" i="15"/>
  <c r="D48" i="15" s="1"/>
  <c r="D48" i="42"/>
  <c r="D50" i="47"/>
  <c r="C24" i="104"/>
  <c r="H46" i="96"/>
  <c r="H46" i="64"/>
  <c r="C46" i="64" s="1"/>
  <c r="H46" i="60"/>
  <c r="C46" i="60" s="1"/>
  <c r="H32" i="29"/>
  <c r="C32" i="29" s="1"/>
  <c r="H46" i="52"/>
  <c r="C46" i="52" s="1"/>
  <c r="E12" i="8"/>
  <c r="E10" i="178"/>
  <c r="E16" i="173"/>
  <c r="E16" i="170"/>
  <c r="E15" i="176"/>
  <c r="E12" i="171"/>
  <c r="E15" i="26"/>
  <c r="E44" i="317"/>
  <c r="H40" i="141"/>
  <c r="C40" i="141" s="1"/>
  <c r="C46" i="91"/>
  <c r="D48" i="130"/>
  <c r="H32" i="61"/>
  <c r="C32" i="61" s="1"/>
  <c r="H32" i="44"/>
  <c r="C32" i="44" s="1"/>
  <c r="H24" i="33"/>
  <c r="C24" i="33" s="1"/>
  <c r="E16" i="14"/>
  <c r="E19" i="14"/>
  <c r="E10" i="176"/>
  <c r="E18" i="176"/>
  <c r="E14" i="171"/>
  <c r="E15" i="22"/>
  <c r="E16" i="15"/>
  <c r="E19" i="223"/>
  <c r="E15" i="223"/>
  <c r="E18" i="38"/>
  <c r="E13" i="38"/>
  <c r="E11" i="38"/>
  <c r="H28" i="15"/>
  <c r="D48" i="27"/>
  <c r="E30" i="27" s="1"/>
  <c r="H42" i="84"/>
  <c r="H40" i="306"/>
  <c r="C40" i="306" s="1"/>
  <c r="C46" i="310"/>
  <c r="E13" i="284"/>
  <c r="E19" i="268"/>
  <c r="D50" i="127"/>
  <c r="E12" i="48"/>
  <c r="E16" i="36"/>
  <c r="E10" i="48"/>
  <c r="E17" i="38"/>
  <c r="E11" i="36"/>
  <c r="E10" i="36"/>
  <c r="E19" i="36"/>
  <c r="H31" i="9"/>
  <c r="H32" i="9" s="1"/>
  <c r="C32" i="9" s="1"/>
  <c r="H34" i="266"/>
  <c r="H40" i="266" s="1"/>
  <c r="C40" i="266" s="1"/>
  <c r="H34" i="276"/>
  <c r="H40" i="276" s="1"/>
  <c r="C40" i="276" s="1"/>
  <c r="H34" i="278"/>
  <c r="H34" i="280"/>
  <c r="H19" i="388"/>
  <c r="C19" i="388" s="1"/>
  <c r="H19" i="392"/>
  <c r="C19" i="392" s="1"/>
  <c r="H32" i="306"/>
  <c r="H40" i="317"/>
  <c r="H34" i="9"/>
  <c r="H27" i="15"/>
  <c r="H42" i="41"/>
  <c r="H46" i="41" s="1"/>
  <c r="C46" i="41" s="1"/>
  <c r="H31" i="53"/>
  <c r="H27" i="53"/>
  <c r="H34" i="75"/>
  <c r="H40" i="75" s="1"/>
  <c r="C40" i="75" s="1"/>
  <c r="H26" i="88"/>
  <c r="H32" i="88" s="1"/>
  <c r="H31" i="95"/>
  <c r="H32" i="95" s="1"/>
  <c r="C32" i="95" s="1"/>
  <c r="H24" i="145"/>
  <c r="C24" i="145" s="1"/>
  <c r="H42" i="151"/>
  <c r="H46" i="151" s="1"/>
  <c r="C46" i="151" s="1"/>
  <c r="C48" i="151" s="1"/>
  <c r="H35" i="180"/>
  <c r="E11" i="213"/>
  <c r="H26" i="231"/>
  <c r="H39" i="269"/>
  <c r="H35" i="269"/>
  <c r="H19" i="279"/>
  <c r="C19" i="279" s="1"/>
  <c r="H27" i="280"/>
  <c r="H32" i="280" s="1"/>
  <c r="C32" i="280" s="1"/>
  <c r="H30" i="338"/>
  <c r="H13" i="351"/>
  <c r="H19" i="351" s="1"/>
  <c r="C19" i="351" s="1"/>
  <c r="H44" i="351"/>
  <c r="H40" i="353"/>
  <c r="H34" i="357"/>
  <c r="H31" i="358"/>
  <c r="H26" i="417"/>
  <c r="H32" i="417" s="1"/>
  <c r="H26" i="420"/>
  <c r="H32" i="420" s="1"/>
  <c r="C32" i="420" s="1"/>
  <c r="E19" i="424"/>
  <c r="E15" i="423"/>
  <c r="E14" i="424"/>
  <c r="H26" i="430"/>
  <c r="H34" i="440"/>
  <c r="H40" i="440" s="1"/>
  <c r="E14" i="446"/>
  <c r="E16" i="446"/>
  <c r="H26" i="446"/>
  <c r="H32" i="446" s="1"/>
  <c r="E17" i="451"/>
  <c r="E17" i="455"/>
  <c r="E11" i="462"/>
  <c r="E13" i="462"/>
  <c r="H34" i="464"/>
  <c r="H42" i="465"/>
  <c r="H42" i="469"/>
  <c r="H40" i="310"/>
  <c r="C40" i="310" s="1"/>
  <c r="H21" i="6"/>
  <c r="H24" i="6" s="1"/>
  <c r="C24" i="6" s="1"/>
  <c r="H29" i="11"/>
  <c r="H26" i="12"/>
  <c r="H32" i="12" s="1"/>
  <c r="C32" i="12" s="1"/>
  <c r="D50" i="19"/>
  <c r="H26" i="33"/>
  <c r="H32" i="33" s="1"/>
  <c r="H10" i="23"/>
  <c r="H18" i="41"/>
  <c r="H14" i="41"/>
  <c r="H10" i="41"/>
  <c r="H24" i="90"/>
  <c r="H32" i="119"/>
  <c r="C32" i="119" s="1"/>
  <c r="H26" i="142"/>
  <c r="H32" i="142" s="1"/>
  <c r="C32" i="142" s="1"/>
  <c r="H26" i="144"/>
  <c r="H32" i="144" s="1"/>
  <c r="C32" i="144" s="1"/>
  <c r="C48" i="144" s="1"/>
  <c r="H44" i="155"/>
  <c r="H46" i="155" s="1"/>
  <c r="C46" i="155" s="1"/>
  <c r="H42" i="160"/>
  <c r="H24" i="162"/>
  <c r="H42" i="184"/>
  <c r="E13" i="213"/>
  <c r="H34" i="302"/>
  <c r="H40" i="302" s="1"/>
  <c r="C40" i="302" s="1"/>
  <c r="H29" i="338"/>
  <c r="H23" i="338"/>
  <c r="H42" i="347"/>
  <c r="D24" i="358"/>
  <c r="H30" i="358"/>
  <c r="H32" i="358" s="1"/>
  <c r="H26" i="365"/>
  <c r="H32" i="365" s="1"/>
  <c r="C32" i="365" s="1"/>
  <c r="E19" i="383"/>
  <c r="H31" i="399"/>
  <c r="H19" i="402"/>
  <c r="C19" i="402" s="1"/>
  <c r="H40" i="442"/>
  <c r="C40" i="442" s="1"/>
  <c r="H26" i="443"/>
  <c r="H32" i="443" s="1"/>
  <c r="H42" i="453"/>
  <c r="D48" i="327"/>
  <c r="E32" i="327" s="1"/>
  <c r="D50" i="327"/>
  <c r="D50" i="330"/>
  <c r="D48" i="330"/>
  <c r="E46" i="330" s="1"/>
  <c r="A52" i="330" s="1"/>
  <c r="C40" i="236"/>
  <c r="C48" i="236" s="1"/>
  <c r="H48" i="236"/>
  <c r="H50" i="236" s="1"/>
  <c r="E6" i="236" s="1"/>
  <c r="D48" i="99"/>
  <c r="E46" i="99" s="1"/>
  <c r="A52" i="99" s="1"/>
  <c r="D50" i="99"/>
  <c r="C46" i="99"/>
  <c r="D50" i="238"/>
  <c r="D48" i="238"/>
  <c r="E46" i="238" s="1"/>
  <c r="A52" i="238" s="1"/>
  <c r="D50" i="412"/>
  <c r="D48" i="412"/>
  <c r="E32" i="412" s="1"/>
  <c r="C48" i="341"/>
  <c r="H24" i="359"/>
  <c r="C24" i="359" s="1"/>
  <c r="H24" i="82"/>
  <c r="H34" i="91"/>
  <c r="H40" i="91" s="1"/>
  <c r="C40" i="91" s="1"/>
  <c r="H26" i="107"/>
  <c r="H32" i="107" s="1"/>
  <c r="H24" i="257"/>
  <c r="C24" i="257" s="1"/>
  <c r="H24" i="362"/>
  <c r="C24" i="362" s="1"/>
  <c r="E14" i="369"/>
  <c r="H40" i="290"/>
  <c r="C40" i="290" s="1"/>
  <c r="H19" i="254"/>
  <c r="H32" i="69"/>
  <c r="C32" i="69" s="1"/>
  <c r="D32" i="88"/>
  <c r="D48" i="88" s="1"/>
  <c r="E11" i="362"/>
  <c r="H32" i="364"/>
  <c r="C32" i="364" s="1"/>
  <c r="H19" i="413"/>
  <c r="C19" i="413" s="1"/>
  <c r="E18" i="460"/>
  <c r="C32" i="412"/>
  <c r="C48" i="412" s="1"/>
  <c r="H32" i="408"/>
  <c r="C32" i="408" s="1"/>
  <c r="H32" i="102"/>
  <c r="C32" i="102" s="1"/>
  <c r="H40" i="398"/>
  <c r="C40" i="398" s="1"/>
  <c r="E38" i="391"/>
  <c r="H19" i="299"/>
  <c r="C19" i="299" s="1"/>
  <c r="H40" i="304"/>
  <c r="C46" i="238"/>
  <c r="H40" i="42"/>
  <c r="C40" i="42" s="1"/>
  <c r="H24" i="113"/>
  <c r="H46" i="125"/>
  <c r="H48" i="125" s="1"/>
  <c r="H50" i="125" s="1"/>
  <c r="E6" i="125" s="1"/>
  <c r="H40" i="134"/>
  <c r="C40" i="134" s="1"/>
  <c r="H19" i="181"/>
  <c r="C19" i="181" s="1"/>
  <c r="H46" i="190"/>
  <c r="C46" i="190" s="1"/>
  <c r="C40" i="353"/>
  <c r="H19" i="403"/>
  <c r="C19" i="403" s="1"/>
  <c r="H40" i="407"/>
  <c r="C40" i="407" s="1"/>
  <c r="E48" i="212"/>
  <c r="E46" i="391"/>
  <c r="A52" i="391" s="1"/>
  <c r="H46" i="131"/>
  <c r="C46" i="131" s="1"/>
  <c r="H46" i="108"/>
  <c r="C46" i="108" s="1"/>
  <c r="H18" i="118"/>
  <c r="H19" i="118" s="1"/>
  <c r="E10" i="184"/>
  <c r="H40" i="185"/>
  <c r="C40" i="185" s="1"/>
  <c r="E14" i="213"/>
  <c r="E16" i="227"/>
  <c r="H46" i="273"/>
  <c r="C46" i="273" s="1"/>
  <c r="H19" i="318"/>
  <c r="C19" i="318" s="1"/>
  <c r="H32" i="370"/>
  <c r="C32" i="370" s="1"/>
  <c r="E10" i="467"/>
  <c r="C46" i="270"/>
  <c r="C48" i="270" s="1"/>
  <c r="H48" i="270"/>
  <c r="H24" i="129"/>
  <c r="C24" i="129" s="1"/>
  <c r="C48" i="129" s="1"/>
  <c r="H32" i="183"/>
  <c r="C32" i="183" s="1"/>
  <c r="D50" i="271"/>
  <c r="D48" i="271"/>
  <c r="H24" i="327"/>
  <c r="C24" i="327" s="1"/>
  <c r="D48" i="175"/>
  <c r="D50" i="175"/>
  <c r="D48" i="372"/>
  <c r="D50" i="372"/>
  <c r="C48" i="183"/>
  <c r="H40" i="293"/>
  <c r="H48" i="293" s="1"/>
  <c r="H32" i="241"/>
  <c r="C32" i="241" s="1"/>
  <c r="C48" i="241" s="1"/>
  <c r="D50" i="221"/>
  <c r="H19" i="201"/>
  <c r="C19" i="201" s="1"/>
  <c r="H40" i="177"/>
  <c r="C40" i="177" s="1"/>
  <c r="H46" i="318"/>
  <c r="C46" i="318" s="1"/>
  <c r="H46" i="70"/>
  <c r="C46" i="70" s="1"/>
  <c r="H32" i="92"/>
  <c r="C32" i="92" s="1"/>
  <c r="H24" i="99"/>
  <c r="C24" i="99" s="1"/>
  <c r="H32" i="138"/>
  <c r="C32" i="138" s="1"/>
  <c r="H46" i="142"/>
  <c r="C46" i="142" s="1"/>
  <c r="H46" i="257"/>
  <c r="C46" i="257" s="1"/>
  <c r="H24" i="266"/>
  <c r="C24" i="266" s="1"/>
  <c r="H40" i="279"/>
  <c r="C40" i="279" s="1"/>
  <c r="H19" i="317"/>
  <c r="C19" i="317" s="1"/>
  <c r="E18" i="369"/>
  <c r="E11" i="377"/>
  <c r="E17" i="377"/>
  <c r="H40" i="383"/>
  <c r="C40" i="383" s="1"/>
  <c r="H40" i="386"/>
  <c r="C40" i="386" s="1"/>
  <c r="H32" i="391"/>
  <c r="C32" i="391" s="1"/>
  <c r="H24" i="407"/>
  <c r="C24" i="407" s="1"/>
  <c r="E13" i="418"/>
  <c r="E10" i="455"/>
  <c r="E12" i="465"/>
  <c r="E18" i="467"/>
  <c r="E12" i="469"/>
  <c r="E12" i="470"/>
  <c r="H46" i="458"/>
  <c r="C46" i="458" s="1"/>
  <c r="H32" i="450"/>
  <c r="E46" i="377"/>
  <c r="H40" i="361"/>
  <c r="C40" i="361" s="1"/>
  <c r="E42" i="391"/>
  <c r="E43" i="391"/>
  <c r="C46" i="372"/>
  <c r="H32" i="312"/>
  <c r="C32" i="312" s="1"/>
  <c r="H40" i="264"/>
  <c r="C40" i="264" s="1"/>
  <c r="C48" i="264" s="1"/>
  <c r="H19" i="238"/>
  <c r="C19" i="238" s="1"/>
  <c r="H32" i="64"/>
  <c r="C32" i="64" s="1"/>
  <c r="E18" i="79"/>
  <c r="H24" i="100"/>
  <c r="C24" i="100" s="1"/>
  <c r="H19" i="121"/>
  <c r="C19" i="121" s="1"/>
  <c r="H32" i="177"/>
  <c r="E14" i="223"/>
  <c r="H19" i="239"/>
  <c r="C19" i="239" s="1"/>
  <c r="H42" i="330"/>
  <c r="H46" i="330" s="1"/>
  <c r="C46" i="330" s="1"/>
  <c r="C48" i="330" s="1"/>
  <c r="H42" i="357"/>
  <c r="H46" i="357" s="1"/>
  <c r="C46" i="357" s="1"/>
  <c r="H19" i="363"/>
  <c r="C19" i="363" s="1"/>
  <c r="E14" i="366"/>
  <c r="E12" i="376"/>
  <c r="E13" i="377"/>
  <c r="E18" i="377"/>
  <c r="H19" i="391"/>
  <c r="C19" i="391" s="1"/>
  <c r="H40" i="404"/>
  <c r="C40" i="404" s="1"/>
  <c r="E10" i="412"/>
  <c r="H19" i="450"/>
  <c r="C19" i="450" s="1"/>
  <c r="E17" i="457"/>
  <c r="E11" i="459"/>
  <c r="E19" i="467"/>
  <c r="D50" i="419"/>
  <c r="H19" i="401"/>
  <c r="C19" i="401" s="1"/>
  <c r="H19" i="320"/>
  <c r="C19" i="320" s="1"/>
  <c r="H32" i="302"/>
  <c r="C32" i="302" s="1"/>
  <c r="C46" i="271"/>
  <c r="H19" i="177"/>
  <c r="C19" i="177" s="1"/>
  <c r="H24" i="37"/>
  <c r="C24" i="37" s="1"/>
  <c r="E12" i="39"/>
  <c r="H19" i="79"/>
  <c r="C19" i="79" s="1"/>
  <c r="H19" i="93"/>
  <c r="C19" i="93" s="1"/>
  <c r="H32" i="100"/>
  <c r="C32" i="100" s="1"/>
  <c r="H19" i="146"/>
  <c r="C19" i="146" s="1"/>
  <c r="H40" i="150"/>
  <c r="C40" i="150" s="1"/>
  <c r="H32" i="163"/>
  <c r="E15" i="213"/>
  <c r="H42" i="252"/>
  <c r="H46" i="252" s="1"/>
  <c r="C46" i="252" s="1"/>
  <c r="H42" i="253"/>
  <c r="H46" i="253" s="1"/>
  <c r="C46" i="253" s="1"/>
  <c r="H19" i="278"/>
  <c r="C19" i="278" s="1"/>
  <c r="H24" i="289"/>
  <c r="C24" i="289" s="1"/>
  <c r="H19" i="347"/>
  <c r="C19" i="347" s="1"/>
  <c r="H42" i="374"/>
  <c r="H46" i="374" s="1"/>
  <c r="C46" i="374" s="1"/>
  <c r="E15" i="376"/>
  <c r="E14" i="377"/>
  <c r="E17" i="378"/>
  <c r="H19" i="416"/>
  <c r="C19" i="416" s="1"/>
  <c r="H19" i="436"/>
  <c r="C19" i="436" s="1"/>
  <c r="H19" i="330"/>
  <c r="C19" i="330" s="1"/>
  <c r="H19" i="329"/>
  <c r="C19" i="329" s="1"/>
  <c r="H32" i="327"/>
  <c r="C32" i="327" s="1"/>
  <c r="H40" i="32"/>
  <c r="C40" i="32" s="1"/>
  <c r="H19" i="17"/>
  <c r="C19" i="17" s="1"/>
  <c r="E10" i="79"/>
  <c r="H19" i="81"/>
  <c r="C19" i="81" s="1"/>
  <c r="H32" i="140"/>
  <c r="C32" i="140" s="1"/>
  <c r="E12" i="213"/>
  <c r="H40" i="256"/>
  <c r="C40" i="256" s="1"/>
  <c r="H19" i="266"/>
  <c r="C19" i="266" s="1"/>
  <c r="H26" i="291"/>
  <c r="H40" i="322"/>
  <c r="C40" i="322" s="1"/>
  <c r="H24" i="374"/>
  <c r="C24" i="374" s="1"/>
  <c r="E16" i="381"/>
  <c r="H24" i="381"/>
  <c r="C24" i="381" s="1"/>
  <c r="C48" i="381" s="1"/>
  <c r="H19" i="389"/>
  <c r="C19" i="389" s="1"/>
  <c r="H40" i="391"/>
  <c r="H43" i="403"/>
  <c r="H46" i="403" s="1"/>
  <c r="C46" i="403" s="1"/>
  <c r="E48" i="312"/>
  <c r="C32" i="450"/>
  <c r="H48" i="450"/>
  <c r="H50" i="450" s="1"/>
  <c r="E6" i="450" s="1"/>
  <c r="E48" i="335"/>
  <c r="E48" i="348"/>
  <c r="C24" i="189"/>
  <c r="H48" i="189"/>
  <c r="H50" i="189" s="1"/>
  <c r="E6" i="189" s="1"/>
  <c r="H32" i="204"/>
  <c r="C32" i="204" s="1"/>
  <c r="C48" i="204" s="1"/>
  <c r="D48" i="250"/>
  <c r="E32" i="250" s="1"/>
  <c r="D50" i="250"/>
  <c r="D50" i="259"/>
  <c r="D48" i="259"/>
  <c r="H46" i="287"/>
  <c r="H40" i="162"/>
  <c r="C40" i="162" s="1"/>
  <c r="H40" i="280"/>
  <c r="C40" i="280" s="1"/>
  <c r="I50" i="4"/>
  <c r="E22" i="297"/>
  <c r="E39" i="297"/>
  <c r="E44" i="297"/>
  <c r="E40" i="297"/>
  <c r="E36" i="297"/>
  <c r="E45" i="297"/>
  <c r="E28" i="297"/>
  <c r="E23" i="297"/>
  <c r="E21" i="297"/>
  <c r="E46" i="297"/>
  <c r="A52" i="297" s="1"/>
  <c r="E37" i="297"/>
  <c r="E35" i="297"/>
  <c r="D48" i="131"/>
  <c r="D50" i="131"/>
  <c r="D50" i="209"/>
  <c r="D48" i="209"/>
  <c r="E23" i="209" s="1"/>
  <c r="D50" i="360"/>
  <c r="D48" i="363"/>
  <c r="E46" i="363" s="1"/>
  <c r="A52" i="363" s="1"/>
  <c r="D50" i="363"/>
  <c r="D48" i="453"/>
  <c r="D50" i="453"/>
  <c r="C40" i="238"/>
  <c r="H48" i="238"/>
  <c r="C24" i="235"/>
  <c r="C48" i="235" s="1"/>
  <c r="H48" i="235"/>
  <c r="D48" i="4"/>
  <c r="D50" i="4"/>
  <c r="E50" i="4" s="1"/>
  <c r="H24" i="134"/>
  <c r="C24" i="134" s="1"/>
  <c r="D48" i="232"/>
  <c r="E40" i="232" s="1"/>
  <c r="D50" i="232"/>
  <c r="H32" i="383"/>
  <c r="C32" i="383" s="1"/>
  <c r="H46" i="408"/>
  <c r="C46" i="408" s="1"/>
  <c r="C48" i="408" s="1"/>
  <c r="C40" i="131"/>
  <c r="H40" i="425"/>
  <c r="C40" i="425" s="1"/>
  <c r="H32" i="353"/>
  <c r="C32" i="353" s="1"/>
  <c r="H19" i="83"/>
  <c r="C19" i="83" s="1"/>
  <c r="E35" i="407"/>
  <c r="H50" i="178"/>
  <c r="E6" i="178" s="1"/>
  <c r="H19" i="285"/>
  <c r="C19" i="285" s="1"/>
  <c r="H40" i="278"/>
  <c r="C40" i="278" s="1"/>
  <c r="H40" i="272"/>
  <c r="H32" i="255"/>
  <c r="C32" i="255" s="1"/>
  <c r="H32" i="234"/>
  <c r="C32" i="234" s="1"/>
  <c r="D48" i="34"/>
  <c r="E38" i="34" s="1"/>
  <c r="H19" i="44"/>
  <c r="C19" i="44" s="1"/>
  <c r="H24" i="46"/>
  <c r="H32" i="62"/>
  <c r="C32" i="62" s="1"/>
  <c r="H32" i="70"/>
  <c r="C32" i="70" s="1"/>
  <c r="C24" i="90"/>
  <c r="H32" i="97"/>
  <c r="H19" i="126"/>
  <c r="C19" i="126" s="1"/>
  <c r="H24" i="141"/>
  <c r="C24" i="141" s="1"/>
  <c r="H46" i="347"/>
  <c r="C46" i="347" s="1"/>
  <c r="D48" i="353"/>
  <c r="E18" i="459"/>
  <c r="E12" i="463"/>
  <c r="D32" i="466"/>
  <c r="D48" i="466" s="1"/>
  <c r="E48" i="456"/>
  <c r="H19" i="458"/>
  <c r="C19" i="458" s="1"/>
  <c r="H19" i="456"/>
  <c r="C19" i="456" s="1"/>
  <c r="H19" i="425"/>
  <c r="C19" i="425" s="1"/>
  <c r="H40" i="174"/>
  <c r="C40" i="174" s="1"/>
  <c r="H32" i="455"/>
  <c r="C32" i="455" s="1"/>
  <c r="H32" i="297"/>
  <c r="C32" i="297" s="1"/>
  <c r="H46" i="266"/>
  <c r="C46" i="266" s="1"/>
  <c r="H40" i="265"/>
  <c r="C40" i="265" s="1"/>
  <c r="C46" i="209"/>
  <c r="C48" i="209" s="1"/>
  <c r="H24" i="334"/>
  <c r="C24" i="334" s="1"/>
  <c r="H40" i="259"/>
  <c r="C40" i="259" s="1"/>
  <c r="C48" i="259" s="1"/>
  <c r="H19" i="186"/>
  <c r="C19" i="186" s="1"/>
  <c r="H40" i="159"/>
  <c r="H32" i="175"/>
  <c r="C32" i="175" s="1"/>
  <c r="H19" i="141"/>
  <c r="C19" i="141" s="1"/>
  <c r="H46" i="128"/>
  <c r="C46" i="128" s="1"/>
  <c r="H24" i="107"/>
  <c r="C24" i="107" s="1"/>
  <c r="H32" i="55"/>
  <c r="C32" i="55" s="1"/>
  <c r="C40" i="232"/>
  <c r="H19" i="30"/>
  <c r="C19" i="30" s="1"/>
  <c r="H32" i="30"/>
  <c r="D50" i="73"/>
  <c r="H46" i="103"/>
  <c r="C46" i="103" s="1"/>
  <c r="H32" i="137"/>
  <c r="C32" i="137" s="1"/>
  <c r="D48" i="141"/>
  <c r="C32" i="163"/>
  <c r="E15" i="184"/>
  <c r="E14" i="275"/>
  <c r="E13" i="328"/>
  <c r="E19" i="377"/>
  <c r="H46" i="435"/>
  <c r="C46" i="435" s="1"/>
  <c r="E10" i="459"/>
  <c r="E18" i="465"/>
  <c r="H19" i="455"/>
  <c r="C19" i="455" s="1"/>
  <c r="H19" i="408"/>
  <c r="C19" i="408" s="1"/>
  <c r="H19" i="376"/>
  <c r="C19" i="376" s="1"/>
  <c r="H46" i="371"/>
  <c r="D48" i="390"/>
  <c r="H46" i="334"/>
  <c r="C46" i="334" s="1"/>
  <c r="H40" i="181"/>
  <c r="C40" i="181" s="1"/>
  <c r="H19" i="117"/>
  <c r="C19" i="117" s="1"/>
  <c r="H24" i="88"/>
  <c r="C24" i="88" s="1"/>
  <c r="H46" i="8"/>
  <c r="C46" i="8" s="1"/>
  <c r="E10" i="44"/>
  <c r="H46" i="49"/>
  <c r="C46" i="49" s="1"/>
  <c r="E10" i="50"/>
  <c r="H19" i="107"/>
  <c r="C19" i="107" s="1"/>
  <c r="H19" i="113"/>
  <c r="C19" i="113" s="1"/>
  <c r="H19" i="134"/>
  <c r="C19" i="134" s="1"/>
  <c r="D48" i="360"/>
  <c r="H42" i="360"/>
  <c r="H46" i="360" s="1"/>
  <c r="C46" i="360" s="1"/>
  <c r="E18" i="363"/>
  <c r="E14" i="364"/>
  <c r="E13" i="469"/>
  <c r="H34" i="469"/>
  <c r="E11" i="470"/>
  <c r="C46" i="186"/>
  <c r="C48" i="186" s="1"/>
  <c r="H48" i="348"/>
  <c r="H50" i="348" s="1"/>
  <c r="E6" i="348" s="1"/>
  <c r="C48" i="234"/>
  <c r="H32" i="459"/>
  <c r="C32" i="459" s="1"/>
  <c r="C48" i="459" s="1"/>
  <c r="H19" i="399"/>
  <c r="C19" i="399" s="1"/>
  <c r="H46" i="370"/>
  <c r="C46" i="370" s="1"/>
  <c r="C46" i="4"/>
  <c r="C48" i="4" s="1"/>
  <c r="E34" i="407"/>
  <c r="H46" i="323"/>
  <c r="C46" i="323" s="1"/>
  <c r="H19" i="262"/>
  <c r="C19" i="262" s="1"/>
  <c r="H19" i="261"/>
  <c r="C19" i="261" s="1"/>
  <c r="H40" i="245"/>
  <c r="C40" i="245" s="1"/>
  <c r="H46" i="258"/>
  <c r="C46" i="258" s="1"/>
  <c r="C48" i="258" s="1"/>
  <c r="H19" i="12"/>
  <c r="C19" i="12" s="1"/>
  <c r="H40" i="46"/>
  <c r="C40" i="46" s="1"/>
  <c r="E15" i="97"/>
  <c r="H40" i="99"/>
  <c r="C40" i="99" s="1"/>
  <c r="H40" i="106"/>
  <c r="C40" i="106" s="1"/>
  <c r="E16" i="114"/>
  <c r="H46" i="115"/>
  <c r="H19" i="127"/>
  <c r="C19" i="127" s="1"/>
  <c r="H32" i="131"/>
  <c r="H19" i="162"/>
  <c r="C19" i="162" s="1"/>
  <c r="H32" i="167"/>
  <c r="C32" i="167" s="1"/>
  <c r="E19" i="174"/>
  <c r="E19" i="275"/>
  <c r="E18" i="336"/>
  <c r="E11" i="354"/>
  <c r="H42" i="363"/>
  <c r="H42" i="367"/>
  <c r="H46" i="367" s="1"/>
  <c r="C46" i="367" s="1"/>
  <c r="E16" i="369"/>
  <c r="D19" i="386"/>
  <c r="E10" i="405"/>
  <c r="E14" i="409"/>
  <c r="E17" i="459"/>
  <c r="E11" i="463"/>
  <c r="C32" i="177"/>
  <c r="C46" i="276"/>
  <c r="A52" i="120"/>
  <c r="D48" i="13"/>
  <c r="D50" i="13"/>
  <c r="D50" i="10"/>
  <c r="E50" i="10" s="1"/>
  <c r="D48" i="10"/>
  <c r="D48" i="90"/>
  <c r="D50" i="90"/>
  <c r="C40" i="188"/>
  <c r="D48" i="38"/>
  <c r="D50" i="38"/>
  <c r="D48" i="33"/>
  <c r="D50" i="33"/>
  <c r="E50" i="33" s="1"/>
  <c r="D50" i="159"/>
  <c r="J50" i="247"/>
  <c r="E50" i="247"/>
  <c r="E46" i="27"/>
  <c r="A52" i="27" s="1"/>
  <c r="C32" i="306"/>
  <c r="C48" i="306" s="1"/>
  <c r="H48" i="306"/>
  <c r="H50" i="306" s="1"/>
  <c r="E6" i="306" s="1"/>
  <c r="C40" i="100"/>
  <c r="E23" i="400"/>
  <c r="E48" i="400" s="1"/>
  <c r="H40" i="148"/>
  <c r="C40" i="148" s="1"/>
  <c r="H40" i="273"/>
  <c r="C40" i="273" s="1"/>
  <c r="H40" i="230"/>
  <c r="C40" i="230" s="1"/>
  <c r="C48" i="220"/>
  <c r="E32" i="235"/>
  <c r="E48" i="235" s="1"/>
  <c r="H46" i="167"/>
  <c r="C40" i="159"/>
  <c r="D50" i="137"/>
  <c r="H40" i="113"/>
  <c r="C40" i="113" s="1"/>
  <c r="H24" i="67"/>
  <c r="C24" i="67" s="1"/>
  <c r="H32" i="60"/>
  <c r="C32" i="60" s="1"/>
  <c r="H32" i="28"/>
  <c r="C32" i="28" s="1"/>
  <c r="E11" i="3"/>
  <c r="E13" i="15"/>
  <c r="D50" i="25"/>
  <c r="H32" i="25"/>
  <c r="C32" i="25" s="1"/>
  <c r="H19" i="27"/>
  <c r="C19" i="27" s="1"/>
  <c r="H24" i="28"/>
  <c r="E17" i="36"/>
  <c r="E17" i="40"/>
  <c r="H15" i="41"/>
  <c r="H21" i="41"/>
  <c r="H24" i="41" s="1"/>
  <c r="C24" i="41" s="1"/>
  <c r="H19" i="69"/>
  <c r="C19" i="69" s="1"/>
  <c r="H24" i="71"/>
  <c r="C24" i="71" s="1"/>
  <c r="H24" i="72"/>
  <c r="C24" i="72" s="1"/>
  <c r="H42" i="73"/>
  <c r="H26" i="73"/>
  <c r="H32" i="73" s="1"/>
  <c r="H24" i="74"/>
  <c r="C24" i="74" s="1"/>
  <c r="H46" i="107"/>
  <c r="C46" i="107" s="1"/>
  <c r="H34" i="124"/>
  <c r="H40" i="124" s="1"/>
  <c r="C40" i="124" s="1"/>
  <c r="H46" i="126"/>
  <c r="C46" i="126" s="1"/>
  <c r="C48" i="126" s="1"/>
  <c r="H46" i="130"/>
  <c r="E11" i="131"/>
  <c r="E10" i="148"/>
  <c r="H46" i="171"/>
  <c r="C46" i="171" s="1"/>
  <c r="H32" i="324"/>
  <c r="C32" i="324" s="1"/>
  <c r="H24" i="323"/>
  <c r="C24" i="323" s="1"/>
  <c r="H19" i="250"/>
  <c r="C19" i="250" s="1"/>
  <c r="H19" i="212"/>
  <c r="C19" i="212" s="1"/>
  <c r="H46" i="215"/>
  <c r="H40" i="197"/>
  <c r="C40" i="197" s="1"/>
  <c r="H32" i="150"/>
  <c r="H46" i="116"/>
  <c r="C46" i="116" s="1"/>
  <c r="H32" i="109"/>
  <c r="C32" i="109" s="1"/>
  <c r="H46" i="59"/>
  <c r="C46" i="59" s="1"/>
  <c r="H46" i="73"/>
  <c r="C46" i="73" s="1"/>
  <c r="E18" i="36"/>
  <c r="E16" i="3"/>
  <c r="H24" i="3"/>
  <c r="C24" i="3" s="1"/>
  <c r="H28" i="6"/>
  <c r="H32" i="6" s="1"/>
  <c r="E11" i="13"/>
  <c r="E19" i="29"/>
  <c r="H24" i="34"/>
  <c r="C24" i="34" s="1"/>
  <c r="H30" i="38"/>
  <c r="H32" i="38" s="1"/>
  <c r="C32" i="38" s="1"/>
  <c r="H35" i="41"/>
  <c r="H40" i="41" s="1"/>
  <c r="E12" i="46"/>
  <c r="D30" i="41"/>
  <c r="H30" i="41" s="1"/>
  <c r="H24" i="54"/>
  <c r="C24" i="54" s="1"/>
  <c r="D48" i="69"/>
  <c r="H44" i="77"/>
  <c r="H38" i="77"/>
  <c r="H42" i="90"/>
  <c r="H40" i="107"/>
  <c r="C40" i="107" s="1"/>
  <c r="H24" i="114"/>
  <c r="C24" i="114" s="1"/>
  <c r="H26" i="128"/>
  <c r="H32" i="128" s="1"/>
  <c r="C32" i="128" s="1"/>
  <c r="E17" i="148"/>
  <c r="E12" i="174"/>
  <c r="H40" i="435"/>
  <c r="E40" i="420"/>
  <c r="C48" i="383"/>
  <c r="D48" i="159"/>
  <c r="E40" i="159" s="1"/>
  <c r="H19" i="112"/>
  <c r="C19" i="112" s="1"/>
  <c r="H46" i="92"/>
  <c r="C46" i="92" s="1"/>
  <c r="H46" i="83"/>
  <c r="C46" i="83" s="1"/>
  <c r="H32" i="34"/>
  <c r="C32" i="34" s="1"/>
  <c r="H24" i="39"/>
  <c r="H24" i="59"/>
  <c r="H48" i="59" s="1"/>
  <c r="H50" i="59" s="1"/>
  <c r="E6" i="59" s="1"/>
  <c r="H46" i="68"/>
  <c r="C46" i="68" s="1"/>
  <c r="E46" i="341"/>
  <c r="A52" i="341" s="1"/>
  <c r="H46" i="390"/>
  <c r="D50" i="123"/>
  <c r="H40" i="225"/>
  <c r="C40" i="225" s="1"/>
  <c r="H19" i="157"/>
  <c r="C19" i="157" s="1"/>
  <c r="H24" i="140"/>
  <c r="H32" i="113"/>
  <c r="D50" i="15"/>
  <c r="E16" i="34"/>
  <c r="E16" i="6"/>
  <c r="E19" i="6"/>
  <c r="E13" i="3"/>
  <c r="E18" i="13"/>
  <c r="H26" i="13"/>
  <c r="E12" i="15"/>
  <c r="E18" i="24"/>
  <c r="H19" i="50"/>
  <c r="C19" i="50" s="1"/>
  <c r="H19" i="56"/>
  <c r="C19" i="56" s="1"/>
  <c r="H46" i="57"/>
  <c r="C46" i="57" s="1"/>
  <c r="H24" i="75"/>
  <c r="C24" i="75" s="1"/>
  <c r="H29" i="84"/>
  <c r="H44" i="118"/>
  <c r="E10" i="131"/>
  <c r="H46" i="139"/>
  <c r="C46" i="139" s="1"/>
  <c r="H46" i="146"/>
  <c r="H48" i="146" s="1"/>
  <c r="E19" i="177"/>
  <c r="E11" i="177"/>
  <c r="E10" i="177"/>
  <c r="H34" i="261"/>
  <c r="H40" i="261" s="1"/>
  <c r="C40" i="261" s="1"/>
  <c r="E16" i="290"/>
  <c r="E13" i="316"/>
  <c r="E17" i="345"/>
  <c r="E12" i="362"/>
  <c r="E16" i="364"/>
  <c r="E13" i="376"/>
  <c r="E18" i="390"/>
  <c r="E19" i="390"/>
  <c r="E11" i="394"/>
  <c r="E16" i="416"/>
  <c r="E12" i="416"/>
  <c r="E11" i="419"/>
  <c r="E12" i="419"/>
  <c r="E18" i="420"/>
  <c r="E14" i="420"/>
  <c r="E12" i="420"/>
  <c r="E18" i="439"/>
  <c r="E19" i="439"/>
  <c r="E17" i="439"/>
  <c r="E16" i="439"/>
  <c r="E16" i="204"/>
  <c r="E16" i="223"/>
  <c r="E10" i="281"/>
  <c r="H34" i="299"/>
  <c r="D50" i="303"/>
  <c r="E18" i="316"/>
  <c r="E17" i="336"/>
  <c r="E10" i="373"/>
  <c r="E15" i="387"/>
  <c r="E10" i="387"/>
  <c r="E10" i="388"/>
  <c r="E18" i="388"/>
  <c r="E11" i="388"/>
  <c r="E13" i="389"/>
  <c r="E16" i="389"/>
  <c r="E19" i="416"/>
  <c r="E14" i="419"/>
  <c r="E10" i="416"/>
  <c r="E13" i="416"/>
  <c r="E10" i="420"/>
  <c r="E13" i="420"/>
  <c r="E10" i="201"/>
  <c r="E17" i="245"/>
  <c r="E11" i="280"/>
  <c r="E13" i="364"/>
  <c r="E15" i="370"/>
  <c r="E16" i="376"/>
  <c r="E16" i="394"/>
  <c r="E17" i="394"/>
  <c r="E12" i="394"/>
  <c r="E10" i="394"/>
  <c r="E19" i="394"/>
  <c r="E13" i="405"/>
  <c r="E17" i="405"/>
  <c r="E19" i="405"/>
  <c r="E15" i="405"/>
  <c r="E12" i="405"/>
  <c r="H23" i="406"/>
  <c r="H24" i="406" s="1"/>
  <c r="E19" i="411"/>
  <c r="E17" i="411"/>
  <c r="E15" i="419"/>
  <c r="E11" i="219"/>
  <c r="E13" i="223"/>
  <c r="E19" i="280"/>
  <c r="E19" i="336"/>
  <c r="E16" i="345"/>
  <c r="E14" i="372"/>
  <c r="E18" i="376"/>
  <c r="E13" i="394"/>
  <c r="E19" i="420"/>
  <c r="H24" i="428"/>
  <c r="H34" i="432"/>
  <c r="E10" i="439"/>
  <c r="H17" i="386"/>
  <c r="H19" i="386" s="1"/>
  <c r="D32" i="417"/>
  <c r="H34" i="427"/>
  <c r="H40" i="427" s="1"/>
  <c r="H31" i="429"/>
  <c r="E12" i="466"/>
  <c r="D50" i="468"/>
  <c r="E50" i="468" s="1"/>
  <c r="E11" i="455"/>
  <c r="E18" i="457"/>
  <c r="E19" i="469"/>
  <c r="E19" i="457"/>
  <c r="E13" i="463"/>
  <c r="D50" i="467"/>
  <c r="J50" i="467" s="1"/>
  <c r="H46" i="468"/>
  <c r="C46" i="468" s="1"/>
  <c r="E11" i="469"/>
  <c r="H34" i="421"/>
  <c r="H26" i="429"/>
  <c r="H34" i="430"/>
  <c r="H40" i="430" s="1"/>
  <c r="C40" i="430" s="1"/>
  <c r="H26" i="433"/>
  <c r="H32" i="433" s="1"/>
  <c r="E18" i="451"/>
  <c r="E19" i="465"/>
  <c r="E11" i="466"/>
  <c r="D50" i="470"/>
  <c r="J50" i="470" s="1"/>
  <c r="E27" i="428"/>
  <c r="E24" i="428"/>
  <c r="E43" i="428"/>
  <c r="E23" i="415"/>
  <c r="E46" i="415"/>
  <c r="A52" i="415" s="1"/>
  <c r="E35" i="415"/>
  <c r="E28" i="415"/>
  <c r="E32" i="415"/>
  <c r="E40" i="415"/>
  <c r="E24" i="415"/>
  <c r="E37" i="415"/>
  <c r="E29" i="415"/>
  <c r="E22" i="415"/>
  <c r="E45" i="415"/>
  <c r="C32" i="296"/>
  <c r="C48" i="296" s="1"/>
  <c r="H48" i="296"/>
  <c r="H50" i="296" s="1"/>
  <c r="E6" i="296" s="1"/>
  <c r="E32" i="439"/>
  <c r="E46" i="439"/>
  <c r="A52" i="439" s="1"/>
  <c r="E37" i="439"/>
  <c r="E30" i="439"/>
  <c r="E22" i="439"/>
  <c r="E44" i="439"/>
  <c r="E26" i="439"/>
  <c r="E35" i="439"/>
  <c r="E28" i="439"/>
  <c r="E43" i="439"/>
  <c r="E39" i="439"/>
  <c r="E31" i="439"/>
  <c r="E48" i="287"/>
  <c r="C32" i="266"/>
  <c r="E24" i="394"/>
  <c r="E32" i="394"/>
  <c r="E32" i="297"/>
  <c r="E27" i="297"/>
  <c r="E34" i="297"/>
  <c r="E43" i="297"/>
  <c r="E31" i="297"/>
  <c r="E29" i="297"/>
  <c r="E26" i="297"/>
  <c r="E30" i="297"/>
  <c r="E42" i="297"/>
  <c r="E24" i="297"/>
  <c r="E38" i="297"/>
  <c r="H32" i="342"/>
  <c r="C32" i="342" s="1"/>
  <c r="H40" i="438"/>
  <c r="H32" i="427"/>
  <c r="C32" i="427" s="1"/>
  <c r="E31" i="422"/>
  <c r="E37" i="422"/>
  <c r="E21" i="422"/>
  <c r="E23" i="422"/>
  <c r="E26" i="421"/>
  <c r="E32" i="421"/>
  <c r="E39" i="421"/>
  <c r="E24" i="421"/>
  <c r="E45" i="421"/>
  <c r="H19" i="341"/>
  <c r="C19" i="341" s="1"/>
  <c r="D50" i="430"/>
  <c r="J50" i="430" s="1"/>
  <c r="E32" i="346"/>
  <c r="E48" i="230"/>
  <c r="E28" i="396"/>
  <c r="E24" i="396"/>
  <c r="E27" i="330"/>
  <c r="E38" i="330"/>
  <c r="E34" i="330"/>
  <c r="E45" i="330"/>
  <c r="E43" i="330"/>
  <c r="E36" i="457"/>
  <c r="E28" i="457"/>
  <c r="E29" i="422"/>
  <c r="E38" i="459"/>
  <c r="E31" i="459"/>
  <c r="E21" i="459"/>
  <c r="E34" i="457"/>
  <c r="E28" i="421"/>
  <c r="E29" i="457"/>
  <c r="E26" i="459"/>
  <c r="E45" i="459"/>
  <c r="E23" i="459"/>
  <c r="H32" i="451"/>
  <c r="C32" i="451" s="1"/>
  <c r="E40" i="422"/>
  <c r="E34" i="422"/>
  <c r="E38" i="422"/>
  <c r="E43" i="422"/>
  <c r="E45" i="422"/>
  <c r="E46" i="421"/>
  <c r="A52" i="421" s="1"/>
  <c r="E40" i="421"/>
  <c r="E30" i="421"/>
  <c r="E35" i="421"/>
  <c r="E42" i="421"/>
  <c r="E22" i="421"/>
  <c r="E40" i="357"/>
  <c r="E17" i="351"/>
  <c r="E46" i="346"/>
  <c r="A52" i="346" s="1"/>
  <c r="F31" i="178"/>
  <c r="F23" i="178"/>
  <c r="F28" i="178"/>
  <c r="F30" i="178"/>
  <c r="F10" i="178"/>
  <c r="J50" i="278"/>
  <c r="E50" i="278"/>
  <c r="E50" i="213"/>
  <c r="J50" i="213"/>
  <c r="C46" i="187"/>
  <c r="C48" i="187" s="1"/>
  <c r="H48" i="187"/>
  <c r="H50" i="187" s="1"/>
  <c r="E6" i="187" s="1"/>
  <c r="F29" i="187" s="1"/>
  <c r="I29" i="187" s="1"/>
  <c r="A52" i="205"/>
  <c r="E48" i="205"/>
  <c r="C46" i="167"/>
  <c r="E36" i="330"/>
  <c r="E21" i="330"/>
  <c r="E24" i="330"/>
  <c r="E31" i="330"/>
  <c r="E44" i="330"/>
  <c r="E38" i="457"/>
  <c r="E31" i="457"/>
  <c r="E21" i="457"/>
  <c r="E40" i="459"/>
  <c r="E36" i="459"/>
  <c r="E28" i="459"/>
  <c r="E46" i="378"/>
  <c r="E46" i="457"/>
  <c r="A52" i="457" s="1"/>
  <c r="J50" i="448"/>
  <c r="E43" i="459"/>
  <c r="E29" i="459"/>
  <c r="C46" i="450"/>
  <c r="E30" i="422"/>
  <c r="C40" i="419"/>
  <c r="E24" i="422"/>
  <c r="E36" i="422"/>
  <c r="E42" i="422"/>
  <c r="E44" i="422"/>
  <c r="E38" i="421"/>
  <c r="E34" i="421"/>
  <c r="E37" i="421"/>
  <c r="E43" i="421"/>
  <c r="H32" i="357"/>
  <c r="C32" i="357" s="1"/>
  <c r="E34" i="357"/>
  <c r="C40" i="348"/>
  <c r="E28" i="346"/>
  <c r="C40" i="253"/>
  <c r="C48" i="253" s="1"/>
  <c r="H48" i="253"/>
  <c r="E48" i="137"/>
  <c r="C24" i="199"/>
  <c r="C48" i="199" s="1"/>
  <c r="C48" i="153"/>
  <c r="H48" i="220"/>
  <c r="H32" i="326"/>
  <c r="C32" i="326" s="1"/>
  <c r="H19" i="293"/>
  <c r="C19" i="293" s="1"/>
  <c r="H40" i="277"/>
  <c r="H40" i="255"/>
  <c r="C40" i="255" s="1"/>
  <c r="H32" i="257"/>
  <c r="H19" i="219"/>
  <c r="C19" i="219" s="1"/>
  <c r="H40" i="221"/>
  <c r="H24" i="179"/>
  <c r="C24" i="179" s="1"/>
  <c r="D50" i="189"/>
  <c r="H24" i="164"/>
  <c r="H48" i="164" s="1"/>
  <c r="H50" i="164" s="1"/>
  <c r="E6" i="164" s="1"/>
  <c r="H19" i="147"/>
  <c r="C19" i="147" s="1"/>
  <c r="H19" i="130"/>
  <c r="C19" i="130" s="1"/>
  <c r="H40" i="121"/>
  <c r="C40" i="121" s="1"/>
  <c r="H32" i="84"/>
  <c r="C32" i="84" s="1"/>
  <c r="C46" i="265"/>
  <c r="E24" i="38"/>
  <c r="E48" i="196"/>
  <c r="E34" i="327"/>
  <c r="H32" i="313"/>
  <c r="C32" i="313" s="1"/>
  <c r="H40" i="319"/>
  <c r="H46" i="291"/>
  <c r="C46" i="291" s="1"/>
  <c r="C46" i="299"/>
  <c r="H40" i="292"/>
  <c r="H32" i="283"/>
  <c r="H32" i="247"/>
  <c r="C32" i="247" s="1"/>
  <c r="H40" i="161"/>
  <c r="H19" i="132"/>
  <c r="D48" i="124"/>
  <c r="E40" i="124" s="1"/>
  <c r="D50" i="124"/>
  <c r="C32" i="127"/>
  <c r="C48" i="127" s="1"/>
  <c r="E48" i="132"/>
  <c r="E23" i="391"/>
  <c r="E39" i="380"/>
  <c r="E43" i="383"/>
  <c r="H46" i="365"/>
  <c r="C46" i="365" s="1"/>
  <c r="E48" i="295"/>
  <c r="H19" i="272"/>
  <c r="H32" i="244"/>
  <c r="H24" i="102"/>
  <c r="C24" i="102" s="1"/>
  <c r="H46" i="121"/>
  <c r="C46" i="121" s="1"/>
  <c r="E48" i="268"/>
  <c r="H19" i="332"/>
  <c r="C19" i="332" s="1"/>
  <c r="H40" i="325"/>
  <c r="H19" i="322"/>
  <c r="C19" i="322" s="1"/>
  <c r="H32" i="300"/>
  <c r="C32" i="300" s="1"/>
  <c r="H40" i="271"/>
  <c r="H19" i="232"/>
  <c r="C19" i="232" s="1"/>
  <c r="H32" i="208"/>
  <c r="H24" i="174"/>
  <c r="C24" i="174" s="1"/>
  <c r="H19" i="150"/>
  <c r="C19" i="150" s="1"/>
  <c r="E46" i="139"/>
  <c r="A52" i="139" s="1"/>
  <c r="H19" i="29"/>
  <c r="C19" i="29" s="1"/>
  <c r="H19" i="54"/>
  <c r="C19" i="54" s="1"/>
  <c r="D19" i="118"/>
  <c r="H40" i="98"/>
  <c r="E46" i="115"/>
  <c r="A52" i="115" s="1"/>
  <c r="C46" i="96"/>
  <c r="H32" i="66"/>
  <c r="H40" i="49"/>
  <c r="C40" i="49" s="1"/>
  <c r="H46" i="24"/>
  <c r="C46" i="24" s="1"/>
  <c r="D50" i="20"/>
  <c r="H46" i="31"/>
  <c r="C46" i="31" s="1"/>
  <c r="E14" i="34"/>
  <c r="H46" i="51"/>
  <c r="E16" i="68"/>
  <c r="H46" i="110"/>
  <c r="C46" i="110" s="1"/>
  <c r="H27" i="114"/>
  <c r="H32" i="114" s="1"/>
  <c r="H24" i="159"/>
  <c r="H32" i="110"/>
  <c r="C32" i="110" s="1"/>
  <c r="H19" i="137"/>
  <c r="C19" i="137" s="1"/>
  <c r="H19" i="89"/>
  <c r="C19" i="89" s="1"/>
  <c r="H19" i="82"/>
  <c r="C19" i="82" s="1"/>
  <c r="H40" i="103"/>
  <c r="H46" i="105"/>
  <c r="C46" i="105" s="1"/>
  <c r="H46" i="79"/>
  <c r="C46" i="79" s="1"/>
  <c r="H32" i="74"/>
  <c r="H19" i="78"/>
  <c r="C19" i="78" s="1"/>
  <c r="H32" i="72"/>
  <c r="C32" i="72" s="1"/>
  <c r="H19" i="45"/>
  <c r="C19" i="45" s="1"/>
  <c r="H46" i="43"/>
  <c r="C46" i="43" s="1"/>
  <c r="H40" i="1"/>
  <c r="C40" i="1" s="1"/>
  <c r="D48" i="8"/>
  <c r="H46" i="9"/>
  <c r="C46" i="9" s="1"/>
  <c r="H19" i="21"/>
  <c r="C19" i="21" s="1"/>
  <c r="H40" i="25"/>
  <c r="C40" i="25" s="1"/>
  <c r="H19" i="36"/>
  <c r="C19" i="36" s="1"/>
  <c r="D40" i="41"/>
  <c r="D26" i="41"/>
  <c r="H26" i="41" s="1"/>
  <c r="H24" i="57"/>
  <c r="H19" i="63"/>
  <c r="C19" i="63" s="1"/>
  <c r="H19" i="66"/>
  <c r="C19" i="66" s="1"/>
  <c r="H24" i="70"/>
  <c r="C24" i="70" s="1"/>
  <c r="H19" i="74"/>
  <c r="C19" i="74" s="1"/>
  <c r="H19" i="80"/>
  <c r="C19" i="80" s="1"/>
  <c r="D48" i="94"/>
  <c r="H19" i="105"/>
  <c r="C19" i="105" s="1"/>
  <c r="H40" i="109"/>
  <c r="C40" i="109" s="1"/>
  <c r="H24" i="119"/>
  <c r="C24" i="119" s="1"/>
  <c r="H19" i="122"/>
  <c r="C19" i="122" s="1"/>
  <c r="H19" i="123"/>
  <c r="C19" i="123" s="1"/>
  <c r="H42" i="124"/>
  <c r="H46" i="124" s="1"/>
  <c r="C46" i="124" s="1"/>
  <c r="D50" i="134"/>
  <c r="H40" i="145"/>
  <c r="C40" i="145" s="1"/>
  <c r="H19" i="166"/>
  <c r="C19" i="166" s="1"/>
  <c r="H19" i="176"/>
  <c r="C19" i="176" s="1"/>
  <c r="H32" i="158"/>
  <c r="C32" i="158" s="1"/>
  <c r="H19" i="136"/>
  <c r="C19" i="136" s="1"/>
  <c r="H19" i="120"/>
  <c r="C19" i="120" s="1"/>
  <c r="H24" i="96"/>
  <c r="H19" i="76"/>
  <c r="C19" i="76" s="1"/>
  <c r="H46" i="80"/>
  <c r="C46" i="80" s="1"/>
  <c r="C46" i="82"/>
  <c r="H40" i="64"/>
  <c r="C40" i="64" s="1"/>
  <c r="H40" i="70"/>
  <c r="C40" i="70" s="1"/>
  <c r="H40" i="83"/>
  <c r="C40" i="83" s="1"/>
  <c r="H40" i="43"/>
  <c r="C40" i="43" s="1"/>
  <c r="H24" i="44"/>
  <c r="H32" i="43"/>
  <c r="H46" i="20"/>
  <c r="C46" i="20" s="1"/>
  <c r="H40" i="21"/>
  <c r="C40" i="21" s="1"/>
  <c r="H23" i="23"/>
  <c r="H24" i="23" s="1"/>
  <c r="C24" i="23" s="1"/>
  <c r="E19" i="40"/>
  <c r="E15" i="55"/>
  <c r="E14" i="59"/>
  <c r="D48" i="65"/>
  <c r="H40" i="108"/>
  <c r="H24" i="111"/>
  <c r="H19" i="102"/>
  <c r="C19" i="102" s="1"/>
  <c r="H32" i="155"/>
  <c r="H46" i="137"/>
  <c r="H40" i="105"/>
  <c r="H46" i="106"/>
  <c r="H24" i="110"/>
  <c r="H19" i="85"/>
  <c r="C19" i="85" s="1"/>
  <c r="H19" i="49"/>
  <c r="C19" i="49" s="1"/>
  <c r="H40" i="14"/>
  <c r="C40" i="14" s="1"/>
  <c r="C24" i="20"/>
  <c r="E12" i="27"/>
  <c r="H24" i="27"/>
  <c r="C24" i="27" s="1"/>
  <c r="D48" i="28"/>
  <c r="E32" i="28" s="1"/>
  <c r="D48" i="87"/>
  <c r="D50" i="113"/>
  <c r="C46" i="146"/>
  <c r="C48" i="146" s="1"/>
  <c r="E10" i="147"/>
  <c r="E18" i="148"/>
  <c r="H34" i="175"/>
  <c r="H40" i="175" s="1"/>
  <c r="C40" i="175" s="1"/>
  <c r="E11" i="201"/>
  <c r="E17" i="204"/>
  <c r="D48" i="220"/>
  <c r="E12" i="201"/>
  <c r="E17" i="206"/>
  <c r="E15" i="224"/>
  <c r="H34" i="252"/>
  <c r="H40" i="252" s="1"/>
  <c r="C40" i="252" s="1"/>
  <c r="E16" i="258"/>
  <c r="E11" i="278"/>
  <c r="H24" i="196"/>
  <c r="C24" i="196" s="1"/>
  <c r="H19" i="197"/>
  <c r="C19" i="197" s="1"/>
  <c r="H19" i="203"/>
  <c r="C19" i="203" s="1"/>
  <c r="E15" i="204"/>
  <c r="H24" i="217"/>
  <c r="C24" i="217" s="1"/>
  <c r="E11" i="223"/>
  <c r="H19" i="225"/>
  <c r="C19" i="225" s="1"/>
  <c r="H19" i="244"/>
  <c r="C19" i="244" s="1"/>
  <c r="H19" i="246"/>
  <c r="C19" i="246" s="1"/>
  <c r="H46" i="256"/>
  <c r="C46" i="256" s="1"/>
  <c r="H15" i="269"/>
  <c r="H10" i="269"/>
  <c r="H19" i="274"/>
  <c r="C19" i="274" s="1"/>
  <c r="E13" i="224"/>
  <c r="E10" i="241"/>
  <c r="D48" i="262"/>
  <c r="E15" i="307"/>
  <c r="E10" i="312"/>
  <c r="E19" i="316"/>
  <c r="E12" i="320"/>
  <c r="H34" i="347"/>
  <c r="H40" i="347" s="1"/>
  <c r="C40" i="347" s="1"/>
  <c r="E15" i="289"/>
  <c r="D48" i="319"/>
  <c r="E14" i="320"/>
  <c r="D48" i="324"/>
  <c r="E27" i="324" s="1"/>
  <c r="E19" i="328"/>
  <c r="E12" i="283"/>
  <c r="E16" i="284"/>
  <c r="H42" i="284"/>
  <c r="H46" i="284" s="1"/>
  <c r="C46" i="284" s="1"/>
  <c r="E16" i="289"/>
  <c r="H26" i="310"/>
  <c r="H24" i="320"/>
  <c r="H48" i="320" s="1"/>
  <c r="D48" i="328"/>
  <c r="D24" i="338"/>
  <c r="D48" i="338" s="1"/>
  <c r="H19" i="313"/>
  <c r="C19" i="313" s="1"/>
  <c r="E18" i="330"/>
  <c r="H19" i="331"/>
  <c r="C19" i="331" s="1"/>
  <c r="H24" i="332"/>
  <c r="C24" i="332" s="1"/>
  <c r="H19" i="339"/>
  <c r="C19" i="339" s="1"/>
  <c r="H26" i="340"/>
  <c r="H32" i="340" s="1"/>
  <c r="C32" i="340" s="1"/>
  <c r="C48" i="340" s="1"/>
  <c r="H19" i="345"/>
  <c r="C19" i="345" s="1"/>
  <c r="E10" i="367"/>
  <c r="H19" i="367"/>
  <c r="C19" i="367" s="1"/>
  <c r="E17" i="373"/>
  <c r="E14" i="376"/>
  <c r="E13" i="378"/>
  <c r="E15" i="400"/>
  <c r="H24" i="437"/>
  <c r="C24" i="437" s="1"/>
  <c r="E19" i="459"/>
  <c r="E11" i="465"/>
  <c r="E13" i="466"/>
  <c r="E11" i="467"/>
  <c r="D50" i="469"/>
  <c r="E50" i="469" s="1"/>
  <c r="E13" i="470"/>
  <c r="I48" i="578"/>
  <c r="H24" i="371"/>
  <c r="C24" i="371" s="1"/>
  <c r="E15" i="372"/>
  <c r="E17" i="387"/>
  <c r="E11" i="389"/>
  <c r="D48" i="401"/>
  <c r="H37" i="406"/>
  <c r="H40" i="406" s="1"/>
  <c r="C40" i="406" s="1"/>
  <c r="E15" i="409"/>
  <c r="H24" i="416"/>
  <c r="C24" i="416" s="1"/>
  <c r="H40" i="432"/>
  <c r="C40" i="432" s="1"/>
  <c r="E19" i="466"/>
  <c r="E12" i="467"/>
  <c r="E50" i="467"/>
  <c r="E10" i="470"/>
  <c r="E16" i="372"/>
  <c r="E13" i="374"/>
  <c r="E18" i="378"/>
  <c r="E15" i="389"/>
  <c r="E18" i="392"/>
  <c r="H44" i="406"/>
  <c r="H46" i="406" s="1"/>
  <c r="C46" i="406" s="1"/>
  <c r="E11" i="409"/>
  <c r="E16" i="409"/>
  <c r="H24" i="443"/>
  <c r="H46" i="445"/>
  <c r="C46" i="445" s="1"/>
  <c r="C48" i="445" s="1"/>
  <c r="H46" i="448"/>
  <c r="C46" i="448" s="1"/>
  <c r="H44" i="541"/>
  <c r="D46" i="541"/>
  <c r="D50" i="541" s="1"/>
  <c r="H40" i="371"/>
  <c r="C40" i="371" s="1"/>
  <c r="H19" i="380"/>
  <c r="H19" i="383"/>
  <c r="C19" i="383" s="1"/>
  <c r="H46" i="389"/>
  <c r="C46" i="389" s="1"/>
  <c r="H40" i="396"/>
  <c r="C40" i="396" s="1"/>
  <c r="H19" i="393"/>
  <c r="C19" i="393" s="1"/>
  <c r="H19" i="395"/>
  <c r="C19" i="395" s="1"/>
  <c r="H19" i="396"/>
  <c r="C19" i="396" s="1"/>
  <c r="E13" i="409"/>
  <c r="H46" i="422"/>
  <c r="C46" i="422" s="1"/>
  <c r="H42" i="443"/>
  <c r="H46" i="443" s="1"/>
  <c r="H24" i="461"/>
  <c r="C24" i="461" s="1"/>
  <c r="E19" i="463"/>
  <c r="H34" i="470"/>
  <c r="H24" i="470"/>
  <c r="C24" i="470" s="1"/>
  <c r="H44" i="579"/>
  <c r="D46" i="579"/>
  <c r="D50" i="579" s="1"/>
  <c r="H34" i="69"/>
  <c r="H10" i="73"/>
  <c r="H19" i="73" s="1"/>
  <c r="C19" i="73" s="1"/>
  <c r="E16" i="106"/>
  <c r="E12" i="106"/>
  <c r="E17" i="106"/>
  <c r="E13" i="106"/>
  <c r="E18" i="106"/>
  <c r="D50" i="106"/>
  <c r="E11" i="106"/>
  <c r="E19" i="106"/>
  <c r="E15" i="106"/>
  <c r="E14" i="106"/>
  <c r="E10" i="106"/>
  <c r="H17" i="116"/>
  <c r="H19" i="116" s="1"/>
  <c r="C19" i="116" s="1"/>
  <c r="H13" i="144"/>
  <c r="H19" i="144" s="1"/>
  <c r="C19" i="144" s="1"/>
  <c r="H32" i="290"/>
  <c r="C32" i="290" s="1"/>
  <c r="D19" i="179"/>
  <c r="E15" i="179" s="1"/>
  <c r="H15" i="179"/>
  <c r="H32" i="206"/>
  <c r="C32" i="206" s="1"/>
  <c r="H17" i="220"/>
  <c r="H19" i="220" s="1"/>
  <c r="D48" i="239"/>
  <c r="E24" i="239" s="1"/>
  <c r="D50" i="239"/>
  <c r="H34" i="313"/>
  <c r="H42" i="329"/>
  <c r="H46" i="329" s="1"/>
  <c r="C46" i="329" s="1"/>
  <c r="H40" i="343"/>
  <c r="C40" i="343" s="1"/>
  <c r="C48" i="343" s="1"/>
  <c r="H10" i="354"/>
  <c r="H19" i="354" s="1"/>
  <c r="C19" i="354" s="1"/>
  <c r="H24" i="42"/>
  <c r="C24" i="42" s="1"/>
  <c r="H46" i="50"/>
  <c r="C46" i="50" s="1"/>
  <c r="C48" i="50" s="1"/>
  <c r="H40" i="52"/>
  <c r="C40" i="52" s="1"/>
  <c r="C48" i="52" s="1"/>
  <c r="D48" i="59"/>
  <c r="E24" i="59" s="1"/>
  <c r="D50" i="59"/>
  <c r="E17" i="132"/>
  <c r="E18" i="132"/>
  <c r="E10" i="132"/>
  <c r="E13" i="132"/>
  <c r="E19" i="132"/>
  <c r="E14" i="132"/>
  <c r="D50" i="132"/>
  <c r="E12" i="132"/>
  <c r="E11" i="132"/>
  <c r="E15" i="132"/>
  <c r="H32" i="135"/>
  <c r="C32" i="135" s="1"/>
  <c r="H16" i="139"/>
  <c r="H36" i="139"/>
  <c r="H42" i="168"/>
  <c r="H46" i="168" s="1"/>
  <c r="C46" i="168" s="1"/>
  <c r="H21" i="168"/>
  <c r="H22" i="175"/>
  <c r="H42" i="185"/>
  <c r="H32" i="249"/>
  <c r="C32" i="249" s="1"/>
  <c r="C48" i="249" s="1"/>
  <c r="E13" i="254"/>
  <c r="D50" i="254"/>
  <c r="E19" i="254"/>
  <c r="E11" i="254"/>
  <c r="E18" i="254"/>
  <c r="E10" i="254"/>
  <c r="E17" i="254"/>
  <c r="E12" i="254"/>
  <c r="E16" i="254"/>
  <c r="E15" i="254"/>
  <c r="E14" i="254"/>
  <c r="H10" i="284"/>
  <c r="H19" i="284" s="1"/>
  <c r="H38" i="299"/>
  <c r="D32" i="316"/>
  <c r="D50" i="316" s="1"/>
  <c r="H26" i="316"/>
  <c r="H32" i="316" s="1"/>
  <c r="D26" i="351"/>
  <c r="H43" i="339"/>
  <c r="H46" i="339" s="1"/>
  <c r="C46" i="339" s="1"/>
  <c r="H24" i="347"/>
  <c r="C24" i="347" s="1"/>
  <c r="E11" i="352"/>
  <c r="E17" i="352"/>
  <c r="E19" i="352"/>
  <c r="E10" i="352"/>
  <c r="E16" i="352"/>
  <c r="E15" i="352"/>
  <c r="E13" i="352"/>
  <c r="E12" i="352"/>
  <c r="E14" i="352"/>
  <c r="E18" i="352"/>
  <c r="D50" i="352"/>
  <c r="H35" i="357"/>
  <c r="D50" i="367"/>
  <c r="D48" i="367"/>
  <c r="H29" i="392"/>
  <c r="H32" i="392" s="1"/>
  <c r="C32" i="392" s="1"/>
  <c r="H10" i="3"/>
  <c r="H19" i="3" s="1"/>
  <c r="C19" i="3" s="1"/>
  <c r="H38" i="62"/>
  <c r="H32" i="63"/>
  <c r="C32" i="63" s="1"/>
  <c r="C48" i="63" s="1"/>
  <c r="H24" i="68"/>
  <c r="C24" i="68" s="1"/>
  <c r="H13" i="84"/>
  <c r="H19" i="84" s="1"/>
  <c r="C19" i="84" s="1"/>
  <c r="H42" i="87"/>
  <c r="D46" i="179"/>
  <c r="H46" i="219"/>
  <c r="C46" i="219" s="1"/>
  <c r="C48" i="219" s="1"/>
  <c r="D48" i="229"/>
  <c r="E32" i="229" s="1"/>
  <c r="D50" i="229"/>
  <c r="C32" i="229"/>
  <c r="C48" i="229" s="1"/>
  <c r="H46" i="232"/>
  <c r="C46" i="232" s="1"/>
  <c r="H43" i="239"/>
  <c r="H24" i="312"/>
  <c r="C24" i="312" s="1"/>
  <c r="H32" i="333"/>
  <c r="C32" i="333" s="1"/>
  <c r="C48" i="333" s="1"/>
  <c r="H32" i="339"/>
  <c r="C32" i="339" s="1"/>
  <c r="H34" i="374"/>
  <c r="H40" i="374" s="1"/>
  <c r="C40" i="374" s="1"/>
  <c r="H40" i="378"/>
  <c r="C40" i="378" s="1"/>
  <c r="C48" i="378" s="1"/>
  <c r="A54" i="4"/>
  <c r="C32" i="185"/>
  <c r="E48" i="425"/>
  <c r="E50" i="312"/>
  <c r="C48" i="411"/>
  <c r="H48" i="356"/>
  <c r="H50" i="356" s="1"/>
  <c r="E6" i="356" s="1"/>
  <c r="F29" i="356" s="1"/>
  <c r="E48" i="123"/>
  <c r="C32" i="442"/>
  <c r="E35" i="428"/>
  <c r="E39" i="428"/>
  <c r="E38" i="428"/>
  <c r="E37" i="428"/>
  <c r="E36" i="428"/>
  <c r="E29" i="428"/>
  <c r="E28" i="428"/>
  <c r="E23" i="428"/>
  <c r="E44" i="428"/>
  <c r="E48" i="126"/>
  <c r="C32" i="363"/>
  <c r="C40" i="387"/>
  <c r="H48" i="387"/>
  <c r="H50" i="387" s="1"/>
  <c r="E6" i="387" s="1"/>
  <c r="E21" i="428"/>
  <c r="E22" i="428"/>
  <c r="D48" i="403"/>
  <c r="D50" i="403"/>
  <c r="E13" i="406"/>
  <c r="E17" i="406"/>
  <c r="C32" i="147"/>
  <c r="H48" i="147"/>
  <c r="H32" i="217"/>
  <c r="C32" i="217" s="1"/>
  <c r="E48" i="421"/>
  <c r="D48" i="455"/>
  <c r="E35" i="455" s="1"/>
  <c r="D50" i="455"/>
  <c r="E23" i="379"/>
  <c r="E45" i="379"/>
  <c r="E40" i="379"/>
  <c r="E24" i="379"/>
  <c r="E30" i="379"/>
  <c r="E36" i="379"/>
  <c r="E27" i="379"/>
  <c r="E21" i="379"/>
  <c r="E44" i="379"/>
  <c r="E35" i="379"/>
  <c r="E34" i="379"/>
  <c r="E39" i="379"/>
  <c r="E43" i="379"/>
  <c r="E38" i="379"/>
  <c r="E31" i="379"/>
  <c r="E29" i="379"/>
  <c r="E28" i="379"/>
  <c r="E26" i="379"/>
  <c r="E46" i="379"/>
  <c r="A52" i="379" s="1"/>
  <c r="E22" i="379"/>
  <c r="E37" i="379"/>
  <c r="E32" i="379"/>
  <c r="E42" i="379"/>
  <c r="D50" i="359"/>
  <c r="D48" i="359"/>
  <c r="C46" i="182"/>
  <c r="C48" i="182" s="1"/>
  <c r="H48" i="182"/>
  <c r="H50" i="182" s="1"/>
  <c r="E6" i="182" s="1"/>
  <c r="E48" i="55"/>
  <c r="H40" i="443"/>
  <c r="E36" i="251"/>
  <c r="E39" i="251"/>
  <c r="E28" i="251"/>
  <c r="E21" i="251"/>
  <c r="E30" i="251"/>
  <c r="E29" i="251"/>
  <c r="E42" i="251"/>
  <c r="E40" i="457"/>
  <c r="H40" i="366"/>
  <c r="C40" i="366" s="1"/>
  <c r="E36" i="34"/>
  <c r="E37" i="34"/>
  <c r="E39" i="34"/>
  <c r="E22" i="34"/>
  <c r="E27" i="34"/>
  <c r="E26" i="34"/>
  <c r="E28" i="34"/>
  <c r="E43" i="34"/>
  <c r="E30" i="34"/>
  <c r="H19" i="457"/>
  <c r="C19" i="457" s="1"/>
  <c r="C19" i="43"/>
  <c r="H40" i="458"/>
  <c r="C46" i="447"/>
  <c r="C48" i="447" s="1"/>
  <c r="H46" i="432"/>
  <c r="E50" i="408"/>
  <c r="H32" i="368"/>
  <c r="C32" i="368" s="1"/>
  <c r="H19" i="139"/>
  <c r="C19" i="139" s="1"/>
  <c r="C46" i="368"/>
  <c r="E46" i="349"/>
  <c r="C40" i="422"/>
  <c r="D48" i="265"/>
  <c r="E48" i="207"/>
  <c r="E27" i="407"/>
  <c r="J50" i="108"/>
  <c r="E37" i="5"/>
  <c r="E36" i="5"/>
  <c r="E46" i="5"/>
  <c r="A52" i="5" s="1"/>
  <c r="E40" i="5"/>
  <c r="E26" i="5"/>
  <c r="E38" i="5"/>
  <c r="E39" i="5"/>
  <c r="E35" i="5"/>
  <c r="E28" i="5"/>
  <c r="E30" i="5"/>
  <c r="E43" i="5"/>
  <c r="E32" i="5"/>
  <c r="E36" i="189"/>
  <c r="E38" i="189"/>
  <c r="E42" i="189"/>
  <c r="E43" i="189"/>
  <c r="E21" i="189"/>
  <c r="E22" i="189"/>
  <c r="E23" i="189"/>
  <c r="E31" i="189"/>
  <c r="E39" i="189"/>
  <c r="E46" i="189"/>
  <c r="A52" i="189" s="1"/>
  <c r="E40" i="189"/>
  <c r="E44" i="189"/>
  <c r="H24" i="201"/>
  <c r="C24" i="201" s="1"/>
  <c r="H34" i="179"/>
  <c r="H40" i="179" s="1"/>
  <c r="D40" i="179"/>
  <c r="H32" i="376"/>
  <c r="C32" i="376" s="1"/>
  <c r="C48" i="376" s="1"/>
  <c r="H19" i="377"/>
  <c r="C19" i="377" s="1"/>
  <c r="H24" i="369"/>
  <c r="E50" i="371"/>
  <c r="C24" i="113"/>
  <c r="H32" i="366"/>
  <c r="C32" i="366" s="1"/>
  <c r="E48" i="375"/>
  <c r="C46" i="348"/>
  <c r="C48" i="348" s="1"/>
  <c r="C46" i="206"/>
  <c r="C48" i="206" s="1"/>
  <c r="H46" i="352"/>
  <c r="C46" i="352" s="1"/>
  <c r="E45" i="407"/>
  <c r="E31" i="407"/>
  <c r="E23" i="407"/>
  <c r="E43" i="407"/>
  <c r="E30" i="407"/>
  <c r="E32" i="407"/>
  <c r="E22" i="407"/>
  <c r="E44" i="407"/>
  <c r="E39" i="407"/>
  <c r="C32" i="254"/>
  <c r="H40" i="263"/>
  <c r="C40" i="263" s="1"/>
  <c r="C48" i="263" s="1"/>
  <c r="C32" i="359"/>
  <c r="C48" i="359" s="1"/>
  <c r="E31" i="195"/>
  <c r="E35" i="195"/>
  <c r="E38" i="195"/>
  <c r="E34" i="195"/>
  <c r="E39" i="195"/>
  <c r="E36" i="195"/>
  <c r="E21" i="195"/>
  <c r="E37" i="195"/>
  <c r="E22" i="195"/>
  <c r="E46" i="195"/>
  <c r="A52" i="195" s="1"/>
  <c r="E42" i="195"/>
  <c r="E26" i="195"/>
  <c r="E23" i="195"/>
  <c r="E40" i="195"/>
  <c r="E43" i="195"/>
  <c r="E24" i="195"/>
  <c r="E44" i="195"/>
  <c r="E45" i="195"/>
  <c r="E28" i="195"/>
  <c r="E48" i="193"/>
  <c r="H19" i="352"/>
  <c r="C19" i="352" s="1"/>
  <c r="H19" i="362"/>
  <c r="C19" i="362" s="1"/>
  <c r="E24" i="420"/>
  <c r="E48" i="420" s="1"/>
  <c r="H40" i="368"/>
  <c r="C40" i="368" s="1"/>
  <c r="E18" i="351"/>
  <c r="G29" i="187"/>
  <c r="H19" i="368"/>
  <c r="C19" i="368" s="1"/>
  <c r="H19" i="342"/>
  <c r="C19" i="342" s="1"/>
  <c r="E40" i="341"/>
  <c r="E40" i="362"/>
  <c r="E48" i="362" s="1"/>
  <c r="H19" i="179"/>
  <c r="E37" i="407"/>
  <c r="H40" i="431"/>
  <c r="C40" i="431" s="1"/>
  <c r="C48" i="431" s="1"/>
  <c r="C46" i="225"/>
  <c r="C24" i="303"/>
  <c r="C48" i="303" s="1"/>
  <c r="E24" i="407"/>
  <c r="E48" i="418"/>
  <c r="E42" i="383"/>
  <c r="E48" i="155"/>
  <c r="C19" i="254"/>
  <c r="E40" i="234"/>
  <c r="E21" i="234"/>
  <c r="E34" i="234"/>
  <c r="E39" i="234"/>
  <c r="E45" i="234"/>
  <c r="E22" i="234"/>
  <c r="E23" i="234"/>
  <c r="E42" i="234"/>
  <c r="E24" i="234"/>
  <c r="E43" i="234"/>
  <c r="E26" i="234"/>
  <c r="E44" i="234"/>
  <c r="E28" i="234"/>
  <c r="E46" i="234"/>
  <c r="A52" i="234" s="1"/>
  <c r="E29" i="234"/>
  <c r="E35" i="234"/>
  <c r="E27" i="234"/>
  <c r="E36" i="234"/>
  <c r="E30" i="234"/>
  <c r="D48" i="129"/>
  <c r="E40" i="129" s="1"/>
  <c r="D50" i="129"/>
  <c r="H24" i="365"/>
  <c r="E26" i="293"/>
  <c r="E22" i="293"/>
  <c r="E23" i="293"/>
  <c r="E42" i="293"/>
  <c r="E30" i="293"/>
  <c r="E24" i="293"/>
  <c r="E32" i="293"/>
  <c r="E31" i="293"/>
  <c r="E35" i="293"/>
  <c r="E36" i="293"/>
  <c r="E37" i="293"/>
  <c r="E34" i="293"/>
  <c r="E38" i="293"/>
  <c r="E39" i="293"/>
  <c r="E21" i="293"/>
  <c r="E43" i="293"/>
  <c r="E46" i="293"/>
  <c r="A52" i="293" s="1"/>
  <c r="E44" i="293"/>
  <c r="E45" i="293"/>
  <c r="E27" i="293"/>
  <c r="H19" i="213"/>
  <c r="C19" i="213" s="1"/>
  <c r="E39" i="383"/>
  <c r="E21" i="383"/>
  <c r="H32" i="193"/>
  <c r="C32" i="193" s="1"/>
  <c r="C48" i="193" s="1"/>
  <c r="H40" i="203"/>
  <c r="C40" i="203" s="1"/>
  <c r="E37" i="383"/>
  <c r="C48" i="380"/>
  <c r="E50" i="295"/>
  <c r="J50" i="295"/>
  <c r="H19" i="58"/>
  <c r="C19" i="58" s="1"/>
  <c r="E32" i="234"/>
  <c r="J50" i="29"/>
  <c r="E50" i="29"/>
  <c r="E31" i="234"/>
  <c r="E38" i="234"/>
  <c r="C48" i="402"/>
  <c r="E21" i="380"/>
  <c r="H19" i="372"/>
  <c r="C19" i="372" s="1"/>
  <c r="E37" i="234"/>
  <c r="H19" i="229"/>
  <c r="E38" i="186"/>
  <c r="E42" i="186"/>
  <c r="E21" i="186"/>
  <c r="E27" i="186"/>
  <c r="E28" i="186"/>
  <c r="D50" i="321"/>
  <c r="D48" i="321"/>
  <c r="C24" i="239"/>
  <c r="E40" i="157"/>
  <c r="E43" i="157"/>
  <c r="E45" i="157"/>
  <c r="E22" i="157"/>
  <c r="E27" i="157"/>
  <c r="E32" i="157"/>
  <c r="E37" i="157"/>
  <c r="E38" i="157"/>
  <c r="E23" i="157"/>
  <c r="E21" i="157"/>
  <c r="E24" i="157"/>
  <c r="E39" i="157"/>
  <c r="E34" i="157"/>
  <c r="E46" i="157"/>
  <c r="A52" i="157" s="1"/>
  <c r="E26" i="157"/>
  <c r="E35" i="157"/>
  <c r="E44" i="157"/>
  <c r="E36" i="157"/>
  <c r="E28" i="157"/>
  <c r="E29" i="157"/>
  <c r="E30" i="157"/>
  <c r="H19" i="168"/>
  <c r="C19" i="168" s="1"/>
  <c r="H32" i="21"/>
  <c r="C32" i="21" s="1"/>
  <c r="H42" i="138"/>
  <c r="D46" i="138"/>
  <c r="E50" i="311"/>
  <c r="H19" i="302"/>
  <c r="C19" i="302" s="1"/>
  <c r="H19" i="158"/>
  <c r="C19" i="158" s="1"/>
  <c r="E11" i="65"/>
  <c r="H40" i="307"/>
  <c r="C40" i="307" s="1"/>
  <c r="C46" i="278"/>
  <c r="H32" i="233"/>
  <c r="H19" i="191"/>
  <c r="C19" i="191" s="1"/>
  <c r="H19" i="160"/>
  <c r="H32" i="94"/>
  <c r="C32" i="94" s="1"/>
  <c r="H46" i="104"/>
  <c r="E19" i="65"/>
  <c r="E11" i="11"/>
  <c r="E19" i="11"/>
  <c r="E10" i="11"/>
  <c r="E18" i="11"/>
  <c r="E12" i="11"/>
  <c r="E15" i="11"/>
  <c r="E17" i="11"/>
  <c r="E16" i="11"/>
  <c r="D50" i="94"/>
  <c r="H46" i="211"/>
  <c r="C46" i="211" s="1"/>
  <c r="H19" i="174"/>
  <c r="C19" i="174" s="1"/>
  <c r="H40" i="67"/>
  <c r="C40" i="67" s="1"/>
  <c r="H19" i="114"/>
  <c r="C19" i="114" s="1"/>
  <c r="H19" i="40"/>
  <c r="C19" i="40" s="1"/>
  <c r="H19" i="305"/>
  <c r="C19" i="305" s="1"/>
  <c r="C40" i="257"/>
  <c r="H40" i="101"/>
  <c r="C46" i="137"/>
  <c r="D50" i="130"/>
  <c r="H19" i="61"/>
  <c r="C19" i="61" s="1"/>
  <c r="H32" i="47"/>
  <c r="H34" i="79"/>
  <c r="H19" i="337"/>
  <c r="C19" i="337" s="1"/>
  <c r="H19" i="315"/>
  <c r="C19" i="315" s="1"/>
  <c r="H46" i="309"/>
  <c r="C46" i="293"/>
  <c r="H19" i="234"/>
  <c r="C19" i="234" s="1"/>
  <c r="H19" i="235"/>
  <c r="H19" i="216"/>
  <c r="C19" i="216" s="1"/>
  <c r="H32" i="213"/>
  <c r="C32" i="213" s="1"/>
  <c r="H40" i="201"/>
  <c r="C40" i="201" s="1"/>
  <c r="H32" i="195"/>
  <c r="C32" i="195" s="1"/>
  <c r="H46" i="102"/>
  <c r="H32" i="56"/>
  <c r="H46" i="84"/>
  <c r="H19" i="289"/>
  <c r="C19" i="289" s="1"/>
  <c r="H19" i="249"/>
  <c r="C19" i="249" s="1"/>
  <c r="E32" i="177"/>
  <c r="H40" i="128"/>
  <c r="C40" i="128" s="1"/>
  <c r="C48" i="128" s="1"/>
  <c r="H19" i="106"/>
  <c r="C19" i="106" s="1"/>
  <c r="D50" i="65"/>
  <c r="E10" i="137"/>
  <c r="E14" i="137"/>
  <c r="E11" i="137"/>
  <c r="E13" i="137"/>
  <c r="E16" i="137"/>
  <c r="E19" i="137"/>
  <c r="E12" i="137"/>
  <c r="E15" i="137"/>
  <c r="E18" i="137"/>
  <c r="E17" i="137"/>
  <c r="E50" i="273"/>
  <c r="H40" i="326"/>
  <c r="C40" i="326" s="1"/>
  <c r="C48" i="326" s="1"/>
  <c r="H46" i="205"/>
  <c r="H24" i="173"/>
  <c r="H46" i="141"/>
  <c r="H32" i="124"/>
  <c r="H32" i="99"/>
  <c r="H40" i="90"/>
  <c r="H48" i="311"/>
  <c r="H50" i="311" s="1"/>
  <c r="E6" i="311" s="1"/>
  <c r="H32" i="279"/>
  <c r="H19" i="218"/>
  <c r="C19" i="218" s="1"/>
  <c r="H19" i="192"/>
  <c r="C19" i="192" s="1"/>
  <c r="H40" i="139"/>
  <c r="C40" i="139" s="1"/>
  <c r="C48" i="139" s="1"/>
  <c r="H40" i="71"/>
  <c r="E18" i="74"/>
  <c r="E16" i="74"/>
  <c r="E12" i="74"/>
  <c r="E10" i="74"/>
  <c r="E15" i="74"/>
  <c r="H40" i="312"/>
  <c r="C40" i="312" s="1"/>
  <c r="H19" i="287"/>
  <c r="C19" i="287" s="1"/>
  <c r="H46" i="254"/>
  <c r="C46" i="254" s="1"/>
  <c r="H19" i="208"/>
  <c r="H40" i="192"/>
  <c r="H40" i="156"/>
  <c r="D50" i="96"/>
  <c r="H40" i="86"/>
  <c r="C40" i="86" s="1"/>
  <c r="C48" i="86" s="1"/>
  <c r="H46" i="3"/>
  <c r="C46" i="3" s="1"/>
  <c r="H40" i="9"/>
  <c r="H32" i="243"/>
  <c r="H19" i="142"/>
  <c r="C19" i="142" s="1"/>
  <c r="H32" i="83"/>
  <c r="C32" i="83" s="1"/>
  <c r="C48" i="83" s="1"/>
  <c r="E13" i="65"/>
  <c r="H46" i="34"/>
  <c r="H40" i="329"/>
  <c r="H32" i="281"/>
  <c r="H19" i="240"/>
  <c r="C19" i="240" s="1"/>
  <c r="H40" i="190"/>
  <c r="H19" i="67"/>
  <c r="C19" i="67" s="1"/>
  <c r="E14" i="65"/>
  <c r="H24" i="95"/>
  <c r="H24" i="337"/>
  <c r="C24" i="337" s="1"/>
  <c r="H19" i="326"/>
  <c r="C19" i="326" s="1"/>
  <c r="H19" i="314"/>
  <c r="C19" i="314" s="1"/>
  <c r="H40" i="298"/>
  <c r="H46" i="261"/>
  <c r="C46" i="261" s="1"/>
  <c r="H40" i="251"/>
  <c r="H19" i="259"/>
  <c r="C19" i="259" s="1"/>
  <c r="H32" i="211"/>
  <c r="H46" i="212"/>
  <c r="C46" i="212" s="1"/>
  <c r="C32" i="189"/>
  <c r="H19" i="202"/>
  <c r="C19" i="202" s="1"/>
  <c r="H19" i="104"/>
  <c r="C19" i="104" s="1"/>
  <c r="H46" i="90"/>
  <c r="C46" i="90" s="1"/>
  <c r="H40" i="142"/>
  <c r="C40" i="142" s="1"/>
  <c r="E15" i="65"/>
  <c r="E19" i="4"/>
  <c r="E11" i="4"/>
  <c r="E18" i="4"/>
  <c r="H48" i="241"/>
  <c r="H50" i="241" s="1"/>
  <c r="E6" i="241" s="1"/>
  <c r="E48" i="178"/>
  <c r="H19" i="325"/>
  <c r="C19" i="325" s="1"/>
  <c r="H19" i="257"/>
  <c r="H32" i="171"/>
  <c r="C32" i="171" s="1"/>
  <c r="H32" i="274"/>
  <c r="H40" i="240"/>
  <c r="H19" i="152"/>
  <c r="E17" i="65"/>
  <c r="H46" i="5"/>
  <c r="C46" i="5" s="1"/>
  <c r="H19" i="8"/>
  <c r="C19" i="8" s="1"/>
  <c r="H32" i="8"/>
  <c r="C32" i="8" s="1"/>
  <c r="H46" i="19"/>
  <c r="C46" i="19" s="1"/>
  <c r="D28" i="23"/>
  <c r="H34" i="135"/>
  <c r="E12" i="272"/>
  <c r="E18" i="272"/>
  <c r="H19" i="5"/>
  <c r="C19" i="5" s="1"/>
  <c r="H40" i="8"/>
  <c r="C40" i="8" s="1"/>
  <c r="E13" i="29"/>
  <c r="E11" i="89"/>
  <c r="D50" i="91"/>
  <c r="J50" i="91" s="1"/>
  <c r="H19" i="92"/>
  <c r="C19" i="92" s="1"/>
  <c r="H46" i="133"/>
  <c r="H13" i="269"/>
  <c r="E17" i="15"/>
  <c r="H46" i="33"/>
  <c r="C46" i="33" s="1"/>
  <c r="E19" i="44"/>
  <c r="H24" i="65"/>
  <c r="C24" i="65" s="1"/>
  <c r="D50" i="67"/>
  <c r="H14" i="77"/>
  <c r="H30" i="77"/>
  <c r="H46" i="93"/>
  <c r="H42" i="94"/>
  <c r="H46" i="94" s="1"/>
  <c r="C46" i="94" s="1"/>
  <c r="H24" i="116"/>
  <c r="E10" i="121"/>
  <c r="E13" i="161"/>
  <c r="E12" i="161"/>
  <c r="E11" i="161"/>
  <c r="E10" i="161"/>
  <c r="E19" i="161"/>
  <c r="H19" i="231"/>
  <c r="C19" i="231" s="1"/>
  <c r="E10" i="15"/>
  <c r="D32" i="6"/>
  <c r="H12" i="53"/>
  <c r="H40" i="65"/>
  <c r="C40" i="65" s="1"/>
  <c r="E12" i="121"/>
  <c r="E11" i="135"/>
  <c r="D48" i="16"/>
  <c r="E39" i="16" s="1"/>
  <c r="E10" i="55"/>
  <c r="H42" i="89"/>
  <c r="H46" i="89" s="1"/>
  <c r="C46" i="89" s="1"/>
  <c r="D50" i="126"/>
  <c r="E12" i="135"/>
  <c r="E14" i="190"/>
  <c r="E18" i="190"/>
  <c r="C19" i="256"/>
  <c r="H28" i="11"/>
  <c r="H32" i="11" s="1"/>
  <c r="C32" i="11" s="1"/>
  <c r="C48" i="11" s="1"/>
  <c r="H46" i="29"/>
  <c r="H32" i="35"/>
  <c r="C32" i="35" s="1"/>
  <c r="E11" i="55"/>
  <c r="D34" i="118"/>
  <c r="E17" i="119"/>
  <c r="E13" i="135"/>
  <c r="H40" i="6"/>
  <c r="C40" i="6" s="1"/>
  <c r="E14" i="13"/>
  <c r="H46" i="47"/>
  <c r="C46" i="47" s="1"/>
  <c r="E12" i="55"/>
  <c r="D48" i="89"/>
  <c r="E19" i="135"/>
  <c r="H32" i="5"/>
  <c r="H40" i="12"/>
  <c r="E12" i="13"/>
  <c r="H24" i="15"/>
  <c r="E19" i="21"/>
  <c r="E14" i="55"/>
  <c r="H10" i="77"/>
  <c r="H40" i="18"/>
  <c r="H24" i="19"/>
  <c r="H46" i="21"/>
  <c r="C46" i="21" s="1"/>
  <c r="H19" i="26"/>
  <c r="C19" i="26" s="1"/>
  <c r="H37" i="23"/>
  <c r="H40" i="36"/>
  <c r="C40" i="36" s="1"/>
  <c r="D19" i="53"/>
  <c r="E12" i="169"/>
  <c r="E18" i="169"/>
  <c r="E13" i="169"/>
  <c r="E11" i="169"/>
  <c r="E10" i="169"/>
  <c r="H19" i="230"/>
  <c r="C19" i="230" s="1"/>
  <c r="H32" i="20"/>
  <c r="E13" i="26"/>
  <c r="E16" i="55"/>
  <c r="H46" i="109"/>
  <c r="E12" i="172"/>
  <c r="E13" i="172"/>
  <c r="H40" i="16"/>
  <c r="C40" i="16" s="1"/>
  <c r="H35" i="23"/>
  <c r="H46" i="35"/>
  <c r="C46" i="35" s="1"/>
  <c r="E16" i="38"/>
  <c r="E17" i="55"/>
  <c r="E15" i="59"/>
  <c r="E10" i="6"/>
  <c r="E17" i="26"/>
  <c r="H37" i="53"/>
  <c r="E19" i="55"/>
  <c r="H34" i="89"/>
  <c r="H27" i="41"/>
  <c r="H22" i="118"/>
  <c r="H40" i="22"/>
  <c r="E14" i="29"/>
  <c r="H14" i="23"/>
  <c r="H27" i="68"/>
  <c r="H32" i="68" s="1"/>
  <c r="H18" i="77"/>
  <c r="H12" i="77"/>
  <c r="H32" i="26"/>
  <c r="C32" i="26" s="1"/>
  <c r="D48" i="39"/>
  <c r="E35" i="39" s="1"/>
  <c r="E13" i="155"/>
  <c r="E19" i="155"/>
  <c r="E15" i="155"/>
  <c r="E19" i="324"/>
  <c r="E13" i="324"/>
  <c r="J50" i="469"/>
  <c r="H34" i="163"/>
  <c r="E15" i="206"/>
  <c r="H24" i="226"/>
  <c r="E12" i="402"/>
  <c r="E13" i="402"/>
  <c r="E11" i="174"/>
  <c r="D48" i="181"/>
  <c r="H42" i="245"/>
  <c r="H26" i="256"/>
  <c r="H19" i="198"/>
  <c r="C19" i="198" s="1"/>
  <c r="H19" i="215"/>
  <c r="C19" i="215" s="1"/>
  <c r="E19" i="219"/>
  <c r="H19" i="224"/>
  <c r="C19" i="224" s="1"/>
  <c r="D48" i="248"/>
  <c r="H19" i="163"/>
  <c r="C19" i="163" s="1"/>
  <c r="H19" i="169"/>
  <c r="C19" i="169" s="1"/>
  <c r="H40" i="172"/>
  <c r="H40" i="194"/>
  <c r="H32" i="223"/>
  <c r="E16" i="224"/>
  <c r="H19" i="237"/>
  <c r="C19" i="237" s="1"/>
  <c r="H42" i="174"/>
  <c r="H46" i="174" s="1"/>
  <c r="C46" i="174" s="1"/>
  <c r="H26" i="174"/>
  <c r="H32" i="174" s="1"/>
  <c r="C32" i="174" s="1"/>
  <c r="H42" i="213"/>
  <c r="H46" i="213" s="1"/>
  <c r="C46" i="213" s="1"/>
  <c r="H44" i="269"/>
  <c r="H46" i="269" s="1"/>
  <c r="H26" i="386"/>
  <c r="D32" i="386"/>
  <c r="H26" i="202"/>
  <c r="H42" i="218"/>
  <c r="H46" i="218" s="1"/>
  <c r="C46" i="218" s="1"/>
  <c r="E18" i="201"/>
  <c r="D50" i="362"/>
  <c r="D48" i="241"/>
  <c r="E32" i="241" s="1"/>
  <c r="E19" i="261"/>
  <c r="E19" i="348"/>
  <c r="E17" i="348"/>
  <c r="E12" i="348"/>
  <c r="E11" i="348"/>
  <c r="E10" i="348"/>
  <c r="H42" i="203"/>
  <c r="H46" i="203" s="1"/>
  <c r="H26" i="212"/>
  <c r="H26" i="228"/>
  <c r="H32" i="228" s="1"/>
  <c r="C32" i="228" s="1"/>
  <c r="C48" i="228" s="1"/>
  <c r="H34" i="372"/>
  <c r="E19" i="194"/>
  <c r="H34" i="216"/>
  <c r="H40" i="216" s="1"/>
  <c r="C40" i="216" s="1"/>
  <c r="H42" i="227"/>
  <c r="H42" i="240"/>
  <c r="H46" i="240" s="1"/>
  <c r="C46" i="240" s="1"/>
  <c r="E16" i="271"/>
  <c r="H22" i="180"/>
  <c r="E11" i="206"/>
  <c r="H26" i="226"/>
  <c r="H32" i="226" s="1"/>
  <c r="C32" i="226" s="1"/>
  <c r="H26" i="237"/>
  <c r="H32" i="237" s="1"/>
  <c r="C32" i="237" s="1"/>
  <c r="C48" i="237" s="1"/>
  <c r="E17" i="271"/>
  <c r="D48" i="273"/>
  <c r="E13" i="181"/>
  <c r="E18" i="271"/>
  <c r="D50" i="353"/>
  <c r="E19" i="363"/>
  <c r="E15" i="366"/>
  <c r="E17" i="383"/>
  <c r="H24" i="324"/>
  <c r="E13" i="341"/>
  <c r="E17" i="366"/>
  <c r="E10" i="371"/>
  <c r="E15" i="390"/>
  <c r="E18" i="395"/>
  <c r="E12" i="327"/>
  <c r="E11" i="371"/>
  <c r="H46" i="377"/>
  <c r="E17" i="381"/>
  <c r="H24" i="388"/>
  <c r="C24" i="388" s="1"/>
  <c r="H24" i="396"/>
  <c r="D50" i="319"/>
  <c r="D48" i="340"/>
  <c r="D23" i="351"/>
  <c r="H42" i="354"/>
  <c r="H46" i="354" s="1"/>
  <c r="C46" i="354" s="1"/>
  <c r="E19" i="366"/>
  <c r="E11" i="367"/>
  <c r="E15" i="369"/>
  <c r="E11" i="373"/>
  <c r="E10" i="381"/>
  <c r="E18" i="383"/>
  <c r="D40" i="465"/>
  <c r="D50" i="465" s="1"/>
  <c r="D50" i="462"/>
  <c r="D48" i="462"/>
  <c r="E21" i="462" s="1"/>
  <c r="H27" i="367"/>
  <c r="D48" i="345"/>
  <c r="E11" i="381"/>
  <c r="H24" i="393"/>
  <c r="D48" i="460"/>
  <c r="E21" i="464"/>
  <c r="E31" i="464"/>
  <c r="E32" i="464"/>
  <c r="E34" i="464"/>
  <c r="H34" i="285"/>
  <c r="D30" i="351"/>
  <c r="D48" i="358"/>
  <c r="E28" i="358" s="1"/>
  <c r="E16" i="373"/>
  <c r="E19" i="381"/>
  <c r="E10" i="383"/>
  <c r="E11" i="387"/>
  <c r="H32" i="426"/>
  <c r="C32" i="426" s="1"/>
  <c r="E10" i="363"/>
  <c r="H46" i="464"/>
  <c r="C46" i="464" s="1"/>
  <c r="E11" i="363"/>
  <c r="H26" i="374"/>
  <c r="H32" i="374" s="1"/>
  <c r="C32" i="374" s="1"/>
  <c r="E19" i="387"/>
  <c r="E13" i="381"/>
  <c r="E19" i="295"/>
  <c r="H34" i="297"/>
  <c r="H42" i="307"/>
  <c r="H46" i="307" s="1"/>
  <c r="C46" i="307" s="1"/>
  <c r="H26" i="307"/>
  <c r="H26" i="321"/>
  <c r="H32" i="321" s="1"/>
  <c r="C32" i="321" s="1"/>
  <c r="H21" i="338"/>
  <c r="H34" i="342"/>
  <c r="E12" i="363"/>
  <c r="E14" i="394"/>
  <c r="E17" i="435"/>
  <c r="E18" i="435"/>
  <c r="H46" i="463"/>
  <c r="C46" i="463" s="1"/>
  <c r="H26" i="286"/>
  <c r="H31" i="291"/>
  <c r="E11" i="301"/>
  <c r="E13" i="306"/>
  <c r="E10" i="320"/>
  <c r="E4" i="351"/>
  <c r="D32" i="354"/>
  <c r="C32" i="354" s="1"/>
  <c r="E13" i="363"/>
  <c r="E17" i="389"/>
  <c r="H34" i="389"/>
  <c r="H46" i="393"/>
  <c r="C46" i="393" s="1"/>
  <c r="H26" i="273"/>
  <c r="E15" i="301"/>
  <c r="E10" i="332"/>
  <c r="H34" i="354"/>
  <c r="E14" i="363"/>
  <c r="E10" i="390"/>
  <c r="E16" i="395"/>
  <c r="H24" i="419"/>
  <c r="E10" i="289"/>
  <c r="H26" i="301"/>
  <c r="E12" i="332"/>
  <c r="E10" i="336"/>
  <c r="E17" i="338"/>
  <c r="E13" i="359"/>
  <c r="E15" i="363"/>
  <c r="E10" i="378"/>
  <c r="E11" i="390"/>
  <c r="E15" i="394"/>
  <c r="H46" i="397"/>
  <c r="E11" i="289"/>
  <c r="E17" i="332"/>
  <c r="E11" i="336"/>
  <c r="E10" i="340"/>
  <c r="E10" i="345"/>
  <c r="H36" i="351"/>
  <c r="H40" i="351" s="1"/>
  <c r="C40" i="351" s="1"/>
  <c r="E14" i="359"/>
  <c r="E13" i="361"/>
  <c r="E16" i="363"/>
  <c r="E14" i="378"/>
  <c r="E15" i="381"/>
  <c r="E16" i="387"/>
  <c r="E17" i="390"/>
  <c r="H24" i="420"/>
  <c r="E13" i="289"/>
  <c r="H42" i="321"/>
  <c r="H46" i="321" s="1"/>
  <c r="C46" i="321" s="1"/>
  <c r="E19" i="332"/>
  <c r="E14" i="345"/>
  <c r="E14" i="361"/>
  <c r="E10" i="366"/>
  <c r="H26" i="379"/>
  <c r="E17" i="395"/>
  <c r="H42" i="398"/>
  <c r="H46" i="398" s="1"/>
  <c r="C46" i="398" s="1"/>
  <c r="H46" i="469"/>
  <c r="C46" i="469" s="1"/>
  <c r="E17" i="400"/>
  <c r="E15" i="415"/>
  <c r="E18" i="427"/>
  <c r="D46" i="443"/>
  <c r="E15" i="461"/>
  <c r="E50" i="470"/>
  <c r="H31" i="403"/>
  <c r="H24" i="422"/>
  <c r="D48" i="444"/>
  <c r="D50" i="449"/>
  <c r="H34" i="452"/>
  <c r="H40" i="452" s="1"/>
  <c r="C40" i="452" s="1"/>
  <c r="H46" i="466"/>
  <c r="C46" i="466" s="1"/>
  <c r="E18" i="470"/>
  <c r="H46" i="415"/>
  <c r="C46" i="415" s="1"/>
  <c r="E10" i="415"/>
  <c r="E11" i="427"/>
  <c r="E13" i="440"/>
  <c r="E12" i="462"/>
  <c r="D50" i="464"/>
  <c r="J50" i="464" s="1"/>
  <c r="E19" i="470"/>
  <c r="D24" i="406"/>
  <c r="E16" i="424"/>
  <c r="H34" i="424"/>
  <c r="E17" i="425"/>
  <c r="H46" i="429"/>
  <c r="C46" i="429" s="1"/>
  <c r="H24" i="442"/>
  <c r="C24" i="442" s="1"/>
  <c r="H26" i="454"/>
  <c r="H32" i="454" s="1"/>
  <c r="C32" i="454" s="1"/>
  <c r="C48" i="454" s="1"/>
  <c r="D48" i="470"/>
  <c r="E12" i="404"/>
  <c r="E18" i="409"/>
  <c r="E11" i="415"/>
  <c r="E12" i="427"/>
  <c r="E10" i="442"/>
  <c r="E10" i="446"/>
  <c r="E10" i="461"/>
  <c r="D50" i="463"/>
  <c r="E18" i="461"/>
  <c r="H46" i="461"/>
  <c r="C46" i="461" s="1"/>
  <c r="E40" i="464"/>
  <c r="H46" i="465"/>
  <c r="C46" i="465" s="1"/>
  <c r="E14" i="405"/>
  <c r="E13" i="427"/>
  <c r="H27" i="429"/>
  <c r="E11" i="442"/>
  <c r="E11" i="446"/>
  <c r="H40" i="448"/>
  <c r="E10" i="450"/>
  <c r="E13" i="461"/>
  <c r="H19" i="462"/>
  <c r="C19" i="462" s="1"/>
  <c r="E11" i="468"/>
  <c r="E16" i="420"/>
  <c r="H46" i="442"/>
  <c r="C46" i="442" s="1"/>
  <c r="E13" i="447"/>
  <c r="H42" i="457"/>
  <c r="H46" i="457" s="1"/>
  <c r="H32" i="461"/>
  <c r="C32" i="461" s="1"/>
  <c r="E12" i="468"/>
  <c r="E10" i="413"/>
  <c r="E14" i="427"/>
  <c r="E12" i="442"/>
  <c r="C24" i="443"/>
  <c r="E16" i="461"/>
  <c r="E15" i="462"/>
  <c r="D48" i="461"/>
  <c r="E11" i="464"/>
  <c r="E13" i="468"/>
  <c r="H40" i="418"/>
  <c r="C40" i="418" s="1"/>
  <c r="H19" i="427"/>
  <c r="C19" i="427" s="1"/>
  <c r="H19" i="428"/>
  <c r="C19" i="428" s="1"/>
  <c r="H19" i="429"/>
  <c r="C19" i="429" s="1"/>
  <c r="E10" i="437"/>
  <c r="E13" i="446"/>
  <c r="E15" i="451"/>
  <c r="H26" i="452"/>
  <c r="E17" i="461"/>
  <c r="E10" i="462"/>
  <c r="E19" i="462"/>
  <c r="E12" i="464"/>
  <c r="D50" i="466"/>
  <c r="E19" i="468"/>
  <c r="E11" i="413"/>
  <c r="H34" i="455"/>
  <c r="H26" i="460"/>
  <c r="H32" i="460" s="1"/>
  <c r="C32" i="460" s="1"/>
  <c r="C48" i="460" s="1"/>
  <c r="E12" i="461"/>
  <c r="E18" i="462"/>
  <c r="E17" i="462"/>
  <c r="E19" i="464"/>
  <c r="H31" i="404"/>
  <c r="H32" i="404" s="1"/>
  <c r="C32" i="404" s="1"/>
  <c r="D32" i="405"/>
  <c r="D50" i="410"/>
  <c r="E15" i="418"/>
  <c r="E11" i="420"/>
  <c r="E12" i="424"/>
  <c r="H42" i="426"/>
  <c r="H46" i="426" s="1"/>
  <c r="C46" i="426" s="1"/>
  <c r="H46" i="434"/>
  <c r="C46" i="434" s="1"/>
  <c r="E16" i="451"/>
  <c r="E16" i="462"/>
  <c r="C32" i="145"/>
  <c r="H32" i="197"/>
  <c r="C32" i="197" s="1"/>
  <c r="C48" i="197" s="1"/>
  <c r="H40" i="198"/>
  <c r="C40" i="198" s="1"/>
  <c r="H32" i="216"/>
  <c r="C32" i="216" s="1"/>
  <c r="C48" i="216" s="1"/>
  <c r="H50" i="224"/>
  <c r="E6" i="224" s="1"/>
  <c r="H32" i="225"/>
  <c r="C32" i="225" s="1"/>
  <c r="H32" i="230"/>
  <c r="C32" i="230" s="1"/>
  <c r="H12" i="247"/>
  <c r="H19" i="247" s="1"/>
  <c r="C19" i="247" s="1"/>
  <c r="H40" i="247"/>
  <c r="C40" i="247" s="1"/>
  <c r="C48" i="247" s="1"/>
  <c r="H36" i="321"/>
  <c r="H31" i="322"/>
  <c r="H32" i="322" s="1"/>
  <c r="C32" i="322" s="1"/>
  <c r="H29" i="323"/>
  <c r="H32" i="323" s="1"/>
  <c r="C32" i="323" s="1"/>
  <c r="C48" i="323" s="1"/>
  <c r="E40" i="324"/>
  <c r="E35" i="324"/>
  <c r="H32" i="332"/>
  <c r="C32" i="332" s="1"/>
  <c r="H46" i="335"/>
  <c r="C46" i="335" s="1"/>
  <c r="C48" i="335" s="1"/>
  <c r="H32" i="385"/>
  <c r="C32" i="385" s="1"/>
  <c r="C48" i="385" s="1"/>
  <c r="H42" i="407"/>
  <c r="H46" i="425"/>
  <c r="C46" i="425" s="1"/>
  <c r="H24" i="426"/>
  <c r="C24" i="426" s="1"/>
  <c r="H39" i="426"/>
  <c r="H40" i="426" s="1"/>
  <c r="C40" i="426" s="1"/>
  <c r="H32" i="248"/>
  <c r="C32" i="248" s="1"/>
  <c r="C48" i="248" s="1"/>
  <c r="F48" i="4"/>
  <c r="F30" i="356"/>
  <c r="C48" i="352"/>
  <c r="H48" i="376"/>
  <c r="H50" i="376" s="1"/>
  <c r="E6" i="376" s="1"/>
  <c r="H48" i="431"/>
  <c r="H50" i="431" s="1"/>
  <c r="E6" i="431" s="1"/>
  <c r="H48" i="409"/>
  <c r="H50" i="409" s="1"/>
  <c r="E6" i="409" s="1"/>
  <c r="C24" i="409"/>
  <c r="C48" i="409" s="1"/>
  <c r="H19" i="349"/>
  <c r="C32" i="457"/>
  <c r="C40" i="443"/>
  <c r="H48" i="350"/>
  <c r="H50" i="350" s="1"/>
  <c r="E6" i="350" s="1"/>
  <c r="C40" i="300"/>
  <c r="C48" i="300" s="1"/>
  <c r="C40" i="88"/>
  <c r="H48" i="88"/>
  <c r="H50" i="88" s="1"/>
  <c r="E6" i="88" s="1"/>
  <c r="C32" i="80"/>
  <c r="C48" i="80" s="1"/>
  <c r="H48" i="80"/>
  <c r="H50" i="80" s="1"/>
  <c r="E6" i="80" s="1"/>
  <c r="E40" i="419"/>
  <c r="H24" i="427"/>
  <c r="E35" i="342"/>
  <c r="E36" i="342"/>
  <c r="E37" i="342"/>
  <c r="E38" i="342"/>
  <c r="E21" i="342"/>
  <c r="E26" i="342"/>
  <c r="E44" i="342"/>
  <c r="E31" i="342"/>
  <c r="E48" i="426"/>
  <c r="E48" i="170"/>
  <c r="E32" i="427"/>
  <c r="E24" i="427"/>
  <c r="C40" i="427"/>
  <c r="D50" i="427"/>
  <c r="H40" i="416"/>
  <c r="C40" i="416" s="1"/>
  <c r="E44" i="455"/>
  <c r="E36" i="455"/>
  <c r="E26" i="455"/>
  <c r="E37" i="455"/>
  <c r="E38" i="455"/>
  <c r="E39" i="455"/>
  <c r="E43" i="455"/>
  <c r="E21" i="455"/>
  <c r="E42" i="455"/>
  <c r="E23" i="455"/>
  <c r="E22" i="455"/>
  <c r="E28" i="455"/>
  <c r="E40" i="455"/>
  <c r="E45" i="455"/>
  <c r="E27" i="455"/>
  <c r="E32" i="455"/>
  <c r="E34" i="455"/>
  <c r="E29" i="455"/>
  <c r="E46" i="455"/>
  <c r="A52" i="455" s="1"/>
  <c r="E24" i="455"/>
  <c r="E30" i="455"/>
  <c r="E31" i="455"/>
  <c r="J50" i="359"/>
  <c r="E50" i="359"/>
  <c r="F18" i="182"/>
  <c r="F39" i="182"/>
  <c r="F23" i="182"/>
  <c r="F15" i="182"/>
  <c r="C32" i="371"/>
  <c r="E48" i="408"/>
  <c r="H48" i="176"/>
  <c r="H48" i="154"/>
  <c r="H50" i="154" s="1"/>
  <c r="E6" i="154" s="1"/>
  <c r="C24" i="331"/>
  <c r="C48" i="331" s="1"/>
  <c r="J50" i="407"/>
  <c r="E50" i="407"/>
  <c r="C40" i="391"/>
  <c r="H48" i="391"/>
  <c r="H50" i="391" s="1"/>
  <c r="E6" i="391" s="1"/>
  <c r="C48" i="387"/>
  <c r="E48" i="249"/>
  <c r="H48" i="305"/>
  <c r="H48" i="234"/>
  <c r="H50" i="234" s="1"/>
  <c r="E6" i="234" s="1"/>
  <c r="D48" i="447"/>
  <c r="E40" i="428"/>
  <c r="E30" i="428"/>
  <c r="E24" i="350"/>
  <c r="E48" i="350" s="1"/>
  <c r="E31" i="402"/>
  <c r="E30" i="402"/>
  <c r="E22" i="402"/>
  <c r="E45" i="402"/>
  <c r="E40" i="402"/>
  <c r="E27" i="402"/>
  <c r="E39" i="402"/>
  <c r="E21" i="402"/>
  <c r="E24" i="402"/>
  <c r="E32" i="402"/>
  <c r="E43" i="402"/>
  <c r="E29" i="402"/>
  <c r="E26" i="402"/>
  <c r="E38" i="402"/>
  <c r="E46" i="402"/>
  <c r="A52" i="402" s="1"/>
  <c r="E35" i="402"/>
  <c r="E44" i="402"/>
  <c r="E37" i="402"/>
  <c r="E36" i="402"/>
  <c r="E34" i="402"/>
  <c r="E23" i="402"/>
  <c r="E28" i="402"/>
  <c r="C24" i="346"/>
  <c r="E42" i="428"/>
  <c r="E31" i="428"/>
  <c r="E32" i="134"/>
  <c r="E24" i="134"/>
  <c r="E34" i="428"/>
  <c r="E46" i="394"/>
  <c r="E42" i="402"/>
  <c r="H24" i="366"/>
  <c r="C24" i="366" s="1"/>
  <c r="C48" i="366" s="1"/>
  <c r="D50" i="390"/>
  <c r="C32" i="362"/>
  <c r="H48" i="362"/>
  <c r="E40" i="372"/>
  <c r="C40" i="132"/>
  <c r="C48" i="132" s="1"/>
  <c r="E50" i="391"/>
  <c r="E28" i="391"/>
  <c r="E44" i="391"/>
  <c r="E45" i="391"/>
  <c r="E26" i="380"/>
  <c r="E27" i="383"/>
  <c r="E45" i="380"/>
  <c r="E24" i="380"/>
  <c r="E37" i="391"/>
  <c r="E22" i="380"/>
  <c r="E44" i="383"/>
  <c r="E22" i="391"/>
  <c r="E30" i="380"/>
  <c r="E24" i="391"/>
  <c r="E42" i="380"/>
  <c r="C19" i="47"/>
  <c r="E46" i="407"/>
  <c r="E43" i="380"/>
  <c r="F35" i="187"/>
  <c r="F39" i="187"/>
  <c r="F44" i="187"/>
  <c r="F12" i="187"/>
  <c r="F22" i="187"/>
  <c r="H32" i="250"/>
  <c r="C32" i="250" s="1"/>
  <c r="C48" i="250" s="1"/>
  <c r="H32" i="275"/>
  <c r="C32" i="275" s="1"/>
  <c r="C48" i="275" s="1"/>
  <c r="F42" i="178"/>
  <c r="F13" i="178"/>
  <c r="F43" i="178"/>
  <c r="F45" i="178"/>
  <c r="G45" i="178" s="1"/>
  <c r="E48" i="199"/>
  <c r="C24" i="171"/>
  <c r="F27" i="187"/>
  <c r="E48" i="289"/>
  <c r="C32" i="318"/>
  <c r="C48" i="318" s="1"/>
  <c r="H48" i="318"/>
  <c r="H50" i="318" s="1"/>
  <c r="E6" i="318" s="1"/>
  <c r="E48" i="184"/>
  <c r="C32" i="65"/>
  <c r="E23" i="8"/>
  <c r="D48" i="164"/>
  <c r="E24" i="164" s="1"/>
  <c r="D50" i="164"/>
  <c r="H40" i="195"/>
  <c r="C40" i="195" s="1"/>
  <c r="H19" i="323"/>
  <c r="C19" i="323" s="1"/>
  <c r="E32" i="329"/>
  <c r="E39" i="329"/>
  <c r="E46" i="329"/>
  <c r="A52" i="329" s="1"/>
  <c r="E31" i="329"/>
  <c r="E42" i="329"/>
  <c r="E34" i="329"/>
  <c r="E43" i="329"/>
  <c r="E23" i="329"/>
  <c r="E44" i="329"/>
  <c r="E32" i="189"/>
  <c r="E27" i="189"/>
  <c r="E24" i="189"/>
  <c r="E45" i="189"/>
  <c r="E34" i="189"/>
  <c r="E28" i="189"/>
  <c r="E26" i="189"/>
  <c r="E30" i="189"/>
  <c r="E37" i="189"/>
  <c r="C40" i="311"/>
  <c r="D50" i="291"/>
  <c r="D48" i="291"/>
  <c r="E32" i="291" s="1"/>
  <c r="E27" i="35"/>
  <c r="E24" i="35"/>
  <c r="E28" i="35"/>
  <c r="E30" i="35"/>
  <c r="E32" i="35"/>
  <c r="E34" i="35"/>
  <c r="E21" i="35"/>
  <c r="E22" i="176"/>
  <c r="E23" i="176"/>
  <c r="E39" i="176"/>
  <c r="E43" i="176"/>
  <c r="E42" i="176"/>
  <c r="E32" i="176"/>
  <c r="E40" i="176"/>
  <c r="E28" i="176"/>
  <c r="E31" i="176"/>
  <c r="C32" i="107"/>
  <c r="E45" i="331"/>
  <c r="E43" i="331"/>
  <c r="E27" i="331"/>
  <c r="E22" i="331"/>
  <c r="E29" i="331"/>
  <c r="E23" i="331"/>
  <c r="E46" i="331"/>
  <c r="A52" i="331" s="1"/>
  <c r="E21" i="331"/>
  <c r="E30" i="331"/>
  <c r="E31" i="331"/>
  <c r="E32" i="331"/>
  <c r="E34" i="331"/>
  <c r="E35" i="331"/>
  <c r="E36" i="331"/>
  <c r="E37" i="331"/>
  <c r="E24" i="331"/>
  <c r="E39" i="331"/>
  <c r="E48" i="296"/>
  <c r="J50" i="266"/>
  <c r="E50" i="266"/>
  <c r="E50" i="103"/>
  <c r="J50" i="103"/>
  <c r="C24" i="120"/>
  <c r="H32" i="181"/>
  <c r="C32" i="181" s="1"/>
  <c r="C48" i="181" s="1"/>
  <c r="C46" i="165"/>
  <c r="C48" i="165" s="1"/>
  <c r="H48" i="165"/>
  <c r="H50" i="165" s="1"/>
  <c r="E6" i="165" s="1"/>
  <c r="E27" i="5"/>
  <c r="E31" i="5"/>
  <c r="E29" i="5"/>
  <c r="E34" i="5"/>
  <c r="E42" i="5"/>
  <c r="E22" i="5"/>
  <c r="E23" i="5"/>
  <c r="E45" i="5"/>
  <c r="E21" i="5"/>
  <c r="E48" i="5" s="1"/>
  <c r="C24" i="166"/>
  <c r="C48" i="166" s="1"/>
  <c r="H48" i="166"/>
  <c r="E40" i="243"/>
  <c r="E38" i="243"/>
  <c r="E21" i="243"/>
  <c r="E31" i="243"/>
  <c r="E39" i="243"/>
  <c r="E34" i="243"/>
  <c r="E22" i="243"/>
  <c r="E35" i="243"/>
  <c r="E32" i="243"/>
  <c r="E23" i="243"/>
  <c r="E36" i="243"/>
  <c r="E42" i="243"/>
  <c r="E24" i="243"/>
  <c r="E43" i="243"/>
  <c r="E44" i="243"/>
  <c r="E27" i="243"/>
  <c r="E45" i="243"/>
  <c r="E28" i="243"/>
  <c r="E35" i="209"/>
  <c r="E27" i="209"/>
  <c r="E38" i="209"/>
  <c r="E40" i="136"/>
  <c r="E21" i="136"/>
  <c r="E42" i="136"/>
  <c r="E28" i="136"/>
  <c r="E43" i="136"/>
  <c r="E29" i="136"/>
  <c r="E44" i="136"/>
  <c r="E31" i="136"/>
  <c r="E45" i="136"/>
  <c r="E22" i="136"/>
  <c r="E23" i="136"/>
  <c r="E24" i="136"/>
  <c r="E27" i="136"/>
  <c r="E30" i="136"/>
  <c r="E34" i="136"/>
  <c r="E35" i="136"/>
  <c r="E32" i="136"/>
  <c r="E24" i="5"/>
  <c r="H46" i="315"/>
  <c r="C46" i="315" s="1"/>
  <c r="C48" i="315" s="1"/>
  <c r="H19" i="276"/>
  <c r="E50" i="231"/>
  <c r="J50" i="231"/>
  <c r="E44" i="5"/>
  <c r="C24" i="21"/>
  <c r="E48" i="190"/>
  <c r="C32" i="284"/>
  <c r="C48" i="284" s="1"/>
  <c r="D50" i="201"/>
  <c r="H19" i="316"/>
  <c r="C19" i="316" s="1"/>
  <c r="H24" i="1"/>
  <c r="H19" i="199"/>
  <c r="C19" i="199" s="1"/>
  <c r="E24" i="332"/>
  <c r="E27" i="332"/>
  <c r="E21" i="201"/>
  <c r="H40" i="246"/>
  <c r="E35" i="72"/>
  <c r="E43" i="72"/>
  <c r="E26" i="72"/>
  <c r="E44" i="72"/>
  <c r="E27" i="72"/>
  <c r="E45" i="72"/>
  <c r="E34" i="72"/>
  <c r="E31" i="72"/>
  <c r="E40" i="72"/>
  <c r="E28" i="72"/>
  <c r="E46" i="72"/>
  <c r="A52" i="72" s="1"/>
  <c r="E37" i="72"/>
  <c r="E29" i="72"/>
  <c r="E38" i="72"/>
  <c r="E30" i="72"/>
  <c r="E21" i="72"/>
  <c r="E32" i="72"/>
  <c r="E39" i="72"/>
  <c r="E22" i="72"/>
  <c r="E23" i="72"/>
  <c r="E36" i="72"/>
  <c r="E50" i="306"/>
  <c r="H19" i="204"/>
  <c r="C19" i="204" s="1"/>
  <c r="C40" i="161"/>
  <c r="H24" i="35"/>
  <c r="E40" i="332"/>
  <c r="E36" i="201"/>
  <c r="H40" i="262"/>
  <c r="H46" i="119"/>
  <c r="E46" i="301"/>
  <c r="A52" i="301" s="1"/>
  <c r="E27" i="301"/>
  <c r="E40" i="301"/>
  <c r="E28" i="301"/>
  <c r="E30" i="301"/>
  <c r="E42" i="301"/>
  <c r="D50" i="14"/>
  <c r="D48" i="14"/>
  <c r="C46" i="14"/>
  <c r="H24" i="14"/>
  <c r="H32" i="196"/>
  <c r="C32" i="196" s="1"/>
  <c r="E39" i="332"/>
  <c r="E46" i="201"/>
  <c r="A52" i="201" s="1"/>
  <c r="E31" i="201"/>
  <c r="H40" i="297"/>
  <c r="C48" i="238"/>
  <c r="H40" i="31"/>
  <c r="E38" i="332"/>
  <c r="E26" i="201"/>
  <c r="E30" i="201"/>
  <c r="C48" i="260"/>
  <c r="H19" i="210"/>
  <c r="C19" i="210" s="1"/>
  <c r="D48" i="30"/>
  <c r="D50" i="30"/>
  <c r="E24" i="201"/>
  <c r="E32" i="325"/>
  <c r="E34" i="325"/>
  <c r="E46" i="325"/>
  <c r="A52" i="325" s="1"/>
  <c r="E40" i="325"/>
  <c r="H24" i="36"/>
  <c r="H40" i="38"/>
  <c r="E32" i="48"/>
  <c r="H24" i="26"/>
  <c r="H32" i="13"/>
  <c r="C32" i="13" s="1"/>
  <c r="H19" i="19"/>
  <c r="C19" i="19" s="1"/>
  <c r="E14" i="8"/>
  <c r="E16" i="8"/>
  <c r="E18" i="8"/>
  <c r="D50" i="8"/>
  <c r="E50" i="8" s="1"/>
  <c r="E10" i="8"/>
  <c r="E11" i="8"/>
  <c r="H19" i="39"/>
  <c r="H24" i="8"/>
  <c r="H24" i="17"/>
  <c r="E16" i="19"/>
  <c r="E18" i="19"/>
  <c r="E17" i="19"/>
  <c r="E10" i="19"/>
  <c r="H40" i="27"/>
  <c r="E24" i="111"/>
  <c r="H24" i="10"/>
  <c r="H32" i="16"/>
  <c r="H32" i="91"/>
  <c r="H32" i="37"/>
  <c r="H32" i="78"/>
  <c r="E31" i="28"/>
  <c r="E35" i="28"/>
  <c r="E37" i="28"/>
  <c r="E21" i="28"/>
  <c r="H32" i="32"/>
  <c r="C32" i="32" s="1"/>
  <c r="C48" i="32" s="1"/>
  <c r="H46" i="10"/>
  <c r="C46" i="10" s="1"/>
  <c r="E26" i="16"/>
  <c r="H19" i="25"/>
  <c r="C19" i="25" s="1"/>
  <c r="E46" i="28"/>
  <c r="A52" i="28" s="1"/>
  <c r="H46" i="75"/>
  <c r="E13" i="99"/>
  <c r="E16" i="99"/>
  <c r="E38" i="28"/>
  <c r="E35" i="317"/>
  <c r="E46" i="317"/>
  <c r="A52" i="317" s="1"/>
  <c r="E40" i="317"/>
  <c r="E26" i="317"/>
  <c r="E28" i="317"/>
  <c r="E29" i="317"/>
  <c r="E30" i="317"/>
  <c r="E32" i="317"/>
  <c r="E38" i="317"/>
  <c r="H39" i="23"/>
  <c r="H32" i="1"/>
  <c r="C32" i="1" s="1"/>
  <c r="E29" i="27"/>
  <c r="E26" i="27"/>
  <c r="E42" i="15"/>
  <c r="E24" i="15"/>
  <c r="E43" i="15"/>
  <c r="E26" i="15"/>
  <c r="E44" i="15"/>
  <c r="E32" i="15"/>
  <c r="E45" i="15"/>
  <c r="E21" i="15"/>
  <c r="H32" i="24"/>
  <c r="D50" i="28"/>
  <c r="E14" i="4"/>
  <c r="E17" i="4"/>
  <c r="H24" i="13"/>
  <c r="H46" i="25"/>
  <c r="C46" i="25" s="1"/>
  <c r="H46" i="26"/>
  <c r="C46" i="26" s="1"/>
  <c r="H18" i="23"/>
  <c r="H40" i="61"/>
  <c r="H46" i="67"/>
  <c r="E11" i="88"/>
  <c r="E13" i="88"/>
  <c r="H40" i="54"/>
  <c r="C40" i="54" s="1"/>
  <c r="H40" i="72"/>
  <c r="H19" i="96"/>
  <c r="C19" i="96" s="1"/>
  <c r="H40" i="60"/>
  <c r="D48" i="62"/>
  <c r="E19" i="124"/>
  <c r="E11" i="124"/>
  <c r="E16" i="152"/>
  <c r="H24" i="64"/>
  <c r="E11" i="32"/>
  <c r="E12" i="32"/>
  <c r="E17" i="47"/>
  <c r="E19" i="47"/>
  <c r="H19" i="60"/>
  <c r="C19" i="60" s="1"/>
  <c r="D48" i="73"/>
  <c r="H34" i="53"/>
  <c r="H24" i="92"/>
  <c r="E15" i="25"/>
  <c r="H32" i="49"/>
  <c r="H15" i="53"/>
  <c r="H32" i="54"/>
  <c r="H14" i="53"/>
  <c r="H34" i="58"/>
  <c r="D32" i="68"/>
  <c r="D50" i="125"/>
  <c r="H46" i="157"/>
  <c r="E13" i="55"/>
  <c r="E10" i="60"/>
  <c r="E11" i="61"/>
  <c r="D40" i="158"/>
  <c r="H34" i="158"/>
  <c r="D40" i="82"/>
  <c r="D50" i="162"/>
  <c r="E17" i="140"/>
  <c r="E16" i="140"/>
  <c r="D32" i="114"/>
  <c r="H24" i="123"/>
  <c r="E18" i="111"/>
  <c r="E17" i="111"/>
  <c r="E15" i="68"/>
  <c r="H42" i="117"/>
  <c r="H46" i="120"/>
  <c r="C46" i="120" s="1"/>
  <c r="E16" i="132"/>
  <c r="E17" i="155"/>
  <c r="D48" i="168"/>
  <c r="H26" i="122"/>
  <c r="H38" i="269"/>
  <c r="E16" i="121"/>
  <c r="E12" i="131"/>
  <c r="E15" i="135"/>
  <c r="E19" i="148"/>
  <c r="E17" i="121"/>
  <c r="E16" i="131"/>
  <c r="E16" i="135"/>
  <c r="E12" i="138"/>
  <c r="E16" i="239"/>
  <c r="E18" i="239"/>
  <c r="E12" i="239"/>
  <c r="E10" i="239"/>
  <c r="E17" i="135"/>
  <c r="E15" i="138"/>
  <c r="E10" i="133"/>
  <c r="E18" i="135"/>
  <c r="E16" i="138"/>
  <c r="H43" i="179"/>
  <c r="H34" i="218"/>
  <c r="D40" i="218"/>
  <c r="E12" i="133"/>
  <c r="E18" i="138"/>
  <c r="E14" i="166"/>
  <c r="E18" i="166"/>
  <c r="H40" i="191"/>
  <c r="E19" i="138"/>
  <c r="E10" i="155"/>
  <c r="E14" i="192"/>
  <c r="E18" i="192"/>
  <c r="E19" i="133"/>
  <c r="E11" i="155"/>
  <c r="H11" i="180"/>
  <c r="H19" i="180" s="1"/>
  <c r="C19" i="180" s="1"/>
  <c r="E12" i="155"/>
  <c r="E19" i="182"/>
  <c r="E14" i="182"/>
  <c r="E19" i="186"/>
  <c r="E13" i="186"/>
  <c r="E12" i="186"/>
  <c r="E17" i="174"/>
  <c r="D46" i="203"/>
  <c r="C46" i="203" s="1"/>
  <c r="E17" i="224"/>
  <c r="E4" i="267"/>
  <c r="G4" i="267"/>
  <c r="E3" i="269"/>
  <c r="E4" i="269" s="1"/>
  <c r="E19" i="224"/>
  <c r="E13" i="276"/>
  <c r="E11" i="276"/>
  <c r="E10" i="276"/>
  <c r="E17" i="277"/>
  <c r="E16" i="277"/>
  <c r="D46" i="337"/>
  <c r="H42" i="337"/>
  <c r="E13" i="201"/>
  <c r="E14" i="201"/>
  <c r="E15" i="201"/>
  <c r="E16" i="201"/>
  <c r="E13" i="183"/>
  <c r="E17" i="194"/>
  <c r="E17" i="201"/>
  <c r="E10" i="224"/>
  <c r="E12" i="238"/>
  <c r="E17" i="238"/>
  <c r="E12" i="224"/>
  <c r="H34" i="289"/>
  <c r="H40" i="289" s="1"/>
  <c r="C40" i="289" s="1"/>
  <c r="E11" i="271"/>
  <c r="E12" i="285"/>
  <c r="E19" i="285"/>
  <c r="H40" i="294"/>
  <c r="E17" i="339"/>
  <c r="E12" i="339"/>
  <c r="E10" i="339"/>
  <c r="E11" i="339"/>
  <c r="E19" i="339"/>
  <c r="E14" i="339"/>
  <c r="E15" i="339"/>
  <c r="E16" i="339"/>
  <c r="H32" i="289"/>
  <c r="C32" i="289" s="1"/>
  <c r="E10" i="310"/>
  <c r="E14" i="310"/>
  <c r="E12" i="310"/>
  <c r="H32" i="295"/>
  <c r="D46" i="302"/>
  <c r="H42" i="302"/>
  <c r="D48" i="304"/>
  <c r="E14" i="289"/>
  <c r="E18" i="307"/>
  <c r="H24" i="361"/>
  <c r="H24" i="370"/>
  <c r="H24" i="373"/>
  <c r="D32" i="310"/>
  <c r="E13" i="332"/>
  <c r="E16" i="365"/>
  <c r="E14" i="365"/>
  <c r="E13" i="365"/>
  <c r="E12" i="365"/>
  <c r="E11" i="365"/>
  <c r="E10" i="365"/>
  <c r="H26" i="384"/>
  <c r="D32" i="384"/>
  <c r="E19" i="422"/>
  <c r="E14" i="422"/>
  <c r="E13" i="422"/>
  <c r="E12" i="422"/>
  <c r="E11" i="422"/>
  <c r="E10" i="422"/>
  <c r="E17" i="289"/>
  <c r="H40" i="355"/>
  <c r="E15" i="297"/>
  <c r="E10" i="303"/>
  <c r="E18" i="332"/>
  <c r="E13" i="282"/>
  <c r="E19" i="296"/>
  <c r="E11" i="303"/>
  <c r="D48" i="352"/>
  <c r="E11" i="320"/>
  <c r="E16" i="331"/>
  <c r="D32" i="413"/>
  <c r="H26" i="413"/>
  <c r="E17" i="303"/>
  <c r="E15" i="332"/>
  <c r="E15" i="338"/>
  <c r="D48" i="364"/>
  <c r="D50" i="364"/>
  <c r="E13" i="320"/>
  <c r="E19" i="349"/>
  <c r="E18" i="349"/>
  <c r="E17" i="349"/>
  <c r="E16" i="349"/>
  <c r="E15" i="349"/>
  <c r="E14" i="349"/>
  <c r="E13" i="349"/>
  <c r="E12" i="349"/>
  <c r="E11" i="349"/>
  <c r="E10" i="349"/>
  <c r="H46" i="388"/>
  <c r="D48" i="370"/>
  <c r="E14" i="324"/>
  <c r="H32" i="360"/>
  <c r="H24" i="364"/>
  <c r="E15" i="354"/>
  <c r="E13" i="362"/>
  <c r="E16" i="388"/>
  <c r="E15" i="388"/>
  <c r="H46" i="417"/>
  <c r="E19" i="434"/>
  <c r="E14" i="434"/>
  <c r="E12" i="434"/>
  <c r="E11" i="434"/>
  <c r="E18" i="345"/>
  <c r="E16" i="354"/>
  <c r="D50" i="356"/>
  <c r="D48" i="393"/>
  <c r="H46" i="418"/>
  <c r="H24" i="434"/>
  <c r="E19" i="391"/>
  <c r="E17" i="391"/>
  <c r="E17" i="376"/>
  <c r="E12" i="387"/>
  <c r="E13" i="403"/>
  <c r="E10" i="403"/>
  <c r="E15" i="403"/>
  <c r="E14" i="403"/>
  <c r="E12" i="403"/>
  <c r="H28" i="406"/>
  <c r="H42" i="423"/>
  <c r="H46" i="423" s="1"/>
  <c r="D46" i="423"/>
  <c r="E18" i="387"/>
  <c r="E12" i="388"/>
  <c r="H34" i="423"/>
  <c r="D40" i="423"/>
  <c r="E15" i="398"/>
  <c r="E18" i="398"/>
  <c r="E17" i="398"/>
  <c r="D46" i="437"/>
  <c r="D50" i="437" s="1"/>
  <c r="H42" i="437"/>
  <c r="H46" i="437" s="1"/>
  <c r="H17" i="466"/>
  <c r="D48" i="356"/>
  <c r="E32" i="356" s="1"/>
  <c r="E13" i="357"/>
  <c r="E19" i="376"/>
  <c r="E13" i="387"/>
  <c r="E13" i="388"/>
  <c r="H24" i="400"/>
  <c r="H46" i="416"/>
  <c r="C46" i="416" s="1"/>
  <c r="E14" i="357"/>
  <c r="H24" i="398"/>
  <c r="E17" i="369"/>
  <c r="E12" i="371"/>
  <c r="E17" i="372"/>
  <c r="E18" i="373"/>
  <c r="E18" i="381"/>
  <c r="E14" i="388"/>
  <c r="E19" i="403"/>
  <c r="E12" i="381"/>
  <c r="E14" i="383"/>
  <c r="E14" i="387"/>
  <c r="H19" i="424"/>
  <c r="C19" i="424" s="1"/>
  <c r="E19" i="369"/>
  <c r="E19" i="388"/>
  <c r="H32" i="430"/>
  <c r="H46" i="436"/>
  <c r="E10" i="376"/>
  <c r="E17" i="388"/>
  <c r="H31" i="405"/>
  <c r="H24" i="415"/>
  <c r="E18" i="400"/>
  <c r="H40" i="462"/>
  <c r="C40" i="462" s="1"/>
  <c r="H24" i="462"/>
  <c r="E11" i="404"/>
  <c r="E13" i="404"/>
  <c r="D13" i="478"/>
  <c r="D13" i="472"/>
  <c r="H13" i="472" s="1"/>
  <c r="H40" i="451"/>
  <c r="H26" i="463"/>
  <c r="H18" i="465"/>
  <c r="E13" i="412"/>
  <c r="D42" i="476"/>
  <c r="E18" i="430"/>
  <c r="E13" i="432"/>
  <c r="E17" i="392"/>
  <c r="E16" i="405"/>
  <c r="E12" i="409"/>
  <c r="E14" i="416"/>
  <c r="E12" i="421"/>
  <c r="E10" i="430"/>
  <c r="E11" i="437"/>
  <c r="E19" i="442"/>
  <c r="E13" i="442"/>
  <c r="H26" i="469"/>
  <c r="E17" i="413"/>
  <c r="E14" i="415"/>
  <c r="D43" i="478"/>
  <c r="D43" i="472"/>
  <c r="H40" i="461"/>
  <c r="E17" i="424"/>
  <c r="D34" i="476"/>
  <c r="E12" i="437"/>
  <c r="E14" i="442"/>
  <c r="H32" i="464"/>
  <c r="C32" i="464" s="1"/>
  <c r="H10" i="467"/>
  <c r="E14" i="404"/>
  <c r="E15" i="416"/>
  <c r="D27" i="472"/>
  <c r="D27" i="478"/>
  <c r="H46" i="453"/>
  <c r="D50" i="454"/>
  <c r="E18" i="411"/>
  <c r="E18" i="413"/>
  <c r="E11" i="429"/>
  <c r="E13" i="437"/>
  <c r="E15" i="442"/>
  <c r="E15" i="456"/>
  <c r="E18" i="456"/>
  <c r="E17" i="456"/>
  <c r="E16" i="456"/>
  <c r="E12" i="456"/>
  <c r="E10" i="456"/>
  <c r="H46" i="462"/>
  <c r="C46" i="462" s="1"/>
  <c r="E19" i="432"/>
  <c r="E11" i="432"/>
  <c r="E15" i="458"/>
  <c r="E18" i="458"/>
  <c r="E17" i="458"/>
  <c r="E16" i="458"/>
  <c r="E12" i="458"/>
  <c r="E10" i="458"/>
  <c r="E16" i="415"/>
  <c r="D50" i="432"/>
  <c r="E14" i="437"/>
  <c r="H32" i="462"/>
  <c r="C32" i="462" s="1"/>
  <c r="H13" i="464"/>
  <c r="H19" i="464" s="1"/>
  <c r="C19" i="464" s="1"/>
  <c r="E18" i="448"/>
  <c r="E11" i="448"/>
  <c r="E10" i="448"/>
  <c r="G2" i="489"/>
  <c r="G2" i="478"/>
  <c r="G2" i="472"/>
  <c r="H42" i="446"/>
  <c r="H46" i="446" s="1"/>
  <c r="C46" i="446" s="1"/>
  <c r="H17" i="463"/>
  <c r="H32" i="470"/>
  <c r="C32" i="470" s="1"/>
  <c r="H34" i="463"/>
  <c r="H23" i="463"/>
  <c r="H40" i="468"/>
  <c r="C40" i="468" s="1"/>
  <c r="H26" i="466"/>
  <c r="H22" i="469"/>
  <c r="H22" i="463"/>
  <c r="E13" i="464"/>
  <c r="E30" i="464"/>
  <c r="E46" i="464"/>
  <c r="A52" i="464" s="1"/>
  <c r="H35" i="464"/>
  <c r="H23" i="464"/>
  <c r="H27" i="465"/>
  <c r="H18" i="467"/>
  <c r="H27" i="467"/>
  <c r="H36" i="470"/>
  <c r="D34" i="478"/>
  <c r="D42" i="478"/>
  <c r="E14" i="464"/>
  <c r="E28" i="464"/>
  <c r="H22" i="466"/>
  <c r="H46" i="467"/>
  <c r="C46" i="467" s="1"/>
  <c r="E12" i="450"/>
  <c r="E14" i="463"/>
  <c r="D48" i="463"/>
  <c r="E40" i="463" s="1"/>
  <c r="H13" i="463"/>
  <c r="H30" i="463"/>
  <c r="E45" i="464"/>
  <c r="E27" i="464"/>
  <c r="H23" i="467"/>
  <c r="H17" i="468"/>
  <c r="E24" i="461"/>
  <c r="E15" i="464"/>
  <c r="E44" i="464"/>
  <c r="E26" i="464"/>
  <c r="H23" i="465"/>
  <c r="H40" i="469"/>
  <c r="C40" i="469" s="1"/>
  <c r="E17" i="452"/>
  <c r="E43" i="462"/>
  <c r="E15" i="463"/>
  <c r="E43" i="464"/>
  <c r="E13" i="450"/>
  <c r="E11" i="461"/>
  <c r="H38" i="463"/>
  <c r="E16" i="464"/>
  <c r="E42" i="464"/>
  <c r="E23" i="464"/>
  <c r="H26" i="468"/>
  <c r="E17" i="446"/>
  <c r="E19" i="447"/>
  <c r="E16" i="463"/>
  <c r="E22" i="464"/>
  <c r="H40" i="466"/>
  <c r="C40" i="466" s="1"/>
  <c r="E14" i="447"/>
  <c r="D50" i="461"/>
  <c r="E17" i="464"/>
  <c r="E39" i="464"/>
  <c r="E17" i="463"/>
  <c r="E38" i="464"/>
  <c r="H34" i="465"/>
  <c r="H40" i="465" s="1"/>
  <c r="H22" i="468"/>
  <c r="H17" i="469"/>
  <c r="E10" i="464"/>
  <c r="E37" i="464"/>
  <c r="E17" i="465"/>
  <c r="E16" i="465"/>
  <c r="E15" i="465"/>
  <c r="E14" i="465"/>
  <c r="E13" i="465"/>
  <c r="H34" i="467"/>
  <c r="H40" i="467" s="1"/>
  <c r="C40" i="467" s="1"/>
  <c r="E10" i="463"/>
  <c r="E36" i="464"/>
  <c r="H23" i="466"/>
  <c r="H23" i="468"/>
  <c r="H23" i="469"/>
  <c r="H16" i="470"/>
  <c r="H19" i="470" s="1"/>
  <c r="C19" i="470" s="1"/>
  <c r="H44" i="470"/>
  <c r="H46" i="470" s="1"/>
  <c r="C46" i="470" s="1"/>
  <c r="E14" i="466"/>
  <c r="H30" i="466"/>
  <c r="E13" i="467"/>
  <c r="E14" i="468"/>
  <c r="D48" i="468"/>
  <c r="H13" i="468"/>
  <c r="H30" i="468"/>
  <c r="E14" i="469"/>
  <c r="D48" i="469"/>
  <c r="E40" i="469" s="1"/>
  <c r="H13" i="469"/>
  <c r="H30" i="469"/>
  <c r="E14" i="470"/>
  <c r="H13" i="465"/>
  <c r="H30" i="465"/>
  <c r="E15" i="466"/>
  <c r="H12" i="466"/>
  <c r="H29" i="466"/>
  <c r="D31" i="472"/>
  <c r="D31" i="478"/>
  <c r="E14" i="467"/>
  <c r="D48" i="467"/>
  <c r="H13" i="467"/>
  <c r="H30" i="467"/>
  <c r="E15" i="468"/>
  <c r="H12" i="468"/>
  <c r="H29" i="468"/>
  <c r="D26" i="476"/>
  <c r="D26" i="472"/>
  <c r="E15" i="469"/>
  <c r="H12" i="469"/>
  <c r="D42" i="477"/>
  <c r="D42" i="472"/>
  <c r="D26" i="478"/>
  <c r="D26" i="477"/>
  <c r="E15" i="470"/>
  <c r="D34" i="477"/>
  <c r="D34" i="472"/>
  <c r="H38" i="464"/>
  <c r="H12" i="465"/>
  <c r="H29" i="465"/>
  <c r="E16" i="466"/>
  <c r="H11" i="466"/>
  <c r="H28" i="466"/>
  <c r="E15" i="467"/>
  <c r="H12" i="467"/>
  <c r="E16" i="468"/>
  <c r="H11" i="468"/>
  <c r="H28" i="468"/>
  <c r="E16" i="469"/>
  <c r="H11" i="469"/>
  <c r="E16" i="470"/>
  <c r="E23" i="470"/>
  <c r="E17" i="466"/>
  <c r="E16" i="467"/>
  <c r="E17" i="468"/>
  <c r="E17" i="469"/>
  <c r="E10" i="466"/>
  <c r="E10" i="468"/>
  <c r="E10" i="469"/>
  <c r="A54" i="483"/>
  <c r="I51" i="483"/>
  <c r="F50" i="483"/>
  <c r="G6" i="483"/>
  <c r="G5" i="483"/>
  <c r="I50" i="482"/>
  <c r="F48" i="482"/>
  <c r="F24" i="481"/>
  <c r="G24" i="481" s="1"/>
  <c r="I48" i="481"/>
  <c r="F24" i="480"/>
  <c r="G24" i="480" s="1"/>
  <c r="I48" i="480"/>
  <c r="I50" i="480" s="1"/>
  <c r="F24" i="479"/>
  <c r="G24" i="479" s="1"/>
  <c r="I48" i="479"/>
  <c r="E48" i="475"/>
  <c r="F10" i="475"/>
  <c r="F11" i="475"/>
  <c r="F12" i="475"/>
  <c r="F13" i="475"/>
  <c r="F14" i="475"/>
  <c r="F15" i="475"/>
  <c r="F16" i="475"/>
  <c r="F17" i="475"/>
  <c r="F18" i="475"/>
  <c r="F21" i="475"/>
  <c r="F22" i="475"/>
  <c r="F23" i="475"/>
  <c r="F26" i="475"/>
  <c r="F27" i="475"/>
  <c r="F28" i="475"/>
  <c r="F29" i="475"/>
  <c r="F30" i="475"/>
  <c r="F31" i="475"/>
  <c r="F34" i="475"/>
  <c r="F35" i="475"/>
  <c r="F36" i="475"/>
  <c r="F37" i="475"/>
  <c r="F38" i="475"/>
  <c r="F39" i="475"/>
  <c r="F42" i="475"/>
  <c r="F43" i="475"/>
  <c r="F44" i="475"/>
  <c r="F45" i="475"/>
  <c r="G45" i="475" s="1"/>
  <c r="E48" i="474"/>
  <c r="F10" i="474"/>
  <c r="F11" i="474"/>
  <c r="F12" i="474"/>
  <c r="F13" i="474"/>
  <c r="F14" i="474"/>
  <c r="F15" i="474"/>
  <c r="F16" i="474"/>
  <c r="F17" i="474"/>
  <c r="F18" i="474"/>
  <c r="F21" i="474"/>
  <c r="F22" i="474"/>
  <c r="F23" i="474"/>
  <c r="F26" i="474"/>
  <c r="F27" i="474"/>
  <c r="F28" i="474"/>
  <c r="F29" i="474"/>
  <c r="F30" i="474"/>
  <c r="F31" i="474"/>
  <c r="F34" i="474"/>
  <c r="F35" i="474"/>
  <c r="F36" i="474"/>
  <c r="F37" i="474"/>
  <c r="F38" i="474"/>
  <c r="F39" i="474"/>
  <c r="F42" i="474"/>
  <c r="F43" i="474"/>
  <c r="F44" i="474"/>
  <c r="F45" i="474"/>
  <c r="G45" i="474" s="1"/>
  <c r="C24" i="473"/>
  <c r="C48" i="473" s="1"/>
  <c r="H48" i="473"/>
  <c r="H50" i="473" s="1"/>
  <c r="E6" i="473" s="1"/>
  <c r="E45" i="473"/>
  <c r="E44" i="473"/>
  <c r="E43" i="473"/>
  <c r="E39" i="473"/>
  <c r="E38" i="473"/>
  <c r="E37" i="473"/>
  <c r="E36" i="473"/>
  <c r="E35" i="473"/>
  <c r="E31" i="473"/>
  <c r="E30" i="473"/>
  <c r="E29" i="473"/>
  <c r="E28" i="473"/>
  <c r="E27" i="473"/>
  <c r="E23" i="473"/>
  <c r="E22" i="473"/>
  <c r="E21" i="473"/>
  <c r="E24" i="473"/>
  <c r="E26" i="473"/>
  <c r="E34" i="473"/>
  <c r="E42" i="473"/>
  <c r="E46" i="473"/>
  <c r="A52" i="473" s="1"/>
  <c r="E40" i="473"/>
  <c r="E32" i="473"/>
  <c r="J50" i="473"/>
  <c r="E50" i="473"/>
  <c r="H46" i="471"/>
  <c r="C46" i="471" s="1"/>
  <c r="H40" i="471"/>
  <c r="C40" i="471" s="1"/>
  <c r="D50" i="471"/>
  <c r="D48" i="471"/>
  <c r="H32" i="471"/>
  <c r="C32" i="471" s="1"/>
  <c r="H24" i="471"/>
  <c r="H19" i="471"/>
  <c r="C19" i="471" s="1"/>
  <c r="C46" i="188" l="1"/>
  <c r="H48" i="188"/>
  <c r="H50" i="188" s="1"/>
  <c r="E6" i="188" s="1"/>
  <c r="C48" i="3"/>
  <c r="H48" i="439"/>
  <c r="I19" i="207"/>
  <c r="F19" i="207" s="1"/>
  <c r="G19" i="207" s="1"/>
  <c r="E24" i="258"/>
  <c r="E37" i="258"/>
  <c r="E23" i="258"/>
  <c r="E43" i="258"/>
  <c r="E36" i="258"/>
  <c r="E30" i="258"/>
  <c r="E28" i="258"/>
  <c r="E45" i="258"/>
  <c r="E26" i="258"/>
  <c r="E34" i="258"/>
  <c r="E40" i="258"/>
  <c r="E39" i="258"/>
  <c r="E21" i="258"/>
  <c r="E32" i="258"/>
  <c r="E42" i="258"/>
  <c r="E38" i="258"/>
  <c r="E31" i="258"/>
  <c r="E29" i="258"/>
  <c r="E27" i="258"/>
  <c r="E44" i="258"/>
  <c r="E22" i="258"/>
  <c r="E35" i="258"/>
  <c r="E46" i="258"/>
  <c r="A52" i="258" s="1"/>
  <c r="J50" i="122"/>
  <c r="E50" i="122"/>
  <c r="C24" i="112"/>
  <c r="C48" i="112" s="1"/>
  <c r="H48" i="112"/>
  <c r="J50" i="183"/>
  <c r="E50" i="183"/>
  <c r="E24" i="172"/>
  <c r="E28" i="172"/>
  <c r="E34" i="172"/>
  <c r="E21" i="172"/>
  <c r="E42" i="172"/>
  <c r="E43" i="172"/>
  <c r="E40" i="172"/>
  <c r="E29" i="172"/>
  <c r="E35" i="172"/>
  <c r="E39" i="172"/>
  <c r="E26" i="172"/>
  <c r="E44" i="172"/>
  <c r="E46" i="172"/>
  <c r="A52" i="172" s="1"/>
  <c r="E30" i="172"/>
  <c r="E36" i="172"/>
  <c r="E22" i="172"/>
  <c r="E27" i="172"/>
  <c r="E45" i="172"/>
  <c r="E31" i="172"/>
  <c r="E37" i="172"/>
  <c r="E23" i="172"/>
  <c r="E38" i="172"/>
  <c r="E32" i="172"/>
  <c r="E45" i="133"/>
  <c r="E30" i="133"/>
  <c r="E37" i="133"/>
  <c r="E23" i="133"/>
  <c r="E27" i="133"/>
  <c r="E34" i="133"/>
  <c r="E38" i="133"/>
  <c r="E29" i="133"/>
  <c r="E22" i="133"/>
  <c r="E44" i="133"/>
  <c r="E31" i="133"/>
  <c r="E35" i="133"/>
  <c r="E40" i="133"/>
  <c r="E21" i="133"/>
  <c r="E46" i="133"/>
  <c r="A52" i="133" s="1"/>
  <c r="E26" i="133"/>
  <c r="E36" i="133"/>
  <c r="E42" i="133"/>
  <c r="E28" i="133"/>
  <c r="E39" i="133"/>
  <c r="E43" i="133"/>
  <c r="J50" i="119"/>
  <c r="E50" i="119"/>
  <c r="E38" i="108"/>
  <c r="E34" i="108"/>
  <c r="E26" i="108"/>
  <c r="E50" i="69"/>
  <c r="J50" i="69"/>
  <c r="E45" i="419"/>
  <c r="E29" i="419"/>
  <c r="E43" i="419"/>
  <c r="E23" i="419"/>
  <c r="E39" i="419"/>
  <c r="E36" i="419"/>
  <c r="G43" i="328"/>
  <c r="I43" i="328"/>
  <c r="I46" i="328" s="1"/>
  <c r="F46" i="328" s="1"/>
  <c r="G46" i="328" s="1"/>
  <c r="I27" i="328"/>
  <c r="G27" i="328"/>
  <c r="C46" i="180"/>
  <c r="E48" i="11"/>
  <c r="E26" i="121"/>
  <c r="E24" i="121"/>
  <c r="E34" i="121"/>
  <c r="E28" i="121"/>
  <c r="E37" i="121"/>
  <c r="E46" i="121"/>
  <c r="A52" i="121" s="1"/>
  <c r="E42" i="121"/>
  <c r="E30" i="121"/>
  <c r="E38" i="121"/>
  <c r="E27" i="121"/>
  <c r="E43" i="121"/>
  <c r="E22" i="121"/>
  <c r="E35" i="121"/>
  <c r="E39" i="121"/>
  <c r="E21" i="121"/>
  <c r="E36" i="121"/>
  <c r="E40" i="115"/>
  <c r="E34" i="115"/>
  <c r="E38" i="115"/>
  <c r="E26" i="115"/>
  <c r="E21" i="115"/>
  <c r="E31" i="115"/>
  <c r="E42" i="115"/>
  <c r="E35" i="115"/>
  <c r="E22" i="115"/>
  <c r="E44" i="115"/>
  <c r="E23" i="115"/>
  <c r="E32" i="115"/>
  <c r="E36" i="115"/>
  <c r="E24" i="115"/>
  <c r="E27" i="115"/>
  <c r="E29" i="115"/>
  <c r="E28" i="115"/>
  <c r="E37" i="115"/>
  <c r="E43" i="115"/>
  <c r="E45" i="115"/>
  <c r="E30" i="115"/>
  <c r="E39" i="115"/>
  <c r="J50" i="112"/>
  <c r="E50" i="112"/>
  <c r="J50" i="66"/>
  <c r="E50" i="66"/>
  <c r="E50" i="181"/>
  <c r="J50" i="181"/>
  <c r="J50" i="177"/>
  <c r="E50" i="177"/>
  <c r="E29" i="166"/>
  <c r="E35" i="166"/>
  <c r="E39" i="166"/>
  <c r="E37" i="166"/>
  <c r="E24" i="166"/>
  <c r="E27" i="166"/>
  <c r="E30" i="166"/>
  <c r="E36" i="166"/>
  <c r="E22" i="166"/>
  <c r="E42" i="166"/>
  <c r="E32" i="166"/>
  <c r="E45" i="166"/>
  <c r="E31" i="166"/>
  <c r="E38" i="166"/>
  <c r="E23" i="166"/>
  <c r="E43" i="166"/>
  <c r="E46" i="166"/>
  <c r="A52" i="166" s="1"/>
  <c r="E21" i="166"/>
  <c r="E26" i="166"/>
  <c r="E28" i="166"/>
  <c r="E44" i="166"/>
  <c r="E34" i="166"/>
  <c r="E40" i="166"/>
  <c r="E42" i="157"/>
  <c r="E31" i="157"/>
  <c r="J50" i="149"/>
  <c r="E50" i="149"/>
  <c r="E45" i="147"/>
  <c r="E27" i="147"/>
  <c r="E35" i="147"/>
  <c r="E23" i="147"/>
  <c r="E43" i="147"/>
  <c r="E34" i="147"/>
  <c r="E21" i="147"/>
  <c r="E32" i="147"/>
  <c r="E28" i="147"/>
  <c r="E36" i="147"/>
  <c r="E39" i="147"/>
  <c r="E46" i="147"/>
  <c r="A52" i="147" s="1"/>
  <c r="E22" i="147"/>
  <c r="E40" i="147"/>
  <c r="E31" i="147"/>
  <c r="E38" i="147"/>
  <c r="E42" i="147"/>
  <c r="E44" i="147"/>
  <c r="E30" i="147"/>
  <c r="E26" i="147"/>
  <c r="E29" i="147"/>
  <c r="E37" i="147"/>
  <c r="E24" i="147"/>
  <c r="E46" i="18"/>
  <c r="A52" i="18" s="1"/>
  <c r="E22" i="18"/>
  <c r="E39" i="18"/>
  <c r="E42" i="18"/>
  <c r="E31" i="18"/>
  <c r="E21" i="18"/>
  <c r="E43" i="18"/>
  <c r="E44" i="18"/>
  <c r="E45" i="18"/>
  <c r="E34" i="18"/>
  <c r="E29" i="18"/>
  <c r="E23" i="18"/>
  <c r="E28" i="18"/>
  <c r="E37" i="18"/>
  <c r="E26" i="18"/>
  <c r="E30" i="18"/>
  <c r="E38" i="18"/>
  <c r="E32" i="18"/>
  <c r="E40" i="18"/>
  <c r="E35" i="18"/>
  <c r="E24" i="18"/>
  <c r="E27" i="18"/>
  <c r="E36" i="18"/>
  <c r="J50" i="104"/>
  <c r="E50" i="104"/>
  <c r="E12" i="65"/>
  <c r="E16" i="65"/>
  <c r="E18" i="65"/>
  <c r="E10" i="65"/>
  <c r="D50" i="150"/>
  <c r="D48" i="150"/>
  <c r="H48" i="229"/>
  <c r="G29" i="328"/>
  <c r="I29" i="328"/>
  <c r="I32" i="328" s="1"/>
  <c r="F32" i="328" s="1"/>
  <c r="G32" i="328" s="1"/>
  <c r="E48" i="419"/>
  <c r="C48" i="188"/>
  <c r="G4" i="406"/>
  <c r="E4" i="406"/>
  <c r="E38" i="307"/>
  <c r="E23" i="307"/>
  <c r="E26" i="307"/>
  <c r="E28" i="307"/>
  <c r="E31" i="307"/>
  <c r="E21" i="307"/>
  <c r="E42" i="307"/>
  <c r="E44" i="307"/>
  <c r="E46" i="307"/>
  <c r="A52" i="307" s="1"/>
  <c r="E32" i="307"/>
  <c r="E36" i="307"/>
  <c r="E39" i="307"/>
  <c r="E24" i="307"/>
  <c r="E27" i="307"/>
  <c r="E29" i="307"/>
  <c r="E34" i="307"/>
  <c r="E45" i="307"/>
  <c r="E37" i="307"/>
  <c r="E30" i="307"/>
  <c r="E22" i="307"/>
  <c r="E35" i="307"/>
  <c r="E43" i="307"/>
  <c r="E40" i="307"/>
  <c r="E21" i="125"/>
  <c r="E31" i="125"/>
  <c r="E40" i="125"/>
  <c r="E30" i="120"/>
  <c r="E38" i="120"/>
  <c r="E21" i="120"/>
  <c r="E31" i="120"/>
  <c r="E37" i="120"/>
  <c r="E24" i="120"/>
  <c r="E22" i="120"/>
  <c r="E40" i="64"/>
  <c r="E37" i="64"/>
  <c r="E23" i="64"/>
  <c r="E30" i="64"/>
  <c r="E28" i="64"/>
  <c r="E35" i="64"/>
  <c r="E45" i="64"/>
  <c r="E21" i="64"/>
  <c r="E42" i="64"/>
  <c r="E32" i="64"/>
  <c r="E29" i="64"/>
  <c r="E36" i="64"/>
  <c r="E38" i="64"/>
  <c r="E39" i="64"/>
  <c r="E26" i="64"/>
  <c r="E24" i="64"/>
  <c r="E31" i="64"/>
  <c r="E43" i="64"/>
  <c r="E22" i="64"/>
  <c r="E44" i="64"/>
  <c r="E27" i="64"/>
  <c r="E34" i="64"/>
  <c r="E46" i="64"/>
  <c r="A52" i="64" s="1"/>
  <c r="J50" i="185"/>
  <c r="E50" i="185"/>
  <c r="E35" i="176"/>
  <c r="E21" i="176"/>
  <c r="E44" i="176"/>
  <c r="E30" i="176"/>
  <c r="E26" i="176"/>
  <c r="E38" i="176"/>
  <c r="E37" i="176"/>
  <c r="E29" i="176"/>
  <c r="E24" i="176"/>
  <c r="E45" i="176"/>
  <c r="E27" i="176"/>
  <c r="E36" i="176"/>
  <c r="E34" i="176"/>
  <c r="E46" i="176"/>
  <c r="A52" i="176" s="1"/>
  <c r="J50" i="168"/>
  <c r="E50" i="168"/>
  <c r="E34" i="154"/>
  <c r="E27" i="154"/>
  <c r="E26" i="154"/>
  <c r="E39" i="154"/>
  <c r="E37" i="154"/>
  <c r="E30" i="154"/>
  <c r="E23" i="154"/>
  <c r="E46" i="154"/>
  <c r="A52" i="154" s="1"/>
  <c r="E31" i="154"/>
  <c r="E43" i="154"/>
  <c r="E22" i="154"/>
  <c r="E24" i="148"/>
  <c r="E30" i="148"/>
  <c r="E39" i="148"/>
  <c r="E45" i="148"/>
  <c r="E28" i="148"/>
  <c r="E42" i="148"/>
  <c r="E40" i="148"/>
  <c r="E31" i="148"/>
  <c r="E22" i="148"/>
  <c r="E23" i="148"/>
  <c r="E35" i="148"/>
  <c r="E34" i="148"/>
  <c r="E36" i="148"/>
  <c r="E43" i="148"/>
  <c r="E26" i="148"/>
  <c r="E37" i="148"/>
  <c r="E46" i="148"/>
  <c r="A52" i="148" s="1"/>
  <c r="E44" i="148"/>
  <c r="E27" i="148"/>
  <c r="E29" i="148"/>
  <c r="E38" i="148"/>
  <c r="E21" i="148"/>
  <c r="E32" i="148"/>
  <c r="E46" i="146"/>
  <c r="A52" i="146" s="1"/>
  <c r="E32" i="146"/>
  <c r="E35" i="146"/>
  <c r="E24" i="146"/>
  <c r="E37" i="146"/>
  <c r="E45" i="146"/>
  <c r="E28" i="146"/>
  <c r="E36" i="146"/>
  <c r="E43" i="146"/>
  <c r="E38" i="146"/>
  <c r="E22" i="146"/>
  <c r="E29" i="146"/>
  <c r="E34" i="146"/>
  <c r="E44" i="146"/>
  <c r="E27" i="146"/>
  <c r="E21" i="146"/>
  <c r="E40" i="146"/>
  <c r="E30" i="146"/>
  <c r="E39" i="146"/>
  <c r="E42" i="146"/>
  <c r="E31" i="146"/>
  <c r="E26" i="146"/>
  <c r="E23" i="146"/>
  <c r="E36" i="139"/>
  <c r="E44" i="139"/>
  <c r="E37" i="139"/>
  <c r="E45" i="139"/>
  <c r="E30" i="139"/>
  <c r="E39" i="139"/>
  <c r="E23" i="139"/>
  <c r="E31" i="139"/>
  <c r="E27" i="139"/>
  <c r="E22" i="139"/>
  <c r="C40" i="217"/>
  <c r="D19" i="77"/>
  <c r="E15" i="77"/>
  <c r="E45" i="428"/>
  <c r="E26" i="428"/>
  <c r="E46" i="428"/>
  <c r="A52" i="428" s="1"/>
  <c r="G39" i="328"/>
  <c r="I39" i="328"/>
  <c r="H19" i="41"/>
  <c r="C19" i="41" s="1"/>
  <c r="E48" i="133"/>
  <c r="E48" i="46"/>
  <c r="E48" i="398"/>
  <c r="E48" i="225"/>
  <c r="E48" i="106"/>
  <c r="E37" i="113"/>
  <c r="E22" i="113"/>
  <c r="E45" i="113"/>
  <c r="E42" i="113"/>
  <c r="E29" i="113"/>
  <c r="E38" i="113"/>
  <c r="E24" i="113"/>
  <c r="E28" i="113"/>
  <c r="E44" i="113"/>
  <c r="E30" i="113"/>
  <c r="E21" i="113"/>
  <c r="E34" i="113"/>
  <c r="E31" i="113"/>
  <c r="E39" i="113"/>
  <c r="E35" i="113"/>
  <c r="E40" i="113"/>
  <c r="E43" i="113"/>
  <c r="E23" i="113"/>
  <c r="E36" i="113"/>
  <c r="E27" i="113"/>
  <c r="E26" i="113"/>
  <c r="J50" i="111"/>
  <c r="E50" i="111"/>
  <c r="E26" i="174"/>
  <c r="E29" i="174"/>
  <c r="E37" i="174"/>
  <c r="E39" i="174"/>
  <c r="E28" i="174"/>
  <c r="E21" i="174"/>
  <c r="E48" i="174" s="1"/>
  <c r="E23" i="174"/>
  <c r="E31" i="174"/>
  <c r="E43" i="174"/>
  <c r="E32" i="174"/>
  <c r="E22" i="174"/>
  <c r="E44" i="174"/>
  <c r="E35" i="174"/>
  <c r="E34" i="174"/>
  <c r="E45" i="174"/>
  <c r="E40" i="174"/>
  <c r="E27" i="167"/>
  <c r="E32" i="167"/>
  <c r="E28" i="167"/>
  <c r="E36" i="167"/>
  <c r="E46" i="167"/>
  <c r="A52" i="167" s="1"/>
  <c r="E44" i="167"/>
  <c r="E38" i="167"/>
  <c r="E29" i="167"/>
  <c r="E23" i="167"/>
  <c r="E24" i="167"/>
  <c r="E30" i="167"/>
  <c r="E22" i="167"/>
  <c r="E35" i="167"/>
  <c r="E26" i="167"/>
  <c r="E34" i="167"/>
  <c r="E42" i="167"/>
  <c r="E39" i="167"/>
  <c r="E21" i="167"/>
  <c r="E48" i="167" s="1"/>
  <c r="E50" i="163"/>
  <c r="J50" i="163"/>
  <c r="E36" i="136"/>
  <c r="E37" i="136"/>
  <c r="J50" i="101"/>
  <c r="E50" i="101"/>
  <c r="E50" i="133"/>
  <c r="J50" i="133"/>
  <c r="E46" i="223"/>
  <c r="A52" i="223" s="1"/>
  <c r="E28" i="223"/>
  <c r="E34" i="223"/>
  <c r="E40" i="223"/>
  <c r="E38" i="223"/>
  <c r="E23" i="223"/>
  <c r="E44" i="223"/>
  <c r="E30" i="223"/>
  <c r="E36" i="223"/>
  <c r="E21" i="223"/>
  <c r="E24" i="223"/>
  <c r="E45" i="223"/>
  <c r="E32" i="223"/>
  <c r="E39" i="223"/>
  <c r="E26" i="223"/>
  <c r="E35" i="223"/>
  <c r="E37" i="223"/>
  <c r="E22" i="223"/>
  <c r="E29" i="223"/>
  <c r="E50" i="174"/>
  <c r="J50" i="174"/>
  <c r="E30" i="430"/>
  <c r="E44" i="430"/>
  <c r="E27" i="430"/>
  <c r="E46" i="430"/>
  <c r="A52" i="430" s="1"/>
  <c r="E38" i="430"/>
  <c r="E48" i="334"/>
  <c r="E32" i="428"/>
  <c r="E48" i="454"/>
  <c r="I12" i="328"/>
  <c r="I19" i="328" s="1"/>
  <c r="F19" i="328" s="1"/>
  <c r="G19" i="328" s="1"/>
  <c r="G12" i="328"/>
  <c r="I37" i="328"/>
  <c r="I40" i="328" s="1"/>
  <c r="F40" i="328" s="1"/>
  <c r="G40" i="328" s="1"/>
  <c r="G37" i="328"/>
  <c r="G38" i="328"/>
  <c r="I38" i="328"/>
  <c r="J50" i="80"/>
  <c r="E50" i="80"/>
  <c r="F28" i="447"/>
  <c r="F30" i="447"/>
  <c r="F11" i="447"/>
  <c r="F27" i="447"/>
  <c r="F29" i="447"/>
  <c r="C48" i="332"/>
  <c r="F15" i="188"/>
  <c r="C32" i="88"/>
  <c r="E42" i="27"/>
  <c r="C40" i="293"/>
  <c r="C32" i="358"/>
  <c r="E34" i="317"/>
  <c r="E48" i="435"/>
  <c r="C48" i="392"/>
  <c r="C46" i="53"/>
  <c r="E48" i="197"/>
  <c r="E48" i="160"/>
  <c r="E48" i="163"/>
  <c r="E48" i="233"/>
  <c r="E48" i="264"/>
  <c r="E48" i="326"/>
  <c r="E48" i="204"/>
  <c r="D32" i="118"/>
  <c r="J50" i="228"/>
  <c r="E50" i="228"/>
  <c r="J50" i="216"/>
  <c r="E50" i="216"/>
  <c r="J50" i="348"/>
  <c r="E50" i="348"/>
  <c r="F39" i="288"/>
  <c r="F23" i="288"/>
  <c r="F38" i="288"/>
  <c r="F26" i="288"/>
  <c r="F30" i="288"/>
  <c r="F11" i="288"/>
  <c r="F29" i="288"/>
  <c r="F27" i="288"/>
  <c r="F18" i="288"/>
  <c r="F36" i="288"/>
  <c r="F43" i="288"/>
  <c r="F31" i="288"/>
  <c r="F37" i="288"/>
  <c r="F16" i="288"/>
  <c r="F34" i="288"/>
  <c r="F22" i="288"/>
  <c r="F13" i="288"/>
  <c r="F45" i="288"/>
  <c r="G45" i="288" s="1"/>
  <c r="F10" i="288"/>
  <c r="F17" i="288"/>
  <c r="F15" i="288"/>
  <c r="F14" i="288"/>
  <c r="F42" i="288"/>
  <c r="F12" i="288"/>
  <c r="F35" i="288"/>
  <c r="F21" i="288"/>
  <c r="F28" i="288"/>
  <c r="F44" i="288"/>
  <c r="E50" i="389"/>
  <c r="J50" i="389"/>
  <c r="E48" i="424"/>
  <c r="C48" i="362"/>
  <c r="E37" i="462"/>
  <c r="E34" i="462"/>
  <c r="H40" i="23"/>
  <c r="C40" i="23" s="1"/>
  <c r="E36" i="16"/>
  <c r="E35" i="35"/>
  <c r="E42" i="35"/>
  <c r="E46" i="35"/>
  <c r="A52" i="35" s="1"/>
  <c r="F14" i="188"/>
  <c r="H48" i="300"/>
  <c r="H50" i="300" s="1"/>
  <c r="E6" i="300" s="1"/>
  <c r="C48" i="322"/>
  <c r="E24" i="464"/>
  <c r="E35" i="464"/>
  <c r="C48" i="278"/>
  <c r="C24" i="59"/>
  <c r="C48" i="59" s="1"/>
  <c r="E44" i="34"/>
  <c r="E42" i="34"/>
  <c r="E24" i="34"/>
  <c r="E21" i="34"/>
  <c r="E35" i="34"/>
  <c r="H50" i="147"/>
  <c r="E6" i="147" s="1"/>
  <c r="H50" i="320"/>
  <c r="E6" i="320" s="1"/>
  <c r="C48" i="148"/>
  <c r="E40" i="27"/>
  <c r="D50" i="88"/>
  <c r="E50" i="88" s="1"/>
  <c r="D50" i="358"/>
  <c r="E43" i="317"/>
  <c r="E48" i="113"/>
  <c r="E50" i="293"/>
  <c r="E48" i="213"/>
  <c r="E50" i="186"/>
  <c r="H50" i="410"/>
  <c r="E6" i="410" s="1"/>
  <c r="F18" i="410" s="1"/>
  <c r="E48" i="156"/>
  <c r="E48" i="93"/>
  <c r="E48" i="25"/>
  <c r="E48" i="267"/>
  <c r="E48" i="49"/>
  <c r="E48" i="245"/>
  <c r="E48" i="290"/>
  <c r="E48" i="221"/>
  <c r="J50" i="309"/>
  <c r="E50" i="309"/>
  <c r="E37" i="274"/>
  <c r="E22" i="274"/>
  <c r="E44" i="274"/>
  <c r="E28" i="274"/>
  <c r="E38" i="274"/>
  <c r="E42" i="274"/>
  <c r="E26" i="274"/>
  <c r="E29" i="274"/>
  <c r="E40" i="274"/>
  <c r="E39" i="274"/>
  <c r="E23" i="274"/>
  <c r="E45" i="274"/>
  <c r="E32" i="274"/>
  <c r="E36" i="274"/>
  <c r="E21" i="274"/>
  <c r="E43" i="274"/>
  <c r="E27" i="274"/>
  <c r="E24" i="274"/>
  <c r="E34" i="274"/>
  <c r="E35" i="274"/>
  <c r="E30" i="274"/>
  <c r="E46" i="274"/>
  <c r="A52" i="274" s="1"/>
  <c r="E31" i="274"/>
  <c r="E42" i="74"/>
  <c r="E29" i="74"/>
  <c r="E46" i="74"/>
  <c r="A52" i="74" s="1"/>
  <c r="E45" i="74"/>
  <c r="E26" i="74"/>
  <c r="E31" i="74"/>
  <c r="E36" i="74"/>
  <c r="E38" i="74"/>
  <c r="E44" i="74"/>
  <c r="E32" i="74"/>
  <c r="E27" i="74"/>
  <c r="E34" i="74"/>
  <c r="E37" i="74"/>
  <c r="E24" i="74"/>
  <c r="E28" i="74"/>
  <c r="C40" i="170"/>
  <c r="C48" i="170" s="1"/>
  <c r="H48" i="170"/>
  <c r="H50" i="170" s="1"/>
  <c r="E6" i="170" s="1"/>
  <c r="F13" i="170" s="1"/>
  <c r="E35" i="194"/>
  <c r="E21" i="194"/>
  <c r="E44" i="194"/>
  <c r="E32" i="194"/>
  <c r="E36" i="194"/>
  <c r="E42" i="194"/>
  <c r="E26" i="194"/>
  <c r="E40" i="194"/>
  <c r="E34" i="194"/>
  <c r="E28" i="194"/>
  <c r="E38" i="194"/>
  <c r="E23" i="194"/>
  <c r="E45" i="194"/>
  <c r="E27" i="194"/>
  <c r="E31" i="194"/>
  <c r="E39" i="194"/>
  <c r="E43" i="194"/>
  <c r="E30" i="194"/>
  <c r="E50" i="135"/>
  <c r="J50" i="135"/>
  <c r="E35" i="189"/>
  <c r="E29" i="189"/>
  <c r="E48" i="116"/>
  <c r="E21" i="182"/>
  <c r="E39" i="182"/>
  <c r="E26" i="182"/>
  <c r="E31" i="182"/>
  <c r="E22" i="182"/>
  <c r="E43" i="182"/>
  <c r="E45" i="182"/>
  <c r="E35" i="182"/>
  <c r="E37" i="182"/>
  <c r="E38" i="182"/>
  <c r="E42" i="182"/>
  <c r="E30" i="182"/>
  <c r="E40" i="182"/>
  <c r="E29" i="182"/>
  <c r="E36" i="182"/>
  <c r="E28" i="182"/>
  <c r="D50" i="338"/>
  <c r="E29" i="34"/>
  <c r="E45" i="34"/>
  <c r="E23" i="34"/>
  <c r="C32" i="316"/>
  <c r="C48" i="316" s="1"/>
  <c r="C48" i="230"/>
  <c r="E32" i="27"/>
  <c r="H48" i="100"/>
  <c r="H50" i="100" s="1"/>
  <c r="E6" i="100" s="1"/>
  <c r="F17" i="100" s="1"/>
  <c r="C46" i="125"/>
  <c r="C48" i="125" s="1"/>
  <c r="E48" i="452"/>
  <c r="C48" i="147"/>
  <c r="H48" i="132"/>
  <c r="H50" i="132" s="1"/>
  <c r="E6" i="132" s="1"/>
  <c r="E48" i="154"/>
  <c r="E48" i="40"/>
  <c r="E48" i="29"/>
  <c r="H40" i="77"/>
  <c r="C40" i="77" s="1"/>
  <c r="E48" i="214"/>
  <c r="E48" i="210"/>
  <c r="E48" i="188"/>
  <c r="H48" i="209"/>
  <c r="H50" i="209" s="1"/>
  <c r="E6" i="209" s="1"/>
  <c r="E48" i="430"/>
  <c r="E24" i="72"/>
  <c r="E42" i="72"/>
  <c r="E35" i="192"/>
  <c r="E23" i="192"/>
  <c r="E34" i="192"/>
  <c r="E21" i="192"/>
  <c r="E22" i="192"/>
  <c r="E28" i="192"/>
  <c r="E42" i="192"/>
  <c r="E43" i="192"/>
  <c r="E44" i="192"/>
  <c r="E29" i="192"/>
  <c r="E36" i="192"/>
  <c r="E38" i="192"/>
  <c r="E27" i="192"/>
  <c r="E30" i="192"/>
  <c r="E24" i="192"/>
  <c r="E26" i="192"/>
  <c r="E45" i="192"/>
  <c r="E31" i="192"/>
  <c r="E40" i="192"/>
  <c r="E32" i="192"/>
  <c r="E37" i="192"/>
  <c r="E46" i="192"/>
  <c r="A52" i="192" s="1"/>
  <c r="E39" i="192"/>
  <c r="E50" i="182"/>
  <c r="J50" i="182"/>
  <c r="E24" i="217"/>
  <c r="E23" i="217"/>
  <c r="E39" i="217"/>
  <c r="E43" i="217"/>
  <c r="E22" i="217"/>
  <c r="E26" i="217"/>
  <c r="E38" i="217"/>
  <c r="E46" i="217"/>
  <c r="A52" i="217" s="1"/>
  <c r="E21" i="217"/>
  <c r="E32" i="217"/>
  <c r="E45" i="217"/>
  <c r="E34" i="217"/>
  <c r="E42" i="217"/>
  <c r="E36" i="217"/>
  <c r="E28" i="217"/>
  <c r="E40" i="217"/>
  <c r="E30" i="217"/>
  <c r="E44" i="217"/>
  <c r="H50" i="412"/>
  <c r="E6" i="412" s="1"/>
  <c r="E23" i="16"/>
  <c r="E48" i="323"/>
  <c r="E48" i="244"/>
  <c r="C48" i="55"/>
  <c r="E42" i="339"/>
  <c r="E39" i="339"/>
  <c r="E26" i="339"/>
  <c r="E35" i="339"/>
  <c r="E34" i="339"/>
  <c r="E38" i="339"/>
  <c r="E36" i="339"/>
  <c r="E45" i="339"/>
  <c r="E21" i="339"/>
  <c r="E32" i="339"/>
  <c r="E46" i="339"/>
  <c r="A52" i="339" s="1"/>
  <c r="E37" i="339"/>
  <c r="E31" i="339"/>
  <c r="E22" i="339"/>
  <c r="E23" i="339"/>
  <c r="E27" i="339"/>
  <c r="E24" i="339"/>
  <c r="E28" i="339"/>
  <c r="E29" i="339"/>
  <c r="E44" i="339"/>
  <c r="E43" i="339"/>
  <c r="E30" i="339"/>
  <c r="E40" i="339"/>
  <c r="J50" i="286"/>
  <c r="E50" i="286"/>
  <c r="E46" i="263"/>
  <c r="A52" i="263" s="1"/>
  <c r="E36" i="263"/>
  <c r="E37" i="263"/>
  <c r="E35" i="263"/>
  <c r="E43" i="263"/>
  <c r="E30" i="263"/>
  <c r="E31" i="263"/>
  <c r="E40" i="263"/>
  <c r="E21" i="263"/>
  <c r="E28" i="263"/>
  <c r="E45" i="263"/>
  <c r="E24" i="263"/>
  <c r="E23" i="263"/>
  <c r="E22" i="263"/>
  <c r="E39" i="263"/>
  <c r="E29" i="263"/>
  <c r="E34" i="263"/>
  <c r="E27" i="263"/>
  <c r="E44" i="263"/>
  <c r="E26" i="263"/>
  <c r="E38" i="263"/>
  <c r="E42" i="263"/>
  <c r="E32" i="263"/>
  <c r="J50" i="252"/>
  <c r="E50" i="252"/>
  <c r="E50" i="235"/>
  <c r="J50" i="235"/>
  <c r="E24" i="314"/>
  <c r="E45" i="314"/>
  <c r="E31" i="314"/>
  <c r="E36" i="314"/>
  <c r="E39" i="314"/>
  <c r="E26" i="314"/>
  <c r="E28" i="314"/>
  <c r="E32" i="314"/>
  <c r="E37" i="314"/>
  <c r="E44" i="314"/>
  <c r="E29" i="314"/>
  <c r="E34" i="314"/>
  <c r="E38" i="314"/>
  <c r="E46" i="314"/>
  <c r="A52" i="314" s="1"/>
  <c r="E43" i="314"/>
  <c r="E27" i="314"/>
  <c r="E30" i="314"/>
  <c r="E35" i="314"/>
  <c r="E21" i="314"/>
  <c r="E42" i="314"/>
  <c r="E40" i="314"/>
  <c r="E22" i="314"/>
  <c r="E23" i="314"/>
  <c r="E43" i="191"/>
  <c r="E45" i="191"/>
  <c r="E32" i="191"/>
  <c r="E37" i="191"/>
  <c r="E46" i="191"/>
  <c r="A52" i="191" s="1"/>
  <c r="E26" i="191"/>
  <c r="E28" i="191"/>
  <c r="E34" i="191"/>
  <c r="E44" i="191"/>
  <c r="E29" i="191"/>
  <c r="E35" i="191"/>
  <c r="E24" i="191"/>
  <c r="E27" i="191"/>
  <c r="E31" i="191"/>
  <c r="E36" i="191"/>
  <c r="E22" i="191"/>
  <c r="E39" i="191"/>
  <c r="E23" i="191"/>
  <c r="E40" i="191"/>
  <c r="E30" i="191"/>
  <c r="E42" i="191"/>
  <c r="E21" i="191"/>
  <c r="E38" i="191"/>
  <c r="C24" i="40"/>
  <c r="C48" i="40" s="1"/>
  <c r="H48" i="40"/>
  <c r="H50" i="40" s="1"/>
  <c r="E6" i="40" s="1"/>
  <c r="F14" i="282"/>
  <c r="F37" i="282"/>
  <c r="F34" i="282"/>
  <c r="F15" i="282"/>
  <c r="F12" i="282"/>
  <c r="F31" i="282"/>
  <c r="F22" i="282"/>
  <c r="F10" i="282"/>
  <c r="F39" i="282"/>
  <c r="F16" i="282"/>
  <c r="F18" i="282"/>
  <c r="F11" i="282"/>
  <c r="F29" i="282"/>
  <c r="F27" i="282"/>
  <c r="H43" i="351"/>
  <c r="H46" i="351" s="1"/>
  <c r="D46" i="351"/>
  <c r="E32" i="198"/>
  <c r="E24" i="198"/>
  <c r="E44" i="198"/>
  <c r="E46" i="198"/>
  <c r="A52" i="198" s="1"/>
  <c r="E22" i="198"/>
  <c r="E40" i="198"/>
  <c r="E34" i="198"/>
  <c r="E30" i="198"/>
  <c r="E36" i="198"/>
  <c r="E21" i="198"/>
  <c r="E45" i="198"/>
  <c r="E43" i="198"/>
  <c r="E31" i="198"/>
  <c r="E27" i="198"/>
  <c r="E26" i="198"/>
  <c r="E23" i="198"/>
  <c r="E37" i="198"/>
  <c r="E38" i="198"/>
  <c r="E42" i="198"/>
  <c r="E28" i="198"/>
  <c r="E39" i="198"/>
  <c r="E29" i="198"/>
  <c r="E35" i="198"/>
  <c r="E48" i="12"/>
  <c r="E48" i="21"/>
  <c r="E50" i="217"/>
  <c r="J50" i="217"/>
  <c r="E26" i="389"/>
  <c r="E30" i="389"/>
  <c r="E24" i="389"/>
  <c r="E45" i="389"/>
  <c r="E37" i="389"/>
  <c r="E31" i="389"/>
  <c r="E36" i="389"/>
  <c r="E28" i="389"/>
  <c r="E34" i="389"/>
  <c r="E43" i="389"/>
  <c r="E29" i="389"/>
  <c r="E44" i="389"/>
  <c r="E35" i="389"/>
  <c r="E21" i="389"/>
  <c r="E46" i="389"/>
  <c r="A52" i="389" s="1"/>
  <c r="E38" i="389"/>
  <c r="E23" i="389"/>
  <c r="E40" i="389"/>
  <c r="E27" i="389"/>
  <c r="E22" i="389"/>
  <c r="E32" i="389"/>
  <c r="E39" i="389"/>
  <c r="E42" i="389"/>
  <c r="E48" i="458"/>
  <c r="F42" i="164"/>
  <c r="F23" i="164"/>
  <c r="F36" i="164"/>
  <c r="F38" i="164"/>
  <c r="F45" i="164"/>
  <c r="G45" i="164" s="1"/>
  <c r="F14" i="164"/>
  <c r="F12" i="164"/>
  <c r="F17" i="164"/>
  <c r="F10" i="164"/>
  <c r="F28" i="164"/>
  <c r="F26" i="164"/>
  <c r="F31" i="164"/>
  <c r="F44" i="164"/>
  <c r="F21" i="164"/>
  <c r="F22" i="164"/>
  <c r="F13" i="164"/>
  <c r="F35" i="164"/>
  <c r="F27" i="164"/>
  <c r="F18" i="164"/>
  <c r="F11" i="164"/>
  <c r="F30" i="164"/>
  <c r="F15" i="164"/>
  <c r="F43" i="164"/>
  <c r="F39" i="164"/>
  <c r="H48" i="365"/>
  <c r="H50" i="365" s="1"/>
  <c r="E6" i="365" s="1"/>
  <c r="E48" i="74"/>
  <c r="E48" i="71"/>
  <c r="J50" i="157"/>
  <c r="E50" i="157"/>
  <c r="E31" i="462"/>
  <c r="E22" i="462"/>
  <c r="E30" i="462"/>
  <c r="C32" i="68"/>
  <c r="C48" i="68" s="1"/>
  <c r="E23" i="27"/>
  <c r="E31" i="27"/>
  <c r="E40" i="16"/>
  <c r="E42" i="16"/>
  <c r="E40" i="39"/>
  <c r="E29" i="209"/>
  <c r="E43" i="209"/>
  <c r="E45" i="209"/>
  <c r="C48" i="346"/>
  <c r="F36" i="188"/>
  <c r="F31" i="188"/>
  <c r="F30" i="188"/>
  <c r="F10" i="188"/>
  <c r="H48" i="368"/>
  <c r="H50" i="368" s="1"/>
  <c r="E6" i="368" s="1"/>
  <c r="F42" i="356"/>
  <c r="F21" i="356"/>
  <c r="C48" i="198"/>
  <c r="C48" i="404"/>
  <c r="J50" i="33"/>
  <c r="H48" i="161"/>
  <c r="H50" i="161" s="1"/>
  <c r="E6" i="161" s="1"/>
  <c r="E29" i="186"/>
  <c r="E24" i="186"/>
  <c r="E22" i="186"/>
  <c r="E39" i="186"/>
  <c r="E31" i="186"/>
  <c r="F34" i="188"/>
  <c r="C48" i="347"/>
  <c r="E45" i="27"/>
  <c r="E27" i="27"/>
  <c r="E44" i="27"/>
  <c r="C48" i="177"/>
  <c r="H48" i="408"/>
  <c r="H30" i="118"/>
  <c r="H32" i="118" s="1"/>
  <c r="C32" i="118" s="1"/>
  <c r="E48" i="91"/>
  <c r="F31" i="209"/>
  <c r="G31" i="209" s="1"/>
  <c r="F42" i="209"/>
  <c r="G42" i="209" s="1"/>
  <c r="E48" i="366"/>
  <c r="E50" i="160"/>
  <c r="J50" i="160"/>
  <c r="D50" i="242"/>
  <c r="D48" i="242"/>
  <c r="E32" i="242" s="1"/>
  <c r="E44" i="236"/>
  <c r="E38" i="236"/>
  <c r="E42" i="236"/>
  <c r="E45" i="236"/>
  <c r="E30" i="236"/>
  <c r="E35" i="236"/>
  <c r="E39" i="236"/>
  <c r="E23" i="236"/>
  <c r="E27" i="236"/>
  <c r="E31" i="236"/>
  <c r="E21" i="236"/>
  <c r="E28" i="236"/>
  <c r="E26" i="236"/>
  <c r="E22" i="236"/>
  <c r="E29" i="236"/>
  <c r="E43" i="236"/>
  <c r="E40" i="236"/>
  <c r="E36" i="236"/>
  <c r="E32" i="236"/>
  <c r="E34" i="236"/>
  <c r="E37" i="236"/>
  <c r="E24" i="236"/>
  <c r="E46" i="236"/>
  <c r="A52" i="236" s="1"/>
  <c r="E27" i="317"/>
  <c r="E37" i="317"/>
  <c r="E39" i="317"/>
  <c r="E24" i="317"/>
  <c r="E23" i="317"/>
  <c r="E21" i="317"/>
  <c r="E22" i="317"/>
  <c r="E31" i="317"/>
  <c r="E42" i="317"/>
  <c r="E36" i="317"/>
  <c r="J50" i="144"/>
  <c r="E50" i="144"/>
  <c r="C24" i="222"/>
  <c r="H48" i="222"/>
  <c r="H50" i="222" s="1"/>
  <c r="E6" i="222" s="1"/>
  <c r="C32" i="314"/>
  <c r="C48" i="314" s="1"/>
  <c r="H48" i="314"/>
  <c r="H50" i="314" s="1"/>
  <c r="E6" i="314" s="1"/>
  <c r="H32" i="152"/>
  <c r="C32" i="152" s="1"/>
  <c r="C48" i="152" s="1"/>
  <c r="C32" i="81"/>
  <c r="C48" i="81" s="1"/>
  <c r="H48" i="81"/>
  <c r="C32" i="179"/>
  <c r="E32" i="186"/>
  <c r="E50" i="79"/>
  <c r="J50" i="79"/>
  <c r="E30" i="97"/>
  <c r="E21" i="97"/>
  <c r="E23" i="97"/>
  <c r="E35" i="97"/>
  <c r="E34" i="97"/>
  <c r="E26" i="97"/>
  <c r="E31" i="97"/>
  <c r="E39" i="97"/>
  <c r="E27" i="97"/>
  <c r="E38" i="97"/>
  <c r="E40" i="97"/>
  <c r="E37" i="97"/>
  <c r="E32" i="97"/>
  <c r="E29" i="97"/>
  <c r="E22" i="97"/>
  <c r="E43" i="97"/>
  <c r="E28" i="97"/>
  <c r="E36" i="97"/>
  <c r="E46" i="97"/>
  <c r="A52" i="97" s="1"/>
  <c r="E45" i="97"/>
  <c r="E42" i="97"/>
  <c r="E44" i="97"/>
  <c r="J50" i="84"/>
  <c r="E50" i="84"/>
  <c r="H42" i="77"/>
  <c r="H46" i="77" s="1"/>
  <c r="D46" i="77"/>
  <c r="D48" i="76"/>
  <c r="H26" i="77"/>
  <c r="H32" i="77" s="1"/>
  <c r="D32" i="77"/>
  <c r="D50" i="77" s="1"/>
  <c r="E48" i="151"/>
  <c r="E48" i="285"/>
  <c r="J50" i="246"/>
  <c r="E50" i="246"/>
  <c r="H48" i="380"/>
  <c r="C40" i="401"/>
  <c r="C48" i="401" s="1"/>
  <c r="H48" i="401"/>
  <c r="H48" i="331"/>
  <c r="H50" i="331" s="1"/>
  <c r="E6" i="331" s="1"/>
  <c r="E48" i="142"/>
  <c r="E48" i="282"/>
  <c r="J50" i="187"/>
  <c r="E50" i="187"/>
  <c r="E50" i="261"/>
  <c r="J50" i="261"/>
  <c r="C40" i="149"/>
  <c r="C48" i="149" s="1"/>
  <c r="H48" i="149"/>
  <c r="H50" i="149" s="1"/>
  <c r="E6" i="149" s="1"/>
  <c r="F30" i="209"/>
  <c r="F13" i="209"/>
  <c r="F28" i="209"/>
  <c r="F17" i="209"/>
  <c r="F39" i="209"/>
  <c r="F44" i="209"/>
  <c r="F35" i="209"/>
  <c r="E45" i="462"/>
  <c r="H19" i="53"/>
  <c r="C19" i="53" s="1"/>
  <c r="C48" i="25"/>
  <c r="E36" i="27"/>
  <c r="E43" i="27"/>
  <c r="E44" i="16"/>
  <c r="E43" i="16"/>
  <c r="E22" i="16"/>
  <c r="E50" i="91"/>
  <c r="E44" i="209"/>
  <c r="E42" i="209"/>
  <c r="E34" i="209"/>
  <c r="C24" i="365"/>
  <c r="C48" i="365" s="1"/>
  <c r="F39" i="188"/>
  <c r="F38" i="188"/>
  <c r="F18" i="188"/>
  <c r="H50" i="305"/>
  <c r="E6" i="305" s="1"/>
  <c r="C48" i="391"/>
  <c r="F28" i="356"/>
  <c r="F12" i="356"/>
  <c r="I48" i="308"/>
  <c r="J50" i="468"/>
  <c r="C24" i="320"/>
  <c r="C48" i="320" s="1"/>
  <c r="H19" i="269"/>
  <c r="C19" i="269" s="1"/>
  <c r="H48" i="107"/>
  <c r="H50" i="107" s="1"/>
  <c r="E6" i="107" s="1"/>
  <c r="F11" i="107" s="1"/>
  <c r="C48" i="137"/>
  <c r="E30" i="186"/>
  <c r="E23" i="186"/>
  <c r="E43" i="186"/>
  <c r="C24" i="164"/>
  <c r="C48" i="164" s="1"/>
  <c r="C19" i="179"/>
  <c r="H48" i="153"/>
  <c r="H50" i="153" s="1"/>
  <c r="E6" i="153" s="1"/>
  <c r="F34" i="153" s="1"/>
  <c r="F35" i="188"/>
  <c r="G35" i="188" s="1"/>
  <c r="F23" i="188"/>
  <c r="C48" i="290"/>
  <c r="H48" i="137"/>
  <c r="H50" i="137" s="1"/>
  <c r="E6" i="137" s="1"/>
  <c r="F31" i="137" s="1"/>
  <c r="C19" i="386"/>
  <c r="C48" i="100"/>
  <c r="E24" i="27"/>
  <c r="E22" i="27"/>
  <c r="E39" i="27"/>
  <c r="E21" i="27"/>
  <c r="H48" i="276"/>
  <c r="C48" i="265"/>
  <c r="H50" i="270"/>
  <c r="E6" i="270" s="1"/>
  <c r="F26" i="270" s="1"/>
  <c r="H32" i="338"/>
  <c r="C32" i="338" s="1"/>
  <c r="C48" i="280"/>
  <c r="E48" i="120"/>
  <c r="E48" i="228"/>
  <c r="F16" i="209"/>
  <c r="G16" i="209" s="1"/>
  <c r="E48" i="240"/>
  <c r="E48" i="371"/>
  <c r="E48" i="110"/>
  <c r="H50" i="345"/>
  <c r="E6" i="345" s="1"/>
  <c r="J50" i="267"/>
  <c r="E50" i="267"/>
  <c r="J50" i="61"/>
  <c r="E50" i="61"/>
  <c r="E37" i="56"/>
  <c r="E23" i="56"/>
  <c r="E45" i="56"/>
  <c r="E28" i="56"/>
  <c r="E34" i="56"/>
  <c r="E38" i="56"/>
  <c r="E32" i="56"/>
  <c r="E21" i="56"/>
  <c r="E42" i="56"/>
  <c r="E29" i="56"/>
  <c r="E31" i="56"/>
  <c r="E39" i="56"/>
  <c r="E26" i="56"/>
  <c r="E35" i="56"/>
  <c r="E40" i="56"/>
  <c r="E43" i="56"/>
  <c r="E30" i="56"/>
  <c r="E46" i="56"/>
  <c r="A52" i="56" s="1"/>
  <c r="E44" i="56"/>
  <c r="E27" i="56"/>
  <c r="E36" i="56"/>
  <c r="E22" i="56"/>
  <c r="E37" i="261"/>
  <c r="E22" i="261"/>
  <c r="E26" i="261"/>
  <c r="E30" i="261"/>
  <c r="E46" i="261"/>
  <c r="A52" i="261" s="1"/>
  <c r="E35" i="261"/>
  <c r="E28" i="261"/>
  <c r="E38" i="261"/>
  <c r="E23" i="261"/>
  <c r="E44" i="261"/>
  <c r="E29" i="261"/>
  <c r="E24" i="261"/>
  <c r="E32" i="261"/>
  <c r="E36" i="261"/>
  <c r="E43" i="261"/>
  <c r="E40" i="261"/>
  <c r="E34" i="261"/>
  <c r="E31" i="261"/>
  <c r="E27" i="261"/>
  <c r="E21" i="261"/>
  <c r="E45" i="261"/>
  <c r="E42" i="261"/>
  <c r="E39" i="261"/>
  <c r="J50" i="237"/>
  <c r="E50" i="237"/>
  <c r="J50" i="27"/>
  <c r="E50" i="27"/>
  <c r="E40" i="19"/>
  <c r="E38" i="19"/>
  <c r="E24" i="19"/>
  <c r="E34" i="19"/>
  <c r="E39" i="19"/>
  <c r="E26" i="19"/>
  <c r="E32" i="19"/>
  <c r="E46" i="19"/>
  <c r="A52" i="19" s="1"/>
  <c r="E22" i="19"/>
  <c r="E43" i="19"/>
  <c r="E35" i="19"/>
  <c r="E44" i="19"/>
  <c r="E27" i="19"/>
  <c r="E29" i="19"/>
  <c r="E21" i="19"/>
  <c r="E42" i="19"/>
  <c r="E37" i="19"/>
  <c r="E31" i="19"/>
  <c r="E36" i="19"/>
  <c r="E23" i="19"/>
  <c r="E30" i="19"/>
  <c r="E28" i="19"/>
  <c r="E45" i="19"/>
  <c r="J50" i="147"/>
  <c r="E50" i="147"/>
  <c r="C46" i="200"/>
  <c r="C48" i="200" s="1"/>
  <c r="H48" i="200"/>
  <c r="H50" i="200" s="1"/>
  <c r="E6" i="200" s="1"/>
  <c r="J50" i="178"/>
  <c r="E50" i="178"/>
  <c r="E48" i="121"/>
  <c r="E40" i="253"/>
  <c r="E31" i="253"/>
  <c r="E46" i="253"/>
  <c r="A52" i="253" s="1"/>
  <c r="E32" i="253"/>
  <c r="E45" i="253"/>
  <c r="E22" i="253"/>
  <c r="E36" i="253"/>
  <c r="E35" i="253"/>
  <c r="E44" i="253"/>
  <c r="E24" i="253"/>
  <c r="E27" i="253"/>
  <c r="E29" i="253"/>
  <c r="E28" i="253"/>
  <c r="E26" i="253"/>
  <c r="E42" i="253"/>
  <c r="E38" i="253"/>
  <c r="E39" i="253"/>
  <c r="E37" i="253"/>
  <c r="E21" i="253"/>
  <c r="E34" i="253"/>
  <c r="E43" i="253"/>
  <c r="E23" i="253"/>
  <c r="E30" i="253"/>
  <c r="E46" i="76"/>
  <c r="A52" i="76" s="1"/>
  <c r="E50" i="86"/>
  <c r="J50" i="86"/>
  <c r="D48" i="80"/>
  <c r="E32" i="80"/>
  <c r="D50" i="76"/>
  <c r="D48" i="75"/>
  <c r="E32" i="75" s="1"/>
  <c r="E31" i="44"/>
  <c r="E37" i="44"/>
  <c r="E38" i="44"/>
  <c r="E43" i="44"/>
  <c r="E23" i="44"/>
  <c r="E34" i="44"/>
  <c r="E22" i="44"/>
  <c r="E39" i="44"/>
  <c r="E44" i="44"/>
  <c r="E24" i="44"/>
  <c r="E32" i="44"/>
  <c r="E35" i="44"/>
  <c r="E42" i="44"/>
  <c r="E26" i="44"/>
  <c r="E29" i="44"/>
  <c r="E45" i="44"/>
  <c r="E30" i="44"/>
  <c r="E28" i="44"/>
  <c r="E21" i="44"/>
  <c r="E36" i="44"/>
  <c r="E27" i="44"/>
  <c r="E46" i="44"/>
  <c r="A52" i="44" s="1"/>
  <c r="E50" i="16"/>
  <c r="J50" i="16"/>
  <c r="E48" i="84"/>
  <c r="E36" i="247"/>
  <c r="E29" i="247"/>
  <c r="E38" i="247"/>
  <c r="E44" i="247"/>
  <c r="E24" i="247"/>
  <c r="E37" i="247"/>
  <c r="E28" i="247"/>
  <c r="E40" i="247"/>
  <c r="E45" i="247"/>
  <c r="E27" i="247"/>
  <c r="E21" i="247"/>
  <c r="E42" i="247"/>
  <c r="E26" i="247"/>
  <c r="E34" i="247"/>
  <c r="E30" i="247"/>
  <c r="E22" i="247"/>
  <c r="E35" i="247"/>
  <c r="E23" i="247"/>
  <c r="E31" i="247"/>
  <c r="E43" i="247"/>
  <c r="E32" i="247"/>
  <c r="E46" i="247"/>
  <c r="A52" i="247" s="1"/>
  <c r="E39" i="247"/>
  <c r="E48" i="211"/>
  <c r="E46" i="246"/>
  <c r="A52" i="246" s="1"/>
  <c r="E35" i="246"/>
  <c r="E44" i="246"/>
  <c r="E23" i="246"/>
  <c r="E29" i="246"/>
  <c r="E37" i="246"/>
  <c r="E34" i="246"/>
  <c r="E36" i="246"/>
  <c r="E21" i="246"/>
  <c r="E26" i="246"/>
  <c r="E30" i="246"/>
  <c r="E24" i="246"/>
  <c r="E42" i="246"/>
  <c r="E22" i="246"/>
  <c r="E31" i="246"/>
  <c r="E45" i="246"/>
  <c r="E40" i="246"/>
  <c r="E38" i="246"/>
  <c r="E28" i="246"/>
  <c r="E43" i="246"/>
  <c r="E39" i="246"/>
  <c r="E32" i="246"/>
  <c r="E27" i="246"/>
  <c r="E48" i="288"/>
  <c r="E48" i="397"/>
  <c r="E48" i="122"/>
  <c r="E48" i="343"/>
  <c r="E50" i="422"/>
  <c r="J50" i="422"/>
  <c r="E50" i="434"/>
  <c r="J50" i="434"/>
  <c r="E38" i="448"/>
  <c r="E21" i="448"/>
  <c r="E42" i="448"/>
  <c r="E29" i="448"/>
  <c r="E22" i="448"/>
  <c r="E46" i="448"/>
  <c r="A52" i="448" s="1"/>
  <c r="E39" i="448"/>
  <c r="E43" i="448"/>
  <c r="E24" i="448"/>
  <c r="E35" i="448"/>
  <c r="E32" i="448"/>
  <c r="E30" i="448"/>
  <c r="E27" i="448"/>
  <c r="E34" i="448"/>
  <c r="E28" i="448"/>
  <c r="J50" i="58"/>
  <c r="E50" i="58"/>
  <c r="E23" i="237"/>
  <c r="E24" i="237"/>
  <c r="E22" i="237"/>
  <c r="E44" i="237"/>
  <c r="E39" i="237"/>
  <c r="E36" i="237"/>
  <c r="E34" i="237"/>
  <c r="E31" i="237"/>
  <c r="E42" i="237"/>
  <c r="E21" i="237"/>
  <c r="E40" i="237"/>
  <c r="E37" i="237"/>
  <c r="E46" i="237"/>
  <c r="A52" i="237" s="1"/>
  <c r="E35" i="237"/>
  <c r="E32" i="237"/>
  <c r="E27" i="237"/>
  <c r="E45" i="237"/>
  <c r="E28" i="237"/>
  <c r="E26" i="237"/>
  <c r="E38" i="237"/>
  <c r="E30" i="237"/>
  <c r="E43" i="237"/>
  <c r="E29" i="237"/>
  <c r="J50" i="148"/>
  <c r="E50" i="148"/>
  <c r="E16" i="180"/>
  <c r="E19" i="180"/>
  <c r="E12" i="180"/>
  <c r="E15" i="180"/>
  <c r="E18" i="180"/>
  <c r="E17" i="180"/>
  <c r="E10" i="180"/>
  <c r="E13" i="180"/>
  <c r="E14" i="180"/>
  <c r="E11" i="180"/>
  <c r="D48" i="152"/>
  <c r="E26" i="186"/>
  <c r="E34" i="186"/>
  <c r="E37" i="186"/>
  <c r="E38" i="86"/>
  <c r="E27" i="86"/>
  <c r="E30" i="86"/>
  <c r="E23" i="86"/>
  <c r="E40" i="86"/>
  <c r="E21" i="86"/>
  <c r="E43" i="86"/>
  <c r="E45" i="86"/>
  <c r="E34" i="86"/>
  <c r="E32" i="86"/>
  <c r="E22" i="86"/>
  <c r="E29" i="86"/>
  <c r="E46" i="86"/>
  <c r="A52" i="86" s="1"/>
  <c r="E37" i="86"/>
  <c r="E44" i="86"/>
  <c r="E42" i="86"/>
  <c r="E26" i="86"/>
  <c r="E36" i="86"/>
  <c r="E35" i="86"/>
  <c r="E39" i="86"/>
  <c r="E31" i="86"/>
  <c r="E28" i="86"/>
  <c r="J50" i="83"/>
  <c r="E50" i="83"/>
  <c r="J50" i="75"/>
  <c r="E50" i="75"/>
  <c r="E48" i="83"/>
  <c r="E50" i="257"/>
  <c r="J50" i="257"/>
  <c r="J50" i="388"/>
  <c r="E50" i="388"/>
  <c r="E44" i="434"/>
  <c r="E39" i="434"/>
  <c r="E37" i="434"/>
  <c r="E32" i="434"/>
  <c r="E28" i="434"/>
  <c r="E22" i="434"/>
  <c r="E43" i="434"/>
  <c r="E38" i="434"/>
  <c r="E30" i="434"/>
  <c r="E27" i="434"/>
  <c r="E24" i="434"/>
  <c r="E34" i="434"/>
  <c r="E46" i="434"/>
  <c r="A52" i="434" s="1"/>
  <c r="E35" i="434"/>
  <c r="E29" i="434"/>
  <c r="E23" i="434"/>
  <c r="E42" i="434"/>
  <c r="E21" i="434"/>
  <c r="E36" i="434"/>
  <c r="E31" i="434"/>
  <c r="E26" i="434"/>
  <c r="E45" i="434"/>
  <c r="E27" i="462"/>
  <c r="E34" i="27"/>
  <c r="E28" i="27"/>
  <c r="E31" i="16"/>
  <c r="E24" i="16"/>
  <c r="C48" i="161"/>
  <c r="E39" i="209"/>
  <c r="H48" i="126"/>
  <c r="H50" i="126" s="1"/>
  <c r="E6" i="126" s="1"/>
  <c r="H48" i="346"/>
  <c r="H50" i="346" s="1"/>
  <c r="E6" i="346" s="1"/>
  <c r="F42" i="188"/>
  <c r="F12" i="188"/>
  <c r="F21" i="188"/>
  <c r="F27" i="356"/>
  <c r="I27" i="356" s="1"/>
  <c r="E48" i="177"/>
  <c r="E46" i="186"/>
  <c r="A52" i="186" s="1"/>
  <c r="E45" i="186"/>
  <c r="E44" i="186"/>
  <c r="E40" i="186"/>
  <c r="E35" i="186"/>
  <c r="E50" i="430"/>
  <c r="C19" i="132"/>
  <c r="H48" i="381"/>
  <c r="H50" i="381" s="1"/>
  <c r="E6" i="381" s="1"/>
  <c r="C48" i="42"/>
  <c r="C40" i="41"/>
  <c r="E38" i="27"/>
  <c r="E37" i="27"/>
  <c r="E35" i="27"/>
  <c r="C48" i="276"/>
  <c r="C48" i="327"/>
  <c r="C48" i="353"/>
  <c r="C32" i="117"/>
  <c r="E48" i="306"/>
  <c r="E48" i="313"/>
  <c r="F36" i="209"/>
  <c r="H50" i="439"/>
  <c r="E6" i="439" s="1"/>
  <c r="C48" i="222"/>
  <c r="E24" i="60"/>
  <c r="E28" i="60"/>
  <c r="E21" i="60"/>
  <c r="E22" i="60"/>
  <c r="E34" i="60"/>
  <c r="E46" i="60"/>
  <c r="A52" i="60" s="1"/>
  <c r="E45" i="60"/>
  <c r="E30" i="60"/>
  <c r="E39" i="60"/>
  <c r="E26" i="60"/>
  <c r="E36" i="60"/>
  <c r="E43" i="60"/>
  <c r="E32" i="60"/>
  <c r="E35" i="60"/>
  <c r="E29" i="60"/>
  <c r="E44" i="60"/>
  <c r="E42" i="60"/>
  <c r="E40" i="60"/>
  <c r="E23" i="60"/>
  <c r="E37" i="60"/>
  <c r="E31" i="60"/>
  <c r="E38" i="60"/>
  <c r="E27" i="60"/>
  <c r="E24" i="54"/>
  <c r="E39" i="54"/>
  <c r="E43" i="54"/>
  <c r="E45" i="54"/>
  <c r="E31" i="54"/>
  <c r="E32" i="54"/>
  <c r="E22" i="54"/>
  <c r="E26" i="54"/>
  <c r="E28" i="54"/>
  <c r="E34" i="54"/>
  <c r="E36" i="54"/>
  <c r="E44" i="54"/>
  <c r="E46" i="54"/>
  <c r="A52" i="54" s="1"/>
  <c r="E23" i="54"/>
  <c r="E29" i="54"/>
  <c r="E37" i="54"/>
  <c r="E21" i="54"/>
  <c r="E35" i="54"/>
  <c r="E27" i="54"/>
  <c r="E30" i="54"/>
  <c r="E42" i="54"/>
  <c r="E38" i="54"/>
  <c r="H32" i="242"/>
  <c r="C32" i="242" s="1"/>
  <c r="C48" i="242" s="1"/>
  <c r="E50" i="236"/>
  <c r="J50" i="236"/>
  <c r="J50" i="317"/>
  <c r="E50" i="317"/>
  <c r="E22" i="79"/>
  <c r="E28" i="79"/>
  <c r="E21" i="79"/>
  <c r="E35" i="79"/>
  <c r="E45" i="79"/>
  <c r="E23" i="79"/>
  <c r="E29" i="79"/>
  <c r="E26" i="79"/>
  <c r="E36" i="79"/>
  <c r="E37" i="79"/>
  <c r="E30" i="79"/>
  <c r="E39" i="79"/>
  <c r="E24" i="79"/>
  <c r="E27" i="79"/>
  <c r="E32" i="79"/>
  <c r="E34" i="79"/>
  <c r="E43" i="79"/>
  <c r="E31" i="79"/>
  <c r="E42" i="79"/>
  <c r="E46" i="79"/>
  <c r="A52" i="79" s="1"/>
  <c r="E38" i="79"/>
  <c r="E44" i="79"/>
  <c r="D40" i="180"/>
  <c r="D50" i="180" s="1"/>
  <c r="H34" i="180"/>
  <c r="H40" i="180" s="1"/>
  <c r="C40" i="268"/>
  <c r="C48" i="268" s="1"/>
  <c r="H48" i="268"/>
  <c r="H50" i="268" s="1"/>
  <c r="E6" i="268" s="1"/>
  <c r="D50" i="171"/>
  <c r="D48" i="171"/>
  <c r="D50" i="152"/>
  <c r="J50" i="142"/>
  <c r="E50" i="142"/>
  <c r="E50" i="253"/>
  <c r="J50" i="253"/>
  <c r="E29" i="293"/>
  <c r="E28" i="293"/>
  <c r="E40" i="293"/>
  <c r="E48" i="24"/>
  <c r="E24" i="97"/>
  <c r="C46" i="76"/>
  <c r="H40" i="76"/>
  <c r="C40" i="76" s="1"/>
  <c r="H48" i="76"/>
  <c r="H50" i="76" s="1"/>
  <c r="E6" i="76" s="1"/>
  <c r="C32" i="48"/>
  <c r="C48" i="48" s="1"/>
  <c r="H48" i="48"/>
  <c r="H50" i="48" s="1"/>
  <c r="E6" i="48" s="1"/>
  <c r="E34" i="22"/>
  <c r="E39" i="22"/>
  <c r="E43" i="22"/>
  <c r="E32" i="22"/>
  <c r="E28" i="22"/>
  <c r="E35" i="22"/>
  <c r="E22" i="22"/>
  <c r="E44" i="22"/>
  <c r="E26" i="22"/>
  <c r="E37" i="22"/>
  <c r="E36" i="22"/>
  <c r="E45" i="22"/>
  <c r="E38" i="22"/>
  <c r="E30" i="22"/>
  <c r="E23" i="22"/>
  <c r="E27" i="22"/>
  <c r="E21" i="22"/>
  <c r="E46" i="22"/>
  <c r="A52" i="22" s="1"/>
  <c r="E31" i="22"/>
  <c r="E29" i="22"/>
  <c r="E40" i="22"/>
  <c r="E42" i="22"/>
  <c r="E32" i="450"/>
  <c r="E23" i="450"/>
  <c r="E24" i="450"/>
  <c r="E39" i="450"/>
  <c r="E36" i="450"/>
  <c r="E42" i="450"/>
  <c r="E22" i="450"/>
  <c r="E44" i="450"/>
  <c r="E38" i="450"/>
  <c r="E35" i="450"/>
  <c r="E26" i="450"/>
  <c r="E29" i="450"/>
  <c r="E21" i="450"/>
  <c r="E43" i="450"/>
  <c r="E30" i="450"/>
  <c r="E31" i="450"/>
  <c r="E34" i="450"/>
  <c r="E46" i="450"/>
  <c r="A52" i="450" s="1"/>
  <c r="E28" i="450"/>
  <c r="E45" i="450"/>
  <c r="E27" i="450"/>
  <c r="E37" i="450"/>
  <c r="E40" i="450"/>
  <c r="E39" i="257"/>
  <c r="E37" i="257"/>
  <c r="E27" i="257"/>
  <c r="E35" i="257"/>
  <c r="E29" i="257"/>
  <c r="E21" i="257"/>
  <c r="E31" i="257"/>
  <c r="E44" i="257"/>
  <c r="E24" i="257"/>
  <c r="E45" i="257"/>
  <c r="E34" i="257"/>
  <c r="E42" i="257"/>
  <c r="E26" i="257"/>
  <c r="E23" i="257"/>
  <c r="E36" i="257"/>
  <c r="E28" i="257"/>
  <c r="E32" i="257"/>
  <c r="E43" i="257"/>
  <c r="E38" i="257"/>
  <c r="E22" i="257"/>
  <c r="E46" i="257"/>
  <c r="A52" i="257" s="1"/>
  <c r="E30" i="257"/>
  <c r="H48" i="127"/>
  <c r="H50" i="127" s="1"/>
  <c r="E6" i="127" s="1"/>
  <c r="E48" i="303"/>
  <c r="H50" i="214"/>
  <c r="E6" i="214" s="1"/>
  <c r="E34" i="388"/>
  <c r="E27" i="388"/>
  <c r="E44" i="388"/>
  <c r="E42" i="388"/>
  <c r="E32" i="388"/>
  <c r="E29" i="388"/>
  <c r="E45" i="388"/>
  <c r="E43" i="388"/>
  <c r="E31" i="388"/>
  <c r="E35" i="388"/>
  <c r="E38" i="388"/>
  <c r="E28" i="388"/>
  <c r="E23" i="388"/>
  <c r="E21" i="388"/>
  <c r="E46" i="388"/>
  <c r="A52" i="388" s="1"/>
  <c r="E36" i="388"/>
  <c r="E39" i="388"/>
  <c r="E22" i="388"/>
  <c r="E30" i="388"/>
  <c r="E24" i="388"/>
  <c r="E26" i="388"/>
  <c r="E37" i="388"/>
  <c r="E46" i="422"/>
  <c r="A52" i="422" s="1"/>
  <c r="E22" i="422"/>
  <c r="E35" i="422"/>
  <c r="E26" i="422"/>
  <c r="E27" i="422"/>
  <c r="E39" i="422"/>
  <c r="E32" i="422"/>
  <c r="E28" i="422"/>
  <c r="F23" i="447"/>
  <c r="F15" i="447"/>
  <c r="F21" i="447"/>
  <c r="F31" i="447"/>
  <c r="F14" i="447"/>
  <c r="F12" i="447"/>
  <c r="F38" i="447"/>
  <c r="F17" i="447"/>
  <c r="F37" i="447"/>
  <c r="F36" i="447"/>
  <c r="F34" i="447"/>
  <c r="F22" i="447"/>
  <c r="F43" i="447"/>
  <c r="F13" i="447"/>
  <c r="F18" i="447"/>
  <c r="F39" i="447"/>
  <c r="F10" i="447"/>
  <c r="F26" i="447"/>
  <c r="F45" i="447"/>
  <c r="G45" i="447" s="1"/>
  <c r="F44" i="447"/>
  <c r="F42" i="447"/>
  <c r="F35" i="447"/>
  <c r="F16" i="447"/>
  <c r="E40" i="470"/>
  <c r="E45" i="470"/>
  <c r="E39" i="470"/>
  <c r="E21" i="470"/>
  <c r="E27" i="470"/>
  <c r="E44" i="470"/>
  <c r="E42" i="470"/>
  <c r="E37" i="324"/>
  <c r="E31" i="324"/>
  <c r="E38" i="324"/>
  <c r="E39" i="324"/>
  <c r="E43" i="324"/>
  <c r="E46" i="324"/>
  <c r="A52" i="324" s="1"/>
  <c r="E28" i="324"/>
  <c r="E34" i="324"/>
  <c r="E44" i="324"/>
  <c r="E21" i="324"/>
  <c r="E24" i="324"/>
  <c r="E32" i="324"/>
  <c r="E46" i="8"/>
  <c r="A52" i="8" s="1"/>
  <c r="E36" i="8"/>
  <c r="E27" i="8"/>
  <c r="E44" i="8"/>
  <c r="E39" i="8"/>
  <c r="E22" i="470"/>
  <c r="E43" i="470"/>
  <c r="E26" i="470"/>
  <c r="H24" i="463"/>
  <c r="C24" i="463" s="1"/>
  <c r="C48" i="196"/>
  <c r="E37" i="8"/>
  <c r="C48" i="65"/>
  <c r="E23" i="324"/>
  <c r="E22" i="324"/>
  <c r="E30" i="324"/>
  <c r="F21" i="381"/>
  <c r="F14" i="381"/>
  <c r="F13" i="381"/>
  <c r="F38" i="381"/>
  <c r="F34" i="381"/>
  <c r="F26" i="381"/>
  <c r="F29" i="381"/>
  <c r="F43" i="381"/>
  <c r="F36" i="381"/>
  <c r="F16" i="381"/>
  <c r="F27" i="381"/>
  <c r="F45" i="381"/>
  <c r="G45" i="381" s="1"/>
  <c r="F12" i="381"/>
  <c r="F28" i="381"/>
  <c r="I28" i="381" s="1"/>
  <c r="H46" i="185"/>
  <c r="C46" i="185" s="1"/>
  <c r="C48" i="185" s="1"/>
  <c r="C32" i="113"/>
  <c r="C48" i="113" s="1"/>
  <c r="H48" i="113"/>
  <c r="H50" i="113" s="1"/>
  <c r="E6" i="113" s="1"/>
  <c r="E50" i="159"/>
  <c r="J50" i="159"/>
  <c r="E37" i="209"/>
  <c r="E21" i="209"/>
  <c r="E24" i="209"/>
  <c r="E26" i="209"/>
  <c r="E28" i="209"/>
  <c r="E22" i="209"/>
  <c r="E40" i="209"/>
  <c r="E31" i="209"/>
  <c r="E36" i="209"/>
  <c r="E46" i="209"/>
  <c r="A52" i="209" s="1"/>
  <c r="C46" i="287"/>
  <c r="C48" i="287" s="1"/>
  <c r="H48" i="287"/>
  <c r="H50" i="287" s="1"/>
  <c r="E6" i="287" s="1"/>
  <c r="E21" i="8"/>
  <c r="E42" i="324"/>
  <c r="E26" i="324"/>
  <c r="E29" i="324"/>
  <c r="E30" i="358"/>
  <c r="E31" i="358"/>
  <c r="C32" i="211"/>
  <c r="C48" i="211" s="1"/>
  <c r="H48" i="211"/>
  <c r="H50" i="211" s="1"/>
  <c r="E6" i="211" s="1"/>
  <c r="C46" i="371"/>
  <c r="H48" i="371"/>
  <c r="H50" i="371" s="1"/>
  <c r="E6" i="371" s="1"/>
  <c r="E30" i="353"/>
  <c r="E46" i="353"/>
  <c r="A52" i="353" s="1"/>
  <c r="E29" i="353"/>
  <c r="F35" i="178"/>
  <c r="F22" i="178"/>
  <c r="G22" i="178" s="1"/>
  <c r="F17" i="178"/>
  <c r="F38" i="178"/>
  <c r="I38" i="178" s="1"/>
  <c r="F39" i="178"/>
  <c r="F18" i="178"/>
  <c r="F36" i="178"/>
  <c r="F15" i="178"/>
  <c r="F11" i="178"/>
  <c r="F26" i="178"/>
  <c r="I26" i="178" s="1"/>
  <c r="F14" i="178"/>
  <c r="F16" i="178"/>
  <c r="F12" i="178"/>
  <c r="G12" i="178" s="1"/>
  <c r="F29" i="178"/>
  <c r="G29" i="178" s="1"/>
  <c r="F27" i="178"/>
  <c r="F44" i="178"/>
  <c r="F34" i="178"/>
  <c r="F37" i="178"/>
  <c r="F21" i="178"/>
  <c r="C48" i="425"/>
  <c r="H48" i="162"/>
  <c r="H50" i="162" s="1"/>
  <c r="E6" i="162" s="1"/>
  <c r="H32" i="386"/>
  <c r="E24" i="470"/>
  <c r="E32" i="8"/>
  <c r="E40" i="8"/>
  <c r="E45" i="324"/>
  <c r="E36" i="324"/>
  <c r="C19" i="380"/>
  <c r="H50" i="380"/>
  <c r="E6" i="380" s="1"/>
  <c r="C24" i="57"/>
  <c r="C48" i="57" s="1"/>
  <c r="H48" i="57"/>
  <c r="H50" i="57" s="1"/>
  <c r="E6" i="57" s="1"/>
  <c r="H46" i="363"/>
  <c r="C46" i="363" s="1"/>
  <c r="E40" i="131"/>
  <c r="E46" i="131"/>
  <c r="A52" i="131" s="1"/>
  <c r="C32" i="443"/>
  <c r="H48" i="443"/>
  <c r="H50" i="443" s="1"/>
  <c r="E6" i="443" s="1"/>
  <c r="E50" i="19"/>
  <c r="J50" i="19"/>
  <c r="H32" i="231"/>
  <c r="C32" i="231" s="1"/>
  <c r="C48" i="231" s="1"/>
  <c r="D48" i="107"/>
  <c r="E32" i="107" s="1"/>
  <c r="J50" i="57"/>
  <c r="E50" i="57"/>
  <c r="C32" i="180"/>
  <c r="I36" i="209"/>
  <c r="G36" i="209"/>
  <c r="C40" i="456"/>
  <c r="C48" i="456" s="1"/>
  <c r="H48" i="456"/>
  <c r="H50" i="456" s="1"/>
  <c r="E6" i="456" s="1"/>
  <c r="E46" i="431"/>
  <c r="A52" i="431" s="1"/>
  <c r="E44" i="431"/>
  <c r="E27" i="431"/>
  <c r="E24" i="431"/>
  <c r="E34" i="431"/>
  <c r="E38" i="431"/>
  <c r="E30" i="431"/>
  <c r="E23" i="431"/>
  <c r="E35" i="431"/>
  <c r="E26" i="431"/>
  <c r="E37" i="431"/>
  <c r="E29" i="431"/>
  <c r="E22" i="431"/>
  <c r="E31" i="431"/>
  <c r="E32" i="431"/>
  <c r="E36" i="431"/>
  <c r="E21" i="431"/>
  <c r="E42" i="431"/>
  <c r="E45" i="431"/>
  <c r="E43" i="431"/>
  <c r="E28" i="431"/>
  <c r="E39" i="431"/>
  <c r="I21" i="282"/>
  <c r="G21" i="282"/>
  <c r="F38" i="410"/>
  <c r="F14" i="410"/>
  <c r="F43" i="410"/>
  <c r="F31" i="410"/>
  <c r="F16" i="410"/>
  <c r="F42" i="410"/>
  <c r="F36" i="410"/>
  <c r="F12" i="410"/>
  <c r="F21" i="410"/>
  <c r="F22" i="410"/>
  <c r="F39" i="410"/>
  <c r="F28" i="410"/>
  <c r="F11" i="410"/>
  <c r="F23" i="410"/>
  <c r="F30" i="439"/>
  <c r="F45" i="439"/>
  <c r="G45" i="439" s="1"/>
  <c r="F10" i="439"/>
  <c r="F42" i="439"/>
  <c r="F26" i="439"/>
  <c r="F17" i="439"/>
  <c r="F27" i="439"/>
  <c r="J50" i="361"/>
  <c r="E50" i="361"/>
  <c r="I24" i="328"/>
  <c r="F24" i="328" s="1"/>
  <c r="G24" i="328" s="1"/>
  <c r="H48" i="358"/>
  <c r="H50" i="358" s="1"/>
  <c r="E6" i="358" s="1"/>
  <c r="C40" i="465"/>
  <c r="H50" i="166"/>
  <c r="E6" i="166" s="1"/>
  <c r="E37" i="35"/>
  <c r="E40" i="35"/>
  <c r="E43" i="35"/>
  <c r="E26" i="35"/>
  <c r="H48" i="145"/>
  <c r="H50" i="145" s="1"/>
  <c r="E6" i="145" s="1"/>
  <c r="H32" i="429"/>
  <c r="C46" i="269"/>
  <c r="H48" i="70"/>
  <c r="H50" i="70" s="1"/>
  <c r="E6" i="70" s="1"/>
  <c r="H48" i="280"/>
  <c r="H50" i="280" s="1"/>
  <c r="E6" i="280" s="1"/>
  <c r="C48" i="252"/>
  <c r="H50" i="146"/>
  <c r="E6" i="146" s="1"/>
  <c r="D50" i="107"/>
  <c r="C48" i="167"/>
  <c r="C24" i="162"/>
  <c r="C48" i="162" s="1"/>
  <c r="H50" i="238"/>
  <c r="E6" i="238" s="1"/>
  <c r="J50" i="358"/>
  <c r="E50" i="358"/>
  <c r="C40" i="317"/>
  <c r="C48" i="317" s="1"/>
  <c r="H48" i="317"/>
  <c r="H50" i="317" s="1"/>
  <c r="E6" i="317" s="1"/>
  <c r="E50" i="127"/>
  <c r="J50" i="127"/>
  <c r="E38" i="42"/>
  <c r="E28" i="42"/>
  <c r="E34" i="42"/>
  <c r="E42" i="42"/>
  <c r="E45" i="42"/>
  <c r="E46" i="42"/>
  <c r="A52" i="42" s="1"/>
  <c r="E27" i="42"/>
  <c r="E35" i="42"/>
  <c r="E44" i="42"/>
  <c r="E26" i="42"/>
  <c r="E36" i="42"/>
  <c r="E29" i="42"/>
  <c r="E37" i="42"/>
  <c r="E22" i="42"/>
  <c r="E21" i="42"/>
  <c r="E30" i="42"/>
  <c r="E40" i="42"/>
  <c r="E23" i="42"/>
  <c r="E24" i="42"/>
  <c r="E39" i="42"/>
  <c r="E31" i="42"/>
  <c r="E43" i="42"/>
  <c r="E26" i="119"/>
  <c r="E28" i="119"/>
  <c r="E34" i="119"/>
  <c r="E21" i="119"/>
  <c r="E39" i="119"/>
  <c r="E32" i="119"/>
  <c r="E44" i="119"/>
  <c r="E29" i="119"/>
  <c r="E35" i="119"/>
  <c r="E22" i="119"/>
  <c r="E40" i="119"/>
  <c r="E45" i="119"/>
  <c r="E37" i="119"/>
  <c r="E24" i="119"/>
  <c r="E30" i="119"/>
  <c r="E23" i="119"/>
  <c r="E43" i="119"/>
  <c r="E31" i="119"/>
  <c r="E38" i="119"/>
  <c r="E42" i="119"/>
  <c r="E27" i="119"/>
  <c r="E36" i="119"/>
  <c r="J50" i="240"/>
  <c r="E50" i="240"/>
  <c r="D50" i="117"/>
  <c r="D48" i="117"/>
  <c r="E46" i="119"/>
  <c r="A52" i="119" s="1"/>
  <c r="E46" i="105"/>
  <c r="A52" i="105" s="1"/>
  <c r="E40" i="105"/>
  <c r="E43" i="105"/>
  <c r="E45" i="105"/>
  <c r="E32" i="105"/>
  <c r="E21" i="105"/>
  <c r="E39" i="105"/>
  <c r="E23" i="105"/>
  <c r="E26" i="105"/>
  <c r="E28" i="105"/>
  <c r="E34" i="105"/>
  <c r="E31" i="105"/>
  <c r="E22" i="105"/>
  <c r="E27" i="105"/>
  <c r="E36" i="105"/>
  <c r="E42" i="105"/>
  <c r="E29" i="105"/>
  <c r="E37" i="105"/>
  <c r="E30" i="105"/>
  <c r="E38" i="105"/>
  <c r="E44" i="105"/>
  <c r="E35" i="105"/>
  <c r="D46" i="118"/>
  <c r="H42" i="118"/>
  <c r="H46" i="118" s="1"/>
  <c r="D48" i="92"/>
  <c r="D50" i="92"/>
  <c r="E40" i="51"/>
  <c r="E43" i="51"/>
  <c r="E45" i="51"/>
  <c r="E31" i="51"/>
  <c r="E21" i="51"/>
  <c r="E23" i="51"/>
  <c r="E26" i="51"/>
  <c r="E28" i="51"/>
  <c r="E34" i="51"/>
  <c r="E39" i="51"/>
  <c r="E42" i="51"/>
  <c r="E44" i="51"/>
  <c r="E29" i="51"/>
  <c r="E24" i="51"/>
  <c r="E32" i="51"/>
  <c r="E38" i="51"/>
  <c r="E27" i="51"/>
  <c r="E35" i="51"/>
  <c r="E30" i="51"/>
  <c r="E36" i="51"/>
  <c r="E22" i="51"/>
  <c r="E37" i="51"/>
  <c r="E50" i="43"/>
  <c r="J50" i="43"/>
  <c r="E32" i="36"/>
  <c r="E27" i="36"/>
  <c r="E30" i="36"/>
  <c r="E36" i="36"/>
  <c r="E23" i="36"/>
  <c r="E44" i="36"/>
  <c r="E31" i="36"/>
  <c r="E38" i="36"/>
  <c r="E40" i="36"/>
  <c r="E22" i="36"/>
  <c r="E45" i="36"/>
  <c r="E34" i="36"/>
  <c r="E39" i="36"/>
  <c r="E43" i="36"/>
  <c r="E28" i="36"/>
  <c r="E35" i="36"/>
  <c r="E29" i="36"/>
  <c r="E37" i="36"/>
  <c r="E21" i="36"/>
  <c r="E46" i="36"/>
  <c r="A52" i="36" s="1"/>
  <c r="E42" i="36"/>
  <c r="E26" i="36"/>
  <c r="E48" i="125"/>
  <c r="E48" i="187"/>
  <c r="E48" i="227"/>
  <c r="E10" i="10"/>
  <c r="E11" i="10"/>
  <c r="E19" i="10"/>
  <c r="E17" i="10"/>
  <c r="E14" i="10"/>
  <c r="E16" i="10"/>
  <c r="E18" i="10"/>
  <c r="E13" i="10"/>
  <c r="E12" i="10"/>
  <c r="J50" i="165"/>
  <c r="E50" i="165"/>
  <c r="E26" i="373"/>
  <c r="E44" i="373"/>
  <c r="E34" i="373"/>
  <c r="E45" i="373"/>
  <c r="E23" i="373"/>
  <c r="E22" i="373"/>
  <c r="E39" i="373"/>
  <c r="E37" i="373"/>
  <c r="E24" i="373"/>
  <c r="E27" i="373"/>
  <c r="E28" i="373"/>
  <c r="E21" i="373"/>
  <c r="E38" i="373"/>
  <c r="E32" i="373"/>
  <c r="E35" i="373"/>
  <c r="E43" i="373"/>
  <c r="E29" i="373"/>
  <c r="E36" i="373"/>
  <c r="E42" i="373"/>
  <c r="E30" i="373"/>
  <c r="E40" i="373"/>
  <c r="E31" i="373"/>
  <c r="E48" i="255"/>
  <c r="E32" i="381"/>
  <c r="E42" i="381"/>
  <c r="E38" i="381"/>
  <c r="E35" i="381"/>
  <c r="E29" i="381"/>
  <c r="E22" i="381"/>
  <c r="E24" i="381"/>
  <c r="E26" i="381"/>
  <c r="E46" i="381"/>
  <c r="A52" i="381" s="1"/>
  <c r="E34" i="381"/>
  <c r="E28" i="381"/>
  <c r="E44" i="381"/>
  <c r="E23" i="381"/>
  <c r="E39" i="381"/>
  <c r="E37" i="381"/>
  <c r="E31" i="381"/>
  <c r="E27" i="381"/>
  <c r="E21" i="381"/>
  <c r="E45" i="381"/>
  <c r="E40" i="381"/>
  <c r="E43" i="381"/>
  <c r="E36" i="381"/>
  <c r="E30" i="381"/>
  <c r="E48" i="333"/>
  <c r="E46" i="373"/>
  <c r="A52" i="373" s="1"/>
  <c r="E48" i="145"/>
  <c r="J50" i="431"/>
  <c r="E50" i="431"/>
  <c r="I44" i="282"/>
  <c r="G44" i="282"/>
  <c r="I23" i="282"/>
  <c r="G23" i="282"/>
  <c r="I13" i="282"/>
  <c r="G13" i="282"/>
  <c r="I43" i="282"/>
  <c r="G43" i="282"/>
  <c r="E48" i="66"/>
  <c r="I48" i="207"/>
  <c r="C24" i="358"/>
  <c r="C48" i="358" s="1"/>
  <c r="E48" i="347"/>
  <c r="J50" i="47"/>
  <c r="E50" i="47"/>
  <c r="J50" i="121"/>
  <c r="E50" i="121"/>
  <c r="E46" i="103"/>
  <c r="A52" i="103" s="1"/>
  <c r="E26" i="103"/>
  <c r="E28" i="103"/>
  <c r="E32" i="103"/>
  <c r="E38" i="103"/>
  <c r="E22" i="103"/>
  <c r="E42" i="103"/>
  <c r="E24" i="103"/>
  <c r="E27" i="103"/>
  <c r="E30" i="103"/>
  <c r="E36" i="103"/>
  <c r="E39" i="103"/>
  <c r="E35" i="103"/>
  <c r="E45" i="103"/>
  <c r="E31" i="103"/>
  <c r="E37" i="103"/>
  <c r="E43" i="103"/>
  <c r="E40" i="103"/>
  <c r="E34" i="103"/>
  <c r="E21" i="103"/>
  <c r="E44" i="103"/>
  <c r="E23" i="103"/>
  <c r="E29" i="103"/>
  <c r="E50" i="95"/>
  <c r="J50" i="95"/>
  <c r="J50" i="60"/>
  <c r="E50" i="60"/>
  <c r="J50" i="51"/>
  <c r="E50" i="51"/>
  <c r="E40" i="43"/>
  <c r="E36" i="43"/>
  <c r="E38" i="43"/>
  <c r="E44" i="43"/>
  <c r="E23" i="43"/>
  <c r="E29" i="43"/>
  <c r="E30" i="43"/>
  <c r="E24" i="43"/>
  <c r="E39" i="43"/>
  <c r="E21" i="43"/>
  <c r="E27" i="43"/>
  <c r="E35" i="43"/>
  <c r="E34" i="43"/>
  <c r="E43" i="43"/>
  <c r="E42" i="43"/>
  <c r="E22" i="43"/>
  <c r="E28" i="43"/>
  <c r="E32" i="43"/>
  <c r="E46" i="43"/>
  <c r="A52" i="43" s="1"/>
  <c r="E45" i="43"/>
  <c r="E26" i="43"/>
  <c r="E31" i="43"/>
  <c r="E37" i="43"/>
  <c r="E39" i="35"/>
  <c r="E22" i="35"/>
  <c r="E38" i="35"/>
  <c r="I16" i="209"/>
  <c r="E32" i="17"/>
  <c r="E45" i="17"/>
  <c r="E31" i="17"/>
  <c r="E37" i="17"/>
  <c r="E22" i="17"/>
  <c r="E46" i="17"/>
  <c r="A52" i="17" s="1"/>
  <c r="E42" i="17"/>
  <c r="E34" i="17"/>
  <c r="E38" i="17"/>
  <c r="E40" i="17"/>
  <c r="E24" i="17"/>
  <c r="E26" i="17"/>
  <c r="E36" i="17"/>
  <c r="E43" i="17"/>
  <c r="E29" i="17"/>
  <c r="E21" i="17"/>
  <c r="E30" i="17"/>
  <c r="E44" i="17"/>
  <c r="E39" i="17"/>
  <c r="E28" i="17"/>
  <c r="E35" i="17"/>
  <c r="E23" i="17"/>
  <c r="E27" i="17"/>
  <c r="G26" i="282"/>
  <c r="I26" i="282"/>
  <c r="G28" i="282"/>
  <c r="I28" i="282"/>
  <c r="F45" i="444"/>
  <c r="G45" i="444" s="1"/>
  <c r="F38" i="444"/>
  <c r="F14" i="444"/>
  <c r="F37" i="444"/>
  <c r="F35" i="444"/>
  <c r="F11" i="444"/>
  <c r="F39" i="444"/>
  <c r="F17" i="444"/>
  <c r="F26" i="444"/>
  <c r="F10" i="444"/>
  <c r="F15" i="444"/>
  <c r="F28" i="444"/>
  <c r="F36" i="444"/>
  <c r="F43" i="444"/>
  <c r="F18" i="444"/>
  <c r="F27" i="444"/>
  <c r="F12" i="444"/>
  <c r="F16" i="444"/>
  <c r="F31" i="444"/>
  <c r="F42" i="444"/>
  <c r="F21" i="444"/>
  <c r="F30" i="444"/>
  <c r="F44" i="444"/>
  <c r="F34" i="444"/>
  <c r="F29" i="444"/>
  <c r="F22" i="444"/>
  <c r="F13" i="444"/>
  <c r="F23" i="444"/>
  <c r="H19" i="463"/>
  <c r="C19" i="463" s="1"/>
  <c r="E36" i="35"/>
  <c r="E31" i="35"/>
  <c r="E29" i="35"/>
  <c r="E45" i="35"/>
  <c r="E44" i="35"/>
  <c r="C48" i="145"/>
  <c r="E48" i="357"/>
  <c r="C48" i="450"/>
  <c r="H50" i="402"/>
  <c r="E6" i="402" s="1"/>
  <c r="F18" i="402" s="1"/>
  <c r="E35" i="15"/>
  <c r="E39" i="15"/>
  <c r="E40" i="15"/>
  <c r="E36" i="15"/>
  <c r="E22" i="15"/>
  <c r="E37" i="15"/>
  <c r="E38" i="15"/>
  <c r="E31" i="15"/>
  <c r="E23" i="15"/>
  <c r="E46" i="15"/>
  <c r="A52" i="15" s="1"/>
  <c r="E28" i="15"/>
  <c r="E34" i="15"/>
  <c r="E30" i="15"/>
  <c r="E29" i="15"/>
  <c r="E27" i="15"/>
  <c r="J50" i="24"/>
  <c r="E50" i="24"/>
  <c r="E46" i="48"/>
  <c r="A52" i="48" s="1"/>
  <c r="E30" i="48"/>
  <c r="E36" i="48"/>
  <c r="E45" i="48"/>
  <c r="E26" i="48"/>
  <c r="E43" i="48"/>
  <c r="E31" i="48"/>
  <c r="E37" i="48"/>
  <c r="E21" i="48"/>
  <c r="E27" i="48"/>
  <c r="E44" i="48"/>
  <c r="E28" i="48"/>
  <c r="E34" i="48"/>
  <c r="E38" i="48"/>
  <c r="E23" i="48"/>
  <c r="E39" i="48"/>
  <c r="E40" i="48"/>
  <c r="E29" i="48"/>
  <c r="E42" i="48"/>
  <c r="E22" i="48"/>
  <c r="E24" i="48"/>
  <c r="E35" i="48"/>
  <c r="E46" i="111"/>
  <c r="A52" i="111" s="1"/>
  <c r="E22" i="111"/>
  <c r="E26" i="111"/>
  <c r="E29" i="111"/>
  <c r="E36" i="111"/>
  <c r="E43" i="111"/>
  <c r="E30" i="111"/>
  <c r="E23" i="111"/>
  <c r="E27" i="111"/>
  <c r="E34" i="111"/>
  <c r="E38" i="111"/>
  <c r="E28" i="111"/>
  <c r="E42" i="111"/>
  <c r="E45" i="111"/>
  <c r="E35" i="111"/>
  <c r="E39" i="111"/>
  <c r="E31" i="111"/>
  <c r="E37" i="111"/>
  <c r="E40" i="111"/>
  <c r="E21" i="111"/>
  <c r="E44" i="111"/>
  <c r="E32" i="111"/>
  <c r="E50" i="161"/>
  <c r="J50" i="161"/>
  <c r="D48" i="140"/>
  <c r="E32" i="140" s="1"/>
  <c r="J50" i="115"/>
  <c r="E50" i="115"/>
  <c r="E50" i="105"/>
  <c r="J50" i="105"/>
  <c r="D48" i="98"/>
  <c r="E46" i="98" s="1"/>
  <c r="A52" i="98" s="1"/>
  <c r="D50" i="98"/>
  <c r="J50" i="72"/>
  <c r="E50" i="72"/>
  <c r="E50" i="70"/>
  <c r="J50" i="70"/>
  <c r="E39" i="52"/>
  <c r="E24" i="52"/>
  <c r="E27" i="52"/>
  <c r="E31" i="52"/>
  <c r="E36" i="52"/>
  <c r="E37" i="52"/>
  <c r="E22" i="52"/>
  <c r="E43" i="52"/>
  <c r="E45" i="52"/>
  <c r="E40" i="52"/>
  <c r="E38" i="52"/>
  <c r="E23" i="52"/>
  <c r="E26" i="52"/>
  <c r="E28" i="52"/>
  <c r="E21" i="52"/>
  <c r="E42" i="52"/>
  <c r="E30" i="52"/>
  <c r="E44" i="52"/>
  <c r="E34" i="52"/>
  <c r="E32" i="52"/>
  <c r="E35" i="52"/>
  <c r="E29" i="52"/>
  <c r="E12" i="41"/>
  <c r="E10" i="41"/>
  <c r="E16" i="41"/>
  <c r="E13" i="41"/>
  <c r="E19" i="41"/>
  <c r="E11" i="41"/>
  <c r="E14" i="41"/>
  <c r="E17" i="41"/>
  <c r="E15" i="41"/>
  <c r="E18" i="41"/>
  <c r="E48" i="298"/>
  <c r="E48" i="224"/>
  <c r="H46" i="160"/>
  <c r="C46" i="160" s="1"/>
  <c r="C48" i="160" s="1"/>
  <c r="E45" i="165"/>
  <c r="E37" i="165"/>
  <c r="E22" i="165"/>
  <c r="E36" i="165"/>
  <c r="E24" i="165"/>
  <c r="E32" i="165"/>
  <c r="E29" i="165"/>
  <c r="E38" i="165"/>
  <c r="E23" i="165"/>
  <c r="E42" i="165"/>
  <c r="E34" i="165"/>
  <c r="E30" i="165"/>
  <c r="E21" i="165"/>
  <c r="E26" i="165"/>
  <c r="E43" i="165"/>
  <c r="E46" i="165"/>
  <c r="A52" i="165" s="1"/>
  <c r="E27" i="165"/>
  <c r="E44" i="165"/>
  <c r="E40" i="165"/>
  <c r="E35" i="165"/>
  <c r="E28" i="165"/>
  <c r="E39" i="165"/>
  <c r="E31" i="165"/>
  <c r="E48" i="355"/>
  <c r="E48" i="432"/>
  <c r="E48" i="128"/>
  <c r="E48" i="58"/>
  <c r="F23" i="449"/>
  <c r="F28" i="449"/>
  <c r="F31" i="449"/>
  <c r="F35" i="449"/>
  <c r="F37" i="449"/>
  <c r="F18" i="449"/>
  <c r="F17" i="449"/>
  <c r="F45" i="449"/>
  <c r="G45" i="449" s="1"/>
  <c r="F29" i="449"/>
  <c r="F12" i="449"/>
  <c r="F21" i="449"/>
  <c r="F38" i="449"/>
  <c r="F14" i="449"/>
  <c r="F10" i="449"/>
  <c r="F22" i="449"/>
  <c r="F26" i="449"/>
  <c r="F30" i="449"/>
  <c r="F34" i="449"/>
  <c r="F43" i="449"/>
  <c r="F39" i="449"/>
  <c r="F15" i="449"/>
  <c r="F13" i="449"/>
  <c r="F44" i="449"/>
  <c r="F36" i="449"/>
  <c r="F27" i="449"/>
  <c r="F42" i="449"/>
  <c r="F11" i="449"/>
  <c r="F16" i="449"/>
  <c r="H48" i="260"/>
  <c r="H50" i="260" s="1"/>
  <c r="E6" i="260" s="1"/>
  <c r="D48" i="269"/>
  <c r="E46" i="269" s="1"/>
  <c r="A52" i="269" s="1"/>
  <c r="D50" i="269"/>
  <c r="E48" i="162"/>
  <c r="J50" i="392"/>
  <c r="E50" i="392"/>
  <c r="G38" i="282"/>
  <c r="I38" i="282"/>
  <c r="G36" i="282"/>
  <c r="I36" i="282"/>
  <c r="G17" i="282"/>
  <c r="I17" i="282"/>
  <c r="E48" i="32"/>
  <c r="F39" i="411"/>
  <c r="F21" i="411"/>
  <c r="F27" i="411"/>
  <c r="F35" i="411"/>
  <c r="F16" i="411"/>
  <c r="F42" i="411"/>
  <c r="F12" i="411"/>
  <c r="F28" i="411"/>
  <c r="F29" i="411"/>
  <c r="F23" i="411"/>
  <c r="F18" i="411"/>
  <c r="F15" i="411"/>
  <c r="F36" i="411"/>
  <c r="F31" i="411"/>
  <c r="F13" i="411"/>
  <c r="F43" i="411"/>
  <c r="F38" i="411"/>
  <c r="F30" i="411"/>
  <c r="F11" i="411"/>
  <c r="F45" i="411"/>
  <c r="G45" i="411" s="1"/>
  <c r="F10" i="411"/>
  <c r="F44" i="411"/>
  <c r="F26" i="411"/>
  <c r="F22" i="411"/>
  <c r="F37" i="411"/>
  <c r="F17" i="411"/>
  <c r="F34" i="411"/>
  <c r="F14" i="411"/>
  <c r="F35" i="375"/>
  <c r="F18" i="375"/>
  <c r="F13" i="375"/>
  <c r="F37" i="375"/>
  <c r="F42" i="375"/>
  <c r="F39" i="375"/>
  <c r="F31" i="375"/>
  <c r="F15" i="375"/>
  <c r="F26" i="375"/>
  <c r="F30" i="375"/>
  <c r="F43" i="375"/>
  <c r="F36" i="375"/>
  <c r="F11" i="375"/>
  <c r="F29" i="375"/>
  <c r="F34" i="375"/>
  <c r="F44" i="375"/>
  <c r="F23" i="375"/>
  <c r="F22" i="375"/>
  <c r="F14" i="375"/>
  <c r="F12" i="375"/>
  <c r="F28" i="375"/>
  <c r="F16" i="375"/>
  <c r="F45" i="375"/>
  <c r="G45" i="375" s="1"/>
  <c r="F27" i="375"/>
  <c r="F21" i="375"/>
  <c r="F17" i="375"/>
  <c r="F38" i="375"/>
  <c r="F10" i="375"/>
  <c r="E48" i="322"/>
  <c r="I19" i="308"/>
  <c r="F19" i="308" s="1"/>
  <c r="G19" i="308" s="1"/>
  <c r="E40" i="431"/>
  <c r="C48" i="217"/>
  <c r="C48" i="363"/>
  <c r="H50" i="253"/>
  <c r="E6" i="253" s="1"/>
  <c r="E48" i="459"/>
  <c r="C48" i="134"/>
  <c r="H50" i="81"/>
  <c r="E6" i="81" s="1"/>
  <c r="H48" i="177"/>
  <c r="H50" i="177" s="1"/>
  <c r="E6" i="177" s="1"/>
  <c r="H46" i="184"/>
  <c r="C46" i="184" s="1"/>
  <c r="C48" i="184" s="1"/>
  <c r="H48" i="151"/>
  <c r="H50" i="151" s="1"/>
  <c r="E6" i="151" s="1"/>
  <c r="H32" i="15"/>
  <c r="E48" i="108"/>
  <c r="E24" i="61"/>
  <c r="E44" i="61"/>
  <c r="E32" i="61"/>
  <c r="E42" i="61"/>
  <c r="E23" i="61"/>
  <c r="E35" i="61"/>
  <c r="E29" i="61"/>
  <c r="E21" i="61"/>
  <c r="E45" i="61"/>
  <c r="E34" i="61"/>
  <c r="E38" i="61"/>
  <c r="E26" i="61"/>
  <c r="E30" i="61"/>
  <c r="E39" i="61"/>
  <c r="E22" i="61"/>
  <c r="E27" i="61"/>
  <c r="E40" i="61"/>
  <c r="E28" i="61"/>
  <c r="E36" i="61"/>
  <c r="E37" i="61"/>
  <c r="E43" i="61"/>
  <c r="E31" i="61"/>
  <c r="E31" i="161"/>
  <c r="E36" i="161"/>
  <c r="E39" i="161"/>
  <c r="E42" i="161"/>
  <c r="E44" i="161"/>
  <c r="E28" i="161"/>
  <c r="E34" i="161"/>
  <c r="E37" i="161"/>
  <c r="E22" i="161"/>
  <c r="E24" i="161"/>
  <c r="E27" i="161"/>
  <c r="E29" i="161"/>
  <c r="E46" i="161"/>
  <c r="A52" i="161" s="1"/>
  <c r="E38" i="161"/>
  <c r="E40" i="161"/>
  <c r="E43" i="161"/>
  <c r="E45" i="161"/>
  <c r="E35" i="161"/>
  <c r="E23" i="161"/>
  <c r="E30" i="161"/>
  <c r="E26" i="161"/>
  <c r="E21" i="161"/>
  <c r="E32" i="161"/>
  <c r="E46" i="109"/>
  <c r="A52" i="109" s="1"/>
  <c r="E36" i="109"/>
  <c r="E39" i="109"/>
  <c r="E24" i="109"/>
  <c r="E28" i="109"/>
  <c r="E27" i="109"/>
  <c r="E45" i="109"/>
  <c r="E37" i="109"/>
  <c r="E22" i="109"/>
  <c r="E43" i="109"/>
  <c r="E29" i="109"/>
  <c r="E32" i="109"/>
  <c r="E38" i="109"/>
  <c r="E23" i="109"/>
  <c r="E26" i="109"/>
  <c r="E30" i="109"/>
  <c r="E34" i="109"/>
  <c r="E21" i="109"/>
  <c r="E35" i="109"/>
  <c r="E44" i="109"/>
  <c r="E31" i="109"/>
  <c r="E42" i="109"/>
  <c r="E40" i="109"/>
  <c r="D48" i="95"/>
  <c r="E50" i="64"/>
  <c r="J50" i="64"/>
  <c r="E40" i="57"/>
  <c r="E38" i="57"/>
  <c r="E44" i="57"/>
  <c r="E24" i="57"/>
  <c r="E29" i="57"/>
  <c r="E21" i="57"/>
  <c r="E22" i="57"/>
  <c r="E26" i="57"/>
  <c r="E30" i="57"/>
  <c r="E35" i="57"/>
  <c r="E39" i="57"/>
  <c r="E45" i="57"/>
  <c r="E27" i="57"/>
  <c r="E46" i="57"/>
  <c r="A52" i="57" s="1"/>
  <c r="E28" i="57"/>
  <c r="E31" i="57"/>
  <c r="E37" i="57"/>
  <c r="E34" i="57"/>
  <c r="E36" i="57"/>
  <c r="E43" i="57"/>
  <c r="E42" i="57"/>
  <c r="E23" i="57"/>
  <c r="E50" i="54"/>
  <c r="J50" i="54"/>
  <c r="E32" i="42"/>
  <c r="J50" i="35"/>
  <c r="E50" i="35"/>
  <c r="E48" i="183"/>
  <c r="E48" i="223"/>
  <c r="H15" i="23"/>
  <c r="H19" i="23" s="1"/>
  <c r="D19" i="23"/>
  <c r="E15" i="23" s="1"/>
  <c r="F12" i="303"/>
  <c r="F38" i="303"/>
  <c r="F29" i="303"/>
  <c r="F22" i="303"/>
  <c r="F37" i="303"/>
  <c r="F42" i="303"/>
  <c r="F18" i="303"/>
  <c r="F30" i="303"/>
  <c r="F39" i="303"/>
  <c r="F23" i="303"/>
  <c r="F28" i="303"/>
  <c r="F36" i="303"/>
  <c r="F43" i="303"/>
  <c r="F34" i="303"/>
  <c r="F31" i="303"/>
  <c r="F44" i="303"/>
  <c r="F15" i="303"/>
  <c r="F14" i="303"/>
  <c r="F13" i="303"/>
  <c r="F27" i="303"/>
  <c r="F16" i="303"/>
  <c r="F21" i="303"/>
  <c r="F10" i="303"/>
  <c r="F35" i="303"/>
  <c r="F11" i="303"/>
  <c r="F17" i="303"/>
  <c r="F45" i="303"/>
  <c r="G45" i="303" s="1"/>
  <c r="F26" i="303"/>
  <c r="F26" i="336"/>
  <c r="F39" i="336"/>
  <c r="F31" i="336"/>
  <c r="F14" i="336"/>
  <c r="F30" i="336"/>
  <c r="F27" i="336"/>
  <c r="F12" i="336"/>
  <c r="F10" i="336"/>
  <c r="F15" i="336"/>
  <c r="F34" i="336"/>
  <c r="F29" i="336"/>
  <c r="F44" i="336"/>
  <c r="F18" i="336"/>
  <c r="F35" i="336"/>
  <c r="F13" i="336"/>
  <c r="F22" i="336"/>
  <c r="F21" i="336"/>
  <c r="F36" i="336"/>
  <c r="F17" i="336"/>
  <c r="F43" i="336"/>
  <c r="F28" i="336"/>
  <c r="F38" i="336"/>
  <c r="F42" i="336"/>
  <c r="F16" i="336"/>
  <c r="F11" i="336"/>
  <c r="F37" i="336"/>
  <c r="F23" i="336"/>
  <c r="F45" i="336"/>
  <c r="G45" i="336" s="1"/>
  <c r="E48" i="20"/>
  <c r="H48" i="136"/>
  <c r="H50" i="136" s="1"/>
  <c r="E6" i="136" s="1"/>
  <c r="E50" i="373"/>
  <c r="J50" i="373"/>
  <c r="E48" i="411"/>
  <c r="F21" i="414"/>
  <c r="F39" i="414"/>
  <c r="F43" i="414"/>
  <c r="F45" i="414"/>
  <c r="G45" i="414" s="1"/>
  <c r="F28" i="414"/>
  <c r="F31" i="414"/>
  <c r="F12" i="414"/>
  <c r="F14" i="414"/>
  <c r="F16" i="414"/>
  <c r="F18" i="414"/>
  <c r="F23" i="414"/>
  <c r="F29" i="414"/>
  <c r="F10" i="414"/>
  <c r="F37" i="414"/>
  <c r="F36" i="414"/>
  <c r="F42" i="414"/>
  <c r="F44" i="414"/>
  <c r="F27" i="414"/>
  <c r="F30" i="414"/>
  <c r="F11" i="414"/>
  <c r="F13" i="414"/>
  <c r="F22" i="414"/>
  <c r="F38" i="414"/>
  <c r="F26" i="414"/>
  <c r="F15" i="414"/>
  <c r="F34" i="414"/>
  <c r="F17" i="414"/>
  <c r="F35" i="414"/>
  <c r="E48" i="81"/>
  <c r="E40" i="269"/>
  <c r="E31" i="392"/>
  <c r="E28" i="392"/>
  <c r="E22" i="392"/>
  <c r="E23" i="392"/>
  <c r="E37" i="392"/>
  <c r="E40" i="392"/>
  <c r="E30" i="392"/>
  <c r="E42" i="392"/>
  <c r="E21" i="392"/>
  <c r="E39" i="392"/>
  <c r="E36" i="392"/>
  <c r="E24" i="392"/>
  <c r="E27" i="392"/>
  <c r="E35" i="392"/>
  <c r="E34" i="392"/>
  <c r="E26" i="392"/>
  <c r="E38" i="392"/>
  <c r="E29" i="392"/>
  <c r="E44" i="392"/>
  <c r="E45" i="392"/>
  <c r="E32" i="392"/>
  <c r="E43" i="392"/>
  <c r="G35" i="282"/>
  <c r="I35" i="282"/>
  <c r="I42" i="282"/>
  <c r="I46" i="282" s="1"/>
  <c r="F46" i="282" s="1"/>
  <c r="G46" i="282" s="1"/>
  <c r="G42" i="282"/>
  <c r="I30" i="282"/>
  <c r="G30" i="282"/>
  <c r="H48" i="349"/>
  <c r="H50" i="349" s="1"/>
  <c r="E6" i="349" s="1"/>
  <c r="E35" i="361"/>
  <c r="E39" i="361"/>
  <c r="E23" i="361"/>
  <c r="E27" i="361"/>
  <c r="E28" i="361"/>
  <c r="E40" i="361"/>
  <c r="E36" i="361"/>
  <c r="E21" i="361"/>
  <c r="E43" i="361"/>
  <c r="E29" i="361"/>
  <c r="E30" i="361"/>
  <c r="E24" i="361"/>
  <c r="E37" i="361"/>
  <c r="E22" i="361"/>
  <c r="E44" i="361"/>
  <c r="E34" i="361"/>
  <c r="E31" i="361"/>
  <c r="E42" i="361"/>
  <c r="E45" i="361"/>
  <c r="E46" i="361"/>
  <c r="A52" i="361" s="1"/>
  <c r="E38" i="361"/>
  <c r="E26" i="361"/>
  <c r="F35" i="394"/>
  <c r="F39" i="394"/>
  <c r="F43" i="394"/>
  <c r="F28" i="394"/>
  <c r="F10" i="394"/>
  <c r="F15" i="394"/>
  <c r="F30" i="394"/>
  <c r="F16" i="394"/>
  <c r="F18" i="394"/>
  <c r="F23" i="394"/>
  <c r="F36" i="394"/>
  <c r="F11" i="394"/>
  <c r="F22" i="394"/>
  <c r="F31" i="394"/>
  <c r="F38" i="394"/>
  <c r="F42" i="394"/>
  <c r="F45" i="394"/>
  <c r="G45" i="394" s="1"/>
  <c r="F37" i="394"/>
  <c r="F12" i="394"/>
  <c r="F26" i="394"/>
  <c r="F34" i="394"/>
  <c r="F21" i="394"/>
  <c r="F29" i="394"/>
  <c r="F27" i="394"/>
  <c r="F13" i="394"/>
  <c r="F44" i="394"/>
  <c r="F17" i="394"/>
  <c r="F14" i="394"/>
  <c r="H32" i="399"/>
  <c r="C32" i="399" s="1"/>
  <c r="C48" i="399" s="1"/>
  <c r="E31" i="130"/>
  <c r="E38" i="130"/>
  <c r="E26" i="130"/>
  <c r="E45" i="130"/>
  <c r="E42" i="130"/>
  <c r="E28" i="130"/>
  <c r="E35" i="130"/>
  <c r="E21" i="130"/>
  <c r="E27" i="130"/>
  <c r="E24" i="130"/>
  <c r="E40" i="130"/>
  <c r="E29" i="130"/>
  <c r="E36" i="130"/>
  <c r="E39" i="130"/>
  <c r="E43" i="130"/>
  <c r="E23" i="130"/>
  <c r="E34" i="130"/>
  <c r="E37" i="130"/>
  <c r="E46" i="130"/>
  <c r="A52" i="130" s="1"/>
  <c r="E44" i="130"/>
  <c r="E30" i="130"/>
  <c r="E32" i="130"/>
  <c r="E22" i="130"/>
  <c r="H26" i="53"/>
  <c r="H32" i="53" s="1"/>
  <c r="D32" i="53"/>
  <c r="D50" i="53" s="1"/>
  <c r="J50" i="140"/>
  <c r="E50" i="140"/>
  <c r="E50" i="109"/>
  <c r="J50" i="109"/>
  <c r="J50" i="42"/>
  <c r="E50" i="42"/>
  <c r="J50" i="36"/>
  <c r="E50" i="36"/>
  <c r="E38" i="466"/>
  <c r="E23" i="466"/>
  <c r="E26" i="466"/>
  <c r="E28" i="466"/>
  <c r="E34" i="466"/>
  <c r="E36" i="466"/>
  <c r="E37" i="466"/>
  <c r="E43" i="466"/>
  <c r="E31" i="466"/>
  <c r="E35" i="466"/>
  <c r="E21" i="466"/>
  <c r="E42" i="466"/>
  <c r="E44" i="466"/>
  <c r="E46" i="466"/>
  <c r="A52" i="466" s="1"/>
  <c r="E30" i="466"/>
  <c r="E40" i="466"/>
  <c r="E39" i="466"/>
  <c r="E24" i="466"/>
  <c r="E27" i="466"/>
  <c r="E29" i="466"/>
  <c r="E32" i="466"/>
  <c r="E22" i="466"/>
  <c r="E45" i="466"/>
  <c r="H48" i="142"/>
  <c r="H50" i="142" s="1"/>
  <c r="E6" i="142" s="1"/>
  <c r="C48" i="195"/>
  <c r="F21" i="187"/>
  <c r="F30" i="187"/>
  <c r="G30" i="187" s="1"/>
  <c r="F38" i="187"/>
  <c r="F11" i="187"/>
  <c r="F42" i="187"/>
  <c r="F14" i="187"/>
  <c r="F43" i="187"/>
  <c r="G38" i="178"/>
  <c r="F21" i="153"/>
  <c r="F11" i="153"/>
  <c r="F26" i="153"/>
  <c r="F16" i="153"/>
  <c r="C48" i="371"/>
  <c r="C48" i="88"/>
  <c r="H48" i="225"/>
  <c r="H50" i="225" s="1"/>
  <c r="E6" i="225" s="1"/>
  <c r="H48" i="167"/>
  <c r="H50" i="167" s="1"/>
  <c r="E6" i="167" s="1"/>
  <c r="F18" i="167" s="1"/>
  <c r="H48" i="204"/>
  <c r="F16" i="125"/>
  <c r="F29" i="125"/>
  <c r="F12" i="125"/>
  <c r="F38" i="125"/>
  <c r="F35" i="125"/>
  <c r="F42" i="125"/>
  <c r="F26" i="125"/>
  <c r="F27" i="125"/>
  <c r="F18" i="125"/>
  <c r="F28" i="125"/>
  <c r="F30" i="125"/>
  <c r="F22" i="125"/>
  <c r="F21" i="125"/>
  <c r="F34" i="125"/>
  <c r="F36" i="125"/>
  <c r="F15" i="125"/>
  <c r="F39" i="125"/>
  <c r="F45" i="125"/>
  <c r="G45" i="125" s="1"/>
  <c r="F31" i="125"/>
  <c r="F43" i="125"/>
  <c r="F14" i="125"/>
  <c r="F44" i="125"/>
  <c r="F10" i="125"/>
  <c r="F37" i="125"/>
  <c r="F11" i="125"/>
  <c r="F23" i="125"/>
  <c r="F13" i="125"/>
  <c r="F17" i="125"/>
  <c r="C40" i="304"/>
  <c r="C48" i="304" s="1"/>
  <c r="H48" i="304"/>
  <c r="H50" i="304" s="1"/>
  <c r="E6" i="304" s="1"/>
  <c r="J50" i="412"/>
  <c r="E50" i="412"/>
  <c r="H48" i="359"/>
  <c r="H50" i="359" s="1"/>
  <c r="E6" i="359" s="1"/>
  <c r="J50" i="99"/>
  <c r="E50" i="99"/>
  <c r="J50" i="327"/>
  <c r="E50" i="327"/>
  <c r="E50" i="464"/>
  <c r="H48" i="255"/>
  <c r="H50" i="255" s="1"/>
  <c r="E6" i="255" s="1"/>
  <c r="F18" i="187"/>
  <c r="F45" i="187"/>
  <c r="G45" i="187" s="1"/>
  <c r="F34" i="187"/>
  <c r="F13" i="187"/>
  <c r="F16" i="187"/>
  <c r="F31" i="187"/>
  <c r="F37" i="187"/>
  <c r="F39" i="153"/>
  <c r="G39" i="153" s="1"/>
  <c r="F18" i="153"/>
  <c r="F36" i="153"/>
  <c r="H50" i="362"/>
  <c r="E6" i="362" s="1"/>
  <c r="H48" i="121"/>
  <c r="H50" i="121" s="1"/>
  <c r="E6" i="121" s="1"/>
  <c r="F14" i="121" s="1"/>
  <c r="C48" i="312"/>
  <c r="E48" i="457"/>
  <c r="C48" i="232"/>
  <c r="C48" i="266"/>
  <c r="H48" i="129"/>
  <c r="H50" i="129" s="1"/>
  <c r="E6" i="129" s="1"/>
  <c r="C24" i="82"/>
  <c r="H48" i="82"/>
  <c r="E39" i="330"/>
  <c r="E29" i="330"/>
  <c r="E35" i="330"/>
  <c r="E28" i="330"/>
  <c r="E30" i="330"/>
  <c r="E37" i="330"/>
  <c r="E26" i="330"/>
  <c r="E40" i="330"/>
  <c r="E22" i="330"/>
  <c r="E42" i="330"/>
  <c r="E32" i="330"/>
  <c r="E23" i="330"/>
  <c r="H32" i="467"/>
  <c r="C32" i="467" s="1"/>
  <c r="H40" i="470"/>
  <c r="C40" i="470" s="1"/>
  <c r="C48" i="470" s="1"/>
  <c r="C48" i="203"/>
  <c r="C48" i="255"/>
  <c r="H48" i="65"/>
  <c r="H50" i="65" s="1"/>
  <c r="E6" i="65" s="1"/>
  <c r="F11" i="65" s="1"/>
  <c r="F10" i="187"/>
  <c r="F26" i="187"/>
  <c r="F36" i="187"/>
  <c r="F23" i="187"/>
  <c r="G23" i="187" s="1"/>
  <c r="F15" i="187"/>
  <c r="F28" i="187"/>
  <c r="F17" i="187"/>
  <c r="F35" i="153"/>
  <c r="G35" i="153" s="1"/>
  <c r="F12" i="153"/>
  <c r="F17" i="153"/>
  <c r="F15" i="153"/>
  <c r="E34" i="359"/>
  <c r="H48" i="259"/>
  <c r="H50" i="176"/>
  <c r="E6" i="176" s="1"/>
  <c r="C48" i="174"/>
  <c r="C48" i="142"/>
  <c r="C48" i="189"/>
  <c r="E48" i="341"/>
  <c r="H48" i="144"/>
  <c r="H50" i="395"/>
  <c r="E6" i="395" s="1"/>
  <c r="H48" i="266"/>
  <c r="H50" i="266" s="1"/>
  <c r="E6" i="266" s="1"/>
  <c r="E23" i="238"/>
  <c r="E44" i="238"/>
  <c r="E30" i="238"/>
  <c r="E32" i="238"/>
  <c r="E39" i="238"/>
  <c r="E22" i="238"/>
  <c r="E24" i="238"/>
  <c r="E27" i="238"/>
  <c r="E35" i="238"/>
  <c r="E34" i="238"/>
  <c r="E40" i="238"/>
  <c r="E29" i="238"/>
  <c r="E43" i="238"/>
  <c r="E45" i="238"/>
  <c r="E36" i="238"/>
  <c r="E37" i="238"/>
  <c r="E42" i="238"/>
  <c r="E26" i="238"/>
  <c r="E28" i="238"/>
  <c r="E31" i="238"/>
  <c r="E38" i="238"/>
  <c r="E21" i="238"/>
  <c r="E40" i="99"/>
  <c r="E31" i="99"/>
  <c r="E21" i="99"/>
  <c r="E44" i="99"/>
  <c r="E26" i="99"/>
  <c r="E36" i="99"/>
  <c r="E27" i="99"/>
  <c r="E35" i="99"/>
  <c r="E22" i="99"/>
  <c r="E28" i="99"/>
  <c r="E32" i="99"/>
  <c r="E45" i="99"/>
  <c r="E37" i="99"/>
  <c r="E42" i="99"/>
  <c r="E23" i="99"/>
  <c r="E29" i="99"/>
  <c r="E34" i="99"/>
  <c r="E30" i="99"/>
  <c r="E38" i="99"/>
  <c r="E43" i="99"/>
  <c r="E24" i="99"/>
  <c r="E39" i="99"/>
  <c r="J50" i="330"/>
  <c r="E50" i="330"/>
  <c r="E46" i="327"/>
  <c r="A52" i="327" s="1"/>
  <c r="E40" i="327"/>
  <c r="E42" i="327"/>
  <c r="E36" i="327"/>
  <c r="E39" i="327"/>
  <c r="E43" i="327"/>
  <c r="E45" i="327"/>
  <c r="E30" i="327"/>
  <c r="E37" i="327"/>
  <c r="E22" i="327"/>
  <c r="E26" i="327"/>
  <c r="E28" i="327"/>
  <c r="E31" i="327"/>
  <c r="E38" i="327"/>
  <c r="E23" i="327"/>
  <c r="E44" i="327"/>
  <c r="E29" i="327"/>
  <c r="E35" i="327"/>
  <c r="E21" i="327"/>
  <c r="E24" i="327"/>
  <c r="E27" i="327"/>
  <c r="C19" i="118"/>
  <c r="H48" i="264"/>
  <c r="H50" i="264" s="1"/>
  <c r="E6" i="264" s="1"/>
  <c r="F38" i="264" s="1"/>
  <c r="E46" i="412"/>
  <c r="A52" i="412" s="1"/>
  <c r="E23" i="412"/>
  <c r="E44" i="412"/>
  <c r="E29" i="412"/>
  <c r="E34" i="412"/>
  <c r="E22" i="412"/>
  <c r="E40" i="412"/>
  <c r="E24" i="412"/>
  <c r="E27" i="412"/>
  <c r="E30" i="412"/>
  <c r="E35" i="412"/>
  <c r="E37" i="412"/>
  <c r="E42" i="412"/>
  <c r="E43" i="412"/>
  <c r="E45" i="412"/>
  <c r="E31" i="412"/>
  <c r="E36" i="412"/>
  <c r="E38" i="412"/>
  <c r="E26" i="412"/>
  <c r="E28" i="412"/>
  <c r="E21" i="412"/>
  <c r="E39" i="412"/>
  <c r="J50" i="238"/>
  <c r="E50" i="238"/>
  <c r="F37" i="236"/>
  <c r="F12" i="236"/>
  <c r="F27" i="236"/>
  <c r="F18" i="236"/>
  <c r="F30" i="236"/>
  <c r="F34" i="236"/>
  <c r="F21" i="236"/>
  <c r="F44" i="236"/>
  <c r="F16" i="236"/>
  <c r="F31" i="236"/>
  <c r="F26" i="236"/>
  <c r="F10" i="236"/>
  <c r="F35" i="236"/>
  <c r="F42" i="236"/>
  <c r="F23" i="236"/>
  <c r="F36" i="236"/>
  <c r="F11" i="236"/>
  <c r="F13" i="236"/>
  <c r="F28" i="236"/>
  <c r="F39" i="236"/>
  <c r="F29" i="236"/>
  <c r="F15" i="236"/>
  <c r="F22" i="236"/>
  <c r="F17" i="236"/>
  <c r="F45" i="236"/>
  <c r="G45" i="236" s="1"/>
  <c r="F43" i="236"/>
  <c r="F14" i="236"/>
  <c r="F38" i="236"/>
  <c r="C48" i="374"/>
  <c r="H48" i="330"/>
  <c r="H50" i="330" s="1"/>
  <c r="E6" i="330" s="1"/>
  <c r="F11" i="402"/>
  <c r="F44" i="402"/>
  <c r="F34" i="402"/>
  <c r="E46" i="372"/>
  <c r="A52" i="372" s="1"/>
  <c r="E21" i="372"/>
  <c r="E42" i="372"/>
  <c r="E27" i="372"/>
  <c r="E30" i="372"/>
  <c r="E35" i="372"/>
  <c r="E39" i="372"/>
  <c r="E43" i="372"/>
  <c r="E45" i="372"/>
  <c r="E31" i="372"/>
  <c r="E36" i="372"/>
  <c r="E37" i="372"/>
  <c r="E22" i="372"/>
  <c r="E26" i="372"/>
  <c r="E28" i="372"/>
  <c r="E32" i="372"/>
  <c r="E24" i="372"/>
  <c r="E38" i="372"/>
  <c r="E23" i="372"/>
  <c r="E44" i="372"/>
  <c r="E29" i="372"/>
  <c r="E34" i="372"/>
  <c r="F45" i="264"/>
  <c r="G45" i="264" s="1"/>
  <c r="F29" i="264"/>
  <c r="F16" i="264"/>
  <c r="F42" i="264"/>
  <c r="F18" i="264"/>
  <c r="F30" i="264"/>
  <c r="E31" i="271"/>
  <c r="E23" i="271"/>
  <c r="E36" i="271"/>
  <c r="E42" i="271"/>
  <c r="E44" i="271"/>
  <c r="E22" i="271"/>
  <c r="E34" i="271"/>
  <c r="E24" i="271"/>
  <c r="E39" i="271"/>
  <c r="E40" i="271"/>
  <c r="E27" i="271"/>
  <c r="E21" i="271"/>
  <c r="E29" i="271"/>
  <c r="E37" i="271"/>
  <c r="E43" i="271"/>
  <c r="E45" i="271"/>
  <c r="E28" i="271"/>
  <c r="E35" i="271"/>
  <c r="E30" i="271"/>
  <c r="E32" i="271"/>
  <c r="E26" i="271"/>
  <c r="E38" i="271"/>
  <c r="J50" i="419"/>
  <c r="E50" i="419"/>
  <c r="J50" i="175"/>
  <c r="E50" i="175"/>
  <c r="H48" i="327"/>
  <c r="H50" i="327" s="1"/>
  <c r="E6" i="327" s="1"/>
  <c r="E46" i="271"/>
  <c r="A52" i="271" s="1"/>
  <c r="F45" i="129"/>
  <c r="G45" i="129" s="1"/>
  <c r="F30" i="129"/>
  <c r="A52" i="377"/>
  <c r="E48" i="377"/>
  <c r="E35" i="175"/>
  <c r="E43" i="175"/>
  <c r="E45" i="175"/>
  <c r="E26" i="175"/>
  <c r="E37" i="175"/>
  <c r="E23" i="175"/>
  <c r="E46" i="175"/>
  <c r="A52" i="175" s="1"/>
  <c r="E42" i="175"/>
  <c r="E28" i="175"/>
  <c r="E31" i="175"/>
  <c r="E38" i="175"/>
  <c r="E40" i="175"/>
  <c r="E24" i="175"/>
  <c r="E44" i="175"/>
  <c r="E29" i="175"/>
  <c r="E36" i="175"/>
  <c r="E21" i="175"/>
  <c r="E39" i="175"/>
  <c r="E27" i="175"/>
  <c r="E30" i="175"/>
  <c r="E34" i="175"/>
  <c r="E22" i="175"/>
  <c r="J50" i="271"/>
  <c r="E50" i="271"/>
  <c r="E48" i="346"/>
  <c r="H48" i="383"/>
  <c r="H50" i="383" s="1"/>
  <c r="E6" i="383" s="1"/>
  <c r="H50" i="401"/>
  <c r="E6" i="401" s="1"/>
  <c r="E50" i="221"/>
  <c r="J50" i="221"/>
  <c r="J50" i="372"/>
  <c r="E50" i="372"/>
  <c r="E32" i="175"/>
  <c r="H48" i="183"/>
  <c r="H50" i="183" s="1"/>
  <c r="E6" i="183" s="1"/>
  <c r="F15" i="270"/>
  <c r="H48" i="378"/>
  <c r="H50" i="378" s="1"/>
  <c r="E6" i="378" s="1"/>
  <c r="F35" i="378" s="1"/>
  <c r="C32" i="131"/>
  <c r="C48" i="131" s="1"/>
  <c r="H48" i="131"/>
  <c r="H50" i="131" s="1"/>
  <c r="E6" i="131" s="1"/>
  <c r="F44" i="348"/>
  <c r="F10" i="348"/>
  <c r="F36" i="348"/>
  <c r="F13" i="348"/>
  <c r="F27" i="348"/>
  <c r="F29" i="348"/>
  <c r="F26" i="348"/>
  <c r="F16" i="348"/>
  <c r="F11" i="348"/>
  <c r="F12" i="348"/>
  <c r="F23" i="348"/>
  <c r="F39" i="348"/>
  <c r="F42" i="348"/>
  <c r="F17" i="348"/>
  <c r="F18" i="348"/>
  <c r="F21" i="348"/>
  <c r="F45" i="348"/>
  <c r="G45" i="348" s="1"/>
  <c r="F38" i="348"/>
  <c r="F28" i="348"/>
  <c r="F37" i="348"/>
  <c r="F31" i="348"/>
  <c r="F43" i="348"/>
  <c r="F34" i="348"/>
  <c r="F22" i="348"/>
  <c r="F14" i="348"/>
  <c r="F15" i="348"/>
  <c r="F35" i="348"/>
  <c r="F30" i="348"/>
  <c r="E46" i="390"/>
  <c r="A52" i="390" s="1"/>
  <c r="E26" i="390"/>
  <c r="E28" i="390"/>
  <c r="E32" i="390"/>
  <c r="E38" i="390"/>
  <c r="E22" i="390"/>
  <c r="E40" i="390"/>
  <c r="E44" i="390"/>
  <c r="E29" i="390"/>
  <c r="E35" i="390"/>
  <c r="E23" i="390"/>
  <c r="E24" i="390"/>
  <c r="E34" i="390"/>
  <c r="E27" i="390"/>
  <c r="E30" i="390"/>
  <c r="E36" i="390"/>
  <c r="E42" i="390"/>
  <c r="E39" i="390"/>
  <c r="E45" i="390"/>
  <c r="E31" i="390"/>
  <c r="E37" i="390"/>
  <c r="E21" i="390"/>
  <c r="E43" i="390"/>
  <c r="E31" i="353"/>
  <c r="E21" i="353"/>
  <c r="E23" i="353"/>
  <c r="E22" i="353"/>
  <c r="E34" i="353"/>
  <c r="E40" i="353"/>
  <c r="E39" i="353"/>
  <c r="E28" i="353"/>
  <c r="E27" i="353"/>
  <c r="E45" i="353"/>
  <c r="E44" i="353"/>
  <c r="E35" i="353"/>
  <c r="E32" i="353"/>
  <c r="E24" i="353"/>
  <c r="E26" i="353"/>
  <c r="E37" i="353"/>
  <c r="E36" i="353"/>
  <c r="E43" i="353"/>
  <c r="E42" i="353"/>
  <c r="E38" i="353"/>
  <c r="C32" i="97"/>
  <c r="C48" i="97" s="1"/>
  <c r="H48" i="97"/>
  <c r="H50" i="97" s="1"/>
  <c r="E6" i="97" s="1"/>
  <c r="C24" i="46"/>
  <c r="C48" i="46" s="1"/>
  <c r="H48" i="46"/>
  <c r="H50" i="46" s="1"/>
  <c r="E6" i="46" s="1"/>
  <c r="J50" i="363"/>
  <c r="E50" i="363"/>
  <c r="H48" i="258"/>
  <c r="H50" i="258" s="1"/>
  <c r="E6" i="258" s="1"/>
  <c r="F50" i="4"/>
  <c r="G5" i="4"/>
  <c r="I51" i="4"/>
  <c r="G6" i="4"/>
  <c r="E46" i="259"/>
  <c r="A52" i="259" s="1"/>
  <c r="E42" i="259"/>
  <c r="E23" i="259"/>
  <c r="E45" i="259"/>
  <c r="E35" i="259"/>
  <c r="E44" i="259"/>
  <c r="E21" i="259"/>
  <c r="E30" i="259"/>
  <c r="E22" i="259"/>
  <c r="E36" i="259"/>
  <c r="E26" i="259"/>
  <c r="E32" i="259"/>
  <c r="E31" i="259"/>
  <c r="E29" i="259"/>
  <c r="E37" i="259"/>
  <c r="E27" i="259"/>
  <c r="E38" i="259"/>
  <c r="E39" i="259"/>
  <c r="E34" i="259"/>
  <c r="E24" i="259"/>
  <c r="E43" i="259"/>
  <c r="E28" i="259"/>
  <c r="F27" i="189"/>
  <c r="F18" i="189"/>
  <c r="F15" i="189"/>
  <c r="F37" i="189"/>
  <c r="F43" i="189"/>
  <c r="F44" i="189"/>
  <c r="F12" i="189"/>
  <c r="F29" i="189"/>
  <c r="F42" i="189"/>
  <c r="F13" i="189"/>
  <c r="F39" i="189"/>
  <c r="F23" i="189"/>
  <c r="F11" i="189"/>
  <c r="F31" i="189"/>
  <c r="F36" i="189"/>
  <c r="F10" i="189"/>
  <c r="F45" i="189"/>
  <c r="G45" i="189" s="1"/>
  <c r="F28" i="189"/>
  <c r="F26" i="189"/>
  <c r="F16" i="189"/>
  <c r="F21" i="189"/>
  <c r="F22" i="189"/>
  <c r="F17" i="189"/>
  <c r="F14" i="189"/>
  <c r="F38" i="189"/>
  <c r="F34" i="189"/>
  <c r="F30" i="189"/>
  <c r="F35" i="189"/>
  <c r="E10" i="386"/>
  <c r="E13" i="386"/>
  <c r="E16" i="386"/>
  <c r="E11" i="386"/>
  <c r="E17" i="386"/>
  <c r="E15" i="386"/>
  <c r="E12" i="386"/>
  <c r="E18" i="386"/>
  <c r="E14" i="386"/>
  <c r="E19" i="386"/>
  <c r="F18" i="100"/>
  <c r="F45" i="100"/>
  <c r="G45" i="100" s="1"/>
  <c r="F36" i="100"/>
  <c r="F22" i="100"/>
  <c r="F35" i="100"/>
  <c r="F28" i="100"/>
  <c r="F21" i="100"/>
  <c r="F26" i="100"/>
  <c r="F29" i="100"/>
  <c r="F43" i="100"/>
  <c r="F11" i="100"/>
  <c r="F30" i="100"/>
  <c r="F14" i="100"/>
  <c r="F12" i="100"/>
  <c r="E30" i="360"/>
  <c r="E37" i="360"/>
  <c r="E22" i="360"/>
  <c r="E43" i="360"/>
  <c r="E45" i="360"/>
  <c r="E34" i="360"/>
  <c r="E31" i="360"/>
  <c r="E38" i="360"/>
  <c r="E23" i="360"/>
  <c r="E26" i="360"/>
  <c r="E28" i="360"/>
  <c r="E40" i="360"/>
  <c r="E35" i="360"/>
  <c r="E21" i="360"/>
  <c r="E42" i="360"/>
  <c r="E44" i="360"/>
  <c r="E29" i="360"/>
  <c r="E36" i="360"/>
  <c r="E39" i="360"/>
  <c r="E24" i="360"/>
  <c r="E27" i="360"/>
  <c r="E32" i="360"/>
  <c r="E37" i="141"/>
  <c r="E24" i="141"/>
  <c r="E27" i="141"/>
  <c r="E30" i="141"/>
  <c r="E35" i="141"/>
  <c r="E40" i="141"/>
  <c r="E39" i="141"/>
  <c r="E21" i="141"/>
  <c r="E43" i="141"/>
  <c r="E45" i="141"/>
  <c r="E31" i="141"/>
  <c r="E36" i="141"/>
  <c r="E22" i="141"/>
  <c r="E26" i="141"/>
  <c r="E28" i="141"/>
  <c r="E32" i="141"/>
  <c r="E46" i="141"/>
  <c r="A52" i="141" s="1"/>
  <c r="E42" i="141"/>
  <c r="E38" i="141"/>
  <c r="E23" i="141"/>
  <c r="E44" i="141"/>
  <c r="E29" i="141"/>
  <c r="E34" i="141"/>
  <c r="J50" i="73"/>
  <c r="E50" i="73"/>
  <c r="C48" i="334"/>
  <c r="C40" i="272"/>
  <c r="C48" i="272" s="1"/>
  <c r="H48" i="272"/>
  <c r="E50" i="232"/>
  <c r="J50" i="232"/>
  <c r="H48" i="55"/>
  <c r="H50" i="55" s="1"/>
  <c r="E6" i="55" s="1"/>
  <c r="J50" i="453"/>
  <c r="E50" i="453"/>
  <c r="E32" i="363"/>
  <c r="E35" i="363"/>
  <c r="E21" i="363"/>
  <c r="E26" i="363"/>
  <c r="E30" i="363"/>
  <c r="E39" i="363"/>
  <c r="E36" i="363"/>
  <c r="E45" i="363"/>
  <c r="E27" i="363"/>
  <c r="E38" i="363"/>
  <c r="E40" i="363"/>
  <c r="E31" i="363"/>
  <c r="E43" i="363"/>
  <c r="E22" i="363"/>
  <c r="E28" i="363"/>
  <c r="E42" i="363"/>
  <c r="E34" i="363"/>
  <c r="E44" i="363"/>
  <c r="E23" i="363"/>
  <c r="E29" i="363"/>
  <c r="E37" i="363"/>
  <c r="E24" i="363"/>
  <c r="E30" i="209"/>
  <c r="E32" i="209"/>
  <c r="E32" i="131"/>
  <c r="E31" i="131"/>
  <c r="E38" i="131"/>
  <c r="E27" i="131"/>
  <c r="E45" i="131"/>
  <c r="E28" i="131"/>
  <c r="E35" i="131"/>
  <c r="E21" i="131"/>
  <c r="E42" i="131"/>
  <c r="E23" i="131"/>
  <c r="E29" i="131"/>
  <c r="E36" i="131"/>
  <c r="E39" i="131"/>
  <c r="E43" i="131"/>
  <c r="E24" i="131"/>
  <c r="E34" i="131"/>
  <c r="E30" i="131"/>
  <c r="E37" i="131"/>
  <c r="E22" i="131"/>
  <c r="E44" i="131"/>
  <c r="E26" i="131"/>
  <c r="H48" i="334"/>
  <c r="H50" i="334" s="1"/>
  <c r="E6" i="334" s="1"/>
  <c r="E40" i="259"/>
  <c r="E37" i="250"/>
  <c r="E23" i="250"/>
  <c r="E26" i="250"/>
  <c r="E28" i="250"/>
  <c r="E31" i="250"/>
  <c r="E39" i="250"/>
  <c r="E34" i="250"/>
  <c r="E38" i="250"/>
  <c r="E42" i="250"/>
  <c r="E44" i="250"/>
  <c r="E30" i="250"/>
  <c r="E46" i="250"/>
  <c r="A52" i="250" s="1"/>
  <c r="E22" i="250"/>
  <c r="E24" i="250"/>
  <c r="E27" i="250"/>
  <c r="E35" i="250"/>
  <c r="E21" i="250"/>
  <c r="E40" i="250"/>
  <c r="E43" i="250"/>
  <c r="E45" i="250"/>
  <c r="E36" i="250"/>
  <c r="E29" i="250"/>
  <c r="G46" i="4"/>
  <c r="C48" i="261"/>
  <c r="C46" i="115"/>
  <c r="C48" i="115" s="1"/>
  <c r="H48" i="115"/>
  <c r="H50" i="115" s="1"/>
  <c r="E6" i="115" s="1"/>
  <c r="C32" i="30"/>
  <c r="C48" i="30" s="1"/>
  <c r="H48" i="30"/>
  <c r="H50" i="30" s="1"/>
  <c r="E6" i="30" s="1"/>
  <c r="E46" i="34"/>
  <c r="A52" i="34" s="1"/>
  <c r="E32" i="34"/>
  <c r="E31" i="34"/>
  <c r="E34" i="34"/>
  <c r="E40" i="34"/>
  <c r="H50" i="186"/>
  <c r="E6" i="186" s="1"/>
  <c r="E39" i="232"/>
  <c r="E24" i="232"/>
  <c r="E27" i="232"/>
  <c r="E31" i="232"/>
  <c r="E35" i="232"/>
  <c r="E37" i="232"/>
  <c r="E22" i="232"/>
  <c r="E43" i="232"/>
  <c r="E45" i="232"/>
  <c r="E29" i="232"/>
  <c r="E36" i="232"/>
  <c r="E38" i="232"/>
  <c r="E23" i="232"/>
  <c r="E26" i="232"/>
  <c r="E28" i="232"/>
  <c r="E32" i="232"/>
  <c r="E46" i="232"/>
  <c r="A52" i="232" s="1"/>
  <c r="E21" i="232"/>
  <c r="E42" i="232"/>
  <c r="E44" i="232"/>
  <c r="E30" i="232"/>
  <c r="E34" i="232"/>
  <c r="F11" i="238"/>
  <c r="F12" i="238"/>
  <c r="F16" i="238"/>
  <c r="F38" i="238"/>
  <c r="F45" i="238"/>
  <c r="G45" i="238" s="1"/>
  <c r="F39" i="238"/>
  <c r="F14" i="238"/>
  <c r="F27" i="238"/>
  <c r="F42" i="238"/>
  <c r="F21" i="238"/>
  <c r="F43" i="238"/>
  <c r="F15" i="238"/>
  <c r="F30" i="238"/>
  <c r="F34" i="238"/>
  <c r="F28" i="238"/>
  <c r="F29" i="238"/>
  <c r="F35" i="238"/>
  <c r="F37" i="238"/>
  <c r="F44" i="238"/>
  <c r="F31" i="238"/>
  <c r="F17" i="238"/>
  <c r="F18" i="238"/>
  <c r="F23" i="238"/>
  <c r="F22" i="238"/>
  <c r="F13" i="238"/>
  <c r="F26" i="238"/>
  <c r="F36" i="238"/>
  <c r="F10" i="238"/>
  <c r="E46" i="453"/>
  <c r="A52" i="453" s="1"/>
  <c r="E43" i="453"/>
  <c r="E45" i="453"/>
  <c r="E31" i="453"/>
  <c r="E39" i="453"/>
  <c r="E38" i="453"/>
  <c r="E22" i="453"/>
  <c r="E26" i="453"/>
  <c r="E28" i="453"/>
  <c r="E32" i="453"/>
  <c r="E35" i="453"/>
  <c r="E40" i="453"/>
  <c r="E42" i="453"/>
  <c r="E23" i="453"/>
  <c r="E44" i="453"/>
  <c r="E29" i="453"/>
  <c r="E34" i="453"/>
  <c r="E36" i="453"/>
  <c r="E24" i="453"/>
  <c r="E27" i="453"/>
  <c r="E30" i="453"/>
  <c r="E21" i="453"/>
  <c r="E37" i="453"/>
  <c r="E46" i="360"/>
  <c r="A52" i="360" s="1"/>
  <c r="J50" i="209"/>
  <c r="E50" i="209"/>
  <c r="H48" i="459"/>
  <c r="H50" i="459" s="1"/>
  <c r="E6" i="459" s="1"/>
  <c r="J50" i="259"/>
  <c r="E50" i="259"/>
  <c r="F43" i="450"/>
  <c r="F45" i="450"/>
  <c r="G45" i="450" s="1"/>
  <c r="F36" i="450"/>
  <c r="F11" i="450"/>
  <c r="F14" i="450"/>
  <c r="F17" i="450"/>
  <c r="F28" i="450"/>
  <c r="F18" i="450"/>
  <c r="F22" i="450"/>
  <c r="F26" i="450"/>
  <c r="F37" i="450"/>
  <c r="F12" i="450"/>
  <c r="F15" i="450"/>
  <c r="F27" i="450"/>
  <c r="F42" i="450"/>
  <c r="F44" i="450"/>
  <c r="F10" i="450"/>
  <c r="F38" i="450"/>
  <c r="F13" i="450"/>
  <c r="F16" i="450"/>
  <c r="F30" i="450"/>
  <c r="F21" i="450"/>
  <c r="F23" i="450"/>
  <c r="F35" i="450"/>
  <c r="F39" i="450"/>
  <c r="F34" i="450"/>
  <c r="F31" i="450"/>
  <c r="F29" i="450"/>
  <c r="F12" i="81"/>
  <c r="F29" i="81"/>
  <c r="F26" i="81"/>
  <c r="F44" i="81"/>
  <c r="F43" i="81"/>
  <c r="F17" i="81"/>
  <c r="F22" i="81"/>
  <c r="H50" i="408"/>
  <c r="E6" i="408" s="1"/>
  <c r="H48" i="353"/>
  <c r="H50" i="353" s="1"/>
  <c r="E6" i="353" s="1"/>
  <c r="F16" i="353" s="1"/>
  <c r="H48" i="134"/>
  <c r="H50" i="134" s="1"/>
  <c r="E6" i="134" s="1"/>
  <c r="F38" i="134" s="1"/>
  <c r="E46" i="4"/>
  <c r="A52" i="4" s="1"/>
  <c r="E45" i="4"/>
  <c r="E35" i="4"/>
  <c r="E32" i="4"/>
  <c r="E30" i="4"/>
  <c r="E39" i="4"/>
  <c r="E34" i="4"/>
  <c r="E40" i="4"/>
  <c r="E36" i="4"/>
  <c r="E26" i="4"/>
  <c r="E44" i="4"/>
  <c r="E38" i="4"/>
  <c r="E28" i="4"/>
  <c r="E24" i="4"/>
  <c r="E31" i="4"/>
  <c r="E29" i="4"/>
  <c r="E22" i="4"/>
  <c r="E23" i="4"/>
  <c r="E42" i="4"/>
  <c r="E21" i="4"/>
  <c r="E48" i="4" s="1"/>
  <c r="E43" i="4"/>
  <c r="E37" i="4"/>
  <c r="E27" i="4"/>
  <c r="J50" i="360"/>
  <c r="E50" i="360"/>
  <c r="J50" i="131"/>
  <c r="E50" i="131"/>
  <c r="H48" i="278"/>
  <c r="H50" i="278" s="1"/>
  <c r="E6" i="278" s="1"/>
  <c r="F21" i="317"/>
  <c r="F39" i="317"/>
  <c r="F43" i="317"/>
  <c r="F34" i="317"/>
  <c r="F22" i="317"/>
  <c r="F45" i="317"/>
  <c r="G45" i="317" s="1"/>
  <c r="F13" i="317"/>
  <c r="F29" i="317"/>
  <c r="F23" i="317"/>
  <c r="F38" i="317"/>
  <c r="F12" i="317"/>
  <c r="F17" i="317"/>
  <c r="F26" i="317"/>
  <c r="F16" i="317"/>
  <c r="F36" i="317"/>
  <c r="F35" i="317"/>
  <c r="F10" i="317"/>
  <c r="F15" i="317"/>
  <c r="F28" i="317"/>
  <c r="F42" i="317"/>
  <c r="F14" i="317"/>
  <c r="F37" i="317"/>
  <c r="F31" i="317"/>
  <c r="F44" i="317"/>
  <c r="F27" i="317"/>
  <c r="F30" i="317"/>
  <c r="F11" i="317"/>
  <c r="F18" i="317"/>
  <c r="H48" i="265"/>
  <c r="H50" i="265" s="1"/>
  <c r="E6" i="265" s="1"/>
  <c r="E50" i="250"/>
  <c r="J50" i="250"/>
  <c r="H48" i="63"/>
  <c r="H50" i="63" s="1"/>
  <c r="E6" i="63" s="1"/>
  <c r="H48" i="249"/>
  <c r="E48" i="396"/>
  <c r="D48" i="417"/>
  <c r="E32" i="417" s="1"/>
  <c r="D50" i="417"/>
  <c r="C24" i="428"/>
  <c r="C48" i="428" s="1"/>
  <c r="H48" i="428"/>
  <c r="C46" i="390"/>
  <c r="C48" i="390" s="1"/>
  <c r="H48" i="390"/>
  <c r="H50" i="390" s="1"/>
  <c r="E6" i="390" s="1"/>
  <c r="C32" i="150"/>
  <c r="C48" i="150" s="1"/>
  <c r="H48" i="150"/>
  <c r="H50" i="150" s="1"/>
  <c r="E6" i="150" s="1"/>
  <c r="C46" i="130"/>
  <c r="C48" i="130" s="1"/>
  <c r="H48" i="130"/>
  <c r="H50" i="130" s="1"/>
  <c r="E6" i="130" s="1"/>
  <c r="H48" i="148"/>
  <c r="H50" i="148" s="1"/>
  <c r="E6" i="148" s="1"/>
  <c r="J50" i="88"/>
  <c r="E32" i="33"/>
  <c r="E37" i="33"/>
  <c r="E31" i="33"/>
  <c r="E40" i="33"/>
  <c r="E26" i="33"/>
  <c r="E46" i="33"/>
  <c r="A52" i="33" s="1"/>
  <c r="E22" i="33"/>
  <c r="E45" i="33"/>
  <c r="E35" i="33"/>
  <c r="E23" i="33"/>
  <c r="E44" i="33"/>
  <c r="E36" i="33"/>
  <c r="E34" i="33"/>
  <c r="E29" i="33"/>
  <c r="E21" i="33"/>
  <c r="E42" i="33"/>
  <c r="E27" i="33"/>
  <c r="E38" i="33"/>
  <c r="E24" i="33"/>
  <c r="E30" i="33"/>
  <c r="E39" i="33"/>
  <c r="E43" i="33"/>
  <c r="E28" i="33"/>
  <c r="E46" i="10"/>
  <c r="A52" i="10" s="1"/>
  <c r="E34" i="10"/>
  <c r="E43" i="10"/>
  <c r="E38" i="10"/>
  <c r="E29" i="10"/>
  <c r="E28" i="10"/>
  <c r="E45" i="10"/>
  <c r="E32" i="10"/>
  <c r="E35" i="10"/>
  <c r="E44" i="10"/>
  <c r="E42" i="10"/>
  <c r="E39" i="10"/>
  <c r="E30" i="10"/>
  <c r="E37" i="10"/>
  <c r="E21" i="10"/>
  <c r="E36" i="10"/>
  <c r="E31" i="10"/>
  <c r="E23" i="10"/>
  <c r="E27" i="10"/>
  <c r="E24" i="10"/>
  <c r="E40" i="10"/>
  <c r="E22" i="10"/>
  <c r="E26" i="10"/>
  <c r="J50" i="15"/>
  <c r="E50" i="15"/>
  <c r="F22" i="59"/>
  <c r="F45" i="59"/>
  <c r="G45" i="59" s="1"/>
  <c r="F29" i="59"/>
  <c r="F44" i="59"/>
  <c r="F35" i="59"/>
  <c r="F36" i="59"/>
  <c r="F30" i="59"/>
  <c r="F15" i="59"/>
  <c r="F13" i="59"/>
  <c r="F17" i="59"/>
  <c r="F18" i="59"/>
  <c r="F27" i="59"/>
  <c r="F11" i="59"/>
  <c r="F12" i="59"/>
  <c r="F16" i="59"/>
  <c r="F42" i="59"/>
  <c r="F43" i="59"/>
  <c r="F28" i="59"/>
  <c r="F38" i="59"/>
  <c r="F31" i="59"/>
  <c r="F39" i="59"/>
  <c r="F23" i="59"/>
  <c r="F26" i="59"/>
  <c r="F14" i="59"/>
  <c r="F10" i="59"/>
  <c r="F37" i="59"/>
  <c r="F21" i="59"/>
  <c r="F34" i="59"/>
  <c r="J50" i="25"/>
  <c r="E50" i="25"/>
  <c r="J50" i="137"/>
  <c r="E50" i="137"/>
  <c r="E35" i="88"/>
  <c r="E21" i="88"/>
  <c r="E42" i="88"/>
  <c r="E44" i="88"/>
  <c r="E28" i="88"/>
  <c r="E36" i="88"/>
  <c r="E39" i="88"/>
  <c r="E24" i="88"/>
  <c r="E27" i="88"/>
  <c r="E29" i="88"/>
  <c r="E31" i="88"/>
  <c r="E37" i="88"/>
  <c r="E22" i="88"/>
  <c r="E43" i="88"/>
  <c r="E45" i="88"/>
  <c r="E30" i="88"/>
  <c r="E46" i="88"/>
  <c r="A52" i="88" s="1"/>
  <c r="E38" i="88"/>
  <c r="E23" i="88"/>
  <c r="E26" i="88"/>
  <c r="E34" i="88"/>
  <c r="E50" i="38"/>
  <c r="J50" i="38"/>
  <c r="H48" i="232"/>
  <c r="H50" i="232" s="1"/>
  <c r="E6" i="232" s="1"/>
  <c r="C48" i="121"/>
  <c r="E50" i="303"/>
  <c r="J50" i="303"/>
  <c r="C24" i="39"/>
  <c r="C48" i="39" s="1"/>
  <c r="H48" i="39"/>
  <c r="C40" i="435"/>
  <c r="C48" i="435" s="1"/>
  <c r="H48" i="435"/>
  <c r="H50" i="435" s="1"/>
  <c r="E6" i="435" s="1"/>
  <c r="C46" i="215"/>
  <c r="C48" i="215" s="1"/>
  <c r="H48" i="215"/>
  <c r="C24" i="28"/>
  <c r="C48" i="28" s="1"/>
  <c r="H48" i="28"/>
  <c r="H50" i="28" s="1"/>
  <c r="E6" i="28" s="1"/>
  <c r="H50" i="112"/>
  <c r="E6" i="112" s="1"/>
  <c r="E40" i="88"/>
  <c r="E46" i="38"/>
  <c r="A52" i="38" s="1"/>
  <c r="E35" i="38"/>
  <c r="E34" i="38"/>
  <c r="E26" i="38"/>
  <c r="E45" i="38"/>
  <c r="E30" i="38"/>
  <c r="E39" i="38"/>
  <c r="E23" i="38"/>
  <c r="E36" i="38"/>
  <c r="E28" i="38"/>
  <c r="E31" i="38"/>
  <c r="E40" i="38"/>
  <c r="E32" i="38"/>
  <c r="E42" i="38"/>
  <c r="E44" i="38"/>
  <c r="E37" i="38"/>
  <c r="E38" i="38"/>
  <c r="E22" i="38"/>
  <c r="E43" i="38"/>
  <c r="E27" i="38"/>
  <c r="E29" i="38"/>
  <c r="E21" i="38"/>
  <c r="J50" i="90"/>
  <c r="E50" i="90"/>
  <c r="E50" i="13"/>
  <c r="J50" i="13"/>
  <c r="F48" i="480"/>
  <c r="H48" i="50"/>
  <c r="H50" i="50" s="1"/>
  <c r="E6" i="50" s="1"/>
  <c r="E48" i="38"/>
  <c r="E48" i="415"/>
  <c r="C40" i="440"/>
  <c r="C48" i="440" s="1"/>
  <c r="H48" i="440"/>
  <c r="H50" i="440" s="1"/>
  <c r="E6" i="440" s="1"/>
  <c r="H40" i="421"/>
  <c r="C40" i="421" s="1"/>
  <c r="C48" i="421" s="1"/>
  <c r="F34" i="146"/>
  <c r="F42" i="146"/>
  <c r="F26" i="146"/>
  <c r="F30" i="146"/>
  <c r="F28" i="146"/>
  <c r="F15" i="146"/>
  <c r="F43" i="146"/>
  <c r="F18" i="146"/>
  <c r="F16" i="146"/>
  <c r="F38" i="146"/>
  <c r="F22" i="146"/>
  <c r="F44" i="146"/>
  <c r="F37" i="146"/>
  <c r="F31" i="146"/>
  <c r="F23" i="146"/>
  <c r="F45" i="146"/>
  <c r="G45" i="146" s="1"/>
  <c r="F29" i="146"/>
  <c r="F10" i="146"/>
  <c r="F12" i="146"/>
  <c r="F39" i="146"/>
  <c r="F11" i="146"/>
  <c r="F21" i="146"/>
  <c r="F35" i="146"/>
  <c r="F36" i="146"/>
  <c r="F17" i="146"/>
  <c r="F14" i="146"/>
  <c r="F13" i="146"/>
  <c r="F27" i="146"/>
  <c r="J50" i="107"/>
  <c r="E50" i="107"/>
  <c r="C24" i="140"/>
  <c r="C48" i="140" s="1"/>
  <c r="H48" i="140"/>
  <c r="H50" i="140" s="1"/>
  <c r="E6" i="140" s="1"/>
  <c r="J50" i="123"/>
  <c r="E50" i="123"/>
  <c r="E42" i="159"/>
  <c r="E39" i="159"/>
  <c r="E27" i="159"/>
  <c r="E30" i="159"/>
  <c r="E22" i="159"/>
  <c r="E36" i="159"/>
  <c r="E37" i="159"/>
  <c r="E23" i="159"/>
  <c r="E45" i="159"/>
  <c r="E31" i="159"/>
  <c r="E26" i="159"/>
  <c r="E46" i="159"/>
  <c r="A52" i="159" s="1"/>
  <c r="E38" i="159"/>
  <c r="E24" i="159"/>
  <c r="E28" i="159"/>
  <c r="E32" i="159"/>
  <c r="E34" i="159"/>
  <c r="E21" i="159"/>
  <c r="E43" i="159"/>
  <c r="E29" i="159"/>
  <c r="E44" i="159"/>
  <c r="E35" i="159"/>
  <c r="E27" i="69"/>
  <c r="E30" i="69"/>
  <c r="E36" i="69"/>
  <c r="E42" i="69"/>
  <c r="E38" i="69"/>
  <c r="E45" i="69"/>
  <c r="E31" i="69"/>
  <c r="E37" i="69"/>
  <c r="E46" i="69"/>
  <c r="A52" i="69" s="1"/>
  <c r="E32" i="69"/>
  <c r="E26" i="69"/>
  <c r="E22" i="69"/>
  <c r="E23" i="69"/>
  <c r="E28" i="69"/>
  <c r="E34" i="69"/>
  <c r="E21" i="69"/>
  <c r="E40" i="69"/>
  <c r="E24" i="69"/>
  <c r="E44" i="69"/>
  <c r="E29" i="69"/>
  <c r="E35" i="69"/>
  <c r="E39" i="69"/>
  <c r="E43" i="69"/>
  <c r="F22" i="134"/>
  <c r="F12" i="134"/>
  <c r="F13" i="134"/>
  <c r="F36" i="134"/>
  <c r="F23" i="134"/>
  <c r="F39" i="134"/>
  <c r="C32" i="417"/>
  <c r="E32" i="88"/>
  <c r="F17" i="188"/>
  <c r="F43" i="188"/>
  <c r="F13" i="188"/>
  <c r="F28" i="188"/>
  <c r="F37" i="188"/>
  <c r="F11" i="188"/>
  <c r="F27" i="188"/>
  <c r="F16" i="188"/>
  <c r="F44" i="188"/>
  <c r="F29" i="188"/>
  <c r="E40" i="90"/>
  <c r="E31" i="90"/>
  <c r="E46" i="90"/>
  <c r="A52" i="90" s="1"/>
  <c r="E39" i="90"/>
  <c r="E24" i="90"/>
  <c r="E43" i="90"/>
  <c r="E30" i="90"/>
  <c r="E45" i="90"/>
  <c r="E37" i="90"/>
  <c r="E22" i="90"/>
  <c r="E27" i="90"/>
  <c r="E26" i="90"/>
  <c r="E29" i="90"/>
  <c r="E32" i="90"/>
  <c r="E38" i="90"/>
  <c r="E23" i="90"/>
  <c r="E34" i="90"/>
  <c r="E44" i="90"/>
  <c r="E28" i="90"/>
  <c r="E35" i="90"/>
  <c r="E21" i="90"/>
  <c r="E42" i="90"/>
  <c r="E36" i="90"/>
  <c r="E24" i="13"/>
  <c r="E27" i="13"/>
  <c r="E32" i="13"/>
  <c r="E21" i="13"/>
  <c r="E45" i="13"/>
  <c r="E40" i="13"/>
  <c r="E46" i="13"/>
  <c r="A52" i="13" s="1"/>
  <c r="E30" i="13"/>
  <c r="E39" i="13"/>
  <c r="E28" i="13"/>
  <c r="E44" i="13"/>
  <c r="E31" i="13"/>
  <c r="E43" i="13"/>
  <c r="E26" i="13"/>
  <c r="E23" i="13"/>
  <c r="E35" i="13"/>
  <c r="E34" i="13"/>
  <c r="E29" i="13"/>
  <c r="E38" i="13"/>
  <c r="E37" i="13"/>
  <c r="E36" i="13"/>
  <c r="E42" i="13"/>
  <c r="E22" i="13"/>
  <c r="E39" i="338"/>
  <c r="E40" i="338"/>
  <c r="E38" i="338"/>
  <c r="E30" i="338"/>
  <c r="E27" i="338"/>
  <c r="E22" i="338"/>
  <c r="E32" i="338"/>
  <c r="E31" i="338"/>
  <c r="E44" i="338"/>
  <c r="E36" i="338"/>
  <c r="E28" i="338"/>
  <c r="E26" i="338"/>
  <c r="E23" i="338"/>
  <c r="E35" i="338"/>
  <c r="E46" i="338"/>
  <c r="A52" i="338" s="1"/>
  <c r="E34" i="338"/>
  <c r="E29" i="338"/>
  <c r="E37" i="338"/>
  <c r="E42" i="338"/>
  <c r="E45" i="338"/>
  <c r="E43" i="338"/>
  <c r="E21" i="338"/>
  <c r="H19" i="77"/>
  <c r="C19" i="77" s="1"/>
  <c r="E50" i="579"/>
  <c r="J50" i="579"/>
  <c r="J50" i="541"/>
  <c r="E50" i="541"/>
  <c r="I50" i="578"/>
  <c r="F48" i="578"/>
  <c r="E36" i="328"/>
  <c r="E44" i="328"/>
  <c r="E23" i="328"/>
  <c r="E29" i="328"/>
  <c r="E39" i="328"/>
  <c r="E32" i="328"/>
  <c r="E38" i="328"/>
  <c r="E21" i="328"/>
  <c r="E26" i="328"/>
  <c r="E30" i="328"/>
  <c r="E34" i="328"/>
  <c r="E42" i="328"/>
  <c r="E45" i="328"/>
  <c r="E27" i="328"/>
  <c r="E31" i="328"/>
  <c r="E46" i="328"/>
  <c r="A52" i="328" s="1"/>
  <c r="E35" i="328"/>
  <c r="E43" i="328"/>
  <c r="E22" i="328"/>
  <c r="E28" i="328"/>
  <c r="E37" i="328"/>
  <c r="E40" i="328"/>
  <c r="E24" i="328"/>
  <c r="E50" i="113"/>
  <c r="J50" i="113"/>
  <c r="F30" i="137"/>
  <c r="F36" i="137"/>
  <c r="F22" i="137"/>
  <c r="F21" i="137"/>
  <c r="F16" i="137"/>
  <c r="F12" i="137"/>
  <c r="F35" i="137"/>
  <c r="F37" i="137"/>
  <c r="F26" i="137"/>
  <c r="F10" i="137"/>
  <c r="F23" i="137"/>
  <c r="F43" i="137"/>
  <c r="F42" i="137"/>
  <c r="F13" i="137"/>
  <c r="C40" i="108"/>
  <c r="C48" i="108" s="1"/>
  <c r="H48" i="108"/>
  <c r="H50" i="108" s="1"/>
  <c r="E6" i="108" s="1"/>
  <c r="C32" i="43"/>
  <c r="C48" i="43" s="1"/>
  <c r="H48" i="43"/>
  <c r="H50" i="43" s="1"/>
  <c r="E6" i="43" s="1"/>
  <c r="E24" i="8"/>
  <c r="E30" i="8"/>
  <c r="E42" i="8"/>
  <c r="E22" i="8"/>
  <c r="E31" i="8"/>
  <c r="E29" i="8"/>
  <c r="E26" i="8"/>
  <c r="E38" i="8"/>
  <c r="E34" i="8"/>
  <c r="E43" i="8"/>
  <c r="E35" i="8"/>
  <c r="E28" i="8"/>
  <c r="E45" i="8"/>
  <c r="C24" i="159"/>
  <c r="C48" i="159" s="1"/>
  <c r="H48" i="159"/>
  <c r="H50" i="159" s="1"/>
  <c r="E6" i="159" s="1"/>
  <c r="C46" i="51"/>
  <c r="C48" i="51" s="1"/>
  <c r="H48" i="51"/>
  <c r="H50" i="51" s="1"/>
  <c r="E6" i="51" s="1"/>
  <c r="J50" i="20"/>
  <c r="E50" i="20"/>
  <c r="C40" i="98"/>
  <c r="C48" i="98" s="1"/>
  <c r="H48" i="98"/>
  <c r="H50" i="98" s="1"/>
  <c r="E6" i="98" s="1"/>
  <c r="E50" i="124"/>
  <c r="J50" i="124"/>
  <c r="C32" i="283"/>
  <c r="C48" i="283" s="1"/>
  <c r="H48" i="283"/>
  <c r="H50" i="283" s="1"/>
  <c r="E6" i="283" s="1"/>
  <c r="F12" i="170"/>
  <c r="F38" i="170"/>
  <c r="F39" i="170"/>
  <c r="F18" i="170"/>
  <c r="F34" i="170"/>
  <c r="F26" i="170"/>
  <c r="F36" i="170"/>
  <c r="F45" i="170"/>
  <c r="G45" i="170" s="1"/>
  <c r="F23" i="170"/>
  <c r="F11" i="170"/>
  <c r="F10" i="170"/>
  <c r="F15" i="170"/>
  <c r="F27" i="170"/>
  <c r="F17" i="170"/>
  <c r="F42" i="353"/>
  <c r="F29" i="353"/>
  <c r="F10" i="353"/>
  <c r="F31" i="353"/>
  <c r="F34" i="353"/>
  <c r="F13" i="353"/>
  <c r="F36" i="353"/>
  <c r="F43" i="353"/>
  <c r="F18" i="353"/>
  <c r="F38" i="353"/>
  <c r="F30" i="353"/>
  <c r="F44" i="353"/>
  <c r="F35" i="353"/>
  <c r="F14" i="353"/>
  <c r="G26" i="178"/>
  <c r="G15" i="178"/>
  <c r="I15" i="178"/>
  <c r="I36" i="178"/>
  <c r="G36" i="178"/>
  <c r="H50" i="293"/>
  <c r="E6" i="293" s="1"/>
  <c r="C40" i="438"/>
  <c r="C48" i="438" s="1"/>
  <c r="H48" i="438"/>
  <c r="H50" i="438" s="1"/>
  <c r="E6" i="438" s="1"/>
  <c r="F42" i="266"/>
  <c r="F45" i="266"/>
  <c r="G45" i="266" s="1"/>
  <c r="F17" i="266"/>
  <c r="F34" i="266"/>
  <c r="F27" i="266"/>
  <c r="F28" i="266"/>
  <c r="F29" i="266"/>
  <c r="F35" i="266"/>
  <c r="F39" i="266"/>
  <c r="F18" i="266"/>
  <c r="F44" i="266"/>
  <c r="F12" i="266"/>
  <c r="F30" i="266"/>
  <c r="F14" i="266"/>
  <c r="F15" i="266"/>
  <c r="F26" i="266"/>
  <c r="F21" i="266"/>
  <c r="F10" i="266"/>
  <c r="F36" i="266"/>
  <c r="F11" i="266"/>
  <c r="F31" i="266"/>
  <c r="F38" i="266"/>
  <c r="F43" i="266"/>
  <c r="F22" i="266"/>
  <c r="F37" i="266"/>
  <c r="F23" i="266"/>
  <c r="F16" i="266"/>
  <c r="F13" i="266"/>
  <c r="H50" i="85"/>
  <c r="E6" i="85" s="1"/>
  <c r="H19" i="465"/>
  <c r="C19" i="465" s="1"/>
  <c r="C48" i="213"/>
  <c r="H48" i="94"/>
  <c r="H50" i="94" s="1"/>
  <c r="E6" i="94" s="1"/>
  <c r="D50" i="179"/>
  <c r="D48" i="579"/>
  <c r="E46" i="579" s="1"/>
  <c r="A52" i="579" s="1"/>
  <c r="D48" i="541"/>
  <c r="E46" i="541" s="1"/>
  <c r="A52" i="541" s="1"/>
  <c r="F39" i="320"/>
  <c r="F38" i="320"/>
  <c r="F36" i="320"/>
  <c r="F22" i="320"/>
  <c r="F35" i="320"/>
  <c r="F27" i="320"/>
  <c r="F10" i="320"/>
  <c r="F14" i="320"/>
  <c r="F18" i="320"/>
  <c r="F37" i="320"/>
  <c r="F11" i="320"/>
  <c r="F16" i="320"/>
  <c r="F17" i="320"/>
  <c r="F21" i="320"/>
  <c r="F13" i="320"/>
  <c r="F28" i="320"/>
  <c r="F29" i="320"/>
  <c r="F43" i="320"/>
  <c r="F15" i="320"/>
  <c r="F45" i="320"/>
  <c r="G45" i="320" s="1"/>
  <c r="F30" i="320"/>
  <c r="F23" i="320"/>
  <c r="F44" i="320"/>
  <c r="F42" i="320"/>
  <c r="F31" i="320"/>
  <c r="F12" i="320"/>
  <c r="F34" i="320"/>
  <c r="F26" i="320"/>
  <c r="E38" i="262"/>
  <c r="E23" i="262"/>
  <c r="E26" i="262"/>
  <c r="E30" i="262"/>
  <c r="E31" i="262"/>
  <c r="E40" i="262"/>
  <c r="E21" i="262"/>
  <c r="E42" i="262"/>
  <c r="E44" i="262"/>
  <c r="E46" i="262"/>
  <c r="A52" i="262" s="1"/>
  <c r="E32" i="262"/>
  <c r="E36" i="262"/>
  <c r="E39" i="262"/>
  <c r="E24" i="262"/>
  <c r="E27" i="262"/>
  <c r="E28" i="262"/>
  <c r="E34" i="262"/>
  <c r="E37" i="262"/>
  <c r="E22" i="262"/>
  <c r="E43" i="262"/>
  <c r="E45" i="262"/>
  <c r="E29" i="262"/>
  <c r="E35" i="262"/>
  <c r="H48" i="252"/>
  <c r="H50" i="252" s="1"/>
  <c r="E6" i="252" s="1"/>
  <c r="E29" i="220"/>
  <c r="E35" i="220"/>
  <c r="E21" i="220"/>
  <c r="E42" i="220"/>
  <c r="E43" i="220"/>
  <c r="E24" i="220"/>
  <c r="E32" i="220"/>
  <c r="E30" i="220"/>
  <c r="E36" i="220"/>
  <c r="E39" i="220"/>
  <c r="E26" i="220"/>
  <c r="E44" i="220"/>
  <c r="E46" i="220"/>
  <c r="A52" i="220" s="1"/>
  <c r="E31" i="220"/>
  <c r="E37" i="220"/>
  <c r="E22" i="220"/>
  <c r="E27" i="220"/>
  <c r="E45" i="220"/>
  <c r="E40" i="220"/>
  <c r="E34" i="220"/>
  <c r="E38" i="220"/>
  <c r="E23" i="220"/>
  <c r="E28" i="220"/>
  <c r="E40" i="87"/>
  <c r="E22" i="87"/>
  <c r="E32" i="87"/>
  <c r="E21" i="87"/>
  <c r="E38" i="87"/>
  <c r="E37" i="87"/>
  <c r="E35" i="87"/>
  <c r="E44" i="87"/>
  <c r="E42" i="87"/>
  <c r="E39" i="87"/>
  <c r="E27" i="87"/>
  <c r="E23" i="87"/>
  <c r="E46" i="87"/>
  <c r="A52" i="87" s="1"/>
  <c r="E45" i="87"/>
  <c r="E43" i="87"/>
  <c r="E31" i="87"/>
  <c r="E30" i="87"/>
  <c r="E29" i="87"/>
  <c r="E36" i="87"/>
  <c r="E28" i="87"/>
  <c r="E34" i="87"/>
  <c r="E26" i="87"/>
  <c r="E24" i="87"/>
  <c r="C24" i="110"/>
  <c r="C48" i="110" s="1"/>
  <c r="H48" i="110"/>
  <c r="H50" i="110" s="1"/>
  <c r="E6" i="110" s="1"/>
  <c r="C32" i="155"/>
  <c r="C48" i="155" s="1"/>
  <c r="H48" i="155"/>
  <c r="H50" i="155" s="1"/>
  <c r="E6" i="155" s="1"/>
  <c r="E43" i="65"/>
  <c r="E28" i="65"/>
  <c r="E37" i="65"/>
  <c r="E24" i="65"/>
  <c r="E23" i="65"/>
  <c r="E27" i="65"/>
  <c r="E46" i="65"/>
  <c r="A52" i="65" s="1"/>
  <c r="E30" i="65"/>
  <c r="E38" i="65"/>
  <c r="E39" i="65"/>
  <c r="E42" i="65"/>
  <c r="E45" i="65"/>
  <c r="E29" i="65"/>
  <c r="E35" i="65"/>
  <c r="E21" i="65"/>
  <c r="E22" i="65"/>
  <c r="E26" i="65"/>
  <c r="E34" i="65"/>
  <c r="E32" i="65"/>
  <c r="E36" i="65"/>
  <c r="E31" i="65"/>
  <c r="E40" i="65"/>
  <c r="E44" i="65"/>
  <c r="C24" i="44"/>
  <c r="C48" i="44" s="1"/>
  <c r="H48" i="44"/>
  <c r="H50" i="44" s="1"/>
  <c r="E6" i="44" s="1"/>
  <c r="E44" i="94"/>
  <c r="E37" i="94"/>
  <c r="E24" i="94"/>
  <c r="E35" i="94"/>
  <c r="E42" i="94"/>
  <c r="E22" i="94"/>
  <c r="E29" i="94"/>
  <c r="E21" i="94"/>
  <c r="E27" i="94"/>
  <c r="E36" i="94"/>
  <c r="E43" i="94"/>
  <c r="E34" i="94"/>
  <c r="E30" i="94"/>
  <c r="E39" i="94"/>
  <c r="E28" i="94"/>
  <c r="E38" i="94"/>
  <c r="E45" i="94"/>
  <c r="E46" i="94"/>
  <c r="A52" i="94" s="1"/>
  <c r="E26" i="94"/>
  <c r="E31" i="94"/>
  <c r="E23" i="94"/>
  <c r="E32" i="94"/>
  <c r="E40" i="94"/>
  <c r="C48" i="70"/>
  <c r="H48" i="114"/>
  <c r="H50" i="114" s="1"/>
  <c r="E6" i="114" s="1"/>
  <c r="E12" i="118"/>
  <c r="C32" i="208"/>
  <c r="C48" i="208" s="1"/>
  <c r="H48" i="208"/>
  <c r="H48" i="284"/>
  <c r="E35" i="124"/>
  <c r="E37" i="124"/>
  <c r="E22" i="124"/>
  <c r="E43" i="124"/>
  <c r="E45" i="124"/>
  <c r="E29" i="124"/>
  <c r="E38" i="124"/>
  <c r="E23" i="124"/>
  <c r="E26" i="124"/>
  <c r="E28" i="124"/>
  <c r="E30" i="124"/>
  <c r="E21" i="124"/>
  <c r="E42" i="124"/>
  <c r="E44" i="124"/>
  <c r="E46" i="124"/>
  <c r="A52" i="124" s="1"/>
  <c r="E34" i="124"/>
  <c r="E36" i="124"/>
  <c r="E39" i="124"/>
  <c r="E24" i="124"/>
  <c r="E27" i="124"/>
  <c r="E32" i="124"/>
  <c r="E31" i="124"/>
  <c r="C40" i="292"/>
  <c r="C48" i="292" s="1"/>
  <c r="H48" i="292"/>
  <c r="H50" i="292" s="1"/>
  <c r="E6" i="292" s="1"/>
  <c r="C40" i="319"/>
  <c r="C48" i="319" s="1"/>
  <c r="H48" i="319"/>
  <c r="H50" i="319" s="1"/>
  <c r="E6" i="319" s="1"/>
  <c r="J50" i="189"/>
  <c r="E50" i="189"/>
  <c r="C32" i="257"/>
  <c r="C48" i="257" s="1"/>
  <c r="H48" i="257"/>
  <c r="H50" i="257" s="1"/>
  <c r="E6" i="257" s="1"/>
  <c r="I17" i="178"/>
  <c r="G17" i="178"/>
  <c r="I22" i="178"/>
  <c r="H50" i="82"/>
  <c r="E6" i="82" s="1"/>
  <c r="E48" i="297"/>
  <c r="E48" i="439"/>
  <c r="H32" i="465"/>
  <c r="C32" i="465" s="1"/>
  <c r="C32" i="114"/>
  <c r="C48" i="114" s="1"/>
  <c r="H48" i="335"/>
  <c r="H50" i="335" s="1"/>
  <c r="E6" i="335" s="1"/>
  <c r="H48" i="228"/>
  <c r="H50" i="228" s="1"/>
  <c r="E6" i="228" s="1"/>
  <c r="H48" i="254"/>
  <c r="H50" i="254" s="1"/>
  <c r="E6" i="254" s="1"/>
  <c r="H32" i="310"/>
  <c r="H48" i="310" s="1"/>
  <c r="H50" i="310" s="1"/>
  <c r="E6" i="310" s="1"/>
  <c r="E28" i="319"/>
  <c r="E34" i="319"/>
  <c r="E38" i="319"/>
  <c r="E31" i="319"/>
  <c r="E44" i="319"/>
  <c r="E21" i="319"/>
  <c r="E35" i="319"/>
  <c r="E22" i="319"/>
  <c r="E32" i="319"/>
  <c r="E46" i="319"/>
  <c r="A52" i="319" s="1"/>
  <c r="E24" i="319"/>
  <c r="E29" i="319"/>
  <c r="E36" i="319"/>
  <c r="E23" i="319"/>
  <c r="E39" i="319"/>
  <c r="E26" i="319"/>
  <c r="E30" i="319"/>
  <c r="E37" i="319"/>
  <c r="E42" i="319"/>
  <c r="E43" i="319"/>
  <c r="E45" i="319"/>
  <c r="E27" i="319"/>
  <c r="E40" i="319"/>
  <c r="E42" i="28"/>
  <c r="E29" i="28"/>
  <c r="E24" i="28"/>
  <c r="E30" i="28"/>
  <c r="E34" i="28"/>
  <c r="E26" i="28"/>
  <c r="E23" i="28"/>
  <c r="E28" i="28"/>
  <c r="E22" i="28"/>
  <c r="E27" i="28"/>
  <c r="E36" i="28"/>
  <c r="E40" i="28"/>
  <c r="E39" i="28"/>
  <c r="E44" i="28"/>
  <c r="E45" i="28"/>
  <c r="E43" i="28"/>
  <c r="C46" i="106"/>
  <c r="C48" i="106" s="1"/>
  <c r="H48" i="106"/>
  <c r="H50" i="106" s="1"/>
  <c r="E6" i="106" s="1"/>
  <c r="A52" i="61"/>
  <c r="J50" i="134"/>
  <c r="E50" i="134"/>
  <c r="D32" i="41"/>
  <c r="D50" i="41" s="1"/>
  <c r="C40" i="103"/>
  <c r="C48" i="103" s="1"/>
  <c r="H48" i="103"/>
  <c r="H50" i="103" s="1"/>
  <c r="E6" i="103" s="1"/>
  <c r="E18" i="118"/>
  <c r="E10" i="118"/>
  <c r="E17" i="118"/>
  <c r="E13" i="118"/>
  <c r="E11" i="118"/>
  <c r="E19" i="118"/>
  <c r="E15" i="118"/>
  <c r="E16" i="118"/>
  <c r="E14" i="118"/>
  <c r="C40" i="325"/>
  <c r="C48" i="325" s="1"/>
  <c r="H48" i="325"/>
  <c r="C32" i="244"/>
  <c r="C48" i="244" s="1"/>
  <c r="H48" i="244"/>
  <c r="H50" i="244" s="1"/>
  <c r="E6" i="244" s="1"/>
  <c r="F37" i="244" s="1"/>
  <c r="C32" i="73"/>
  <c r="C48" i="73" s="1"/>
  <c r="H48" i="73"/>
  <c r="H50" i="73" s="1"/>
  <c r="E6" i="73" s="1"/>
  <c r="F37" i="253"/>
  <c r="F38" i="253"/>
  <c r="F26" i="253"/>
  <c r="F34" i="253"/>
  <c r="F44" i="253"/>
  <c r="F43" i="253"/>
  <c r="F30" i="253"/>
  <c r="F13" i="253"/>
  <c r="F11" i="253"/>
  <c r="F27" i="253"/>
  <c r="F39" i="253"/>
  <c r="F42" i="253"/>
  <c r="F17" i="253"/>
  <c r="F36" i="253"/>
  <c r="F15" i="253"/>
  <c r="F21" i="253"/>
  <c r="F10" i="253"/>
  <c r="F16" i="253"/>
  <c r="F18" i="253"/>
  <c r="F28" i="253"/>
  <c r="F45" i="253"/>
  <c r="G45" i="253" s="1"/>
  <c r="F29" i="253"/>
  <c r="F31" i="253"/>
  <c r="F14" i="253"/>
  <c r="F22" i="253"/>
  <c r="A52" i="378"/>
  <c r="E48" i="378"/>
  <c r="I10" i="178"/>
  <c r="G10" i="178"/>
  <c r="I30" i="178"/>
  <c r="G30" i="178"/>
  <c r="I28" i="178"/>
  <c r="G28" i="178"/>
  <c r="I23" i="178"/>
  <c r="G23" i="178"/>
  <c r="I31" i="178"/>
  <c r="G31" i="178"/>
  <c r="H50" i="45"/>
  <c r="E6" i="45" s="1"/>
  <c r="H32" i="466"/>
  <c r="C32" i="466" s="1"/>
  <c r="C48" i="254"/>
  <c r="C48" i="368"/>
  <c r="E48" i="251"/>
  <c r="H48" i="217"/>
  <c r="H50" i="217" s="1"/>
  <c r="E6" i="217" s="1"/>
  <c r="F12" i="217" s="1"/>
  <c r="H48" i="312"/>
  <c r="H50" i="312" s="1"/>
  <c r="E6" i="312" s="1"/>
  <c r="F34" i="312" s="1"/>
  <c r="H48" i="219"/>
  <c r="H50" i="219" s="1"/>
  <c r="E6" i="219" s="1"/>
  <c r="H48" i="42"/>
  <c r="H50" i="42" s="1"/>
  <c r="E6" i="42" s="1"/>
  <c r="H48" i="206"/>
  <c r="H50" i="206" s="1"/>
  <c r="E6" i="206" s="1"/>
  <c r="H48" i="290"/>
  <c r="H50" i="290" s="1"/>
  <c r="E6" i="290" s="1"/>
  <c r="F14" i="290" s="1"/>
  <c r="H46" i="579"/>
  <c r="C46" i="579" s="1"/>
  <c r="C48" i="579" s="1"/>
  <c r="H48" i="579"/>
  <c r="H50" i="579" s="1"/>
  <c r="E6" i="579" s="1"/>
  <c r="H46" i="541"/>
  <c r="C46" i="541" s="1"/>
  <c r="C48" i="541" s="1"/>
  <c r="E46" i="401"/>
  <c r="A52" i="401" s="1"/>
  <c r="E38" i="401"/>
  <c r="E40" i="401"/>
  <c r="E43" i="401"/>
  <c r="E45" i="401"/>
  <c r="E35" i="401"/>
  <c r="E34" i="401"/>
  <c r="E39" i="401"/>
  <c r="E42" i="401"/>
  <c r="E44" i="401"/>
  <c r="E36" i="401"/>
  <c r="E37" i="401"/>
  <c r="E22" i="401"/>
  <c r="E24" i="401"/>
  <c r="E27" i="401"/>
  <c r="E32" i="401"/>
  <c r="E31" i="401"/>
  <c r="E30" i="401"/>
  <c r="E21" i="401"/>
  <c r="E23" i="401"/>
  <c r="E28" i="401"/>
  <c r="E26" i="401"/>
  <c r="E29" i="401"/>
  <c r="H48" i="340"/>
  <c r="H50" i="340" s="1"/>
  <c r="E6" i="340" s="1"/>
  <c r="E24" i="338"/>
  <c r="C40" i="105"/>
  <c r="C48" i="105" s="1"/>
  <c r="H48" i="105"/>
  <c r="H50" i="105" s="1"/>
  <c r="E6" i="105" s="1"/>
  <c r="H48" i="111"/>
  <c r="H50" i="111" s="1"/>
  <c r="E6" i="111" s="1"/>
  <c r="C24" i="111"/>
  <c r="C48" i="111" s="1"/>
  <c r="C24" i="96"/>
  <c r="C48" i="96" s="1"/>
  <c r="H48" i="96"/>
  <c r="C32" i="74"/>
  <c r="C48" i="74" s="1"/>
  <c r="H48" i="74"/>
  <c r="H50" i="74" s="1"/>
  <c r="E6" i="74" s="1"/>
  <c r="F34" i="74" s="1"/>
  <c r="C32" i="66"/>
  <c r="C48" i="66" s="1"/>
  <c r="H48" i="66"/>
  <c r="H50" i="66" s="1"/>
  <c r="E6" i="66" s="1"/>
  <c r="C40" i="271"/>
  <c r="C48" i="271" s="1"/>
  <c r="H48" i="271"/>
  <c r="H50" i="271" s="1"/>
  <c r="E6" i="271" s="1"/>
  <c r="F28" i="306"/>
  <c r="F21" i="306"/>
  <c r="F42" i="306"/>
  <c r="F44" i="306"/>
  <c r="F43" i="306"/>
  <c r="F14" i="306"/>
  <c r="F22" i="306"/>
  <c r="F35" i="306"/>
  <c r="F30" i="306"/>
  <c r="F12" i="306"/>
  <c r="F18" i="306"/>
  <c r="F38" i="306"/>
  <c r="F15" i="306"/>
  <c r="F34" i="306"/>
  <c r="F23" i="306"/>
  <c r="F39" i="306"/>
  <c r="F13" i="306"/>
  <c r="F37" i="306"/>
  <c r="F31" i="306"/>
  <c r="F45" i="306"/>
  <c r="G45" i="306" s="1"/>
  <c r="F27" i="306"/>
  <c r="F29" i="306"/>
  <c r="F16" i="306"/>
  <c r="F26" i="306"/>
  <c r="F11" i="306"/>
  <c r="F10" i="306"/>
  <c r="F17" i="306"/>
  <c r="F36" i="306"/>
  <c r="C19" i="272"/>
  <c r="H50" i="272"/>
  <c r="E6" i="272" s="1"/>
  <c r="E48" i="139"/>
  <c r="C40" i="221"/>
  <c r="C48" i="221" s="1"/>
  <c r="H48" i="221"/>
  <c r="H50" i="221" s="1"/>
  <c r="E6" i="221" s="1"/>
  <c r="C40" i="277"/>
  <c r="C48" i="277" s="1"/>
  <c r="H48" i="277"/>
  <c r="H50" i="277" s="1"/>
  <c r="E6" i="277" s="1"/>
  <c r="H48" i="445"/>
  <c r="H50" i="445" s="1"/>
  <c r="E6" i="445" s="1"/>
  <c r="G44" i="178"/>
  <c r="I44" i="178"/>
  <c r="I27" i="178"/>
  <c r="G27" i="178"/>
  <c r="I29" i="178"/>
  <c r="I12" i="178"/>
  <c r="F30" i="296"/>
  <c r="F17" i="296"/>
  <c r="F23" i="296"/>
  <c r="F45" i="296"/>
  <c r="G45" i="296" s="1"/>
  <c r="F31" i="296"/>
  <c r="F14" i="296"/>
  <c r="F12" i="296"/>
  <c r="F38" i="296"/>
  <c r="F15" i="296"/>
  <c r="F10" i="296"/>
  <c r="F27" i="296"/>
  <c r="F39" i="296"/>
  <c r="F18" i="296"/>
  <c r="F42" i="296"/>
  <c r="F22" i="296"/>
  <c r="F21" i="296"/>
  <c r="F36" i="296"/>
  <c r="F44" i="296"/>
  <c r="F43" i="296"/>
  <c r="F37" i="296"/>
  <c r="F11" i="296"/>
  <c r="F13" i="296"/>
  <c r="F16" i="296"/>
  <c r="F35" i="296"/>
  <c r="F34" i="296"/>
  <c r="F29" i="296"/>
  <c r="F26" i="296"/>
  <c r="F28" i="296"/>
  <c r="H50" i="341"/>
  <c r="E6" i="341" s="1"/>
  <c r="C46" i="457"/>
  <c r="C48" i="457" s="1"/>
  <c r="H48" i="457"/>
  <c r="H50" i="457" s="1"/>
  <c r="E6" i="457" s="1"/>
  <c r="J50" i="465"/>
  <c r="E50" i="465"/>
  <c r="H48" i="226"/>
  <c r="H50" i="226" s="1"/>
  <c r="E6" i="226" s="1"/>
  <c r="C24" i="226"/>
  <c r="C48" i="226" s="1"/>
  <c r="C32" i="279"/>
  <c r="C48" i="279" s="1"/>
  <c r="H48" i="279"/>
  <c r="H50" i="279" s="1"/>
  <c r="E6" i="279" s="1"/>
  <c r="E48" i="234"/>
  <c r="F13" i="114"/>
  <c r="F12" i="114"/>
  <c r="F28" i="114"/>
  <c r="F38" i="114"/>
  <c r="F21" i="114"/>
  <c r="F17" i="114"/>
  <c r="F11" i="114"/>
  <c r="F27" i="114"/>
  <c r="F31" i="114"/>
  <c r="F26" i="114"/>
  <c r="F45" i="114"/>
  <c r="G45" i="114" s="1"/>
  <c r="F18" i="114"/>
  <c r="F43" i="114"/>
  <c r="F14" i="114"/>
  <c r="F16" i="114"/>
  <c r="F42" i="114"/>
  <c r="F10" i="114"/>
  <c r="F30" i="114"/>
  <c r="F34" i="114"/>
  <c r="F22" i="114"/>
  <c r="F35" i="114"/>
  <c r="F39" i="114"/>
  <c r="F15" i="114"/>
  <c r="F29" i="114"/>
  <c r="F36" i="114"/>
  <c r="F44" i="114"/>
  <c r="F23" i="114"/>
  <c r="F37" i="114"/>
  <c r="E26" i="265"/>
  <c r="E27" i="265"/>
  <c r="E36" i="265"/>
  <c r="E29" i="265"/>
  <c r="E45" i="265"/>
  <c r="E38" i="265"/>
  <c r="E37" i="265"/>
  <c r="E31" i="265"/>
  <c r="E40" i="265"/>
  <c r="E34" i="265"/>
  <c r="E39" i="265"/>
  <c r="E21" i="265"/>
  <c r="E22" i="265"/>
  <c r="E24" i="265"/>
  <c r="E42" i="265"/>
  <c r="E43" i="265"/>
  <c r="E32" i="265"/>
  <c r="E46" i="265"/>
  <c r="A52" i="265" s="1"/>
  <c r="E28" i="265"/>
  <c r="E23" i="265"/>
  <c r="E44" i="265"/>
  <c r="E30" i="265"/>
  <c r="E35" i="265"/>
  <c r="F21" i="217"/>
  <c r="F14" i="395"/>
  <c r="F43" i="395"/>
  <c r="F36" i="395"/>
  <c r="F11" i="395"/>
  <c r="F37" i="395"/>
  <c r="F17" i="395"/>
  <c r="F16" i="395"/>
  <c r="F21" i="395"/>
  <c r="F18" i="395"/>
  <c r="F27" i="395"/>
  <c r="F42" i="395"/>
  <c r="F28" i="395"/>
  <c r="F22" i="395"/>
  <c r="F29" i="395"/>
  <c r="F44" i="395"/>
  <c r="F23" i="395"/>
  <c r="F30" i="395"/>
  <c r="F31" i="395"/>
  <c r="F13" i="395"/>
  <c r="F34" i="395"/>
  <c r="F10" i="395"/>
  <c r="F35" i="395"/>
  <c r="F15" i="395"/>
  <c r="F38" i="395"/>
  <c r="F45" i="395"/>
  <c r="G45" i="395" s="1"/>
  <c r="F39" i="395"/>
  <c r="F26" i="395"/>
  <c r="F12" i="395"/>
  <c r="H24" i="468"/>
  <c r="C24" i="468" s="1"/>
  <c r="H24" i="466"/>
  <c r="C24" i="466" s="1"/>
  <c r="C24" i="422"/>
  <c r="C48" i="422" s="1"/>
  <c r="H48" i="422"/>
  <c r="H50" i="422" s="1"/>
  <c r="E6" i="422" s="1"/>
  <c r="H40" i="354"/>
  <c r="C40" i="354" s="1"/>
  <c r="C48" i="354" s="1"/>
  <c r="H48" i="374"/>
  <c r="H50" i="374" s="1"/>
  <c r="E6" i="374" s="1"/>
  <c r="J50" i="362"/>
  <c r="E50" i="362"/>
  <c r="C40" i="22"/>
  <c r="C48" i="22" s="1"/>
  <c r="H48" i="22"/>
  <c r="H50" i="22" s="1"/>
  <c r="E6" i="22" s="1"/>
  <c r="C24" i="19"/>
  <c r="C48" i="19" s="1"/>
  <c r="H48" i="19"/>
  <c r="C19" i="257"/>
  <c r="C40" i="251"/>
  <c r="C48" i="251" s="1"/>
  <c r="H48" i="251"/>
  <c r="H50" i="251" s="1"/>
  <c r="E6" i="251" s="1"/>
  <c r="F36" i="70"/>
  <c r="F45" i="70"/>
  <c r="G45" i="70" s="1"/>
  <c r="F27" i="70"/>
  <c r="F17" i="70"/>
  <c r="F15" i="70"/>
  <c r="F26" i="70"/>
  <c r="F28" i="70"/>
  <c r="F14" i="70"/>
  <c r="F13" i="70"/>
  <c r="F30" i="70"/>
  <c r="F42" i="70"/>
  <c r="F18" i="70"/>
  <c r="F21" i="70"/>
  <c r="F31" i="70"/>
  <c r="F10" i="70"/>
  <c r="F35" i="70"/>
  <c r="F22" i="70"/>
  <c r="F12" i="70"/>
  <c r="F16" i="70"/>
  <c r="F11" i="70"/>
  <c r="F37" i="70"/>
  <c r="F29" i="70"/>
  <c r="F38" i="70"/>
  <c r="F44" i="70"/>
  <c r="F23" i="70"/>
  <c r="F34" i="70"/>
  <c r="F39" i="70"/>
  <c r="F43" i="70"/>
  <c r="F42" i="311"/>
  <c r="F22" i="311"/>
  <c r="F21" i="311"/>
  <c r="F27" i="311"/>
  <c r="F43" i="311"/>
  <c r="F39" i="311"/>
  <c r="F12" i="311"/>
  <c r="F17" i="311"/>
  <c r="F15" i="311"/>
  <c r="F26" i="311"/>
  <c r="F37" i="311"/>
  <c r="F34" i="311"/>
  <c r="F38" i="311"/>
  <c r="F30" i="311"/>
  <c r="F36" i="311"/>
  <c r="F31" i="311"/>
  <c r="F44" i="311"/>
  <c r="F29" i="311"/>
  <c r="F45" i="311"/>
  <c r="G45" i="311" s="1"/>
  <c r="F14" i="311"/>
  <c r="F13" i="311"/>
  <c r="F16" i="311"/>
  <c r="F23" i="311"/>
  <c r="F11" i="311"/>
  <c r="F35" i="311"/>
  <c r="F10" i="311"/>
  <c r="F18" i="311"/>
  <c r="F28" i="311"/>
  <c r="H40" i="79"/>
  <c r="C40" i="79" s="1"/>
  <c r="C48" i="79" s="1"/>
  <c r="C32" i="233"/>
  <c r="C48" i="233" s="1"/>
  <c r="H48" i="233"/>
  <c r="H50" i="233" s="1"/>
  <c r="E6" i="233" s="1"/>
  <c r="J50" i="321"/>
  <c r="E50" i="321"/>
  <c r="F11" i="387"/>
  <c r="F16" i="387"/>
  <c r="F31" i="387"/>
  <c r="F38" i="387"/>
  <c r="F12" i="387"/>
  <c r="F34" i="387"/>
  <c r="F13" i="387"/>
  <c r="F35" i="387"/>
  <c r="F22" i="387"/>
  <c r="F14" i="387"/>
  <c r="F44" i="387"/>
  <c r="F36" i="387"/>
  <c r="F23" i="387"/>
  <c r="F15" i="387"/>
  <c r="F26" i="387"/>
  <c r="F17" i="387"/>
  <c r="F10" i="387"/>
  <c r="F21" i="387"/>
  <c r="F45" i="387"/>
  <c r="G45" i="387" s="1"/>
  <c r="F27" i="387"/>
  <c r="F28" i="387"/>
  <c r="F29" i="387"/>
  <c r="F30" i="387"/>
  <c r="F18" i="387"/>
  <c r="F42" i="387"/>
  <c r="F37" i="387"/>
  <c r="F39" i="387"/>
  <c r="F43" i="387"/>
  <c r="C48" i="442"/>
  <c r="E50" i="352"/>
  <c r="J50" i="352"/>
  <c r="H26" i="351"/>
  <c r="D32" i="351"/>
  <c r="H24" i="168"/>
  <c r="C24" i="168" s="1"/>
  <c r="C48" i="168" s="1"/>
  <c r="H48" i="171"/>
  <c r="H50" i="171" s="1"/>
  <c r="E6" i="171" s="1"/>
  <c r="H40" i="424"/>
  <c r="C40" i="424" s="1"/>
  <c r="C48" i="424" s="1"/>
  <c r="H32" i="403"/>
  <c r="C32" i="403" s="1"/>
  <c r="C48" i="403" s="1"/>
  <c r="C46" i="397"/>
  <c r="C48" i="397" s="1"/>
  <c r="H48" i="397"/>
  <c r="H50" i="397" s="1"/>
  <c r="E6" i="397" s="1"/>
  <c r="C40" i="172"/>
  <c r="C48" i="172" s="1"/>
  <c r="H48" i="172"/>
  <c r="H50" i="172" s="1"/>
  <c r="E6" i="172" s="1"/>
  <c r="H24" i="118"/>
  <c r="C24" i="118" s="1"/>
  <c r="C46" i="109"/>
  <c r="C48" i="109" s="1"/>
  <c r="H48" i="109"/>
  <c r="H50" i="109" s="1"/>
  <c r="E6" i="109" s="1"/>
  <c r="C40" i="18"/>
  <c r="C48" i="18" s="1"/>
  <c r="H48" i="18"/>
  <c r="H50" i="18" s="1"/>
  <c r="E6" i="18" s="1"/>
  <c r="H34" i="118"/>
  <c r="H40" i="118" s="1"/>
  <c r="D40" i="118"/>
  <c r="C46" i="34"/>
  <c r="C48" i="34" s="1"/>
  <c r="H48" i="34"/>
  <c r="H50" i="34" s="1"/>
  <c r="E6" i="34" s="1"/>
  <c r="C46" i="84"/>
  <c r="C48" i="84" s="1"/>
  <c r="H48" i="84"/>
  <c r="H50" i="84" s="1"/>
  <c r="E6" i="84" s="1"/>
  <c r="C32" i="47"/>
  <c r="C48" i="47" s="1"/>
  <c r="H48" i="47"/>
  <c r="H50" i="47" s="1"/>
  <c r="E6" i="47" s="1"/>
  <c r="H48" i="326"/>
  <c r="H50" i="326" s="1"/>
  <c r="E6" i="326" s="1"/>
  <c r="F11" i="94"/>
  <c r="F45" i="94"/>
  <c r="G45" i="94" s="1"/>
  <c r="F27" i="94"/>
  <c r="F44" i="94"/>
  <c r="F10" i="94"/>
  <c r="F42" i="94"/>
  <c r="F15" i="94"/>
  <c r="F37" i="94"/>
  <c r="F31" i="94"/>
  <c r="F23" i="94"/>
  <c r="F30" i="94"/>
  <c r="F35" i="94"/>
  <c r="F12" i="94"/>
  <c r="F38" i="94"/>
  <c r="F36" i="94"/>
  <c r="F17" i="94"/>
  <c r="F21" i="94"/>
  <c r="F34" i="94"/>
  <c r="F22" i="94"/>
  <c r="F18" i="94"/>
  <c r="F16" i="94"/>
  <c r="F43" i="94"/>
  <c r="F28" i="94"/>
  <c r="F26" i="94"/>
  <c r="F13" i="94"/>
  <c r="F14" i="94"/>
  <c r="F29" i="94"/>
  <c r="F39" i="94"/>
  <c r="F12" i="182"/>
  <c r="F16" i="182"/>
  <c r="F28" i="182"/>
  <c r="F35" i="182"/>
  <c r="F31" i="182"/>
  <c r="F21" i="182"/>
  <c r="F42" i="182"/>
  <c r="F22" i="182"/>
  <c r="F30" i="182"/>
  <c r="F37" i="182"/>
  <c r="F34" i="182"/>
  <c r="F43" i="182"/>
  <c r="F38" i="182"/>
  <c r="F10" i="182"/>
  <c r="F11" i="182"/>
  <c r="F29" i="182"/>
  <c r="F13" i="182"/>
  <c r="F14" i="182"/>
  <c r="F17" i="182"/>
  <c r="F26" i="182"/>
  <c r="F27" i="182"/>
  <c r="F45" i="182"/>
  <c r="G45" i="182" s="1"/>
  <c r="F44" i="182"/>
  <c r="F36" i="182"/>
  <c r="F23" i="73"/>
  <c r="F13" i="73"/>
  <c r="F11" i="73"/>
  <c r="F28" i="73"/>
  <c r="F18" i="73"/>
  <c r="F30" i="73"/>
  <c r="F36" i="73"/>
  <c r="F31" i="73"/>
  <c r="F22" i="73"/>
  <c r="F42" i="73"/>
  <c r="F12" i="73"/>
  <c r="F44" i="73"/>
  <c r="F37" i="73"/>
  <c r="F35" i="73"/>
  <c r="F26" i="73"/>
  <c r="F15" i="73"/>
  <c r="F39" i="73"/>
  <c r="F43" i="73"/>
  <c r="F16" i="73"/>
  <c r="F17" i="73"/>
  <c r="F27" i="73"/>
  <c r="F29" i="73"/>
  <c r="F34" i="73"/>
  <c r="F38" i="73"/>
  <c r="F14" i="73"/>
  <c r="F21" i="73"/>
  <c r="F45" i="73"/>
  <c r="G45" i="73" s="1"/>
  <c r="H48" i="442"/>
  <c r="H50" i="442" s="1"/>
  <c r="E6" i="442" s="1"/>
  <c r="H48" i="261"/>
  <c r="H50" i="261" s="1"/>
  <c r="E6" i="261" s="1"/>
  <c r="F21" i="42"/>
  <c r="F14" i="42"/>
  <c r="F10" i="42"/>
  <c r="F16" i="42"/>
  <c r="F44" i="42"/>
  <c r="F43" i="42"/>
  <c r="C48" i="171"/>
  <c r="E48" i="134"/>
  <c r="E26" i="460"/>
  <c r="E44" i="460"/>
  <c r="E38" i="460"/>
  <c r="E27" i="460"/>
  <c r="E45" i="460"/>
  <c r="E30" i="460"/>
  <c r="E31" i="460"/>
  <c r="E21" i="460"/>
  <c r="E34" i="460"/>
  <c r="E35" i="460"/>
  <c r="E22" i="460"/>
  <c r="E36" i="460"/>
  <c r="E37" i="460"/>
  <c r="E42" i="460"/>
  <c r="E39" i="460"/>
  <c r="E40" i="460"/>
  <c r="E23" i="460"/>
  <c r="E24" i="460"/>
  <c r="E43" i="460"/>
  <c r="E28" i="460"/>
  <c r="E46" i="460"/>
  <c r="A52" i="460" s="1"/>
  <c r="E29" i="460"/>
  <c r="E32" i="460"/>
  <c r="C24" i="324"/>
  <c r="C48" i="324" s="1"/>
  <c r="H48" i="324"/>
  <c r="H50" i="324" s="1"/>
  <c r="E6" i="324" s="1"/>
  <c r="H46" i="227"/>
  <c r="C46" i="227" s="1"/>
  <c r="C48" i="227" s="1"/>
  <c r="H32" i="41"/>
  <c r="C32" i="41" s="1"/>
  <c r="C48" i="41" s="1"/>
  <c r="D48" i="6"/>
  <c r="E32" i="6" s="1"/>
  <c r="D50" i="6"/>
  <c r="E50" i="6" s="1"/>
  <c r="J50" i="67"/>
  <c r="E50" i="67"/>
  <c r="H28" i="23"/>
  <c r="H32" i="23" s="1"/>
  <c r="D32" i="23"/>
  <c r="C40" i="298"/>
  <c r="C48" i="298" s="1"/>
  <c r="H48" i="298"/>
  <c r="H50" i="298" s="1"/>
  <c r="E6" i="298" s="1"/>
  <c r="C32" i="56"/>
  <c r="C48" i="56" s="1"/>
  <c r="H48" i="56"/>
  <c r="H50" i="56" s="1"/>
  <c r="E6" i="56" s="1"/>
  <c r="E50" i="94"/>
  <c r="J50" i="94"/>
  <c r="C24" i="369"/>
  <c r="C48" i="369" s="1"/>
  <c r="H48" i="369"/>
  <c r="H50" i="369" s="1"/>
  <c r="E6" i="369" s="1"/>
  <c r="A52" i="349"/>
  <c r="E48" i="349"/>
  <c r="H46" i="87"/>
  <c r="C46" i="87" s="1"/>
  <c r="C48" i="87" s="1"/>
  <c r="H48" i="316"/>
  <c r="H50" i="316" s="1"/>
  <c r="E6" i="316" s="1"/>
  <c r="E13" i="179"/>
  <c r="E12" i="179"/>
  <c r="E14" i="179"/>
  <c r="E16" i="179"/>
  <c r="E19" i="179"/>
  <c r="E11" i="179"/>
  <c r="E10" i="179"/>
  <c r="E18" i="179"/>
  <c r="E17" i="179"/>
  <c r="H24" i="180"/>
  <c r="C24" i="180" s="1"/>
  <c r="E43" i="321"/>
  <c r="E44" i="321"/>
  <c r="E27" i="321"/>
  <c r="E46" i="321"/>
  <c r="A52" i="321" s="1"/>
  <c r="E31" i="321"/>
  <c r="E21" i="321"/>
  <c r="E40" i="321"/>
  <c r="E39" i="321"/>
  <c r="E34" i="321"/>
  <c r="E22" i="321"/>
  <c r="E26" i="321"/>
  <c r="E23" i="321"/>
  <c r="E42" i="321"/>
  <c r="E28" i="321"/>
  <c r="E24" i="321"/>
  <c r="E35" i="321"/>
  <c r="E45" i="321"/>
  <c r="E36" i="321"/>
  <c r="E37" i="321"/>
  <c r="E30" i="321"/>
  <c r="E29" i="321"/>
  <c r="E38" i="321"/>
  <c r="F27" i="312"/>
  <c r="F28" i="312"/>
  <c r="F14" i="312"/>
  <c r="F31" i="312"/>
  <c r="F38" i="312"/>
  <c r="F29" i="312"/>
  <c r="F21" i="312"/>
  <c r="H48" i="21"/>
  <c r="H50" i="21" s="1"/>
  <c r="E6" i="21" s="1"/>
  <c r="C48" i="416"/>
  <c r="D50" i="406"/>
  <c r="D48" i="406"/>
  <c r="E24" i="406" s="1"/>
  <c r="C24" i="420"/>
  <c r="C48" i="420" s="1"/>
  <c r="H48" i="420"/>
  <c r="H50" i="420" s="1"/>
  <c r="E6" i="420" s="1"/>
  <c r="H32" i="273"/>
  <c r="C32" i="273" s="1"/>
  <c r="C48" i="273" s="1"/>
  <c r="C24" i="393"/>
  <c r="C48" i="393" s="1"/>
  <c r="H48" i="393"/>
  <c r="H50" i="393" s="1"/>
  <c r="E6" i="393" s="1"/>
  <c r="H23" i="351"/>
  <c r="D24" i="351"/>
  <c r="H32" i="202"/>
  <c r="C32" i="202" s="1"/>
  <c r="C48" i="202" s="1"/>
  <c r="F44" i="241"/>
  <c r="F45" i="241"/>
  <c r="G45" i="241" s="1"/>
  <c r="F16" i="241"/>
  <c r="F18" i="241"/>
  <c r="F35" i="241"/>
  <c r="F38" i="241"/>
  <c r="F11" i="241"/>
  <c r="F39" i="241"/>
  <c r="F28" i="241"/>
  <c r="F30" i="241"/>
  <c r="F37" i="241"/>
  <c r="F13" i="241"/>
  <c r="F12" i="241"/>
  <c r="F21" i="241"/>
  <c r="F10" i="241"/>
  <c r="F31" i="241"/>
  <c r="F17" i="241"/>
  <c r="F36" i="241"/>
  <c r="F42" i="241"/>
  <c r="F27" i="241"/>
  <c r="F22" i="241"/>
  <c r="F29" i="241"/>
  <c r="F14" i="241"/>
  <c r="F23" i="241"/>
  <c r="F34" i="241"/>
  <c r="F15" i="241"/>
  <c r="F43" i="241"/>
  <c r="F26" i="241"/>
  <c r="C40" i="90"/>
  <c r="C48" i="90" s="1"/>
  <c r="H48" i="90"/>
  <c r="H50" i="90" s="1"/>
  <c r="E6" i="90" s="1"/>
  <c r="C46" i="102"/>
  <c r="C48" i="102" s="1"/>
  <c r="H48" i="102"/>
  <c r="H50" i="102" s="1"/>
  <c r="E6" i="102" s="1"/>
  <c r="J50" i="130"/>
  <c r="E50" i="130"/>
  <c r="F18" i="331"/>
  <c r="E32" i="359"/>
  <c r="E38" i="359"/>
  <c r="E30" i="359"/>
  <c r="E21" i="359"/>
  <c r="E45" i="359"/>
  <c r="E39" i="359"/>
  <c r="E22" i="359"/>
  <c r="E23" i="359"/>
  <c r="E42" i="359"/>
  <c r="E24" i="359"/>
  <c r="E43" i="359"/>
  <c r="E26" i="359"/>
  <c r="E44" i="359"/>
  <c r="E28" i="359"/>
  <c r="E35" i="359"/>
  <c r="E36" i="359"/>
  <c r="E27" i="359"/>
  <c r="E40" i="359"/>
  <c r="E37" i="359"/>
  <c r="E31" i="359"/>
  <c r="E46" i="359"/>
  <c r="A52" i="359" s="1"/>
  <c r="E29" i="359"/>
  <c r="H50" i="169"/>
  <c r="E6" i="169" s="1"/>
  <c r="F30" i="280"/>
  <c r="F35" i="280"/>
  <c r="F42" i="280"/>
  <c r="F12" i="280"/>
  <c r="F36" i="280"/>
  <c r="F38" i="280"/>
  <c r="F13" i="280"/>
  <c r="F29" i="280"/>
  <c r="F21" i="280"/>
  <c r="F34" i="280"/>
  <c r="F28" i="280"/>
  <c r="F18" i="280"/>
  <c r="F23" i="280"/>
  <c r="F37" i="280"/>
  <c r="J50" i="316"/>
  <c r="E50" i="316"/>
  <c r="H48" i="3"/>
  <c r="H50" i="3" s="1"/>
  <c r="E6" i="3" s="1"/>
  <c r="J50" i="106"/>
  <c r="E50" i="106"/>
  <c r="F23" i="50"/>
  <c r="F28" i="50"/>
  <c r="F13" i="50"/>
  <c r="F30" i="50"/>
  <c r="F11" i="50"/>
  <c r="F45" i="50"/>
  <c r="G45" i="50" s="1"/>
  <c r="F37" i="50"/>
  <c r="F44" i="50"/>
  <c r="F10" i="50"/>
  <c r="F35" i="50"/>
  <c r="F22" i="50"/>
  <c r="F14" i="50"/>
  <c r="C48" i="21"/>
  <c r="C48" i="225"/>
  <c r="E50" i="463"/>
  <c r="J50" i="463"/>
  <c r="E28" i="340"/>
  <c r="E45" i="340"/>
  <c r="E27" i="340"/>
  <c r="E35" i="340"/>
  <c r="E36" i="340"/>
  <c r="E37" i="340"/>
  <c r="E38" i="340"/>
  <c r="E21" i="340"/>
  <c r="E39" i="340"/>
  <c r="E22" i="340"/>
  <c r="E23" i="340"/>
  <c r="E42" i="340"/>
  <c r="E40" i="340"/>
  <c r="E46" i="340"/>
  <c r="A52" i="340" s="1"/>
  <c r="E24" i="340"/>
  <c r="E43" i="340"/>
  <c r="E32" i="340"/>
  <c r="E26" i="340"/>
  <c r="E30" i="340"/>
  <c r="E29" i="340"/>
  <c r="E31" i="340"/>
  <c r="E34" i="340"/>
  <c r="E44" i="340"/>
  <c r="D48" i="386"/>
  <c r="E32" i="386" s="1"/>
  <c r="D50" i="386"/>
  <c r="E24" i="248"/>
  <c r="E29" i="248"/>
  <c r="E44" i="248"/>
  <c r="E23" i="248"/>
  <c r="E22" i="248"/>
  <c r="E32" i="248"/>
  <c r="E30" i="248"/>
  <c r="E31" i="248"/>
  <c r="E26" i="248"/>
  <c r="E34" i="248"/>
  <c r="E42" i="248"/>
  <c r="E35" i="248"/>
  <c r="E45" i="248"/>
  <c r="E46" i="248"/>
  <c r="A52" i="248" s="1"/>
  <c r="E37" i="248"/>
  <c r="E40" i="248"/>
  <c r="E21" i="248"/>
  <c r="E38" i="248"/>
  <c r="E28" i="248"/>
  <c r="E27" i="248"/>
  <c r="E39" i="248"/>
  <c r="E36" i="248"/>
  <c r="E43" i="248"/>
  <c r="C32" i="20"/>
  <c r="C48" i="20" s="1"/>
  <c r="H48" i="20"/>
  <c r="H50" i="20" s="1"/>
  <c r="E6" i="20" s="1"/>
  <c r="C46" i="29"/>
  <c r="C48" i="29" s="1"/>
  <c r="H48" i="29"/>
  <c r="H50" i="29" s="1"/>
  <c r="E6" i="29" s="1"/>
  <c r="C32" i="99"/>
  <c r="C48" i="99" s="1"/>
  <c r="H48" i="99"/>
  <c r="H50" i="99" s="1"/>
  <c r="E6" i="99" s="1"/>
  <c r="C48" i="293"/>
  <c r="E48" i="195"/>
  <c r="F30" i="105"/>
  <c r="F37" i="105"/>
  <c r="F15" i="356"/>
  <c r="F37" i="356"/>
  <c r="F38" i="356"/>
  <c r="F39" i="356"/>
  <c r="F17" i="356"/>
  <c r="F13" i="356"/>
  <c r="F43" i="356"/>
  <c r="F44" i="356"/>
  <c r="F16" i="356"/>
  <c r="F23" i="356"/>
  <c r="F35" i="356"/>
  <c r="F14" i="356"/>
  <c r="F45" i="356"/>
  <c r="G45" i="356" s="1"/>
  <c r="F36" i="356"/>
  <c r="F31" i="356"/>
  <c r="F26" i="356"/>
  <c r="F11" i="356"/>
  <c r="F10" i="356"/>
  <c r="F34" i="356"/>
  <c r="F18" i="356"/>
  <c r="F22" i="356"/>
  <c r="D48" i="316"/>
  <c r="E32" i="316" s="1"/>
  <c r="J50" i="254"/>
  <c r="E50" i="254"/>
  <c r="H40" i="313"/>
  <c r="C40" i="313" s="1"/>
  <c r="C48" i="313" s="1"/>
  <c r="C46" i="93"/>
  <c r="C48" i="93" s="1"/>
  <c r="H48" i="93"/>
  <c r="H50" i="93" s="1"/>
  <c r="E6" i="93" s="1"/>
  <c r="H40" i="357"/>
  <c r="C40" i="357" s="1"/>
  <c r="C48" i="357" s="1"/>
  <c r="E48" i="176"/>
  <c r="H40" i="455"/>
  <c r="C40" i="455" s="1"/>
  <c r="C48" i="455" s="1"/>
  <c r="H48" i="455"/>
  <c r="H50" i="455" s="1"/>
  <c r="E6" i="455" s="1"/>
  <c r="D48" i="443"/>
  <c r="E46" i="443" s="1"/>
  <c r="A52" i="443" s="1"/>
  <c r="D50" i="443"/>
  <c r="H40" i="389"/>
  <c r="C40" i="389" s="1"/>
  <c r="C48" i="389" s="1"/>
  <c r="E21" i="345"/>
  <c r="E43" i="345"/>
  <c r="E46" i="345"/>
  <c r="A52" i="345" s="1"/>
  <c r="E30" i="345"/>
  <c r="E42" i="345"/>
  <c r="E23" i="345"/>
  <c r="E28" i="345"/>
  <c r="E26" i="345"/>
  <c r="E29" i="345"/>
  <c r="E32" i="345"/>
  <c r="E35" i="345"/>
  <c r="E44" i="345"/>
  <c r="E36" i="345"/>
  <c r="E31" i="345"/>
  <c r="E39" i="345"/>
  <c r="E22" i="345"/>
  <c r="E27" i="345"/>
  <c r="E24" i="345"/>
  <c r="E34" i="345"/>
  <c r="E38" i="345"/>
  <c r="E40" i="345"/>
  <c r="E37" i="345"/>
  <c r="E45" i="345"/>
  <c r="J50" i="319"/>
  <c r="E50" i="319"/>
  <c r="H40" i="372"/>
  <c r="C40" i="372" s="1"/>
  <c r="C48" i="372" s="1"/>
  <c r="C24" i="15"/>
  <c r="H48" i="11"/>
  <c r="H50" i="11" s="1"/>
  <c r="E6" i="11" s="1"/>
  <c r="H40" i="135"/>
  <c r="C40" i="135" s="1"/>
  <c r="C48" i="135" s="1"/>
  <c r="C40" i="101"/>
  <c r="C48" i="101" s="1"/>
  <c r="H48" i="101"/>
  <c r="H50" i="101" s="1"/>
  <c r="E6" i="101" s="1"/>
  <c r="F21" i="254"/>
  <c r="F36" i="254"/>
  <c r="F23" i="254"/>
  <c r="F28" i="254"/>
  <c r="F43" i="254"/>
  <c r="F11" i="254"/>
  <c r="F30" i="254"/>
  <c r="F38" i="254"/>
  <c r="F18" i="254"/>
  <c r="F12" i="254"/>
  <c r="F15" i="254"/>
  <c r="F39" i="254"/>
  <c r="F42" i="254"/>
  <c r="F17" i="254"/>
  <c r="F26" i="254"/>
  <c r="F34" i="254"/>
  <c r="F44" i="254"/>
  <c r="F14" i="254"/>
  <c r="F35" i="254"/>
  <c r="F16" i="254"/>
  <c r="F10" i="254"/>
  <c r="F12" i="378"/>
  <c r="F38" i="378"/>
  <c r="F10" i="378"/>
  <c r="H46" i="239"/>
  <c r="C46" i="239" s="1"/>
  <c r="C48" i="239" s="1"/>
  <c r="H48" i="248"/>
  <c r="H50" i="248" s="1"/>
  <c r="E6" i="248" s="1"/>
  <c r="H32" i="367"/>
  <c r="C32" i="367" s="1"/>
  <c r="C48" i="367" s="1"/>
  <c r="C24" i="396"/>
  <c r="C48" i="396" s="1"/>
  <c r="H48" i="396"/>
  <c r="H50" i="396" s="1"/>
  <c r="E6" i="396" s="1"/>
  <c r="C32" i="33"/>
  <c r="C48" i="33" s="1"/>
  <c r="H48" i="33"/>
  <c r="H50" i="33" s="1"/>
  <c r="E6" i="33" s="1"/>
  <c r="C32" i="243"/>
  <c r="C48" i="243" s="1"/>
  <c r="H48" i="243"/>
  <c r="H50" i="243" s="1"/>
  <c r="E6" i="243" s="1"/>
  <c r="C32" i="124"/>
  <c r="C48" i="124" s="1"/>
  <c r="H48" i="124"/>
  <c r="H50" i="124" s="1"/>
  <c r="E6" i="124" s="1"/>
  <c r="E48" i="293"/>
  <c r="D48" i="179"/>
  <c r="E40" i="179" s="1"/>
  <c r="E50" i="338"/>
  <c r="J50" i="338"/>
  <c r="E48" i="34"/>
  <c r="C46" i="443"/>
  <c r="C48" i="443" s="1"/>
  <c r="C24" i="406"/>
  <c r="F43" i="345"/>
  <c r="F38" i="345"/>
  <c r="F17" i="345"/>
  <c r="F30" i="345"/>
  <c r="F44" i="345"/>
  <c r="F13" i="345"/>
  <c r="F21" i="345"/>
  <c r="F18" i="345"/>
  <c r="F34" i="345"/>
  <c r="F27" i="345"/>
  <c r="F11" i="345"/>
  <c r="F12" i="345"/>
  <c r="F35" i="345"/>
  <c r="F45" i="345"/>
  <c r="G45" i="345" s="1"/>
  <c r="F14" i="345"/>
  <c r="F23" i="345"/>
  <c r="F28" i="345"/>
  <c r="F15" i="345"/>
  <c r="F29" i="345"/>
  <c r="F16" i="345"/>
  <c r="F36" i="345"/>
  <c r="F39" i="345"/>
  <c r="F26" i="345"/>
  <c r="F42" i="345"/>
  <c r="F22" i="345"/>
  <c r="F31" i="345"/>
  <c r="F37" i="345"/>
  <c r="F10" i="345"/>
  <c r="H48" i="68"/>
  <c r="H50" i="68" s="1"/>
  <c r="E6" i="68" s="1"/>
  <c r="H50" i="249"/>
  <c r="E6" i="249" s="1"/>
  <c r="H48" i="139"/>
  <c r="H50" i="139" s="1"/>
  <c r="E6" i="139" s="1"/>
  <c r="H48" i="128"/>
  <c r="H50" i="128" s="1"/>
  <c r="E6" i="128" s="1"/>
  <c r="E50" i="239"/>
  <c r="J50" i="239"/>
  <c r="F35" i="290"/>
  <c r="F12" i="290"/>
  <c r="F43" i="290"/>
  <c r="F39" i="290"/>
  <c r="F30" i="290"/>
  <c r="F37" i="290"/>
  <c r="F11" i="290"/>
  <c r="H19" i="469"/>
  <c r="C19" i="469" s="1"/>
  <c r="E31" i="461"/>
  <c r="E34" i="461"/>
  <c r="E22" i="461"/>
  <c r="E28" i="461"/>
  <c r="E38" i="461"/>
  <c r="E43" i="461"/>
  <c r="E27" i="461"/>
  <c r="E35" i="461"/>
  <c r="E36" i="461"/>
  <c r="E23" i="461"/>
  <c r="E46" i="461"/>
  <c r="A52" i="461" s="1"/>
  <c r="E29" i="461"/>
  <c r="E44" i="461"/>
  <c r="E26" i="461"/>
  <c r="E42" i="461"/>
  <c r="E21" i="461"/>
  <c r="E45" i="461"/>
  <c r="E40" i="461"/>
  <c r="E32" i="461"/>
  <c r="E39" i="461"/>
  <c r="E30" i="461"/>
  <c r="E37" i="461"/>
  <c r="H40" i="342"/>
  <c r="C40" i="342" s="1"/>
  <c r="C48" i="342" s="1"/>
  <c r="E28" i="462"/>
  <c r="E36" i="462"/>
  <c r="E42" i="462"/>
  <c r="E26" i="462"/>
  <c r="E39" i="462"/>
  <c r="E29" i="462"/>
  <c r="E40" i="462"/>
  <c r="E35" i="462"/>
  <c r="E24" i="462"/>
  <c r="E23" i="462"/>
  <c r="E44" i="462"/>
  <c r="E38" i="462"/>
  <c r="E46" i="462"/>
  <c r="A52" i="462" s="1"/>
  <c r="E32" i="462"/>
  <c r="E50" i="353"/>
  <c r="J50" i="353"/>
  <c r="H32" i="212"/>
  <c r="C32" i="212" s="1"/>
  <c r="C48" i="212" s="1"/>
  <c r="C40" i="12"/>
  <c r="C48" i="12" s="1"/>
  <c r="H48" i="12"/>
  <c r="H50" i="12" s="1"/>
  <c r="E6" i="12" s="1"/>
  <c r="C24" i="95"/>
  <c r="C48" i="95" s="1"/>
  <c r="H48" i="95"/>
  <c r="H50" i="95" s="1"/>
  <c r="E6" i="95" s="1"/>
  <c r="C46" i="141"/>
  <c r="C48" i="141" s="1"/>
  <c r="H48" i="141"/>
  <c r="H50" i="141" s="1"/>
  <c r="E6" i="141" s="1"/>
  <c r="J50" i="65"/>
  <c r="E50" i="65"/>
  <c r="C40" i="179"/>
  <c r="F43" i="383"/>
  <c r="F22" i="383"/>
  <c r="F44" i="383"/>
  <c r="F27" i="383"/>
  <c r="F15" i="383"/>
  <c r="F28" i="383"/>
  <c r="F30" i="383"/>
  <c r="F18" i="383"/>
  <c r="F34" i="383"/>
  <c r="F13" i="383"/>
  <c r="F29" i="383"/>
  <c r="F35" i="383"/>
  <c r="F37" i="383"/>
  <c r="F38" i="383"/>
  <c r="F17" i="383"/>
  <c r="F42" i="383"/>
  <c r="F21" i="383"/>
  <c r="F23" i="383"/>
  <c r="F26" i="383"/>
  <c r="F10" i="383"/>
  <c r="F11" i="383"/>
  <c r="H50" i="325"/>
  <c r="E6" i="325" s="1"/>
  <c r="H40" i="299"/>
  <c r="C40" i="299" s="1"/>
  <c r="C48" i="299" s="1"/>
  <c r="H48" i="299"/>
  <c r="H50" i="299" s="1"/>
  <c r="E6" i="299" s="1"/>
  <c r="H48" i="86"/>
  <c r="H50" i="86" s="1"/>
  <c r="E6" i="86" s="1"/>
  <c r="E26" i="239"/>
  <c r="E40" i="239"/>
  <c r="E44" i="239"/>
  <c r="E27" i="239"/>
  <c r="E45" i="239"/>
  <c r="E28" i="239"/>
  <c r="E30" i="239"/>
  <c r="E46" i="239"/>
  <c r="A52" i="239" s="1"/>
  <c r="E39" i="239"/>
  <c r="E31" i="239"/>
  <c r="E29" i="239"/>
  <c r="E34" i="239"/>
  <c r="E21" i="239"/>
  <c r="E36" i="239"/>
  <c r="E43" i="239"/>
  <c r="E38" i="239"/>
  <c r="E37" i="239"/>
  <c r="E23" i="239"/>
  <c r="E35" i="239"/>
  <c r="E42" i="239"/>
  <c r="E22" i="239"/>
  <c r="E32" i="239"/>
  <c r="H48" i="322"/>
  <c r="H50" i="322" s="1"/>
  <c r="E6" i="322" s="1"/>
  <c r="F39" i="322" s="1"/>
  <c r="H50" i="215"/>
  <c r="E6" i="215" s="1"/>
  <c r="F37" i="215" s="1"/>
  <c r="E50" i="466"/>
  <c r="J50" i="466"/>
  <c r="D50" i="354"/>
  <c r="D48" i="354"/>
  <c r="H24" i="338"/>
  <c r="C24" i="338" s="1"/>
  <c r="C48" i="338" s="1"/>
  <c r="E50" i="462"/>
  <c r="J50" i="462"/>
  <c r="H48" i="174"/>
  <c r="H50" i="174" s="1"/>
  <c r="E6" i="174" s="1"/>
  <c r="C32" i="5"/>
  <c r="C48" i="5" s="1"/>
  <c r="H48" i="5"/>
  <c r="H50" i="5" s="1"/>
  <c r="E6" i="5" s="1"/>
  <c r="C46" i="133"/>
  <c r="C48" i="133" s="1"/>
  <c r="H48" i="133"/>
  <c r="H50" i="133" s="1"/>
  <c r="E6" i="133" s="1"/>
  <c r="C24" i="173"/>
  <c r="C48" i="173" s="1"/>
  <c r="H48" i="173"/>
  <c r="H50" i="173" s="1"/>
  <c r="E6" i="173" s="1"/>
  <c r="H40" i="89"/>
  <c r="C40" i="89" s="1"/>
  <c r="C48" i="89" s="1"/>
  <c r="C19" i="235"/>
  <c r="H50" i="235"/>
  <c r="E6" i="235" s="1"/>
  <c r="F16" i="164"/>
  <c r="F37" i="164"/>
  <c r="F34" i="164"/>
  <c r="F29" i="164"/>
  <c r="H48" i="201"/>
  <c r="H50" i="201" s="1"/>
  <c r="E6" i="201" s="1"/>
  <c r="F31" i="66"/>
  <c r="F18" i="66"/>
  <c r="F35" i="66"/>
  <c r="F29" i="66"/>
  <c r="F39" i="66"/>
  <c r="F23" i="66"/>
  <c r="F30" i="66"/>
  <c r="F23" i="63"/>
  <c r="F16" i="63"/>
  <c r="F21" i="63"/>
  <c r="F27" i="63"/>
  <c r="F31" i="63"/>
  <c r="F17" i="63"/>
  <c r="F28" i="63"/>
  <c r="F11" i="63"/>
  <c r="F10" i="63"/>
  <c r="F34" i="63"/>
  <c r="F14" i="63"/>
  <c r="F30" i="63"/>
  <c r="F26" i="63"/>
  <c r="F18" i="63"/>
  <c r="F35" i="63"/>
  <c r="F22" i="63"/>
  <c r="F15" i="63"/>
  <c r="F43" i="63"/>
  <c r="F13" i="63"/>
  <c r="F29" i="63"/>
  <c r="F37" i="63"/>
  <c r="F12" i="63"/>
  <c r="F44" i="63"/>
  <c r="F42" i="63"/>
  <c r="F45" i="63"/>
  <c r="G45" i="63" s="1"/>
  <c r="F39" i="63"/>
  <c r="F36" i="63"/>
  <c r="F38" i="63"/>
  <c r="H48" i="213"/>
  <c r="H50" i="213" s="1"/>
  <c r="E6" i="213" s="1"/>
  <c r="H48" i="83"/>
  <c r="H50" i="83" s="1"/>
  <c r="E6" i="83" s="1"/>
  <c r="H48" i="404"/>
  <c r="H50" i="404" s="1"/>
  <c r="E6" i="404" s="1"/>
  <c r="E50" i="132"/>
  <c r="J50" i="132"/>
  <c r="C40" i="448"/>
  <c r="C48" i="448" s="1"/>
  <c r="H48" i="448"/>
  <c r="H50" i="448" s="1"/>
  <c r="E6" i="448" s="1"/>
  <c r="E23" i="358"/>
  <c r="E42" i="358"/>
  <c r="E24" i="358"/>
  <c r="E43" i="358"/>
  <c r="E26" i="358"/>
  <c r="E44" i="358"/>
  <c r="E27" i="358"/>
  <c r="E45" i="358"/>
  <c r="E34" i="358"/>
  <c r="E46" i="358"/>
  <c r="A52" i="358" s="1"/>
  <c r="E35" i="358"/>
  <c r="E29" i="358"/>
  <c r="E36" i="358"/>
  <c r="E32" i="358"/>
  <c r="E37" i="358"/>
  <c r="E21" i="358"/>
  <c r="E39" i="358"/>
  <c r="E38" i="358"/>
  <c r="E22" i="358"/>
  <c r="E40" i="358"/>
  <c r="C46" i="377"/>
  <c r="C48" i="377" s="1"/>
  <c r="H48" i="377"/>
  <c r="H50" i="377" s="1"/>
  <c r="E6" i="377" s="1"/>
  <c r="H32" i="256"/>
  <c r="C32" i="256" s="1"/>
  <c r="C48" i="256" s="1"/>
  <c r="E27" i="39"/>
  <c r="E26" i="39"/>
  <c r="E31" i="39"/>
  <c r="E30" i="39"/>
  <c r="E32" i="39"/>
  <c r="E28" i="39"/>
  <c r="E34" i="39"/>
  <c r="E23" i="39"/>
  <c r="E36" i="39"/>
  <c r="E38" i="39"/>
  <c r="E37" i="39"/>
  <c r="E39" i="39"/>
  <c r="E45" i="39"/>
  <c r="E22" i="39"/>
  <c r="E29" i="39"/>
  <c r="E46" i="39"/>
  <c r="A52" i="39" s="1"/>
  <c r="E44" i="39"/>
  <c r="E43" i="39"/>
  <c r="E24" i="39"/>
  <c r="E42" i="39"/>
  <c r="E21" i="39"/>
  <c r="C19" i="152"/>
  <c r="C40" i="9"/>
  <c r="C48" i="9" s="1"/>
  <c r="H48" i="9"/>
  <c r="H50" i="9" s="1"/>
  <c r="E6" i="9" s="1"/>
  <c r="H48" i="71"/>
  <c r="H50" i="71" s="1"/>
  <c r="E6" i="71" s="1"/>
  <c r="C40" i="71"/>
  <c r="C48" i="71" s="1"/>
  <c r="C46" i="205"/>
  <c r="C48" i="205" s="1"/>
  <c r="H48" i="205"/>
  <c r="H50" i="205" s="1"/>
  <c r="E6" i="205" s="1"/>
  <c r="C48" i="201"/>
  <c r="G34" i="188"/>
  <c r="I34" i="188"/>
  <c r="J50" i="403"/>
  <c r="E50" i="403"/>
  <c r="H32" i="301"/>
  <c r="C32" i="301" s="1"/>
  <c r="C48" i="301" s="1"/>
  <c r="H32" i="307"/>
  <c r="C32" i="307" s="1"/>
  <c r="C48" i="307" s="1"/>
  <c r="H30" i="351"/>
  <c r="D48" i="465"/>
  <c r="E40" i="465" s="1"/>
  <c r="E22" i="273"/>
  <c r="E42" i="273"/>
  <c r="E23" i="273"/>
  <c r="E43" i="273"/>
  <c r="E24" i="273"/>
  <c r="E44" i="273"/>
  <c r="E45" i="273"/>
  <c r="E40" i="273"/>
  <c r="E46" i="273"/>
  <c r="A52" i="273" s="1"/>
  <c r="E34" i="273"/>
  <c r="E31" i="273"/>
  <c r="E27" i="273"/>
  <c r="E35" i="273"/>
  <c r="E28" i="273"/>
  <c r="E36" i="273"/>
  <c r="E29" i="273"/>
  <c r="E37" i="273"/>
  <c r="E30" i="273"/>
  <c r="E38" i="273"/>
  <c r="E32" i="273"/>
  <c r="E39" i="273"/>
  <c r="E26" i="273"/>
  <c r="E21" i="273"/>
  <c r="E28" i="89"/>
  <c r="E43" i="89"/>
  <c r="E26" i="89"/>
  <c r="E44" i="89"/>
  <c r="E27" i="89"/>
  <c r="E31" i="89"/>
  <c r="E45" i="89"/>
  <c r="E32" i="89"/>
  <c r="E29" i="89"/>
  <c r="E35" i="89"/>
  <c r="E30" i="89"/>
  <c r="E36" i="89"/>
  <c r="E46" i="89"/>
  <c r="A52" i="89" s="1"/>
  <c r="E37" i="89"/>
  <c r="E40" i="89"/>
  <c r="E38" i="89"/>
  <c r="E21" i="89"/>
  <c r="E39" i="89"/>
  <c r="E22" i="89"/>
  <c r="E23" i="89"/>
  <c r="E42" i="89"/>
  <c r="E24" i="89"/>
  <c r="E34" i="89"/>
  <c r="J50" i="126"/>
  <c r="E50" i="126"/>
  <c r="C40" i="240"/>
  <c r="C48" i="240" s="1"/>
  <c r="H48" i="240"/>
  <c r="H50" i="240" s="1"/>
  <c r="E6" i="240" s="1"/>
  <c r="C40" i="190"/>
  <c r="C48" i="190" s="1"/>
  <c r="H48" i="190"/>
  <c r="H50" i="190" s="1"/>
  <c r="E6" i="190" s="1"/>
  <c r="F28" i="110"/>
  <c r="F12" i="110"/>
  <c r="F44" i="110"/>
  <c r="F31" i="110"/>
  <c r="F29" i="110"/>
  <c r="F10" i="110"/>
  <c r="F21" i="110"/>
  <c r="F11" i="110"/>
  <c r="F34" i="110"/>
  <c r="F42" i="110"/>
  <c r="F16" i="110"/>
  <c r="F13" i="110"/>
  <c r="F22" i="110"/>
  <c r="F36" i="110"/>
  <c r="F18" i="110"/>
  <c r="F43" i="110"/>
  <c r="C32" i="6"/>
  <c r="C48" i="6" s="1"/>
  <c r="H48" i="6"/>
  <c r="H50" i="6" s="1"/>
  <c r="E6" i="6" s="1"/>
  <c r="F28" i="57"/>
  <c r="F21" i="57"/>
  <c r="F39" i="57"/>
  <c r="F30" i="57"/>
  <c r="F44" i="57"/>
  <c r="F12" i="57"/>
  <c r="F29" i="57"/>
  <c r="F42" i="57"/>
  <c r="F16" i="57"/>
  <c r="F31" i="57"/>
  <c r="F43" i="57"/>
  <c r="F34" i="57"/>
  <c r="F17" i="57"/>
  <c r="F14" i="57"/>
  <c r="F18" i="57"/>
  <c r="F26" i="57"/>
  <c r="F35" i="57"/>
  <c r="F15" i="57"/>
  <c r="F11" i="57"/>
  <c r="F36" i="57"/>
  <c r="F10" i="57"/>
  <c r="F45" i="57"/>
  <c r="G45" i="57" s="1"/>
  <c r="F23" i="57"/>
  <c r="F22" i="57"/>
  <c r="F38" i="57"/>
  <c r="F37" i="57"/>
  <c r="F13" i="57"/>
  <c r="F27" i="57"/>
  <c r="I15" i="188"/>
  <c r="G15" i="188"/>
  <c r="E24" i="403"/>
  <c r="E36" i="403"/>
  <c r="E32" i="403"/>
  <c r="E34" i="403"/>
  <c r="E31" i="403"/>
  <c r="E29" i="403"/>
  <c r="E28" i="403"/>
  <c r="E40" i="403"/>
  <c r="E27" i="403"/>
  <c r="E45" i="403"/>
  <c r="E26" i="403"/>
  <c r="E23" i="403"/>
  <c r="E22" i="403"/>
  <c r="E38" i="403"/>
  <c r="E21" i="403"/>
  <c r="E37" i="403"/>
  <c r="E35" i="403"/>
  <c r="E44" i="403"/>
  <c r="E43" i="403"/>
  <c r="E42" i="403"/>
  <c r="E30" i="403"/>
  <c r="E39" i="403"/>
  <c r="E46" i="403"/>
  <c r="A52" i="403" s="1"/>
  <c r="H48" i="352"/>
  <c r="H50" i="352" s="1"/>
  <c r="E6" i="352" s="1"/>
  <c r="J50" i="229"/>
  <c r="E50" i="229"/>
  <c r="C19" i="284"/>
  <c r="H50" i="284"/>
  <c r="E6" i="284" s="1"/>
  <c r="E50" i="59"/>
  <c r="J50" i="59"/>
  <c r="C19" i="220"/>
  <c r="H50" i="220"/>
  <c r="E6" i="220" s="1"/>
  <c r="F10" i="73"/>
  <c r="E28" i="241"/>
  <c r="E30" i="241"/>
  <c r="E39" i="241"/>
  <c r="E31" i="241"/>
  <c r="E21" i="241"/>
  <c r="E38" i="241"/>
  <c r="E40" i="241"/>
  <c r="E37" i="241"/>
  <c r="E36" i="241"/>
  <c r="E35" i="241"/>
  <c r="E29" i="241"/>
  <c r="E45" i="241"/>
  <c r="E46" i="241"/>
  <c r="A52" i="241" s="1"/>
  <c r="E27" i="241"/>
  <c r="E43" i="241"/>
  <c r="E24" i="241"/>
  <c r="E44" i="241"/>
  <c r="E26" i="241"/>
  <c r="E42" i="241"/>
  <c r="E34" i="241"/>
  <c r="E23" i="241"/>
  <c r="E22" i="241"/>
  <c r="H50" i="204"/>
  <c r="E6" i="204" s="1"/>
  <c r="F30" i="204" s="1"/>
  <c r="F39" i="50"/>
  <c r="H48" i="426"/>
  <c r="H50" i="426" s="1"/>
  <c r="E6" i="426" s="1"/>
  <c r="H40" i="285"/>
  <c r="C40" i="285" s="1"/>
  <c r="C48" i="285" s="1"/>
  <c r="E42" i="181"/>
  <c r="E24" i="181"/>
  <c r="E43" i="181"/>
  <c r="E26" i="181"/>
  <c r="E44" i="181"/>
  <c r="E27" i="181"/>
  <c r="E45" i="181"/>
  <c r="E34" i="181"/>
  <c r="E28" i="181"/>
  <c r="E35" i="181"/>
  <c r="E36" i="181"/>
  <c r="E37" i="181"/>
  <c r="E38" i="181"/>
  <c r="E21" i="181"/>
  <c r="E39" i="181"/>
  <c r="E22" i="181"/>
  <c r="E23" i="181"/>
  <c r="E29" i="181"/>
  <c r="E30" i="181"/>
  <c r="E31" i="181"/>
  <c r="E32" i="181"/>
  <c r="E40" i="181"/>
  <c r="E46" i="181"/>
  <c r="A52" i="181" s="1"/>
  <c r="E11" i="53"/>
  <c r="E18" i="53"/>
  <c r="E10" i="53"/>
  <c r="E16" i="53"/>
  <c r="E17" i="53"/>
  <c r="E13" i="53"/>
  <c r="E15" i="53"/>
  <c r="E19" i="53"/>
  <c r="E12" i="53"/>
  <c r="E14" i="53"/>
  <c r="C32" i="274"/>
  <c r="C48" i="274" s="1"/>
  <c r="H48" i="274"/>
  <c r="H50" i="274" s="1"/>
  <c r="E6" i="274" s="1"/>
  <c r="H40" i="163"/>
  <c r="C40" i="163" s="1"/>
  <c r="C48" i="163" s="1"/>
  <c r="C46" i="309"/>
  <c r="C48" i="309" s="1"/>
  <c r="H48" i="309"/>
  <c r="H50" i="309" s="1"/>
  <c r="E6" i="309" s="1"/>
  <c r="C19" i="229"/>
  <c r="H50" i="229"/>
  <c r="E6" i="229" s="1"/>
  <c r="I23" i="188"/>
  <c r="G23" i="188"/>
  <c r="E48" i="379"/>
  <c r="H48" i="339"/>
  <c r="H50" i="339" s="1"/>
  <c r="E6" i="339" s="1"/>
  <c r="E27" i="229"/>
  <c r="E45" i="229"/>
  <c r="E28" i="229"/>
  <c r="E31" i="229"/>
  <c r="E46" i="229"/>
  <c r="A52" i="229" s="1"/>
  <c r="E35" i="229"/>
  <c r="E29" i="229"/>
  <c r="E38" i="229"/>
  <c r="E21" i="229"/>
  <c r="E30" i="229"/>
  <c r="E39" i="229"/>
  <c r="E36" i="229"/>
  <c r="E22" i="229"/>
  <c r="E34" i="229"/>
  <c r="E40" i="229"/>
  <c r="E37" i="229"/>
  <c r="E23" i="229"/>
  <c r="E42" i="229"/>
  <c r="E24" i="229"/>
  <c r="E43" i="229"/>
  <c r="E26" i="229"/>
  <c r="E44" i="229"/>
  <c r="E46" i="367"/>
  <c r="A52" i="367" s="1"/>
  <c r="E45" i="367"/>
  <c r="E28" i="367"/>
  <c r="E29" i="367"/>
  <c r="E30" i="367"/>
  <c r="E21" i="367"/>
  <c r="E34" i="367"/>
  <c r="E39" i="367"/>
  <c r="E36" i="367"/>
  <c r="E42" i="367"/>
  <c r="E23" i="367"/>
  <c r="E38" i="367"/>
  <c r="E44" i="367"/>
  <c r="E22" i="367"/>
  <c r="E24" i="367"/>
  <c r="E43" i="367"/>
  <c r="E26" i="367"/>
  <c r="E27" i="367"/>
  <c r="E31" i="367"/>
  <c r="E32" i="367"/>
  <c r="E35" i="367"/>
  <c r="E40" i="367"/>
  <c r="E37" i="367"/>
  <c r="H48" i="347"/>
  <c r="H50" i="347" s="1"/>
  <c r="E6" i="347" s="1"/>
  <c r="F36" i="206"/>
  <c r="F29" i="206"/>
  <c r="F43" i="206"/>
  <c r="F16" i="206"/>
  <c r="F10" i="206"/>
  <c r="F18" i="206"/>
  <c r="F39" i="206"/>
  <c r="F42" i="206"/>
  <c r="F28" i="206"/>
  <c r="F30" i="206"/>
  <c r="F44" i="206"/>
  <c r="F45" i="206"/>
  <c r="G45" i="206" s="1"/>
  <c r="F31" i="206"/>
  <c r="F26" i="206"/>
  <c r="F38" i="206"/>
  <c r="F15" i="206"/>
  <c r="F37" i="206"/>
  <c r="F11" i="206"/>
  <c r="F12" i="206"/>
  <c r="F27" i="206"/>
  <c r="F17" i="206"/>
  <c r="F13" i="206"/>
  <c r="F22" i="206"/>
  <c r="F35" i="206"/>
  <c r="F21" i="206"/>
  <c r="F14" i="206"/>
  <c r="F34" i="206"/>
  <c r="F23" i="206"/>
  <c r="E28" i="444"/>
  <c r="E39" i="444"/>
  <c r="E27" i="444"/>
  <c r="E46" i="444"/>
  <c r="A52" i="444" s="1"/>
  <c r="E26" i="444"/>
  <c r="E45" i="444"/>
  <c r="E43" i="444"/>
  <c r="E21" i="444"/>
  <c r="E42" i="444"/>
  <c r="E34" i="444"/>
  <c r="E37" i="444"/>
  <c r="E30" i="444"/>
  <c r="E35" i="444"/>
  <c r="E31" i="444"/>
  <c r="E29" i="444"/>
  <c r="E32" i="444"/>
  <c r="E23" i="444"/>
  <c r="E24" i="444"/>
  <c r="E44" i="444"/>
  <c r="E22" i="444"/>
  <c r="E36" i="444"/>
  <c r="E40" i="444"/>
  <c r="E38" i="444"/>
  <c r="H40" i="464"/>
  <c r="C40" i="464" s="1"/>
  <c r="E48" i="464"/>
  <c r="F43" i="50"/>
  <c r="I43" i="50" s="1"/>
  <c r="E38" i="470"/>
  <c r="E29" i="470"/>
  <c r="E30" i="470"/>
  <c r="E31" i="470"/>
  <c r="E34" i="470"/>
  <c r="E35" i="470"/>
  <c r="E36" i="470"/>
  <c r="E37" i="470"/>
  <c r="E46" i="470"/>
  <c r="A52" i="470" s="1"/>
  <c r="E28" i="470"/>
  <c r="H32" i="379"/>
  <c r="C32" i="379" s="1"/>
  <c r="C48" i="379" s="1"/>
  <c r="C24" i="419"/>
  <c r="C48" i="419" s="1"/>
  <c r="H48" i="419"/>
  <c r="H50" i="419" s="1"/>
  <c r="E6" i="419" s="1"/>
  <c r="E32" i="470"/>
  <c r="H48" i="237"/>
  <c r="H50" i="237" s="1"/>
  <c r="E6" i="237" s="1"/>
  <c r="C32" i="223"/>
  <c r="C48" i="223" s="1"/>
  <c r="H48" i="223"/>
  <c r="H50" i="223" s="1"/>
  <c r="E6" i="223" s="1"/>
  <c r="C32" i="281"/>
  <c r="C48" i="281" s="1"/>
  <c r="H48" i="281"/>
  <c r="H50" i="281" s="1"/>
  <c r="E6" i="281" s="1"/>
  <c r="J50" i="96"/>
  <c r="E50" i="96"/>
  <c r="C46" i="104"/>
  <c r="C48" i="104" s="1"/>
  <c r="H48" i="104"/>
  <c r="H50" i="104" s="1"/>
  <c r="E6" i="104" s="1"/>
  <c r="D48" i="138"/>
  <c r="E46" i="138" s="1"/>
  <c r="A52" i="138" s="1"/>
  <c r="D50" i="138"/>
  <c r="E50" i="129"/>
  <c r="J50" i="129"/>
  <c r="H48" i="392"/>
  <c r="H50" i="392" s="1"/>
  <c r="E6" i="392" s="1"/>
  <c r="F22" i="113"/>
  <c r="F42" i="113"/>
  <c r="F35" i="113"/>
  <c r="F43" i="113"/>
  <c r="F10" i="113"/>
  <c r="F37" i="113"/>
  <c r="F36" i="113"/>
  <c r="F34" i="113"/>
  <c r="F38" i="113"/>
  <c r="F31" i="113"/>
  <c r="C46" i="432"/>
  <c r="C48" i="432" s="1"/>
  <c r="H48" i="432"/>
  <c r="H50" i="432" s="1"/>
  <c r="E6" i="432" s="1"/>
  <c r="J50" i="455"/>
  <c r="E50" i="455"/>
  <c r="F30" i="74"/>
  <c r="F27" i="74"/>
  <c r="F10" i="74"/>
  <c r="F11" i="74"/>
  <c r="F18" i="74"/>
  <c r="F42" i="74"/>
  <c r="F31" i="74"/>
  <c r="F15" i="74"/>
  <c r="F38" i="74"/>
  <c r="F16" i="74"/>
  <c r="F14" i="74"/>
  <c r="F35" i="74"/>
  <c r="F44" i="74"/>
  <c r="F21" i="74"/>
  <c r="C48" i="339"/>
  <c r="F34" i="219"/>
  <c r="F12" i="219"/>
  <c r="F10" i="219"/>
  <c r="F31" i="219"/>
  <c r="F38" i="219"/>
  <c r="F11" i="219"/>
  <c r="F42" i="219"/>
  <c r="F36" i="219"/>
  <c r="F16" i="219"/>
  <c r="F18" i="219"/>
  <c r="F13" i="219"/>
  <c r="F23" i="219"/>
  <c r="F43" i="219"/>
  <c r="F15" i="219"/>
  <c r="F26" i="219"/>
  <c r="F21" i="219"/>
  <c r="F39" i="219"/>
  <c r="F44" i="219"/>
  <c r="F27" i="219"/>
  <c r="F30" i="219"/>
  <c r="F37" i="219"/>
  <c r="F17" i="219"/>
  <c r="F35" i="219"/>
  <c r="F29" i="219"/>
  <c r="F22" i="219"/>
  <c r="F45" i="219"/>
  <c r="G45" i="219" s="1"/>
  <c r="F14" i="219"/>
  <c r="F28" i="219"/>
  <c r="H40" i="62"/>
  <c r="C40" i="62" s="1"/>
  <c r="C48" i="62" s="1"/>
  <c r="E50" i="367"/>
  <c r="J50" i="367"/>
  <c r="E32" i="59"/>
  <c r="E46" i="59"/>
  <c r="A52" i="59" s="1"/>
  <c r="E43" i="59"/>
  <c r="E44" i="59"/>
  <c r="E45" i="59"/>
  <c r="E21" i="59"/>
  <c r="E22" i="59"/>
  <c r="E27" i="59"/>
  <c r="E30" i="59"/>
  <c r="E28" i="59"/>
  <c r="E34" i="59"/>
  <c r="E36" i="59"/>
  <c r="E35" i="59"/>
  <c r="E26" i="59"/>
  <c r="E37" i="59"/>
  <c r="E29" i="59"/>
  <c r="E23" i="59"/>
  <c r="E31" i="59"/>
  <c r="E42" i="59"/>
  <c r="E38" i="59"/>
  <c r="E39" i="59"/>
  <c r="E40" i="59"/>
  <c r="C19" i="208"/>
  <c r="H50" i="208"/>
  <c r="E6" i="208" s="1"/>
  <c r="F16" i="50"/>
  <c r="I16" i="50" s="1"/>
  <c r="H50" i="428"/>
  <c r="E6" i="428" s="1"/>
  <c r="F43" i="428" s="1"/>
  <c r="H48" i="425"/>
  <c r="H50" i="425" s="1"/>
  <c r="E6" i="425" s="1"/>
  <c r="F43" i="425" s="1"/>
  <c r="J50" i="410"/>
  <c r="E50" i="410"/>
  <c r="H32" i="452"/>
  <c r="C32" i="452" s="1"/>
  <c r="C48" i="452" s="1"/>
  <c r="H48" i="454"/>
  <c r="H50" i="454" s="1"/>
  <c r="E6" i="454" s="1"/>
  <c r="H32" i="291"/>
  <c r="C32" i="291" s="1"/>
  <c r="C48" i="291" s="1"/>
  <c r="E45" i="16"/>
  <c r="E32" i="16"/>
  <c r="E46" i="16"/>
  <c r="A52" i="16" s="1"/>
  <c r="E29" i="16"/>
  <c r="E30" i="16"/>
  <c r="E34" i="16"/>
  <c r="E35" i="16"/>
  <c r="E37" i="16"/>
  <c r="E38" i="16"/>
  <c r="E21" i="16"/>
  <c r="E27" i="16"/>
  <c r="E28" i="16"/>
  <c r="C24" i="116"/>
  <c r="C48" i="116" s="1"/>
  <c r="H48" i="116"/>
  <c r="H50" i="116" s="1"/>
  <c r="E6" i="116" s="1"/>
  <c r="C40" i="329"/>
  <c r="C48" i="329" s="1"/>
  <c r="H48" i="329"/>
  <c r="H50" i="329" s="1"/>
  <c r="E6" i="329" s="1"/>
  <c r="C40" i="156"/>
  <c r="C48" i="156" s="1"/>
  <c r="H48" i="156"/>
  <c r="H50" i="156" s="1"/>
  <c r="E6" i="156" s="1"/>
  <c r="C48" i="94"/>
  <c r="H46" i="138"/>
  <c r="C46" i="138" s="1"/>
  <c r="C48" i="138" s="1"/>
  <c r="F10" i="161"/>
  <c r="F23" i="161"/>
  <c r="F11" i="161"/>
  <c r="F27" i="161"/>
  <c r="F34" i="161"/>
  <c r="F21" i="161"/>
  <c r="F35" i="161"/>
  <c r="F26" i="161"/>
  <c r="F13" i="161"/>
  <c r="F39" i="161"/>
  <c r="F30" i="161"/>
  <c r="F14" i="161"/>
  <c r="F42" i="161"/>
  <c r="F29" i="161"/>
  <c r="F43" i="161"/>
  <c r="F15" i="161"/>
  <c r="F16" i="161"/>
  <c r="F31" i="161"/>
  <c r="F28" i="161"/>
  <c r="F36" i="161"/>
  <c r="F12" i="161"/>
  <c r="F18" i="161"/>
  <c r="F44" i="161"/>
  <c r="F17" i="161"/>
  <c r="F22" i="161"/>
  <c r="F45" i="161"/>
  <c r="G45" i="161" s="1"/>
  <c r="F38" i="161"/>
  <c r="F37" i="161"/>
  <c r="E31" i="129"/>
  <c r="E24" i="129"/>
  <c r="E35" i="129"/>
  <c r="E34" i="129"/>
  <c r="E36" i="129"/>
  <c r="E32" i="129"/>
  <c r="E37" i="129"/>
  <c r="E46" i="129"/>
  <c r="A52" i="129" s="1"/>
  <c r="E38" i="129"/>
  <c r="E21" i="129"/>
  <c r="E39" i="129"/>
  <c r="E22" i="129"/>
  <c r="E23" i="129"/>
  <c r="E42" i="129"/>
  <c r="E28" i="129"/>
  <c r="E43" i="129"/>
  <c r="E44" i="129"/>
  <c r="E45" i="129"/>
  <c r="E30" i="129"/>
  <c r="E26" i="129"/>
  <c r="E27" i="129"/>
  <c r="E29" i="129"/>
  <c r="H50" i="144"/>
  <c r="E6" i="144" s="1"/>
  <c r="F38" i="147"/>
  <c r="F11" i="147"/>
  <c r="F17" i="147"/>
  <c r="F35" i="147"/>
  <c r="F18" i="147"/>
  <c r="F29" i="147"/>
  <c r="F30" i="147"/>
  <c r="F45" i="147"/>
  <c r="G45" i="147" s="1"/>
  <c r="F23" i="147"/>
  <c r="F22" i="147"/>
  <c r="F42" i="147"/>
  <c r="F43" i="147"/>
  <c r="F12" i="147"/>
  <c r="F10" i="147"/>
  <c r="F34" i="147"/>
  <c r="F39" i="147"/>
  <c r="F21" i="147"/>
  <c r="F27" i="147"/>
  <c r="F36" i="147"/>
  <c r="F37" i="147"/>
  <c r="F28" i="147"/>
  <c r="F15" i="147"/>
  <c r="F14" i="147"/>
  <c r="F44" i="147"/>
  <c r="F16" i="147"/>
  <c r="F26" i="147"/>
  <c r="F13" i="147"/>
  <c r="F31" i="147"/>
  <c r="H48" i="333"/>
  <c r="H50" i="333" s="1"/>
  <c r="E6" i="333" s="1"/>
  <c r="H48" i="52"/>
  <c r="H50" i="52" s="1"/>
  <c r="E6" i="52" s="1"/>
  <c r="H48" i="343"/>
  <c r="H50" i="343" s="1"/>
  <c r="E6" i="343" s="1"/>
  <c r="H48" i="203"/>
  <c r="H50" i="203" s="1"/>
  <c r="E6" i="203" s="1"/>
  <c r="D50" i="423"/>
  <c r="J50" i="423" s="1"/>
  <c r="H50" i="259"/>
  <c r="E6" i="259" s="1"/>
  <c r="F18" i="259" s="1"/>
  <c r="D50" i="405"/>
  <c r="D48" i="405"/>
  <c r="E32" i="405" s="1"/>
  <c r="J50" i="449"/>
  <c r="E50" i="449"/>
  <c r="H32" i="286"/>
  <c r="C32" i="286" s="1"/>
  <c r="C48" i="286" s="1"/>
  <c r="C40" i="194"/>
  <c r="C48" i="194" s="1"/>
  <c r="H48" i="194"/>
  <c r="H50" i="194" s="1"/>
  <c r="E6" i="194" s="1"/>
  <c r="F26" i="107"/>
  <c r="F16" i="107"/>
  <c r="F12" i="107"/>
  <c r="F39" i="107"/>
  <c r="C40" i="192"/>
  <c r="C48" i="192" s="1"/>
  <c r="H48" i="192"/>
  <c r="H50" i="192" s="1"/>
  <c r="E6" i="192" s="1"/>
  <c r="H46" i="245"/>
  <c r="C46" i="245" s="1"/>
  <c r="C48" i="245" s="1"/>
  <c r="C19" i="160"/>
  <c r="E48" i="157"/>
  <c r="E32" i="321"/>
  <c r="H48" i="263"/>
  <c r="H50" i="263" s="1"/>
  <c r="E6" i="263" s="1"/>
  <c r="C40" i="458"/>
  <c r="C48" i="458" s="1"/>
  <c r="H48" i="458"/>
  <c r="H50" i="458" s="1"/>
  <c r="E6" i="458" s="1"/>
  <c r="H48" i="460"/>
  <c r="H50" i="460" s="1"/>
  <c r="E6" i="460" s="1"/>
  <c r="H24" i="175"/>
  <c r="C24" i="175" s="1"/>
  <c r="C48" i="175" s="1"/>
  <c r="H48" i="193"/>
  <c r="H50" i="193" s="1"/>
  <c r="E6" i="193" s="1"/>
  <c r="H40" i="69"/>
  <c r="C40" i="69" s="1"/>
  <c r="C48" i="69" s="1"/>
  <c r="J50" i="437"/>
  <c r="E50" i="437"/>
  <c r="E50" i="423"/>
  <c r="C24" i="364"/>
  <c r="C48" i="364" s="1"/>
  <c r="H48" i="364"/>
  <c r="H50" i="364" s="1"/>
  <c r="E6" i="364" s="1"/>
  <c r="H40" i="158"/>
  <c r="C40" i="158" s="1"/>
  <c r="C48" i="158" s="1"/>
  <c r="F37" i="204"/>
  <c r="F28" i="204"/>
  <c r="I39" i="187"/>
  <c r="G39" i="187"/>
  <c r="G31" i="188"/>
  <c r="I31" i="188"/>
  <c r="F14" i="457"/>
  <c r="F26" i="457"/>
  <c r="F23" i="457"/>
  <c r="F28" i="457"/>
  <c r="F34" i="457"/>
  <c r="F35" i="457"/>
  <c r="F44" i="457"/>
  <c r="F15" i="457"/>
  <c r="F16" i="457"/>
  <c r="F11" i="457"/>
  <c r="F39" i="457"/>
  <c r="F27" i="457"/>
  <c r="F12" i="457"/>
  <c r="F17" i="457"/>
  <c r="F45" i="457"/>
  <c r="G45" i="457" s="1"/>
  <c r="F43" i="457"/>
  <c r="F18" i="457"/>
  <c r="F29" i="457"/>
  <c r="F30" i="457"/>
  <c r="F36" i="457"/>
  <c r="F13" i="457"/>
  <c r="F37" i="457"/>
  <c r="F21" i="457"/>
  <c r="F38" i="457"/>
  <c r="F31" i="457"/>
  <c r="F22" i="457"/>
  <c r="F42" i="457"/>
  <c r="F10" i="457"/>
  <c r="I26" i="381"/>
  <c r="G26" i="381"/>
  <c r="G27" i="356"/>
  <c r="E37" i="469"/>
  <c r="E38" i="469"/>
  <c r="E21" i="469"/>
  <c r="E39" i="469"/>
  <c r="E22" i="469"/>
  <c r="E23" i="469"/>
  <c r="E42" i="469"/>
  <c r="E24" i="469"/>
  <c r="E43" i="469"/>
  <c r="E26" i="469"/>
  <c r="E44" i="469"/>
  <c r="E27" i="469"/>
  <c r="E45" i="469"/>
  <c r="E28" i="469"/>
  <c r="E46" i="469"/>
  <c r="A52" i="469" s="1"/>
  <c r="E29" i="469"/>
  <c r="E31" i="469"/>
  <c r="E32" i="469"/>
  <c r="E34" i="469"/>
  <c r="E30" i="469"/>
  <c r="E35" i="469"/>
  <c r="E36" i="469"/>
  <c r="E4" i="472"/>
  <c r="G4" i="472"/>
  <c r="H42" i="476"/>
  <c r="H46" i="476" s="1"/>
  <c r="D46" i="476"/>
  <c r="C24" i="400"/>
  <c r="C48" i="400" s="1"/>
  <c r="H48" i="400"/>
  <c r="H50" i="400" s="1"/>
  <c r="E6" i="400" s="1"/>
  <c r="C24" i="434"/>
  <c r="C48" i="434" s="1"/>
  <c r="H48" i="434"/>
  <c r="H50" i="434" s="1"/>
  <c r="E6" i="434" s="1"/>
  <c r="C32" i="360"/>
  <c r="C48" i="360" s="1"/>
  <c r="H48" i="360"/>
  <c r="H50" i="360" s="1"/>
  <c r="E6" i="360" s="1"/>
  <c r="E42" i="364"/>
  <c r="E24" i="364"/>
  <c r="E35" i="364"/>
  <c r="E43" i="364"/>
  <c r="E22" i="364"/>
  <c r="E26" i="364"/>
  <c r="E44" i="364"/>
  <c r="E38" i="364"/>
  <c r="E27" i="364"/>
  <c r="E23" i="364"/>
  <c r="E45" i="364"/>
  <c r="E28" i="364"/>
  <c r="E29" i="364"/>
  <c r="E39" i="364"/>
  <c r="E30" i="364"/>
  <c r="E37" i="364"/>
  <c r="E21" i="364"/>
  <c r="E31" i="364"/>
  <c r="E34" i="364"/>
  <c r="E46" i="364"/>
  <c r="A52" i="364" s="1"/>
  <c r="E40" i="364"/>
  <c r="E32" i="364"/>
  <c r="E36" i="364"/>
  <c r="C40" i="355"/>
  <c r="C48" i="355" s="1"/>
  <c r="H48" i="355"/>
  <c r="H50" i="355" s="1"/>
  <c r="E6" i="355" s="1"/>
  <c r="H32" i="122"/>
  <c r="C32" i="122" s="1"/>
  <c r="C48" i="122" s="1"/>
  <c r="D50" i="158"/>
  <c r="D48" i="158"/>
  <c r="E40" i="158" s="1"/>
  <c r="E48" i="72"/>
  <c r="C40" i="246"/>
  <c r="C48" i="246" s="1"/>
  <c r="H48" i="246"/>
  <c r="H50" i="246" s="1"/>
  <c r="E6" i="246" s="1"/>
  <c r="H48" i="289"/>
  <c r="H50" i="289" s="1"/>
  <c r="E6" i="289" s="1"/>
  <c r="G15" i="164"/>
  <c r="I15" i="164"/>
  <c r="I27" i="164"/>
  <c r="G27" i="164"/>
  <c r="I16" i="178"/>
  <c r="G16" i="178"/>
  <c r="I43" i="187"/>
  <c r="G43" i="187"/>
  <c r="F31" i="365"/>
  <c r="F26" i="365"/>
  <c r="F16" i="365"/>
  <c r="F27" i="365"/>
  <c r="F21" i="365"/>
  <c r="F34" i="365"/>
  <c r="F12" i="365"/>
  <c r="F30" i="365"/>
  <c r="F23" i="365"/>
  <c r="F38" i="365"/>
  <c r="F18" i="365"/>
  <c r="F36" i="365"/>
  <c r="F17" i="365"/>
  <c r="F13" i="365"/>
  <c r="F14" i="365"/>
  <c r="F29" i="365"/>
  <c r="F45" i="365"/>
  <c r="G45" i="365" s="1"/>
  <c r="F15" i="365"/>
  <c r="F44" i="365"/>
  <c r="F42" i="365"/>
  <c r="F43" i="365"/>
  <c r="F10" i="365"/>
  <c r="F37" i="365"/>
  <c r="F28" i="365"/>
  <c r="F35" i="365"/>
  <c r="F11" i="365"/>
  <c r="F22" i="365"/>
  <c r="F39" i="365"/>
  <c r="I42" i="356"/>
  <c r="G42" i="356"/>
  <c r="C48" i="426"/>
  <c r="H48" i="197"/>
  <c r="H50" i="197" s="1"/>
  <c r="E6" i="197" s="1"/>
  <c r="E50" i="364"/>
  <c r="J50" i="364"/>
  <c r="G4" i="478"/>
  <c r="E4" i="478"/>
  <c r="J50" i="454"/>
  <c r="E50" i="454"/>
  <c r="C24" i="462"/>
  <c r="C48" i="462" s="1"/>
  <c r="H48" i="462"/>
  <c r="H50" i="462" s="1"/>
  <c r="E6" i="462" s="1"/>
  <c r="C46" i="418"/>
  <c r="C48" i="418" s="1"/>
  <c r="H48" i="418"/>
  <c r="H50" i="418" s="1"/>
  <c r="E6" i="418" s="1"/>
  <c r="D48" i="310"/>
  <c r="E32" i="310" s="1"/>
  <c r="C32" i="310"/>
  <c r="C48" i="310" s="1"/>
  <c r="D50" i="310"/>
  <c r="E22" i="168"/>
  <c r="E28" i="168"/>
  <c r="E34" i="168"/>
  <c r="E46" i="168"/>
  <c r="A52" i="168" s="1"/>
  <c r="E38" i="168"/>
  <c r="E29" i="168"/>
  <c r="E30" i="168"/>
  <c r="E31" i="168"/>
  <c r="E32" i="168"/>
  <c r="E35" i="168"/>
  <c r="E23" i="168"/>
  <c r="E36" i="168"/>
  <c r="E42" i="168"/>
  <c r="E37" i="168"/>
  <c r="E24" i="168"/>
  <c r="E43" i="168"/>
  <c r="E26" i="168"/>
  <c r="E44" i="168"/>
  <c r="E27" i="168"/>
  <c r="E45" i="168"/>
  <c r="E40" i="168"/>
  <c r="E21" i="168"/>
  <c r="E39" i="168"/>
  <c r="C46" i="67"/>
  <c r="C48" i="67" s="1"/>
  <c r="H48" i="67"/>
  <c r="H50" i="67" s="1"/>
  <c r="E6" i="67" s="1"/>
  <c r="C19" i="39"/>
  <c r="H50" i="39"/>
  <c r="E6" i="39" s="1"/>
  <c r="E48" i="325"/>
  <c r="H48" i="262"/>
  <c r="H50" i="262" s="1"/>
  <c r="E6" i="262" s="1"/>
  <c r="C40" i="262"/>
  <c r="C48" i="262" s="1"/>
  <c r="E48" i="201"/>
  <c r="F36" i="142"/>
  <c r="F42" i="142"/>
  <c r="F37" i="142"/>
  <c r="F14" i="142"/>
  <c r="F27" i="142"/>
  <c r="F39" i="142"/>
  <c r="F18" i="142"/>
  <c r="F13" i="142"/>
  <c r="F21" i="142"/>
  <c r="F23" i="142"/>
  <c r="F22" i="142"/>
  <c r="F43" i="142"/>
  <c r="F12" i="142"/>
  <c r="F10" i="142"/>
  <c r="C48" i="289"/>
  <c r="I13" i="164"/>
  <c r="G13" i="164"/>
  <c r="G21" i="164"/>
  <c r="I21" i="164"/>
  <c r="I27" i="187"/>
  <c r="G27" i="187"/>
  <c r="I18" i="187"/>
  <c r="G18" i="187"/>
  <c r="I37" i="187"/>
  <c r="G37" i="187"/>
  <c r="I38" i="188"/>
  <c r="G38" i="188"/>
  <c r="F38" i="368"/>
  <c r="F28" i="368"/>
  <c r="F42" i="368"/>
  <c r="F45" i="368"/>
  <c r="G45" i="368" s="1"/>
  <c r="F37" i="368"/>
  <c r="F39" i="368"/>
  <c r="F12" i="368"/>
  <c r="F27" i="368"/>
  <c r="F29" i="368"/>
  <c r="F35" i="368"/>
  <c r="F31" i="368"/>
  <c r="F36" i="368"/>
  <c r="F15" i="368"/>
  <c r="F14" i="368"/>
  <c r="F43" i="368"/>
  <c r="F18" i="368"/>
  <c r="F23" i="368"/>
  <c r="F21" i="368"/>
  <c r="F17" i="368"/>
  <c r="F13" i="368"/>
  <c r="F34" i="368"/>
  <c r="F11" i="368"/>
  <c r="F44" i="368"/>
  <c r="F10" i="368"/>
  <c r="F16" i="368"/>
  <c r="F30" i="368"/>
  <c r="F22" i="368"/>
  <c r="F26" i="368"/>
  <c r="F14" i="80"/>
  <c r="F12" i="80"/>
  <c r="F44" i="80"/>
  <c r="F39" i="80"/>
  <c r="F37" i="80"/>
  <c r="F27" i="80"/>
  <c r="F45" i="80"/>
  <c r="G45" i="80" s="1"/>
  <c r="F17" i="80"/>
  <c r="F18" i="80"/>
  <c r="F36" i="80"/>
  <c r="F22" i="80"/>
  <c r="F38" i="80"/>
  <c r="F28" i="80"/>
  <c r="F29" i="80"/>
  <c r="F23" i="80"/>
  <c r="F42" i="80"/>
  <c r="F15" i="80"/>
  <c r="F35" i="80"/>
  <c r="F31" i="80"/>
  <c r="F34" i="80"/>
  <c r="F10" i="80"/>
  <c r="F13" i="80"/>
  <c r="F30" i="80"/>
  <c r="F16" i="80"/>
  <c r="F43" i="80"/>
  <c r="F11" i="80"/>
  <c r="F21" i="80"/>
  <c r="F26" i="80"/>
  <c r="I30" i="356"/>
  <c r="G30" i="356"/>
  <c r="F48" i="308"/>
  <c r="F42" i="425"/>
  <c r="F23" i="425"/>
  <c r="F11" i="425"/>
  <c r="F44" i="425"/>
  <c r="F21" i="425"/>
  <c r="F38" i="425"/>
  <c r="F34" i="425"/>
  <c r="F15" i="425"/>
  <c r="F17" i="425"/>
  <c r="F37" i="425"/>
  <c r="H34" i="477"/>
  <c r="H40" i="477" s="1"/>
  <c r="D40" i="477"/>
  <c r="E46" i="73"/>
  <c r="A52" i="73" s="1"/>
  <c r="E22" i="73"/>
  <c r="E29" i="73"/>
  <c r="E32" i="73"/>
  <c r="E37" i="73"/>
  <c r="E23" i="73"/>
  <c r="E42" i="73"/>
  <c r="E44" i="73"/>
  <c r="E24" i="73"/>
  <c r="E26" i="73"/>
  <c r="E27" i="73"/>
  <c r="E28" i="73"/>
  <c r="E30" i="73"/>
  <c r="E39" i="73"/>
  <c r="E31" i="73"/>
  <c r="E34" i="73"/>
  <c r="E35" i="73"/>
  <c r="E40" i="73"/>
  <c r="E21" i="73"/>
  <c r="E43" i="73"/>
  <c r="E45" i="73"/>
  <c r="E36" i="73"/>
  <c r="E38" i="73"/>
  <c r="C24" i="8"/>
  <c r="C48" i="8" s="1"/>
  <c r="H48" i="8"/>
  <c r="H50" i="8" s="1"/>
  <c r="E6" i="8" s="1"/>
  <c r="I30" i="187"/>
  <c r="I36" i="153"/>
  <c r="G36" i="153"/>
  <c r="H19" i="468"/>
  <c r="C19" i="468" s="1"/>
  <c r="H24" i="464"/>
  <c r="C24" i="464" s="1"/>
  <c r="C48" i="464" s="1"/>
  <c r="G4" i="489"/>
  <c r="E4" i="489"/>
  <c r="E50" i="489"/>
  <c r="J50" i="489"/>
  <c r="C46" i="453"/>
  <c r="C48" i="453" s="1"/>
  <c r="H48" i="453"/>
  <c r="H50" i="453" s="1"/>
  <c r="E6" i="453" s="1"/>
  <c r="E36" i="393"/>
  <c r="E40" i="393"/>
  <c r="E35" i="393"/>
  <c r="E32" i="393"/>
  <c r="E31" i="393"/>
  <c r="E29" i="393"/>
  <c r="E28" i="393"/>
  <c r="E27" i="393"/>
  <c r="E26" i="393"/>
  <c r="E23" i="393"/>
  <c r="E22" i="393"/>
  <c r="E21" i="393"/>
  <c r="E45" i="393"/>
  <c r="E24" i="393"/>
  <c r="E44" i="393"/>
  <c r="E30" i="393"/>
  <c r="E43" i="393"/>
  <c r="E34" i="393"/>
  <c r="E39" i="393"/>
  <c r="E42" i="393"/>
  <c r="E38" i="393"/>
  <c r="E46" i="393"/>
  <c r="A52" i="393" s="1"/>
  <c r="E37" i="393"/>
  <c r="E29" i="370"/>
  <c r="E28" i="370"/>
  <c r="E42" i="370"/>
  <c r="E23" i="370"/>
  <c r="E44" i="370"/>
  <c r="E26" i="370"/>
  <c r="E45" i="370"/>
  <c r="E24" i="370"/>
  <c r="E27" i="370"/>
  <c r="E43" i="370"/>
  <c r="E46" i="370"/>
  <c r="A52" i="370" s="1"/>
  <c r="E31" i="370"/>
  <c r="E34" i="370"/>
  <c r="E30" i="370"/>
  <c r="E35" i="370"/>
  <c r="E36" i="370"/>
  <c r="E37" i="370"/>
  <c r="E38" i="370"/>
  <c r="E40" i="370"/>
  <c r="E32" i="370"/>
  <c r="E39" i="370"/>
  <c r="E21" i="370"/>
  <c r="E22" i="370"/>
  <c r="C24" i="373"/>
  <c r="C48" i="373" s="1"/>
  <c r="H48" i="373"/>
  <c r="H50" i="373" s="1"/>
  <c r="E6" i="373" s="1"/>
  <c r="C40" i="61"/>
  <c r="C48" i="61" s="1"/>
  <c r="H48" i="61"/>
  <c r="H50" i="61" s="1"/>
  <c r="E6" i="61" s="1"/>
  <c r="E48" i="317"/>
  <c r="I31" i="164"/>
  <c r="G31" i="164"/>
  <c r="G17" i="164"/>
  <c r="I17" i="164"/>
  <c r="F43" i="171"/>
  <c r="F31" i="171"/>
  <c r="F26" i="171"/>
  <c r="F37" i="171"/>
  <c r="F36" i="171"/>
  <c r="F35" i="171"/>
  <c r="F10" i="171"/>
  <c r="F12" i="171"/>
  <c r="F28" i="171"/>
  <c r="F16" i="171"/>
  <c r="F45" i="171"/>
  <c r="G45" i="171" s="1"/>
  <c r="F44" i="171"/>
  <c r="F42" i="171"/>
  <c r="F34" i="171"/>
  <c r="I43" i="178"/>
  <c r="G43" i="178"/>
  <c r="I17" i="187"/>
  <c r="G17" i="187"/>
  <c r="E48" i="380"/>
  <c r="F22" i="346"/>
  <c r="F17" i="346"/>
  <c r="F42" i="346"/>
  <c r="F16" i="346"/>
  <c r="E48" i="402"/>
  <c r="G12" i="188"/>
  <c r="I12" i="188"/>
  <c r="F17" i="391"/>
  <c r="F44" i="391"/>
  <c r="F39" i="391"/>
  <c r="F45" i="391"/>
  <c r="G45" i="391" s="1"/>
  <c r="F10" i="391"/>
  <c r="F13" i="391"/>
  <c r="F15" i="391"/>
  <c r="F18" i="391"/>
  <c r="F26" i="391"/>
  <c r="F21" i="391"/>
  <c r="F29" i="391"/>
  <c r="F22" i="391"/>
  <c r="F11" i="391"/>
  <c r="F23" i="391"/>
  <c r="F31" i="391"/>
  <c r="F27" i="391"/>
  <c r="F12" i="391"/>
  <c r="F28" i="391"/>
  <c r="F14" i="391"/>
  <c r="F35" i="391"/>
  <c r="F36" i="391"/>
  <c r="F37" i="391"/>
  <c r="F16" i="391"/>
  <c r="F42" i="391"/>
  <c r="F30" i="391"/>
  <c r="F43" i="391"/>
  <c r="F34" i="391"/>
  <c r="F38" i="391"/>
  <c r="E48" i="455"/>
  <c r="H48" i="437"/>
  <c r="H50" i="437" s="1"/>
  <c r="E6" i="437" s="1"/>
  <c r="I43" i="381"/>
  <c r="G43" i="381"/>
  <c r="I12" i="356"/>
  <c r="G12" i="356"/>
  <c r="H48" i="230"/>
  <c r="H50" i="230" s="1"/>
  <c r="E6" i="230" s="1"/>
  <c r="H48" i="196"/>
  <c r="H50" i="196" s="1"/>
  <c r="E6" i="196" s="1"/>
  <c r="J50" i="356"/>
  <c r="E50" i="356"/>
  <c r="C32" i="78"/>
  <c r="C48" i="78" s="1"/>
  <c r="H48" i="78"/>
  <c r="H50" i="78" s="1"/>
  <c r="E6" i="78" s="1"/>
  <c r="E50" i="30"/>
  <c r="J50" i="30"/>
  <c r="E48" i="332"/>
  <c r="F43" i="255"/>
  <c r="F28" i="255"/>
  <c r="F30" i="255"/>
  <c r="F29" i="255"/>
  <c r="F14" i="255"/>
  <c r="F12" i="255"/>
  <c r="F13" i="255"/>
  <c r="F39" i="255"/>
  <c r="F36" i="255"/>
  <c r="F26" i="255"/>
  <c r="F21" i="255"/>
  <c r="F44" i="255"/>
  <c r="F15" i="255"/>
  <c r="F27" i="255"/>
  <c r="F16" i="255"/>
  <c r="F45" i="255"/>
  <c r="G45" i="255" s="1"/>
  <c r="F23" i="255"/>
  <c r="F34" i="255"/>
  <c r="F37" i="255"/>
  <c r="F22" i="255"/>
  <c r="F42" i="255"/>
  <c r="F17" i="255"/>
  <c r="F11" i="255"/>
  <c r="F35" i="255"/>
  <c r="F31" i="255"/>
  <c r="F10" i="255"/>
  <c r="F38" i="255"/>
  <c r="F18" i="255"/>
  <c r="E48" i="189"/>
  <c r="F18" i="65"/>
  <c r="F35" i="65"/>
  <c r="F15" i="65"/>
  <c r="I42" i="164"/>
  <c r="G42" i="164"/>
  <c r="G35" i="187"/>
  <c r="I35" i="187"/>
  <c r="I30" i="188"/>
  <c r="G30" i="188"/>
  <c r="F18" i="88"/>
  <c r="F42" i="88"/>
  <c r="F10" i="88"/>
  <c r="F14" i="88"/>
  <c r="F31" i="88"/>
  <c r="F12" i="88"/>
  <c r="F35" i="88"/>
  <c r="F17" i="88"/>
  <c r="F26" i="88"/>
  <c r="F22" i="88"/>
  <c r="F37" i="88"/>
  <c r="F15" i="88"/>
  <c r="F28" i="88"/>
  <c r="F45" i="88"/>
  <c r="G45" i="88" s="1"/>
  <c r="F11" i="88"/>
  <c r="F38" i="88"/>
  <c r="F43" i="88"/>
  <c r="F36" i="88"/>
  <c r="F23" i="88"/>
  <c r="F16" i="88"/>
  <c r="F27" i="88"/>
  <c r="F29" i="88"/>
  <c r="F39" i="88"/>
  <c r="F34" i="88"/>
  <c r="F21" i="88"/>
  <c r="F44" i="88"/>
  <c r="F30" i="88"/>
  <c r="F13" i="88"/>
  <c r="I30" i="447"/>
  <c r="G30" i="447"/>
  <c r="C19" i="349"/>
  <c r="I34" i="381"/>
  <c r="G34" i="381"/>
  <c r="I29" i="356"/>
  <c r="G29" i="356"/>
  <c r="H48" i="195"/>
  <c r="H50" i="195" s="1"/>
  <c r="E6" i="195" s="1"/>
  <c r="H27" i="478"/>
  <c r="H24" i="467"/>
  <c r="C24" i="467" s="1"/>
  <c r="H27" i="472"/>
  <c r="H43" i="472"/>
  <c r="C46" i="423"/>
  <c r="E6" i="267"/>
  <c r="C46" i="157"/>
  <c r="C48" i="157" s="1"/>
  <c r="H48" i="157"/>
  <c r="H50" i="157" s="1"/>
  <c r="E6" i="157" s="1"/>
  <c r="D48" i="82"/>
  <c r="C32" i="37"/>
  <c r="C48" i="37" s="1"/>
  <c r="H48" i="37"/>
  <c r="H50" i="37" s="1"/>
  <c r="E6" i="37" s="1"/>
  <c r="E37" i="30"/>
  <c r="E38" i="30"/>
  <c r="E40" i="30"/>
  <c r="E21" i="30"/>
  <c r="E22" i="30"/>
  <c r="E23" i="30"/>
  <c r="E32" i="30"/>
  <c r="E42" i="30"/>
  <c r="E28" i="30"/>
  <c r="E43" i="30"/>
  <c r="E29" i="30"/>
  <c r="E44" i="30"/>
  <c r="E35" i="30"/>
  <c r="E36" i="30"/>
  <c r="E39" i="30"/>
  <c r="E27" i="30"/>
  <c r="E45" i="30"/>
  <c r="E24" i="30"/>
  <c r="E26" i="30"/>
  <c r="E46" i="30"/>
  <c r="A52" i="30" s="1"/>
  <c r="E30" i="30"/>
  <c r="E31" i="30"/>
  <c r="E34" i="30"/>
  <c r="C24" i="14"/>
  <c r="C48" i="14" s="1"/>
  <c r="H48" i="14"/>
  <c r="H50" i="14" s="1"/>
  <c r="E6" i="14" s="1"/>
  <c r="F35" i="126"/>
  <c r="F12" i="126"/>
  <c r="F11" i="126"/>
  <c r="F39" i="126"/>
  <c r="F13" i="126"/>
  <c r="F43" i="126"/>
  <c r="F44" i="126"/>
  <c r="F10" i="126"/>
  <c r="F16" i="126"/>
  <c r="F22" i="126"/>
  <c r="F23" i="126"/>
  <c r="F31" i="126"/>
  <c r="F26" i="126"/>
  <c r="F37" i="126"/>
  <c r="I30" i="164"/>
  <c r="G30" i="164"/>
  <c r="G14" i="178"/>
  <c r="I14" i="178"/>
  <c r="G11" i="187"/>
  <c r="I11" i="187"/>
  <c r="I29" i="447"/>
  <c r="G29" i="447"/>
  <c r="H50" i="19"/>
  <c r="E6" i="19" s="1"/>
  <c r="I21" i="356"/>
  <c r="G21" i="356"/>
  <c r="F38" i="248"/>
  <c r="F15" i="248"/>
  <c r="F16" i="248"/>
  <c r="F42" i="248"/>
  <c r="F30" i="248"/>
  <c r="F29" i="248"/>
  <c r="F12" i="248"/>
  <c r="F28" i="248"/>
  <c r="F36" i="248"/>
  <c r="F43" i="248"/>
  <c r="F35" i="248"/>
  <c r="F18" i="248"/>
  <c r="F37" i="248"/>
  <c r="F39" i="248"/>
  <c r="F14" i="248"/>
  <c r="F13" i="248"/>
  <c r="F23" i="248"/>
  <c r="F45" i="248"/>
  <c r="G45" i="248" s="1"/>
  <c r="F21" i="248"/>
  <c r="F26" i="248"/>
  <c r="F34" i="248"/>
  <c r="F44" i="248"/>
  <c r="F17" i="248"/>
  <c r="F27" i="248"/>
  <c r="F22" i="248"/>
  <c r="F31" i="248"/>
  <c r="F10" i="248"/>
  <c r="F11" i="248"/>
  <c r="F10" i="228"/>
  <c r="F15" i="228"/>
  <c r="F39" i="228"/>
  <c r="F37" i="228"/>
  <c r="F27" i="228"/>
  <c r="F29" i="228"/>
  <c r="F11" i="228"/>
  <c r="F26" i="228"/>
  <c r="F36" i="228"/>
  <c r="F43" i="228"/>
  <c r="F34" i="228"/>
  <c r="F12" i="228"/>
  <c r="F22" i="228"/>
  <c r="F35" i="228"/>
  <c r="F18" i="228"/>
  <c r="F44" i="228"/>
  <c r="F31" i="228"/>
  <c r="F16" i="228"/>
  <c r="F30" i="228"/>
  <c r="F17" i="228"/>
  <c r="F13" i="228"/>
  <c r="F45" i="228"/>
  <c r="G45" i="228" s="1"/>
  <c r="F23" i="228"/>
  <c r="F21" i="228"/>
  <c r="F42" i="228"/>
  <c r="F14" i="228"/>
  <c r="F38" i="228"/>
  <c r="F28" i="228"/>
  <c r="F37" i="145"/>
  <c r="F42" i="145"/>
  <c r="F13" i="145"/>
  <c r="F35" i="145"/>
  <c r="F28" i="145"/>
  <c r="F26" i="145"/>
  <c r="F14" i="145"/>
  <c r="F45" i="145"/>
  <c r="G45" i="145" s="1"/>
  <c r="F22" i="145"/>
  <c r="F16" i="145"/>
  <c r="F39" i="145"/>
  <c r="F43" i="145"/>
  <c r="F15" i="145"/>
  <c r="F17" i="145"/>
  <c r="F30" i="145"/>
  <c r="F10" i="145"/>
  <c r="F34" i="145"/>
  <c r="F31" i="145"/>
  <c r="F11" i="145"/>
  <c r="F44" i="145"/>
  <c r="F12" i="145"/>
  <c r="F18" i="145"/>
  <c r="F21" i="145"/>
  <c r="F23" i="145"/>
  <c r="F29" i="145"/>
  <c r="F38" i="145"/>
  <c r="F27" i="145"/>
  <c r="F36" i="145"/>
  <c r="H40" i="269"/>
  <c r="C40" i="269" s="1"/>
  <c r="C48" i="269" s="1"/>
  <c r="C24" i="370"/>
  <c r="C48" i="370" s="1"/>
  <c r="H48" i="370"/>
  <c r="H50" i="370" s="1"/>
  <c r="E6" i="370" s="1"/>
  <c r="H26" i="478"/>
  <c r="D32" i="478"/>
  <c r="E21" i="467"/>
  <c r="E39" i="467"/>
  <c r="E22" i="467"/>
  <c r="E23" i="467"/>
  <c r="E42" i="467"/>
  <c r="E24" i="467"/>
  <c r="E43" i="467"/>
  <c r="E26" i="467"/>
  <c r="E44" i="467"/>
  <c r="E27" i="467"/>
  <c r="E45" i="467"/>
  <c r="E28" i="467"/>
  <c r="E46" i="467"/>
  <c r="A52" i="467" s="1"/>
  <c r="E29" i="467"/>
  <c r="E30" i="467"/>
  <c r="E31" i="467"/>
  <c r="E34" i="467"/>
  <c r="E35" i="467"/>
  <c r="E36" i="467"/>
  <c r="E32" i="467"/>
  <c r="E37" i="467"/>
  <c r="E38" i="467"/>
  <c r="H42" i="478"/>
  <c r="D46" i="478"/>
  <c r="H43" i="478"/>
  <c r="E31" i="356"/>
  <c r="E35" i="356"/>
  <c r="E28" i="356"/>
  <c r="E29" i="356"/>
  <c r="E30" i="356"/>
  <c r="E46" i="356"/>
  <c r="A52" i="356" s="1"/>
  <c r="E26" i="356"/>
  <c r="E36" i="356"/>
  <c r="E39" i="356"/>
  <c r="E21" i="356"/>
  <c r="E42" i="356"/>
  <c r="E43" i="356"/>
  <c r="E23" i="356"/>
  <c r="E38" i="356"/>
  <c r="E45" i="356"/>
  <c r="E24" i="356"/>
  <c r="E34" i="356"/>
  <c r="E27" i="356"/>
  <c r="E40" i="356"/>
  <c r="E22" i="356"/>
  <c r="E37" i="356"/>
  <c r="E44" i="356"/>
  <c r="H32" i="406"/>
  <c r="C32" i="406" s="1"/>
  <c r="C48" i="406" s="1"/>
  <c r="H32" i="413"/>
  <c r="C32" i="413" s="1"/>
  <c r="C48" i="413" s="1"/>
  <c r="H46" i="117"/>
  <c r="E50" i="125"/>
  <c r="J50" i="125"/>
  <c r="C32" i="91"/>
  <c r="C48" i="91" s="1"/>
  <c r="H48" i="91"/>
  <c r="H50" i="91" s="1"/>
  <c r="E6" i="91" s="1"/>
  <c r="C24" i="35"/>
  <c r="C48" i="35" s="1"/>
  <c r="H48" i="35"/>
  <c r="H50" i="35" s="1"/>
  <c r="E6" i="35" s="1"/>
  <c r="C19" i="276"/>
  <c r="H50" i="276"/>
  <c r="E6" i="276" s="1"/>
  <c r="F13" i="165"/>
  <c r="F42" i="165"/>
  <c r="F26" i="165"/>
  <c r="F38" i="165"/>
  <c r="F27" i="165"/>
  <c r="F23" i="165"/>
  <c r="F43" i="165"/>
  <c r="F17" i="165"/>
  <c r="F30" i="165"/>
  <c r="F21" i="165"/>
  <c r="F11" i="165"/>
  <c r="F16" i="165"/>
  <c r="F18" i="165"/>
  <c r="F31" i="165"/>
  <c r="F29" i="165"/>
  <c r="F37" i="165"/>
  <c r="F34" i="165"/>
  <c r="F12" i="165"/>
  <c r="F15" i="165"/>
  <c r="F39" i="165"/>
  <c r="F36" i="165"/>
  <c r="F22" i="165"/>
  <c r="F14" i="165"/>
  <c r="F44" i="165"/>
  <c r="F35" i="165"/>
  <c r="F45" i="165"/>
  <c r="G45" i="165" s="1"/>
  <c r="F10" i="165"/>
  <c r="F28" i="165"/>
  <c r="J50" i="164"/>
  <c r="E50" i="164"/>
  <c r="H48" i="25"/>
  <c r="H50" i="25" s="1"/>
  <c r="E6" i="25" s="1"/>
  <c r="G12" i="164"/>
  <c r="I12" i="164"/>
  <c r="I13" i="178"/>
  <c r="G13" i="178"/>
  <c r="G13" i="187"/>
  <c r="I13" i="187"/>
  <c r="F15" i="362"/>
  <c r="F23" i="362"/>
  <c r="F28" i="362"/>
  <c r="F29" i="362"/>
  <c r="F18" i="362"/>
  <c r="F36" i="362"/>
  <c r="F45" i="362"/>
  <c r="G45" i="362" s="1"/>
  <c r="F10" i="362"/>
  <c r="F35" i="362"/>
  <c r="F38" i="362"/>
  <c r="F27" i="362"/>
  <c r="F34" i="362"/>
  <c r="F17" i="362"/>
  <c r="F39" i="362"/>
  <c r="F30" i="362"/>
  <c r="F12" i="362"/>
  <c r="F13" i="362"/>
  <c r="F31" i="362"/>
  <c r="F21" i="362"/>
  <c r="F42" i="362"/>
  <c r="F11" i="362"/>
  <c r="F22" i="362"/>
  <c r="F26" i="362"/>
  <c r="F16" i="362"/>
  <c r="F14" i="362"/>
  <c r="F44" i="362"/>
  <c r="F37" i="362"/>
  <c r="F43" i="362"/>
  <c r="I18" i="188"/>
  <c r="G18" i="188"/>
  <c r="I28" i="447"/>
  <c r="G28" i="447"/>
  <c r="F38" i="409"/>
  <c r="F27" i="409"/>
  <c r="F28" i="409"/>
  <c r="F42" i="409"/>
  <c r="F16" i="409"/>
  <c r="F31" i="409"/>
  <c r="F44" i="409"/>
  <c r="F13" i="409"/>
  <c r="F34" i="409"/>
  <c r="F21" i="409"/>
  <c r="F23" i="409"/>
  <c r="F35" i="409"/>
  <c r="F14" i="409"/>
  <c r="F10" i="409"/>
  <c r="F17" i="409"/>
  <c r="F11" i="409"/>
  <c r="F29" i="409"/>
  <c r="F15" i="409"/>
  <c r="F45" i="409"/>
  <c r="G45" i="409" s="1"/>
  <c r="F12" i="409"/>
  <c r="F30" i="409"/>
  <c r="F39" i="409"/>
  <c r="F18" i="409"/>
  <c r="F37" i="409"/>
  <c r="F26" i="409"/>
  <c r="F36" i="409"/>
  <c r="F43" i="409"/>
  <c r="F22" i="409"/>
  <c r="H50" i="210"/>
  <c r="E6" i="210" s="1"/>
  <c r="H46" i="407"/>
  <c r="C46" i="407" s="1"/>
  <c r="C48" i="407" s="1"/>
  <c r="H48" i="323"/>
  <c r="H50" i="323" s="1"/>
  <c r="E6" i="323" s="1"/>
  <c r="H40" i="423"/>
  <c r="C40" i="423" s="1"/>
  <c r="C48" i="423" s="1"/>
  <c r="E48" i="466"/>
  <c r="C40" i="461"/>
  <c r="C48" i="461" s="1"/>
  <c r="H48" i="461"/>
  <c r="H50" i="461" s="1"/>
  <c r="E6" i="461" s="1"/>
  <c r="C24" i="415"/>
  <c r="C48" i="415" s="1"/>
  <c r="H48" i="415"/>
  <c r="H50" i="415" s="1"/>
  <c r="E6" i="415" s="1"/>
  <c r="D50" i="413"/>
  <c r="D48" i="413"/>
  <c r="E32" i="413" s="1"/>
  <c r="C40" i="191"/>
  <c r="C48" i="191" s="1"/>
  <c r="H48" i="191"/>
  <c r="H50" i="191" s="1"/>
  <c r="E6" i="191" s="1"/>
  <c r="D48" i="68"/>
  <c r="E32" i="68" s="1"/>
  <c r="D50" i="68"/>
  <c r="C24" i="64"/>
  <c r="C48" i="64" s="1"/>
  <c r="H48" i="64"/>
  <c r="H50" i="64" s="1"/>
  <c r="E6" i="64" s="1"/>
  <c r="C24" i="13"/>
  <c r="C48" i="13" s="1"/>
  <c r="H48" i="13"/>
  <c r="H50" i="13" s="1"/>
  <c r="E6" i="13" s="1"/>
  <c r="C32" i="16"/>
  <c r="C48" i="16" s="1"/>
  <c r="H48" i="16"/>
  <c r="H50" i="16" s="1"/>
  <c r="E6" i="16" s="1"/>
  <c r="E23" i="14"/>
  <c r="E22" i="14"/>
  <c r="E42" i="14"/>
  <c r="E24" i="14"/>
  <c r="E43" i="14"/>
  <c r="E44" i="14"/>
  <c r="E31" i="14"/>
  <c r="E27" i="14"/>
  <c r="E45" i="14"/>
  <c r="E35" i="14"/>
  <c r="E38" i="14"/>
  <c r="E30" i="14"/>
  <c r="E21" i="14"/>
  <c r="E39" i="14"/>
  <c r="E28" i="14"/>
  <c r="E29" i="14"/>
  <c r="E32" i="14"/>
  <c r="E40" i="14"/>
  <c r="E36" i="14"/>
  <c r="E46" i="14"/>
  <c r="A52" i="14" s="1"/>
  <c r="E34" i="14"/>
  <c r="E26" i="14"/>
  <c r="E37" i="14"/>
  <c r="C24" i="1"/>
  <c r="C48" i="1" s="1"/>
  <c r="H48" i="1"/>
  <c r="H50" i="1" s="1"/>
  <c r="E6" i="1" s="1"/>
  <c r="C48" i="311"/>
  <c r="E23" i="164"/>
  <c r="E27" i="164"/>
  <c r="E30" i="164"/>
  <c r="E31" i="164"/>
  <c r="E32" i="164"/>
  <c r="E28" i="164"/>
  <c r="E34" i="164"/>
  <c r="E29" i="164"/>
  <c r="E37" i="164"/>
  <c r="E35" i="164"/>
  <c r="E42" i="164"/>
  <c r="E40" i="164"/>
  <c r="E36" i="164"/>
  <c r="E38" i="164"/>
  <c r="E26" i="164"/>
  <c r="E21" i="164"/>
  <c r="E46" i="164"/>
  <c r="A52" i="164" s="1"/>
  <c r="E39" i="164"/>
  <c r="E43" i="164"/>
  <c r="E22" i="164"/>
  <c r="E44" i="164"/>
  <c r="E45" i="164"/>
  <c r="I26" i="164"/>
  <c r="G26" i="164"/>
  <c r="I42" i="178"/>
  <c r="G42" i="178"/>
  <c r="I26" i="187"/>
  <c r="G26" i="187"/>
  <c r="I23" i="187"/>
  <c r="I11" i="447"/>
  <c r="G11" i="447"/>
  <c r="E48" i="342"/>
  <c r="F13" i="300"/>
  <c r="F11" i="300"/>
  <c r="F42" i="300"/>
  <c r="F15" i="300"/>
  <c r="F37" i="300"/>
  <c r="F34" i="300"/>
  <c r="F39" i="300"/>
  <c r="F35" i="300"/>
  <c r="F43" i="300"/>
  <c r="F16" i="300"/>
  <c r="F26" i="300"/>
  <c r="F21" i="300"/>
  <c r="F17" i="300"/>
  <c r="F22" i="300"/>
  <c r="F28" i="300"/>
  <c r="F30" i="300"/>
  <c r="F12" i="300"/>
  <c r="F38" i="300"/>
  <c r="F14" i="300"/>
  <c r="F44" i="300"/>
  <c r="F31" i="300"/>
  <c r="F23" i="300"/>
  <c r="F36" i="300"/>
  <c r="F29" i="300"/>
  <c r="F18" i="300"/>
  <c r="F45" i="300"/>
  <c r="G45" i="300" s="1"/>
  <c r="F27" i="300"/>
  <c r="F10" i="300"/>
  <c r="I27" i="381"/>
  <c r="G27" i="381"/>
  <c r="F35" i="225"/>
  <c r="F36" i="225"/>
  <c r="F29" i="225"/>
  <c r="F13" i="225"/>
  <c r="F11" i="225"/>
  <c r="F12" i="225"/>
  <c r="F10" i="225"/>
  <c r="F28" i="225"/>
  <c r="F27" i="225"/>
  <c r="F31" i="225"/>
  <c r="F37" i="225"/>
  <c r="F18" i="225"/>
  <c r="F26" i="225"/>
  <c r="F14" i="225"/>
  <c r="F38" i="225"/>
  <c r="F42" i="225"/>
  <c r="F23" i="225"/>
  <c r="F34" i="225"/>
  <c r="F15" i="225"/>
  <c r="F43" i="225"/>
  <c r="F45" i="225"/>
  <c r="G45" i="225" s="1"/>
  <c r="F17" i="225"/>
  <c r="F30" i="225"/>
  <c r="F16" i="225"/>
  <c r="F22" i="225"/>
  <c r="F44" i="225"/>
  <c r="F21" i="225"/>
  <c r="F39" i="225"/>
  <c r="H26" i="476"/>
  <c r="D32" i="476"/>
  <c r="E37" i="468"/>
  <c r="E38" i="468"/>
  <c r="E21" i="468"/>
  <c r="E39" i="468"/>
  <c r="E22" i="468"/>
  <c r="E23" i="468"/>
  <c r="E42" i="468"/>
  <c r="E24" i="468"/>
  <c r="E43" i="468"/>
  <c r="E26" i="468"/>
  <c r="E44" i="468"/>
  <c r="E27" i="468"/>
  <c r="E45" i="468"/>
  <c r="E28" i="468"/>
  <c r="E46" i="468"/>
  <c r="A52" i="468" s="1"/>
  <c r="E29" i="468"/>
  <c r="E31" i="468"/>
  <c r="E32" i="468"/>
  <c r="E34" i="468"/>
  <c r="E30" i="468"/>
  <c r="E35" i="468"/>
  <c r="E36" i="468"/>
  <c r="H19" i="466"/>
  <c r="C19" i="466" s="1"/>
  <c r="H31" i="478"/>
  <c r="H48" i="466"/>
  <c r="H32" i="405"/>
  <c r="C32" i="405" s="1"/>
  <c r="C48" i="405" s="1"/>
  <c r="C24" i="361"/>
  <c r="C48" i="361" s="1"/>
  <c r="H48" i="361"/>
  <c r="H50" i="361" s="1"/>
  <c r="E6" i="361" s="1"/>
  <c r="D48" i="203"/>
  <c r="E46" i="203" s="1"/>
  <c r="A52" i="203" s="1"/>
  <c r="D50" i="203"/>
  <c r="H40" i="58"/>
  <c r="C40" i="58" s="1"/>
  <c r="C48" i="58" s="1"/>
  <c r="C24" i="10"/>
  <c r="C48" i="10" s="1"/>
  <c r="H48" i="10"/>
  <c r="H50" i="10" s="1"/>
  <c r="E6" i="10" s="1"/>
  <c r="J50" i="14"/>
  <c r="E50" i="14"/>
  <c r="E48" i="243"/>
  <c r="H48" i="181"/>
  <c r="H50" i="181" s="1"/>
  <c r="E6" i="181" s="1"/>
  <c r="I38" i="164"/>
  <c r="G38" i="164"/>
  <c r="I21" i="187"/>
  <c r="G21" i="187"/>
  <c r="H48" i="275"/>
  <c r="H50" i="275" s="1"/>
  <c r="E6" i="275" s="1"/>
  <c r="I36" i="187"/>
  <c r="G36" i="187"/>
  <c r="I12" i="187"/>
  <c r="G12" i="187"/>
  <c r="E48" i="383"/>
  <c r="G10" i="188"/>
  <c r="I10" i="188"/>
  <c r="F37" i="371"/>
  <c r="F10" i="371"/>
  <c r="F23" i="371"/>
  <c r="F38" i="371"/>
  <c r="F35" i="371"/>
  <c r="F44" i="371"/>
  <c r="F13" i="371"/>
  <c r="F15" i="371"/>
  <c r="F26" i="371"/>
  <c r="F31" i="371"/>
  <c r="F21" i="371"/>
  <c r="F22" i="371"/>
  <c r="F43" i="371"/>
  <c r="F45" i="371"/>
  <c r="G45" i="371" s="1"/>
  <c r="F12" i="376"/>
  <c r="F22" i="376"/>
  <c r="F27" i="376"/>
  <c r="F31" i="376"/>
  <c r="F26" i="376"/>
  <c r="F42" i="376"/>
  <c r="F29" i="376"/>
  <c r="F14" i="376"/>
  <c r="F36" i="376"/>
  <c r="F38" i="376"/>
  <c r="F17" i="376"/>
  <c r="F21" i="376"/>
  <c r="F43" i="376"/>
  <c r="F18" i="376"/>
  <c r="F15" i="376"/>
  <c r="F16" i="376"/>
  <c r="F23" i="376"/>
  <c r="F10" i="376"/>
  <c r="F34" i="376"/>
  <c r="F44" i="376"/>
  <c r="F37" i="376"/>
  <c r="F39" i="376"/>
  <c r="F28" i="376"/>
  <c r="F13" i="376"/>
  <c r="F11" i="376"/>
  <c r="F35" i="376"/>
  <c r="F45" i="376"/>
  <c r="G45" i="376" s="1"/>
  <c r="F30" i="376"/>
  <c r="I38" i="381"/>
  <c r="G38" i="381"/>
  <c r="H48" i="385"/>
  <c r="H50" i="385" s="1"/>
  <c r="E6" i="385" s="1"/>
  <c r="H24" i="465"/>
  <c r="C24" i="465" s="1"/>
  <c r="C48" i="465" s="1"/>
  <c r="I14" i="164"/>
  <c r="G14" i="164"/>
  <c r="F36" i="166"/>
  <c r="F18" i="166"/>
  <c r="F11" i="166"/>
  <c r="F42" i="166"/>
  <c r="F28" i="166"/>
  <c r="F16" i="166"/>
  <c r="F44" i="166"/>
  <c r="F14" i="166"/>
  <c r="F37" i="166"/>
  <c r="F15" i="166"/>
  <c r="F22" i="166"/>
  <c r="F35" i="166"/>
  <c r="F39" i="166"/>
  <c r="F12" i="166"/>
  <c r="F45" i="166"/>
  <c r="G45" i="166" s="1"/>
  <c r="F26" i="166"/>
  <c r="F43" i="166"/>
  <c r="F31" i="166"/>
  <c r="F17" i="166"/>
  <c r="F29" i="166"/>
  <c r="F38" i="166"/>
  <c r="F23" i="166"/>
  <c r="F27" i="166"/>
  <c r="F13" i="166"/>
  <c r="F34" i="166"/>
  <c r="F21" i="166"/>
  <c r="F10" i="166"/>
  <c r="F30" i="166"/>
  <c r="E48" i="329"/>
  <c r="G11" i="164"/>
  <c r="I11" i="164"/>
  <c r="F43" i="211"/>
  <c r="F29" i="211"/>
  <c r="F16" i="211"/>
  <c r="F22" i="211"/>
  <c r="F12" i="211"/>
  <c r="F35" i="211"/>
  <c r="F27" i="211"/>
  <c r="F28" i="211"/>
  <c r="F21" i="211"/>
  <c r="F10" i="211"/>
  <c r="F38" i="211"/>
  <c r="F39" i="211"/>
  <c r="F34" i="211"/>
  <c r="F11" i="211"/>
  <c r="F26" i="211"/>
  <c r="F18" i="211"/>
  <c r="F17" i="211"/>
  <c r="F45" i="211"/>
  <c r="G45" i="211" s="1"/>
  <c r="F15" i="211"/>
  <c r="F13" i="211"/>
  <c r="F36" i="211"/>
  <c r="F31" i="211"/>
  <c r="F30" i="211"/>
  <c r="F42" i="211"/>
  <c r="F37" i="211"/>
  <c r="F23" i="211"/>
  <c r="F44" i="211"/>
  <c r="F14" i="211"/>
  <c r="I42" i="187"/>
  <c r="G42" i="187"/>
  <c r="I35" i="153"/>
  <c r="G17" i="153"/>
  <c r="I17" i="153"/>
  <c r="H48" i="32"/>
  <c r="H50" i="32" s="1"/>
  <c r="E6" i="32" s="1"/>
  <c r="F18" i="431"/>
  <c r="F42" i="431"/>
  <c r="F44" i="431"/>
  <c r="F38" i="431"/>
  <c r="F45" i="431"/>
  <c r="G45" i="431" s="1"/>
  <c r="F21" i="431"/>
  <c r="F10" i="431"/>
  <c r="F11" i="431"/>
  <c r="F12" i="431"/>
  <c r="F26" i="431"/>
  <c r="F34" i="431"/>
  <c r="F27" i="431"/>
  <c r="F13" i="431"/>
  <c r="F28" i="431"/>
  <c r="F35" i="431"/>
  <c r="F29" i="431"/>
  <c r="F14" i="431"/>
  <c r="F30" i="431"/>
  <c r="F36" i="431"/>
  <c r="F31" i="431"/>
  <c r="F15" i="431"/>
  <c r="F43" i="431"/>
  <c r="F37" i="431"/>
  <c r="F39" i="431"/>
  <c r="F16" i="431"/>
  <c r="F22" i="431"/>
  <c r="F17" i="431"/>
  <c r="F23" i="431"/>
  <c r="F45" i="335"/>
  <c r="G45" i="335" s="1"/>
  <c r="F27" i="335"/>
  <c r="F39" i="335"/>
  <c r="F37" i="335"/>
  <c r="F17" i="335"/>
  <c r="F44" i="335"/>
  <c r="F15" i="335"/>
  <c r="F43" i="335"/>
  <c r="F16" i="335"/>
  <c r="F26" i="335"/>
  <c r="F14" i="335"/>
  <c r="F38" i="335"/>
  <c r="F36" i="335"/>
  <c r="F18" i="335"/>
  <c r="F15" i="224"/>
  <c r="F10" i="224"/>
  <c r="F39" i="224"/>
  <c r="F18" i="224"/>
  <c r="F22" i="224"/>
  <c r="F14" i="224"/>
  <c r="F27" i="224"/>
  <c r="F23" i="224"/>
  <c r="F21" i="224"/>
  <c r="F45" i="224"/>
  <c r="G45" i="224" s="1"/>
  <c r="F13" i="224"/>
  <c r="F16" i="224"/>
  <c r="F38" i="224"/>
  <c r="F12" i="224"/>
  <c r="F26" i="224"/>
  <c r="F17" i="224"/>
  <c r="F37" i="224"/>
  <c r="F30" i="224"/>
  <c r="F11" i="224"/>
  <c r="F34" i="224"/>
  <c r="F31" i="224"/>
  <c r="F28" i="224"/>
  <c r="F42" i="224"/>
  <c r="F44" i="224"/>
  <c r="F29" i="224"/>
  <c r="F35" i="224"/>
  <c r="F43" i="224"/>
  <c r="F36" i="224"/>
  <c r="H34" i="478"/>
  <c r="H40" i="478" s="1"/>
  <c r="D40" i="478"/>
  <c r="H26" i="477"/>
  <c r="D32" i="477"/>
  <c r="C46" i="388"/>
  <c r="C48" i="388" s="1"/>
  <c r="H48" i="388"/>
  <c r="H50" i="388" s="1"/>
  <c r="E6" i="388" s="1"/>
  <c r="H31" i="472"/>
  <c r="E50" i="461"/>
  <c r="J50" i="461"/>
  <c r="D50" i="384"/>
  <c r="D48" i="384"/>
  <c r="E32" i="384" s="1"/>
  <c r="H19" i="467"/>
  <c r="C19" i="467" s="1"/>
  <c r="H32" i="463"/>
  <c r="C32" i="463" s="1"/>
  <c r="C46" i="437"/>
  <c r="C48" i="437" s="1"/>
  <c r="E40" i="352"/>
  <c r="E22" i="352"/>
  <c r="E42" i="352"/>
  <c r="E23" i="352"/>
  <c r="E43" i="352"/>
  <c r="E24" i="352"/>
  <c r="E44" i="352"/>
  <c r="E26" i="352"/>
  <c r="E45" i="352"/>
  <c r="E27" i="352"/>
  <c r="E30" i="352"/>
  <c r="E46" i="352"/>
  <c r="A52" i="352" s="1"/>
  <c r="E21" i="352"/>
  <c r="E28" i="352"/>
  <c r="E29" i="352"/>
  <c r="E39" i="352"/>
  <c r="E32" i="352"/>
  <c r="E34" i="352"/>
  <c r="E35" i="352"/>
  <c r="E36" i="352"/>
  <c r="E37" i="352"/>
  <c r="E31" i="352"/>
  <c r="E38" i="352"/>
  <c r="H32" i="384"/>
  <c r="C32" i="384" s="1"/>
  <c r="C48" i="384" s="1"/>
  <c r="C24" i="123"/>
  <c r="C48" i="123" s="1"/>
  <c r="H48" i="123"/>
  <c r="H50" i="123" s="1"/>
  <c r="E6" i="123" s="1"/>
  <c r="C32" i="54"/>
  <c r="C48" i="54" s="1"/>
  <c r="H48" i="54"/>
  <c r="H50" i="54" s="1"/>
  <c r="E6" i="54" s="1"/>
  <c r="J50" i="28"/>
  <c r="E50" i="28"/>
  <c r="C46" i="75"/>
  <c r="C48" i="75" s="1"/>
  <c r="H48" i="75"/>
  <c r="H50" i="75" s="1"/>
  <c r="E6" i="75" s="1"/>
  <c r="C40" i="27"/>
  <c r="C48" i="27" s="1"/>
  <c r="H48" i="27"/>
  <c r="H50" i="27" s="1"/>
  <c r="E6" i="27" s="1"/>
  <c r="F36" i="21"/>
  <c r="F16" i="21"/>
  <c r="F45" i="21"/>
  <c r="G45" i="21" s="1"/>
  <c r="F29" i="21"/>
  <c r="F14" i="21"/>
  <c r="F31" i="21"/>
  <c r="F23" i="21"/>
  <c r="F17" i="21"/>
  <c r="F39" i="21"/>
  <c r="F30" i="21"/>
  <c r="F27" i="21"/>
  <c r="F44" i="21"/>
  <c r="F10" i="21"/>
  <c r="F13" i="21"/>
  <c r="F11" i="21"/>
  <c r="F15" i="21"/>
  <c r="F37" i="21"/>
  <c r="F12" i="21"/>
  <c r="F26" i="21"/>
  <c r="F42" i="21"/>
  <c r="F18" i="21"/>
  <c r="F21" i="21"/>
  <c r="F34" i="21"/>
  <c r="F35" i="21"/>
  <c r="F28" i="21"/>
  <c r="F43" i="21"/>
  <c r="F22" i="21"/>
  <c r="F38" i="21"/>
  <c r="H48" i="120"/>
  <c r="H50" i="120" s="1"/>
  <c r="E6" i="120" s="1"/>
  <c r="I22" i="164"/>
  <c r="G22" i="164"/>
  <c r="H50" i="199"/>
  <c r="E6" i="199" s="1"/>
  <c r="I16" i="187"/>
  <c r="G16" i="187"/>
  <c r="J50" i="390"/>
  <c r="E50" i="390"/>
  <c r="E40" i="447"/>
  <c r="E34" i="447"/>
  <c r="E43" i="447"/>
  <c r="E31" i="447"/>
  <c r="E42" i="447"/>
  <c r="E30" i="447"/>
  <c r="E39" i="447"/>
  <c r="E29" i="447"/>
  <c r="E46" i="447"/>
  <c r="A52" i="447" s="1"/>
  <c r="E28" i="447"/>
  <c r="E27" i="447"/>
  <c r="E26" i="447"/>
  <c r="E45" i="447"/>
  <c r="E37" i="447"/>
  <c r="E21" i="447"/>
  <c r="E24" i="447"/>
  <c r="E35" i="447"/>
  <c r="E23" i="447"/>
  <c r="E44" i="447"/>
  <c r="E22" i="447"/>
  <c r="E36" i="447"/>
  <c r="E38" i="447"/>
  <c r="E32" i="447"/>
  <c r="F15" i="380"/>
  <c r="F23" i="380"/>
  <c r="F16" i="380"/>
  <c r="F38" i="380"/>
  <c r="F28" i="380"/>
  <c r="F29" i="380"/>
  <c r="F30" i="380"/>
  <c r="F35" i="380"/>
  <c r="F42" i="380"/>
  <c r="F12" i="380"/>
  <c r="F43" i="380"/>
  <c r="F14" i="380"/>
  <c r="F18" i="380"/>
  <c r="F13" i="380"/>
  <c r="I27" i="447"/>
  <c r="G27" i="447"/>
  <c r="I15" i="182"/>
  <c r="G15" i="182"/>
  <c r="G23" i="164"/>
  <c r="I23" i="164"/>
  <c r="D46" i="472"/>
  <c r="H42" i="472"/>
  <c r="C48" i="466"/>
  <c r="E40" i="468"/>
  <c r="H32" i="469"/>
  <c r="C32" i="469" s="1"/>
  <c r="C46" i="436"/>
  <c r="C48" i="436" s="1"/>
  <c r="H48" i="436"/>
  <c r="H50" i="436" s="1"/>
  <c r="E6" i="436" s="1"/>
  <c r="D48" i="437"/>
  <c r="E46" i="437" s="1"/>
  <c r="A52" i="437" s="1"/>
  <c r="C46" i="417"/>
  <c r="C48" i="417" s="1"/>
  <c r="H48" i="417"/>
  <c r="H50" i="417" s="1"/>
  <c r="E6" i="417" s="1"/>
  <c r="E22" i="304"/>
  <c r="E42" i="304"/>
  <c r="E23" i="304"/>
  <c r="E44" i="304"/>
  <c r="E26" i="304"/>
  <c r="E37" i="304"/>
  <c r="E29" i="304"/>
  <c r="E38" i="304"/>
  <c r="E40" i="304"/>
  <c r="E36" i="304"/>
  <c r="E31" i="304"/>
  <c r="E34" i="304"/>
  <c r="E35" i="304"/>
  <c r="E32" i="304"/>
  <c r="E39" i="304"/>
  <c r="E21" i="304"/>
  <c r="E43" i="304"/>
  <c r="E24" i="304"/>
  <c r="E45" i="304"/>
  <c r="E27" i="304"/>
  <c r="E46" i="304"/>
  <c r="A52" i="304" s="1"/>
  <c r="E28" i="304"/>
  <c r="E30" i="304"/>
  <c r="D50" i="114"/>
  <c r="D48" i="114"/>
  <c r="E32" i="114" s="1"/>
  <c r="E37" i="62"/>
  <c r="E43" i="62"/>
  <c r="E22" i="62"/>
  <c r="E23" i="62"/>
  <c r="E42" i="62"/>
  <c r="E26" i="62"/>
  <c r="E44" i="62"/>
  <c r="E27" i="62"/>
  <c r="E45" i="62"/>
  <c r="E28" i="62"/>
  <c r="E34" i="62"/>
  <c r="E31" i="62"/>
  <c r="E32" i="62"/>
  <c r="E36" i="62"/>
  <c r="E30" i="62"/>
  <c r="E38" i="62"/>
  <c r="E35" i="62"/>
  <c r="E40" i="62"/>
  <c r="E39" i="62"/>
  <c r="E46" i="62"/>
  <c r="A52" i="62" s="1"/>
  <c r="E21" i="62"/>
  <c r="E24" i="62"/>
  <c r="E29" i="62"/>
  <c r="C32" i="24"/>
  <c r="C48" i="24" s="1"/>
  <c r="H48" i="24"/>
  <c r="H50" i="24" s="1"/>
  <c r="E6" i="24" s="1"/>
  <c r="C24" i="26"/>
  <c r="C48" i="26" s="1"/>
  <c r="H48" i="26"/>
  <c r="H50" i="26" s="1"/>
  <c r="E6" i="26" s="1"/>
  <c r="J50" i="201"/>
  <c r="E50" i="201"/>
  <c r="F43" i="287"/>
  <c r="F42" i="287"/>
  <c r="F26" i="287"/>
  <c r="F28" i="287"/>
  <c r="F30" i="287"/>
  <c r="F31" i="287"/>
  <c r="F10" i="287"/>
  <c r="F34" i="287"/>
  <c r="F35" i="287"/>
  <c r="F14" i="287"/>
  <c r="F15" i="287"/>
  <c r="F27" i="287"/>
  <c r="F21" i="287"/>
  <c r="F37" i="287"/>
  <c r="F12" i="287"/>
  <c r="F45" i="287"/>
  <c r="G45" i="287" s="1"/>
  <c r="F11" i="287"/>
  <c r="F29" i="287"/>
  <c r="F36" i="287"/>
  <c r="F44" i="287"/>
  <c r="F16" i="287"/>
  <c r="F39" i="287"/>
  <c r="F17" i="287"/>
  <c r="F22" i="287"/>
  <c r="F23" i="287"/>
  <c r="F18" i="287"/>
  <c r="F13" i="287"/>
  <c r="F38" i="287"/>
  <c r="C48" i="120"/>
  <c r="E45" i="291"/>
  <c r="E27" i="291"/>
  <c r="E26" i="291"/>
  <c r="E29" i="291"/>
  <c r="E40" i="291"/>
  <c r="E46" i="291"/>
  <c r="A52" i="291" s="1"/>
  <c r="E24" i="291"/>
  <c r="E30" i="291"/>
  <c r="E34" i="291"/>
  <c r="E28" i="291"/>
  <c r="E31" i="291"/>
  <c r="E36" i="291"/>
  <c r="E37" i="291"/>
  <c r="E38" i="291"/>
  <c r="E35" i="291"/>
  <c r="E39" i="291"/>
  <c r="E23" i="291"/>
  <c r="E22" i="291"/>
  <c r="E43" i="291"/>
  <c r="E44" i="291"/>
  <c r="E42" i="291"/>
  <c r="E21" i="291"/>
  <c r="I28" i="164"/>
  <c r="G28" i="164"/>
  <c r="I34" i="187"/>
  <c r="G34" i="187"/>
  <c r="I15" i="187"/>
  <c r="G15" i="187"/>
  <c r="I21" i="153"/>
  <c r="G21" i="153"/>
  <c r="G26" i="153"/>
  <c r="I26" i="153"/>
  <c r="H48" i="366"/>
  <c r="H50" i="366" s="1"/>
  <c r="E6" i="366" s="1"/>
  <c r="C48" i="107"/>
  <c r="F23" i="234"/>
  <c r="F39" i="234"/>
  <c r="F13" i="234"/>
  <c r="F44" i="234"/>
  <c r="F43" i="234"/>
  <c r="F18" i="234"/>
  <c r="F17" i="234"/>
  <c r="F27" i="234"/>
  <c r="F34" i="234"/>
  <c r="F21" i="234"/>
  <c r="F28" i="234"/>
  <c r="F16" i="234"/>
  <c r="F36" i="234"/>
  <c r="F31" i="234"/>
  <c r="F37" i="234"/>
  <c r="F26" i="234"/>
  <c r="F14" i="234"/>
  <c r="F29" i="234"/>
  <c r="F22" i="234"/>
  <c r="F42" i="234"/>
  <c r="F10" i="234"/>
  <c r="F12" i="234"/>
  <c r="F35" i="234"/>
  <c r="F45" i="234"/>
  <c r="G45" i="234" s="1"/>
  <c r="F38" i="234"/>
  <c r="F11" i="234"/>
  <c r="F30" i="234"/>
  <c r="F15" i="234"/>
  <c r="I23" i="182"/>
  <c r="G23" i="182"/>
  <c r="H48" i="416"/>
  <c r="H50" i="416" s="1"/>
  <c r="E6" i="416" s="1"/>
  <c r="F38" i="350"/>
  <c r="F31" i="350"/>
  <c r="F30" i="350"/>
  <c r="F42" i="350"/>
  <c r="F12" i="350"/>
  <c r="F14" i="350"/>
  <c r="F21" i="350"/>
  <c r="F13" i="350"/>
  <c r="F43" i="350"/>
  <c r="F23" i="350"/>
  <c r="F15" i="350"/>
  <c r="F11" i="350"/>
  <c r="F35" i="350"/>
  <c r="F44" i="350"/>
  <c r="F26" i="350"/>
  <c r="F34" i="350"/>
  <c r="F17" i="350"/>
  <c r="F29" i="350"/>
  <c r="F27" i="350"/>
  <c r="F16" i="350"/>
  <c r="F10" i="350"/>
  <c r="F36" i="350"/>
  <c r="F18" i="350"/>
  <c r="F45" i="350"/>
  <c r="G45" i="350" s="1"/>
  <c r="F37" i="350"/>
  <c r="F39" i="350"/>
  <c r="F22" i="350"/>
  <c r="F28" i="350"/>
  <c r="G28" i="381"/>
  <c r="I16" i="381"/>
  <c r="G16" i="381"/>
  <c r="H48" i="332"/>
  <c r="H50" i="332" s="1"/>
  <c r="E6" i="332" s="1"/>
  <c r="H48" i="216"/>
  <c r="H50" i="216" s="1"/>
  <c r="E6" i="216" s="1"/>
  <c r="C32" i="446"/>
  <c r="C48" i="446" s="1"/>
  <c r="H48" i="446"/>
  <c r="H50" i="446" s="1"/>
  <c r="E6" i="446" s="1"/>
  <c r="I21" i="178"/>
  <c r="G21" i="178"/>
  <c r="H42" i="477"/>
  <c r="H46" i="477" s="1"/>
  <c r="D46" i="477"/>
  <c r="C40" i="451"/>
  <c r="C48" i="451" s="1"/>
  <c r="H48" i="451"/>
  <c r="H50" i="451" s="1"/>
  <c r="E6" i="451" s="1"/>
  <c r="C32" i="430"/>
  <c r="C48" i="430" s="1"/>
  <c r="H48" i="430"/>
  <c r="H50" i="430" s="1"/>
  <c r="E6" i="430" s="1"/>
  <c r="H46" i="302"/>
  <c r="C46" i="302" s="1"/>
  <c r="C48" i="302" s="1"/>
  <c r="C40" i="294"/>
  <c r="C48" i="294" s="1"/>
  <c r="H48" i="294"/>
  <c r="H50" i="294" s="1"/>
  <c r="E6" i="294" s="1"/>
  <c r="H46" i="337"/>
  <c r="C46" i="337" s="1"/>
  <c r="C48" i="337" s="1"/>
  <c r="D50" i="218"/>
  <c r="D48" i="218"/>
  <c r="C32" i="49"/>
  <c r="C48" i="49" s="1"/>
  <c r="H48" i="49"/>
  <c r="H50" i="49" s="1"/>
  <c r="E6" i="49" s="1"/>
  <c r="C40" i="60"/>
  <c r="C48" i="60" s="1"/>
  <c r="H48" i="60"/>
  <c r="H50" i="60" s="1"/>
  <c r="E6" i="60" s="1"/>
  <c r="C40" i="31"/>
  <c r="C48" i="31" s="1"/>
  <c r="H48" i="31"/>
  <c r="H50" i="31" s="1"/>
  <c r="E6" i="31" s="1"/>
  <c r="J50" i="291"/>
  <c r="E50" i="291"/>
  <c r="I36" i="164"/>
  <c r="G36" i="164"/>
  <c r="I44" i="187"/>
  <c r="G44" i="187"/>
  <c r="A52" i="407"/>
  <c r="E48" i="407"/>
  <c r="I36" i="188"/>
  <c r="G36" i="188"/>
  <c r="F35" i="305"/>
  <c r="F17" i="305"/>
  <c r="F42" i="305"/>
  <c r="F15" i="305"/>
  <c r="F30" i="305"/>
  <c r="F31" i="154"/>
  <c r="F13" i="154"/>
  <c r="F16" i="154"/>
  <c r="F12" i="154"/>
  <c r="F30" i="154"/>
  <c r="F36" i="154"/>
  <c r="F26" i="154"/>
  <c r="F11" i="154"/>
  <c r="F35" i="154"/>
  <c r="F17" i="154"/>
  <c r="F10" i="154"/>
  <c r="F22" i="154"/>
  <c r="F43" i="154"/>
  <c r="F18" i="154"/>
  <c r="F15" i="154"/>
  <c r="F44" i="154"/>
  <c r="F37" i="154"/>
  <c r="F27" i="154"/>
  <c r="F14" i="154"/>
  <c r="F42" i="154"/>
  <c r="F45" i="154"/>
  <c r="G45" i="154" s="1"/>
  <c r="F28" i="154"/>
  <c r="F23" i="154"/>
  <c r="F39" i="154"/>
  <c r="F38" i="154"/>
  <c r="F34" i="154"/>
  <c r="F21" i="154"/>
  <c r="F29" i="154"/>
  <c r="I39" i="182"/>
  <c r="G39" i="182"/>
  <c r="C24" i="427"/>
  <c r="C48" i="427" s="1"/>
  <c r="H48" i="427"/>
  <c r="H50" i="427" s="1"/>
  <c r="E6" i="427" s="1"/>
  <c r="F29" i="322"/>
  <c r="F28" i="322"/>
  <c r="F44" i="322"/>
  <c r="F12" i="322"/>
  <c r="F23" i="322"/>
  <c r="I29" i="381"/>
  <c r="G29" i="381"/>
  <c r="I13" i="381"/>
  <c r="G13" i="381"/>
  <c r="F22" i="428"/>
  <c r="F34" i="428"/>
  <c r="F37" i="428"/>
  <c r="F12" i="428"/>
  <c r="F13" i="428"/>
  <c r="F15" i="428"/>
  <c r="H40" i="321"/>
  <c r="C40" i="321" s="1"/>
  <c r="C48" i="321" s="1"/>
  <c r="D48" i="302"/>
  <c r="E46" i="302" s="1"/>
  <c r="A52" i="302" s="1"/>
  <c r="D50" i="302"/>
  <c r="D50" i="337"/>
  <c r="D48" i="337"/>
  <c r="E46" i="337" s="1"/>
  <c r="A52" i="337" s="1"/>
  <c r="H40" i="218"/>
  <c r="C40" i="218" s="1"/>
  <c r="C48" i="218" s="1"/>
  <c r="C40" i="38"/>
  <c r="C48" i="38" s="1"/>
  <c r="H48" i="38"/>
  <c r="H50" i="38" s="1"/>
  <c r="E6" i="38" s="1"/>
  <c r="E48" i="301"/>
  <c r="E48" i="136"/>
  <c r="G43" i="164"/>
  <c r="I43" i="164"/>
  <c r="I18" i="164"/>
  <c r="G18" i="164"/>
  <c r="I38" i="187"/>
  <c r="G38" i="187"/>
  <c r="G14" i="187"/>
  <c r="I14" i="187"/>
  <c r="I12" i="153"/>
  <c r="G12" i="153"/>
  <c r="I15" i="153"/>
  <c r="G15" i="153"/>
  <c r="I14" i="188"/>
  <c r="G14" i="188"/>
  <c r="F21" i="259"/>
  <c r="F35" i="259"/>
  <c r="F15" i="259"/>
  <c r="F17" i="259"/>
  <c r="F42" i="259"/>
  <c r="F30" i="259"/>
  <c r="F44" i="259"/>
  <c r="F34" i="121"/>
  <c r="F28" i="121"/>
  <c r="F36" i="121"/>
  <c r="F37" i="121"/>
  <c r="F10" i="121"/>
  <c r="F11" i="121"/>
  <c r="F13" i="121"/>
  <c r="G18" i="182"/>
  <c r="I18" i="182"/>
  <c r="J50" i="427"/>
  <c r="E50" i="427"/>
  <c r="H48" i="315"/>
  <c r="H50" i="315" s="1"/>
  <c r="E6" i="315" s="1"/>
  <c r="F39" i="215"/>
  <c r="F36" i="215"/>
  <c r="F10" i="426"/>
  <c r="F12" i="426"/>
  <c r="F30" i="426"/>
  <c r="F21" i="426"/>
  <c r="F11" i="426"/>
  <c r="F22" i="426"/>
  <c r="F31" i="426"/>
  <c r="F23" i="426"/>
  <c r="F13" i="426"/>
  <c r="F34" i="426"/>
  <c r="F35" i="426"/>
  <c r="F43" i="426"/>
  <c r="F14" i="426"/>
  <c r="F44" i="426"/>
  <c r="F36" i="426"/>
  <c r="F45" i="426"/>
  <c r="G45" i="426" s="1"/>
  <c r="F15" i="426"/>
  <c r="F37" i="426"/>
  <c r="F17" i="426"/>
  <c r="F16" i="426"/>
  <c r="F38" i="426"/>
  <c r="F27" i="426"/>
  <c r="F18" i="426"/>
  <c r="F28" i="426"/>
  <c r="F42" i="426"/>
  <c r="F26" i="426"/>
  <c r="F29" i="426"/>
  <c r="H48" i="470"/>
  <c r="H50" i="470" s="1"/>
  <c r="E6" i="470" s="1"/>
  <c r="E40" i="467"/>
  <c r="H24" i="469"/>
  <c r="E37" i="463"/>
  <c r="E38" i="463"/>
  <c r="E21" i="463"/>
  <c r="E39" i="463"/>
  <c r="E22" i="463"/>
  <c r="E23" i="463"/>
  <c r="E42" i="463"/>
  <c r="E24" i="463"/>
  <c r="E43" i="463"/>
  <c r="E26" i="463"/>
  <c r="E44" i="463"/>
  <c r="E27" i="463"/>
  <c r="E45" i="463"/>
  <c r="E28" i="463"/>
  <c r="E46" i="463"/>
  <c r="A52" i="463" s="1"/>
  <c r="E29" i="463"/>
  <c r="E30" i="463"/>
  <c r="E31" i="463"/>
  <c r="E32" i="463"/>
  <c r="E34" i="463"/>
  <c r="E35" i="463"/>
  <c r="E36" i="463"/>
  <c r="D19" i="478"/>
  <c r="H13" i="478"/>
  <c r="H19" i="478" s="1"/>
  <c r="C24" i="398"/>
  <c r="C48" i="398" s="1"/>
  <c r="H48" i="398"/>
  <c r="H50" i="398" s="1"/>
  <c r="E6" i="398" s="1"/>
  <c r="C32" i="295"/>
  <c r="C48" i="295" s="1"/>
  <c r="H48" i="295"/>
  <c r="H50" i="295" s="1"/>
  <c r="E6" i="295" s="1"/>
  <c r="H46" i="179"/>
  <c r="C46" i="179" s="1"/>
  <c r="J50" i="162"/>
  <c r="E50" i="162"/>
  <c r="C24" i="92"/>
  <c r="C48" i="92" s="1"/>
  <c r="H48" i="92"/>
  <c r="H50" i="92" s="1"/>
  <c r="E6" i="92" s="1"/>
  <c r="C40" i="72"/>
  <c r="C48" i="72" s="1"/>
  <c r="H48" i="72"/>
  <c r="H50" i="72" s="1"/>
  <c r="E6" i="72" s="1"/>
  <c r="E48" i="28"/>
  <c r="C24" i="36"/>
  <c r="C48" i="36" s="1"/>
  <c r="H48" i="36"/>
  <c r="H50" i="36" s="1"/>
  <c r="E6" i="36" s="1"/>
  <c r="C40" i="297"/>
  <c r="C48" i="297" s="1"/>
  <c r="H48" i="297"/>
  <c r="H50" i="297" s="1"/>
  <c r="E6" i="297" s="1"/>
  <c r="E48" i="209"/>
  <c r="E48" i="331"/>
  <c r="F29" i="318"/>
  <c r="F22" i="318"/>
  <c r="F27" i="318"/>
  <c r="F15" i="318"/>
  <c r="F39" i="318"/>
  <c r="F17" i="318"/>
  <c r="F34" i="318"/>
  <c r="F18" i="318"/>
  <c r="F30" i="318"/>
  <c r="F45" i="318"/>
  <c r="G45" i="318" s="1"/>
  <c r="F10" i="318"/>
  <c r="F35" i="318"/>
  <c r="F26" i="318"/>
  <c r="F12" i="318"/>
  <c r="F37" i="318"/>
  <c r="F44" i="318"/>
  <c r="F14" i="318"/>
  <c r="F11" i="318"/>
  <c r="F31" i="318"/>
  <c r="F43" i="318"/>
  <c r="F21" i="318"/>
  <c r="F28" i="318"/>
  <c r="F23" i="318"/>
  <c r="F36" i="318"/>
  <c r="F38" i="318"/>
  <c r="F16" i="318"/>
  <c r="F42" i="318"/>
  <c r="F13" i="318"/>
  <c r="I35" i="164"/>
  <c r="G35" i="164"/>
  <c r="G39" i="164"/>
  <c r="I39" i="164"/>
  <c r="G10" i="187"/>
  <c r="I10" i="187"/>
  <c r="H48" i="250"/>
  <c r="H50" i="250" s="1"/>
  <c r="E6" i="250" s="1"/>
  <c r="I31" i="187"/>
  <c r="G31" i="187"/>
  <c r="I39" i="188"/>
  <c r="G39" i="188"/>
  <c r="F28" i="176"/>
  <c r="F36" i="176"/>
  <c r="F16" i="176"/>
  <c r="F29" i="176"/>
  <c r="F18" i="176"/>
  <c r="F22" i="176"/>
  <c r="F23" i="176"/>
  <c r="F43" i="176"/>
  <c r="F11" i="176"/>
  <c r="F35" i="176"/>
  <c r="F42" i="176"/>
  <c r="F31" i="176"/>
  <c r="F38" i="176"/>
  <c r="F45" i="176"/>
  <c r="G45" i="176" s="1"/>
  <c r="F39" i="176"/>
  <c r="F37" i="176"/>
  <c r="F13" i="176"/>
  <c r="F15" i="176"/>
  <c r="F10" i="176"/>
  <c r="F12" i="176"/>
  <c r="F14" i="176"/>
  <c r="F27" i="176"/>
  <c r="F26" i="176"/>
  <c r="F17" i="176"/>
  <c r="F44" i="176"/>
  <c r="F21" i="176"/>
  <c r="F30" i="176"/>
  <c r="F34" i="176"/>
  <c r="F14" i="443"/>
  <c r="F37" i="443"/>
  <c r="F17" i="443"/>
  <c r="F39" i="443"/>
  <c r="F31" i="443"/>
  <c r="F11" i="443"/>
  <c r="F44" i="443"/>
  <c r="F12" i="443"/>
  <c r="F34" i="443"/>
  <c r="F13" i="443"/>
  <c r="F36" i="443"/>
  <c r="F35" i="443"/>
  <c r="F15" i="443"/>
  <c r="F26" i="443"/>
  <c r="F45" i="443"/>
  <c r="G45" i="443" s="1"/>
  <c r="F16" i="443"/>
  <c r="F18" i="443"/>
  <c r="F21" i="443"/>
  <c r="F27" i="443"/>
  <c r="F22" i="443"/>
  <c r="F28" i="443"/>
  <c r="F23" i="443"/>
  <c r="F29" i="443"/>
  <c r="F38" i="443"/>
  <c r="F10" i="443"/>
  <c r="F42" i="443"/>
  <c r="F30" i="443"/>
  <c r="F43" i="443"/>
  <c r="G39" i="50"/>
  <c r="I39" i="50"/>
  <c r="H50" i="96"/>
  <c r="E6" i="96" s="1"/>
  <c r="H48" i="23"/>
  <c r="F39" i="426"/>
  <c r="H48" i="247"/>
  <c r="H50" i="247" s="1"/>
  <c r="E6" i="247" s="1"/>
  <c r="D40" i="472"/>
  <c r="H34" i="472"/>
  <c r="H40" i="472" s="1"/>
  <c r="H26" i="472"/>
  <c r="D32" i="472"/>
  <c r="H32" i="468"/>
  <c r="C32" i="468" s="1"/>
  <c r="C48" i="468" s="1"/>
  <c r="H40" i="463"/>
  <c r="C40" i="463" s="1"/>
  <c r="E50" i="432"/>
  <c r="J50" i="432"/>
  <c r="H34" i="476"/>
  <c r="H40" i="476" s="1"/>
  <c r="D40" i="476"/>
  <c r="H48" i="433"/>
  <c r="H50" i="433" s="1"/>
  <c r="E6" i="433" s="1"/>
  <c r="C32" i="433"/>
  <c r="C48" i="433" s="1"/>
  <c r="D48" i="423"/>
  <c r="E46" i="423" s="1"/>
  <c r="A52" i="423" s="1"/>
  <c r="E40" i="82"/>
  <c r="D50" i="82"/>
  <c r="C40" i="82"/>
  <c r="C48" i="82" s="1"/>
  <c r="H40" i="53"/>
  <c r="C40" i="53" s="1"/>
  <c r="C24" i="17"/>
  <c r="C48" i="17" s="1"/>
  <c r="H48" i="17"/>
  <c r="H50" i="17" s="1"/>
  <c r="E6" i="17" s="1"/>
  <c r="C46" i="119"/>
  <c r="C48" i="119" s="1"/>
  <c r="H48" i="119"/>
  <c r="H50" i="119" s="1"/>
  <c r="E6" i="119" s="1"/>
  <c r="F43" i="316"/>
  <c r="F42" i="316"/>
  <c r="F15" i="316"/>
  <c r="F16" i="316"/>
  <c r="F35" i="316"/>
  <c r="F22" i="316"/>
  <c r="F12" i="316"/>
  <c r="F44" i="316"/>
  <c r="F45" i="316"/>
  <c r="G45" i="316" s="1"/>
  <c r="F31" i="316"/>
  <c r="F26" i="316"/>
  <c r="F28" i="316"/>
  <c r="F27" i="316"/>
  <c r="F29" i="316"/>
  <c r="F18" i="316"/>
  <c r="F38" i="316"/>
  <c r="F11" i="316"/>
  <c r="F10" i="316"/>
  <c r="F17" i="316"/>
  <c r="F34" i="316"/>
  <c r="F39" i="316"/>
  <c r="F23" i="316"/>
  <c r="F30" i="316"/>
  <c r="F37" i="316"/>
  <c r="F13" i="316"/>
  <c r="F21" i="316"/>
  <c r="F36" i="316"/>
  <c r="F14" i="316"/>
  <c r="I44" i="164"/>
  <c r="G44" i="164"/>
  <c r="G10" i="164"/>
  <c r="I10" i="164"/>
  <c r="I22" i="187"/>
  <c r="G22" i="187"/>
  <c r="G28" i="187"/>
  <c r="I28" i="187"/>
  <c r="I11" i="153"/>
  <c r="G11" i="153"/>
  <c r="I16" i="153"/>
  <c r="G16" i="153"/>
  <c r="A52" i="394"/>
  <c r="E48" i="394"/>
  <c r="E48" i="428"/>
  <c r="I42" i="188"/>
  <c r="G42" i="188"/>
  <c r="E48" i="427"/>
  <c r="G43" i="50"/>
  <c r="G12" i="381"/>
  <c r="I12" i="381"/>
  <c r="I36" i="381"/>
  <c r="G36" i="381"/>
  <c r="G28" i="356"/>
  <c r="I28" i="356"/>
  <c r="H48" i="198"/>
  <c r="H50" i="198" s="1"/>
  <c r="E6" i="198" s="1"/>
  <c r="A54" i="482"/>
  <c r="I51" i="482"/>
  <c r="F50" i="482"/>
  <c r="G6" i="482"/>
  <c r="G5" i="482"/>
  <c r="I50" i="481"/>
  <c r="F48" i="481"/>
  <c r="A54" i="480"/>
  <c r="I51" i="480"/>
  <c r="F50" i="480"/>
  <c r="G6" i="480"/>
  <c r="G5" i="480"/>
  <c r="I50" i="479"/>
  <c r="F48" i="479"/>
  <c r="I44" i="475"/>
  <c r="G44" i="475"/>
  <c r="I43" i="475"/>
  <c r="G43" i="475"/>
  <c r="I42" i="475"/>
  <c r="G42" i="475"/>
  <c r="I39" i="475"/>
  <c r="G39" i="475"/>
  <c r="I38" i="475"/>
  <c r="G38" i="475"/>
  <c r="I37" i="475"/>
  <c r="G37" i="475"/>
  <c r="I36" i="475"/>
  <c r="G36" i="475"/>
  <c r="I35" i="475"/>
  <c r="G35" i="475"/>
  <c r="I34" i="475"/>
  <c r="G34" i="475"/>
  <c r="I31" i="475"/>
  <c r="G31" i="475"/>
  <c r="I30" i="475"/>
  <c r="G30" i="475"/>
  <c r="I29" i="475"/>
  <c r="G29" i="475"/>
  <c r="I28" i="475"/>
  <c r="G28" i="475"/>
  <c r="I27" i="475"/>
  <c r="G27" i="475"/>
  <c r="I26" i="475"/>
  <c r="G26" i="475"/>
  <c r="I23" i="475"/>
  <c r="G23" i="475"/>
  <c r="I22" i="475"/>
  <c r="G22" i="475"/>
  <c r="I21" i="475"/>
  <c r="G21" i="475"/>
  <c r="I18" i="475"/>
  <c r="G18" i="475"/>
  <c r="I17" i="475"/>
  <c r="G17" i="475"/>
  <c r="I16" i="475"/>
  <c r="G16" i="475"/>
  <c r="I15" i="475"/>
  <c r="G15" i="475"/>
  <c r="I14" i="475"/>
  <c r="G14" i="475"/>
  <c r="I13" i="475"/>
  <c r="G13" i="475"/>
  <c r="I12" i="475"/>
  <c r="G12" i="475"/>
  <c r="I11" i="475"/>
  <c r="G11" i="475"/>
  <c r="I10" i="475"/>
  <c r="G10" i="475"/>
  <c r="I44" i="474"/>
  <c r="G44" i="474"/>
  <c r="I43" i="474"/>
  <c r="G43" i="474"/>
  <c r="I42" i="474"/>
  <c r="G42" i="474"/>
  <c r="I39" i="474"/>
  <c r="G39" i="474"/>
  <c r="I38" i="474"/>
  <c r="G38" i="474"/>
  <c r="I37" i="474"/>
  <c r="G37" i="474"/>
  <c r="I36" i="474"/>
  <c r="G36" i="474"/>
  <c r="I35" i="474"/>
  <c r="G35" i="474"/>
  <c r="I34" i="474"/>
  <c r="G34" i="474"/>
  <c r="I31" i="474"/>
  <c r="G31" i="474"/>
  <c r="I30" i="474"/>
  <c r="G30" i="474"/>
  <c r="I29" i="474"/>
  <c r="G29" i="474"/>
  <c r="I28" i="474"/>
  <c r="G28" i="474"/>
  <c r="I27" i="474"/>
  <c r="G27" i="474"/>
  <c r="I26" i="474"/>
  <c r="G26" i="474"/>
  <c r="I23" i="474"/>
  <c r="G23" i="474"/>
  <c r="I22" i="474"/>
  <c r="G22" i="474"/>
  <c r="I21" i="474"/>
  <c r="G21" i="474"/>
  <c r="I18" i="474"/>
  <c r="G18" i="474"/>
  <c r="I17" i="474"/>
  <c r="G17" i="474"/>
  <c r="I16" i="474"/>
  <c r="G16" i="474"/>
  <c r="I15" i="474"/>
  <c r="G15" i="474"/>
  <c r="I14" i="474"/>
  <c r="G14" i="474"/>
  <c r="I13" i="474"/>
  <c r="G13" i="474"/>
  <c r="I12" i="474"/>
  <c r="G12" i="474"/>
  <c r="I11" i="474"/>
  <c r="G11" i="474"/>
  <c r="I10" i="474"/>
  <c r="G10" i="474"/>
  <c r="E48" i="473"/>
  <c r="F10" i="473"/>
  <c r="F11" i="473"/>
  <c r="F12" i="473"/>
  <c r="F13" i="473"/>
  <c r="F14" i="473"/>
  <c r="F15" i="473"/>
  <c r="F16" i="473"/>
  <c r="F17" i="473"/>
  <c r="F18" i="473"/>
  <c r="F21" i="473"/>
  <c r="F22" i="473"/>
  <c r="F23" i="473"/>
  <c r="F26" i="473"/>
  <c r="F27" i="473"/>
  <c r="F28" i="473"/>
  <c r="F29" i="473"/>
  <c r="F30" i="473"/>
  <c r="F31" i="473"/>
  <c r="F34" i="473"/>
  <c r="F35" i="473"/>
  <c r="F36" i="473"/>
  <c r="F37" i="473"/>
  <c r="F38" i="473"/>
  <c r="F39" i="473"/>
  <c r="F42" i="473"/>
  <c r="F43" i="473"/>
  <c r="F44" i="473"/>
  <c r="F45" i="473"/>
  <c r="G45" i="473" s="1"/>
  <c r="C24" i="471"/>
  <c r="C48" i="471" s="1"/>
  <c r="H48" i="471"/>
  <c r="H50" i="471" s="1"/>
  <c r="E6" i="471" s="1"/>
  <c r="E45" i="471"/>
  <c r="E44" i="471"/>
  <c r="E43" i="471"/>
  <c r="E42" i="471"/>
  <c r="E39" i="471"/>
  <c r="E38" i="471"/>
  <c r="E37" i="471"/>
  <c r="E36" i="471"/>
  <c r="E35" i="471"/>
  <c r="E34" i="471"/>
  <c r="E31" i="471"/>
  <c r="E30" i="471"/>
  <c r="E29" i="471"/>
  <c r="E28" i="471"/>
  <c r="E27" i="471"/>
  <c r="E23" i="471"/>
  <c r="E22" i="471"/>
  <c r="E21" i="471"/>
  <c r="E24" i="471"/>
  <c r="E26" i="471"/>
  <c r="E40" i="471"/>
  <c r="E46" i="471"/>
  <c r="A52" i="471" s="1"/>
  <c r="E32" i="471"/>
  <c r="J50" i="471"/>
  <c r="E50" i="471"/>
  <c r="F16" i="127" l="1"/>
  <c r="F27" i="127"/>
  <c r="F35" i="127"/>
  <c r="F10" i="127"/>
  <c r="F23" i="127"/>
  <c r="F39" i="127"/>
  <c r="F37" i="127"/>
  <c r="F26" i="127"/>
  <c r="F28" i="127"/>
  <c r="F31" i="127"/>
  <c r="F45" i="127"/>
  <c r="G45" i="127" s="1"/>
  <c r="F11" i="127"/>
  <c r="F34" i="127"/>
  <c r="F15" i="127"/>
  <c r="F18" i="127"/>
  <c r="F29" i="127"/>
  <c r="F17" i="127"/>
  <c r="F36" i="127"/>
  <c r="F38" i="127"/>
  <c r="F13" i="127"/>
  <c r="F30" i="127"/>
  <c r="F44" i="127"/>
  <c r="F43" i="127"/>
  <c r="F42" i="127"/>
  <c r="F22" i="127"/>
  <c r="F12" i="127"/>
  <c r="F14" i="127"/>
  <c r="F21" i="127"/>
  <c r="F37" i="132"/>
  <c r="F38" i="132"/>
  <c r="F30" i="132"/>
  <c r="F34" i="132"/>
  <c r="F14" i="132"/>
  <c r="F13" i="132"/>
  <c r="F27" i="132"/>
  <c r="F10" i="132"/>
  <c r="F43" i="132"/>
  <c r="F21" i="132"/>
  <c r="F44" i="132"/>
  <c r="F31" i="132"/>
  <c r="F29" i="132"/>
  <c r="F36" i="132"/>
  <c r="F18" i="132"/>
  <c r="F45" i="74"/>
  <c r="G45" i="74" s="1"/>
  <c r="F13" i="74"/>
  <c r="F29" i="74"/>
  <c r="F12" i="74"/>
  <c r="F22" i="74"/>
  <c r="F17" i="74"/>
  <c r="F43" i="74"/>
  <c r="F36" i="290"/>
  <c r="F17" i="290"/>
  <c r="F18" i="290"/>
  <c r="F44" i="290"/>
  <c r="F23" i="290"/>
  <c r="F34" i="290"/>
  <c r="F38" i="290"/>
  <c r="D50" i="351"/>
  <c r="F23" i="312"/>
  <c r="F13" i="312"/>
  <c r="F43" i="312"/>
  <c r="F22" i="312"/>
  <c r="F37" i="312"/>
  <c r="F17" i="312"/>
  <c r="F16" i="312"/>
  <c r="F16" i="244"/>
  <c r="F35" i="217"/>
  <c r="F39" i="353"/>
  <c r="F37" i="353"/>
  <c r="F28" i="353"/>
  <c r="F27" i="353"/>
  <c r="F22" i="353"/>
  <c r="F21" i="353"/>
  <c r="F17" i="353"/>
  <c r="F35" i="134"/>
  <c r="F44" i="134"/>
  <c r="F15" i="134"/>
  <c r="F43" i="134"/>
  <c r="F11" i="134"/>
  <c r="F27" i="264"/>
  <c r="F13" i="264"/>
  <c r="E48" i="372"/>
  <c r="F37" i="402"/>
  <c r="F12" i="402"/>
  <c r="F16" i="402"/>
  <c r="E48" i="330"/>
  <c r="C40" i="180"/>
  <c r="E48" i="191"/>
  <c r="E48" i="182"/>
  <c r="E48" i="194"/>
  <c r="E48" i="64"/>
  <c r="E48" i="115"/>
  <c r="E48" i="8"/>
  <c r="E48" i="462"/>
  <c r="E48" i="448"/>
  <c r="I50" i="308"/>
  <c r="E48" i="146"/>
  <c r="E48" i="147"/>
  <c r="E48" i="166"/>
  <c r="F22" i="290"/>
  <c r="F15" i="290"/>
  <c r="F10" i="290"/>
  <c r="F21" i="290"/>
  <c r="F16" i="290"/>
  <c r="F28" i="290"/>
  <c r="F13" i="290"/>
  <c r="F15" i="312"/>
  <c r="F11" i="312"/>
  <c r="F35" i="312"/>
  <c r="F39" i="312"/>
  <c r="F18" i="312"/>
  <c r="F26" i="312"/>
  <c r="F12" i="312"/>
  <c r="F12" i="244"/>
  <c r="F29" i="134"/>
  <c r="F17" i="134"/>
  <c r="F16" i="134"/>
  <c r="F42" i="134"/>
  <c r="F30" i="134"/>
  <c r="F43" i="402"/>
  <c r="F31" i="402"/>
  <c r="F23" i="402"/>
  <c r="F22" i="402"/>
  <c r="E48" i="15"/>
  <c r="E48" i="35"/>
  <c r="C46" i="351"/>
  <c r="E19" i="77"/>
  <c r="E11" i="77"/>
  <c r="E10" i="77"/>
  <c r="E14" i="77"/>
  <c r="E17" i="77"/>
  <c r="E13" i="77"/>
  <c r="E12" i="77"/>
  <c r="E16" i="77"/>
  <c r="E18" i="77"/>
  <c r="E48" i="148"/>
  <c r="E23" i="150"/>
  <c r="E29" i="150"/>
  <c r="E26" i="150"/>
  <c r="E28" i="150"/>
  <c r="E32" i="150"/>
  <c r="E46" i="150"/>
  <c r="A52" i="150" s="1"/>
  <c r="E24" i="150"/>
  <c r="E31" i="150"/>
  <c r="E36" i="150"/>
  <c r="E39" i="150"/>
  <c r="E45" i="150"/>
  <c r="E42" i="150"/>
  <c r="E34" i="150"/>
  <c r="E37" i="150"/>
  <c r="E27" i="150"/>
  <c r="E38" i="150"/>
  <c r="E43" i="150"/>
  <c r="E21" i="150"/>
  <c r="E22" i="150"/>
  <c r="E40" i="150"/>
  <c r="E44" i="150"/>
  <c r="E30" i="150"/>
  <c r="E35" i="150"/>
  <c r="E48" i="172"/>
  <c r="E48" i="258"/>
  <c r="F45" i="188"/>
  <c r="G45" i="188" s="1"/>
  <c r="F22" i="188"/>
  <c r="F26" i="188"/>
  <c r="D50" i="478"/>
  <c r="F36" i="74"/>
  <c r="F28" i="74"/>
  <c r="F26" i="74"/>
  <c r="F23" i="74"/>
  <c r="F39" i="74"/>
  <c r="F37" i="74"/>
  <c r="F26" i="290"/>
  <c r="F42" i="290"/>
  <c r="F45" i="290"/>
  <c r="G45" i="290" s="1"/>
  <c r="F29" i="290"/>
  <c r="F31" i="290"/>
  <c r="F27" i="290"/>
  <c r="F30" i="312"/>
  <c r="F36" i="312"/>
  <c r="F45" i="312"/>
  <c r="G45" i="312" s="1"/>
  <c r="F10" i="312"/>
  <c r="F44" i="312"/>
  <c r="F42" i="312"/>
  <c r="F43" i="167"/>
  <c r="F12" i="353"/>
  <c r="F23" i="353"/>
  <c r="F45" i="353"/>
  <c r="G45" i="353" s="1"/>
  <c r="F15" i="353"/>
  <c r="F11" i="353"/>
  <c r="F26" i="353"/>
  <c r="F45" i="134"/>
  <c r="G45" i="134" s="1"/>
  <c r="F18" i="134"/>
  <c r="F27" i="134"/>
  <c r="F14" i="134"/>
  <c r="F37" i="134"/>
  <c r="F44" i="264"/>
  <c r="F12" i="264"/>
  <c r="F26" i="264"/>
  <c r="F36" i="402"/>
  <c r="F26" i="402"/>
  <c r="F42" i="402"/>
  <c r="C32" i="53"/>
  <c r="C48" i="53" s="1"/>
  <c r="D48" i="180"/>
  <c r="E32" i="180" s="1"/>
  <c r="E48" i="307"/>
  <c r="E50" i="150"/>
  <c r="J50" i="150"/>
  <c r="E48" i="18"/>
  <c r="F11" i="346"/>
  <c r="F45" i="346"/>
  <c r="G45" i="346" s="1"/>
  <c r="F10" i="346"/>
  <c r="F13" i="346"/>
  <c r="F43" i="346"/>
  <c r="F23" i="346"/>
  <c r="F14" i="346"/>
  <c r="F39" i="346"/>
  <c r="I39" i="346" s="1"/>
  <c r="F30" i="346"/>
  <c r="F35" i="346"/>
  <c r="F27" i="346"/>
  <c r="F18" i="346"/>
  <c r="I18" i="346" s="1"/>
  <c r="F38" i="346"/>
  <c r="F12" i="346"/>
  <c r="F45" i="305"/>
  <c r="G45" i="305" s="1"/>
  <c r="F12" i="305"/>
  <c r="G12" i="305" s="1"/>
  <c r="F14" i="305"/>
  <c r="F13" i="305"/>
  <c r="F16" i="305"/>
  <c r="F18" i="305"/>
  <c r="F29" i="305"/>
  <c r="F34" i="331"/>
  <c r="F43" i="331"/>
  <c r="F22" i="331"/>
  <c r="G22" i="331" s="1"/>
  <c r="F45" i="331"/>
  <c r="G45" i="331" s="1"/>
  <c r="F28" i="331"/>
  <c r="F39" i="331"/>
  <c r="F37" i="331"/>
  <c r="F21" i="331"/>
  <c r="F27" i="331"/>
  <c r="F31" i="331"/>
  <c r="F26" i="331"/>
  <c r="F38" i="331"/>
  <c r="F15" i="331"/>
  <c r="F12" i="331"/>
  <c r="F29" i="331"/>
  <c r="G29" i="331" s="1"/>
  <c r="F35" i="331"/>
  <c r="F10" i="331"/>
  <c r="F36" i="331"/>
  <c r="F23" i="331"/>
  <c r="F14" i="331"/>
  <c r="F30" i="331"/>
  <c r="F22" i="121"/>
  <c r="F18" i="121"/>
  <c r="F26" i="121"/>
  <c r="F43" i="121"/>
  <c r="F31" i="121"/>
  <c r="F35" i="121"/>
  <c r="F16" i="121"/>
  <c r="F14" i="259"/>
  <c r="F43" i="259"/>
  <c r="F22" i="259"/>
  <c r="F26" i="259"/>
  <c r="F10" i="259"/>
  <c r="F36" i="259"/>
  <c r="F13" i="259"/>
  <c r="I13" i="259" s="1"/>
  <c r="F42" i="428"/>
  <c r="F39" i="428"/>
  <c r="F38" i="428"/>
  <c r="F36" i="428"/>
  <c r="F29" i="428"/>
  <c r="F21" i="322"/>
  <c r="F37" i="322"/>
  <c r="F18" i="322"/>
  <c r="G18" i="322" s="1"/>
  <c r="F43" i="322"/>
  <c r="F22" i="322"/>
  <c r="F38" i="305"/>
  <c r="F43" i="305"/>
  <c r="I43" i="305" s="1"/>
  <c r="F36" i="305"/>
  <c r="F22" i="305"/>
  <c r="F11" i="305"/>
  <c r="F43" i="65"/>
  <c r="F22" i="65"/>
  <c r="F36" i="346"/>
  <c r="F21" i="346"/>
  <c r="F28" i="346"/>
  <c r="F14" i="107"/>
  <c r="F36" i="107"/>
  <c r="F23" i="107"/>
  <c r="F23" i="378"/>
  <c r="I23" i="378" s="1"/>
  <c r="F14" i="378"/>
  <c r="F36" i="378"/>
  <c r="F42" i="331"/>
  <c r="F17" i="331"/>
  <c r="I17" i="331" s="1"/>
  <c r="F36" i="270"/>
  <c r="F22" i="270"/>
  <c r="I42" i="209"/>
  <c r="H48" i="386"/>
  <c r="H50" i="386" s="1"/>
  <c r="E6" i="386" s="1"/>
  <c r="C32" i="386"/>
  <c r="C48" i="386" s="1"/>
  <c r="I37" i="178"/>
  <c r="G37" i="178"/>
  <c r="G14" i="381"/>
  <c r="I14" i="381"/>
  <c r="E48" i="324"/>
  <c r="I21" i="188"/>
  <c r="G21" i="188"/>
  <c r="F27" i="126"/>
  <c r="F15" i="126"/>
  <c r="F17" i="126"/>
  <c r="F36" i="126"/>
  <c r="I36" i="126" s="1"/>
  <c r="F30" i="126"/>
  <c r="F45" i="126"/>
  <c r="G45" i="126" s="1"/>
  <c r="F18" i="126"/>
  <c r="F34" i="126"/>
  <c r="G34" i="126" s="1"/>
  <c r="F38" i="126"/>
  <c r="F21" i="126"/>
  <c r="F29" i="126"/>
  <c r="F14" i="126"/>
  <c r="F28" i="126"/>
  <c r="F42" i="126"/>
  <c r="E48" i="27"/>
  <c r="I34" i="153"/>
  <c r="G34" i="153"/>
  <c r="E48" i="186"/>
  <c r="C32" i="77"/>
  <c r="F45" i="428"/>
  <c r="G45" i="428" s="1"/>
  <c r="F31" i="428"/>
  <c r="F35" i="428"/>
  <c r="F10" i="428"/>
  <c r="F37" i="65"/>
  <c r="F21" i="65"/>
  <c r="F26" i="65"/>
  <c r="F44" i="65"/>
  <c r="F13" i="65"/>
  <c r="G13" i="65" s="1"/>
  <c r="F42" i="65"/>
  <c r="F27" i="65"/>
  <c r="F10" i="65"/>
  <c r="F38" i="65"/>
  <c r="F30" i="65"/>
  <c r="F16" i="65"/>
  <c r="F12" i="65"/>
  <c r="F28" i="65"/>
  <c r="F34" i="65"/>
  <c r="F45" i="121"/>
  <c r="G45" i="121" s="1"/>
  <c r="F30" i="121"/>
  <c r="F39" i="121"/>
  <c r="G39" i="121" s="1"/>
  <c r="F12" i="121"/>
  <c r="F29" i="121"/>
  <c r="F38" i="121"/>
  <c r="F27" i="121"/>
  <c r="F27" i="259"/>
  <c r="F11" i="259"/>
  <c r="F23" i="259"/>
  <c r="F45" i="259"/>
  <c r="G45" i="259" s="1"/>
  <c r="F29" i="259"/>
  <c r="F39" i="259"/>
  <c r="F12" i="259"/>
  <c r="F28" i="428"/>
  <c r="I28" i="428" s="1"/>
  <c r="F14" i="428"/>
  <c r="F30" i="428"/>
  <c r="F11" i="428"/>
  <c r="F44" i="428"/>
  <c r="F27" i="428"/>
  <c r="F16" i="322"/>
  <c r="F27" i="322"/>
  <c r="F45" i="322"/>
  <c r="G45" i="322" s="1"/>
  <c r="F13" i="322"/>
  <c r="F44" i="305"/>
  <c r="F10" i="305"/>
  <c r="F37" i="305"/>
  <c r="I37" i="305" s="1"/>
  <c r="F23" i="305"/>
  <c r="F21" i="305"/>
  <c r="F31" i="305"/>
  <c r="I39" i="153"/>
  <c r="C46" i="117"/>
  <c r="C48" i="117" s="1"/>
  <c r="H48" i="117"/>
  <c r="H50" i="117" s="1"/>
  <c r="E6" i="117" s="1"/>
  <c r="F36" i="65"/>
  <c r="F45" i="65"/>
  <c r="G45" i="65" s="1"/>
  <c r="F17" i="65"/>
  <c r="F29" i="65"/>
  <c r="F37" i="346"/>
  <c r="F34" i="346"/>
  <c r="F31" i="346"/>
  <c r="F31" i="425"/>
  <c r="F16" i="425"/>
  <c r="F35" i="425"/>
  <c r="F42" i="107"/>
  <c r="F35" i="107"/>
  <c r="F17" i="378"/>
  <c r="F11" i="331"/>
  <c r="F13" i="331"/>
  <c r="F36" i="66"/>
  <c r="F14" i="66"/>
  <c r="F45" i="66"/>
  <c r="G45" i="66" s="1"/>
  <c r="F15" i="66"/>
  <c r="F11" i="66"/>
  <c r="F38" i="66"/>
  <c r="F12" i="66"/>
  <c r="I12" i="66" s="1"/>
  <c r="F37" i="66"/>
  <c r="F39" i="105"/>
  <c r="F45" i="105"/>
  <c r="G45" i="105" s="1"/>
  <c r="F13" i="105"/>
  <c r="F43" i="105"/>
  <c r="F26" i="105"/>
  <c r="F44" i="105"/>
  <c r="F13" i="42"/>
  <c r="I13" i="42" s="1"/>
  <c r="F28" i="42"/>
  <c r="F37" i="42"/>
  <c r="F23" i="42"/>
  <c r="F11" i="42"/>
  <c r="F29" i="42"/>
  <c r="F31" i="42"/>
  <c r="F39" i="42"/>
  <c r="F36" i="42"/>
  <c r="F35" i="42"/>
  <c r="F15" i="42"/>
  <c r="F18" i="42"/>
  <c r="F26" i="42"/>
  <c r="I26" i="42" s="1"/>
  <c r="F30" i="42"/>
  <c r="F34" i="42"/>
  <c r="F27" i="42"/>
  <c r="F42" i="42"/>
  <c r="F17" i="42"/>
  <c r="F22" i="42"/>
  <c r="F45" i="42"/>
  <c r="G45" i="42" s="1"/>
  <c r="F38" i="42"/>
  <c r="I38" i="42" s="1"/>
  <c r="F12" i="42"/>
  <c r="F27" i="270"/>
  <c r="F16" i="142"/>
  <c r="F45" i="142"/>
  <c r="G45" i="142" s="1"/>
  <c r="F38" i="142"/>
  <c r="F28" i="142"/>
  <c r="F35" i="142"/>
  <c r="F29" i="142"/>
  <c r="F34" i="142"/>
  <c r="F31" i="142"/>
  <c r="F26" i="142"/>
  <c r="F11" i="142"/>
  <c r="F30" i="142"/>
  <c r="F15" i="142"/>
  <c r="F17" i="142"/>
  <c r="F44" i="142"/>
  <c r="C32" i="429"/>
  <c r="C48" i="429" s="1"/>
  <c r="H48" i="429"/>
  <c r="H50" i="429" s="1"/>
  <c r="E6" i="429" s="1"/>
  <c r="F37" i="380"/>
  <c r="F26" i="380"/>
  <c r="F10" i="380"/>
  <c r="F39" i="380"/>
  <c r="F21" i="380"/>
  <c r="F31" i="380"/>
  <c r="G31" i="380" s="1"/>
  <c r="F22" i="380"/>
  <c r="F44" i="380"/>
  <c r="F45" i="380"/>
  <c r="G45" i="380" s="1"/>
  <c r="F27" i="380"/>
  <c r="F17" i="380"/>
  <c r="F11" i="380"/>
  <c r="F34" i="380"/>
  <c r="F36" i="380"/>
  <c r="G36" i="380" s="1"/>
  <c r="I39" i="178"/>
  <c r="G39" i="178"/>
  <c r="I35" i="178"/>
  <c r="G35" i="178"/>
  <c r="F28" i="371"/>
  <c r="F39" i="371"/>
  <c r="F18" i="371"/>
  <c r="F30" i="371"/>
  <c r="F27" i="371"/>
  <c r="F14" i="371"/>
  <c r="F42" i="371"/>
  <c r="F34" i="371"/>
  <c r="G34" i="371" s="1"/>
  <c r="F12" i="371"/>
  <c r="F11" i="371"/>
  <c r="F36" i="371"/>
  <c r="F29" i="371"/>
  <c r="F17" i="371"/>
  <c r="F16" i="371"/>
  <c r="F18" i="113"/>
  <c r="F44" i="113"/>
  <c r="F27" i="113"/>
  <c r="F45" i="113"/>
  <c r="G45" i="113" s="1"/>
  <c r="F11" i="113"/>
  <c r="F15" i="113"/>
  <c r="F23" i="113"/>
  <c r="F28" i="113"/>
  <c r="F17" i="113"/>
  <c r="F21" i="113"/>
  <c r="I21" i="113" s="1"/>
  <c r="F30" i="113"/>
  <c r="F13" i="113"/>
  <c r="F14" i="113"/>
  <c r="F29" i="113"/>
  <c r="I29" i="113" s="1"/>
  <c r="F39" i="113"/>
  <c r="I21" i="381"/>
  <c r="G21" i="381"/>
  <c r="E48" i="422"/>
  <c r="F39" i="439"/>
  <c r="F37" i="439"/>
  <c r="F22" i="439"/>
  <c r="F15" i="439"/>
  <c r="F16" i="439"/>
  <c r="F44" i="439"/>
  <c r="F21" i="439"/>
  <c r="F43" i="439"/>
  <c r="F14" i="439"/>
  <c r="F31" i="439"/>
  <c r="F28" i="439"/>
  <c r="F35" i="439"/>
  <c r="F38" i="439"/>
  <c r="F13" i="439"/>
  <c r="F18" i="439"/>
  <c r="F23" i="439"/>
  <c r="F36" i="439"/>
  <c r="F11" i="439"/>
  <c r="F34" i="439"/>
  <c r="F12" i="439"/>
  <c r="F29" i="439"/>
  <c r="F31" i="322"/>
  <c r="F14" i="322"/>
  <c r="F30" i="322"/>
  <c r="F35" i="322"/>
  <c r="F38" i="322"/>
  <c r="F42" i="322"/>
  <c r="F17" i="322"/>
  <c r="G17" i="322" s="1"/>
  <c r="F26" i="322"/>
  <c r="J50" i="179"/>
  <c r="E50" i="179"/>
  <c r="F21" i="378"/>
  <c r="F39" i="378"/>
  <c r="F18" i="378"/>
  <c r="F45" i="378"/>
  <c r="G45" i="378" s="1"/>
  <c r="F26" i="378"/>
  <c r="G26" i="378" s="1"/>
  <c r="F30" i="378"/>
  <c r="F43" i="378"/>
  <c r="F16" i="378"/>
  <c r="F27" i="378"/>
  <c r="I27" i="378" s="1"/>
  <c r="F29" i="378"/>
  <c r="F44" i="378"/>
  <c r="F42" i="378"/>
  <c r="F28" i="378"/>
  <c r="F11" i="378"/>
  <c r="F22" i="378"/>
  <c r="F13" i="378"/>
  <c r="F37" i="378"/>
  <c r="F23" i="270"/>
  <c r="F10" i="270"/>
  <c r="F21" i="270"/>
  <c r="F30" i="270"/>
  <c r="F45" i="270"/>
  <c r="G45" i="270" s="1"/>
  <c r="F12" i="270"/>
  <c r="F31" i="270"/>
  <c r="F16" i="270"/>
  <c r="F14" i="270"/>
  <c r="F39" i="270"/>
  <c r="F17" i="270"/>
  <c r="F43" i="270"/>
  <c r="F11" i="270"/>
  <c r="F13" i="270"/>
  <c r="F18" i="270"/>
  <c r="F38" i="270"/>
  <c r="G38" i="270" s="1"/>
  <c r="F42" i="270"/>
  <c r="F44" i="270"/>
  <c r="F35" i="270"/>
  <c r="F28" i="270"/>
  <c r="F34" i="270"/>
  <c r="F29" i="270"/>
  <c r="F37" i="107"/>
  <c r="F13" i="107"/>
  <c r="F10" i="107"/>
  <c r="F18" i="107"/>
  <c r="F43" i="107"/>
  <c r="F21" i="107"/>
  <c r="I21" i="107" s="1"/>
  <c r="F28" i="107"/>
  <c r="F45" i="107"/>
  <c r="G45" i="107" s="1"/>
  <c r="F38" i="107"/>
  <c r="F29" i="107"/>
  <c r="G29" i="107" s="1"/>
  <c r="F30" i="107"/>
  <c r="F31" i="107"/>
  <c r="F44" i="107"/>
  <c r="F27" i="107"/>
  <c r="E50" i="77"/>
  <c r="J50" i="77"/>
  <c r="C48" i="179"/>
  <c r="F23" i="121"/>
  <c r="F44" i="121"/>
  <c r="F17" i="121"/>
  <c r="F42" i="121"/>
  <c r="F21" i="121"/>
  <c r="F15" i="121"/>
  <c r="F34" i="259"/>
  <c r="F38" i="259"/>
  <c r="F16" i="259"/>
  <c r="G16" i="259" s="1"/>
  <c r="F37" i="259"/>
  <c r="F31" i="259"/>
  <c r="F28" i="259"/>
  <c r="F21" i="428"/>
  <c r="F18" i="428"/>
  <c r="F17" i="428"/>
  <c r="F16" i="428"/>
  <c r="F26" i="428"/>
  <c r="F23" i="428"/>
  <c r="F11" i="322"/>
  <c r="F36" i="322"/>
  <c r="F10" i="322"/>
  <c r="I10" i="322" s="1"/>
  <c r="F15" i="322"/>
  <c r="F34" i="322"/>
  <c r="F34" i="305"/>
  <c r="F28" i="305"/>
  <c r="F39" i="305"/>
  <c r="F27" i="305"/>
  <c r="F26" i="305"/>
  <c r="F14" i="65"/>
  <c r="F39" i="65"/>
  <c r="F31" i="65"/>
  <c r="F23" i="65"/>
  <c r="F44" i="346"/>
  <c r="F15" i="346"/>
  <c r="F29" i="346"/>
  <c r="F26" i="346"/>
  <c r="F15" i="107"/>
  <c r="F22" i="107"/>
  <c r="F17" i="107"/>
  <c r="F34" i="107"/>
  <c r="H48" i="452"/>
  <c r="H50" i="452" s="1"/>
  <c r="E6" i="452" s="1"/>
  <c r="F22" i="425"/>
  <c r="F18" i="425"/>
  <c r="F39" i="425"/>
  <c r="F30" i="425"/>
  <c r="G30" i="425" s="1"/>
  <c r="F14" i="425"/>
  <c r="F29" i="425"/>
  <c r="F12" i="425"/>
  <c r="F26" i="425"/>
  <c r="F45" i="425"/>
  <c r="G45" i="425" s="1"/>
  <c r="F36" i="425"/>
  <c r="F10" i="425"/>
  <c r="F27" i="425"/>
  <c r="G27" i="425" s="1"/>
  <c r="F28" i="425"/>
  <c r="F13" i="425"/>
  <c r="F42" i="204"/>
  <c r="F12" i="204"/>
  <c r="I12" i="204" s="1"/>
  <c r="F29" i="204"/>
  <c r="F34" i="204"/>
  <c r="F15" i="204"/>
  <c r="I35" i="188"/>
  <c r="F31" i="378"/>
  <c r="F34" i="378"/>
  <c r="F15" i="378"/>
  <c r="F16" i="331"/>
  <c r="I16" i="331" s="1"/>
  <c r="F44" i="331"/>
  <c r="F14" i="171"/>
  <c r="F15" i="171"/>
  <c r="F17" i="171"/>
  <c r="I17" i="171" s="1"/>
  <c r="F27" i="171"/>
  <c r="F18" i="171"/>
  <c r="F11" i="171"/>
  <c r="F21" i="171"/>
  <c r="F22" i="171"/>
  <c r="F30" i="171"/>
  <c r="F39" i="171"/>
  <c r="F23" i="171"/>
  <c r="F29" i="171"/>
  <c r="F13" i="171"/>
  <c r="F38" i="171"/>
  <c r="F34" i="335"/>
  <c r="G34" i="335" s="1"/>
  <c r="F21" i="335"/>
  <c r="F12" i="335"/>
  <c r="F13" i="335"/>
  <c r="F42" i="335"/>
  <c r="F31" i="335"/>
  <c r="F23" i="335"/>
  <c r="F22" i="335"/>
  <c r="F35" i="335"/>
  <c r="F30" i="335"/>
  <c r="F29" i="335"/>
  <c r="F10" i="335"/>
  <c r="F28" i="335"/>
  <c r="F11" i="335"/>
  <c r="F37" i="270"/>
  <c r="F26" i="129"/>
  <c r="F29" i="129"/>
  <c r="F35" i="129"/>
  <c r="F10" i="129"/>
  <c r="I18" i="153"/>
  <c r="G18" i="153"/>
  <c r="E48" i="61"/>
  <c r="C32" i="15"/>
  <c r="H48" i="15"/>
  <c r="H50" i="15" s="1"/>
  <c r="E6" i="15" s="1"/>
  <c r="F28" i="81"/>
  <c r="F11" i="81"/>
  <c r="F37" i="81"/>
  <c r="F14" i="81"/>
  <c r="F35" i="81"/>
  <c r="F38" i="81"/>
  <c r="F10" i="81"/>
  <c r="F39" i="81"/>
  <c r="F15" i="81"/>
  <c r="F21" i="81"/>
  <c r="F45" i="81"/>
  <c r="G45" i="81" s="1"/>
  <c r="F36" i="81"/>
  <c r="I36" i="81" s="1"/>
  <c r="F34" i="81"/>
  <c r="F27" i="81"/>
  <c r="F23" i="81"/>
  <c r="F30" i="81"/>
  <c r="F31" i="81"/>
  <c r="F16" i="81"/>
  <c r="F18" i="81"/>
  <c r="F13" i="81"/>
  <c r="I13" i="81" s="1"/>
  <c r="F42" i="81"/>
  <c r="E46" i="179"/>
  <c r="A52" i="179" s="1"/>
  <c r="F30" i="244"/>
  <c r="F13" i="244"/>
  <c r="F29" i="244"/>
  <c r="F31" i="50"/>
  <c r="F12" i="50"/>
  <c r="F29" i="50"/>
  <c r="G29" i="50" s="1"/>
  <c r="F18" i="50"/>
  <c r="F27" i="50"/>
  <c r="F17" i="50"/>
  <c r="F15" i="50"/>
  <c r="F34" i="50"/>
  <c r="F38" i="50"/>
  <c r="F21" i="50"/>
  <c r="F42" i="50"/>
  <c r="F26" i="50"/>
  <c r="F36" i="50"/>
  <c r="F22" i="264"/>
  <c r="F21" i="264"/>
  <c r="I21" i="264" s="1"/>
  <c r="C19" i="23"/>
  <c r="F31" i="280"/>
  <c r="F16" i="280"/>
  <c r="F17" i="280"/>
  <c r="F11" i="280"/>
  <c r="F14" i="280"/>
  <c r="F15" i="280"/>
  <c r="F26" i="280"/>
  <c r="G26" i="280" s="1"/>
  <c r="F45" i="280"/>
  <c r="G45" i="280" s="1"/>
  <c r="F43" i="280"/>
  <c r="F22" i="280"/>
  <c r="F27" i="280"/>
  <c r="F39" i="280"/>
  <c r="F44" i="280"/>
  <c r="F10" i="280"/>
  <c r="E48" i="217"/>
  <c r="H46" i="472"/>
  <c r="C48" i="467"/>
  <c r="F13" i="217"/>
  <c r="F11" i="217"/>
  <c r="F18" i="217"/>
  <c r="F36" i="217"/>
  <c r="F22" i="217"/>
  <c r="F36" i="383"/>
  <c r="G36" i="383" s="1"/>
  <c r="F16" i="383"/>
  <c r="F12" i="383"/>
  <c r="F14" i="383"/>
  <c r="F39" i="383"/>
  <c r="F45" i="383"/>
  <c r="G45" i="383" s="1"/>
  <c r="F31" i="383"/>
  <c r="F43" i="264"/>
  <c r="F35" i="264"/>
  <c r="I35" i="264" s="1"/>
  <c r="F23" i="264"/>
  <c r="F34" i="264"/>
  <c r="F36" i="264"/>
  <c r="F15" i="264"/>
  <c r="I15" i="264" s="1"/>
  <c r="F11" i="264"/>
  <c r="F14" i="264"/>
  <c r="F28" i="264"/>
  <c r="F10" i="264"/>
  <c r="F17" i="264"/>
  <c r="F37" i="264"/>
  <c r="F39" i="264"/>
  <c r="F31" i="264"/>
  <c r="F28" i="402"/>
  <c r="F27" i="402"/>
  <c r="F29" i="402"/>
  <c r="F15" i="402"/>
  <c r="F10" i="402"/>
  <c r="F21" i="402"/>
  <c r="F45" i="402"/>
  <c r="G45" i="402" s="1"/>
  <c r="F13" i="402"/>
  <c r="I13" i="402" s="1"/>
  <c r="F38" i="402"/>
  <c r="F35" i="402"/>
  <c r="F39" i="402"/>
  <c r="F17" i="402"/>
  <c r="G17" i="402" s="1"/>
  <c r="F14" i="402"/>
  <c r="F30" i="402"/>
  <c r="E48" i="389"/>
  <c r="I29" i="282"/>
  <c r="G29" i="282"/>
  <c r="G39" i="282"/>
  <c r="I39" i="282"/>
  <c r="I12" i="282"/>
  <c r="G12" i="282"/>
  <c r="I14" i="282"/>
  <c r="G14" i="282"/>
  <c r="E48" i="339"/>
  <c r="G44" i="288"/>
  <c r="I44" i="288"/>
  <c r="G12" i="288"/>
  <c r="I12" i="288"/>
  <c r="G17" i="288"/>
  <c r="I17" i="288"/>
  <c r="I22" i="288"/>
  <c r="G22" i="288"/>
  <c r="I31" i="288"/>
  <c r="G31" i="288"/>
  <c r="G27" i="288"/>
  <c r="I27" i="288"/>
  <c r="G26" i="288"/>
  <c r="I26" i="288"/>
  <c r="E48" i="198"/>
  <c r="G11" i="282"/>
  <c r="I11" i="282"/>
  <c r="G10" i="282"/>
  <c r="I10" i="282"/>
  <c r="I15" i="282"/>
  <c r="G15" i="282"/>
  <c r="F29" i="209"/>
  <c r="F37" i="209"/>
  <c r="F38" i="209"/>
  <c r="F26" i="209"/>
  <c r="F14" i="209"/>
  <c r="I28" i="288"/>
  <c r="G28" i="288"/>
  <c r="G42" i="288"/>
  <c r="I42" i="288"/>
  <c r="G10" i="288"/>
  <c r="I10" i="288"/>
  <c r="I34" i="288"/>
  <c r="G34" i="288"/>
  <c r="G43" i="288"/>
  <c r="I43" i="288"/>
  <c r="G29" i="288"/>
  <c r="I29" i="288"/>
  <c r="I38" i="288"/>
  <c r="G38" i="288"/>
  <c r="F16" i="170"/>
  <c r="F35" i="170"/>
  <c r="F42" i="170"/>
  <c r="F37" i="170"/>
  <c r="I37" i="170" s="1"/>
  <c r="F29" i="170"/>
  <c r="F44" i="170"/>
  <c r="F43" i="170"/>
  <c r="F38" i="137"/>
  <c r="I38" i="137" s="1"/>
  <c r="F11" i="137"/>
  <c r="F17" i="137"/>
  <c r="F45" i="137"/>
  <c r="G45" i="137" s="1"/>
  <c r="F34" i="137"/>
  <c r="F15" i="137"/>
  <c r="F28" i="137"/>
  <c r="F17" i="132"/>
  <c r="F42" i="132"/>
  <c r="F23" i="132"/>
  <c r="F45" i="132"/>
  <c r="G45" i="132" s="1"/>
  <c r="F39" i="132"/>
  <c r="F35" i="132"/>
  <c r="I35" i="132" s="1"/>
  <c r="F16" i="132"/>
  <c r="F42" i="100"/>
  <c r="F13" i="100"/>
  <c r="F16" i="100"/>
  <c r="F23" i="100"/>
  <c r="F44" i="100"/>
  <c r="F10" i="100"/>
  <c r="F15" i="100"/>
  <c r="F30" i="153"/>
  <c r="F43" i="153"/>
  <c r="F42" i="153"/>
  <c r="F29" i="153"/>
  <c r="F37" i="153"/>
  <c r="E48" i="431"/>
  <c r="I31" i="209"/>
  <c r="E48" i="36"/>
  <c r="F17" i="410"/>
  <c r="F27" i="410"/>
  <c r="F30" i="410"/>
  <c r="F15" i="410"/>
  <c r="F13" i="410"/>
  <c r="F34" i="410"/>
  <c r="F26" i="410"/>
  <c r="F12" i="209"/>
  <c r="F11" i="209"/>
  <c r="F15" i="209"/>
  <c r="F23" i="209"/>
  <c r="F10" i="209"/>
  <c r="G10" i="209" s="1"/>
  <c r="F43" i="209"/>
  <c r="G18" i="282"/>
  <c r="I18" i="282"/>
  <c r="G22" i="282"/>
  <c r="I22" i="282"/>
  <c r="I34" i="282"/>
  <c r="G34" i="282"/>
  <c r="E48" i="314"/>
  <c r="F23" i="412"/>
  <c r="F29" i="412"/>
  <c r="F12" i="412"/>
  <c r="F27" i="412"/>
  <c r="F35" i="412"/>
  <c r="F13" i="412"/>
  <c r="F44" i="412"/>
  <c r="F34" i="412"/>
  <c r="F37" i="412"/>
  <c r="F45" i="412"/>
  <c r="G45" i="412" s="1"/>
  <c r="F30" i="412"/>
  <c r="F39" i="412"/>
  <c r="F36" i="412"/>
  <c r="F16" i="412"/>
  <c r="F15" i="412"/>
  <c r="F11" i="412"/>
  <c r="F18" i="412"/>
  <c r="F42" i="412"/>
  <c r="F38" i="412"/>
  <c r="F22" i="412"/>
  <c r="F26" i="412"/>
  <c r="F31" i="412"/>
  <c r="F28" i="412"/>
  <c r="F17" i="412"/>
  <c r="F14" i="412"/>
  <c r="F43" i="412"/>
  <c r="F21" i="412"/>
  <c r="F10" i="412"/>
  <c r="E48" i="192"/>
  <c r="E48" i="274"/>
  <c r="I21" i="288"/>
  <c r="G21" i="288"/>
  <c r="G14" i="288"/>
  <c r="I14" i="288"/>
  <c r="G16" i="288"/>
  <c r="I16" i="288"/>
  <c r="G36" i="288"/>
  <c r="I36" i="288"/>
  <c r="I11" i="288"/>
  <c r="G11" i="288"/>
  <c r="G23" i="288"/>
  <c r="I23" i="288"/>
  <c r="C48" i="15"/>
  <c r="D50" i="118"/>
  <c r="E50" i="118" s="1"/>
  <c r="F22" i="170"/>
  <c r="F21" i="170"/>
  <c r="F28" i="170"/>
  <c r="F30" i="170"/>
  <c r="F14" i="170"/>
  <c r="F31" i="170"/>
  <c r="F44" i="137"/>
  <c r="F18" i="137"/>
  <c r="I18" i="137" s="1"/>
  <c r="F29" i="137"/>
  <c r="F39" i="137"/>
  <c r="F14" i="137"/>
  <c r="F27" i="137"/>
  <c r="I27" i="137" s="1"/>
  <c r="F12" i="132"/>
  <c r="F15" i="132"/>
  <c r="F26" i="132"/>
  <c r="F22" i="132"/>
  <c r="F28" i="132"/>
  <c r="F11" i="132"/>
  <c r="F28" i="134"/>
  <c r="F10" i="134"/>
  <c r="F26" i="134"/>
  <c r="F21" i="134"/>
  <c r="F34" i="134"/>
  <c r="F31" i="134"/>
  <c r="F39" i="100"/>
  <c r="F31" i="100"/>
  <c r="F34" i="100"/>
  <c r="F27" i="100"/>
  <c r="I27" i="100" s="1"/>
  <c r="F37" i="100"/>
  <c r="F38" i="100"/>
  <c r="F23" i="153"/>
  <c r="F44" i="153"/>
  <c r="F10" i="153"/>
  <c r="C46" i="118"/>
  <c r="F10" i="410"/>
  <c r="F35" i="410"/>
  <c r="G35" i="410" s="1"/>
  <c r="F45" i="410"/>
  <c r="G45" i="410" s="1"/>
  <c r="F44" i="410"/>
  <c r="F37" i="410"/>
  <c r="F29" i="410"/>
  <c r="C48" i="76"/>
  <c r="F18" i="209"/>
  <c r="F22" i="209"/>
  <c r="F21" i="209"/>
  <c r="F45" i="209"/>
  <c r="G45" i="209" s="1"/>
  <c r="F34" i="209"/>
  <c r="F27" i="209"/>
  <c r="I27" i="209" s="1"/>
  <c r="I27" i="282"/>
  <c r="G27" i="282"/>
  <c r="G16" i="282"/>
  <c r="I16" i="282"/>
  <c r="G31" i="282"/>
  <c r="I31" i="282"/>
  <c r="G37" i="282"/>
  <c r="I37" i="282"/>
  <c r="E48" i="263"/>
  <c r="G35" i="288"/>
  <c r="I35" i="288"/>
  <c r="I15" i="288"/>
  <c r="G15" i="288"/>
  <c r="I13" i="288"/>
  <c r="G13" i="288"/>
  <c r="I37" i="288"/>
  <c r="G37" i="288"/>
  <c r="I18" i="288"/>
  <c r="G18" i="288"/>
  <c r="G30" i="288"/>
  <c r="I30" i="288"/>
  <c r="G39" i="288"/>
  <c r="I39" i="288"/>
  <c r="E50" i="180"/>
  <c r="J50" i="180"/>
  <c r="C46" i="77"/>
  <c r="C48" i="77" s="1"/>
  <c r="H48" i="77"/>
  <c r="H50" i="77" s="1"/>
  <c r="E6" i="77" s="1"/>
  <c r="C48" i="180"/>
  <c r="E48" i="111"/>
  <c r="I44" i="447"/>
  <c r="G44" i="447"/>
  <c r="G39" i="447"/>
  <c r="I39" i="447"/>
  <c r="I22" i="447"/>
  <c r="G22" i="447"/>
  <c r="I17" i="447"/>
  <c r="G17" i="447"/>
  <c r="G31" i="447"/>
  <c r="I31" i="447"/>
  <c r="E48" i="388"/>
  <c r="F18" i="48"/>
  <c r="F26" i="48"/>
  <c r="F30" i="48"/>
  <c r="F36" i="48"/>
  <c r="F38" i="48"/>
  <c r="F14" i="48"/>
  <c r="F37" i="48"/>
  <c r="F43" i="48"/>
  <c r="F10" i="48"/>
  <c r="F16" i="48"/>
  <c r="F11" i="48"/>
  <c r="F27" i="48"/>
  <c r="F42" i="48"/>
  <c r="F17" i="48"/>
  <c r="F34" i="48"/>
  <c r="F35" i="48"/>
  <c r="F29" i="48"/>
  <c r="F13" i="48"/>
  <c r="F15" i="48"/>
  <c r="F44" i="48"/>
  <c r="F22" i="48"/>
  <c r="F45" i="48"/>
  <c r="G45" i="48" s="1"/>
  <c r="F31" i="48"/>
  <c r="F23" i="48"/>
  <c r="F12" i="48"/>
  <c r="F28" i="48"/>
  <c r="F21" i="48"/>
  <c r="F39" i="48"/>
  <c r="J50" i="171"/>
  <c r="E50" i="171"/>
  <c r="E48" i="79"/>
  <c r="F22" i="381"/>
  <c r="F18" i="381"/>
  <c r="F42" i="381"/>
  <c r="F37" i="381"/>
  <c r="F44" i="381"/>
  <c r="F30" i="381"/>
  <c r="F39" i="381"/>
  <c r="F23" i="381"/>
  <c r="F31" i="381"/>
  <c r="F11" i="381"/>
  <c r="F15" i="381"/>
  <c r="F35" i="381"/>
  <c r="F17" i="381"/>
  <c r="F10" i="381"/>
  <c r="E24" i="152"/>
  <c r="E44" i="152"/>
  <c r="E31" i="152"/>
  <c r="E36" i="152"/>
  <c r="E43" i="152"/>
  <c r="E29" i="152"/>
  <c r="E38" i="152"/>
  <c r="E22" i="152"/>
  <c r="E34" i="152"/>
  <c r="E40" i="152"/>
  <c r="E23" i="152"/>
  <c r="E45" i="152"/>
  <c r="E26" i="152"/>
  <c r="E35" i="152"/>
  <c r="E42" i="152"/>
  <c r="E28" i="152"/>
  <c r="E30" i="152"/>
  <c r="E39" i="152"/>
  <c r="E21" i="152"/>
  <c r="E46" i="152"/>
  <c r="A52" i="152" s="1"/>
  <c r="E37" i="152"/>
  <c r="E27" i="152"/>
  <c r="E48" i="44"/>
  <c r="E40" i="75"/>
  <c r="E34" i="75"/>
  <c r="E44" i="75"/>
  <c r="E23" i="75"/>
  <c r="E31" i="75"/>
  <c r="E38" i="75"/>
  <c r="E24" i="75"/>
  <c r="E37" i="75"/>
  <c r="E45" i="75"/>
  <c r="E30" i="75"/>
  <c r="E28" i="75"/>
  <c r="E22" i="75"/>
  <c r="E36" i="75"/>
  <c r="E42" i="75"/>
  <c r="E29" i="75"/>
  <c r="E46" i="75"/>
  <c r="A52" i="75" s="1"/>
  <c r="E27" i="75"/>
  <c r="E39" i="75"/>
  <c r="E21" i="75"/>
  <c r="E35" i="75"/>
  <c r="E43" i="75"/>
  <c r="E26" i="75"/>
  <c r="I34" i="209"/>
  <c r="G34" i="209"/>
  <c r="G27" i="209"/>
  <c r="E26" i="76"/>
  <c r="E28" i="76"/>
  <c r="E37" i="76"/>
  <c r="E21" i="76"/>
  <c r="E22" i="76"/>
  <c r="E44" i="76"/>
  <c r="E35" i="76"/>
  <c r="E29" i="76"/>
  <c r="E38" i="76"/>
  <c r="E30" i="76"/>
  <c r="E32" i="76"/>
  <c r="E24" i="76"/>
  <c r="E23" i="76"/>
  <c r="E39" i="76"/>
  <c r="E36" i="76"/>
  <c r="E31" i="76"/>
  <c r="E27" i="76"/>
  <c r="E45" i="76"/>
  <c r="E43" i="76"/>
  <c r="E42" i="76"/>
  <c r="E34" i="76"/>
  <c r="J50" i="242"/>
  <c r="E50" i="242"/>
  <c r="H48" i="184"/>
  <c r="H50" i="184" s="1"/>
  <c r="E6" i="184" s="1"/>
  <c r="E32" i="269"/>
  <c r="E48" i="48"/>
  <c r="I16" i="447"/>
  <c r="G16" i="447"/>
  <c r="G18" i="447"/>
  <c r="I18" i="447"/>
  <c r="I34" i="447"/>
  <c r="G34" i="447"/>
  <c r="I38" i="447"/>
  <c r="G38" i="447"/>
  <c r="I21" i="447"/>
  <c r="G21" i="447"/>
  <c r="E48" i="257"/>
  <c r="E48" i="450"/>
  <c r="F37" i="268"/>
  <c r="F29" i="268"/>
  <c r="F16" i="268"/>
  <c r="F26" i="268"/>
  <c r="F36" i="268"/>
  <c r="F38" i="268"/>
  <c r="F31" i="268"/>
  <c r="F23" i="268"/>
  <c r="F11" i="268"/>
  <c r="F39" i="268"/>
  <c r="F43" i="268"/>
  <c r="F12" i="268"/>
  <c r="F21" i="268"/>
  <c r="F42" i="268"/>
  <c r="F28" i="268"/>
  <c r="F44" i="268"/>
  <c r="F30" i="268"/>
  <c r="F27" i="268"/>
  <c r="F34" i="268"/>
  <c r="F35" i="268"/>
  <c r="F15" i="268"/>
  <c r="F18" i="268"/>
  <c r="F10" i="268"/>
  <c r="F22" i="268"/>
  <c r="F45" i="268"/>
  <c r="G45" i="268" s="1"/>
  <c r="F17" i="268"/>
  <c r="F13" i="268"/>
  <c r="F14" i="268"/>
  <c r="E48" i="246"/>
  <c r="J50" i="76"/>
  <c r="E50" i="76"/>
  <c r="F45" i="200"/>
  <c r="G45" i="200" s="1"/>
  <c r="F13" i="200"/>
  <c r="F30" i="200"/>
  <c r="F43" i="200"/>
  <c r="F10" i="200"/>
  <c r="F14" i="200"/>
  <c r="F38" i="200"/>
  <c r="F12" i="200"/>
  <c r="F11" i="200"/>
  <c r="F15" i="200"/>
  <c r="F17" i="200"/>
  <c r="F44" i="200"/>
  <c r="F36" i="200"/>
  <c r="F34" i="200"/>
  <c r="F31" i="200"/>
  <c r="F35" i="200"/>
  <c r="F22" i="200"/>
  <c r="F39" i="200"/>
  <c r="F27" i="200"/>
  <c r="F26" i="200"/>
  <c r="F23" i="200"/>
  <c r="F37" i="200"/>
  <c r="F16" i="200"/>
  <c r="F18" i="200"/>
  <c r="F42" i="200"/>
  <c r="F29" i="200"/>
  <c r="F21" i="200"/>
  <c r="F28" i="200"/>
  <c r="E48" i="19"/>
  <c r="E48" i="56"/>
  <c r="I44" i="209"/>
  <c r="G44" i="209"/>
  <c r="G17" i="209"/>
  <c r="I17" i="209"/>
  <c r="I13" i="209"/>
  <c r="G13" i="209"/>
  <c r="F11" i="149"/>
  <c r="F12" i="149"/>
  <c r="F30" i="149"/>
  <c r="F15" i="149"/>
  <c r="F10" i="149"/>
  <c r="F42" i="149"/>
  <c r="F29" i="149"/>
  <c r="F27" i="149"/>
  <c r="F28" i="149"/>
  <c r="F34" i="149"/>
  <c r="F43" i="149"/>
  <c r="F18" i="149"/>
  <c r="F23" i="149"/>
  <c r="F17" i="149"/>
  <c r="F37" i="149"/>
  <c r="F26" i="149"/>
  <c r="F45" i="149"/>
  <c r="G45" i="149" s="1"/>
  <c r="F21" i="149"/>
  <c r="F22" i="149"/>
  <c r="F35" i="149"/>
  <c r="F36" i="149"/>
  <c r="F38" i="149"/>
  <c r="F31" i="149"/>
  <c r="F44" i="149"/>
  <c r="F39" i="149"/>
  <c r="F13" i="149"/>
  <c r="F16" i="149"/>
  <c r="F14" i="149"/>
  <c r="D48" i="77"/>
  <c r="E32" i="77" s="1"/>
  <c r="E48" i="97"/>
  <c r="F36" i="222"/>
  <c r="F31" i="222"/>
  <c r="F44" i="222"/>
  <c r="F15" i="222"/>
  <c r="F17" i="222"/>
  <c r="F12" i="222"/>
  <c r="F30" i="222"/>
  <c r="F28" i="222"/>
  <c r="F22" i="222"/>
  <c r="F43" i="222"/>
  <c r="F35" i="222"/>
  <c r="F21" i="222"/>
  <c r="F45" i="222"/>
  <c r="G45" i="222" s="1"/>
  <c r="F42" i="222"/>
  <c r="F16" i="222"/>
  <c r="F37" i="222"/>
  <c r="F18" i="222"/>
  <c r="F26" i="222"/>
  <c r="F29" i="222"/>
  <c r="F13" i="222"/>
  <c r="F23" i="222"/>
  <c r="F11" i="222"/>
  <c r="F10" i="222"/>
  <c r="F39" i="222"/>
  <c r="F38" i="222"/>
  <c r="F27" i="222"/>
  <c r="F34" i="222"/>
  <c r="F14" i="222"/>
  <c r="I35" i="447"/>
  <c r="G35" i="447"/>
  <c r="I26" i="447"/>
  <c r="G26" i="447"/>
  <c r="I13" i="447"/>
  <c r="G13" i="447"/>
  <c r="I36" i="447"/>
  <c r="G36" i="447"/>
  <c r="G12" i="447"/>
  <c r="I12" i="447"/>
  <c r="I15" i="447"/>
  <c r="G15" i="447"/>
  <c r="F31" i="214"/>
  <c r="F14" i="214"/>
  <c r="F36" i="214"/>
  <c r="F26" i="214"/>
  <c r="F44" i="214"/>
  <c r="F45" i="214"/>
  <c r="G45" i="214" s="1"/>
  <c r="F35" i="214"/>
  <c r="F38" i="214"/>
  <c r="F22" i="214"/>
  <c r="F28" i="214"/>
  <c r="F16" i="214"/>
  <c r="F27" i="214"/>
  <c r="F42" i="214"/>
  <c r="F21" i="214"/>
  <c r="F13" i="214"/>
  <c r="F12" i="214"/>
  <c r="F37" i="214"/>
  <c r="F39" i="214"/>
  <c r="F30" i="214"/>
  <c r="F11" i="214"/>
  <c r="F43" i="214"/>
  <c r="F18" i="214"/>
  <c r="F23" i="214"/>
  <c r="F15" i="214"/>
  <c r="F10" i="214"/>
  <c r="F17" i="214"/>
  <c r="F34" i="214"/>
  <c r="F29" i="214"/>
  <c r="J50" i="152"/>
  <c r="E50" i="152"/>
  <c r="E48" i="54"/>
  <c r="E48" i="86"/>
  <c r="E48" i="237"/>
  <c r="F22" i="153"/>
  <c r="F13" i="153"/>
  <c r="F38" i="153"/>
  <c r="F14" i="153"/>
  <c r="F45" i="153"/>
  <c r="G45" i="153" s="1"/>
  <c r="F31" i="153"/>
  <c r="F27" i="153"/>
  <c r="F28" i="153"/>
  <c r="G35" i="209"/>
  <c r="I35" i="209"/>
  <c r="I39" i="209"/>
  <c r="G39" i="209"/>
  <c r="G28" i="209"/>
  <c r="I28" i="209"/>
  <c r="G30" i="209"/>
  <c r="I30" i="209"/>
  <c r="H48" i="152"/>
  <c r="H50" i="152" s="1"/>
  <c r="E6" i="152" s="1"/>
  <c r="H48" i="87"/>
  <c r="H50" i="87" s="1"/>
  <c r="E6" i="87" s="1"/>
  <c r="H48" i="185"/>
  <c r="H50" i="185" s="1"/>
  <c r="E6" i="185" s="1"/>
  <c r="I42" i="447"/>
  <c r="G42" i="447"/>
  <c r="I10" i="447"/>
  <c r="G10" i="447"/>
  <c r="I43" i="447"/>
  <c r="G43" i="447"/>
  <c r="I37" i="447"/>
  <c r="G37" i="447"/>
  <c r="G14" i="447"/>
  <c r="I14" i="447"/>
  <c r="I23" i="447"/>
  <c r="I24" i="447" s="1"/>
  <c r="F24" i="447" s="1"/>
  <c r="G24" i="447" s="1"/>
  <c r="G23" i="447"/>
  <c r="E48" i="22"/>
  <c r="E40" i="171"/>
  <c r="E29" i="171"/>
  <c r="E35" i="171"/>
  <c r="E22" i="171"/>
  <c r="E43" i="171"/>
  <c r="E44" i="171"/>
  <c r="E30" i="171"/>
  <c r="E36" i="171"/>
  <c r="E23" i="171"/>
  <c r="E27" i="171"/>
  <c r="E45" i="171"/>
  <c r="E34" i="171"/>
  <c r="E24" i="171"/>
  <c r="E46" i="171"/>
  <c r="A52" i="171" s="1"/>
  <c r="E38" i="171"/>
  <c r="E39" i="171"/>
  <c r="E37" i="171"/>
  <c r="E28" i="171"/>
  <c r="E26" i="171"/>
  <c r="E31" i="171"/>
  <c r="E21" i="171"/>
  <c r="E42" i="171"/>
  <c r="E32" i="171"/>
  <c r="H48" i="242"/>
  <c r="H50" i="242" s="1"/>
  <c r="E6" i="242" s="1"/>
  <c r="E48" i="60"/>
  <c r="E48" i="434"/>
  <c r="E32" i="152"/>
  <c r="E48" i="247"/>
  <c r="E21" i="80"/>
  <c r="E42" i="80"/>
  <c r="E44" i="80"/>
  <c r="E34" i="80"/>
  <c r="E36" i="80"/>
  <c r="E46" i="80"/>
  <c r="A52" i="80" s="1"/>
  <c r="E24" i="80"/>
  <c r="E30" i="80"/>
  <c r="E35" i="80"/>
  <c r="E40" i="80"/>
  <c r="E39" i="80"/>
  <c r="E43" i="80"/>
  <c r="E31" i="80"/>
  <c r="E37" i="80"/>
  <c r="E38" i="80"/>
  <c r="E29" i="80"/>
  <c r="E45" i="80"/>
  <c r="E27" i="80"/>
  <c r="E28" i="80"/>
  <c r="E22" i="80"/>
  <c r="E23" i="80"/>
  <c r="E26" i="80"/>
  <c r="E48" i="253"/>
  <c r="E48" i="261"/>
  <c r="G11" i="209"/>
  <c r="I11" i="209"/>
  <c r="G15" i="209"/>
  <c r="I15" i="209"/>
  <c r="I23" i="209"/>
  <c r="G23" i="209"/>
  <c r="I10" i="209"/>
  <c r="E40" i="76"/>
  <c r="E48" i="236"/>
  <c r="E27" i="242"/>
  <c r="E21" i="242"/>
  <c r="E34" i="242"/>
  <c r="E22" i="242"/>
  <c r="E31" i="242"/>
  <c r="E23" i="242"/>
  <c r="E39" i="242"/>
  <c r="E46" i="242"/>
  <c r="A52" i="242" s="1"/>
  <c r="E40" i="242"/>
  <c r="E42" i="242"/>
  <c r="E38" i="242"/>
  <c r="E29" i="242"/>
  <c r="E24" i="242"/>
  <c r="E37" i="242"/>
  <c r="E45" i="242"/>
  <c r="E43" i="242"/>
  <c r="E26" i="242"/>
  <c r="E30" i="242"/>
  <c r="E36" i="242"/>
  <c r="E28" i="242"/>
  <c r="E35" i="242"/>
  <c r="E44" i="242"/>
  <c r="H48" i="367"/>
  <c r="H50" i="367" s="1"/>
  <c r="E6" i="367" s="1"/>
  <c r="E48" i="130"/>
  <c r="G13" i="394"/>
  <c r="I13" i="394"/>
  <c r="I34" i="394"/>
  <c r="G34" i="394"/>
  <c r="I22" i="394"/>
  <c r="G22" i="394"/>
  <c r="I18" i="394"/>
  <c r="G18" i="394"/>
  <c r="G10" i="394"/>
  <c r="I10" i="394"/>
  <c r="G35" i="394"/>
  <c r="I35" i="394"/>
  <c r="G15" i="414"/>
  <c r="I15" i="414"/>
  <c r="I13" i="414"/>
  <c r="G13" i="414"/>
  <c r="G44" i="414"/>
  <c r="I44" i="414"/>
  <c r="I10" i="414"/>
  <c r="G10" i="414"/>
  <c r="G16" i="414"/>
  <c r="I16" i="414"/>
  <c r="I28" i="414"/>
  <c r="G28" i="414"/>
  <c r="I21" i="414"/>
  <c r="G21" i="414"/>
  <c r="I37" i="336"/>
  <c r="G37" i="336"/>
  <c r="I38" i="336"/>
  <c r="G38" i="336"/>
  <c r="I36" i="336"/>
  <c r="G36" i="336"/>
  <c r="I35" i="336"/>
  <c r="G35" i="336"/>
  <c r="G34" i="336"/>
  <c r="I34" i="336"/>
  <c r="G27" i="336"/>
  <c r="I27" i="336"/>
  <c r="I39" i="336"/>
  <c r="G39" i="336"/>
  <c r="I17" i="303"/>
  <c r="G17" i="303"/>
  <c r="I21" i="303"/>
  <c r="G21" i="303"/>
  <c r="I14" i="303"/>
  <c r="G14" i="303"/>
  <c r="I34" i="303"/>
  <c r="G34" i="303"/>
  <c r="I23" i="303"/>
  <c r="G23" i="303"/>
  <c r="G42" i="303"/>
  <c r="I42" i="303"/>
  <c r="G38" i="303"/>
  <c r="I38" i="303"/>
  <c r="E48" i="161"/>
  <c r="G21" i="375"/>
  <c r="I21" i="375"/>
  <c r="I28" i="375"/>
  <c r="G28" i="375"/>
  <c r="G23" i="375"/>
  <c r="I23" i="375"/>
  <c r="G11" i="375"/>
  <c r="I11" i="375"/>
  <c r="I26" i="375"/>
  <c r="G26" i="375"/>
  <c r="G42" i="375"/>
  <c r="I42" i="375"/>
  <c r="I35" i="375"/>
  <c r="G35" i="375"/>
  <c r="G37" i="411"/>
  <c r="I37" i="411"/>
  <c r="I10" i="411"/>
  <c r="G10" i="411"/>
  <c r="I38" i="411"/>
  <c r="G38" i="411"/>
  <c r="G36" i="411"/>
  <c r="I36" i="411"/>
  <c r="I29" i="411"/>
  <c r="G29" i="411"/>
  <c r="G16" i="411"/>
  <c r="I16" i="411"/>
  <c r="G39" i="411"/>
  <c r="I39" i="411"/>
  <c r="E50" i="269"/>
  <c r="J50" i="269"/>
  <c r="I11" i="449"/>
  <c r="G11" i="449"/>
  <c r="G44" i="449"/>
  <c r="I44" i="449"/>
  <c r="I43" i="449"/>
  <c r="G43" i="449"/>
  <c r="I22" i="449"/>
  <c r="G22" i="449"/>
  <c r="G21" i="449"/>
  <c r="I21" i="449"/>
  <c r="I17" i="449"/>
  <c r="G17" i="449"/>
  <c r="I31" i="449"/>
  <c r="G31" i="449"/>
  <c r="E48" i="52"/>
  <c r="I29" i="444"/>
  <c r="G29" i="444"/>
  <c r="I21" i="444"/>
  <c r="G21" i="444"/>
  <c r="G12" i="444"/>
  <c r="I12" i="444"/>
  <c r="G36" i="444"/>
  <c r="I36" i="444"/>
  <c r="I26" i="444"/>
  <c r="G26" i="444"/>
  <c r="I35" i="444"/>
  <c r="G35" i="444"/>
  <c r="E48" i="17"/>
  <c r="I50" i="207"/>
  <c r="F48" i="207"/>
  <c r="E32" i="92"/>
  <c r="E42" i="92"/>
  <c r="E45" i="92"/>
  <c r="E39" i="92"/>
  <c r="E22" i="92"/>
  <c r="E26" i="92"/>
  <c r="E37" i="92"/>
  <c r="E30" i="92"/>
  <c r="E46" i="92"/>
  <c r="A52" i="92" s="1"/>
  <c r="E31" i="92"/>
  <c r="E23" i="92"/>
  <c r="E36" i="92"/>
  <c r="E34" i="92"/>
  <c r="E29" i="92"/>
  <c r="E40" i="92"/>
  <c r="E27" i="92"/>
  <c r="E28" i="92"/>
  <c r="E21" i="92"/>
  <c r="E24" i="92"/>
  <c r="E38" i="92"/>
  <c r="E44" i="92"/>
  <c r="E43" i="92"/>
  <c r="E35" i="92"/>
  <c r="J50" i="117"/>
  <c r="E50" i="117"/>
  <c r="E48" i="42"/>
  <c r="I48" i="328"/>
  <c r="I27" i="439"/>
  <c r="G27" i="439"/>
  <c r="G36" i="439"/>
  <c r="I36" i="439"/>
  <c r="I26" i="439"/>
  <c r="G26" i="439"/>
  <c r="I10" i="439"/>
  <c r="G10" i="439"/>
  <c r="G18" i="439"/>
  <c r="I18" i="439"/>
  <c r="I30" i="439"/>
  <c r="G30" i="439"/>
  <c r="I23" i="410"/>
  <c r="G23" i="410"/>
  <c r="G28" i="410"/>
  <c r="I28" i="410"/>
  <c r="G22" i="410"/>
  <c r="I22" i="410"/>
  <c r="I12" i="410"/>
  <c r="G12" i="410"/>
  <c r="I42" i="410"/>
  <c r="G42" i="410"/>
  <c r="G31" i="410"/>
  <c r="I31" i="410"/>
  <c r="I14" i="410"/>
  <c r="G14" i="410"/>
  <c r="H48" i="231"/>
  <c r="H50" i="231" s="1"/>
  <c r="E6" i="231" s="1"/>
  <c r="H48" i="363"/>
  <c r="H50" i="363" s="1"/>
  <c r="E6" i="363" s="1"/>
  <c r="E48" i="390"/>
  <c r="E48" i="327"/>
  <c r="G14" i="394"/>
  <c r="I14" i="394"/>
  <c r="G27" i="394"/>
  <c r="I27" i="394"/>
  <c r="G26" i="394"/>
  <c r="I26" i="394"/>
  <c r="I42" i="394"/>
  <c r="G42" i="394"/>
  <c r="G11" i="394"/>
  <c r="I11" i="394"/>
  <c r="I16" i="394"/>
  <c r="G16" i="394"/>
  <c r="I28" i="394"/>
  <c r="G28" i="394"/>
  <c r="I35" i="414"/>
  <c r="G35" i="414"/>
  <c r="G26" i="414"/>
  <c r="I26" i="414"/>
  <c r="I11" i="414"/>
  <c r="G11" i="414"/>
  <c r="G42" i="414"/>
  <c r="I42" i="414"/>
  <c r="G29" i="414"/>
  <c r="I29" i="414"/>
  <c r="I14" i="414"/>
  <c r="G14" i="414"/>
  <c r="G11" i="336"/>
  <c r="I11" i="336"/>
  <c r="G28" i="336"/>
  <c r="I28" i="336"/>
  <c r="I21" i="336"/>
  <c r="G21" i="336"/>
  <c r="I18" i="336"/>
  <c r="G18" i="336"/>
  <c r="I15" i="336"/>
  <c r="G15" i="336"/>
  <c r="G30" i="336"/>
  <c r="I30" i="336"/>
  <c r="G26" i="336"/>
  <c r="I26" i="336"/>
  <c r="G11" i="303"/>
  <c r="I11" i="303"/>
  <c r="I16" i="303"/>
  <c r="G16" i="303"/>
  <c r="I15" i="303"/>
  <c r="G15" i="303"/>
  <c r="I43" i="303"/>
  <c r="G43" i="303"/>
  <c r="G39" i="303"/>
  <c r="I39" i="303"/>
  <c r="I37" i="303"/>
  <c r="G37" i="303"/>
  <c r="I12" i="303"/>
  <c r="G12" i="303"/>
  <c r="E48" i="109"/>
  <c r="I10" i="375"/>
  <c r="G10" i="375"/>
  <c r="I27" i="375"/>
  <c r="G27" i="375"/>
  <c r="I12" i="375"/>
  <c r="G12" i="375"/>
  <c r="I44" i="375"/>
  <c r="G44" i="375"/>
  <c r="I36" i="375"/>
  <c r="G36" i="375"/>
  <c r="G15" i="375"/>
  <c r="I15" i="375"/>
  <c r="G37" i="375"/>
  <c r="I37" i="375"/>
  <c r="I14" i="411"/>
  <c r="G14" i="411"/>
  <c r="I22" i="411"/>
  <c r="G22" i="411"/>
  <c r="I43" i="411"/>
  <c r="G43" i="411"/>
  <c r="G15" i="411"/>
  <c r="I15" i="411"/>
  <c r="G28" i="411"/>
  <c r="I28" i="411"/>
  <c r="I35" i="411"/>
  <c r="G35" i="411"/>
  <c r="E24" i="269"/>
  <c r="E22" i="269"/>
  <c r="E38" i="269"/>
  <c r="E39" i="269"/>
  <c r="E45" i="269"/>
  <c r="E31" i="269"/>
  <c r="E44" i="269"/>
  <c r="E27" i="269"/>
  <c r="E34" i="269"/>
  <c r="E29" i="269"/>
  <c r="E30" i="269"/>
  <c r="E36" i="269"/>
  <c r="E21" i="269"/>
  <c r="E26" i="269"/>
  <c r="E37" i="269"/>
  <c r="E28" i="269"/>
  <c r="E43" i="269"/>
  <c r="E23" i="269"/>
  <c r="E35" i="269"/>
  <c r="E42" i="269"/>
  <c r="G42" i="449"/>
  <c r="I42" i="449"/>
  <c r="I46" i="449" s="1"/>
  <c r="F46" i="449" s="1"/>
  <c r="G46" i="449" s="1"/>
  <c r="I13" i="449"/>
  <c r="G13" i="449"/>
  <c r="G34" i="449"/>
  <c r="I34" i="449"/>
  <c r="I10" i="449"/>
  <c r="G10" i="449"/>
  <c r="I12" i="449"/>
  <c r="G12" i="449"/>
  <c r="I18" i="449"/>
  <c r="G18" i="449"/>
  <c r="G28" i="449"/>
  <c r="I28" i="449"/>
  <c r="E30" i="98"/>
  <c r="E21" i="98"/>
  <c r="E22" i="98"/>
  <c r="E35" i="98"/>
  <c r="E26" i="98"/>
  <c r="E44" i="98"/>
  <c r="E36" i="98"/>
  <c r="E43" i="98"/>
  <c r="E27" i="98"/>
  <c r="E42" i="98"/>
  <c r="E34" i="98"/>
  <c r="E29" i="98"/>
  <c r="E37" i="98"/>
  <c r="E45" i="98"/>
  <c r="E28" i="98"/>
  <c r="E24" i="98"/>
  <c r="E31" i="98"/>
  <c r="E39" i="98"/>
  <c r="E23" i="98"/>
  <c r="E40" i="98"/>
  <c r="E38" i="98"/>
  <c r="E32" i="98"/>
  <c r="I23" i="444"/>
  <c r="G23" i="444"/>
  <c r="I34" i="444"/>
  <c r="G34" i="444"/>
  <c r="G42" i="444"/>
  <c r="I42" i="444"/>
  <c r="G27" i="444"/>
  <c r="I27" i="444"/>
  <c r="G28" i="444"/>
  <c r="I28" i="444"/>
  <c r="G17" i="444"/>
  <c r="I17" i="444"/>
  <c r="I37" i="444"/>
  <c r="G37" i="444"/>
  <c r="E48" i="103"/>
  <c r="E48" i="119"/>
  <c r="I29" i="439"/>
  <c r="G29" i="439"/>
  <c r="I17" i="439"/>
  <c r="G17" i="439"/>
  <c r="G42" i="439"/>
  <c r="I42" i="439"/>
  <c r="G34" i="439"/>
  <c r="I34" i="439"/>
  <c r="I11" i="439"/>
  <c r="G11" i="439"/>
  <c r="G11" i="410"/>
  <c r="I11" i="410"/>
  <c r="G39" i="410"/>
  <c r="I39" i="410"/>
  <c r="I21" i="410"/>
  <c r="G21" i="410"/>
  <c r="I36" i="410"/>
  <c r="G36" i="410"/>
  <c r="G16" i="410"/>
  <c r="I16" i="410"/>
  <c r="G43" i="410"/>
  <c r="I43" i="410"/>
  <c r="I38" i="410"/>
  <c r="G38" i="410"/>
  <c r="I24" i="282"/>
  <c r="F24" i="282" s="1"/>
  <c r="G24" i="282" s="1"/>
  <c r="G18" i="178"/>
  <c r="I18" i="178"/>
  <c r="H50" i="23"/>
  <c r="E6" i="23" s="1"/>
  <c r="C32" i="23"/>
  <c r="C48" i="23" s="1"/>
  <c r="D48" i="53"/>
  <c r="E32" i="53" s="1"/>
  <c r="I17" i="394"/>
  <c r="G17" i="394"/>
  <c r="G29" i="394"/>
  <c r="I29" i="394"/>
  <c r="I12" i="394"/>
  <c r="G12" i="394"/>
  <c r="I38" i="394"/>
  <c r="G38" i="394"/>
  <c r="G36" i="394"/>
  <c r="I36" i="394"/>
  <c r="I30" i="394"/>
  <c r="G30" i="394"/>
  <c r="G43" i="394"/>
  <c r="I43" i="394"/>
  <c r="I17" i="414"/>
  <c r="G17" i="414"/>
  <c r="I38" i="414"/>
  <c r="G38" i="414"/>
  <c r="G30" i="414"/>
  <c r="I30" i="414"/>
  <c r="I36" i="414"/>
  <c r="G36" i="414"/>
  <c r="I23" i="414"/>
  <c r="G23" i="414"/>
  <c r="G12" i="414"/>
  <c r="I12" i="414"/>
  <c r="G43" i="414"/>
  <c r="I43" i="414"/>
  <c r="I16" i="336"/>
  <c r="G16" i="336"/>
  <c r="I43" i="336"/>
  <c r="G43" i="336"/>
  <c r="G22" i="336"/>
  <c r="I22" i="336"/>
  <c r="I44" i="336"/>
  <c r="G44" i="336"/>
  <c r="I10" i="336"/>
  <c r="G10" i="336"/>
  <c r="G14" i="336"/>
  <c r="I14" i="336"/>
  <c r="G26" i="303"/>
  <c r="I26" i="303"/>
  <c r="G35" i="303"/>
  <c r="I35" i="303"/>
  <c r="I27" i="303"/>
  <c r="G27" i="303"/>
  <c r="G44" i="303"/>
  <c r="I44" i="303"/>
  <c r="I36" i="303"/>
  <c r="G36" i="303"/>
  <c r="I30" i="303"/>
  <c r="G30" i="303"/>
  <c r="G22" i="303"/>
  <c r="I22" i="303"/>
  <c r="E48" i="57"/>
  <c r="E23" i="95"/>
  <c r="E28" i="95"/>
  <c r="E37" i="95"/>
  <c r="E40" i="95"/>
  <c r="E22" i="95"/>
  <c r="E27" i="95"/>
  <c r="E29" i="95"/>
  <c r="E38" i="95"/>
  <c r="E44" i="95"/>
  <c r="E26" i="95"/>
  <c r="E31" i="95"/>
  <c r="E45" i="95"/>
  <c r="E35" i="95"/>
  <c r="E39" i="95"/>
  <c r="E21" i="95"/>
  <c r="E30" i="95"/>
  <c r="E36" i="95"/>
  <c r="E43" i="95"/>
  <c r="E42" i="95"/>
  <c r="E24" i="95"/>
  <c r="E46" i="95"/>
  <c r="A52" i="95" s="1"/>
  <c r="E34" i="95"/>
  <c r="F43" i="151"/>
  <c r="F16" i="151"/>
  <c r="F30" i="151"/>
  <c r="F35" i="151"/>
  <c r="F28" i="151"/>
  <c r="F44" i="151"/>
  <c r="F12" i="151"/>
  <c r="F45" i="151"/>
  <c r="G45" i="151" s="1"/>
  <c r="F39" i="151"/>
  <c r="F26" i="151"/>
  <c r="F34" i="151"/>
  <c r="F31" i="151"/>
  <c r="F13" i="151"/>
  <c r="F22" i="151"/>
  <c r="F23" i="151"/>
  <c r="F10" i="151"/>
  <c r="F18" i="151"/>
  <c r="F29" i="151"/>
  <c r="F38" i="151"/>
  <c r="F11" i="151"/>
  <c r="F27" i="151"/>
  <c r="F36" i="151"/>
  <c r="F42" i="151"/>
  <c r="F17" i="151"/>
  <c r="F21" i="151"/>
  <c r="F14" i="151"/>
  <c r="F37" i="151"/>
  <c r="F15" i="151"/>
  <c r="F35" i="253"/>
  <c r="F23" i="253"/>
  <c r="F12" i="253"/>
  <c r="I38" i="375"/>
  <c r="G38" i="375"/>
  <c r="I14" i="375"/>
  <c r="G14" i="375"/>
  <c r="G34" i="375"/>
  <c r="I34" i="375"/>
  <c r="G43" i="375"/>
  <c r="I43" i="375"/>
  <c r="G31" i="375"/>
  <c r="I31" i="375"/>
  <c r="I13" i="375"/>
  <c r="G13" i="375"/>
  <c r="G34" i="411"/>
  <c r="I34" i="411"/>
  <c r="I40" i="411" s="1"/>
  <c r="F40" i="411" s="1"/>
  <c r="G40" i="411" s="1"/>
  <c r="I26" i="411"/>
  <c r="G26" i="411"/>
  <c r="I11" i="411"/>
  <c r="G11" i="411"/>
  <c r="I13" i="411"/>
  <c r="G13" i="411"/>
  <c r="G18" i="411"/>
  <c r="I18" i="411"/>
  <c r="I12" i="411"/>
  <c r="G12" i="411"/>
  <c r="I27" i="411"/>
  <c r="G27" i="411"/>
  <c r="F11" i="260"/>
  <c r="F44" i="260"/>
  <c r="F16" i="260"/>
  <c r="F35" i="260"/>
  <c r="F10" i="260"/>
  <c r="F28" i="260"/>
  <c r="F13" i="260"/>
  <c r="F31" i="260"/>
  <c r="F37" i="260"/>
  <c r="F36" i="260"/>
  <c r="F23" i="260"/>
  <c r="F21" i="260"/>
  <c r="F39" i="260"/>
  <c r="F26" i="260"/>
  <c r="F15" i="260"/>
  <c r="F42" i="260"/>
  <c r="F27" i="260"/>
  <c r="F12" i="260"/>
  <c r="F38" i="260"/>
  <c r="F17" i="260"/>
  <c r="F43" i="260"/>
  <c r="F18" i="260"/>
  <c r="F22" i="260"/>
  <c r="F30" i="260"/>
  <c r="F14" i="260"/>
  <c r="F45" i="260"/>
  <c r="G45" i="260" s="1"/>
  <c r="F34" i="260"/>
  <c r="F29" i="260"/>
  <c r="G27" i="449"/>
  <c r="I27" i="449"/>
  <c r="I15" i="449"/>
  <c r="G15" i="449"/>
  <c r="I30" i="449"/>
  <c r="G30" i="449"/>
  <c r="G14" i="449"/>
  <c r="I14" i="449"/>
  <c r="I29" i="449"/>
  <c r="G29" i="449"/>
  <c r="G37" i="449"/>
  <c r="I37" i="449"/>
  <c r="I23" i="449"/>
  <c r="G23" i="449"/>
  <c r="G13" i="444"/>
  <c r="I13" i="444"/>
  <c r="G44" i="444"/>
  <c r="I44" i="444"/>
  <c r="G31" i="444"/>
  <c r="I31" i="444"/>
  <c r="I18" i="444"/>
  <c r="G18" i="444"/>
  <c r="G15" i="444"/>
  <c r="I15" i="444"/>
  <c r="I39" i="444"/>
  <c r="G39" i="444"/>
  <c r="I14" i="444"/>
  <c r="G14" i="444"/>
  <c r="E48" i="43"/>
  <c r="E48" i="381"/>
  <c r="E48" i="51"/>
  <c r="E46" i="117"/>
  <c r="A52" i="117" s="1"/>
  <c r="E30" i="117"/>
  <c r="E35" i="117"/>
  <c r="E22" i="117"/>
  <c r="E39" i="117"/>
  <c r="E23" i="117"/>
  <c r="E45" i="117"/>
  <c r="E40" i="117"/>
  <c r="E27" i="117"/>
  <c r="E37" i="117"/>
  <c r="E26" i="117"/>
  <c r="E28" i="117"/>
  <c r="E31" i="117"/>
  <c r="E36" i="117"/>
  <c r="E42" i="117"/>
  <c r="E43" i="117"/>
  <c r="E21" i="117"/>
  <c r="E38" i="117"/>
  <c r="E44" i="117"/>
  <c r="E24" i="117"/>
  <c r="E34" i="117"/>
  <c r="E29" i="117"/>
  <c r="H48" i="399"/>
  <c r="H50" i="399" s="1"/>
  <c r="E6" i="399" s="1"/>
  <c r="G13" i="439"/>
  <c r="I13" i="439"/>
  <c r="I38" i="439"/>
  <c r="G38" i="439"/>
  <c r="I28" i="439"/>
  <c r="G28" i="439"/>
  <c r="G31" i="439"/>
  <c r="I31" i="439"/>
  <c r="I14" i="439"/>
  <c r="G14" i="439"/>
  <c r="G17" i="410"/>
  <c r="I17" i="410"/>
  <c r="G27" i="410"/>
  <c r="I27" i="410"/>
  <c r="G30" i="410"/>
  <c r="I30" i="410"/>
  <c r="I13" i="410"/>
  <c r="G13" i="410"/>
  <c r="I34" i="410"/>
  <c r="G34" i="410"/>
  <c r="I26" i="410"/>
  <c r="G26" i="410"/>
  <c r="I34" i="178"/>
  <c r="G34" i="178"/>
  <c r="G11" i="178"/>
  <c r="I11" i="178"/>
  <c r="I19" i="178" s="1"/>
  <c r="F19" i="178" s="1"/>
  <c r="G19" i="178" s="1"/>
  <c r="I40" i="178"/>
  <c r="F40" i="178" s="1"/>
  <c r="G40" i="178" s="1"/>
  <c r="H48" i="202"/>
  <c r="H50" i="202" s="1"/>
  <c r="E6" i="202" s="1"/>
  <c r="H48" i="41"/>
  <c r="H50" i="41" s="1"/>
  <c r="E6" i="41" s="1"/>
  <c r="G44" i="394"/>
  <c r="I44" i="394"/>
  <c r="I21" i="394"/>
  <c r="G21" i="394"/>
  <c r="G37" i="394"/>
  <c r="I37" i="394"/>
  <c r="I31" i="394"/>
  <c r="G31" i="394"/>
  <c r="G23" i="394"/>
  <c r="I23" i="394"/>
  <c r="I15" i="394"/>
  <c r="G15" i="394"/>
  <c r="G39" i="394"/>
  <c r="I39" i="394"/>
  <c r="E48" i="361"/>
  <c r="E48" i="392"/>
  <c r="I34" i="414"/>
  <c r="G34" i="414"/>
  <c r="G22" i="414"/>
  <c r="I22" i="414"/>
  <c r="I27" i="414"/>
  <c r="G27" i="414"/>
  <c r="I37" i="414"/>
  <c r="G37" i="414"/>
  <c r="I18" i="414"/>
  <c r="G18" i="414"/>
  <c r="I31" i="414"/>
  <c r="G31" i="414"/>
  <c r="I39" i="414"/>
  <c r="G39" i="414"/>
  <c r="G23" i="336"/>
  <c r="I23" i="336"/>
  <c r="I42" i="336"/>
  <c r="I46" i="336" s="1"/>
  <c r="F46" i="336" s="1"/>
  <c r="G46" i="336" s="1"/>
  <c r="G42" i="336"/>
  <c r="G17" i="336"/>
  <c r="I17" i="336"/>
  <c r="I13" i="336"/>
  <c r="G13" i="336"/>
  <c r="I29" i="336"/>
  <c r="G29" i="336"/>
  <c r="G12" i="336"/>
  <c r="I12" i="336"/>
  <c r="I31" i="336"/>
  <c r="G31" i="336"/>
  <c r="G10" i="303"/>
  <c r="I10" i="303"/>
  <c r="I13" i="303"/>
  <c r="G13" i="303"/>
  <c r="G31" i="303"/>
  <c r="I31" i="303"/>
  <c r="G28" i="303"/>
  <c r="I28" i="303"/>
  <c r="I18" i="303"/>
  <c r="G18" i="303"/>
  <c r="G29" i="303"/>
  <c r="I29" i="303"/>
  <c r="E17" i="23"/>
  <c r="E18" i="23"/>
  <c r="E14" i="23"/>
  <c r="E13" i="23"/>
  <c r="E10" i="23"/>
  <c r="E16" i="23"/>
  <c r="E12" i="23"/>
  <c r="E19" i="23"/>
  <c r="E11" i="23"/>
  <c r="E30" i="180"/>
  <c r="E24" i="180"/>
  <c r="E22" i="180"/>
  <c r="E29" i="180"/>
  <c r="E23" i="180"/>
  <c r="E45" i="180"/>
  <c r="E36" i="180"/>
  <c r="E28" i="180"/>
  <c r="E43" i="180"/>
  <c r="E31" i="180"/>
  <c r="E35" i="180"/>
  <c r="E38" i="180"/>
  <c r="E26" i="180"/>
  <c r="E44" i="180"/>
  <c r="E40" i="180"/>
  <c r="E42" i="180"/>
  <c r="E21" i="180"/>
  <c r="E46" i="180"/>
  <c r="A52" i="180" s="1"/>
  <c r="E39" i="180"/>
  <c r="E37" i="180"/>
  <c r="E27" i="180"/>
  <c r="E34" i="180"/>
  <c r="E32" i="95"/>
  <c r="F30" i="184"/>
  <c r="F22" i="184"/>
  <c r="F43" i="184"/>
  <c r="F42" i="184"/>
  <c r="F37" i="184"/>
  <c r="F23" i="184"/>
  <c r="F44" i="184"/>
  <c r="F31" i="184"/>
  <c r="F38" i="184"/>
  <c r="F15" i="184"/>
  <c r="F26" i="184"/>
  <c r="F29" i="184"/>
  <c r="F27" i="184"/>
  <c r="F35" i="184"/>
  <c r="F17" i="184"/>
  <c r="F28" i="184"/>
  <c r="F14" i="184"/>
  <c r="F13" i="184"/>
  <c r="F45" i="184"/>
  <c r="G45" i="184" s="1"/>
  <c r="F16" i="184"/>
  <c r="F39" i="184"/>
  <c r="F10" i="184"/>
  <c r="F11" i="184"/>
  <c r="F21" i="184"/>
  <c r="F18" i="184"/>
  <c r="F12" i="184"/>
  <c r="F34" i="184"/>
  <c r="F36" i="184"/>
  <c r="G17" i="375"/>
  <c r="I17" i="375"/>
  <c r="I16" i="375"/>
  <c r="G16" i="375"/>
  <c r="I22" i="375"/>
  <c r="G22" i="375"/>
  <c r="G29" i="375"/>
  <c r="I29" i="375"/>
  <c r="I30" i="375"/>
  <c r="G30" i="375"/>
  <c r="I39" i="375"/>
  <c r="G39" i="375"/>
  <c r="G18" i="375"/>
  <c r="I18" i="375"/>
  <c r="G17" i="411"/>
  <c r="I17" i="411"/>
  <c r="I44" i="411"/>
  <c r="G44" i="411"/>
  <c r="I30" i="411"/>
  <c r="G30" i="411"/>
  <c r="I31" i="411"/>
  <c r="G31" i="411"/>
  <c r="G23" i="411"/>
  <c r="I23" i="411"/>
  <c r="G42" i="411"/>
  <c r="I42" i="411"/>
  <c r="G21" i="411"/>
  <c r="I21" i="411"/>
  <c r="G16" i="449"/>
  <c r="I16" i="449"/>
  <c r="I36" i="449"/>
  <c r="G36" i="449"/>
  <c r="I39" i="449"/>
  <c r="G39" i="449"/>
  <c r="I26" i="449"/>
  <c r="G26" i="449"/>
  <c r="G38" i="449"/>
  <c r="I38" i="449"/>
  <c r="G35" i="449"/>
  <c r="I35" i="449"/>
  <c r="E48" i="165"/>
  <c r="J50" i="98"/>
  <c r="E50" i="98"/>
  <c r="E46" i="140"/>
  <c r="A52" i="140" s="1"/>
  <c r="E45" i="140"/>
  <c r="E31" i="140"/>
  <c r="E36" i="140"/>
  <c r="E23" i="140"/>
  <c r="E42" i="140"/>
  <c r="E24" i="140"/>
  <c r="E26" i="140"/>
  <c r="E28" i="140"/>
  <c r="E37" i="140"/>
  <c r="E38" i="140"/>
  <c r="E43" i="140"/>
  <c r="E44" i="140"/>
  <c r="E29" i="140"/>
  <c r="E34" i="140"/>
  <c r="E21" i="140"/>
  <c r="E39" i="140"/>
  <c r="E35" i="140"/>
  <c r="E27" i="140"/>
  <c r="E40" i="140"/>
  <c r="E30" i="140"/>
  <c r="E22" i="140"/>
  <c r="G22" i="444"/>
  <c r="I22" i="444"/>
  <c r="G30" i="444"/>
  <c r="I30" i="444"/>
  <c r="G16" i="444"/>
  <c r="I16" i="444"/>
  <c r="G43" i="444"/>
  <c r="I43" i="444"/>
  <c r="G10" i="444"/>
  <c r="I10" i="444"/>
  <c r="I11" i="444"/>
  <c r="G11" i="444"/>
  <c r="I38" i="444"/>
  <c r="G38" i="444"/>
  <c r="I32" i="282"/>
  <c r="F32" i="282" s="1"/>
  <c r="G32" i="282" s="1"/>
  <c r="E48" i="373"/>
  <c r="E50" i="92"/>
  <c r="J50" i="92"/>
  <c r="E48" i="105"/>
  <c r="E32" i="117"/>
  <c r="H48" i="160"/>
  <c r="H50" i="160" s="1"/>
  <c r="E6" i="160" s="1"/>
  <c r="F26" i="358"/>
  <c r="F18" i="358"/>
  <c r="F12" i="358"/>
  <c r="F14" i="358"/>
  <c r="F34" i="358"/>
  <c r="F37" i="358"/>
  <c r="F30" i="358"/>
  <c r="F17" i="358"/>
  <c r="F45" i="358"/>
  <c r="G45" i="358" s="1"/>
  <c r="F39" i="358"/>
  <c r="F35" i="358"/>
  <c r="F44" i="358"/>
  <c r="F36" i="358"/>
  <c r="F22" i="358"/>
  <c r="F27" i="358"/>
  <c r="F38" i="358"/>
  <c r="F31" i="358"/>
  <c r="F16" i="358"/>
  <c r="F15" i="358"/>
  <c r="F11" i="358"/>
  <c r="F21" i="358"/>
  <c r="F10" i="358"/>
  <c r="F13" i="358"/>
  <c r="F29" i="358"/>
  <c r="F28" i="358"/>
  <c r="F42" i="358"/>
  <c r="F43" i="358"/>
  <c r="F23" i="358"/>
  <c r="I21" i="439"/>
  <c r="G21" i="439"/>
  <c r="I44" i="439"/>
  <c r="G44" i="439"/>
  <c r="I16" i="439"/>
  <c r="G16" i="439"/>
  <c r="G22" i="439"/>
  <c r="I22" i="439"/>
  <c r="I37" i="439"/>
  <c r="G37" i="439"/>
  <c r="I39" i="439"/>
  <c r="G39" i="439"/>
  <c r="G10" i="410"/>
  <c r="I10" i="410"/>
  <c r="I35" i="410"/>
  <c r="G44" i="410"/>
  <c r="I44" i="410"/>
  <c r="I37" i="410"/>
  <c r="G37" i="410"/>
  <c r="I18" i="410"/>
  <c r="G18" i="410"/>
  <c r="E37" i="107"/>
  <c r="E21" i="107"/>
  <c r="E45" i="107"/>
  <c r="E24" i="107"/>
  <c r="E26" i="107"/>
  <c r="E29" i="107"/>
  <c r="E35" i="107"/>
  <c r="E22" i="107"/>
  <c r="E40" i="107"/>
  <c r="E44" i="107"/>
  <c r="E30" i="107"/>
  <c r="E38" i="107"/>
  <c r="E46" i="107"/>
  <c r="A52" i="107" s="1"/>
  <c r="E23" i="107"/>
  <c r="E36" i="107"/>
  <c r="E28" i="107"/>
  <c r="E39" i="107"/>
  <c r="E42" i="107"/>
  <c r="E31" i="107"/>
  <c r="E43" i="107"/>
  <c r="E34" i="107"/>
  <c r="E27" i="107"/>
  <c r="F12" i="113"/>
  <c r="F16" i="113"/>
  <c r="F26" i="113"/>
  <c r="G14" i="236"/>
  <c r="I14" i="236"/>
  <c r="G22" i="236"/>
  <c r="I22" i="236"/>
  <c r="G28" i="236"/>
  <c r="I28" i="236"/>
  <c r="G23" i="236"/>
  <c r="I23" i="236"/>
  <c r="G26" i="236"/>
  <c r="I26" i="236"/>
  <c r="I21" i="236"/>
  <c r="G21" i="236"/>
  <c r="G27" i="236"/>
  <c r="I27" i="236"/>
  <c r="F35" i="359"/>
  <c r="F45" i="359"/>
  <c r="G45" i="359" s="1"/>
  <c r="F36" i="359"/>
  <c r="F28" i="359"/>
  <c r="F29" i="359"/>
  <c r="F11" i="359"/>
  <c r="F16" i="359"/>
  <c r="F43" i="359"/>
  <c r="F37" i="359"/>
  <c r="F18" i="359"/>
  <c r="F22" i="359"/>
  <c r="F38" i="359"/>
  <c r="F23" i="359"/>
  <c r="F14" i="359"/>
  <c r="F27" i="359"/>
  <c r="F17" i="359"/>
  <c r="F26" i="359"/>
  <c r="F12" i="359"/>
  <c r="F31" i="359"/>
  <c r="F15" i="359"/>
  <c r="F42" i="359"/>
  <c r="F13" i="359"/>
  <c r="F10" i="359"/>
  <c r="F44" i="359"/>
  <c r="F34" i="359"/>
  <c r="F21" i="359"/>
  <c r="F30" i="359"/>
  <c r="F39" i="359"/>
  <c r="I11" i="125"/>
  <c r="G11" i="125"/>
  <c r="G14" i="125"/>
  <c r="I14" i="125"/>
  <c r="I39" i="125"/>
  <c r="G39" i="125"/>
  <c r="I21" i="125"/>
  <c r="G21" i="125"/>
  <c r="I18" i="125"/>
  <c r="G18" i="125"/>
  <c r="I35" i="125"/>
  <c r="G35" i="125"/>
  <c r="G16" i="125"/>
  <c r="I16" i="125"/>
  <c r="E48" i="16"/>
  <c r="I43" i="236"/>
  <c r="G43" i="236"/>
  <c r="G15" i="236"/>
  <c r="I15" i="236"/>
  <c r="I13" i="236"/>
  <c r="G13" i="236"/>
  <c r="G42" i="236"/>
  <c r="I42" i="236"/>
  <c r="G31" i="236"/>
  <c r="I31" i="236"/>
  <c r="I34" i="236"/>
  <c r="G34" i="236"/>
  <c r="G12" i="236"/>
  <c r="I12" i="236"/>
  <c r="I17" i="125"/>
  <c r="G17" i="125"/>
  <c r="G37" i="125"/>
  <c r="I37" i="125"/>
  <c r="I43" i="125"/>
  <c r="G43" i="125"/>
  <c r="G15" i="125"/>
  <c r="I15" i="125"/>
  <c r="I22" i="125"/>
  <c r="G22" i="125"/>
  <c r="I27" i="125"/>
  <c r="G27" i="125"/>
  <c r="I38" i="125"/>
  <c r="G38" i="125"/>
  <c r="G29" i="236"/>
  <c r="I29" i="236"/>
  <c r="I11" i="236"/>
  <c r="G11" i="236"/>
  <c r="G35" i="236"/>
  <c r="I35" i="236"/>
  <c r="G16" i="236"/>
  <c r="I16" i="236"/>
  <c r="I30" i="236"/>
  <c r="G30" i="236"/>
  <c r="G37" i="236"/>
  <c r="I37" i="236"/>
  <c r="E48" i="412"/>
  <c r="E48" i="238"/>
  <c r="F18" i="129"/>
  <c r="F23" i="129"/>
  <c r="F34" i="129"/>
  <c r="F21" i="129"/>
  <c r="F36" i="129"/>
  <c r="F39" i="129"/>
  <c r="F12" i="129"/>
  <c r="F28" i="129"/>
  <c r="F14" i="129"/>
  <c r="F22" i="129"/>
  <c r="F42" i="129"/>
  <c r="F43" i="129"/>
  <c r="F38" i="129"/>
  <c r="F37" i="129"/>
  <c r="F16" i="129"/>
  <c r="F13" i="129"/>
  <c r="F31" i="129"/>
  <c r="F27" i="129"/>
  <c r="F11" i="129"/>
  <c r="F44" i="129"/>
  <c r="F15" i="129"/>
  <c r="F17" i="129"/>
  <c r="I13" i="125"/>
  <c r="G13" i="125"/>
  <c r="G10" i="125"/>
  <c r="I10" i="125"/>
  <c r="I31" i="125"/>
  <c r="G31" i="125"/>
  <c r="G36" i="125"/>
  <c r="I36" i="125"/>
  <c r="G30" i="125"/>
  <c r="I30" i="125"/>
  <c r="G26" i="125"/>
  <c r="I26" i="125"/>
  <c r="G12" i="125"/>
  <c r="I12" i="125"/>
  <c r="I38" i="236"/>
  <c r="G38" i="236"/>
  <c r="G17" i="236"/>
  <c r="I17" i="236"/>
  <c r="G39" i="236"/>
  <c r="I39" i="236"/>
  <c r="I36" i="236"/>
  <c r="G36" i="236"/>
  <c r="I10" i="236"/>
  <c r="G10" i="236"/>
  <c r="I44" i="236"/>
  <c r="G44" i="236"/>
  <c r="I18" i="236"/>
  <c r="G18" i="236"/>
  <c r="E48" i="99"/>
  <c r="F27" i="304"/>
  <c r="F16" i="304"/>
  <c r="F10" i="304"/>
  <c r="F15" i="304"/>
  <c r="F43" i="304"/>
  <c r="F38" i="304"/>
  <c r="F23" i="304"/>
  <c r="F26" i="304"/>
  <c r="F17" i="304"/>
  <c r="F35" i="304"/>
  <c r="F39" i="304"/>
  <c r="F42" i="304"/>
  <c r="F11" i="304"/>
  <c r="F44" i="304"/>
  <c r="F21" i="304"/>
  <c r="F12" i="304"/>
  <c r="F34" i="304"/>
  <c r="F37" i="304"/>
  <c r="F14" i="304"/>
  <c r="F22" i="304"/>
  <c r="F18" i="304"/>
  <c r="F31" i="304"/>
  <c r="F30" i="304"/>
  <c r="F45" i="304"/>
  <c r="G45" i="304" s="1"/>
  <c r="F29" i="304"/>
  <c r="F13" i="304"/>
  <c r="F36" i="304"/>
  <c r="F28" i="304"/>
  <c r="G23" i="125"/>
  <c r="I23" i="125"/>
  <c r="G44" i="125"/>
  <c r="I44" i="125"/>
  <c r="G34" i="125"/>
  <c r="I34" i="125"/>
  <c r="G28" i="125"/>
  <c r="I28" i="125"/>
  <c r="I42" i="125"/>
  <c r="I46" i="125" s="1"/>
  <c r="F46" i="125" s="1"/>
  <c r="G46" i="125" s="1"/>
  <c r="G42" i="125"/>
  <c r="I29" i="125"/>
  <c r="G29" i="125"/>
  <c r="F28" i="167"/>
  <c r="F31" i="167"/>
  <c r="F21" i="167"/>
  <c r="F34" i="167"/>
  <c r="F37" i="167"/>
  <c r="F27" i="167"/>
  <c r="F17" i="167"/>
  <c r="F29" i="167"/>
  <c r="F11" i="167"/>
  <c r="F36" i="167"/>
  <c r="F39" i="167"/>
  <c r="F13" i="167"/>
  <c r="F44" i="167"/>
  <c r="F26" i="167"/>
  <c r="F42" i="167"/>
  <c r="F38" i="167"/>
  <c r="F23" i="167"/>
  <c r="F14" i="167"/>
  <c r="F30" i="167"/>
  <c r="F15" i="167"/>
  <c r="F35" i="167"/>
  <c r="F22" i="167"/>
  <c r="F45" i="167"/>
  <c r="G45" i="167" s="1"/>
  <c r="F12" i="167"/>
  <c r="F16" i="167"/>
  <c r="F10" i="167"/>
  <c r="E48" i="353"/>
  <c r="G44" i="270"/>
  <c r="I44" i="270"/>
  <c r="I27" i="270"/>
  <c r="G27" i="270"/>
  <c r="G42" i="270"/>
  <c r="I42" i="270"/>
  <c r="G15" i="270"/>
  <c r="I15" i="270"/>
  <c r="I38" i="270"/>
  <c r="I26" i="270"/>
  <c r="G26" i="270"/>
  <c r="I18" i="270"/>
  <c r="G18" i="270"/>
  <c r="F36" i="327"/>
  <c r="F30" i="327"/>
  <c r="F31" i="327"/>
  <c r="F17" i="327"/>
  <c r="F28" i="327"/>
  <c r="F27" i="327"/>
  <c r="F21" i="327"/>
  <c r="F35" i="327"/>
  <c r="F44" i="327"/>
  <c r="F13" i="327"/>
  <c r="F37" i="327"/>
  <c r="F15" i="327"/>
  <c r="F14" i="327"/>
  <c r="F43" i="327"/>
  <c r="F42" i="327"/>
  <c r="F10" i="327"/>
  <c r="F12" i="327"/>
  <c r="F22" i="327"/>
  <c r="F45" i="327"/>
  <c r="G45" i="327" s="1"/>
  <c r="F26" i="327"/>
  <c r="F16" i="327"/>
  <c r="F34" i="327"/>
  <c r="F23" i="327"/>
  <c r="F18" i="327"/>
  <c r="F39" i="327"/>
  <c r="F11" i="327"/>
  <c r="F29" i="327"/>
  <c r="F38" i="327"/>
  <c r="E48" i="271"/>
  <c r="G30" i="264"/>
  <c r="I30" i="264"/>
  <c r="G44" i="264"/>
  <c r="I44" i="264"/>
  <c r="G27" i="264"/>
  <c r="I27" i="264"/>
  <c r="G16" i="264"/>
  <c r="I16" i="264"/>
  <c r="I12" i="264"/>
  <c r="G12" i="264"/>
  <c r="I29" i="264"/>
  <c r="G29" i="264"/>
  <c r="G21" i="402"/>
  <c r="I21" i="402"/>
  <c r="G10" i="402"/>
  <c r="I10" i="402"/>
  <c r="G29" i="402"/>
  <c r="I29" i="402"/>
  <c r="I27" i="402"/>
  <c r="G27" i="402"/>
  <c r="G28" i="402"/>
  <c r="I28" i="402"/>
  <c r="F22" i="330"/>
  <c r="F23" i="330"/>
  <c r="F35" i="330"/>
  <c r="F28" i="330"/>
  <c r="F45" i="330"/>
  <c r="G45" i="330" s="1"/>
  <c r="F15" i="330"/>
  <c r="F17" i="330"/>
  <c r="F18" i="330"/>
  <c r="F39" i="330"/>
  <c r="F38" i="330"/>
  <c r="F26" i="330"/>
  <c r="F13" i="330"/>
  <c r="F10" i="330"/>
  <c r="F16" i="330"/>
  <c r="F43" i="330"/>
  <c r="F34" i="330"/>
  <c r="F27" i="330"/>
  <c r="F11" i="330"/>
  <c r="F21" i="330"/>
  <c r="F42" i="330"/>
  <c r="F37" i="330"/>
  <c r="F14" i="330"/>
  <c r="F30" i="330"/>
  <c r="F29" i="330"/>
  <c r="F44" i="330"/>
  <c r="F12" i="330"/>
  <c r="F36" i="330"/>
  <c r="F31" i="330"/>
  <c r="G13" i="270"/>
  <c r="I13" i="270"/>
  <c r="I11" i="270"/>
  <c r="G11" i="270"/>
  <c r="I17" i="270"/>
  <c r="G17" i="270"/>
  <c r="I39" i="270"/>
  <c r="G39" i="270"/>
  <c r="G14" i="270"/>
  <c r="I14" i="270"/>
  <c r="F42" i="183"/>
  <c r="F12" i="183"/>
  <c r="F15" i="183"/>
  <c r="F38" i="183"/>
  <c r="F13" i="183"/>
  <c r="F39" i="183"/>
  <c r="F23" i="183"/>
  <c r="F16" i="183"/>
  <c r="F21" i="183"/>
  <c r="F34" i="183"/>
  <c r="F11" i="183"/>
  <c r="F27" i="183"/>
  <c r="F29" i="183"/>
  <c r="F44" i="183"/>
  <c r="F43" i="183"/>
  <c r="F22" i="183"/>
  <c r="F36" i="183"/>
  <c r="F26" i="183"/>
  <c r="F45" i="183"/>
  <c r="G45" i="183" s="1"/>
  <c r="F14" i="183"/>
  <c r="F10" i="183"/>
  <c r="F18" i="183"/>
  <c r="F31" i="183"/>
  <c r="F17" i="183"/>
  <c r="F37" i="183"/>
  <c r="F35" i="183"/>
  <c r="F30" i="183"/>
  <c r="F28" i="183"/>
  <c r="E48" i="175"/>
  <c r="G10" i="129"/>
  <c r="I10" i="129"/>
  <c r="G35" i="129"/>
  <c r="I35" i="129"/>
  <c r="I39" i="264"/>
  <c r="G39" i="264"/>
  <c r="G37" i="264"/>
  <c r="I37" i="264"/>
  <c r="G17" i="264"/>
  <c r="I17" i="264"/>
  <c r="I28" i="264"/>
  <c r="G28" i="264"/>
  <c r="I14" i="264"/>
  <c r="G14" i="264"/>
  <c r="G43" i="402"/>
  <c r="I43" i="402"/>
  <c r="G37" i="402"/>
  <c r="I37" i="402"/>
  <c r="G31" i="402"/>
  <c r="I31" i="402"/>
  <c r="I12" i="402"/>
  <c r="G12" i="402"/>
  <c r="I23" i="402"/>
  <c r="G23" i="402"/>
  <c r="I16" i="402"/>
  <c r="G16" i="402"/>
  <c r="I22" i="402"/>
  <c r="G22" i="402"/>
  <c r="I31" i="270"/>
  <c r="G31" i="270"/>
  <c r="G12" i="270"/>
  <c r="I12" i="270"/>
  <c r="G21" i="270"/>
  <c r="I21" i="270"/>
  <c r="I10" i="270"/>
  <c r="G10" i="270"/>
  <c r="I23" i="270"/>
  <c r="G23" i="270"/>
  <c r="I26" i="129"/>
  <c r="G26" i="129"/>
  <c r="G11" i="264"/>
  <c r="I11" i="264"/>
  <c r="G15" i="264"/>
  <c r="I36" i="264"/>
  <c r="G36" i="264"/>
  <c r="G34" i="264"/>
  <c r="I34" i="264"/>
  <c r="I23" i="264"/>
  <c r="G23" i="264"/>
  <c r="G35" i="264"/>
  <c r="G43" i="264"/>
  <c r="I43" i="264"/>
  <c r="G36" i="402"/>
  <c r="I36" i="402"/>
  <c r="I34" i="402"/>
  <c r="G34" i="402"/>
  <c r="G26" i="402"/>
  <c r="I26" i="402"/>
  <c r="G44" i="402"/>
  <c r="I44" i="402"/>
  <c r="I42" i="402"/>
  <c r="G42" i="402"/>
  <c r="I11" i="402"/>
  <c r="G11" i="402"/>
  <c r="G18" i="402"/>
  <c r="I18" i="402"/>
  <c r="I29" i="270"/>
  <c r="G29" i="270"/>
  <c r="G36" i="270"/>
  <c r="I36" i="270"/>
  <c r="G34" i="270"/>
  <c r="I34" i="270"/>
  <c r="I37" i="270"/>
  <c r="G37" i="270"/>
  <c r="I22" i="270"/>
  <c r="G22" i="270"/>
  <c r="I35" i="270"/>
  <c r="G35" i="270"/>
  <c r="F16" i="401"/>
  <c r="F28" i="401"/>
  <c r="F12" i="401"/>
  <c r="F21" i="401"/>
  <c r="F27" i="401"/>
  <c r="F11" i="401"/>
  <c r="F39" i="401"/>
  <c r="F15" i="401"/>
  <c r="F10" i="401"/>
  <c r="F45" i="401"/>
  <c r="G45" i="401" s="1"/>
  <c r="F30" i="401"/>
  <c r="F44" i="401"/>
  <c r="F37" i="401"/>
  <c r="F29" i="401"/>
  <c r="F13" i="401"/>
  <c r="F43" i="401"/>
  <c r="F38" i="401"/>
  <c r="F17" i="401"/>
  <c r="F22" i="401"/>
  <c r="F34" i="401"/>
  <c r="F31" i="401"/>
  <c r="F26" i="401"/>
  <c r="F18" i="401"/>
  <c r="F23" i="401"/>
  <c r="F42" i="401"/>
  <c r="F36" i="401"/>
  <c r="F35" i="401"/>
  <c r="F14" i="401"/>
  <c r="G30" i="129"/>
  <c r="I30" i="129"/>
  <c r="F31" i="177"/>
  <c r="F17" i="177"/>
  <c r="F21" i="177"/>
  <c r="F16" i="177"/>
  <c r="F14" i="177"/>
  <c r="F44" i="177"/>
  <c r="F42" i="177"/>
  <c r="F13" i="177"/>
  <c r="F37" i="177"/>
  <c r="F43" i="177"/>
  <c r="F27" i="177"/>
  <c r="F10" i="177"/>
  <c r="F28" i="177"/>
  <c r="F12" i="177"/>
  <c r="F29" i="177"/>
  <c r="F30" i="177"/>
  <c r="F45" i="177"/>
  <c r="G45" i="177" s="1"/>
  <c r="F23" i="177"/>
  <c r="F11" i="177"/>
  <c r="F34" i="177"/>
  <c r="F26" i="177"/>
  <c r="F39" i="177"/>
  <c r="F15" i="177"/>
  <c r="F38" i="177"/>
  <c r="F35" i="177"/>
  <c r="F18" i="177"/>
  <c r="F22" i="177"/>
  <c r="F36" i="177"/>
  <c r="I18" i="264"/>
  <c r="G18" i="264"/>
  <c r="G22" i="264"/>
  <c r="I22" i="264"/>
  <c r="G42" i="264"/>
  <c r="I42" i="264"/>
  <c r="I46" i="264" s="1"/>
  <c r="F46" i="264" s="1"/>
  <c r="G46" i="264" s="1"/>
  <c r="G21" i="264"/>
  <c r="I13" i="264"/>
  <c r="G13" i="264"/>
  <c r="G38" i="264"/>
  <c r="I38" i="264"/>
  <c r="G26" i="264"/>
  <c r="I26" i="264"/>
  <c r="I30" i="402"/>
  <c r="G30" i="402"/>
  <c r="G14" i="402"/>
  <c r="I14" i="402"/>
  <c r="I17" i="402"/>
  <c r="G39" i="402"/>
  <c r="I39" i="402"/>
  <c r="I35" i="402"/>
  <c r="G35" i="402"/>
  <c r="I38" i="402"/>
  <c r="G38" i="402"/>
  <c r="G13" i="402"/>
  <c r="F18" i="204"/>
  <c r="F27" i="204"/>
  <c r="F17" i="204"/>
  <c r="F35" i="204"/>
  <c r="F44" i="204"/>
  <c r="F14" i="204"/>
  <c r="F31" i="204"/>
  <c r="F28" i="66"/>
  <c r="G28" i="66" s="1"/>
  <c r="F13" i="66"/>
  <c r="F34" i="66"/>
  <c r="F10" i="66"/>
  <c r="F44" i="66"/>
  <c r="F43" i="66"/>
  <c r="F17" i="66"/>
  <c r="F27" i="105"/>
  <c r="F31" i="105"/>
  <c r="I31" i="105" s="1"/>
  <c r="F10" i="105"/>
  <c r="F14" i="105"/>
  <c r="F23" i="105"/>
  <c r="F11" i="105"/>
  <c r="F17" i="105"/>
  <c r="F26" i="217"/>
  <c r="F17" i="217"/>
  <c r="F34" i="217"/>
  <c r="F30" i="217"/>
  <c r="F42" i="217"/>
  <c r="F31" i="217"/>
  <c r="F45" i="217"/>
  <c r="G45" i="217" s="1"/>
  <c r="F34" i="265"/>
  <c r="F44" i="265"/>
  <c r="F11" i="265"/>
  <c r="F18" i="265"/>
  <c r="F17" i="265"/>
  <c r="F28" i="265"/>
  <c r="F31" i="265"/>
  <c r="F14" i="265"/>
  <c r="F30" i="265"/>
  <c r="F43" i="265"/>
  <c r="F23" i="265"/>
  <c r="F45" i="265"/>
  <c r="G45" i="265" s="1"/>
  <c r="F38" i="265"/>
  <c r="F16" i="265"/>
  <c r="F22" i="265"/>
  <c r="F36" i="265"/>
  <c r="F27" i="265"/>
  <c r="F42" i="265"/>
  <c r="F26" i="265"/>
  <c r="F12" i="265"/>
  <c r="F15" i="265"/>
  <c r="F13" i="265"/>
  <c r="F29" i="265"/>
  <c r="F39" i="265"/>
  <c r="F35" i="265"/>
  <c r="F21" i="265"/>
  <c r="F37" i="265"/>
  <c r="F10" i="265"/>
  <c r="G27" i="317"/>
  <c r="I27" i="317"/>
  <c r="G14" i="317"/>
  <c r="I14" i="317"/>
  <c r="G10" i="317"/>
  <c r="I10" i="317"/>
  <c r="I26" i="317"/>
  <c r="G26" i="317"/>
  <c r="I23" i="317"/>
  <c r="G23" i="317"/>
  <c r="G22" i="317"/>
  <c r="I22" i="317"/>
  <c r="G21" i="317"/>
  <c r="I21" i="317"/>
  <c r="G22" i="81"/>
  <c r="I22" i="81"/>
  <c r="I31" i="81"/>
  <c r="G31" i="81"/>
  <c r="I43" i="81"/>
  <c r="G43" i="81"/>
  <c r="I26" i="81"/>
  <c r="G26" i="81"/>
  <c r="G23" i="81"/>
  <c r="I23" i="81"/>
  <c r="G12" i="81"/>
  <c r="I12" i="81"/>
  <c r="I31" i="450"/>
  <c r="G31" i="450"/>
  <c r="G23" i="450"/>
  <c r="I23" i="450"/>
  <c r="I13" i="450"/>
  <c r="G13" i="450"/>
  <c r="I42" i="450"/>
  <c r="G42" i="450"/>
  <c r="G37" i="450"/>
  <c r="I37" i="450"/>
  <c r="I28" i="450"/>
  <c r="G28" i="450"/>
  <c r="G36" i="450"/>
  <c r="I36" i="450"/>
  <c r="E48" i="453"/>
  <c r="I26" i="238"/>
  <c r="G26" i="238"/>
  <c r="G18" i="238"/>
  <c r="I18" i="238"/>
  <c r="I37" i="238"/>
  <c r="G37" i="238"/>
  <c r="I34" i="238"/>
  <c r="G34" i="238"/>
  <c r="I21" i="238"/>
  <c r="G21" i="238"/>
  <c r="G39" i="238"/>
  <c r="I39" i="238"/>
  <c r="G12" i="238"/>
  <c r="I12" i="238"/>
  <c r="F23" i="186"/>
  <c r="F39" i="186"/>
  <c r="F44" i="186"/>
  <c r="F27" i="186"/>
  <c r="F10" i="186"/>
  <c r="F30" i="186"/>
  <c r="F45" i="186"/>
  <c r="G45" i="186" s="1"/>
  <c r="F13" i="186"/>
  <c r="F29" i="186"/>
  <c r="F36" i="186"/>
  <c r="F16" i="186"/>
  <c r="F37" i="186"/>
  <c r="F21" i="186"/>
  <c r="F18" i="186"/>
  <c r="F14" i="186"/>
  <c r="F15" i="186"/>
  <c r="F28" i="186"/>
  <c r="F43" i="186"/>
  <c r="F42" i="186"/>
  <c r="F11" i="186"/>
  <c r="F12" i="186"/>
  <c r="F34" i="186"/>
  <c r="F31" i="186"/>
  <c r="F35" i="186"/>
  <c r="F38" i="186"/>
  <c r="F17" i="186"/>
  <c r="F26" i="186"/>
  <c r="F22" i="186"/>
  <c r="F36" i="399"/>
  <c r="F38" i="399"/>
  <c r="F17" i="399"/>
  <c r="F37" i="399"/>
  <c r="F28" i="399"/>
  <c r="F15" i="399"/>
  <c r="F44" i="399"/>
  <c r="E48" i="131"/>
  <c r="G12" i="100"/>
  <c r="I12" i="100"/>
  <c r="G30" i="100"/>
  <c r="I30" i="100"/>
  <c r="G43" i="100"/>
  <c r="I43" i="100"/>
  <c r="I26" i="100"/>
  <c r="G26" i="100"/>
  <c r="G28" i="100"/>
  <c r="I28" i="100"/>
  <c r="I22" i="100"/>
  <c r="G22" i="100"/>
  <c r="I34" i="189"/>
  <c r="G34" i="189"/>
  <c r="G22" i="189"/>
  <c r="I22" i="189"/>
  <c r="I28" i="189"/>
  <c r="G28" i="189"/>
  <c r="I31" i="189"/>
  <c r="G31" i="189"/>
  <c r="G13" i="189"/>
  <c r="I13" i="189"/>
  <c r="I44" i="189"/>
  <c r="G44" i="189"/>
  <c r="G18" i="189"/>
  <c r="I18" i="189"/>
  <c r="I14" i="348"/>
  <c r="G14" i="348"/>
  <c r="I31" i="348"/>
  <c r="G31" i="348"/>
  <c r="G42" i="348"/>
  <c r="I42" i="348"/>
  <c r="I11" i="348"/>
  <c r="G11" i="348"/>
  <c r="I27" i="348"/>
  <c r="G27" i="348"/>
  <c r="G44" i="348"/>
  <c r="I44" i="348"/>
  <c r="G16" i="50"/>
  <c r="F23" i="204"/>
  <c r="F43" i="204"/>
  <c r="F21" i="204"/>
  <c r="G21" i="204" s="1"/>
  <c r="F11" i="204"/>
  <c r="F38" i="204"/>
  <c r="F39" i="204"/>
  <c r="F13" i="204"/>
  <c r="I13" i="204" s="1"/>
  <c r="H48" i="69"/>
  <c r="H50" i="69" s="1"/>
  <c r="E6" i="69" s="1"/>
  <c r="H48" i="138"/>
  <c r="H50" i="138" s="1"/>
  <c r="E6" i="138" s="1"/>
  <c r="F16" i="66"/>
  <c r="F42" i="66"/>
  <c r="G42" i="66" s="1"/>
  <c r="F27" i="66"/>
  <c r="F22" i="66"/>
  <c r="F21" i="66"/>
  <c r="F26" i="66"/>
  <c r="I26" i="66" s="1"/>
  <c r="H48" i="372"/>
  <c r="H50" i="372" s="1"/>
  <c r="E6" i="372" s="1"/>
  <c r="F28" i="105"/>
  <c r="F36" i="105"/>
  <c r="F34" i="105"/>
  <c r="G34" i="105" s="1"/>
  <c r="F16" i="105"/>
  <c r="F18" i="105"/>
  <c r="F35" i="105"/>
  <c r="F22" i="105"/>
  <c r="H48" i="79"/>
  <c r="H50" i="79" s="1"/>
  <c r="E6" i="79" s="1"/>
  <c r="F15" i="217"/>
  <c r="F28" i="217"/>
  <c r="F44" i="217"/>
  <c r="F23" i="217"/>
  <c r="F37" i="217"/>
  <c r="F38" i="217"/>
  <c r="F29" i="217"/>
  <c r="I29" i="217" s="1"/>
  <c r="G18" i="317"/>
  <c r="I18" i="317"/>
  <c r="I44" i="317"/>
  <c r="G44" i="317"/>
  <c r="I42" i="317"/>
  <c r="G42" i="317"/>
  <c r="G35" i="317"/>
  <c r="I35" i="317"/>
  <c r="I17" i="317"/>
  <c r="G17" i="317"/>
  <c r="G29" i="317"/>
  <c r="I29" i="317"/>
  <c r="G34" i="317"/>
  <c r="I34" i="317"/>
  <c r="F37" i="278"/>
  <c r="F18" i="278"/>
  <c r="F22" i="278"/>
  <c r="F29" i="278"/>
  <c r="F16" i="278"/>
  <c r="F43" i="278"/>
  <c r="F26" i="278"/>
  <c r="F23" i="278"/>
  <c r="F14" i="278"/>
  <c r="F12" i="278"/>
  <c r="F17" i="278"/>
  <c r="F10" i="278"/>
  <c r="F27" i="278"/>
  <c r="F15" i="278"/>
  <c r="F39" i="278"/>
  <c r="F36" i="278"/>
  <c r="F11" i="278"/>
  <c r="F34" i="278"/>
  <c r="F44" i="278"/>
  <c r="F42" i="278"/>
  <c r="F28" i="278"/>
  <c r="F35" i="278"/>
  <c r="F21" i="278"/>
  <c r="F31" i="278"/>
  <c r="F38" i="278"/>
  <c r="F45" i="278"/>
  <c r="G45" i="278" s="1"/>
  <c r="F13" i="278"/>
  <c r="F30" i="278"/>
  <c r="I27" i="81"/>
  <c r="G27" i="81"/>
  <c r="G34" i="81"/>
  <c r="I34" i="81"/>
  <c r="G36" i="81"/>
  <c r="G21" i="81"/>
  <c r="I21" i="81"/>
  <c r="I15" i="81"/>
  <c r="G15" i="81"/>
  <c r="G34" i="450"/>
  <c r="I34" i="450"/>
  <c r="G21" i="450"/>
  <c r="I21" i="450"/>
  <c r="G38" i="450"/>
  <c r="I38" i="450"/>
  <c r="G27" i="450"/>
  <c r="I27" i="450"/>
  <c r="I26" i="450"/>
  <c r="G26" i="450"/>
  <c r="G17" i="450"/>
  <c r="I17" i="450"/>
  <c r="I13" i="238"/>
  <c r="G13" i="238"/>
  <c r="I17" i="238"/>
  <c r="G17" i="238"/>
  <c r="G35" i="238"/>
  <c r="I35" i="238"/>
  <c r="I30" i="238"/>
  <c r="G30" i="238"/>
  <c r="G42" i="238"/>
  <c r="I42" i="238"/>
  <c r="G11" i="238"/>
  <c r="I11" i="238"/>
  <c r="F30" i="115"/>
  <c r="F27" i="115"/>
  <c r="F18" i="115"/>
  <c r="F11" i="115"/>
  <c r="F31" i="115"/>
  <c r="F13" i="115"/>
  <c r="F29" i="115"/>
  <c r="F16" i="115"/>
  <c r="F37" i="115"/>
  <c r="F26" i="115"/>
  <c r="F23" i="115"/>
  <c r="F45" i="115"/>
  <c r="G45" i="115" s="1"/>
  <c r="F12" i="115"/>
  <c r="F39" i="115"/>
  <c r="F44" i="115"/>
  <c r="F36" i="115"/>
  <c r="F10" i="115"/>
  <c r="F28" i="115"/>
  <c r="F22" i="115"/>
  <c r="F38" i="115"/>
  <c r="F17" i="115"/>
  <c r="F15" i="115"/>
  <c r="F43" i="115"/>
  <c r="F14" i="115"/>
  <c r="F42" i="115"/>
  <c r="F34" i="115"/>
  <c r="F21" i="115"/>
  <c r="F35" i="115"/>
  <c r="E48" i="250"/>
  <c r="E48" i="363"/>
  <c r="G14" i="100"/>
  <c r="I14" i="100"/>
  <c r="I11" i="100"/>
  <c r="G11" i="100"/>
  <c r="I29" i="100"/>
  <c r="G29" i="100"/>
  <c r="G21" i="100"/>
  <c r="I21" i="100"/>
  <c r="G35" i="100"/>
  <c r="I35" i="100"/>
  <c r="G36" i="100"/>
  <c r="I36" i="100"/>
  <c r="G18" i="100"/>
  <c r="I18" i="100"/>
  <c r="G38" i="189"/>
  <c r="I38" i="189"/>
  <c r="I21" i="189"/>
  <c r="G21" i="189"/>
  <c r="I11" i="189"/>
  <c r="G11" i="189"/>
  <c r="I42" i="189"/>
  <c r="G42" i="189"/>
  <c r="I43" i="189"/>
  <c r="G43" i="189"/>
  <c r="I27" i="189"/>
  <c r="G27" i="189"/>
  <c r="E48" i="259"/>
  <c r="F28" i="46"/>
  <c r="F36" i="46"/>
  <c r="F13" i="46"/>
  <c r="F42" i="46"/>
  <c r="F22" i="46"/>
  <c r="F21" i="46"/>
  <c r="F27" i="46"/>
  <c r="F39" i="46"/>
  <c r="F37" i="46"/>
  <c r="F15" i="46"/>
  <c r="F23" i="46"/>
  <c r="F34" i="46"/>
  <c r="F35" i="46"/>
  <c r="F17" i="46"/>
  <c r="F12" i="46"/>
  <c r="F29" i="46"/>
  <c r="F45" i="46"/>
  <c r="G45" i="46" s="1"/>
  <c r="F31" i="46"/>
  <c r="F14" i="46"/>
  <c r="F26" i="46"/>
  <c r="F38" i="46"/>
  <c r="F18" i="46"/>
  <c r="F44" i="46"/>
  <c r="F30" i="46"/>
  <c r="F10" i="46"/>
  <c r="F11" i="46"/>
  <c r="F16" i="46"/>
  <c r="F43" i="46"/>
  <c r="F44" i="456"/>
  <c r="F13" i="456"/>
  <c r="F39" i="456"/>
  <c r="F27" i="456"/>
  <c r="F10" i="456"/>
  <c r="F31" i="456"/>
  <c r="F14" i="456"/>
  <c r="F16" i="456"/>
  <c r="F37" i="456"/>
  <c r="F29" i="456"/>
  <c r="F28" i="456"/>
  <c r="F36" i="456"/>
  <c r="F15" i="456"/>
  <c r="F26" i="456"/>
  <c r="F22" i="456"/>
  <c r="F30" i="456"/>
  <c r="F45" i="456"/>
  <c r="G45" i="456" s="1"/>
  <c r="F18" i="456"/>
  <c r="F34" i="456"/>
  <c r="F11" i="456"/>
  <c r="F17" i="456"/>
  <c r="F35" i="456"/>
  <c r="F43" i="456"/>
  <c r="F38" i="456"/>
  <c r="F42" i="456"/>
  <c r="F12" i="456"/>
  <c r="F21" i="456"/>
  <c r="F23" i="456"/>
  <c r="G30" i="348"/>
  <c r="I30" i="348"/>
  <c r="I22" i="348"/>
  <c r="G22" i="348"/>
  <c r="I37" i="348"/>
  <c r="G37" i="348"/>
  <c r="G21" i="348"/>
  <c r="I21" i="348"/>
  <c r="G39" i="348"/>
  <c r="I39" i="348"/>
  <c r="I16" i="348"/>
  <c r="G16" i="348"/>
  <c r="G13" i="348"/>
  <c r="I13" i="348"/>
  <c r="F36" i="131"/>
  <c r="F18" i="131"/>
  <c r="F12" i="131"/>
  <c r="F10" i="131"/>
  <c r="F26" i="131"/>
  <c r="F17" i="131"/>
  <c r="F45" i="131"/>
  <c r="G45" i="131" s="1"/>
  <c r="F22" i="131"/>
  <c r="F15" i="131"/>
  <c r="F37" i="131"/>
  <c r="F14" i="131"/>
  <c r="F34" i="131"/>
  <c r="F28" i="131"/>
  <c r="F11" i="131"/>
  <c r="F27" i="131"/>
  <c r="F43" i="131"/>
  <c r="F23" i="131"/>
  <c r="F42" i="131"/>
  <c r="F21" i="131"/>
  <c r="F31" i="131"/>
  <c r="F44" i="131"/>
  <c r="F35" i="131"/>
  <c r="F16" i="131"/>
  <c r="F13" i="131"/>
  <c r="F39" i="131"/>
  <c r="F30" i="131"/>
  <c r="F29" i="131"/>
  <c r="F38" i="131"/>
  <c r="H48" i="405"/>
  <c r="H50" i="405" s="1"/>
  <c r="E6" i="405" s="1"/>
  <c r="I46" i="178"/>
  <c r="F46" i="178" s="1"/>
  <c r="G46" i="178" s="1"/>
  <c r="F45" i="204"/>
  <c r="G45" i="204" s="1"/>
  <c r="F10" i="204"/>
  <c r="F36" i="204"/>
  <c r="F26" i="204"/>
  <c r="F16" i="204"/>
  <c r="I16" i="204" s="1"/>
  <c r="F22" i="204"/>
  <c r="H48" i="256"/>
  <c r="H50" i="256" s="1"/>
  <c r="E6" i="256" s="1"/>
  <c r="H48" i="239"/>
  <c r="H50" i="239" s="1"/>
  <c r="E6" i="239" s="1"/>
  <c r="H48" i="357"/>
  <c r="H50" i="357" s="1"/>
  <c r="E6" i="357" s="1"/>
  <c r="H48" i="313"/>
  <c r="H50" i="313" s="1"/>
  <c r="E6" i="313" s="1"/>
  <c r="F21" i="105"/>
  <c r="F15" i="105"/>
  <c r="F29" i="105"/>
  <c r="F42" i="105"/>
  <c r="F12" i="105"/>
  <c r="F38" i="105"/>
  <c r="H48" i="273"/>
  <c r="H50" i="273" s="1"/>
  <c r="E6" i="273" s="1"/>
  <c r="F43" i="217"/>
  <c r="F10" i="217"/>
  <c r="F16" i="217"/>
  <c r="F27" i="217"/>
  <c r="F39" i="217"/>
  <c r="F14" i="217"/>
  <c r="H48" i="541"/>
  <c r="H50" i="541" s="1"/>
  <c r="E6" i="541" s="1"/>
  <c r="E48" i="90"/>
  <c r="H48" i="421"/>
  <c r="H50" i="421" s="1"/>
  <c r="E6" i="421" s="1"/>
  <c r="G11" i="317"/>
  <c r="I11" i="317"/>
  <c r="G31" i="317"/>
  <c r="I31" i="317"/>
  <c r="G28" i="317"/>
  <c r="I28" i="317"/>
  <c r="G36" i="317"/>
  <c r="I36" i="317"/>
  <c r="G12" i="317"/>
  <c r="I12" i="317"/>
  <c r="I13" i="317"/>
  <c r="G13" i="317"/>
  <c r="I43" i="317"/>
  <c r="G43" i="317"/>
  <c r="G10" i="81"/>
  <c r="I10" i="81"/>
  <c r="G38" i="81"/>
  <c r="I38" i="81"/>
  <c r="G35" i="81"/>
  <c r="I35" i="81"/>
  <c r="G37" i="81"/>
  <c r="I37" i="81"/>
  <c r="G11" i="81"/>
  <c r="I11" i="81"/>
  <c r="G28" i="81"/>
  <c r="I28" i="81"/>
  <c r="G39" i="450"/>
  <c r="I39" i="450"/>
  <c r="G30" i="450"/>
  <c r="I30" i="450"/>
  <c r="G10" i="450"/>
  <c r="I10" i="450"/>
  <c r="I15" i="450"/>
  <c r="G15" i="450"/>
  <c r="G22" i="450"/>
  <c r="I22" i="450"/>
  <c r="G14" i="450"/>
  <c r="I14" i="450"/>
  <c r="I43" i="450"/>
  <c r="G43" i="450"/>
  <c r="I10" i="238"/>
  <c r="G10" i="238"/>
  <c r="I22" i="238"/>
  <c r="G22" i="238"/>
  <c r="I31" i="238"/>
  <c r="G31" i="238"/>
  <c r="G29" i="238"/>
  <c r="I29" i="238"/>
  <c r="I15" i="238"/>
  <c r="G15" i="238"/>
  <c r="G27" i="238"/>
  <c r="I27" i="238"/>
  <c r="I38" i="238"/>
  <c r="G38" i="238"/>
  <c r="E48" i="232"/>
  <c r="F38" i="30"/>
  <c r="F16" i="30"/>
  <c r="F44" i="30"/>
  <c r="F15" i="30"/>
  <c r="F26" i="30"/>
  <c r="F36" i="30"/>
  <c r="F34" i="30"/>
  <c r="F45" i="30"/>
  <c r="G45" i="30" s="1"/>
  <c r="F18" i="30"/>
  <c r="F21" i="30"/>
  <c r="F14" i="30"/>
  <c r="F22" i="30"/>
  <c r="F12" i="30"/>
  <c r="F35" i="30"/>
  <c r="F23" i="30"/>
  <c r="F37" i="30"/>
  <c r="F17" i="30"/>
  <c r="F30" i="30"/>
  <c r="F28" i="30"/>
  <c r="F29" i="30"/>
  <c r="F42" i="30"/>
  <c r="F31" i="30"/>
  <c r="F11" i="30"/>
  <c r="F39" i="30"/>
  <c r="F27" i="30"/>
  <c r="F13" i="30"/>
  <c r="F10" i="30"/>
  <c r="F43" i="30"/>
  <c r="F18" i="334"/>
  <c r="F12" i="334"/>
  <c r="F10" i="334"/>
  <c r="F38" i="334"/>
  <c r="F11" i="334"/>
  <c r="F21" i="334"/>
  <c r="F42" i="334"/>
  <c r="F31" i="334"/>
  <c r="F14" i="334"/>
  <c r="F36" i="334"/>
  <c r="F43" i="334"/>
  <c r="F30" i="334"/>
  <c r="F22" i="334"/>
  <c r="F44" i="334"/>
  <c r="F26" i="334"/>
  <c r="F16" i="334"/>
  <c r="F39" i="334"/>
  <c r="F37" i="334"/>
  <c r="F29" i="334"/>
  <c r="F27" i="334"/>
  <c r="F23" i="334"/>
  <c r="F28" i="334"/>
  <c r="F13" i="334"/>
  <c r="F15" i="334"/>
  <c r="F17" i="334"/>
  <c r="F45" i="334"/>
  <c r="G45" i="334" s="1"/>
  <c r="F35" i="334"/>
  <c r="F34" i="334"/>
  <c r="F30" i="55"/>
  <c r="F36" i="55"/>
  <c r="F17" i="55"/>
  <c r="F39" i="55"/>
  <c r="F29" i="55"/>
  <c r="F31" i="55"/>
  <c r="F27" i="55"/>
  <c r="F34" i="55"/>
  <c r="F11" i="55"/>
  <c r="F28" i="55"/>
  <c r="F35" i="55"/>
  <c r="F21" i="55"/>
  <c r="F26" i="55"/>
  <c r="F22" i="55"/>
  <c r="F43" i="55"/>
  <c r="F44" i="55"/>
  <c r="F13" i="55"/>
  <c r="F37" i="55"/>
  <c r="F14" i="55"/>
  <c r="F42" i="55"/>
  <c r="F18" i="55"/>
  <c r="F23" i="55"/>
  <c r="F38" i="55"/>
  <c r="F45" i="55"/>
  <c r="G45" i="55" s="1"/>
  <c r="F10" i="55"/>
  <c r="F12" i="55"/>
  <c r="F15" i="55"/>
  <c r="F16" i="55"/>
  <c r="E48" i="141"/>
  <c r="E48" i="360"/>
  <c r="I42" i="100"/>
  <c r="G42" i="100"/>
  <c r="G13" i="100"/>
  <c r="I13" i="100"/>
  <c r="I23" i="100"/>
  <c r="G23" i="100"/>
  <c r="G44" i="100"/>
  <c r="I44" i="100"/>
  <c r="I10" i="100"/>
  <c r="G10" i="100"/>
  <c r="I35" i="189"/>
  <c r="G35" i="189"/>
  <c r="G14" i="189"/>
  <c r="I14" i="189"/>
  <c r="G16" i="189"/>
  <c r="I16" i="189"/>
  <c r="G10" i="189"/>
  <c r="I10" i="189"/>
  <c r="I23" i="189"/>
  <c r="G23" i="189"/>
  <c r="G29" i="189"/>
  <c r="I29" i="189"/>
  <c r="I37" i="189"/>
  <c r="G37" i="189"/>
  <c r="F38" i="258"/>
  <c r="F43" i="258"/>
  <c r="F10" i="258"/>
  <c r="F28" i="258"/>
  <c r="F42" i="258"/>
  <c r="F17" i="258"/>
  <c r="F11" i="258"/>
  <c r="F31" i="258"/>
  <c r="F34" i="258"/>
  <c r="F14" i="258"/>
  <c r="F36" i="258"/>
  <c r="F23" i="258"/>
  <c r="F26" i="258"/>
  <c r="F21" i="258"/>
  <c r="F29" i="258"/>
  <c r="F45" i="258"/>
  <c r="G45" i="258" s="1"/>
  <c r="F22" i="258"/>
  <c r="F35" i="258"/>
  <c r="F16" i="258"/>
  <c r="F18" i="258"/>
  <c r="F15" i="258"/>
  <c r="F12" i="258"/>
  <c r="F44" i="258"/>
  <c r="F37" i="258"/>
  <c r="F30" i="258"/>
  <c r="F39" i="258"/>
  <c r="F27" i="258"/>
  <c r="F13" i="258"/>
  <c r="G35" i="348"/>
  <c r="I35" i="348"/>
  <c r="I34" i="348"/>
  <c r="G34" i="348"/>
  <c r="G28" i="348"/>
  <c r="I28" i="348"/>
  <c r="G18" i="348"/>
  <c r="I18" i="348"/>
  <c r="I23" i="348"/>
  <c r="G23" i="348"/>
  <c r="I26" i="348"/>
  <c r="G26" i="348"/>
  <c r="I36" i="348"/>
  <c r="G36" i="348"/>
  <c r="I30" i="317"/>
  <c r="G30" i="317"/>
  <c r="I37" i="317"/>
  <c r="G37" i="317"/>
  <c r="G15" i="317"/>
  <c r="I15" i="317"/>
  <c r="I16" i="317"/>
  <c r="G16" i="317"/>
  <c r="G38" i="317"/>
  <c r="I38" i="317"/>
  <c r="G39" i="317"/>
  <c r="I39" i="317"/>
  <c r="F18" i="408"/>
  <c r="F38" i="408"/>
  <c r="F26" i="408"/>
  <c r="F16" i="408"/>
  <c r="F34" i="408"/>
  <c r="F29" i="408"/>
  <c r="F15" i="408"/>
  <c r="F37" i="408"/>
  <c r="F31" i="408"/>
  <c r="F17" i="408"/>
  <c r="F30" i="408"/>
  <c r="F45" i="408"/>
  <c r="G45" i="408" s="1"/>
  <c r="F36" i="408"/>
  <c r="F23" i="408"/>
  <c r="F10" i="408"/>
  <c r="F11" i="408"/>
  <c r="F14" i="408"/>
  <c r="F44" i="408"/>
  <c r="F22" i="408"/>
  <c r="F13" i="408"/>
  <c r="F39" i="408"/>
  <c r="F35" i="408"/>
  <c r="F27" i="408"/>
  <c r="F12" i="408"/>
  <c r="F28" i="408"/>
  <c r="F43" i="408"/>
  <c r="F42" i="408"/>
  <c r="F21" i="408"/>
  <c r="I42" i="81"/>
  <c r="G42" i="81"/>
  <c r="G17" i="81"/>
  <c r="I17" i="81"/>
  <c r="G13" i="81"/>
  <c r="G44" i="81"/>
  <c r="I44" i="81"/>
  <c r="I18" i="81"/>
  <c r="G18" i="81"/>
  <c r="I29" i="81"/>
  <c r="G29" i="81"/>
  <c r="I16" i="81"/>
  <c r="G16" i="81"/>
  <c r="G29" i="450"/>
  <c r="I29" i="450"/>
  <c r="I35" i="450"/>
  <c r="G35" i="450"/>
  <c r="G16" i="450"/>
  <c r="I16" i="450"/>
  <c r="I44" i="450"/>
  <c r="G44" i="450"/>
  <c r="I12" i="450"/>
  <c r="G12" i="450"/>
  <c r="I18" i="450"/>
  <c r="G18" i="450"/>
  <c r="G11" i="450"/>
  <c r="I11" i="450"/>
  <c r="F13" i="459"/>
  <c r="F14" i="459"/>
  <c r="F16" i="459"/>
  <c r="F18" i="459"/>
  <c r="F37" i="459"/>
  <c r="F36" i="459"/>
  <c r="F22" i="459"/>
  <c r="F21" i="459"/>
  <c r="F23" i="459"/>
  <c r="F39" i="459"/>
  <c r="F27" i="459"/>
  <c r="F15" i="459"/>
  <c r="F35" i="459"/>
  <c r="F11" i="459"/>
  <c r="F30" i="459"/>
  <c r="F42" i="459"/>
  <c r="F44" i="459"/>
  <c r="F12" i="459"/>
  <c r="F28" i="459"/>
  <c r="F26" i="459"/>
  <c r="F10" i="459"/>
  <c r="F29" i="459"/>
  <c r="F31" i="459"/>
  <c r="F45" i="459"/>
  <c r="G45" i="459" s="1"/>
  <c r="F34" i="459"/>
  <c r="F43" i="459"/>
  <c r="F38" i="459"/>
  <c r="F17" i="459"/>
  <c r="I36" i="238"/>
  <c r="G36" i="238"/>
  <c r="I23" i="238"/>
  <c r="G23" i="238"/>
  <c r="I44" i="238"/>
  <c r="G44" i="238"/>
  <c r="G28" i="238"/>
  <c r="I28" i="238"/>
  <c r="I43" i="238"/>
  <c r="G43" i="238"/>
  <c r="I14" i="238"/>
  <c r="G14" i="238"/>
  <c r="I16" i="238"/>
  <c r="G16" i="238"/>
  <c r="F35" i="162"/>
  <c r="F38" i="162"/>
  <c r="F29" i="162"/>
  <c r="F34" i="162"/>
  <c r="F22" i="162"/>
  <c r="F39" i="162"/>
  <c r="F15" i="162"/>
  <c r="F30" i="162"/>
  <c r="F26" i="162"/>
  <c r="F10" i="162"/>
  <c r="F44" i="162"/>
  <c r="F31" i="162"/>
  <c r="F12" i="162"/>
  <c r="F16" i="162"/>
  <c r="F27" i="162"/>
  <c r="F13" i="162"/>
  <c r="F28" i="162"/>
  <c r="F11" i="162"/>
  <c r="F21" i="162"/>
  <c r="F45" i="162"/>
  <c r="G45" i="162" s="1"/>
  <c r="F17" i="162"/>
  <c r="F18" i="162"/>
  <c r="F36" i="162"/>
  <c r="F43" i="162"/>
  <c r="F14" i="162"/>
  <c r="F23" i="162"/>
  <c r="F42" i="162"/>
  <c r="F37" i="162"/>
  <c r="G39" i="100"/>
  <c r="I39" i="100"/>
  <c r="I31" i="100"/>
  <c r="G31" i="100"/>
  <c r="I34" i="100"/>
  <c r="G34" i="100"/>
  <c r="G27" i="100"/>
  <c r="G37" i="100"/>
  <c r="I37" i="100"/>
  <c r="G38" i="100"/>
  <c r="I38" i="100"/>
  <c r="I17" i="100"/>
  <c r="G17" i="100"/>
  <c r="G30" i="189"/>
  <c r="I30" i="189"/>
  <c r="G17" i="189"/>
  <c r="I17" i="189"/>
  <c r="G26" i="189"/>
  <c r="I26" i="189"/>
  <c r="I32" i="189" s="1"/>
  <c r="F32" i="189" s="1"/>
  <c r="G32" i="189" s="1"/>
  <c r="G36" i="189"/>
  <c r="I36" i="189"/>
  <c r="I39" i="189"/>
  <c r="G39" i="189"/>
  <c r="I12" i="189"/>
  <c r="G12" i="189"/>
  <c r="G15" i="189"/>
  <c r="I15" i="189"/>
  <c r="F27" i="97"/>
  <c r="F42" i="97"/>
  <c r="F15" i="97"/>
  <c r="F16" i="97"/>
  <c r="F30" i="97"/>
  <c r="F28" i="97"/>
  <c r="F14" i="97"/>
  <c r="F31" i="97"/>
  <c r="F10" i="97"/>
  <c r="F38" i="97"/>
  <c r="F35" i="97"/>
  <c r="F43" i="97"/>
  <c r="F21" i="97"/>
  <c r="F13" i="97"/>
  <c r="F34" i="97"/>
  <c r="F29" i="97"/>
  <c r="F12" i="97"/>
  <c r="F44" i="97"/>
  <c r="F37" i="97"/>
  <c r="F39" i="97"/>
  <c r="F26" i="97"/>
  <c r="F45" i="97"/>
  <c r="G45" i="97" s="1"/>
  <c r="F22" i="97"/>
  <c r="F17" i="97"/>
  <c r="F23" i="97"/>
  <c r="F18" i="97"/>
  <c r="F36" i="97"/>
  <c r="F11" i="97"/>
  <c r="G15" i="348"/>
  <c r="I15" i="348"/>
  <c r="G43" i="348"/>
  <c r="I43" i="348"/>
  <c r="G38" i="348"/>
  <c r="I38" i="348"/>
  <c r="G17" i="348"/>
  <c r="I17" i="348"/>
  <c r="G12" i="348"/>
  <c r="I12" i="348"/>
  <c r="I29" i="348"/>
  <c r="G29" i="348"/>
  <c r="G10" i="348"/>
  <c r="I10" i="348"/>
  <c r="G29" i="188"/>
  <c r="I29" i="188"/>
  <c r="G11" i="188"/>
  <c r="I11" i="188"/>
  <c r="I43" i="188"/>
  <c r="G43" i="188"/>
  <c r="I39" i="134"/>
  <c r="G39" i="134"/>
  <c r="G35" i="134"/>
  <c r="I35" i="134"/>
  <c r="G18" i="134"/>
  <c r="I18" i="134"/>
  <c r="G16" i="134"/>
  <c r="I16" i="134"/>
  <c r="I13" i="134"/>
  <c r="G13" i="134"/>
  <c r="I43" i="134"/>
  <c r="G43" i="134"/>
  <c r="G37" i="134"/>
  <c r="I37" i="134"/>
  <c r="G15" i="127"/>
  <c r="I15" i="127"/>
  <c r="I34" i="127"/>
  <c r="G34" i="127"/>
  <c r="G11" i="127"/>
  <c r="I11" i="127"/>
  <c r="I31" i="127"/>
  <c r="G31" i="127"/>
  <c r="G28" i="127"/>
  <c r="I28" i="127"/>
  <c r="G26" i="127"/>
  <c r="I26" i="127"/>
  <c r="I13" i="146"/>
  <c r="G13" i="146"/>
  <c r="G35" i="146"/>
  <c r="I35" i="146"/>
  <c r="I12" i="146"/>
  <c r="G12" i="146"/>
  <c r="I23" i="146"/>
  <c r="G23" i="146"/>
  <c r="I22" i="146"/>
  <c r="G22" i="146"/>
  <c r="I43" i="146"/>
  <c r="G43" i="146"/>
  <c r="I26" i="146"/>
  <c r="G26" i="146"/>
  <c r="F38" i="232"/>
  <c r="F36" i="232"/>
  <c r="F10" i="232"/>
  <c r="F17" i="232"/>
  <c r="F18" i="232"/>
  <c r="F42" i="232"/>
  <c r="F39" i="232"/>
  <c r="F45" i="232"/>
  <c r="G45" i="232" s="1"/>
  <c r="F21" i="232"/>
  <c r="F31" i="232"/>
  <c r="F29" i="232"/>
  <c r="F37" i="232"/>
  <c r="F34" i="232"/>
  <c r="F28" i="232"/>
  <c r="F12" i="232"/>
  <c r="F22" i="232"/>
  <c r="F43" i="232"/>
  <c r="F15" i="232"/>
  <c r="F26" i="232"/>
  <c r="F27" i="232"/>
  <c r="F11" i="232"/>
  <c r="F30" i="232"/>
  <c r="F44" i="232"/>
  <c r="F14" i="232"/>
  <c r="F16" i="232"/>
  <c r="F23" i="232"/>
  <c r="F35" i="232"/>
  <c r="F13" i="232"/>
  <c r="I34" i="59"/>
  <c r="G34" i="59"/>
  <c r="I14" i="59"/>
  <c r="G14" i="59"/>
  <c r="I31" i="59"/>
  <c r="G31" i="59"/>
  <c r="G42" i="59"/>
  <c r="I42" i="59"/>
  <c r="I27" i="59"/>
  <c r="G27" i="59"/>
  <c r="I15" i="59"/>
  <c r="G15" i="59"/>
  <c r="I44" i="59"/>
  <c r="G44" i="59"/>
  <c r="E48" i="10"/>
  <c r="F44" i="148"/>
  <c r="F21" i="148"/>
  <c r="F17" i="148"/>
  <c r="F30" i="148"/>
  <c r="F43" i="148"/>
  <c r="F34" i="148"/>
  <c r="F10" i="148"/>
  <c r="F28" i="148"/>
  <c r="F31" i="148"/>
  <c r="F37" i="148"/>
  <c r="F39" i="148"/>
  <c r="F42" i="148"/>
  <c r="F12" i="148"/>
  <c r="F22" i="148"/>
  <c r="F18" i="148"/>
  <c r="F29" i="148"/>
  <c r="F27" i="148"/>
  <c r="F45" i="148"/>
  <c r="G45" i="148" s="1"/>
  <c r="F16" i="148"/>
  <c r="F38" i="148"/>
  <c r="F15" i="148"/>
  <c r="F35" i="148"/>
  <c r="F11" i="148"/>
  <c r="F14" i="148"/>
  <c r="F26" i="148"/>
  <c r="F36" i="148"/>
  <c r="F23" i="148"/>
  <c r="F13" i="148"/>
  <c r="H48" i="180"/>
  <c r="H50" i="180" s="1"/>
  <c r="E6" i="180" s="1"/>
  <c r="E48" i="13"/>
  <c r="G44" i="188"/>
  <c r="I44" i="188"/>
  <c r="G37" i="188"/>
  <c r="I37" i="188"/>
  <c r="G17" i="188"/>
  <c r="I17" i="188"/>
  <c r="I29" i="134"/>
  <c r="G29" i="134"/>
  <c r="G23" i="134"/>
  <c r="I23" i="134"/>
  <c r="G44" i="134"/>
  <c r="I44" i="134"/>
  <c r="I27" i="134"/>
  <c r="G27" i="134"/>
  <c r="I42" i="134"/>
  <c r="G42" i="134"/>
  <c r="I12" i="134"/>
  <c r="G12" i="134"/>
  <c r="G11" i="134"/>
  <c r="I11" i="134"/>
  <c r="I37" i="127"/>
  <c r="G37" i="127"/>
  <c r="I39" i="127"/>
  <c r="G39" i="127"/>
  <c r="G23" i="127"/>
  <c r="I23" i="127"/>
  <c r="I10" i="127"/>
  <c r="G10" i="127"/>
  <c r="G35" i="127"/>
  <c r="I35" i="127"/>
  <c r="G27" i="127"/>
  <c r="I27" i="127"/>
  <c r="G16" i="127"/>
  <c r="I16" i="127"/>
  <c r="I14" i="146"/>
  <c r="G14" i="146"/>
  <c r="G21" i="146"/>
  <c r="I21" i="146"/>
  <c r="I10" i="146"/>
  <c r="G10" i="146"/>
  <c r="G31" i="146"/>
  <c r="I31" i="146"/>
  <c r="I38" i="146"/>
  <c r="G38" i="146"/>
  <c r="G15" i="146"/>
  <c r="I15" i="146"/>
  <c r="I42" i="146"/>
  <c r="G42" i="146"/>
  <c r="F39" i="440"/>
  <c r="F43" i="440"/>
  <c r="F45" i="440"/>
  <c r="G45" i="440" s="1"/>
  <c r="F29" i="440"/>
  <c r="F38" i="440"/>
  <c r="F36" i="440"/>
  <c r="F13" i="440"/>
  <c r="F18" i="440"/>
  <c r="F22" i="440"/>
  <c r="F26" i="440"/>
  <c r="F11" i="440"/>
  <c r="F30" i="440"/>
  <c r="F37" i="440"/>
  <c r="F14" i="440"/>
  <c r="F42" i="440"/>
  <c r="F44" i="440"/>
  <c r="F27" i="440"/>
  <c r="F31" i="440"/>
  <c r="F34" i="440"/>
  <c r="F10" i="440"/>
  <c r="F15" i="440"/>
  <c r="F17" i="440"/>
  <c r="F21" i="440"/>
  <c r="F23" i="440"/>
  <c r="F28" i="440"/>
  <c r="F16" i="440"/>
  <c r="F35" i="440"/>
  <c r="F12" i="440"/>
  <c r="I21" i="59"/>
  <c r="G21" i="59"/>
  <c r="I26" i="59"/>
  <c r="G26" i="59"/>
  <c r="I38" i="59"/>
  <c r="G38" i="59"/>
  <c r="I16" i="59"/>
  <c r="G16" i="59"/>
  <c r="I18" i="59"/>
  <c r="G18" i="59"/>
  <c r="I30" i="59"/>
  <c r="G30" i="59"/>
  <c r="I29" i="59"/>
  <c r="G29" i="59"/>
  <c r="F14" i="390"/>
  <c r="F44" i="390"/>
  <c r="F36" i="390"/>
  <c r="F43" i="390"/>
  <c r="F17" i="390"/>
  <c r="F23" i="390"/>
  <c r="F31" i="390"/>
  <c r="F35" i="390"/>
  <c r="F18" i="390"/>
  <c r="F39" i="390"/>
  <c r="F30" i="390"/>
  <c r="F12" i="390"/>
  <c r="F29" i="390"/>
  <c r="F22" i="390"/>
  <c r="F16" i="390"/>
  <c r="F45" i="390"/>
  <c r="G45" i="390" s="1"/>
  <c r="F26" i="390"/>
  <c r="F15" i="390"/>
  <c r="F21" i="390"/>
  <c r="F42" i="390"/>
  <c r="F10" i="390"/>
  <c r="F34" i="390"/>
  <c r="F28" i="390"/>
  <c r="F13" i="390"/>
  <c r="F38" i="390"/>
  <c r="F37" i="390"/>
  <c r="F27" i="390"/>
  <c r="F11" i="390"/>
  <c r="E50" i="417"/>
  <c r="J50" i="417"/>
  <c r="I46" i="188"/>
  <c r="F46" i="188" s="1"/>
  <c r="G46" i="188" s="1"/>
  <c r="H48" i="379"/>
  <c r="H50" i="379" s="1"/>
  <c r="E6" i="379" s="1"/>
  <c r="I16" i="188"/>
  <c r="G16" i="188"/>
  <c r="I28" i="188"/>
  <c r="G28" i="188"/>
  <c r="G28" i="134"/>
  <c r="I28" i="134"/>
  <c r="I26" i="134"/>
  <c r="G26" i="134"/>
  <c r="I21" i="134"/>
  <c r="G21" i="134"/>
  <c r="I34" i="134"/>
  <c r="G34" i="134"/>
  <c r="I38" i="134"/>
  <c r="G38" i="134"/>
  <c r="I21" i="127"/>
  <c r="G21" i="127"/>
  <c r="I14" i="127"/>
  <c r="G14" i="127"/>
  <c r="G12" i="127"/>
  <c r="I12" i="127"/>
  <c r="I22" i="127"/>
  <c r="G22" i="127"/>
  <c r="I42" i="127"/>
  <c r="G42" i="127"/>
  <c r="G43" i="127"/>
  <c r="I43" i="127"/>
  <c r="I46" i="127" s="1"/>
  <c r="F46" i="127" s="1"/>
  <c r="G46" i="127" s="1"/>
  <c r="I44" i="127"/>
  <c r="G44" i="127"/>
  <c r="I17" i="146"/>
  <c r="G17" i="146"/>
  <c r="I11" i="146"/>
  <c r="G11" i="146"/>
  <c r="G29" i="146"/>
  <c r="I29" i="146"/>
  <c r="G37" i="146"/>
  <c r="I37" i="146"/>
  <c r="G16" i="146"/>
  <c r="I16" i="146"/>
  <c r="I28" i="146"/>
  <c r="G28" i="146"/>
  <c r="G34" i="146"/>
  <c r="I34" i="146"/>
  <c r="F38" i="112"/>
  <c r="F30" i="112"/>
  <c r="F27" i="112"/>
  <c r="F17" i="112"/>
  <c r="F45" i="112"/>
  <c r="G45" i="112" s="1"/>
  <c r="F29" i="112"/>
  <c r="F44" i="112"/>
  <c r="F16" i="112"/>
  <c r="F31" i="112"/>
  <c r="F23" i="112"/>
  <c r="F15" i="112"/>
  <c r="F34" i="112"/>
  <c r="F21" i="112"/>
  <c r="F18" i="112"/>
  <c r="F12" i="112"/>
  <c r="F13" i="112"/>
  <c r="F10" i="112"/>
  <c r="F37" i="112"/>
  <c r="F28" i="112"/>
  <c r="F36" i="112"/>
  <c r="F26" i="112"/>
  <c r="F35" i="112"/>
  <c r="F42" i="112"/>
  <c r="F14" i="112"/>
  <c r="F39" i="112"/>
  <c r="F11" i="112"/>
  <c r="F43" i="112"/>
  <c r="F22" i="112"/>
  <c r="E48" i="88"/>
  <c r="I37" i="59"/>
  <c r="G37" i="59"/>
  <c r="G23" i="59"/>
  <c r="I23" i="59"/>
  <c r="G28" i="59"/>
  <c r="I28" i="59"/>
  <c r="G12" i="59"/>
  <c r="I12" i="59"/>
  <c r="G17" i="59"/>
  <c r="I17" i="59"/>
  <c r="I36" i="59"/>
  <c r="G36" i="59"/>
  <c r="C40" i="472"/>
  <c r="H48" i="342"/>
  <c r="H50" i="342" s="1"/>
  <c r="E6" i="342" s="1"/>
  <c r="E48" i="87"/>
  <c r="I27" i="188"/>
  <c r="G27" i="188"/>
  <c r="I13" i="188"/>
  <c r="G13" i="188"/>
  <c r="I17" i="134"/>
  <c r="G17" i="134"/>
  <c r="G36" i="134"/>
  <c r="I36" i="134"/>
  <c r="G15" i="134"/>
  <c r="I15" i="134"/>
  <c r="G14" i="134"/>
  <c r="I14" i="134"/>
  <c r="I30" i="134"/>
  <c r="G30" i="134"/>
  <c r="I22" i="134"/>
  <c r="G22" i="134"/>
  <c r="I30" i="127"/>
  <c r="G30" i="127"/>
  <c r="G13" i="127"/>
  <c r="I13" i="127"/>
  <c r="I38" i="127"/>
  <c r="G38" i="127"/>
  <c r="G36" i="127"/>
  <c r="I36" i="127"/>
  <c r="I17" i="127"/>
  <c r="G17" i="127"/>
  <c r="G29" i="127"/>
  <c r="I29" i="127"/>
  <c r="I18" i="127"/>
  <c r="G18" i="127"/>
  <c r="E48" i="69"/>
  <c r="E48" i="159"/>
  <c r="F45" i="140"/>
  <c r="G45" i="140" s="1"/>
  <c r="F14" i="140"/>
  <c r="F35" i="140"/>
  <c r="F17" i="140"/>
  <c r="F39" i="140"/>
  <c r="F28" i="140"/>
  <c r="F16" i="140"/>
  <c r="F31" i="140"/>
  <c r="F34" i="140"/>
  <c r="F27" i="140"/>
  <c r="F44" i="140"/>
  <c r="F22" i="140"/>
  <c r="F29" i="140"/>
  <c r="F23" i="140"/>
  <c r="F42" i="140"/>
  <c r="F43" i="140"/>
  <c r="F26" i="140"/>
  <c r="F36" i="140"/>
  <c r="F15" i="140"/>
  <c r="F10" i="140"/>
  <c r="F21" i="140"/>
  <c r="F30" i="140"/>
  <c r="F38" i="140"/>
  <c r="F37" i="140"/>
  <c r="F18" i="140"/>
  <c r="F11" i="140"/>
  <c r="F13" i="140"/>
  <c r="F12" i="140"/>
  <c r="G27" i="146"/>
  <c r="I27" i="146"/>
  <c r="I36" i="146"/>
  <c r="G36" i="146"/>
  <c r="G39" i="146"/>
  <c r="I39" i="146"/>
  <c r="I44" i="146"/>
  <c r="G44" i="146"/>
  <c r="I18" i="146"/>
  <c r="G18" i="146"/>
  <c r="I30" i="146"/>
  <c r="G30" i="146"/>
  <c r="F13" i="421"/>
  <c r="F37" i="421"/>
  <c r="F45" i="421"/>
  <c r="G45" i="421" s="1"/>
  <c r="F22" i="421"/>
  <c r="F29" i="421"/>
  <c r="F10" i="421"/>
  <c r="F23" i="421"/>
  <c r="F35" i="421"/>
  <c r="F16" i="421"/>
  <c r="F17" i="421"/>
  <c r="F26" i="421"/>
  <c r="F30" i="421"/>
  <c r="F44" i="421"/>
  <c r="F15" i="421"/>
  <c r="F12" i="421"/>
  <c r="F14" i="421"/>
  <c r="F38" i="421"/>
  <c r="F18" i="421"/>
  <c r="F27" i="421"/>
  <c r="F31" i="421"/>
  <c r="F42" i="421"/>
  <c r="F34" i="421"/>
  <c r="F36" i="421"/>
  <c r="F11" i="421"/>
  <c r="F21" i="421"/>
  <c r="F28" i="421"/>
  <c r="F39" i="421"/>
  <c r="F43" i="421"/>
  <c r="F42" i="28"/>
  <c r="F30" i="28"/>
  <c r="F15" i="28"/>
  <c r="F26" i="28"/>
  <c r="F27" i="28"/>
  <c r="F18" i="28"/>
  <c r="F14" i="28"/>
  <c r="F21" i="28"/>
  <c r="F13" i="28"/>
  <c r="F16" i="28"/>
  <c r="F29" i="28"/>
  <c r="F45" i="28"/>
  <c r="G45" i="28" s="1"/>
  <c r="F37" i="28"/>
  <c r="F43" i="28"/>
  <c r="F22" i="28"/>
  <c r="F23" i="28"/>
  <c r="F12" i="28"/>
  <c r="F17" i="28"/>
  <c r="F28" i="28"/>
  <c r="F35" i="28"/>
  <c r="F39" i="28"/>
  <c r="F34" i="28"/>
  <c r="F44" i="28"/>
  <c r="F36" i="28"/>
  <c r="F31" i="28"/>
  <c r="F10" i="28"/>
  <c r="F11" i="28"/>
  <c r="F38" i="28"/>
  <c r="F31" i="435"/>
  <c r="F35" i="435"/>
  <c r="F16" i="435"/>
  <c r="F43" i="435"/>
  <c r="F45" i="435"/>
  <c r="G45" i="435" s="1"/>
  <c r="F30" i="435"/>
  <c r="F18" i="435"/>
  <c r="F12" i="435"/>
  <c r="F14" i="435"/>
  <c r="F17" i="435"/>
  <c r="F22" i="435"/>
  <c r="F27" i="435"/>
  <c r="F10" i="435"/>
  <c r="F37" i="435"/>
  <c r="F34" i="435"/>
  <c r="F36" i="435"/>
  <c r="F39" i="435"/>
  <c r="F44" i="435"/>
  <c r="F28" i="435"/>
  <c r="F26" i="435"/>
  <c r="F38" i="435"/>
  <c r="F11" i="435"/>
  <c r="F13" i="435"/>
  <c r="F15" i="435"/>
  <c r="F42" i="435"/>
  <c r="F23" i="435"/>
  <c r="F29" i="435"/>
  <c r="F21" i="435"/>
  <c r="I10" i="59"/>
  <c r="G10" i="59"/>
  <c r="G39" i="59"/>
  <c r="I39" i="59"/>
  <c r="I43" i="59"/>
  <c r="G43" i="59"/>
  <c r="I11" i="59"/>
  <c r="G11" i="59"/>
  <c r="G13" i="59"/>
  <c r="I13" i="59"/>
  <c r="G35" i="59"/>
  <c r="I35" i="59"/>
  <c r="I22" i="59"/>
  <c r="G22" i="59"/>
  <c r="E48" i="33"/>
  <c r="E46" i="417"/>
  <c r="A52" i="417" s="1"/>
  <c r="E40" i="417"/>
  <c r="E34" i="417"/>
  <c r="E26" i="417"/>
  <c r="E31" i="417"/>
  <c r="E28" i="417"/>
  <c r="E21" i="417"/>
  <c r="E43" i="417"/>
  <c r="E38" i="417"/>
  <c r="E30" i="417"/>
  <c r="E27" i="417"/>
  <c r="E24" i="417"/>
  <c r="E35" i="417"/>
  <c r="E42" i="417"/>
  <c r="E37" i="417"/>
  <c r="E29" i="417"/>
  <c r="E23" i="417"/>
  <c r="E44" i="417"/>
  <c r="E39" i="417"/>
  <c r="E36" i="417"/>
  <c r="E45" i="417"/>
  <c r="E22" i="417"/>
  <c r="F12" i="310"/>
  <c r="F38" i="310"/>
  <c r="F14" i="310"/>
  <c r="F30" i="310"/>
  <c r="F17" i="310"/>
  <c r="F39" i="310"/>
  <c r="F29" i="310"/>
  <c r="F45" i="310"/>
  <c r="G45" i="310" s="1"/>
  <c r="F36" i="310"/>
  <c r="F21" i="310"/>
  <c r="F35" i="310"/>
  <c r="F13" i="310"/>
  <c r="F15" i="310"/>
  <c r="F23" i="310"/>
  <c r="F16" i="310"/>
  <c r="F26" i="310"/>
  <c r="F10" i="310"/>
  <c r="F28" i="310"/>
  <c r="F43" i="310"/>
  <c r="F18" i="310"/>
  <c r="F44" i="310"/>
  <c r="F11" i="310"/>
  <c r="F42" i="310"/>
  <c r="F37" i="310"/>
  <c r="F31" i="310"/>
  <c r="F27" i="310"/>
  <c r="F22" i="310"/>
  <c r="F34" i="310"/>
  <c r="C48" i="463"/>
  <c r="H48" i="406"/>
  <c r="H50" i="406" s="1"/>
  <c r="E6" i="406" s="1"/>
  <c r="E48" i="470"/>
  <c r="I28" i="296"/>
  <c r="G28" i="296"/>
  <c r="I35" i="296"/>
  <c r="G35" i="296"/>
  <c r="I37" i="296"/>
  <c r="G37" i="296"/>
  <c r="G21" i="296"/>
  <c r="I21" i="296"/>
  <c r="I39" i="296"/>
  <c r="G39" i="296"/>
  <c r="I38" i="296"/>
  <c r="G38" i="296"/>
  <c r="F21" i="150"/>
  <c r="F18" i="150"/>
  <c r="F12" i="150"/>
  <c r="F13" i="150"/>
  <c r="F31" i="150"/>
  <c r="F23" i="150"/>
  <c r="F35" i="150"/>
  <c r="F15" i="150"/>
  <c r="F37" i="150"/>
  <c r="F38" i="150"/>
  <c r="F36" i="150"/>
  <c r="F16" i="150"/>
  <c r="F26" i="150"/>
  <c r="F43" i="150"/>
  <c r="F28" i="150"/>
  <c r="F17" i="150"/>
  <c r="F11" i="150"/>
  <c r="F10" i="150"/>
  <c r="F44" i="150"/>
  <c r="F34" i="150"/>
  <c r="F14" i="150"/>
  <c r="F30" i="150"/>
  <c r="F39" i="150"/>
  <c r="F27" i="150"/>
  <c r="F22" i="150"/>
  <c r="F29" i="150"/>
  <c r="F45" i="150"/>
  <c r="G45" i="150" s="1"/>
  <c r="F42" i="150"/>
  <c r="F44" i="221"/>
  <c r="F35" i="221"/>
  <c r="F37" i="221"/>
  <c r="F22" i="221"/>
  <c r="F13" i="221"/>
  <c r="F11" i="221"/>
  <c r="F18" i="221"/>
  <c r="F29" i="221"/>
  <c r="F31" i="221"/>
  <c r="F23" i="221"/>
  <c r="F43" i="221"/>
  <c r="F30" i="221"/>
  <c r="F42" i="221"/>
  <c r="F21" i="221"/>
  <c r="F15" i="221"/>
  <c r="F16" i="221"/>
  <c r="F10" i="221"/>
  <c r="F45" i="221"/>
  <c r="G45" i="221" s="1"/>
  <c r="F27" i="221"/>
  <c r="F28" i="221"/>
  <c r="F34" i="221"/>
  <c r="F12" i="221"/>
  <c r="F36" i="221"/>
  <c r="F17" i="221"/>
  <c r="F38" i="221"/>
  <c r="F39" i="221"/>
  <c r="F26" i="221"/>
  <c r="F14" i="221"/>
  <c r="I11" i="306"/>
  <c r="G11" i="306"/>
  <c r="I27" i="306"/>
  <c r="G27" i="306"/>
  <c r="I13" i="306"/>
  <c r="G13" i="306"/>
  <c r="G15" i="306"/>
  <c r="I15" i="306"/>
  <c r="I30" i="306"/>
  <c r="G30" i="306"/>
  <c r="I43" i="306"/>
  <c r="G43" i="306"/>
  <c r="I28" i="306"/>
  <c r="G28" i="306"/>
  <c r="E48" i="401"/>
  <c r="I14" i="253"/>
  <c r="G14" i="253"/>
  <c r="G28" i="253"/>
  <c r="I28" i="253"/>
  <c r="I21" i="253"/>
  <c r="G21" i="253"/>
  <c r="I42" i="253"/>
  <c r="G42" i="253"/>
  <c r="G13" i="253"/>
  <c r="I13" i="253"/>
  <c r="G34" i="253"/>
  <c r="I34" i="253"/>
  <c r="F13" i="106"/>
  <c r="F17" i="106"/>
  <c r="F38" i="106"/>
  <c r="F12" i="106"/>
  <c r="F16" i="106"/>
  <c r="F28" i="106"/>
  <c r="F10" i="106"/>
  <c r="F18" i="106"/>
  <c r="F39" i="106"/>
  <c r="F42" i="106"/>
  <c r="F35" i="106"/>
  <c r="F27" i="106"/>
  <c r="F37" i="106"/>
  <c r="F31" i="106"/>
  <c r="F22" i="106"/>
  <c r="F11" i="106"/>
  <c r="F29" i="106"/>
  <c r="F44" i="106"/>
  <c r="F21" i="106"/>
  <c r="F23" i="106"/>
  <c r="F30" i="106"/>
  <c r="F15" i="106"/>
  <c r="F14" i="106"/>
  <c r="F34" i="106"/>
  <c r="F26" i="106"/>
  <c r="F45" i="106"/>
  <c r="G45" i="106" s="1"/>
  <c r="F36" i="106"/>
  <c r="F43" i="106"/>
  <c r="F45" i="254"/>
  <c r="G45" i="254" s="1"/>
  <c r="F22" i="254"/>
  <c r="F27" i="254"/>
  <c r="F31" i="254"/>
  <c r="F13" i="254"/>
  <c r="F37" i="254"/>
  <c r="F29" i="254"/>
  <c r="F10" i="319"/>
  <c r="F45" i="319"/>
  <c r="G45" i="319" s="1"/>
  <c r="F28" i="319"/>
  <c r="F43" i="319"/>
  <c r="F36" i="319"/>
  <c r="F16" i="319"/>
  <c r="F21" i="319"/>
  <c r="F42" i="319"/>
  <c r="F31" i="319"/>
  <c r="F13" i="319"/>
  <c r="F38" i="319"/>
  <c r="F27" i="319"/>
  <c r="F39" i="319"/>
  <c r="F22" i="319"/>
  <c r="F18" i="319"/>
  <c r="F30" i="319"/>
  <c r="F11" i="319"/>
  <c r="F26" i="319"/>
  <c r="F44" i="319"/>
  <c r="F34" i="319"/>
  <c r="F12" i="319"/>
  <c r="F29" i="319"/>
  <c r="F23" i="319"/>
  <c r="F15" i="319"/>
  <c r="F17" i="319"/>
  <c r="F14" i="319"/>
  <c r="F35" i="319"/>
  <c r="F37" i="319"/>
  <c r="F36" i="155"/>
  <c r="F35" i="155"/>
  <c r="F12" i="155"/>
  <c r="F37" i="155"/>
  <c r="F16" i="155"/>
  <c r="F11" i="155"/>
  <c r="F29" i="155"/>
  <c r="F43" i="155"/>
  <c r="F10" i="155"/>
  <c r="F14" i="155"/>
  <c r="F22" i="155"/>
  <c r="F28" i="155"/>
  <c r="F26" i="155"/>
  <c r="F42" i="155"/>
  <c r="F17" i="155"/>
  <c r="F30" i="155"/>
  <c r="F45" i="155"/>
  <c r="G45" i="155" s="1"/>
  <c r="F27" i="155"/>
  <c r="F21" i="155"/>
  <c r="F23" i="155"/>
  <c r="F34" i="155"/>
  <c r="F44" i="155"/>
  <c r="F39" i="155"/>
  <c r="F31" i="155"/>
  <c r="F18" i="155"/>
  <c r="F38" i="155"/>
  <c r="F15" i="155"/>
  <c r="F13" i="155"/>
  <c r="E48" i="262"/>
  <c r="I34" i="320"/>
  <c r="G34" i="320"/>
  <c r="I44" i="320"/>
  <c r="G44" i="320"/>
  <c r="I15" i="320"/>
  <c r="G15" i="320"/>
  <c r="G13" i="320"/>
  <c r="I13" i="320"/>
  <c r="I11" i="320"/>
  <c r="G11" i="320"/>
  <c r="G10" i="320"/>
  <c r="I10" i="320"/>
  <c r="I36" i="320"/>
  <c r="G36" i="320"/>
  <c r="I16" i="266"/>
  <c r="G16" i="266"/>
  <c r="G43" i="266"/>
  <c r="I43" i="266"/>
  <c r="I36" i="266"/>
  <c r="G36" i="266"/>
  <c r="G15" i="266"/>
  <c r="I15" i="266"/>
  <c r="I44" i="266"/>
  <c r="G44" i="266"/>
  <c r="G29" i="266"/>
  <c r="I29" i="266"/>
  <c r="G17" i="266"/>
  <c r="I17" i="266"/>
  <c r="G14" i="353"/>
  <c r="I14" i="353"/>
  <c r="G44" i="353"/>
  <c r="I44" i="353"/>
  <c r="I38" i="353"/>
  <c r="G38" i="353"/>
  <c r="G43" i="353"/>
  <c r="I43" i="353"/>
  <c r="G13" i="353"/>
  <c r="I13" i="353"/>
  <c r="G31" i="353"/>
  <c r="I31" i="353"/>
  <c r="I29" i="353"/>
  <c r="G29" i="353"/>
  <c r="I22" i="170"/>
  <c r="G22" i="170"/>
  <c r="I21" i="170"/>
  <c r="G21" i="170"/>
  <c r="I28" i="170"/>
  <c r="G28" i="170"/>
  <c r="G14" i="170"/>
  <c r="I14" i="170"/>
  <c r="I31" i="170"/>
  <c r="G31" i="170"/>
  <c r="G13" i="170"/>
  <c r="I13" i="170"/>
  <c r="F29" i="283"/>
  <c r="F22" i="283"/>
  <c r="F36" i="283"/>
  <c r="F45" i="283"/>
  <c r="G45" i="283" s="1"/>
  <c r="F39" i="283"/>
  <c r="F17" i="283"/>
  <c r="F37" i="283"/>
  <c r="F23" i="283"/>
  <c r="F38" i="283"/>
  <c r="F11" i="283"/>
  <c r="F42" i="283"/>
  <c r="F15" i="283"/>
  <c r="F18" i="283"/>
  <c r="F43" i="283"/>
  <c r="F13" i="283"/>
  <c r="F14" i="283"/>
  <c r="F35" i="283"/>
  <c r="F12" i="283"/>
  <c r="F30" i="283"/>
  <c r="F27" i="283"/>
  <c r="F44" i="283"/>
  <c r="F26" i="283"/>
  <c r="F31" i="283"/>
  <c r="F28" i="283"/>
  <c r="F21" i="283"/>
  <c r="F10" i="283"/>
  <c r="F16" i="283"/>
  <c r="F34" i="283"/>
  <c r="F44" i="98"/>
  <c r="F37" i="98"/>
  <c r="F45" i="98"/>
  <c r="G45" i="98" s="1"/>
  <c r="F18" i="98"/>
  <c r="F42" i="98"/>
  <c r="F27" i="98"/>
  <c r="F43" i="98"/>
  <c r="F30" i="98"/>
  <c r="F23" i="98"/>
  <c r="F10" i="98"/>
  <c r="F17" i="98"/>
  <c r="F14" i="98"/>
  <c r="F11" i="98"/>
  <c r="F13" i="98"/>
  <c r="F31" i="98"/>
  <c r="F16" i="98"/>
  <c r="F39" i="98"/>
  <c r="F35" i="98"/>
  <c r="F38" i="98"/>
  <c r="F28" i="98"/>
  <c r="F34" i="98"/>
  <c r="F36" i="98"/>
  <c r="F21" i="98"/>
  <c r="F15" i="98"/>
  <c r="F22" i="98"/>
  <c r="F12" i="98"/>
  <c r="F29" i="98"/>
  <c r="F26" i="98"/>
  <c r="F21" i="51"/>
  <c r="F27" i="51"/>
  <c r="F29" i="51"/>
  <c r="F39" i="51"/>
  <c r="F16" i="51"/>
  <c r="F11" i="51"/>
  <c r="F36" i="51"/>
  <c r="F31" i="51"/>
  <c r="F23" i="51"/>
  <c r="F26" i="51"/>
  <c r="F15" i="51"/>
  <c r="F34" i="51"/>
  <c r="F14" i="51"/>
  <c r="F45" i="51"/>
  <c r="G45" i="51" s="1"/>
  <c r="F13" i="51"/>
  <c r="F44" i="51"/>
  <c r="F35" i="51"/>
  <c r="F12" i="51"/>
  <c r="F30" i="51"/>
  <c r="F28" i="51"/>
  <c r="F38" i="51"/>
  <c r="F43" i="51"/>
  <c r="F17" i="51"/>
  <c r="F10" i="51"/>
  <c r="F22" i="51"/>
  <c r="F42" i="51"/>
  <c r="F37" i="51"/>
  <c r="F18" i="51"/>
  <c r="G44" i="137"/>
  <c r="I44" i="137"/>
  <c r="G18" i="137"/>
  <c r="I29" i="137"/>
  <c r="G29" i="137"/>
  <c r="G39" i="137"/>
  <c r="I39" i="137"/>
  <c r="G14" i="137"/>
  <c r="I14" i="137"/>
  <c r="G27" i="137"/>
  <c r="I31" i="137"/>
  <c r="G31" i="137"/>
  <c r="G12" i="132"/>
  <c r="I12" i="132"/>
  <c r="I15" i="132"/>
  <c r="G15" i="132"/>
  <c r="I26" i="132"/>
  <c r="G26" i="132"/>
  <c r="G28" i="132"/>
  <c r="I28" i="132"/>
  <c r="G11" i="132"/>
  <c r="I11" i="132"/>
  <c r="G37" i="132"/>
  <c r="I37" i="132"/>
  <c r="H48" i="465"/>
  <c r="H50" i="465" s="1"/>
  <c r="E6" i="465" s="1"/>
  <c r="H48" i="175"/>
  <c r="H50" i="175" s="1"/>
  <c r="E6" i="175" s="1"/>
  <c r="E48" i="59"/>
  <c r="H48" i="307"/>
  <c r="H50" i="307" s="1"/>
  <c r="E6" i="307" s="1"/>
  <c r="E48" i="358"/>
  <c r="H48" i="212"/>
  <c r="H50" i="212" s="1"/>
  <c r="E6" i="212" s="1"/>
  <c r="H48" i="163"/>
  <c r="H50" i="163" s="1"/>
  <c r="E6" i="163" s="1"/>
  <c r="G26" i="296"/>
  <c r="I26" i="296"/>
  <c r="I16" i="296"/>
  <c r="G16" i="296"/>
  <c r="I43" i="296"/>
  <c r="G43" i="296"/>
  <c r="I22" i="296"/>
  <c r="G22" i="296"/>
  <c r="I27" i="296"/>
  <c r="G27" i="296"/>
  <c r="G12" i="296"/>
  <c r="I12" i="296"/>
  <c r="I23" i="296"/>
  <c r="G23" i="296"/>
  <c r="F11" i="445"/>
  <c r="F21" i="445"/>
  <c r="F22" i="445"/>
  <c r="F23" i="445"/>
  <c r="F38" i="445"/>
  <c r="F17" i="445"/>
  <c r="F15" i="445"/>
  <c r="F13" i="445"/>
  <c r="F34" i="445"/>
  <c r="F42" i="445"/>
  <c r="F36" i="445"/>
  <c r="F26" i="445"/>
  <c r="F28" i="445"/>
  <c r="F10" i="445"/>
  <c r="F31" i="445"/>
  <c r="F43" i="445"/>
  <c r="F44" i="445"/>
  <c r="F45" i="445"/>
  <c r="G45" i="445" s="1"/>
  <c r="F39" i="445"/>
  <c r="F14" i="445"/>
  <c r="F16" i="445"/>
  <c r="F12" i="445"/>
  <c r="F18" i="445"/>
  <c r="F35" i="445"/>
  <c r="F37" i="445"/>
  <c r="F27" i="445"/>
  <c r="F29" i="445"/>
  <c r="F30" i="445"/>
  <c r="G36" i="306"/>
  <c r="I36" i="306"/>
  <c r="I26" i="306"/>
  <c r="G26" i="306"/>
  <c r="G39" i="306"/>
  <c r="I39" i="306"/>
  <c r="G38" i="306"/>
  <c r="I38" i="306"/>
  <c r="G35" i="306"/>
  <c r="I35" i="306"/>
  <c r="I44" i="306"/>
  <c r="G44" i="306"/>
  <c r="F21" i="271"/>
  <c r="F31" i="271"/>
  <c r="F17" i="271"/>
  <c r="F10" i="271"/>
  <c r="F28" i="271"/>
  <c r="F38" i="271"/>
  <c r="F22" i="271"/>
  <c r="F26" i="271"/>
  <c r="F15" i="271"/>
  <c r="F42" i="271"/>
  <c r="F29" i="271"/>
  <c r="F44" i="271"/>
  <c r="F34" i="271"/>
  <c r="F36" i="271"/>
  <c r="F45" i="271"/>
  <c r="G45" i="271" s="1"/>
  <c r="F16" i="271"/>
  <c r="F39" i="271"/>
  <c r="F11" i="271"/>
  <c r="F27" i="271"/>
  <c r="F13" i="271"/>
  <c r="F37" i="271"/>
  <c r="F23" i="271"/>
  <c r="F18" i="271"/>
  <c r="F43" i="271"/>
  <c r="F12" i="271"/>
  <c r="F35" i="271"/>
  <c r="F14" i="271"/>
  <c r="F30" i="271"/>
  <c r="F10" i="579"/>
  <c r="F14" i="579"/>
  <c r="F18" i="579"/>
  <c r="F26" i="579"/>
  <c r="F30" i="579"/>
  <c r="F36" i="579"/>
  <c r="F42" i="579"/>
  <c r="F11" i="579"/>
  <c r="F15" i="579"/>
  <c r="F21" i="579"/>
  <c r="F27" i="579"/>
  <c r="F31" i="579"/>
  <c r="F37" i="579"/>
  <c r="F43" i="579"/>
  <c r="F12" i="579"/>
  <c r="F16" i="579"/>
  <c r="F22" i="579"/>
  <c r="F28" i="579"/>
  <c r="F34" i="579"/>
  <c r="F38" i="579"/>
  <c r="F44" i="579"/>
  <c r="F13" i="579"/>
  <c r="F17" i="579"/>
  <c r="F23" i="579"/>
  <c r="F29" i="579"/>
  <c r="F35" i="579"/>
  <c r="F39" i="579"/>
  <c r="F45" i="579"/>
  <c r="G45" i="579" s="1"/>
  <c r="G43" i="167"/>
  <c r="I43" i="167"/>
  <c r="I31" i="253"/>
  <c r="G31" i="253"/>
  <c r="I18" i="253"/>
  <c r="G18" i="253"/>
  <c r="I15" i="253"/>
  <c r="G15" i="253"/>
  <c r="G39" i="253"/>
  <c r="I39" i="253"/>
  <c r="G30" i="253"/>
  <c r="I30" i="253"/>
  <c r="I26" i="253"/>
  <c r="G26" i="253"/>
  <c r="F16" i="76"/>
  <c r="F30" i="76"/>
  <c r="F17" i="76"/>
  <c r="F36" i="76"/>
  <c r="F31" i="76"/>
  <c r="F45" i="76"/>
  <c r="G45" i="76" s="1"/>
  <c r="F35" i="76"/>
  <c r="F12" i="76"/>
  <c r="F29" i="76"/>
  <c r="F22" i="76"/>
  <c r="F43" i="76"/>
  <c r="F10" i="76"/>
  <c r="F34" i="76"/>
  <c r="F14" i="76"/>
  <c r="F44" i="76"/>
  <c r="F23" i="76"/>
  <c r="F42" i="76"/>
  <c r="F11" i="76"/>
  <c r="F37" i="76"/>
  <c r="F21" i="76"/>
  <c r="F38" i="76"/>
  <c r="F13" i="76"/>
  <c r="F39" i="76"/>
  <c r="F28" i="76"/>
  <c r="F27" i="76"/>
  <c r="F18" i="76"/>
  <c r="F15" i="76"/>
  <c r="F26" i="76"/>
  <c r="E48" i="65"/>
  <c r="I12" i="320"/>
  <c r="G12" i="320"/>
  <c r="I23" i="320"/>
  <c r="G23" i="320"/>
  <c r="G43" i="320"/>
  <c r="I43" i="320"/>
  <c r="I21" i="320"/>
  <c r="G21" i="320"/>
  <c r="G37" i="320"/>
  <c r="I37" i="320"/>
  <c r="G27" i="320"/>
  <c r="I27" i="320"/>
  <c r="G38" i="320"/>
  <c r="I38" i="320"/>
  <c r="E24" i="579"/>
  <c r="E22" i="579"/>
  <c r="E38" i="579"/>
  <c r="E23" i="579"/>
  <c r="E35" i="579"/>
  <c r="E39" i="579"/>
  <c r="E45" i="579"/>
  <c r="E36" i="579"/>
  <c r="E21" i="579"/>
  <c r="E31" i="579"/>
  <c r="E37" i="579"/>
  <c r="E43" i="579"/>
  <c r="E42" i="579"/>
  <c r="E34" i="579"/>
  <c r="E30" i="579"/>
  <c r="E40" i="579"/>
  <c r="E27" i="579"/>
  <c r="E29" i="579"/>
  <c r="E26" i="579"/>
  <c r="E28" i="579"/>
  <c r="E32" i="579"/>
  <c r="E44" i="579"/>
  <c r="I23" i="266"/>
  <c r="G23" i="266"/>
  <c r="G38" i="266"/>
  <c r="I38" i="266"/>
  <c r="I10" i="266"/>
  <c r="G10" i="266"/>
  <c r="I14" i="266"/>
  <c r="G14" i="266"/>
  <c r="I18" i="266"/>
  <c r="G18" i="266"/>
  <c r="I28" i="266"/>
  <c r="G28" i="266"/>
  <c r="F15" i="293"/>
  <c r="F17" i="293"/>
  <c r="F27" i="293"/>
  <c r="F26" i="293"/>
  <c r="F30" i="293"/>
  <c r="F45" i="293"/>
  <c r="G45" i="293" s="1"/>
  <c r="F14" i="293"/>
  <c r="F16" i="293"/>
  <c r="F23" i="293"/>
  <c r="F31" i="293"/>
  <c r="F37" i="293"/>
  <c r="F21" i="293"/>
  <c r="F10" i="293"/>
  <c r="F44" i="293"/>
  <c r="F13" i="293"/>
  <c r="F39" i="293"/>
  <c r="F34" i="293"/>
  <c r="F29" i="293"/>
  <c r="F22" i="293"/>
  <c r="F11" i="293"/>
  <c r="F28" i="293"/>
  <c r="F43" i="293"/>
  <c r="F18" i="293"/>
  <c r="F35" i="293"/>
  <c r="F12" i="293"/>
  <c r="F42" i="293"/>
  <c r="F36" i="293"/>
  <c r="F38" i="293"/>
  <c r="I12" i="353"/>
  <c r="G12" i="353"/>
  <c r="I23" i="353"/>
  <c r="G23" i="353"/>
  <c r="G15" i="353"/>
  <c r="I15" i="353"/>
  <c r="I11" i="353"/>
  <c r="G11" i="353"/>
  <c r="I26" i="353"/>
  <c r="G26" i="353"/>
  <c r="I16" i="353"/>
  <c r="G16" i="353"/>
  <c r="G17" i="170"/>
  <c r="I17" i="170"/>
  <c r="I15" i="170"/>
  <c r="G15" i="170"/>
  <c r="G11" i="170"/>
  <c r="I11" i="170"/>
  <c r="I26" i="170"/>
  <c r="G26" i="170"/>
  <c r="G18" i="170"/>
  <c r="I18" i="170"/>
  <c r="I38" i="170"/>
  <c r="G38" i="170"/>
  <c r="F14" i="43"/>
  <c r="F26" i="43"/>
  <c r="F43" i="43"/>
  <c r="F11" i="43"/>
  <c r="F12" i="43"/>
  <c r="F35" i="43"/>
  <c r="F36" i="43"/>
  <c r="F17" i="43"/>
  <c r="F10" i="43"/>
  <c r="F18" i="43"/>
  <c r="F30" i="43"/>
  <c r="F28" i="43"/>
  <c r="F42" i="43"/>
  <c r="F45" i="43"/>
  <c r="G45" i="43" s="1"/>
  <c r="F34" i="43"/>
  <c r="F29" i="43"/>
  <c r="F44" i="43"/>
  <c r="F16" i="43"/>
  <c r="F15" i="43"/>
  <c r="F13" i="43"/>
  <c r="F21" i="43"/>
  <c r="F27" i="43"/>
  <c r="F38" i="43"/>
  <c r="F39" i="43"/>
  <c r="F23" i="43"/>
  <c r="F37" i="43"/>
  <c r="F31" i="43"/>
  <c r="F22" i="43"/>
  <c r="I13" i="137"/>
  <c r="G13" i="137"/>
  <c r="G43" i="137"/>
  <c r="I43" i="137"/>
  <c r="I10" i="137"/>
  <c r="G10" i="137"/>
  <c r="I37" i="137"/>
  <c r="G37" i="137"/>
  <c r="I12" i="137"/>
  <c r="G12" i="137"/>
  <c r="I21" i="137"/>
  <c r="G21" i="137"/>
  <c r="G36" i="137"/>
  <c r="I36" i="137"/>
  <c r="G18" i="132"/>
  <c r="I18" i="132"/>
  <c r="G10" i="132"/>
  <c r="I10" i="132"/>
  <c r="I36" i="132"/>
  <c r="G36" i="132"/>
  <c r="I27" i="132"/>
  <c r="G27" i="132"/>
  <c r="G29" i="132"/>
  <c r="I29" i="132"/>
  <c r="I13" i="132"/>
  <c r="G13" i="132"/>
  <c r="I31" i="132"/>
  <c r="G31" i="132"/>
  <c r="E13" i="478"/>
  <c r="E48" i="241"/>
  <c r="H48" i="245"/>
  <c r="H50" i="245" s="1"/>
  <c r="E6" i="245" s="1"/>
  <c r="E48" i="39"/>
  <c r="E48" i="359"/>
  <c r="H48" i="403"/>
  <c r="H50" i="403" s="1"/>
  <c r="E6" i="403" s="1"/>
  <c r="H48" i="168"/>
  <c r="H50" i="168" s="1"/>
  <c r="E6" i="168" s="1"/>
  <c r="G29" i="296"/>
  <c r="I29" i="296"/>
  <c r="I13" i="296"/>
  <c r="G13" i="296"/>
  <c r="G44" i="296"/>
  <c r="I44" i="296"/>
  <c r="I42" i="296"/>
  <c r="G42" i="296"/>
  <c r="G10" i="296"/>
  <c r="I10" i="296"/>
  <c r="G14" i="296"/>
  <c r="I14" i="296"/>
  <c r="I17" i="296"/>
  <c r="G17" i="296"/>
  <c r="F21" i="277"/>
  <c r="F14" i="277"/>
  <c r="F17" i="277"/>
  <c r="F35" i="277"/>
  <c r="F12" i="277"/>
  <c r="F30" i="277"/>
  <c r="F44" i="277"/>
  <c r="F11" i="277"/>
  <c r="F15" i="277"/>
  <c r="F18" i="277"/>
  <c r="F43" i="277"/>
  <c r="F37" i="277"/>
  <c r="F26" i="277"/>
  <c r="F10" i="277"/>
  <c r="F42" i="277"/>
  <c r="F22" i="277"/>
  <c r="F29" i="277"/>
  <c r="F45" i="277"/>
  <c r="G45" i="277" s="1"/>
  <c r="F31" i="277"/>
  <c r="F39" i="277"/>
  <c r="F36" i="277"/>
  <c r="F28" i="277"/>
  <c r="F16" i="277"/>
  <c r="F27" i="277"/>
  <c r="F23" i="277"/>
  <c r="F34" i="277"/>
  <c r="F13" i="277"/>
  <c r="F38" i="277"/>
  <c r="I17" i="306"/>
  <c r="G17" i="306"/>
  <c r="I16" i="306"/>
  <c r="G16" i="306"/>
  <c r="I31" i="306"/>
  <c r="G31" i="306"/>
  <c r="I23" i="306"/>
  <c r="G23" i="306"/>
  <c r="G18" i="306"/>
  <c r="I18" i="306"/>
  <c r="I22" i="306"/>
  <c r="G22" i="306"/>
  <c r="G42" i="306"/>
  <c r="I42" i="306"/>
  <c r="F18" i="45"/>
  <c r="F29" i="45"/>
  <c r="F39" i="45"/>
  <c r="F36" i="45"/>
  <c r="F31" i="45"/>
  <c r="F27" i="45"/>
  <c r="F28" i="45"/>
  <c r="F34" i="45"/>
  <c r="F26" i="45"/>
  <c r="F16" i="45"/>
  <c r="F22" i="45"/>
  <c r="F23" i="45"/>
  <c r="F42" i="45"/>
  <c r="F37" i="45"/>
  <c r="F11" i="45"/>
  <c r="F10" i="45"/>
  <c r="F13" i="45"/>
  <c r="F30" i="45"/>
  <c r="F12" i="45"/>
  <c r="F45" i="45"/>
  <c r="G45" i="45" s="1"/>
  <c r="F14" i="45"/>
  <c r="F35" i="45"/>
  <c r="F17" i="45"/>
  <c r="F38" i="45"/>
  <c r="F44" i="45"/>
  <c r="F43" i="45"/>
  <c r="F15" i="45"/>
  <c r="F21" i="45"/>
  <c r="G18" i="167"/>
  <c r="I18" i="167"/>
  <c r="G29" i="253"/>
  <c r="I29" i="253"/>
  <c r="I16" i="253"/>
  <c r="G16" i="253"/>
  <c r="I36" i="253"/>
  <c r="G36" i="253"/>
  <c r="I27" i="253"/>
  <c r="G27" i="253"/>
  <c r="I43" i="253"/>
  <c r="G43" i="253"/>
  <c r="G38" i="253"/>
  <c r="I38" i="253"/>
  <c r="F18" i="244"/>
  <c r="F44" i="244"/>
  <c r="F15" i="244"/>
  <c r="F43" i="244"/>
  <c r="F36" i="244"/>
  <c r="F14" i="244"/>
  <c r="F17" i="244"/>
  <c r="F27" i="244"/>
  <c r="F38" i="244"/>
  <c r="F42" i="244"/>
  <c r="F23" i="244"/>
  <c r="F28" i="244"/>
  <c r="F22" i="244"/>
  <c r="F45" i="244"/>
  <c r="G45" i="244" s="1"/>
  <c r="F31" i="244"/>
  <c r="F26" i="244"/>
  <c r="F21" i="244"/>
  <c r="F35" i="244"/>
  <c r="F34" i="244"/>
  <c r="F10" i="244"/>
  <c r="F11" i="244"/>
  <c r="F39" i="244"/>
  <c r="J50" i="41"/>
  <c r="E4" i="41" s="1"/>
  <c r="E50" i="41"/>
  <c r="F31" i="136"/>
  <c r="F16" i="136"/>
  <c r="F11" i="136"/>
  <c r="F21" i="136"/>
  <c r="F10" i="136"/>
  <c r="F17" i="136"/>
  <c r="F22" i="136"/>
  <c r="F18" i="136"/>
  <c r="F30" i="136"/>
  <c r="F42" i="136"/>
  <c r="F26" i="136"/>
  <c r="F35" i="136"/>
  <c r="F27" i="136"/>
  <c r="F45" i="136"/>
  <c r="G45" i="136" s="1"/>
  <c r="F37" i="136"/>
  <c r="F36" i="136"/>
  <c r="F23" i="136"/>
  <c r="F39" i="136"/>
  <c r="F28" i="136"/>
  <c r="F34" i="136"/>
  <c r="F29" i="136"/>
  <c r="F12" i="136"/>
  <c r="F38" i="136"/>
  <c r="F43" i="136"/>
  <c r="F15" i="136"/>
  <c r="F44" i="136"/>
  <c r="F13" i="136"/>
  <c r="F14" i="136"/>
  <c r="F35" i="292"/>
  <c r="F42" i="292"/>
  <c r="F30" i="292"/>
  <c r="F31" i="292"/>
  <c r="F21" i="292"/>
  <c r="F45" i="292"/>
  <c r="G45" i="292" s="1"/>
  <c r="F17" i="292"/>
  <c r="F38" i="292"/>
  <c r="F16" i="292"/>
  <c r="F10" i="292"/>
  <c r="F22" i="292"/>
  <c r="F37" i="292"/>
  <c r="F11" i="292"/>
  <c r="F27" i="292"/>
  <c r="F15" i="292"/>
  <c r="F14" i="292"/>
  <c r="F23" i="292"/>
  <c r="F13" i="292"/>
  <c r="F43" i="292"/>
  <c r="F29" i="292"/>
  <c r="F28" i="292"/>
  <c r="F12" i="292"/>
  <c r="F18" i="292"/>
  <c r="F39" i="292"/>
  <c r="F26" i="292"/>
  <c r="F44" i="292"/>
  <c r="F36" i="292"/>
  <c r="F34" i="292"/>
  <c r="F17" i="110"/>
  <c r="F38" i="110"/>
  <c r="F37" i="110"/>
  <c r="F26" i="110"/>
  <c r="F14" i="110"/>
  <c r="F39" i="110"/>
  <c r="F27" i="110"/>
  <c r="F30" i="110"/>
  <c r="F23" i="110"/>
  <c r="F15" i="110"/>
  <c r="F45" i="110"/>
  <c r="G45" i="110" s="1"/>
  <c r="F35" i="110"/>
  <c r="F27" i="252"/>
  <c r="F10" i="252"/>
  <c r="F13" i="252"/>
  <c r="F38" i="252"/>
  <c r="F30" i="252"/>
  <c r="F12" i="252"/>
  <c r="F23" i="252"/>
  <c r="F18" i="252"/>
  <c r="F15" i="252"/>
  <c r="F16" i="252"/>
  <c r="F39" i="252"/>
  <c r="F28" i="252"/>
  <c r="F22" i="252"/>
  <c r="F45" i="252"/>
  <c r="G45" i="252" s="1"/>
  <c r="F44" i="252"/>
  <c r="F36" i="252"/>
  <c r="F43" i="252"/>
  <c r="F34" i="252"/>
  <c r="F35" i="252"/>
  <c r="F31" i="252"/>
  <c r="F14" i="252"/>
  <c r="F29" i="252"/>
  <c r="F37" i="252"/>
  <c r="F17" i="252"/>
  <c r="F11" i="252"/>
  <c r="F42" i="252"/>
  <c r="F26" i="252"/>
  <c r="F21" i="252"/>
  <c r="G31" i="320"/>
  <c r="I31" i="320"/>
  <c r="G30" i="320"/>
  <c r="I30" i="320"/>
  <c r="I29" i="320"/>
  <c r="G29" i="320"/>
  <c r="I17" i="320"/>
  <c r="G17" i="320"/>
  <c r="I18" i="320"/>
  <c r="G18" i="320"/>
  <c r="G35" i="320"/>
  <c r="I35" i="320"/>
  <c r="G39" i="320"/>
  <c r="I39" i="320"/>
  <c r="F18" i="85"/>
  <c r="F35" i="85"/>
  <c r="F15" i="85"/>
  <c r="F17" i="85"/>
  <c r="F43" i="85"/>
  <c r="F12" i="85"/>
  <c r="F30" i="85"/>
  <c r="F42" i="85"/>
  <c r="F45" i="85"/>
  <c r="G45" i="85" s="1"/>
  <c r="F21" i="85"/>
  <c r="F36" i="85"/>
  <c r="F38" i="85"/>
  <c r="F26" i="85"/>
  <c r="F22" i="85"/>
  <c r="F29" i="85"/>
  <c r="F37" i="85"/>
  <c r="F16" i="85"/>
  <c r="F11" i="85"/>
  <c r="F31" i="85"/>
  <c r="F14" i="85"/>
  <c r="F23" i="85"/>
  <c r="F27" i="85"/>
  <c r="F28" i="85"/>
  <c r="F13" i="85"/>
  <c r="F39" i="85"/>
  <c r="F10" i="85"/>
  <c r="F34" i="85"/>
  <c r="F44" i="85"/>
  <c r="I37" i="266"/>
  <c r="G37" i="266"/>
  <c r="G31" i="266"/>
  <c r="I31" i="266"/>
  <c r="G21" i="266"/>
  <c r="I21" i="266"/>
  <c r="G30" i="266"/>
  <c r="I30" i="266"/>
  <c r="G39" i="266"/>
  <c r="I39" i="266"/>
  <c r="I27" i="266"/>
  <c r="G27" i="266"/>
  <c r="I42" i="266"/>
  <c r="I46" i="266" s="1"/>
  <c r="F46" i="266" s="1"/>
  <c r="G46" i="266" s="1"/>
  <c r="G42" i="266"/>
  <c r="I39" i="353"/>
  <c r="G39" i="353"/>
  <c r="G37" i="353"/>
  <c r="I37" i="353"/>
  <c r="I28" i="353"/>
  <c r="G28" i="353"/>
  <c r="G27" i="353"/>
  <c r="I27" i="353"/>
  <c r="G22" i="353"/>
  <c r="I22" i="353"/>
  <c r="G21" i="353"/>
  <c r="I21" i="353"/>
  <c r="I17" i="353"/>
  <c r="G17" i="353"/>
  <c r="I27" i="170"/>
  <c r="G27" i="170"/>
  <c r="G10" i="170"/>
  <c r="I10" i="170"/>
  <c r="G23" i="170"/>
  <c r="I23" i="170"/>
  <c r="G36" i="170"/>
  <c r="I36" i="170"/>
  <c r="I34" i="170"/>
  <c r="G34" i="170"/>
  <c r="I39" i="170"/>
  <c r="G39" i="170"/>
  <c r="I12" i="170"/>
  <c r="G12" i="170"/>
  <c r="F23" i="159"/>
  <c r="F31" i="159"/>
  <c r="F22" i="159"/>
  <c r="F37" i="159"/>
  <c r="F30" i="159"/>
  <c r="F44" i="159"/>
  <c r="F12" i="159"/>
  <c r="F17" i="159"/>
  <c r="F21" i="159"/>
  <c r="F15" i="159"/>
  <c r="F27" i="159"/>
  <c r="F36" i="159"/>
  <c r="F38" i="159"/>
  <c r="F13" i="159"/>
  <c r="F35" i="159"/>
  <c r="F28" i="159"/>
  <c r="F45" i="159"/>
  <c r="G45" i="159" s="1"/>
  <c r="F29" i="159"/>
  <c r="F42" i="159"/>
  <c r="F10" i="159"/>
  <c r="F14" i="159"/>
  <c r="F16" i="159"/>
  <c r="F34" i="159"/>
  <c r="F43" i="159"/>
  <c r="F18" i="159"/>
  <c r="F26" i="159"/>
  <c r="F11" i="159"/>
  <c r="F39" i="159"/>
  <c r="I42" i="137"/>
  <c r="G42" i="137"/>
  <c r="I23" i="137"/>
  <c r="G23" i="137"/>
  <c r="I26" i="137"/>
  <c r="G26" i="137"/>
  <c r="G35" i="137"/>
  <c r="I35" i="137"/>
  <c r="I16" i="137"/>
  <c r="G16" i="137"/>
  <c r="I22" i="137"/>
  <c r="G22" i="137"/>
  <c r="G30" i="137"/>
  <c r="I30" i="137"/>
  <c r="E48" i="328"/>
  <c r="I14" i="132"/>
  <c r="G14" i="132"/>
  <c r="I44" i="132"/>
  <c r="G44" i="132"/>
  <c r="G34" i="132"/>
  <c r="I34" i="132"/>
  <c r="I21" i="132"/>
  <c r="G21" i="132"/>
  <c r="I30" i="132"/>
  <c r="G30" i="132"/>
  <c r="I43" i="132"/>
  <c r="G43" i="132"/>
  <c r="G38" i="132"/>
  <c r="I38" i="132"/>
  <c r="E48" i="338"/>
  <c r="H48" i="301"/>
  <c r="H50" i="301" s="1"/>
  <c r="E6" i="301" s="1"/>
  <c r="H48" i="338"/>
  <c r="H50" i="338" s="1"/>
  <c r="E6" i="338" s="1"/>
  <c r="E48" i="461"/>
  <c r="H48" i="227"/>
  <c r="H50" i="227" s="1"/>
  <c r="E6" i="227" s="1"/>
  <c r="C40" i="118"/>
  <c r="C48" i="118" s="1"/>
  <c r="F16" i="341"/>
  <c r="F36" i="341"/>
  <c r="F37" i="341"/>
  <c r="F31" i="341"/>
  <c r="F15" i="341"/>
  <c r="F23" i="341"/>
  <c r="F13" i="341"/>
  <c r="F35" i="341"/>
  <c r="F27" i="341"/>
  <c r="F22" i="341"/>
  <c r="F42" i="341"/>
  <c r="F43" i="341"/>
  <c r="F34" i="341"/>
  <c r="F38" i="341"/>
  <c r="F26" i="341"/>
  <c r="F10" i="341"/>
  <c r="F14" i="341"/>
  <c r="F12" i="341"/>
  <c r="F28" i="341"/>
  <c r="F29" i="341"/>
  <c r="F30" i="341"/>
  <c r="F44" i="341"/>
  <c r="F17" i="341"/>
  <c r="F18" i="341"/>
  <c r="F21" i="341"/>
  <c r="F45" i="341"/>
  <c r="G45" i="341" s="1"/>
  <c r="F39" i="341"/>
  <c r="F11" i="341"/>
  <c r="I34" i="296"/>
  <c r="G34" i="296"/>
  <c r="I11" i="296"/>
  <c r="G11" i="296"/>
  <c r="I36" i="296"/>
  <c r="G36" i="296"/>
  <c r="I18" i="296"/>
  <c r="G18" i="296"/>
  <c r="G15" i="296"/>
  <c r="I15" i="296"/>
  <c r="I31" i="296"/>
  <c r="G31" i="296"/>
  <c r="I30" i="296"/>
  <c r="G30" i="296"/>
  <c r="F43" i="272"/>
  <c r="F11" i="272"/>
  <c r="F45" i="272"/>
  <c r="G45" i="272" s="1"/>
  <c r="F21" i="272"/>
  <c r="F17" i="272"/>
  <c r="F18" i="272"/>
  <c r="F28" i="272"/>
  <c r="F16" i="272"/>
  <c r="F12" i="272"/>
  <c r="F35" i="272"/>
  <c r="F44" i="272"/>
  <c r="F34" i="272"/>
  <c r="F13" i="272"/>
  <c r="F10" i="272"/>
  <c r="F38" i="272"/>
  <c r="F37" i="272"/>
  <c r="F27" i="272"/>
  <c r="F39" i="272"/>
  <c r="F31" i="272"/>
  <c r="F29" i="272"/>
  <c r="F15" i="272"/>
  <c r="F42" i="272"/>
  <c r="F22" i="272"/>
  <c r="F30" i="272"/>
  <c r="F23" i="272"/>
  <c r="F14" i="272"/>
  <c r="F36" i="272"/>
  <c r="F26" i="272"/>
  <c r="G10" i="306"/>
  <c r="I10" i="306"/>
  <c r="G29" i="306"/>
  <c r="I29" i="306"/>
  <c r="I37" i="306"/>
  <c r="G37" i="306"/>
  <c r="I34" i="306"/>
  <c r="I40" i="306" s="1"/>
  <c r="F40" i="306" s="1"/>
  <c r="G40" i="306" s="1"/>
  <c r="G34" i="306"/>
  <c r="I12" i="306"/>
  <c r="G12" i="306"/>
  <c r="I14" i="306"/>
  <c r="G14" i="306"/>
  <c r="I21" i="306"/>
  <c r="G21" i="306"/>
  <c r="F39" i="111"/>
  <c r="F31" i="111"/>
  <c r="F14" i="111"/>
  <c r="F13" i="111"/>
  <c r="F27" i="111"/>
  <c r="F16" i="111"/>
  <c r="F29" i="111"/>
  <c r="F34" i="111"/>
  <c r="F17" i="111"/>
  <c r="F43" i="111"/>
  <c r="F26" i="111"/>
  <c r="F35" i="111"/>
  <c r="F38" i="111"/>
  <c r="F44" i="111"/>
  <c r="F18" i="111"/>
  <c r="F21" i="111"/>
  <c r="F42" i="111"/>
  <c r="F36" i="111"/>
  <c r="F23" i="111"/>
  <c r="F11" i="111"/>
  <c r="F45" i="111"/>
  <c r="G45" i="111" s="1"/>
  <c r="F28" i="111"/>
  <c r="F10" i="111"/>
  <c r="F30" i="111"/>
  <c r="F22" i="111"/>
  <c r="F12" i="111"/>
  <c r="F37" i="111"/>
  <c r="F15" i="111"/>
  <c r="F17" i="340"/>
  <c r="F18" i="340"/>
  <c r="F43" i="340"/>
  <c r="F14" i="340"/>
  <c r="F21" i="340"/>
  <c r="F23" i="340"/>
  <c r="F38" i="340"/>
  <c r="F36" i="340"/>
  <c r="F37" i="340"/>
  <c r="F15" i="340"/>
  <c r="F22" i="340"/>
  <c r="F34" i="340"/>
  <c r="F44" i="340"/>
  <c r="F13" i="340"/>
  <c r="F35" i="340"/>
  <c r="F27" i="340"/>
  <c r="F28" i="340"/>
  <c r="F31" i="340"/>
  <c r="F16" i="340"/>
  <c r="F12" i="340"/>
  <c r="F30" i="340"/>
  <c r="F26" i="340"/>
  <c r="F10" i="340"/>
  <c r="F11" i="340"/>
  <c r="F42" i="340"/>
  <c r="F45" i="340"/>
  <c r="G45" i="340" s="1"/>
  <c r="F29" i="340"/>
  <c r="F39" i="340"/>
  <c r="F11" i="541"/>
  <c r="F15" i="541"/>
  <c r="F21" i="541"/>
  <c r="F27" i="541"/>
  <c r="F31" i="541"/>
  <c r="F37" i="541"/>
  <c r="F43" i="541"/>
  <c r="F12" i="541"/>
  <c r="F16" i="541"/>
  <c r="F22" i="541"/>
  <c r="F28" i="541"/>
  <c r="F34" i="541"/>
  <c r="F38" i="541"/>
  <c r="F44" i="541"/>
  <c r="F13" i="541"/>
  <c r="F17" i="541"/>
  <c r="F23" i="541"/>
  <c r="F29" i="541"/>
  <c r="F35" i="541"/>
  <c r="F39" i="541"/>
  <c r="F45" i="541"/>
  <c r="G45" i="541" s="1"/>
  <c r="F10" i="541"/>
  <c r="F14" i="541"/>
  <c r="F18" i="541"/>
  <c r="F26" i="541"/>
  <c r="F30" i="541"/>
  <c r="F36" i="541"/>
  <c r="F42" i="541"/>
  <c r="F11" i="130"/>
  <c r="F10" i="130"/>
  <c r="F44" i="130"/>
  <c r="F16" i="130"/>
  <c r="F36" i="130"/>
  <c r="F43" i="130"/>
  <c r="F45" i="130"/>
  <c r="G45" i="130" s="1"/>
  <c r="F34" i="130"/>
  <c r="F31" i="130"/>
  <c r="F42" i="130"/>
  <c r="F30" i="130"/>
  <c r="F13" i="130"/>
  <c r="F35" i="130"/>
  <c r="F26" i="130"/>
  <c r="F29" i="130"/>
  <c r="F38" i="130"/>
  <c r="F18" i="130"/>
  <c r="F28" i="130"/>
  <c r="F27" i="130"/>
  <c r="F23" i="130"/>
  <c r="F15" i="130"/>
  <c r="F37" i="130"/>
  <c r="F39" i="130"/>
  <c r="F14" i="130"/>
  <c r="F21" i="130"/>
  <c r="F12" i="130"/>
  <c r="F17" i="130"/>
  <c r="F22" i="130"/>
  <c r="G22" i="253"/>
  <c r="I22" i="253"/>
  <c r="G10" i="253"/>
  <c r="I10" i="253"/>
  <c r="I17" i="253"/>
  <c r="G17" i="253"/>
  <c r="I11" i="253"/>
  <c r="G11" i="253"/>
  <c r="I44" i="253"/>
  <c r="G44" i="253"/>
  <c r="I37" i="253"/>
  <c r="G37" i="253"/>
  <c r="F42" i="103"/>
  <c r="F16" i="103"/>
  <c r="F39" i="103"/>
  <c r="F43" i="103"/>
  <c r="F29" i="103"/>
  <c r="F26" i="103"/>
  <c r="F14" i="103"/>
  <c r="F37" i="103"/>
  <c r="F21" i="103"/>
  <c r="F28" i="103"/>
  <c r="F23" i="103"/>
  <c r="F22" i="103"/>
  <c r="F45" i="103"/>
  <c r="G45" i="103" s="1"/>
  <c r="F15" i="103"/>
  <c r="F27" i="103"/>
  <c r="F35" i="103"/>
  <c r="F44" i="103"/>
  <c r="F13" i="103"/>
  <c r="F18" i="103"/>
  <c r="F10" i="103"/>
  <c r="F11" i="103"/>
  <c r="F17" i="103"/>
  <c r="F31" i="103"/>
  <c r="F36" i="103"/>
  <c r="F38" i="103"/>
  <c r="F34" i="103"/>
  <c r="F30" i="103"/>
  <c r="F12" i="103"/>
  <c r="D48" i="41"/>
  <c r="E48" i="319"/>
  <c r="F22" i="82"/>
  <c r="F30" i="82"/>
  <c r="F13" i="82"/>
  <c r="F21" i="82"/>
  <c r="F14" i="82"/>
  <c r="F11" i="82"/>
  <c r="F26" i="82"/>
  <c r="F15" i="82"/>
  <c r="F42" i="82"/>
  <c r="F31" i="82"/>
  <c r="F35" i="82"/>
  <c r="F29" i="82"/>
  <c r="F36" i="82"/>
  <c r="F43" i="82"/>
  <c r="F17" i="82"/>
  <c r="F39" i="82"/>
  <c r="F12" i="82"/>
  <c r="F23" i="82"/>
  <c r="F37" i="82"/>
  <c r="F44" i="82"/>
  <c r="F45" i="82"/>
  <c r="G45" i="82" s="1"/>
  <c r="F38" i="82"/>
  <c r="F18" i="82"/>
  <c r="F10" i="82"/>
  <c r="F27" i="82"/>
  <c r="F28" i="82"/>
  <c r="F16" i="82"/>
  <c r="F34" i="82"/>
  <c r="E48" i="124"/>
  <c r="E48" i="94"/>
  <c r="F36" i="44"/>
  <c r="F14" i="44"/>
  <c r="F38" i="44"/>
  <c r="F12" i="44"/>
  <c r="F15" i="44"/>
  <c r="F39" i="44"/>
  <c r="F42" i="44"/>
  <c r="F31" i="44"/>
  <c r="F27" i="44"/>
  <c r="F10" i="44"/>
  <c r="F18" i="44"/>
  <c r="F17" i="44"/>
  <c r="F28" i="44"/>
  <c r="F21" i="44"/>
  <c r="F37" i="44"/>
  <c r="F30" i="44"/>
  <c r="F34" i="44"/>
  <c r="F43" i="44"/>
  <c r="F23" i="44"/>
  <c r="F22" i="44"/>
  <c r="F44" i="44"/>
  <c r="F11" i="44"/>
  <c r="F45" i="44"/>
  <c r="G45" i="44" s="1"/>
  <c r="F35" i="44"/>
  <c r="F26" i="44"/>
  <c r="F29" i="44"/>
  <c r="F13" i="44"/>
  <c r="F16" i="44"/>
  <c r="E48" i="220"/>
  <c r="I26" i="320"/>
  <c r="G26" i="320"/>
  <c r="G42" i="320"/>
  <c r="I42" i="320"/>
  <c r="I46" i="320" s="1"/>
  <c r="F46" i="320" s="1"/>
  <c r="G46" i="320" s="1"/>
  <c r="G28" i="320"/>
  <c r="I28" i="320"/>
  <c r="I16" i="320"/>
  <c r="G16" i="320"/>
  <c r="G14" i="320"/>
  <c r="I14" i="320"/>
  <c r="I22" i="320"/>
  <c r="G22" i="320"/>
  <c r="E24" i="541"/>
  <c r="E21" i="541"/>
  <c r="E31" i="541"/>
  <c r="E37" i="541"/>
  <c r="E43" i="541"/>
  <c r="E22" i="541"/>
  <c r="E38" i="541"/>
  <c r="E23" i="541"/>
  <c r="E35" i="541"/>
  <c r="E39" i="541"/>
  <c r="E45" i="541"/>
  <c r="E36" i="541"/>
  <c r="E30" i="541"/>
  <c r="E27" i="541"/>
  <c r="E29" i="541"/>
  <c r="E42" i="541"/>
  <c r="E34" i="541"/>
  <c r="E28" i="541"/>
  <c r="E26" i="541"/>
  <c r="E40" i="541"/>
  <c r="E32" i="541"/>
  <c r="E44" i="541"/>
  <c r="I13" i="266"/>
  <c r="G13" i="266"/>
  <c r="I22" i="266"/>
  <c r="G22" i="266"/>
  <c r="I11" i="266"/>
  <c r="G11" i="266"/>
  <c r="I26" i="266"/>
  <c r="I32" i="266" s="1"/>
  <c r="F32" i="266" s="1"/>
  <c r="G32" i="266" s="1"/>
  <c r="G26" i="266"/>
  <c r="I12" i="266"/>
  <c r="G12" i="266"/>
  <c r="I35" i="266"/>
  <c r="G35" i="266"/>
  <c r="G34" i="266"/>
  <c r="I34" i="266"/>
  <c r="F10" i="438"/>
  <c r="F35" i="438"/>
  <c r="F15" i="438"/>
  <c r="F36" i="438"/>
  <c r="F44" i="438"/>
  <c r="F22" i="438"/>
  <c r="F27" i="438"/>
  <c r="F30" i="438"/>
  <c r="F18" i="438"/>
  <c r="F16" i="438"/>
  <c r="F37" i="438"/>
  <c r="F26" i="438"/>
  <c r="F23" i="438"/>
  <c r="F28" i="438"/>
  <c r="F31" i="438"/>
  <c r="F12" i="438"/>
  <c r="F17" i="438"/>
  <c r="F38" i="438"/>
  <c r="F39" i="438"/>
  <c r="F21" i="438"/>
  <c r="F45" i="438"/>
  <c r="G45" i="438" s="1"/>
  <c r="F29" i="438"/>
  <c r="F13" i="438"/>
  <c r="F14" i="438"/>
  <c r="F34" i="438"/>
  <c r="F11" i="438"/>
  <c r="F42" i="438"/>
  <c r="F43" i="438"/>
  <c r="I32" i="178"/>
  <c r="F32" i="178" s="1"/>
  <c r="G32" i="178" s="1"/>
  <c r="I35" i="353"/>
  <c r="G35" i="353"/>
  <c r="I30" i="353"/>
  <c r="G30" i="353"/>
  <c r="I18" i="353"/>
  <c r="G18" i="353"/>
  <c r="I36" i="353"/>
  <c r="G36" i="353"/>
  <c r="G34" i="353"/>
  <c r="I34" i="353"/>
  <c r="I10" i="353"/>
  <c r="G10" i="353"/>
  <c r="G42" i="353"/>
  <c r="I42" i="353"/>
  <c r="I16" i="170"/>
  <c r="G16" i="170"/>
  <c r="G35" i="170"/>
  <c r="I35" i="170"/>
  <c r="I42" i="170"/>
  <c r="G42" i="170"/>
  <c r="G37" i="170"/>
  <c r="I29" i="170"/>
  <c r="G29" i="170"/>
  <c r="G44" i="170"/>
  <c r="I44" i="170"/>
  <c r="G43" i="170"/>
  <c r="I43" i="170"/>
  <c r="F18" i="108"/>
  <c r="F29" i="108"/>
  <c r="F37" i="108"/>
  <c r="F11" i="108"/>
  <c r="F36" i="108"/>
  <c r="F14" i="108"/>
  <c r="F21" i="108"/>
  <c r="F12" i="108"/>
  <c r="F30" i="108"/>
  <c r="F16" i="108"/>
  <c r="F34" i="108"/>
  <c r="F28" i="108"/>
  <c r="F39" i="108"/>
  <c r="F42" i="108"/>
  <c r="F17" i="108"/>
  <c r="F13" i="108"/>
  <c r="F22" i="108"/>
  <c r="F45" i="108"/>
  <c r="G45" i="108" s="1"/>
  <c r="F15" i="108"/>
  <c r="F38" i="108"/>
  <c r="F35" i="108"/>
  <c r="F26" i="108"/>
  <c r="F23" i="108"/>
  <c r="F44" i="108"/>
  <c r="F31" i="108"/>
  <c r="F10" i="108"/>
  <c r="F43" i="108"/>
  <c r="F27" i="108"/>
  <c r="G38" i="137"/>
  <c r="G11" i="137"/>
  <c r="I11" i="137"/>
  <c r="I17" i="137"/>
  <c r="G17" i="137"/>
  <c r="G15" i="137"/>
  <c r="I15" i="137"/>
  <c r="I28" i="137"/>
  <c r="G28" i="137"/>
  <c r="I51" i="578"/>
  <c r="F50" i="578"/>
  <c r="G6" i="578"/>
  <c r="A54" i="578"/>
  <c r="G5" i="578"/>
  <c r="G17" i="132"/>
  <c r="I17" i="132"/>
  <c r="G23" i="132"/>
  <c r="I23" i="132"/>
  <c r="I39" i="132"/>
  <c r="G39" i="132"/>
  <c r="G35" i="132"/>
  <c r="I16" i="132"/>
  <c r="G16" i="132"/>
  <c r="J50" i="351"/>
  <c r="E50" i="351"/>
  <c r="F28" i="52"/>
  <c r="F23" i="52"/>
  <c r="F10" i="52"/>
  <c r="F27" i="52"/>
  <c r="F45" i="52"/>
  <c r="G45" i="52" s="1"/>
  <c r="F34" i="52"/>
  <c r="F30" i="52"/>
  <c r="F22" i="52"/>
  <c r="F14" i="52"/>
  <c r="F18" i="52"/>
  <c r="F21" i="52"/>
  <c r="F17" i="52"/>
  <c r="F26" i="52"/>
  <c r="F31" i="52"/>
  <c r="F38" i="52"/>
  <c r="F39" i="52"/>
  <c r="F29" i="52"/>
  <c r="F44" i="52"/>
  <c r="F12" i="52"/>
  <c r="F42" i="52"/>
  <c r="F43" i="52"/>
  <c r="F37" i="52"/>
  <c r="F15" i="52"/>
  <c r="F36" i="52"/>
  <c r="F11" i="52"/>
  <c r="F35" i="52"/>
  <c r="F16" i="52"/>
  <c r="F13" i="52"/>
  <c r="G23" i="94"/>
  <c r="I23" i="94"/>
  <c r="I26" i="217"/>
  <c r="G26" i="217"/>
  <c r="I39" i="74"/>
  <c r="G39" i="74"/>
  <c r="F10" i="6"/>
  <c r="F17" i="6"/>
  <c r="F35" i="6"/>
  <c r="F21" i="6"/>
  <c r="F26" i="6"/>
  <c r="F42" i="6"/>
  <c r="F16" i="6"/>
  <c r="F37" i="6"/>
  <c r="F13" i="6"/>
  <c r="F18" i="6"/>
  <c r="F44" i="6"/>
  <c r="F11" i="6"/>
  <c r="F23" i="6"/>
  <c r="F38" i="6"/>
  <c r="F15" i="6"/>
  <c r="F30" i="6"/>
  <c r="F36" i="6"/>
  <c r="F45" i="6"/>
  <c r="G45" i="6" s="1"/>
  <c r="F27" i="6"/>
  <c r="F43" i="6"/>
  <c r="F14" i="6"/>
  <c r="F39" i="6"/>
  <c r="F28" i="6"/>
  <c r="F29" i="6"/>
  <c r="F12" i="6"/>
  <c r="F34" i="6"/>
  <c r="F22" i="6"/>
  <c r="F31" i="6"/>
  <c r="I14" i="290"/>
  <c r="G14" i="290"/>
  <c r="I44" i="280"/>
  <c r="G44" i="280"/>
  <c r="I16" i="312"/>
  <c r="G16" i="312"/>
  <c r="G31" i="94"/>
  <c r="I31" i="94"/>
  <c r="I32" i="475"/>
  <c r="F32" i="475" s="1"/>
  <c r="G32" i="475" s="1"/>
  <c r="F26" i="215"/>
  <c r="F10" i="215"/>
  <c r="H48" i="218"/>
  <c r="H50" i="218" s="1"/>
  <c r="E6" i="218" s="1"/>
  <c r="H48" i="58"/>
  <c r="H50" i="58" s="1"/>
  <c r="E6" i="58" s="1"/>
  <c r="F14" i="192"/>
  <c r="F18" i="192"/>
  <c r="F22" i="192"/>
  <c r="F26" i="192"/>
  <c r="F34" i="192"/>
  <c r="F13" i="192"/>
  <c r="F37" i="192"/>
  <c r="F30" i="192"/>
  <c r="F44" i="192"/>
  <c r="F29" i="192"/>
  <c r="F16" i="192"/>
  <c r="F23" i="192"/>
  <c r="F35" i="192"/>
  <c r="F38" i="192"/>
  <c r="F43" i="192"/>
  <c r="F27" i="192"/>
  <c r="F36" i="192"/>
  <c r="F28" i="192"/>
  <c r="F15" i="192"/>
  <c r="F39" i="192"/>
  <c r="F17" i="192"/>
  <c r="F31" i="192"/>
  <c r="F42" i="192"/>
  <c r="F21" i="192"/>
  <c r="F10" i="192"/>
  <c r="F45" i="192"/>
  <c r="G45" i="192" s="1"/>
  <c r="F11" i="192"/>
  <c r="F12" i="192"/>
  <c r="I36" i="107"/>
  <c r="G36" i="107"/>
  <c r="H48" i="286"/>
  <c r="H50" i="286" s="1"/>
  <c r="E6" i="286" s="1"/>
  <c r="I14" i="147"/>
  <c r="G14" i="147"/>
  <c r="I30" i="147"/>
  <c r="G30" i="147"/>
  <c r="I37" i="161"/>
  <c r="G37" i="161"/>
  <c r="I14" i="161"/>
  <c r="G14" i="161"/>
  <c r="I30" i="219"/>
  <c r="G30" i="219"/>
  <c r="G31" i="219"/>
  <c r="I31" i="219"/>
  <c r="I22" i="74"/>
  <c r="G22" i="74"/>
  <c r="I14" i="113"/>
  <c r="G14" i="113"/>
  <c r="F34" i="104"/>
  <c r="F36" i="104"/>
  <c r="F15" i="104"/>
  <c r="F11" i="104"/>
  <c r="F27" i="104"/>
  <c r="F37" i="104"/>
  <c r="F39" i="104"/>
  <c r="F17" i="104"/>
  <c r="F12" i="104"/>
  <c r="F26" i="104"/>
  <c r="F13" i="104"/>
  <c r="F30" i="104"/>
  <c r="F29" i="104"/>
  <c r="F38" i="104"/>
  <c r="F21" i="104"/>
  <c r="F35" i="104"/>
  <c r="F31" i="104"/>
  <c r="F42" i="104"/>
  <c r="F14" i="104"/>
  <c r="F23" i="104"/>
  <c r="F44" i="104"/>
  <c r="F10" i="104"/>
  <c r="F45" i="104"/>
  <c r="G45" i="104" s="1"/>
  <c r="F16" i="104"/>
  <c r="F28" i="104"/>
  <c r="F43" i="104"/>
  <c r="F22" i="104"/>
  <c r="F18" i="104"/>
  <c r="G38" i="206"/>
  <c r="I38" i="206"/>
  <c r="F31" i="347"/>
  <c r="F42" i="347"/>
  <c r="F36" i="347"/>
  <c r="F14" i="347"/>
  <c r="F17" i="347"/>
  <c r="F26" i="347"/>
  <c r="F34" i="347"/>
  <c r="F10" i="347"/>
  <c r="F18" i="347"/>
  <c r="F45" i="347"/>
  <c r="G45" i="347" s="1"/>
  <c r="F29" i="347"/>
  <c r="F37" i="347"/>
  <c r="F43" i="347"/>
  <c r="F15" i="347"/>
  <c r="F16" i="347"/>
  <c r="F39" i="347"/>
  <c r="F44" i="347"/>
  <c r="F23" i="347"/>
  <c r="F28" i="347"/>
  <c r="F27" i="347"/>
  <c r="F30" i="347"/>
  <c r="F21" i="347"/>
  <c r="F35" i="347"/>
  <c r="F38" i="347"/>
  <c r="F13" i="347"/>
  <c r="F22" i="347"/>
  <c r="F12" i="347"/>
  <c r="F11" i="347"/>
  <c r="I18" i="57"/>
  <c r="G18" i="57"/>
  <c r="I28" i="110"/>
  <c r="G28" i="110"/>
  <c r="F27" i="377"/>
  <c r="F29" i="377"/>
  <c r="F18" i="377"/>
  <c r="F15" i="377"/>
  <c r="F45" i="377"/>
  <c r="G45" i="377" s="1"/>
  <c r="F11" i="377"/>
  <c r="F31" i="377"/>
  <c r="F26" i="377"/>
  <c r="F21" i="377"/>
  <c r="F44" i="377"/>
  <c r="F38" i="377"/>
  <c r="F13" i="377"/>
  <c r="F14" i="377"/>
  <c r="F10" i="377"/>
  <c r="F42" i="377"/>
  <c r="F37" i="377"/>
  <c r="F22" i="377"/>
  <c r="F36" i="377"/>
  <c r="F12" i="377"/>
  <c r="F34" i="377"/>
  <c r="F30" i="377"/>
  <c r="F35" i="377"/>
  <c r="F39" i="377"/>
  <c r="F17" i="377"/>
  <c r="F16" i="377"/>
  <c r="F43" i="377"/>
  <c r="F23" i="377"/>
  <c r="F28" i="377"/>
  <c r="G15" i="63"/>
  <c r="I15" i="63"/>
  <c r="I23" i="63"/>
  <c r="G23" i="63"/>
  <c r="I11" i="66"/>
  <c r="G11" i="66"/>
  <c r="I14" i="66"/>
  <c r="G14" i="66"/>
  <c r="F28" i="173"/>
  <c r="F14" i="173"/>
  <c r="F22" i="173"/>
  <c r="F12" i="173"/>
  <c r="F37" i="173"/>
  <c r="F23" i="173"/>
  <c r="F35" i="173"/>
  <c r="F10" i="173"/>
  <c r="F30" i="173"/>
  <c r="F38" i="173"/>
  <c r="F39" i="173"/>
  <c r="F15" i="173"/>
  <c r="F43" i="173"/>
  <c r="F17" i="173"/>
  <c r="F27" i="173"/>
  <c r="F29" i="173"/>
  <c r="F44" i="173"/>
  <c r="F31" i="173"/>
  <c r="F45" i="173"/>
  <c r="G45" i="173" s="1"/>
  <c r="F42" i="173"/>
  <c r="F34" i="173"/>
  <c r="F16" i="173"/>
  <c r="F36" i="173"/>
  <c r="F13" i="173"/>
  <c r="F11" i="173"/>
  <c r="F18" i="173"/>
  <c r="F26" i="173"/>
  <c r="F21" i="173"/>
  <c r="I17" i="383"/>
  <c r="G17" i="383"/>
  <c r="I44" i="383"/>
  <c r="G44" i="383"/>
  <c r="I18" i="290"/>
  <c r="G18" i="290"/>
  <c r="I38" i="290"/>
  <c r="G38" i="290"/>
  <c r="G16" i="345"/>
  <c r="I16" i="345"/>
  <c r="I30" i="345"/>
  <c r="G30" i="345"/>
  <c r="I42" i="378"/>
  <c r="G42" i="378"/>
  <c r="G27" i="378"/>
  <c r="I16" i="254"/>
  <c r="G16" i="254"/>
  <c r="I28" i="254"/>
  <c r="G28" i="254"/>
  <c r="F12" i="93"/>
  <c r="F27" i="93"/>
  <c r="F44" i="93"/>
  <c r="F23" i="93"/>
  <c r="F13" i="93"/>
  <c r="F42" i="93"/>
  <c r="F31" i="93"/>
  <c r="F16" i="93"/>
  <c r="F43" i="93"/>
  <c r="F39" i="93"/>
  <c r="F38" i="93"/>
  <c r="F45" i="93"/>
  <c r="G45" i="93" s="1"/>
  <c r="F36" i="93"/>
  <c r="F35" i="93"/>
  <c r="F22" i="93"/>
  <c r="F15" i="93"/>
  <c r="F18" i="93"/>
  <c r="F34" i="93"/>
  <c r="F28" i="93"/>
  <c r="F17" i="93"/>
  <c r="F29" i="93"/>
  <c r="F21" i="93"/>
  <c r="F30" i="93"/>
  <c r="F37" i="93"/>
  <c r="F10" i="93"/>
  <c r="F11" i="93"/>
  <c r="F14" i="93"/>
  <c r="F26" i="93"/>
  <c r="I34" i="356"/>
  <c r="G34" i="356"/>
  <c r="G38" i="356"/>
  <c r="I38" i="356"/>
  <c r="I14" i="105"/>
  <c r="G14" i="105"/>
  <c r="I21" i="50"/>
  <c r="G21" i="50"/>
  <c r="I14" i="280"/>
  <c r="G14" i="280"/>
  <c r="G31" i="280"/>
  <c r="I31" i="280"/>
  <c r="G42" i="241"/>
  <c r="I42" i="241"/>
  <c r="I16" i="241"/>
  <c r="G16" i="241"/>
  <c r="G38" i="312"/>
  <c r="I38" i="312"/>
  <c r="G27" i="312"/>
  <c r="I27" i="312"/>
  <c r="F37" i="369"/>
  <c r="F22" i="369"/>
  <c r="F11" i="369"/>
  <c r="F17" i="369"/>
  <c r="F23" i="369"/>
  <c r="F13" i="369"/>
  <c r="F39" i="369"/>
  <c r="F12" i="369"/>
  <c r="F14" i="369"/>
  <c r="F29" i="369"/>
  <c r="F34" i="369"/>
  <c r="F18" i="369"/>
  <c r="F21" i="369"/>
  <c r="F36" i="369"/>
  <c r="F30" i="369"/>
  <c r="F27" i="369"/>
  <c r="F16" i="369"/>
  <c r="F15" i="369"/>
  <c r="F38" i="369"/>
  <c r="F43" i="369"/>
  <c r="F31" i="369"/>
  <c r="F42" i="369"/>
  <c r="F44" i="369"/>
  <c r="F45" i="369"/>
  <c r="G45" i="369" s="1"/>
  <c r="F26" i="369"/>
  <c r="F28" i="369"/>
  <c r="F10" i="369"/>
  <c r="F35" i="369"/>
  <c r="E42" i="6"/>
  <c r="E38" i="6"/>
  <c r="E29" i="6"/>
  <c r="E21" i="6"/>
  <c r="E40" i="6"/>
  <c r="E35" i="6"/>
  <c r="E30" i="6"/>
  <c r="E28" i="6"/>
  <c r="E43" i="6"/>
  <c r="E23" i="6"/>
  <c r="E37" i="6"/>
  <c r="E44" i="6"/>
  <c r="E46" i="6"/>
  <c r="A52" i="6" s="1"/>
  <c r="E24" i="6"/>
  <c r="E27" i="6"/>
  <c r="E26" i="6"/>
  <c r="E31" i="6"/>
  <c r="E39" i="6"/>
  <c r="E36" i="6"/>
  <c r="E22" i="6"/>
  <c r="E45" i="6"/>
  <c r="E34" i="6"/>
  <c r="I12" i="42"/>
  <c r="G12" i="42"/>
  <c r="F36" i="442"/>
  <c r="F21" i="442"/>
  <c r="F22" i="442"/>
  <c r="F13" i="442"/>
  <c r="F44" i="442"/>
  <c r="F15" i="442"/>
  <c r="F45" i="442"/>
  <c r="G45" i="442" s="1"/>
  <c r="F17" i="442"/>
  <c r="F18" i="442"/>
  <c r="F26" i="442"/>
  <c r="F35" i="442"/>
  <c r="F27" i="442"/>
  <c r="F37" i="442"/>
  <c r="F10" i="442"/>
  <c r="F38" i="442"/>
  <c r="F12" i="442"/>
  <c r="F30" i="442"/>
  <c r="F34" i="442"/>
  <c r="F28" i="442"/>
  <c r="F16" i="442"/>
  <c r="F39" i="442"/>
  <c r="F42" i="442"/>
  <c r="F29" i="442"/>
  <c r="F11" i="442"/>
  <c r="F31" i="442"/>
  <c r="F14" i="442"/>
  <c r="F23" i="442"/>
  <c r="F43" i="442"/>
  <c r="G43" i="73"/>
  <c r="I43" i="73"/>
  <c r="I13" i="73"/>
  <c r="G13" i="73"/>
  <c r="I37" i="182"/>
  <c r="G37" i="182"/>
  <c r="I26" i="94"/>
  <c r="G26" i="94"/>
  <c r="G37" i="94"/>
  <c r="I37" i="94"/>
  <c r="F14" i="172"/>
  <c r="F45" i="172"/>
  <c r="G45" i="172" s="1"/>
  <c r="F27" i="172"/>
  <c r="F23" i="172"/>
  <c r="F21" i="172"/>
  <c r="F38" i="172"/>
  <c r="F28" i="172"/>
  <c r="F42" i="172"/>
  <c r="F16" i="172"/>
  <c r="F29" i="172"/>
  <c r="F22" i="172"/>
  <c r="F11" i="172"/>
  <c r="F44" i="172"/>
  <c r="F39" i="172"/>
  <c r="F30" i="172"/>
  <c r="F35" i="172"/>
  <c r="F13" i="172"/>
  <c r="F18" i="172"/>
  <c r="F15" i="172"/>
  <c r="F26" i="172"/>
  <c r="F43" i="172"/>
  <c r="F17" i="172"/>
  <c r="F34" i="172"/>
  <c r="F31" i="172"/>
  <c r="F36" i="172"/>
  <c r="F10" i="172"/>
  <c r="F37" i="172"/>
  <c r="F12" i="172"/>
  <c r="H32" i="351"/>
  <c r="C32" i="351" s="1"/>
  <c r="I42" i="387"/>
  <c r="G42" i="387"/>
  <c r="I22" i="387"/>
  <c r="G22" i="387"/>
  <c r="G16" i="311"/>
  <c r="I16" i="311"/>
  <c r="I39" i="311"/>
  <c r="G39" i="311"/>
  <c r="I12" i="70"/>
  <c r="G12" i="70"/>
  <c r="I38" i="395"/>
  <c r="G38" i="395"/>
  <c r="I21" i="395"/>
  <c r="G21" i="395"/>
  <c r="I10" i="217"/>
  <c r="G10" i="217"/>
  <c r="I14" i="217"/>
  <c r="G14" i="217"/>
  <c r="I14" i="114"/>
  <c r="G14" i="114"/>
  <c r="I37" i="113"/>
  <c r="G37" i="113"/>
  <c r="F17" i="245"/>
  <c r="F39" i="245"/>
  <c r="F29" i="245"/>
  <c r="F37" i="245"/>
  <c r="F31" i="245"/>
  <c r="F26" i="245"/>
  <c r="F34" i="245"/>
  <c r="F16" i="245"/>
  <c r="F23" i="245"/>
  <c r="F11" i="245"/>
  <c r="F27" i="245"/>
  <c r="F30" i="245"/>
  <c r="F15" i="245"/>
  <c r="F12" i="245"/>
  <c r="F14" i="245"/>
  <c r="F36" i="245"/>
  <c r="F43" i="245"/>
  <c r="F28" i="245"/>
  <c r="F42" i="245"/>
  <c r="F10" i="245"/>
  <c r="F44" i="245"/>
  <c r="F21" i="245"/>
  <c r="F18" i="245"/>
  <c r="F13" i="245"/>
  <c r="F22" i="245"/>
  <c r="F35" i="245"/>
  <c r="F38" i="245"/>
  <c r="F45" i="245"/>
  <c r="G45" i="245" s="1"/>
  <c r="I27" i="383"/>
  <c r="G27" i="383"/>
  <c r="I17" i="356"/>
  <c r="G17" i="356"/>
  <c r="G42" i="280"/>
  <c r="I42" i="280"/>
  <c r="I27" i="395"/>
  <c r="G27" i="395"/>
  <c r="F17" i="333"/>
  <c r="F13" i="333"/>
  <c r="F39" i="333"/>
  <c r="F14" i="333"/>
  <c r="F44" i="333"/>
  <c r="F27" i="333"/>
  <c r="F18" i="333"/>
  <c r="F42" i="333"/>
  <c r="F45" i="333"/>
  <c r="G45" i="333" s="1"/>
  <c r="F12" i="333"/>
  <c r="F37" i="333"/>
  <c r="F29" i="333"/>
  <c r="F43" i="333"/>
  <c r="F16" i="333"/>
  <c r="F11" i="333"/>
  <c r="F23" i="333"/>
  <c r="F10" i="333"/>
  <c r="F34" i="333"/>
  <c r="F35" i="333"/>
  <c r="F15" i="333"/>
  <c r="F38" i="333"/>
  <c r="F36" i="333"/>
  <c r="F26" i="333"/>
  <c r="F31" i="333"/>
  <c r="F30" i="333"/>
  <c r="F21" i="333"/>
  <c r="F22" i="333"/>
  <c r="F28" i="333"/>
  <c r="I36" i="74"/>
  <c r="G36" i="74"/>
  <c r="F29" i="309"/>
  <c r="F44" i="309"/>
  <c r="F26" i="309"/>
  <c r="F23" i="309"/>
  <c r="F12" i="309"/>
  <c r="F16" i="309"/>
  <c r="F27" i="309"/>
  <c r="F18" i="309"/>
  <c r="F43" i="309"/>
  <c r="F17" i="309"/>
  <c r="F21" i="309"/>
  <c r="F34" i="309"/>
  <c r="F45" i="309"/>
  <c r="G45" i="309" s="1"/>
  <c r="F37" i="309"/>
  <c r="F30" i="309"/>
  <c r="F28" i="309"/>
  <c r="F14" i="309"/>
  <c r="F22" i="309"/>
  <c r="F15" i="309"/>
  <c r="F42" i="309"/>
  <c r="F31" i="309"/>
  <c r="F35" i="309"/>
  <c r="F11" i="309"/>
  <c r="F13" i="309"/>
  <c r="F36" i="309"/>
  <c r="F39" i="309"/>
  <c r="F10" i="309"/>
  <c r="F38" i="309"/>
  <c r="E48" i="273"/>
  <c r="I16" i="73"/>
  <c r="G16" i="73"/>
  <c r="F39" i="163"/>
  <c r="F34" i="163"/>
  <c r="F12" i="163"/>
  <c r="F38" i="163"/>
  <c r="F44" i="163"/>
  <c r="F11" i="163"/>
  <c r="F16" i="163"/>
  <c r="F14" i="163"/>
  <c r="F26" i="163"/>
  <c r="F30" i="163"/>
  <c r="F27" i="163"/>
  <c r="F13" i="163"/>
  <c r="F31" i="163"/>
  <c r="F35" i="163"/>
  <c r="F29" i="163"/>
  <c r="F22" i="163"/>
  <c r="F45" i="163"/>
  <c r="G45" i="163" s="1"/>
  <c r="F10" i="163"/>
  <c r="F15" i="163"/>
  <c r="F21" i="163"/>
  <c r="F36" i="163"/>
  <c r="F42" i="163"/>
  <c r="F28" i="163"/>
  <c r="F18" i="163"/>
  <c r="F37" i="163"/>
  <c r="F43" i="163"/>
  <c r="F17" i="163"/>
  <c r="F23" i="163"/>
  <c r="I14" i="387"/>
  <c r="G14" i="387"/>
  <c r="I15" i="217"/>
  <c r="G15" i="217"/>
  <c r="F17" i="215"/>
  <c r="F45" i="215"/>
  <c r="G45" i="215" s="1"/>
  <c r="D50" i="477"/>
  <c r="J50" i="477" s="1"/>
  <c r="H46" i="478"/>
  <c r="C46" i="478" s="1"/>
  <c r="F37" i="193"/>
  <c r="F13" i="193"/>
  <c r="F23" i="193"/>
  <c r="F45" i="193"/>
  <c r="G45" i="193" s="1"/>
  <c r="F27" i="193"/>
  <c r="F21" i="193"/>
  <c r="F43" i="193"/>
  <c r="F11" i="193"/>
  <c r="F31" i="193"/>
  <c r="F28" i="193"/>
  <c r="F15" i="193"/>
  <c r="F44" i="193"/>
  <c r="F29" i="193"/>
  <c r="F12" i="193"/>
  <c r="F30" i="193"/>
  <c r="F38" i="193"/>
  <c r="F36" i="193"/>
  <c r="F18" i="193"/>
  <c r="F10" i="193"/>
  <c r="F42" i="193"/>
  <c r="F14" i="193"/>
  <c r="F39" i="193"/>
  <c r="F22" i="193"/>
  <c r="F26" i="193"/>
  <c r="F34" i="193"/>
  <c r="F35" i="193"/>
  <c r="F16" i="193"/>
  <c r="F17" i="193"/>
  <c r="I35" i="107"/>
  <c r="G35" i="107"/>
  <c r="I15" i="147"/>
  <c r="G15" i="147"/>
  <c r="I29" i="147"/>
  <c r="G29" i="147"/>
  <c r="G38" i="161"/>
  <c r="I38" i="161"/>
  <c r="I30" i="161"/>
  <c r="G30" i="161"/>
  <c r="F39" i="329"/>
  <c r="F43" i="329"/>
  <c r="F35" i="329"/>
  <c r="F11" i="329"/>
  <c r="F31" i="329"/>
  <c r="F34" i="329"/>
  <c r="F12" i="329"/>
  <c r="F45" i="329"/>
  <c r="G45" i="329" s="1"/>
  <c r="F13" i="329"/>
  <c r="F16" i="329"/>
  <c r="F15" i="329"/>
  <c r="F27" i="329"/>
  <c r="F37" i="329"/>
  <c r="F21" i="329"/>
  <c r="F29" i="329"/>
  <c r="F30" i="329"/>
  <c r="F18" i="329"/>
  <c r="F22" i="329"/>
  <c r="F44" i="329"/>
  <c r="F10" i="329"/>
  <c r="F26" i="329"/>
  <c r="F17" i="329"/>
  <c r="F23" i="329"/>
  <c r="F28" i="329"/>
  <c r="F14" i="329"/>
  <c r="F38" i="329"/>
  <c r="F36" i="329"/>
  <c r="F42" i="329"/>
  <c r="H48" i="291"/>
  <c r="H50" i="291" s="1"/>
  <c r="E6" i="291" s="1"/>
  <c r="G27" i="219"/>
  <c r="I27" i="219"/>
  <c r="I10" i="219"/>
  <c r="G10" i="219"/>
  <c r="I21" i="74"/>
  <c r="G21" i="74"/>
  <c r="I42" i="74"/>
  <c r="G42" i="74"/>
  <c r="I23" i="113"/>
  <c r="G23" i="113"/>
  <c r="I26" i="206"/>
  <c r="G26" i="206"/>
  <c r="I14" i="57"/>
  <c r="G14" i="57"/>
  <c r="G43" i="110"/>
  <c r="I43" i="110"/>
  <c r="F27" i="190"/>
  <c r="F30" i="190"/>
  <c r="F17" i="190"/>
  <c r="F45" i="190"/>
  <c r="G45" i="190" s="1"/>
  <c r="F37" i="190"/>
  <c r="F44" i="190"/>
  <c r="F21" i="190"/>
  <c r="F10" i="190"/>
  <c r="F15" i="190"/>
  <c r="F38" i="190"/>
  <c r="F18" i="190"/>
  <c r="F42" i="190"/>
  <c r="F39" i="190"/>
  <c r="F43" i="190"/>
  <c r="F13" i="190"/>
  <c r="F31" i="190"/>
  <c r="F36" i="190"/>
  <c r="F29" i="190"/>
  <c r="F26" i="190"/>
  <c r="F16" i="190"/>
  <c r="F23" i="190"/>
  <c r="F22" i="190"/>
  <c r="F12" i="190"/>
  <c r="F34" i="190"/>
  <c r="F28" i="190"/>
  <c r="F35" i="190"/>
  <c r="F11" i="190"/>
  <c r="F14" i="190"/>
  <c r="F28" i="205"/>
  <c r="F29" i="205"/>
  <c r="F21" i="205"/>
  <c r="F27" i="205"/>
  <c r="F18" i="205"/>
  <c r="F14" i="205"/>
  <c r="F42" i="205"/>
  <c r="F43" i="205"/>
  <c r="F44" i="205"/>
  <c r="F38" i="205"/>
  <c r="F45" i="205"/>
  <c r="G45" i="205" s="1"/>
  <c r="F36" i="205"/>
  <c r="F15" i="205"/>
  <c r="F16" i="205"/>
  <c r="F11" i="205"/>
  <c r="F35" i="205"/>
  <c r="F34" i="205"/>
  <c r="F17" i="205"/>
  <c r="F39" i="205"/>
  <c r="F26" i="205"/>
  <c r="F31" i="205"/>
  <c r="F22" i="205"/>
  <c r="F12" i="205"/>
  <c r="F13" i="205"/>
  <c r="F37" i="205"/>
  <c r="F23" i="205"/>
  <c r="F10" i="205"/>
  <c r="F30" i="205"/>
  <c r="G22" i="63"/>
  <c r="I22" i="63"/>
  <c r="I13" i="66"/>
  <c r="G13" i="66"/>
  <c r="G43" i="66"/>
  <c r="I43" i="66"/>
  <c r="G38" i="383"/>
  <c r="I38" i="383"/>
  <c r="I22" i="383"/>
  <c r="G22" i="383"/>
  <c r="I30" i="290"/>
  <c r="G30" i="290"/>
  <c r="I35" i="290"/>
  <c r="G35" i="290"/>
  <c r="I29" i="345"/>
  <c r="G29" i="345"/>
  <c r="I17" i="345"/>
  <c r="G17" i="345"/>
  <c r="F26" i="243"/>
  <c r="F27" i="243"/>
  <c r="F29" i="243"/>
  <c r="F28" i="243"/>
  <c r="F12" i="243"/>
  <c r="F36" i="243"/>
  <c r="F39" i="243"/>
  <c r="F38" i="243"/>
  <c r="F30" i="243"/>
  <c r="F43" i="243"/>
  <c r="F35" i="243"/>
  <c r="F15" i="243"/>
  <c r="F13" i="243"/>
  <c r="F10" i="243"/>
  <c r="F37" i="243"/>
  <c r="F17" i="243"/>
  <c r="F22" i="243"/>
  <c r="F45" i="243"/>
  <c r="G45" i="243" s="1"/>
  <c r="F42" i="243"/>
  <c r="F14" i="243"/>
  <c r="F16" i="243"/>
  <c r="F18" i="243"/>
  <c r="F11" i="243"/>
  <c r="F23" i="243"/>
  <c r="F31" i="243"/>
  <c r="F21" i="243"/>
  <c r="F34" i="243"/>
  <c r="F44" i="243"/>
  <c r="I15" i="378"/>
  <c r="G15" i="378"/>
  <c r="I35" i="254"/>
  <c r="G35" i="254"/>
  <c r="G23" i="254"/>
  <c r="I23" i="254"/>
  <c r="I10" i="356"/>
  <c r="G10" i="356"/>
  <c r="I37" i="356"/>
  <c r="G37" i="356"/>
  <c r="I16" i="105"/>
  <c r="G16" i="105"/>
  <c r="E48" i="248"/>
  <c r="I29" i="50"/>
  <c r="F37" i="3"/>
  <c r="F29" i="3"/>
  <c r="F44" i="3"/>
  <c r="F45" i="3"/>
  <c r="G45" i="3" s="1"/>
  <c r="F21" i="3"/>
  <c r="F39" i="3"/>
  <c r="F30" i="3"/>
  <c r="F15" i="3"/>
  <c r="F11" i="3"/>
  <c r="F12" i="3"/>
  <c r="F38" i="3"/>
  <c r="F42" i="3"/>
  <c r="F17" i="3"/>
  <c r="F23" i="3"/>
  <c r="F16" i="3"/>
  <c r="F26" i="3"/>
  <c r="F36" i="3"/>
  <c r="F43" i="3"/>
  <c r="F18" i="3"/>
  <c r="F35" i="3"/>
  <c r="F34" i="3"/>
  <c r="F27" i="3"/>
  <c r="F31" i="3"/>
  <c r="F14" i="3"/>
  <c r="F13" i="3"/>
  <c r="F22" i="3"/>
  <c r="F28" i="3"/>
  <c r="F10" i="3"/>
  <c r="I34" i="280"/>
  <c r="G34" i="280"/>
  <c r="I35" i="280"/>
  <c r="G35" i="280"/>
  <c r="I18" i="331"/>
  <c r="G18" i="331"/>
  <c r="I36" i="241"/>
  <c r="G36" i="241"/>
  <c r="E40" i="406"/>
  <c r="E32" i="406"/>
  <c r="E46" i="406"/>
  <c r="A52" i="406" s="1"/>
  <c r="E22" i="406"/>
  <c r="E43" i="406"/>
  <c r="E29" i="406"/>
  <c r="E26" i="406"/>
  <c r="E37" i="406"/>
  <c r="E27" i="406"/>
  <c r="E21" i="406"/>
  <c r="E23" i="406"/>
  <c r="E42" i="406"/>
  <c r="E31" i="406"/>
  <c r="E30" i="406"/>
  <c r="E44" i="406"/>
  <c r="E36" i="406"/>
  <c r="E38" i="406"/>
  <c r="E39" i="406"/>
  <c r="E45" i="406"/>
  <c r="E28" i="406"/>
  <c r="E35" i="406"/>
  <c r="E34" i="406"/>
  <c r="G35" i="312"/>
  <c r="I35" i="312"/>
  <c r="I12" i="312"/>
  <c r="G12" i="312"/>
  <c r="G30" i="42"/>
  <c r="I30" i="42"/>
  <c r="I35" i="42"/>
  <c r="G35" i="42"/>
  <c r="G39" i="73"/>
  <c r="I39" i="73"/>
  <c r="G23" i="73"/>
  <c r="I23" i="73"/>
  <c r="I30" i="182"/>
  <c r="G30" i="182"/>
  <c r="I28" i="94"/>
  <c r="G28" i="94"/>
  <c r="I15" i="94"/>
  <c r="G15" i="94"/>
  <c r="F28" i="84"/>
  <c r="F43" i="84"/>
  <c r="F10" i="84"/>
  <c r="F14" i="84"/>
  <c r="F30" i="84"/>
  <c r="F22" i="84"/>
  <c r="F18" i="84"/>
  <c r="F44" i="84"/>
  <c r="F42" i="84"/>
  <c r="F17" i="84"/>
  <c r="F12" i="84"/>
  <c r="F37" i="84"/>
  <c r="F26" i="84"/>
  <c r="F21" i="84"/>
  <c r="F45" i="84"/>
  <c r="G45" i="84" s="1"/>
  <c r="F11" i="84"/>
  <c r="F35" i="84"/>
  <c r="F36" i="84"/>
  <c r="F27" i="84"/>
  <c r="F34" i="84"/>
  <c r="F29" i="84"/>
  <c r="F16" i="84"/>
  <c r="F38" i="84"/>
  <c r="F23" i="84"/>
  <c r="F31" i="84"/>
  <c r="F39" i="84"/>
  <c r="F15" i="84"/>
  <c r="F13" i="84"/>
  <c r="G18" i="387"/>
  <c r="I18" i="387"/>
  <c r="I35" i="387"/>
  <c r="G35" i="387"/>
  <c r="I13" i="311"/>
  <c r="G13" i="311"/>
  <c r="I43" i="311"/>
  <c r="G43" i="311"/>
  <c r="I22" i="70"/>
  <c r="G22" i="70"/>
  <c r="I36" i="70"/>
  <c r="G36" i="70"/>
  <c r="I15" i="395"/>
  <c r="G15" i="395"/>
  <c r="I16" i="395"/>
  <c r="G16" i="395"/>
  <c r="I22" i="217"/>
  <c r="G22" i="217"/>
  <c r="I36" i="217"/>
  <c r="G36" i="217"/>
  <c r="I43" i="114"/>
  <c r="G43" i="114"/>
  <c r="F17" i="279"/>
  <c r="F45" i="279"/>
  <c r="G45" i="279" s="1"/>
  <c r="F35" i="279"/>
  <c r="F38" i="279"/>
  <c r="F12" i="279"/>
  <c r="F28" i="279"/>
  <c r="F11" i="279"/>
  <c r="F15" i="279"/>
  <c r="F27" i="279"/>
  <c r="F22" i="279"/>
  <c r="F26" i="279"/>
  <c r="F34" i="279"/>
  <c r="F31" i="279"/>
  <c r="F43" i="279"/>
  <c r="F14" i="279"/>
  <c r="F36" i="279"/>
  <c r="F10" i="279"/>
  <c r="F42" i="279"/>
  <c r="F18" i="279"/>
  <c r="F29" i="279"/>
  <c r="F30" i="279"/>
  <c r="F21" i="279"/>
  <c r="F39" i="279"/>
  <c r="F13" i="279"/>
  <c r="F16" i="279"/>
  <c r="F23" i="279"/>
  <c r="F44" i="279"/>
  <c r="F37" i="279"/>
  <c r="F17" i="256"/>
  <c r="F27" i="256"/>
  <c r="F10" i="256"/>
  <c r="F26" i="256"/>
  <c r="F21" i="256"/>
  <c r="F31" i="256"/>
  <c r="F43" i="256"/>
  <c r="F44" i="256"/>
  <c r="F16" i="256"/>
  <c r="F29" i="256"/>
  <c r="F15" i="256"/>
  <c r="F39" i="256"/>
  <c r="F22" i="256"/>
  <c r="F14" i="256"/>
  <c r="F23" i="256"/>
  <c r="F37" i="256"/>
  <c r="F34" i="256"/>
  <c r="F28" i="256"/>
  <c r="F35" i="256"/>
  <c r="F36" i="256"/>
  <c r="F11" i="256"/>
  <c r="F42" i="256"/>
  <c r="F13" i="256"/>
  <c r="F45" i="256"/>
  <c r="G45" i="256" s="1"/>
  <c r="F30" i="256"/>
  <c r="F12" i="256"/>
  <c r="F38" i="256"/>
  <c r="F18" i="256"/>
  <c r="G18" i="378"/>
  <c r="I18" i="378"/>
  <c r="G39" i="395"/>
  <c r="I39" i="395"/>
  <c r="F29" i="156"/>
  <c r="F14" i="156"/>
  <c r="F13" i="156"/>
  <c r="F27" i="156"/>
  <c r="F18" i="156"/>
  <c r="F15" i="156"/>
  <c r="F30" i="156"/>
  <c r="F36" i="156"/>
  <c r="F22" i="156"/>
  <c r="F35" i="156"/>
  <c r="F17" i="156"/>
  <c r="F34" i="156"/>
  <c r="F44" i="156"/>
  <c r="F45" i="156"/>
  <c r="G45" i="156" s="1"/>
  <c r="F26" i="156"/>
  <c r="F39" i="156"/>
  <c r="F28" i="156"/>
  <c r="F23" i="156"/>
  <c r="F21" i="156"/>
  <c r="F31" i="156"/>
  <c r="F38" i="156"/>
  <c r="F42" i="156"/>
  <c r="F10" i="156"/>
  <c r="F11" i="156"/>
  <c r="F16" i="156"/>
  <c r="F37" i="156"/>
  <c r="F12" i="156"/>
  <c r="F43" i="156"/>
  <c r="I26" i="57"/>
  <c r="G26" i="57"/>
  <c r="G38" i="66"/>
  <c r="I38" i="66"/>
  <c r="I36" i="345"/>
  <c r="G36" i="345"/>
  <c r="G34" i="182"/>
  <c r="I34" i="182"/>
  <c r="F31" i="215"/>
  <c r="F21" i="215"/>
  <c r="F16" i="175"/>
  <c r="F35" i="175"/>
  <c r="F13" i="175"/>
  <c r="F36" i="175"/>
  <c r="F14" i="175"/>
  <c r="F43" i="175"/>
  <c r="F11" i="175"/>
  <c r="F10" i="175"/>
  <c r="F17" i="175"/>
  <c r="F26" i="175"/>
  <c r="F28" i="175"/>
  <c r="F15" i="175"/>
  <c r="F38" i="175"/>
  <c r="F29" i="175"/>
  <c r="F39" i="175"/>
  <c r="F12" i="175"/>
  <c r="F31" i="175"/>
  <c r="F18" i="175"/>
  <c r="F27" i="175"/>
  <c r="F45" i="175"/>
  <c r="G45" i="175" s="1"/>
  <c r="F30" i="175"/>
  <c r="F37" i="175"/>
  <c r="F34" i="175"/>
  <c r="F21" i="175"/>
  <c r="F23" i="175"/>
  <c r="F44" i="175"/>
  <c r="F42" i="175"/>
  <c r="F22" i="175"/>
  <c r="I29" i="107"/>
  <c r="G28" i="147"/>
  <c r="I28" i="147"/>
  <c r="G18" i="147"/>
  <c r="I18" i="147"/>
  <c r="G39" i="161"/>
  <c r="I39" i="161"/>
  <c r="I44" i="219"/>
  <c r="G44" i="219"/>
  <c r="I12" i="219"/>
  <c r="G12" i="219"/>
  <c r="I44" i="74"/>
  <c r="G44" i="74"/>
  <c r="I18" i="74"/>
  <c r="G18" i="74"/>
  <c r="I43" i="113"/>
  <c r="G43" i="113"/>
  <c r="I31" i="206"/>
  <c r="G31" i="206"/>
  <c r="E48" i="367"/>
  <c r="F22" i="274"/>
  <c r="F29" i="274"/>
  <c r="F31" i="274"/>
  <c r="F30" i="274"/>
  <c r="F43" i="274"/>
  <c r="F36" i="274"/>
  <c r="F13" i="274"/>
  <c r="F17" i="274"/>
  <c r="F38" i="274"/>
  <c r="F26" i="274"/>
  <c r="F14" i="274"/>
  <c r="F15" i="274"/>
  <c r="F21" i="274"/>
  <c r="F16" i="274"/>
  <c r="F35" i="274"/>
  <c r="F28" i="274"/>
  <c r="F10" i="274"/>
  <c r="F45" i="274"/>
  <c r="G45" i="274" s="1"/>
  <c r="F11" i="274"/>
  <c r="F42" i="274"/>
  <c r="F37" i="274"/>
  <c r="F34" i="274"/>
  <c r="F12" i="274"/>
  <c r="F23" i="274"/>
  <c r="F18" i="274"/>
  <c r="F27" i="274"/>
  <c r="F39" i="274"/>
  <c r="F44" i="274"/>
  <c r="E48" i="403"/>
  <c r="I17" i="57"/>
  <c r="G17" i="57"/>
  <c r="I18" i="110"/>
  <c r="G18" i="110"/>
  <c r="G35" i="63"/>
  <c r="I35" i="63"/>
  <c r="G27" i="66"/>
  <c r="I27" i="66"/>
  <c r="G36" i="66"/>
  <c r="I36" i="66"/>
  <c r="F34" i="133"/>
  <c r="F27" i="133"/>
  <c r="F23" i="133"/>
  <c r="F17" i="133"/>
  <c r="F37" i="133"/>
  <c r="F30" i="133"/>
  <c r="F35" i="133"/>
  <c r="F38" i="133"/>
  <c r="F10" i="133"/>
  <c r="F36" i="133"/>
  <c r="F42" i="133"/>
  <c r="F28" i="133"/>
  <c r="F29" i="133"/>
  <c r="F45" i="133"/>
  <c r="G45" i="133" s="1"/>
  <c r="F26" i="133"/>
  <c r="F21" i="133"/>
  <c r="F13" i="133"/>
  <c r="F18" i="133"/>
  <c r="F16" i="133"/>
  <c r="F11" i="133"/>
  <c r="F43" i="133"/>
  <c r="F14" i="133"/>
  <c r="F31" i="133"/>
  <c r="F15" i="133"/>
  <c r="F44" i="133"/>
  <c r="F39" i="133"/>
  <c r="F22" i="133"/>
  <c r="F12" i="133"/>
  <c r="F44" i="325"/>
  <c r="F26" i="325"/>
  <c r="F39" i="325"/>
  <c r="F36" i="325"/>
  <c r="F16" i="325"/>
  <c r="F29" i="325"/>
  <c r="F13" i="325"/>
  <c r="F12" i="325"/>
  <c r="F17" i="325"/>
  <c r="F22" i="325"/>
  <c r="F11" i="325"/>
  <c r="F23" i="325"/>
  <c r="F45" i="325"/>
  <c r="G45" i="325" s="1"/>
  <c r="F30" i="325"/>
  <c r="F38" i="325"/>
  <c r="F15" i="325"/>
  <c r="F27" i="325"/>
  <c r="F28" i="325"/>
  <c r="F43" i="325"/>
  <c r="F37" i="325"/>
  <c r="F10" i="325"/>
  <c r="F42" i="325"/>
  <c r="F35" i="325"/>
  <c r="F21" i="325"/>
  <c r="F34" i="325"/>
  <c r="F18" i="325"/>
  <c r="F31" i="325"/>
  <c r="F14" i="325"/>
  <c r="I37" i="383"/>
  <c r="G37" i="383"/>
  <c r="I43" i="383"/>
  <c r="G43" i="383"/>
  <c r="I10" i="290"/>
  <c r="G10" i="290"/>
  <c r="G13" i="290"/>
  <c r="I13" i="290"/>
  <c r="G15" i="345"/>
  <c r="I15" i="345"/>
  <c r="G38" i="345"/>
  <c r="I38" i="345"/>
  <c r="I30" i="378"/>
  <c r="G30" i="378"/>
  <c r="I39" i="378"/>
  <c r="G39" i="378"/>
  <c r="G14" i="254"/>
  <c r="I14" i="254"/>
  <c r="G36" i="254"/>
  <c r="I36" i="254"/>
  <c r="F11" i="313"/>
  <c r="F45" i="313"/>
  <c r="G45" i="313" s="1"/>
  <c r="F37" i="313"/>
  <c r="F12" i="313"/>
  <c r="F39" i="313"/>
  <c r="F43" i="313"/>
  <c r="F13" i="313"/>
  <c r="F35" i="313"/>
  <c r="F17" i="313"/>
  <c r="F22" i="313"/>
  <c r="F31" i="313"/>
  <c r="F15" i="313"/>
  <c r="F44" i="313"/>
  <c r="F42" i="313"/>
  <c r="F23" i="313"/>
  <c r="F18" i="313"/>
  <c r="F14" i="313"/>
  <c r="F16" i="313"/>
  <c r="F30" i="313"/>
  <c r="F10" i="313"/>
  <c r="F26" i="313"/>
  <c r="F38" i="313"/>
  <c r="F21" i="313"/>
  <c r="F29" i="313"/>
  <c r="F27" i="313"/>
  <c r="F36" i="313"/>
  <c r="F28" i="313"/>
  <c r="F34" i="313"/>
  <c r="I11" i="356"/>
  <c r="G11" i="356"/>
  <c r="I15" i="356"/>
  <c r="G15" i="356"/>
  <c r="I42" i="105"/>
  <c r="G42" i="105"/>
  <c r="G14" i="50"/>
  <c r="I14" i="50"/>
  <c r="G30" i="50"/>
  <c r="I30" i="50"/>
  <c r="I21" i="280"/>
  <c r="G21" i="280"/>
  <c r="I30" i="280"/>
  <c r="G30" i="280"/>
  <c r="I14" i="331"/>
  <c r="G14" i="331"/>
  <c r="I17" i="241"/>
  <c r="G17" i="241"/>
  <c r="I44" i="241"/>
  <c r="G44" i="241"/>
  <c r="J50" i="406"/>
  <c r="E50" i="406"/>
  <c r="G10" i="312"/>
  <c r="I10" i="312"/>
  <c r="E48" i="321"/>
  <c r="I31" i="42"/>
  <c r="G31" i="42"/>
  <c r="I37" i="42"/>
  <c r="G37" i="42"/>
  <c r="G15" i="73"/>
  <c r="I15" i="73"/>
  <c r="G36" i="182"/>
  <c r="I36" i="182"/>
  <c r="G22" i="182"/>
  <c r="I22" i="182"/>
  <c r="G43" i="94"/>
  <c r="I43" i="94"/>
  <c r="I42" i="94"/>
  <c r="G42" i="94"/>
  <c r="F44" i="397"/>
  <c r="F23" i="397"/>
  <c r="F26" i="397"/>
  <c r="F42" i="397"/>
  <c r="F31" i="397"/>
  <c r="F12" i="397"/>
  <c r="F35" i="397"/>
  <c r="F43" i="397"/>
  <c r="F11" i="397"/>
  <c r="F13" i="397"/>
  <c r="F16" i="397"/>
  <c r="F38" i="397"/>
  <c r="F21" i="397"/>
  <c r="F22" i="397"/>
  <c r="F10" i="397"/>
  <c r="F17" i="397"/>
  <c r="F18" i="397"/>
  <c r="F39" i="397"/>
  <c r="F34" i="397"/>
  <c r="F45" i="397"/>
  <c r="G45" i="397" s="1"/>
  <c r="F14" i="397"/>
  <c r="F27" i="397"/>
  <c r="F36" i="397"/>
  <c r="F28" i="397"/>
  <c r="F30" i="397"/>
  <c r="F15" i="397"/>
  <c r="F29" i="397"/>
  <c r="F37" i="397"/>
  <c r="I30" i="387"/>
  <c r="G30" i="387"/>
  <c r="I13" i="387"/>
  <c r="G13" i="387"/>
  <c r="I14" i="311"/>
  <c r="G14" i="311"/>
  <c r="G27" i="311"/>
  <c r="I27" i="311"/>
  <c r="I35" i="70"/>
  <c r="G35" i="70"/>
  <c r="F17" i="251"/>
  <c r="F27" i="251"/>
  <c r="F43" i="251"/>
  <c r="F14" i="251"/>
  <c r="F23" i="251"/>
  <c r="F35" i="251"/>
  <c r="F30" i="251"/>
  <c r="F12" i="251"/>
  <c r="F26" i="251"/>
  <c r="F39" i="251"/>
  <c r="F16" i="251"/>
  <c r="F31" i="251"/>
  <c r="F44" i="251"/>
  <c r="F42" i="251"/>
  <c r="F28" i="251"/>
  <c r="F22" i="251"/>
  <c r="F37" i="251"/>
  <c r="F10" i="251"/>
  <c r="F11" i="251"/>
  <c r="F21" i="251"/>
  <c r="F13" i="251"/>
  <c r="F36" i="251"/>
  <c r="F34" i="251"/>
  <c r="F45" i="251"/>
  <c r="G45" i="251" s="1"/>
  <c r="F15" i="251"/>
  <c r="F29" i="251"/>
  <c r="F38" i="251"/>
  <c r="F18" i="251"/>
  <c r="I35" i="395"/>
  <c r="G35" i="395"/>
  <c r="G17" i="395"/>
  <c r="I17" i="395"/>
  <c r="I17" i="217"/>
  <c r="G17" i="217"/>
  <c r="G31" i="217"/>
  <c r="I31" i="217"/>
  <c r="I37" i="114"/>
  <c r="G37" i="114"/>
  <c r="I18" i="114"/>
  <c r="G18" i="114"/>
  <c r="I30" i="107"/>
  <c r="G30" i="107"/>
  <c r="G42" i="383"/>
  <c r="I42" i="383"/>
  <c r="I13" i="345"/>
  <c r="G13" i="345"/>
  <c r="F43" i="357"/>
  <c r="F17" i="357"/>
  <c r="F38" i="357"/>
  <c r="F15" i="357"/>
  <c r="F12" i="357"/>
  <c r="F13" i="357"/>
  <c r="F35" i="357"/>
  <c r="I28" i="280"/>
  <c r="G28" i="280"/>
  <c r="G22" i="241"/>
  <c r="I22" i="241"/>
  <c r="I23" i="42"/>
  <c r="G23" i="42"/>
  <c r="G14" i="94"/>
  <c r="I14" i="94"/>
  <c r="I39" i="387"/>
  <c r="G39" i="387"/>
  <c r="G44" i="387"/>
  <c r="I44" i="387"/>
  <c r="C46" i="476"/>
  <c r="I12" i="110"/>
  <c r="G12" i="110"/>
  <c r="I36" i="383"/>
  <c r="I43" i="254"/>
  <c r="G43" i="254"/>
  <c r="I39" i="356"/>
  <c r="G39" i="356"/>
  <c r="I18" i="241"/>
  <c r="G18" i="241"/>
  <c r="I10" i="42"/>
  <c r="G10" i="42"/>
  <c r="F42" i="47"/>
  <c r="F17" i="47"/>
  <c r="F44" i="47"/>
  <c r="F15" i="47"/>
  <c r="F16" i="47"/>
  <c r="F39" i="47"/>
  <c r="F31" i="47"/>
  <c r="F36" i="47"/>
  <c r="F37" i="47"/>
  <c r="F35" i="47"/>
  <c r="F11" i="47"/>
  <c r="F10" i="47"/>
  <c r="F27" i="47"/>
  <c r="F14" i="47"/>
  <c r="F28" i="47"/>
  <c r="F12" i="47"/>
  <c r="F23" i="47"/>
  <c r="F34" i="47"/>
  <c r="F29" i="47"/>
  <c r="F13" i="47"/>
  <c r="F45" i="47"/>
  <c r="G45" i="47" s="1"/>
  <c r="F18" i="47"/>
  <c r="F38" i="47"/>
  <c r="F22" i="47"/>
  <c r="F30" i="47"/>
  <c r="F43" i="47"/>
  <c r="F21" i="47"/>
  <c r="F26" i="47"/>
  <c r="I37" i="387"/>
  <c r="G37" i="387"/>
  <c r="G37" i="217"/>
  <c r="I37" i="217"/>
  <c r="H48" i="53"/>
  <c r="H50" i="53" s="1"/>
  <c r="E6" i="53" s="1"/>
  <c r="F12" i="215"/>
  <c r="F35" i="215"/>
  <c r="I35" i="215" s="1"/>
  <c r="G28" i="107"/>
  <c r="I28" i="107"/>
  <c r="I10" i="107"/>
  <c r="G10" i="107"/>
  <c r="I37" i="147"/>
  <c r="G37" i="147"/>
  <c r="I35" i="147"/>
  <c r="G35" i="147"/>
  <c r="I22" i="161"/>
  <c r="G22" i="161"/>
  <c r="I13" i="161"/>
  <c r="G13" i="161"/>
  <c r="F10" i="116"/>
  <c r="F37" i="116"/>
  <c r="F44" i="116"/>
  <c r="F27" i="116"/>
  <c r="F22" i="116"/>
  <c r="F39" i="116"/>
  <c r="F29" i="116"/>
  <c r="F31" i="116"/>
  <c r="F43" i="116"/>
  <c r="F38" i="116"/>
  <c r="F23" i="116"/>
  <c r="F42" i="116"/>
  <c r="F34" i="116"/>
  <c r="F36" i="116"/>
  <c r="F26" i="116"/>
  <c r="F12" i="116"/>
  <c r="F16" i="116"/>
  <c r="F45" i="116"/>
  <c r="G45" i="116" s="1"/>
  <c r="F13" i="116"/>
  <c r="F14" i="116"/>
  <c r="F35" i="116"/>
  <c r="F21" i="116"/>
  <c r="F15" i="116"/>
  <c r="F30" i="116"/>
  <c r="F11" i="116"/>
  <c r="F18" i="116"/>
  <c r="F28" i="116"/>
  <c r="F17" i="116"/>
  <c r="F39" i="454"/>
  <c r="F10" i="454"/>
  <c r="F28" i="454"/>
  <c r="F34" i="454"/>
  <c r="F30" i="454"/>
  <c r="F45" i="454"/>
  <c r="G45" i="454" s="1"/>
  <c r="F15" i="454"/>
  <c r="F37" i="454"/>
  <c r="F26" i="454"/>
  <c r="F11" i="454"/>
  <c r="F35" i="454"/>
  <c r="F29" i="454"/>
  <c r="F13" i="454"/>
  <c r="F12" i="454"/>
  <c r="F23" i="454"/>
  <c r="F38" i="454"/>
  <c r="F16" i="454"/>
  <c r="F31" i="454"/>
  <c r="F44" i="454"/>
  <c r="F42" i="454"/>
  <c r="F18" i="454"/>
  <c r="F43" i="454"/>
  <c r="F21" i="454"/>
  <c r="F22" i="454"/>
  <c r="F17" i="454"/>
  <c r="F36" i="454"/>
  <c r="F27" i="454"/>
  <c r="F14" i="454"/>
  <c r="I39" i="219"/>
  <c r="G39" i="219"/>
  <c r="I34" i="219"/>
  <c r="G34" i="219"/>
  <c r="I28" i="74"/>
  <c r="G28" i="74"/>
  <c r="I37" i="74"/>
  <c r="G37" i="74"/>
  <c r="F38" i="432"/>
  <c r="F28" i="432"/>
  <c r="F17" i="432"/>
  <c r="F26" i="432"/>
  <c r="F18" i="432"/>
  <c r="F13" i="432"/>
  <c r="F21" i="432"/>
  <c r="F23" i="432"/>
  <c r="F22" i="432"/>
  <c r="F42" i="432"/>
  <c r="F29" i="432"/>
  <c r="F44" i="432"/>
  <c r="F30" i="432"/>
  <c r="F31" i="432"/>
  <c r="F34" i="432"/>
  <c r="F15" i="432"/>
  <c r="F37" i="432"/>
  <c r="F10" i="432"/>
  <c r="F14" i="432"/>
  <c r="F36" i="432"/>
  <c r="F16" i="432"/>
  <c r="F39" i="432"/>
  <c r="F43" i="432"/>
  <c r="F45" i="432"/>
  <c r="G45" i="432" s="1"/>
  <c r="F27" i="432"/>
  <c r="F12" i="432"/>
  <c r="F35" i="432"/>
  <c r="F11" i="432"/>
  <c r="G35" i="113"/>
  <c r="I35" i="113"/>
  <c r="I23" i="206"/>
  <c r="G23" i="206"/>
  <c r="I10" i="73"/>
  <c r="G10" i="73"/>
  <c r="G27" i="57"/>
  <c r="I27" i="57"/>
  <c r="I34" i="57"/>
  <c r="G34" i="57"/>
  <c r="G36" i="110"/>
  <c r="I36" i="110"/>
  <c r="F44" i="240"/>
  <c r="F16" i="240"/>
  <c r="F11" i="240"/>
  <c r="F23" i="240"/>
  <c r="F28" i="240"/>
  <c r="F34" i="240"/>
  <c r="F17" i="240"/>
  <c r="F45" i="240"/>
  <c r="G45" i="240" s="1"/>
  <c r="F39" i="240"/>
  <c r="F26" i="240"/>
  <c r="F29" i="240"/>
  <c r="F27" i="240"/>
  <c r="F30" i="240"/>
  <c r="F12" i="240"/>
  <c r="F13" i="240"/>
  <c r="F15" i="240"/>
  <c r="F21" i="240"/>
  <c r="F43" i="240"/>
  <c r="F31" i="240"/>
  <c r="F35" i="240"/>
  <c r="F36" i="240"/>
  <c r="F18" i="240"/>
  <c r="F42" i="240"/>
  <c r="F38" i="240"/>
  <c r="F37" i="240"/>
  <c r="F14" i="240"/>
  <c r="F10" i="240"/>
  <c r="F22" i="240"/>
  <c r="F28" i="83"/>
  <c r="F27" i="83"/>
  <c r="F29" i="83"/>
  <c r="F36" i="83"/>
  <c r="F26" i="83"/>
  <c r="F39" i="83"/>
  <c r="F17" i="83"/>
  <c r="F13" i="83"/>
  <c r="F34" i="83"/>
  <c r="F31" i="83"/>
  <c r="F43" i="83"/>
  <c r="F44" i="83"/>
  <c r="F45" i="83"/>
  <c r="G45" i="83" s="1"/>
  <c r="F23" i="83"/>
  <c r="F14" i="83"/>
  <c r="F16" i="83"/>
  <c r="F42" i="83"/>
  <c r="F37" i="83"/>
  <c r="F12" i="83"/>
  <c r="F38" i="83"/>
  <c r="F35" i="83"/>
  <c r="F10" i="83"/>
  <c r="F21" i="83"/>
  <c r="F18" i="83"/>
  <c r="F11" i="83"/>
  <c r="F15" i="83"/>
  <c r="F30" i="83"/>
  <c r="F22" i="83"/>
  <c r="G18" i="63"/>
  <c r="I18" i="63"/>
  <c r="I39" i="66"/>
  <c r="G39" i="66"/>
  <c r="I14" i="383"/>
  <c r="G14" i="383"/>
  <c r="I29" i="290"/>
  <c r="G29" i="290"/>
  <c r="I28" i="345"/>
  <c r="G28" i="345"/>
  <c r="I43" i="345"/>
  <c r="G43" i="345"/>
  <c r="F18" i="33"/>
  <c r="F26" i="33"/>
  <c r="F42" i="33"/>
  <c r="F13" i="33"/>
  <c r="F17" i="33"/>
  <c r="F29" i="33"/>
  <c r="F15" i="33"/>
  <c r="F21" i="33"/>
  <c r="F28" i="33"/>
  <c r="F11" i="33"/>
  <c r="F37" i="33"/>
  <c r="F12" i="33"/>
  <c r="F16" i="33"/>
  <c r="F10" i="33"/>
  <c r="F30" i="33"/>
  <c r="F31" i="33"/>
  <c r="F39" i="33"/>
  <c r="F45" i="33"/>
  <c r="G45" i="33" s="1"/>
  <c r="F43" i="33"/>
  <c r="F36" i="33"/>
  <c r="F34" i="33"/>
  <c r="F23" i="33"/>
  <c r="F14" i="33"/>
  <c r="F35" i="33"/>
  <c r="F38" i="33"/>
  <c r="F44" i="33"/>
  <c r="F22" i="33"/>
  <c r="F27" i="33"/>
  <c r="G17" i="378"/>
  <c r="I17" i="378"/>
  <c r="I12" i="378"/>
  <c r="G12" i="378"/>
  <c r="I44" i="254"/>
  <c r="G44" i="254"/>
  <c r="I21" i="254"/>
  <c r="G21" i="254"/>
  <c r="I26" i="356"/>
  <c r="G26" i="356"/>
  <c r="I37" i="105"/>
  <c r="G37" i="105"/>
  <c r="I44" i="105"/>
  <c r="G44" i="105"/>
  <c r="J50" i="386"/>
  <c r="E50" i="386"/>
  <c r="G22" i="50"/>
  <c r="I22" i="50"/>
  <c r="I13" i="50"/>
  <c r="G13" i="50"/>
  <c r="I39" i="280"/>
  <c r="G39" i="280"/>
  <c r="I12" i="331"/>
  <c r="G12" i="331"/>
  <c r="G31" i="331"/>
  <c r="I31" i="331"/>
  <c r="F31" i="102"/>
  <c r="F16" i="102"/>
  <c r="F13" i="102"/>
  <c r="F18" i="102"/>
  <c r="F14" i="102"/>
  <c r="F35" i="102"/>
  <c r="F23" i="102"/>
  <c r="F36" i="102"/>
  <c r="F15" i="102"/>
  <c r="F22" i="102"/>
  <c r="F21" i="102"/>
  <c r="F26" i="102"/>
  <c r="F39" i="102"/>
  <c r="F11" i="102"/>
  <c r="F43" i="102"/>
  <c r="F37" i="102"/>
  <c r="F34" i="102"/>
  <c r="F45" i="102"/>
  <c r="G45" i="102" s="1"/>
  <c r="F10" i="102"/>
  <c r="F29" i="102"/>
  <c r="F38" i="102"/>
  <c r="F27" i="102"/>
  <c r="F30" i="102"/>
  <c r="F12" i="102"/>
  <c r="F28" i="102"/>
  <c r="F44" i="102"/>
  <c r="F42" i="102"/>
  <c r="F17" i="102"/>
  <c r="G31" i="241"/>
  <c r="I31" i="241"/>
  <c r="H48" i="89"/>
  <c r="H50" i="89" s="1"/>
  <c r="E6" i="89" s="1"/>
  <c r="I22" i="312"/>
  <c r="G22" i="312"/>
  <c r="F45" i="227"/>
  <c r="G45" i="227" s="1"/>
  <c r="F38" i="227"/>
  <c r="F13" i="227"/>
  <c r="F14" i="227"/>
  <c r="F28" i="227"/>
  <c r="F42" i="227"/>
  <c r="F10" i="227"/>
  <c r="F34" i="227"/>
  <c r="F27" i="227"/>
  <c r="F11" i="227"/>
  <c r="F29" i="227"/>
  <c r="F26" i="227"/>
  <c r="F30" i="227"/>
  <c r="F23" i="227"/>
  <c r="F43" i="227"/>
  <c r="F35" i="227"/>
  <c r="F18" i="227"/>
  <c r="F36" i="227"/>
  <c r="F39" i="227"/>
  <c r="F22" i="227"/>
  <c r="F44" i="227"/>
  <c r="F12" i="227"/>
  <c r="F15" i="227"/>
  <c r="F37" i="227"/>
  <c r="F16" i="227"/>
  <c r="F21" i="227"/>
  <c r="F31" i="227"/>
  <c r="F17" i="227"/>
  <c r="G17" i="42"/>
  <c r="I17" i="42"/>
  <c r="G27" i="42"/>
  <c r="I27" i="42"/>
  <c r="I26" i="73"/>
  <c r="G26" i="73"/>
  <c r="I44" i="182"/>
  <c r="G44" i="182"/>
  <c r="I42" i="182"/>
  <c r="G42" i="182"/>
  <c r="I16" i="94"/>
  <c r="G16" i="94"/>
  <c r="I10" i="94"/>
  <c r="G10" i="94"/>
  <c r="F43" i="34"/>
  <c r="F16" i="34"/>
  <c r="F42" i="34"/>
  <c r="F27" i="34"/>
  <c r="F12" i="34"/>
  <c r="F28" i="34"/>
  <c r="F14" i="34"/>
  <c r="F37" i="34"/>
  <c r="F45" i="34"/>
  <c r="G45" i="34" s="1"/>
  <c r="F15" i="34"/>
  <c r="F29" i="34"/>
  <c r="F31" i="34"/>
  <c r="F23" i="34"/>
  <c r="F21" i="34"/>
  <c r="F26" i="34"/>
  <c r="F35" i="34"/>
  <c r="F10" i="34"/>
  <c r="F30" i="34"/>
  <c r="F36" i="34"/>
  <c r="F22" i="34"/>
  <c r="F17" i="34"/>
  <c r="F38" i="34"/>
  <c r="F34" i="34"/>
  <c r="F44" i="34"/>
  <c r="F11" i="34"/>
  <c r="F18" i="34"/>
  <c r="F13" i="34"/>
  <c r="F39" i="34"/>
  <c r="G29" i="387"/>
  <c r="I29" i="387"/>
  <c r="G34" i="387"/>
  <c r="I34" i="387"/>
  <c r="I21" i="311"/>
  <c r="G21" i="311"/>
  <c r="G10" i="70"/>
  <c r="I10" i="70"/>
  <c r="I10" i="395"/>
  <c r="G10" i="395"/>
  <c r="G37" i="395"/>
  <c r="I37" i="395"/>
  <c r="I28" i="217"/>
  <c r="G28" i="217"/>
  <c r="G38" i="217"/>
  <c r="I38" i="217"/>
  <c r="G23" i="114"/>
  <c r="I23" i="114"/>
  <c r="I36" i="206"/>
  <c r="G36" i="206"/>
  <c r="I28" i="290"/>
  <c r="G28" i="290"/>
  <c r="I17" i="70"/>
  <c r="G17" i="70"/>
  <c r="I18" i="107"/>
  <c r="G18" i="107"/>
  <c r="G38" i="219"/>
  <c r="I38" i="219"/>
  <c r="G15" i="206"/>
  <c r="I15" i="206"/>
  <c r="I44" i="345"/>
  <c r="G44" i="345"/>
  <c r="I18" i="356"/>
  <c r="G18" i="356"/>
  <c r="I11" i="50"/>
  <c r="G11" i="50"/>
  <c r="G16" i="114"/>
  <c r="I16" i="114"/>
  <c r="F11" i="215"/>
  <c r="G11" i="215" s="1"/>
  <c r="F27" i="215"/>
  <c r="I17" i="107"/>
  <c r="G17" i="107"/>
  <c r="I36" i="147"/>
  <c r="G36" i="147"/>
  <c r="I17" i="147"/>
  <c r="G17" i="147"/>
  <c r="G17" i="161"/>
  <c r="I17" i="161"/>
  <c r="G26" i="161"/>
  <c r="I26" i="161"/>
  <c r="F45" i="452"/>
  <c r="G45" i="452" s="1"/>
  <c r="F43" i="452"/>
  <c r="I21" i="219"/>
  <c r="G21" i="219"/>
  <c r="G13" i="74"/>
  <c r="I13" i="74"/>
  <c r="I17" i="74"/>
  <c r="G17" i="74"/>
  <c r="I13" i="113"/>
  <c r="G13" i="113"/>
  <c r="F27" i="281"/>
  <c r="F22" i="281"/>
  <c r="F11" i="281"/>
  <c r="F17" i="281"/>
  <c r="F37" i="281"/>
  <c r="F10" i="281"/>
  <c r="F34" i="281"/>
  <c r="F28" i="281"/>
  <c r="F18" i="281"/>
  <c r="F39" i="281"/>
  <c r="F14" i="281"/>
  <c r="F23" i="281"/>
  <c r="F35" i="281"/>
  <c r="F38" i="281"/>
  <c r="F42" i="281"/>
  <c r="F21" i="281"/>
  <c r="F44" i="281"/>
  <c r="F31" i="281"/>
  <c r="F12" i="281"/>
  <c r="F30" i="281"/>
  <c r="F29" i="281"/>
  <c r="F13" i="281"/>
  <c r="F45" i="281"/>
  <c r="G45" i="281" s="1"/>
  <c r="F36" i="281"/>
  <c r="F26" i="281"/>
  <c r="F43" i="281"/>
  <c r="F16" i="281"/>
  <c r="F15" i="281"/>
  <c r="I34" i="206"/>
  <c r="G34" i="206"/>
  <c r="G44" i="206"/>
  <c r="I44" i="206"/>
  <c r="F30" i="220"/>
  <c r="F15" i="220"/>
  <c r="F12" i="220"/>
  <c r="F35" i="220"/>
  <c r="F36" i="220"/>
  <c r="F23" i="220"/>
  <c r="F29" i="220"/>
  <c r="F28" i="220"/>
  <c r="F21" i="220"/>
  <c r="F34" i="220"/>
  <c r="F44" i="220"/>
  <c r="F16" i="220"/>
  <c r="F22" i="220"/>
  <c r="F39" i="220"/>
  <c r="F26" i="220"/>
  <c r="F11" i="220"/>
  <c r="F45" i="220"/>
  <c r="G45" i="220" s="1"/>
  <c r="F18" i="220"/>
  <c r="F43" i="220"/>
  <c r="F38" i="220"/>
  <c r="F31" i="220"/>
  <c r="F42" i="220"/>
  <c r="F10" i="220"/>
  <c r="F37" i="220"/>
  <c r="F13" i="220"/>
  <c r="F27" i="220"/>
  <c r="F14" i="220"/>
  <c r="F17" i="220"/>
  <c r="I13" i="57"/>
  <c r="G13" i="57"/>
  <c r="I43" i="57"/>
  <c r="G43" i="57"/>
  <c r="I22" i="110"/>
  <c r="G22" i="110"/>
  <c r="F27" i="71"/>
  <c r="F35" i="71"/>
  <c r="F28" i="71"/>
  <c r="F26" i="71"/>
  <c r="F37" i="71"/>
  <c r="F31" i="71"/>
  <c r="F11" i="71"/>
  <c r="F13" i="71"/>
  <c r="F10" i="71"/>
  <c r="F18" i="71"/>
  <c r="F14" i="71"/>
  <c r="F29" i="71"/>
  <c r="F17" i="71"/>
  <c r="F12" i="71"/>
  <c r="F16" i="71"/>
  <c r="F39" i="71"/>
  <c r="F21" i="71"/>
  <c r="F43" i="71"/>
  <c r="F42" i="71"/>
  <c r="F15" i="71"/>
  <c r="F44" i="71"/>
  <c r="F34" i="71"/>
  <c r="F36" i="71"/>
  <c r="F23" i="71"/>
  <c r="F45" i="71"/>
  <c r="G45" i="71" s="1"/>
  <c r="F30" i="71"/>
  <c r="F38" i="71"/>
  <c r="F22" i="71"/>
  <c r="F29" i="213"/>
  <c r="F18" i="213"/>
  <c r="F14" i="213"/>
  <c r="F12" i="213"/>
  <c r="F13" i="213"/>
  <c r="F45" i="213"/>
  <c r="G45" i="213" s="1"/>
  <c r="F15" i="213"/>
  <c r="F34" i="213"/>
  <c r="F27" i="213"/>
  <c r="F28" i="213"/>
  <c r="F39" i="213"/>
  <c r="F23" i="213"/>
  <c r="F21" i="213"/>
  <c r="F38" i="213"/>
  <c r="F11" i="213"/>
  <c r="F10" i="213"/>
  <c r="F17" i="213"/>
  <c r="F35" i="213"/>
  <c r="F26" i="213"/>
  <c r="F42" i="213"/>
  <c r="F31" i="213"/>
  <c r="F37" i="213"/>
  <c r="F30" i="213"/>
  <c r="F22" i="213"/>
  <c r="F43" i="213"/>
  <c r="F36" i="213"/>
  <c r="F16" i="213"/>
  <c r="F44" i="213"/>
  <c r="G26" i="63"/>
  <c r="I26" i="63"/>
  <c r="G29" i="66"/>
  <c r="I29" i="66"/>
  <c r="G31" i="66"/>
  <c r="I31" i="66"/>
  <c r="F45" i="201"/>
  <c r="G45" i="201" s="1"/>
  <c r="F13" i="201"/>
  <c r="F39" i="201"/>
  <c r="F27" i="201"/>
  <c r="F17" i="201"/>
  <c r="F30" i="201"/>
  <c r="F29" i="201"/>
  <c r="F36" i="201"/>
  <c r="F28" i="201"/>
  <c r="F42" i="201"/>
  <c r="F10" i="201"/>
  <c r="F31" i="201"/>
  <c r="F37" i="201"/>
  <c r="F12" i="201"/>
  <c r="F35" i="201"/>
  <c r="F18" i="201"/>
  <c r="F21" i="201"/>
  <c r="F26" i="201"/>
  <c r="F15" i="201"/>
  <c r="F16" i="201"/>
  <c r="F38" i="201"/>
  <c r="F22" i="201"/>
  <c r="F14" i="201"/>
  <c r="F11" i="201"/>
  <c r="F23" i="201"/>
  <c r="F44" i="201"/>
  <c r="F34" i="201"/>
  <c r="F43" i="201"/>
  <c r="F30" i="5"/>
  <c r="F42" i="5"/>
  <c r="F44" i="5"/>
  <c r="F26" i="5"/>
  <c r="F15" i="5"/>
  <c r="F23" i="5"/>
  <c r="F12" i="5"/>
  <c r="F14" i="5"/>
  <c r="F17" i="5"/>
  <c r="F34" i="5"/>
  <c r="F38" i="5"/>
  <c r="F39" i="5"/>
  <c r="F11" i="5"/>
  <c r="F16" i="5"/>
  <c r="F36" i="5"/>
  <c r="F35" i="5"/>
  <c r="F31" i="5"/>
  <c r="F18" i="5"/>
  <c r="F13" i="5"/>
  <c r="F21" i="5"/>
  <c r="F43" i="5"/>
  <c r="F37" i="5"/>
  <c r="F10" i="5"/>
  <c r="F22" i="5"/>
  <c r="F27" i="5"/>
  <c r="F45" i="5"/>
  <c r="G45" i="5" s="1"/>
  <c r="F29" i="5"/>
  <c r="F28" i="5"/>
  <c r="I35" i="383"/>
  <c r="G35" i="383"/>
  <c r="G44" i="290"/>
  <c r="I44" i="290"/>
  <c r="I23" i="345"/>
  <c r="G23" i="345"/>
  <c r="G13" i="378"/>
  <c r="I13" i="378"/>
  <c r="G34" i="254"/>
  <c r="I34" i="254"/>
  <c r="F11" i="101"/>
  <c r="F43" i="101"/>
  <c r="F36" i="101"/>
  <c r="F10" i="101"/>
  <c r="F15" i="101"/>
  <c r="F38" i="101"/>
  <c r="F14" i="101"/>
  <c r="F13" i="101"/>
  <c r="F26" i="101"/>
  <c r="F21" i="101"/>
  <c r="F34" i="101"/>
  <c r="F16" i="101"/>
  <c r="F12" i="101"/>
  <c r="F29" i="101"/>
  <c r="F28" i="101"/>
  <c r="F22" i="101"/>
  <c r="F31" i="101"/>
  <c r="F35" i="101"/>
  <c r="F18" i="101"/>
  <c r="F39" i="101"/>
  <c r="F45" i="101"/>
  <c r="G45" i="101" s="1"/>
  <c r="F44" i="101"/>
  <c r="F42" i="101"/>
  <c r="F23" i="101"/>
  <c r="F30" i="101"/>
  <c r="F17" i="101"/>
  <c r="F37" i="101"/>
  <c r="F27" i="101"/>
  <c r="E48" i="345"/>
  <c r="G31" i="356"/>
  <c r="I31" i="356"/>
  <c r="G27" i="105"/>
  <c r="I27" i="105"/>
  <c r="I23" i="105"/>
  <c r="G23" i="105"/>
  <c r="E24" i="386"/>
  <c r="E31" i="386"/>
  <c r="E28" i="386"/>
  <c r="E29" i="386"/>
  <c r="E46" i="386"/>
  <c r="A52" i="386" s="1"/>
  <c r="E37" i="386"/>
  <c r="E38" i="386"/>
  <c r="E42" i="386"/>
  <c r="E44" i="386"/>
  <c r="E26" i="386"/>
  <c r="E39" i="386"/>
  <c r="E43" i="386"/>
  <c r="E30" i="386"/>
  <c r="E34" i="386"/>
  <c r="E23" i="386"/>
  <c r="E36" i="386"/>
  <c r="E22" i="386"/>
  <c r="E40" i="386"/>
  <c r="E45" i="386"/>
  <c r="E21" i="386"/>
  <c r="E27" i="386"/>
  <c r="E35" i="386"/>
  <c r="E48" i="340"/>
  <c r="G36" i="50"/>
  <c r="I36" i="50"/>
  <c r="G38" i="50"/>
  <c r="I38" i="50"/>
  <c r="G11" i="280"/>
  <c r="I11" i="280"/>
  <c r="F11" i="169"/>
  <c r="F13" i="169"/>
  <c r="F22" i="169"/>
  <c r="F21" i="169"/>
  <c r="F35" i="169"/>
  <c r="F27" i="169"/>
  <c r="F36" i="169"/>
  <c r="F16" i="169"/>
  <c r="F23" i="169"/>
  <c r="F26" i="169"/>
  <c r="F37" i="169"/>
  <c r="F15" i="169"/>
  <c r="F28" i="169"/>
  <c r="F45" i="169"/>
  <c r="G45" i="169" s="1"/>
  <c r="F42" i="169"/>
  <c r="F14" i="169"/>
  <c r="F31" i="169"/>
  <c r="F44" i="169"/>
  <c r="F30" i="169"/>
  <c r="F39" i="169"/>
  <c r="F17" i="169"/>
  <c r="F18" i="169"/>
  <c r="F38" i="169"/>
  <c r="F43" i="169"/>
  <c r="F29" i="169"/>
  <c r="F34" i="169"/>
  <c r="F10" i="169"/>
  <c r="F12" i="169"/>
  <c r="G10" i="241"/>
  <c r="I10" i="241"/>
  <c r="F23" i="202"/>
  <c r="F27" i="202"/>
  <c r="F36" i="202"/>
  <c r="F10" i="202"/>
  <c r="F29" i="202"/>
  <c r="F45" i="202"/>
  <c r="G45" i="202" s="1"/>
  <c r="F31" i="202"/>
  <c r="F13" i="202"/>
  <c r="F30" i="202"/>
  <c r="F38" i="202"/>
  <c r="F22" i="202"/>
  <c r="F39" i="202"/>
  <c r="F21" i="202"/>
  <c r="F37" i="202"/>
  <c r="F16" i="202"/>
  <c r="F15" i="202"/>
  <c r="F12" i="202"/>
  <c r="F28" i="202"/>
  <c r="F26" i="202"/>
  <c r="F11" i="202"/>
  <c r="F14" i="202"/>
  <c r="F44" i="202"/>
  <c r="F35" i="202"/>
  <c r="F34" i="202"/>
  <c r="F17" i="202"/>
  <c r="F43" i="202"/>
  <c r="F42" i="202"/>
  <c r="F18" i="202"/>
  <c r="I31" i="312"/>
  <c r="G31" i="312"/>
  <c r="F37" i="87"/>
  <c r="F31" i="87"/>
  <c r="F21" i="87"/>
  <c r="F10" i="87"/>
  <c r="F22" i="87"/>
  <c r="F17" i="87"/>
  <c r="F35" i="87"/>
  <c r="F18" i="87"/>
  <c r="F44" i="87"/>
  <c r="F39" i="87"/>
  <c r="F16" i="87"/>
  <c r="F38" i="87"/>
  <c r="F43" i="87"/>
  <c r="F23" i="87"/>
  <c r="F34" i="87"/>
  <c r="F29" i="87"/>
  <c r="F26" i="87"/>
  <c r="F13" i="87"/>
  <c r="F15" i="87"/>
  <c r="F11" i="87"/>
  <c r="F27" i="87"/>
  <c r="F14" i="87"/>
  <c r="F28" i="87"/>
  <c r="F30" i="87"/>
  <c r="F12" i="87"/>
  <c r="F45" i="87"/>
  <c r="G45" i="87" s="1"/>
  <c r="F36" i="87"/>
  <c r="F42" i="87"/>
  <c r="I43" i="42"/>
  <c r="G43" i="42"/>
  <c r="I14" i="42"/>
  <c r="G14" i="42"/>
  <c r="G35" i="73"/>
  <c r="I35" i="73"/>
  <c r="G21" i="182"/>
  <c r="I21" i="182"/>
  <c r="I18" i="94"/>
  <c r="G18" i="94"/>
  <c r="G44" i="94"/>
  <c r="I44" i="94"/>
  <c r="F30" i="403"/>
  <c r="F12" i="403"/>
  <c r="F31" i="403"/>
  <c r="F14" i="403"/>
  <c r="F13" i="403"/>
  <c r="F44" i="403"/>
  <c r="F28" i="403"/>
  <c r="F26" i="403"/>
  <c r="F29" i="403"/>
  <c r="F45" i="403"/>
  <c r="G45" i="403" s="1"/>
  <c r="F42" i="403"/>
  <c r="F34" i="403"/>
  <c r="F22" i="403"/>
  <c r="F36" i="403"/>
  <c r="F37" i="403"/>
  <c r="F39" i="403"/>
  <c r="F43" i="403"/>
  <c r="F15" i="403"/>
  <c r="F17" i="403"/>
  <c r="F18" i="403"/>
  <c r="F23" i="403"/>
  <c r="F21" i="403"/>
  <c r="F10" i="403"/>
  <c r="F11" i="403"/>
  <c r="F35" i="403"/>
  <c r="F16" i="403"/>
  <c r="F38" i="403"/>
  <c r="F27" i="403"/>
  <c r="I28" i="387"/>
  <c r="G28" i="387"/>
  <c r="I12" i="387"/>
  <c r="G12" i="387"/>
  <c r="G29" i="311"/>
  <c r="I29" i="311"/>
  <c r="I22" i="311"/>
  <c r="G22" i="311"/>
  <c r="G31" i="70"/>
  <c r="I31" i="70"/>
  <c r="F26" i="257"/>
  <c r="F37" i="257"/>
  <c r="F39" i="257"/>
  <c r="F45" i="257"/>
  <c r="G45" i="257" s="1"/>
  <c r="F16" i="257"/>
  <c r="F27" i="257"/>
  <c r="F29" i="257"/>
  <c r="F17" i="257"/>
  <c r="F23" i="257"/>
  <c r="F21" i="257"/>
  <c r="F36" i="257"/>
  <c r="F38" i="257"/>
  <c r="F35" i="257"/>
  <c r="F28" i="257"/>
  <c r="F14" i="257"/>
  <c r="F13" i="257"/>
  <c r="F43" i="257"/>
  <c r="F10" i="257"/>
  <c r="F31" i="257"/>
  <c r="F44" i="257"/>
  <c r="F34" i="257"/>
  <c r="F22" i="257"/>
  <c r="F12" i="257"/>
  <c r="F30" i="257"/>
  <c r="F11" i="257"/>
  <c r="F15" i="257"/>
  <c r="F18" i="257"/>
  <c r="F42" i="257"/>
  <c r="I34" i="395"/>
  <c r="G34" i="395"/>
  <c r="I11" i="395"/>
  <c r="G11" i="395"/>
  <c r="I16" i="217"/>
  <c r="G16" i="217"/>
  <c r="I13" i="217"/>
  <c r="G13" i="217"/>
  <c r="I44" i="114"/>
  <c r="G44" i="114"/>
  <c r="I26" i="114"/>
  <c r="G26" i="114"/>
  <c r="F23" i="226"/>
  <c r="F17" i="226"/>
  <c r="F36" i="226"/>
  <c r="F15" i="226"/>
  <c r="F39" i="226"/>
  <c r="F38" i="226"/>
  <c r="F37" i="226"/>
  <c r="F29" i="226"/>
  <c r="F21" i="226"/>
  <c r="F18" i="226"/>
  <c r="F28" i="226"/>
  <c r="F42" i="226"/>
  <c r="F26" i="226"/>
  <c r="F14" i="226"/>
  <c r="F35" i="226"/>
  <c r="F27" i="226"/>
  <c r="F10" i="226"/>
  <c r="F34" i="226"/>
  <c r="F30" i="226"/>
  <c r="F44" i="226"/>
  <c r="F22" i="226"/>
  <c r="F31" i="226"/>
  <c r="F13" i="226"/>
  <c r="F12" i="226"/>
  <c r="F43" i="226"/>
  <c r="F45" i="226"/>
  <c r="G45" i="226" s="1"/>
  <c r="F16" i="226"/>
  <c r="F11" i="226"/>
  <c r="I16" i="147"/>
  <c r="G16" i="147"/>
  <c r="F13" i="339"/>
  <c r="F14" i="339"/>
  <c r="F27" i="339"/>
  <c r="F15" i="339"/>
  <c r="F26" i="339"/>
  <c r="F39" i="339"/>
  <c r="F31" i="339"/>
  <c r="F36" i="339"/>
  <c r="F34" i="339"/>
  <c r="F23" i="339"/>
  <c r="F45" i="339"/>
  <c r="G45" i="339" s="1"/>
  <c r="F35" i="339"/>
  <c r="F12" i="339"/>
  <c r="F17" i="339"/>
  <c r="F42" i="339"/>
  <c r="F21" i="339"/>
  <c r="F28" i="339"/>
  <c r="F11" i="339"/>
  <c r="F30" i="339"/>
  <c r="F16" i="339"/>
  <c r="F38" i="339"/>
  <c r="F22" i="339"/>
  <c r="F29" i="339"/>
  <c r="F18" i="339"/>
  <c r="F44" i="339"/>
  <c r="F37" i="339"/>
  <c r="F10" i="339"/>
  <c r="F43" i="339"/>
  <c r="I13" i="63"/>
  <c r="G13" i="63"/>
  <c r="I11" i="254"/>
  <c r="G11" i="254"/>
  <c r="I44" i="331"/>
  <c r="G44" i="331"/>
  <c r="G34" i="312"/>
  <c r="I34" i="312"/>
  <c r="I43" i="182"/>
  <c r="G43" i="182"/>
  <c r="I16" i="244"/>
  <c r="G16" i="244"/>
  <c r="I42" i="217"/>
  <c r="G42" i="217"/>
  <c r="E32" i="138"/>
  <c r="E34" i="138"/>
  <c r="E27" i="138"/>
  <c r="E29" i="138"/>
  <c r="E42" i="138"/>
  <c r="E30" i="138"/>
  <c r="E43" i="138"/>
  <c r="E38" i="138"/>
  <c r="E39" i="138"/>
  <c r="E22" i="138"/>
  <c r="E28" i="138"/>
  <c r="E31" i="138"/>
  <c r="E35" i="138"/>
  <c r="E36" i="138"/>
  <c r="E37" i="138"/>
  <c r="E21" i="138"/>
  <c r="E45" i="138"/>
  <c r="E23" i="138"/>
  <c r="E24" i="138"/>
  <c r="E26" i="138"/>
  <c r="E40" i="138"/>
  <c r="E44" i="138"/>
  <c r="I10" i="254"/>
  <c r="G10" i="254"/>
  <c r="I43" i="280"/>
  <c r="G43" i="280"/>
  <c r="I27" i="241"/>
  <c r="G27" i="241"/>
  <c r="I43" i="312"/>
  <c r="G43" i="312"/>
  <c r="I11" i="73"/>
  <c r="G11" i="73"/>
  <c r="G13" i="94"/>
  <c r="I13" i="94"/>
  <c r="I19" i="187"/>
  <c r="F19" i="187" s="1"/>
  <c r="G19" i="187" s="1"/>
  <c r="F38" i="215"/>
  <c r="F22" i="215"/>
  <c r="G22" i="215" s="1"/>
  <c r="H48" i="337"/>
  <c r="H50" i="337" s="1"/>
  <c r="E6" i="337" s="1"/>
  <c r="C46" i="472"/>
  <c r="H48" i="423"/>
  <c r="H50" i="423" s="1"/>
  <c r="E6" i="423" s="1"/>
  <c r="H48" i="158"/>
  <c r="H50" i="158" s="1"/>
  <c r="E6" i="158" s="1"/>
  <c r="G39" i="107"/>
  <c r="I39" i="107"/>
  <c r="I16" i="107"/>
  <c r="G16" i="107"/>
  <c r="G27" i="147"/>
  <c r="I27" i="147"/>
  <c r="I11" i="147"/>
  <c r="G11" i="147"/>
  <c r="I44" i="161"/>
  <c r="G44" i="161"/>
  <c r="I35" i="161"/>
  <c r="G35" i="161"/>
  <c r="G26" i="219"/>
  <c r="I26" i="219"/>
  <c r="G35" i="74"/>
  <c r="I35" i="74"/>
  <c r="G11" i="74"/>
  <c r="I11" i="74"/>
  <c r="I14" i="206"/>
  <c r="G14" i="206"/>
  <c r="G30" i="206"/>
  <c r="I30" i="206"/>
  <c r="E48" i="229"/>
  <c r="G37" i="57"/>
  <c r="I37" i="57"/>
  <c r="I31" i="57"/>
  <c r="G31" i="57"/>
  <c r="I13" i="110"/>
  <c r="G13" i="110"/>
  <c r="F28" i="9"/>
  <c r="F26" i="9"/>
  <c r="F38" i="9"/>
  <c r="F29" i="9"/>
  <c r="F12" i="9"/>
  <c r="F27" i="9"/>
  <c r="F18" i="9"/>
  <c r="F17" i="9"/>
  <c r="F42" i="9"/>
  <c r="F30" i="9"/>
  <c r="F16" i="9"/>
  <c r="F23" i="9"/>
  <c r="F14" i="9"/>
  <c r="F36" i="9"/>
  <c r="F35" i="9"/>
  <c r="F31" i="9"/>
  <c r="F10" i="9"/>
  <c r="F13" i="9"/>
  <c r="F22" i="9"/>
  <c r="F21" i="9"/>
  <c r="F34" i="9"/>
  <c r="F11" i="9"/>
  <c r="F39" i="9"/>
  <c r="F43" i="9"/>
  <c r="F15" i="9"/>
  <c r="F44" i="9"/>
  <c r="F45" i="9"/>
  <c r="G45" i="9" s="1"/>
  <c r="F37" i="9"/>
  <c r="G38" i="63"/>
  <c r="I38" i="63"/>
  <c r="G30" i="63"/>
  <c r="I30" i="63"/>
  <c r="G34" i="66"/>
  <c r="I34" i="66"/>
  <c r="I17" i="66"/>
  <c r="G17" i="66"/>
  <c r="F44" i="314"/>
  <c r="F26" i="314"/>
  <c r="F36" i="314"/>
  <c r="F39" i="314"/>
  <c r="F27" i="314"/>
  <c r="F34" i="314"/>
  <c r="F29" i="314"/>
  <c r="F13" i="314"/>
  <c r="F10" i="314"/>
  <c r="F35" i="314"/>
  <c r="F15" i="314"/>
  <c r="F30" i="314"/>
  <c r="F38" i="314"/>
  <c r="F18" i="314"/>
  <c r="F12" i="314"/>
  <c r="F21" i="314"/>
  <c r="F17" i="314"/>
  <c r="F23" i="314"/>
  <c r="F11" i="314"/>
  <c r="F31" i="314"/>
  <c r="F22" i="314"/>
  <c r="F37" i="314"/>
  <c r="F14" i="314"/>
  <c r="F43" i="314"/>
  <c r="F16" i="314"/>
  <c r="F45" i="314"/>
  <c r="G45" i="314" s="1"/>
  <c r="F42" i="314"/>
  <c r="F28" i="314"/>
  <c r="G29" i="383"/>
  <c r="I29" i="383"/>
  <c r="G39" i="290"/>
  <c r="I39" i="290"/>
  <c r="F38" i="128"/>
  <c r="F43" i="128"/>
  <c r="F17" i="128"/>
  <c r="F39" i="128"/>
  <c r="F30" i="128"/>
  <c r="F45" i="128"/>
  <c r="G45" i="128" s="1"/>
  <c r="F16" i="128"/>
  <c r="F26" i="128"/>
  <c r="F14" i="128"/>
  <c r="F36" i="128"/>
  <c r="F11" i="128"/>
  <c r="F44" i="128"/>
  <c r="F10" i="128"/>
  <c r="F12" i="128"/>
  <c r="F15" i="128"/>
  <c r="F34" i="128"/>
  <c r="F18" i="128"/>
  <c r="F28" i="128"/>
  <c r="F31" i="128"/>
  <c r="F22" i="128"/>
  <c r="F42" i="128"/>
  <c r="F13" i="128"/>
  <c r="F27" i="128"/>
  <c r="F21" i="128"/>
  <c r="F35" i="128"/>
  <c r="F23" i="128"/>
  <c r="F37" i="128"/>
  <c r="F29" i="128"/>
  <c r="G14" i="345"/>
  <c r="I14" i="345"/>
  <c r="F17" i="396"/>
  <c r="F18" i="396"/>
  <c r="F30" i="396"/>
  <c r="F36" i="396"/>
  <c r="F11" i="396"/>
  <c r="F38" i="396"/>
  <c r="F31" i="396"/>
  <c r="F12" i="396"/>
  <c r="F44" i="396"/>
  <c r="F15" i="396"/>
  <c r="F22" i="396"/>
  <c r="F34" i="396"/>
  <c r="F13" i="396"/>
  <c r="F35" i="396"/>
  <c r="F37" i="396"/>
  <c r="F16" i="396"/>
  <c r="F39" i="396"/>
  <c r="F42" i="396"/>
  <c r="F28" i="396"/>
  <c r="F29" i="396"/>
  <c r="F43" i="396"/>
  <c r="F45" i="396"/>
  <c r="G45" i="396" s="1"/>
  <c r="F23" i="396"/>
  <c r="F27" i="396"/>
  <c r="F26" i="396"/>
  <c r="F21" i="396"/>
  <c r="F10" i="396"/>
  <c r="F14" i="396"/>
  <c r="I44" i="378"/>
  <c r="G44" i="378"/>
  <c r="I16" i="378"/>
  <c r="G16" i="378"/>
  <c r="G26" i="254"/>
  <c r="I26" i="254"/>
  <c r="H48" i="389"/>
  <c r="H50" i="389" s="1"/>
  <c r="E6" i="389" s="1"/>
  <c r="I36" i="356"/>
  <c r="G36" i="356"/>
  <c r="G28" i="105"/>
  <c r="I28" i="105"/>
  <c r="I18" i="105"/>
  <c r="G18" i="105"/>
  <c r="F18" i="99"/>
  <c r="F17" i="99"/>
  <c r="F37" i="99"/>
  <c r="F11" i="99"/>
  <c r="F31" i="99"/>
  <c r="F30" i="99"/>
  <c r="F44" i="99"/>
  <c r="F38" i="99"/>
  <c r="F14" i="99"/>
  <c r="F13" i="99"/>
  <c r="F39" i="99"/>
  <c r="F29" i="99"/>
  <c r="F22" i="99"/>
  <c r="F43" i="99"/>
  <c r="F27" i="99"/>
  <c r="F10" i="99"/>
  <c r="F36" i="99"/>
  <c r="F21" i="99"/>
  <c r="F45" i="99"/>
  <c r="G45" i="99" s="1"/>
  <c r="F16" i="99"/>
  <c r="F42" i="99"/>
  <c r="F23" i="99"/>
  <c r="F35" i="99"/>
  <c r="F26" i="99"/>
  <c r="F15" i="99"/>
  <c r="F12" i="99"/>
  <c r="F28" i="99"/>
  <c r="F34" i="99"/>
  <c r="I17" i="50"/>
  <c r="G17" i="50"/>
  <c r="G12" i="50"/>
  <c r="I12" i="50"/>
  <c r="G29" i="280"/>
  <c r="I29" i="280"/>
  <c r="G36" i="331"/>
  <c r="I36" i="331"/>
  <c r="G35" i="331"/>
  <c r="I35" i="331"/>
  <c r="F39" i="90"/>
  <c r="F16" i="90"/>
  <c r="F45" i="90"/>
  <c r="G45" i="90" s="1"/>
  <c r="F14" i="90"/>
  <c r="F35" i="90"/>
  <c r="F34" i="90"/>
  <c r="F29" i="90"/>
  <c r="F43" i="90"/>
  <c r="F21" i="90"/>
  <c r="F31" i="90"/>
  <c r="F22" i="90"/>
  <c r="F17" i="90"/>
  <c r="F15" i="90"/>
  <c r="F38" i="90"/>
  <c r="F44" i="90"/>
  <c r="F18" i="90"/>
  <c r="F13" i="90"/>
  <c r="F27" i="90"/>
  <c r="F10" i="90"/>
  <c r="F12" i="90"/>
  <c r="F26" i="90"/>
  <c r="F42" i="90"/>
  <c r="F37" i="90"/>
  <c r="F11" i="90"/>
  <c r="F36" i="90"/>
  <c r="F30" i="90"/>
  <c r="F28" i="90"/>
  <c r="F23" i="90"/>
  <c r="I21" i="241"/>
  <c r="G21" i="241"/>
  <c r="G39" i="312"/>
  <c r="I39" i="312"/>
  <c r="F13" i="56"/>
  <c r="F42" i="56"/>
  <c r="F36" i="56"/>
  <c r="F35" i="56"/>
  <c r="F14" i="56"/>
  <c r="F16" i="56"/>
  <c r="F45" i="56"/>
  <c r="G45" i="56" s="1"/>
  <c r="F11" i="56"/>
  <c r="F28" i="56"/>
  <c r="F27" i="56"/>
  <c r="F31" i="56"/>
  <c r="F26" i="56"/>
  <c r="F30" i="56"/>
  <c r="F37" i="56"/>
  <c r="F12" i="56"/>
  <c r="F38" i="56"/>
  <c r="F21" i="56"/>
  <c r="F10" i="56"/>
  <c r="F29" i="56"/>
  <c r="F43" i="56"/>
  <c r="F44" i="56"/>
  <c r="F17" i="56"/>
  <c r="F18" i="56"/>
  <c r="F23" i="56"/>
  <c r="F34" i="56"/>
  <c r="F15" i="56"/>
  <c r="F39" i="56"/>
  <c r="F22" i="56"/>
  <c r="F44" i="324"/>
  <c r="F34" i="324"/>
  <c r="F13" i="324"/>
  <c r="F22" i="324"/>
  <c r="F23" i="324"/>
  <c r="F42" i="324"/>
  <c r="F15" i="324"/>
  <c r="F18" i="324"/>
  <c r="F30" i="324"/>
  <c r="F35" i="324"/>
  <c r="F31" i="324"/>
  <c r="F36" i="324"/>
  <c r="F21" i="324"/>
  <c r="F10" i="324"/>
  <c r="F39" i="324"/>
  <c r="F27" i="324"/>
  <c r="F11" i="324"/>
  <c r="F45" i="324"/>
  <c r="G45" i="324" s="1"/>
  <c r="F29" i="324"/>
  <c r="F26" i="324"/>
  <c r="F16" i="324"/>
  <c r="F43" i="324"/>
  <c r="F37" i="324"/>
  <c r="F17" i="324"/>
  <c r="F14" i="324"/>
  <c r="F28" i="324"/>
  <c r="F12" i="324"/>
  <c r="F38" i="324"/>
  <c r="G26" i="42"/>
  <c r="I37" i="73"/>
  <c r="G37" i="73"/>
  <c r="I27" i="182"/>
  <c r="G27" i="182"/>
  <c r="I31" i="182"/>
  <c r="G31" i="182"/>
  <c r="I22" i="94"/>
  <c r="G22" i="94"/>
  <c r="I27" i="94"/>
  <c r="G27" i="94"/>
  <c r="G27" i="387"/>
  <c r="I27" i="387"/>
  <c r="I38" i="387"/>
  <c r="G38" i="387"/>
  <c r="I44" i="311"/>
  <c r="G44" i="311"/>
  <c r="I42" i="311"/>
  <c r="G42" i="311"/>
  <c r="G21" i="70"/>
  <c r="I21" i="70"/>
  <c r="G13" i="395"/>
  <c r="I13" i="395"/>
  <c r="G36" i="395"/>
  <c r="I36" i="395"/>
  <c r="I18" i="217"/>
  <c r="G18" i="217"/>
  <c r="I36" i="114"/>
  <c r="G36" i="114"/>
  <c r="I31" i="114"/>
  <c r="G31" i="114"/>
  <c r="H48" i="135"/>
  <c r="H50" i="135" s="1"/>
  <c r="E6" i="135" s="1"/>
  <c r="G17" i="311"/>
  <c r="I17" i="311"/>
  <c r="C46" i="477"/>
  <c r="I37" i="66"/>
  <c r="G37" i="66"/>
  <c r="I23" i="311"/>
  <c r="G23" i="311"/>
  <c r="F30" i="215"/>
  <c r="F34" i="215"/>
  <c r="G34" i="215" s="1"/>
  <c r="G44" i="107"/>
  <c r="I44" i="107"/>
  <c r="I38" i="107"/>
  <c r="G38" i="107"/>
  <c r="E40" i="405"/>
  <c r="E43" i="405"/>
  <c r="E21" i="405"/>
  <c r="E42" i="405"/>
  <c r="E24" i="405"/>
  <c r="E39" i="405"/>
  <c r="E34" i="405"/>
  <c r="E38" i="405"/>
  <c r="E31" i="405"/>
  <c r="E35" i="405"/>
  <c r="E30" i="405"/>
  <c r="E37" i="405"/>
  <c r="E27" i="405"/>
  <c r="E29" i="405"/>
  <c r="E44" i="405"/>
  <c r="E28" i="405"/>
  <c r="E26" i="405"/>
  <c r="E45" i="405"/>
  <c r="E23" i="405"/>
  <c r="E22" i="405"/>
  <c r="E36" i="405"/>
  <c r="E46" i="405"/>
  <c r="A52" i="405" s="1"/>
  <c r="I21" i="147"/>
  <c r="G21" i="147"/>
  <c r="I38" i="147"/>
  <c r="G38" i="147"/>
  <c r="E48" i="129"/>
  <c r="G18" i="161"/>
  <c r="I18" i="161"/>
  <c r="I21" i="161"/>
  <c r="G21" i="161"/>
  <c r="H48" i="62"/>
  <c r="H50" i="62" s="1"/>
  <c r="E6" i="62" s="1"/>
  <c r="G15" i="219"/>
  <c r="I15" i="219"/>
  <c r="I14" i="74"/>
  <c r="G14" i="74"/>
  <c r="I10" i="74"/>
  <c r="G10" i="74"/>
  <c r="G31" i="113"/>
  <c r="I31" i="113"/>
  <c r="I42" i="113"/>
  <c r="G42" i="113"/>
  <c r="F37" i="223"/>
  <c r="F16" i="223"/>
  <c r="F36" i="223"/>
  <c r="F27" i="223"/>
  <c r="F29" i="223"/>
  <c r="F23" i="223"/>
  <c r="F28" i="223"/>
  <c r="F34" i="223"/>
  <c r="F10" i="223"/>
  <c r="F44" i="223"/>
  <c r="F11" i="223"/>
  <c r="F13" i="223"/>
  <c r="F21" i="223"/>
  <c r="F14" i="223"/>
  <c r="F45" i="223"/>
  <c r="G45" i="223" s="1"/>
  <c r="F12" i="223"/>
  <c r="F35" i="223"/>
  <c r="F39" i="223"/>
  <c r="F38" i="223"/>
  <c r="F15" i="223"/>
  <c r="F26" i="223"/>
  <c r="F30" i="223"/>
  <c r="F43" i="223"/>
  <c r="F31" i="223"/>
  <c r="F17" i="223"/>
  <c r="F22" i="223"/>
  <c r="F18" i="223"/>
  <c r="F42" i="223"/>
  <c r="G21" i="206"/>
  <c r="I21" i="206"/>
  <c r="I28" i="206"/>
  <c r="G28" i="206"/>
  <c r="E50" i="53"/>
  <c r="J50" i="53"/>
  <c r="H48" i="285"/>
  <c r="H50" i="285" s="1"/>
  <c r="E6" i="285" s="1"/>
  <c r="G38" i="57"/>
  <c r="I38" i="57"/>
  <c r="I16" i="57"/>
  <c r="G16" i="57"/>
  <c r="G16" i="110"/>
  <c r="I16" i="110"/>
  <c r="E21" i="465"/>
  <c r="E28" i="465"/>
  <c r="E29" i="465"/>
  <c r="E30" i="465"/>
  <c r="E31" i="465"/>
  <c r="E35" i="465"/>
  <c r="E36" i="465"/>
  <c r="E37" i="465"/>
  <c r="E38" i="465"/>
  <c r="E45" i="465"/>
  <c r="E27" i="465"/>
  <c r="E42" i="465"/>
  <c r="E43" i="465"/>
  <c r="E23" i="465"/>
  <c r="E44" i="465"/>
  <c r="E26" i="465"/>
  <c r="E34" i="465"/>
  <c r="E22" i="465"/>
  <c r="E39" i="465"/>
  <c r="E46" i="465"/>
  <c r="A52" i="465" s="1"/>
  <c r="E24" i="465"/>
  <c r="E32" i="465"/>
  <c r="F13" i="448"/>
  <c r="F23" i="448"/>
  <c r="F35" i="448"/>
  <c r="F45" i="448"/>
  <c r="G45" i="448" s="1"/>
  <c r="F14" i="448"/>
  <c r="F36" i="448"/>
  <c r="F26" i="448"/>
  <c r="F15" i="448"/>
  <c r="F12" i="448"/>
  <c r="F37" i="448"/>
  <c r="F34" i="448"/>
  <c r="F16" i="448"/>
  <c r="F10" i="448"/>
  <c r="F38" i="448"/>
  <c r="F27" i="448"/>
  <c r="F17" i="448"/>
  <c r="F11" i="448"/>
  <c r="F39" i="448"/>
  <c r="F28" i="448"/>
  <c r="F18" i="448"/>
  <c r="F29" i="448"/>
  <c r="F43" i="448"/>
  <c r="F22" i="448"/>
  <c r="F42" i="448"/>
  <c r="F21" i="448"/>
  <c r="F44" i="448"/>
  <c r="F30" i="448"/>
  <c r="F31" i="448"/>
  <c r="I36" i="63"/>
  <c r="G36" i="63"/>
  <c r="G14" i="63"/>
  <c r="I14" i="63"/>
  <c r="I22" i="66"/>
  <c r="G22" i="66"/>
  <c r="F29" i="174"/>
  <c r="F12" i="174"/>
  <c r="F27" i="174"/>
  <c r="F17" i="174"/>
  <c r="F39" i="174"/>
  <c r="F37" i="174"/>
  <c r="F22" i="174"/>
  <c r="F44" i="174"/>
  <c r="F42" i="174"/>
  <c r="F16" i="174"/>
  <c r="F36" i="174"/>
  <c r="F18" i="174"/>
  <c r="F43" i="174"/>
  <c r="F10" i="174"/>
  <c r="F31" i="174"/>
  <c r="F15" i="174"/>
  <c r="F26" i="174"/>
  <c r="F35" i="174"/>
  <c r="F45" i="174"/>
  <c r="G45" i="174" s="1"/>
  <c r="F28" i="174"/>
  <c r="F14" i="174"/>
  <c r="F13" i="174"/>
  <c r="F34" i="174"/>
  <c r="F11" i="174"/>
  <c r="F38" i="174"/>
  <c r="F30" i="174"/>
  <c r="F23" i="174"/>
  <c r="F21" i="174"/>
  <c r="G13" i="383"/>
  <c r="I13" i="383"/>
  <c r="F45" i="141"/>
  <c r="G45" i="141" s="1"/>
  <c r="F29" i="141"/>
  <c r="F27" i="141"/>
  <c r="F34" i="141"/>
  <c r="F42" i="141"/>
  <c r="F12" i="141"/>
  <c r="F21" i="141"/>
  <c r="F37" i="141"/>
  <c r="F30" i="141"/>
  <c r="F31" i="141"/>
  <c r="F23" i="141"/>
  <c r="F16" i="141"/>
  <c r="F14" i="141"/>
  <c r="F18" i="141"/>
  <c r="F22" i="141"/>
  <c r="F35" i="141"/>
  <c r="F44" i="141"/>
  <c r="F10" i="141"/>
  <c r="F39" i="141"/>
  <c r="F15" i="141"/>
  <c r="F36" i="141"/>
  <c r="F17" i="141"/>
  <c r="F38" i="141"/>
  <c r="F28" i="141"/>
  <c r="F26" i="141"/>
  <c r="F43" i="141"/>
  <c r="F13" i="141"/>
  <c r="F11" i="141"/>
  <c r="I21" i="290"/>
  <c r="G21" i="290"/>
  <c r="F29" i="139"/>
  <c r="F15" i="139"/>
  <c r="F27" i="139"/>
  <c r="F44" i="139"/>
  <c r="F45" i="139"/>
  <c r="G45" i="139" s="1"/>
  <c r="F30" i="139"/>
  <c r="F10" i="139"/>
  <c r="F31" i="139"/>
  <c r="F11" i="139"/>
  <c r="F39" i="139"/>
  <c r="F26" i="139"/>
  <c r="F12" i="139"/>
  <c r="F37" i="139"/>
  <c r="F28" i="139"/>
  <c r="F17" i="139"/>
  <c r="F35" i="139"/>
  <c r="F23" i="139"/>
  <c r="F21" i="139"/>
  <c r="F18" i="139"/>
  <c r="F42" i="139"/>
  <c r="F14" i="139"/>
  <c r="F43" i="139"/>
  <c r="F38" i="139"/>
  <c r="F22" i="139"/>
  <c r="F13" i="139"/>
  <c r="F34" i="139"/>
  <c r="F16" i="139"/>
  <c r="F36" i="139"/>
  <c r="I26" i="378"/>
  <c r="I17" i="254"/>
  <c r="G17" i="254"/>
  <c r="I21" i="105"/>
  <c r="G21" i="105"/>
  <c r="I12" i="105"/>
  <c r="G12" i="105"/>
  <c r="I35" i="50"/>
  <c r="G35" i="50"/>
  <c r="G28" i="50"/>
  <c r="I28" i="50"/>
  <c r="I13" i="280"/>
  <c r="G13" i="280"/>
  <c r="I42" i="331"/>
  <c r="G42" i="331"/>
  <c r="G17" i="331"/>
  <c r="I12" i="241"/>
  <c r="G12" i="241"/>
  <c r="I30" i="312"/>
  <c r="G30" i="312"/>
  <c r="I44" i="312"/>
  <c r="G44" i="312"/>
  <c r="I29" i="42"/>
  <c r="G29" i="42"/>
  <c r="G28" i="42"/>
  <c r="I28" i="42"/>
  <c r="G44" i="73"/>
  <c r="I44" i="73"/>
  <c r="I26" i="182"/>
  <c r="G26" i="182"/>
  <c r="G35" i="182"/>
  <c r="I35" i="182"/>
  <c r="I34" i="94"/>
  <c r="G34" i="94"/>
  <c r="J50" i="118"/>
  <c r="I31" i="387"/>
  <c r="G31" i="387"/>
  <c r="F43" i="233"/>
  <c r="F22" i="233"/>
  <c r="F45" i="233"/>
  <c r="G45" i="233" s="1"/>
  <c r="F15" i="233"/>
  <c r="F44" i="233"/>
  <c r="F21" i="233"/>
  <c r="F23" i="233"/>
  <c r="F29" i="233"/>
  <c r="F38" i="233"/>
  <c r="F39" i="233"/>
  <c r="F31" i="233"/>
  <c r="F14" i="233"/>
  <c r="F16" i="233"/>
  <c r="F30" i="233"/>
  <c r="F17" i="233"/>
  <c r="F27" i="233"/>
  <c r="F26" i="233"/>
  <c r="F12" i="233"/>
  <c r="F34" i="233"/>
  <c r="F18" i="233"/>
  <c r="F10" i="233"/>
  <c r="F42" i="233"/>
  <c r="F28" i="233"/>
  <c r="F37" i="233"/>
  <c r="F11" i="233"/>
  <c r="F35" i="233"/>
  <c r="F13" i="233"/>
  <c r="F36" i="233"/>
  <c r="G31" i="311"/>
  <c r="I31" i="311"/>
  <c r="G43" i="70"/>
  <c r="I43" i="70"/>
  <c r="I18" i="70"/>
  <c r="G18" i="70"/>
  <c r="G31" i="395"/>
  <c r="I31" i="395"/>
  <c r="G43" i="395"/>
  <c r="I43" i="395"/>
  <c r="E48" i="265"/>
  <c r="I29" i="114"/>
  <c r="G29" i="114"/>
  <c r="I27" i="114"/>
  <c r="G27" i="114"/>
  <c r="I23" i="147"/>
  <c r="G23" i="147"/>
  <c r="C40" i="477"/>
  <c r="F37" i="460"/>
  <c r="F13" i="460"/>
  <c r="F23" i="460"/>
  <c r="F18" i="460"/>
  <c r="F34" i="460"/>
  <c r="F14" i="460"/>
  <c r="F10" i="460"/>
  <c r="F26" i="460"/>
  <c r="F15" i="460"/>
  <c r="F21" i="460"/>
  <c r="F29" i="460"/>
  <c r="F35" i="460"/>
  <c r="F12" i="460"/>
  <c r="F28" i="460"/>
  <c r="F36" i="460"/>
  <c r="F38" i="460"/>
  <c r="F11" i="460"/>
  <c r="F16" i="460"/>
  <c r="F27" i="460"/>
  <c r="F31" i="460"/>
  <c r="F22" i="460"/>
  <c r="F17" i="460"/>
  <c r="F39" i="460"/>
  <c r="F30" i="460"/>
  <c r="F43" i="460"/>
  <c r="F42" i="460"/>
  <c r="F44" i="460"/>
  <c r="F45" i="460"/>
  <c r="G45" i="460" s="1"/>
  <c r="G44" i="147"/>
  <c r="I44" i="147"/>
  <c r="I10" i="113"/>
  <c r="G10" i="113"/>
  <c r="G43" i="63"/>
  <c r="I43" i="63"/>
  <c r="I11" i="378"/>
  <c r="G11" i="378"/>
  <c r="F10" i="40"/>
  <c r="F44" i="40"/>
  <c r="F23" i="40"/>
  <c r="F39" i="40"/>
  <c r="F34" i="40"/>
  <c r="F30" i="40"/>
  <c r="F26" i="40"/>
  <c r="F29" i="40"/>
  <c r="F11" i="40"/>
  <c r="F28" i="40"/>
  <c r="F22" i="40"/>
  <c r="F21" i="40"/>
  <c r="F45" i="40"/>
  <c r="G45" i="40" s="1"/>
  <c r="F43" i="40"/>
  <c r="F37" i="40"/>
  <c r="F13" i="40"/>
  <c r="F36" i="40"/>
  <c r="F38" i="40"/>
  <c r="F12" i="40"/>
  <c r="F31" i="40"/>
  <c r="F14" i="40"/>
  <c r="F15" i="40"/>
  <c r="F16" i="40"/>
  <c r="F42" i="40"/>
  <c r="F35" i="40"/>
  <c r="F17" i="40"/>
  <c r="F18" i="40"/>
  <c r="F27" i="40"/>
  <c r="G21" i="107"/>
  <c r="J50" i="405"/>
  <c r="E50" i="405"/>
  <c r="I39" i="147"/>
  <c r="G39" i="147"/>
  <c r="G12" i="161"/>
  <c r="I12" i="161"/>
  <c r="I34" i="161"/>
  <c r="G34" i="161"/>
  <c r="I43" i="219"/>
  <c r="G43" i="219"/>
  <c r="G26" i="74"/>
  <c r="I26" i="74"/>
  <c r="G34" i="74"/>
  <c r="I34" i="74"/>
  <c r="G38" i="113"/>
  <c r="I38" i="113"/>
  <c r="G22" i="113"/>
  <c r="I22" i="113"/>
  <c r="I35" i="206"/>
  <c r="G35" i="206"/>
  <c r="I42" i="206"/>
  <c r="G42" i="206"/>
  <c r="G22" i="57"/>
  <c r="I22" i="57"/>
  <c r="G42" i="57"/>
  <c r="I42" i="57"/>
  <c r="G42" i="110"/>
  <c r="I42" i="110"/>
  <c r="F31" i="152"/>
  <c r="F26" i="152"/>
  <c r="F28" i="152"/>
  <c r="F45" i="152"/>
  <c r="G45" i="152" s="1"/>
  <c r="F11" i="152"/>
  <c r="F16" i="152"/>
  <c r="F44" i="152"/>
  <c r="F18" i="152"/>
  <c r="F13" i="152"/>
  <c r="F10" i="152"/>
  <c r="F22" i="152"/>
  <c r="F12" i="152"/>
  <c r="F38" i="152"/>
  <c r="F35" i="152"/>
  <c r="F30" i="152"/>
  <c r="F36" i="152"/>
  <c r="F42" i="152"/>
  <c r="F39" i="152"/>
  <c r="F14" i="152"/>
  <c r="F43" i="152"/>
  <c r="F29" i="152"/>
  <c r="F21" i="152"/>
  <c r="F17" i="152"/>
  <c r="F15" i="152"/>
  <c r="F37" i="152"/>
  <c r="F34" i="152"/>
  <c r="F23" i="152"/>
  <c r="F27" i="152"/>
  <c r="I39" i="63"/>
  <c r="G39" i="63"/>
  <c r="G34" i="63"/>
  <c r="I34" i="63"/>
  <c r="I31" i="383"/>
  <c r="G31" i="383"/>
  <c r="G12" i="383"/>
  <c r="I12" i="383"/>
  <c r="I26" i="290"/>
  <c r="G26" i="290"/>
  <c r="I31" i="290"/>
  <c r="G31" i="290"/>
  <c r="F36" i="249"/>
  <c r="F29" i="249"/>
  <c r="F15" i="249"/>
  <c r="F18" i="249"/>
  <c r="F45" i="249"/>
  <c r="G45" i="249" s="1"/>
  <c r="F16" i="249"/>
  <c r="F21" i="249"/>
  <c r="F14" i="249"/>
  <c r="F44" i="249"/>
  <c r="F27" i="249"/>
  <c r="F31" i="249"/>
  <c r="F12" i="249"/>
  <c r="F35" i="249"/>
  <c r="F37" i="249"/>
  <c r="F28" i="249"/>
  <c r="F23" i="249"/>
  <c r="F17" i="249"/>
  <c r="F34" i="249"/>
  <c r="F30" i="249"/>
  <c r="F10" i="249"/>
  <c r="F38" i="249"/>
  <c r="F26" i="249"/>
  <c r="F39" i="249"/>
  <c r="F22" i="249"/>
  <c r="F11" i="249"/>
  <c r="F42" i="249"/>
  <c r="F43" i="249"/>
  <c r="F13" i="249"/>
  <c r="G35" i="345"/>
  <c r="I35" i="345"/>
  <c r="F45" i="367"/>
  <c r="G45" i="367" s="1"/>
  <c r="F21" i="367"/>
  <c r="F38" i="367"/>
  <c r="F26" i="367"/>
  <c r="F29" i="367"/>
  <c r="F13" i="367"/>
  <c r="F42" i="367"/>
  <c r="F44" i="367"/>
  <c r="F14" i="367"/>
  <c r="F35" i="367"/>
  <c r="F36" i="367"/>
  <c r="F15" i="367"/>
  <c r="F28" i="367"/>
  <c r="F43" i="367"/>
  <c r="F10" i="367"/>
  <c r="F34" i="367"/>
  <c r="F23" i="367"/>
  <c r="F16" i="367"/>
  <c r="F17" i="367"/>
  <c r="F31" i="367"/>
  <c r="F22" i="367"/>
  <c r="F30" i="367"/>
  <c r="F12" i="367"/>
  <c r="F39" i="367"/>
  <c r="F11" i="367"/>
  <c r="F27" i="367"/>
  <c r="F37" i="367"/>
  <c r="F18" i="367"/>
  <c r="I34" i="378"/>
  <c r="G34" i="378"/>
  <c r="I36" i="378"/>
  <c r="G36" i="378"/>
  <c r="I42" i="254"/>
  <c r="G42" i="254"/>
  <c r="F18" i="11"/>
  <c r="F34" i="11"/>
  <c r="F16" i="11"/>
  <c r="F27" i="11"/>
  <c r="F30" i="11"/>
  <c r="F45" i="11"/>
  <c r="G45" i="11" s="1"/>
  <c r="F13" i="11"/>
  <c r="F42" i="11"/>
  <c r="F36" i="11"/>
  <c r="F12" i="11"/>
  <c r="F37" i="11"/>
  <c r="F15" i="11"/>
  <c r="F10" i="11"/>
  <c r="F44" i="11"/>
  <c r="F29" i="11"/>
  <c r="F23" i="11"/>
  <c r="F31" i="11"/>
  <c r="F39" i="11"/>
  <c r="F11" i="11"/>
  <c r="F38" i="11"/>
  <c r="F35" i="11"/>
  <c r="F26" i="11"/>
  <c r="F21" i="11"/>
  <c r="F17" i="11"/>
  <c r="F22" i="11"/>
  <c r="F14" i="11"/>
  <c r="F28" i="11"/>
  <c r="F43" i="11"/>
  <c r="E27" i="316"/>
  <c r="E45" i="316"/>
  <c r="E28" i="316"/>
  <c r="E46" i="316"/>
  <c r="A52" i="316" s="1"/>
  <c r="E39" i="316"/>
  <c r="E29" i="316"/>
  <c r="E30" i="316"/>
  <c r="E31" i="316"/>
  <c r="E21" i="316"/>
  <c r="E34" i="316"/>
  <c r="E22" i="316"/>
  <c r="E35" i="316"/>
  <c r="E38" i="316"/>
  <c r="E23" i="316"/>
  <c r="E36" i="316"/>
  <c r="E42" i="316"/>
  <c r="E37" i="316"/>
  <c r="E24" i="316"/>
  <c r="E43" i="316"/>
  <c r="E44" i="316"/>
  <c r="E40" i="316"/>
  <c r="E26" i="316"/>
  <c r="I14" i="356"/>
  <c r="G14" i="356"/>
  <c r="G30" i="105"/>
  <c r="I30" i="105"/>
  <c r="G26" i="105"/>
  <c r="I26" i="105"/>
  <c r="F27" i="29"/>
  <c r="F34" i="29"/>
  <c r="F28" i="29"/>
  <c r="F16" i="29"/>
  <c r="F11" i="29"/>
  <c r="F26" i="29"/>
  <c r="F45" i="29"/>
  <c r="G45" i="29" s="1"/>
  <c r="F17" i="29"/>
  <c r="F35" i="29"/>
  <c r="F21" i="29"/>
  <c r="F36" i="29"/>
  <c r="F31" i="29"/>
  <c r="F10" i="29"/>
  <c r="F18" i="29"/>
  <c r="F38" i="29"/>
  <c r="F12" i="29"/>
  <c r="F22" i="29"/>
  <c r="F15" i="29"/>
  <c r="F44" i="29"/>
  <c r="F29" i="29"/>
  <c r="F42" i="29"/>
  <c r="F37" i="29"/>
  <c r="F43" i="29"/>
  <c r="F39" i="29"/>
  <c r="F23" i="29"/>
  <c r="F14" i="29"/>
  <c r="F13" i="29"/>
  <c r="F30" i="29"/>
  <c r="G10" i="50"/>
  <c r="I10" i="50"/>
  <c r="I23" i="50"/>
  <c r="G23" i="50"/>
  <c r="G15" i="331"/>
  <c r="I15" i="331"/>
  <c r="G27" i="331"/>
  <c r="I27" i="331"/>
  <c r="I26" i="241"/>
  <c r="G26" i="241"/>
  <c r="I13" i="241"/>
  <c r="G13" i="241"/>
  <c r="G23" i="312"/>
  <c r="I23" i="312"/>
  <c r="I37" i="312"/>
  <c r="G37" i="312"/>
  <c r="F30" i="298"/>
  <c r="F35" i="298"/>
  <c r="F16" i="298"/>
  <c r="F13" i="298"/>
  <c r="F17" i="298"/>
  <c r="F43" i="298"/>
  <c r="F27" i="298"/>
  <c r="F38" i="298"/>
  <c r="F31" i="298"/>
  <c r="F15" i="298"/>
  <c r="F12" i="298"/>
  <c r="F42" i="298"/>
  <c r="F10" i="298"/>
  <c r="F45" i="298"/>
  <c r="G45" i="298" s="1"/>
  <c r="F37" i="298"/>
  <c r="F26" i="298"/>
  <c r="F44" i="298"/>
  <c r="F18" i="298"/>
  <c r="F11" i="298"/>
  <c r="F36" i="298"/>
  <c r="F21" i="298"/>
  <c r="F29" i="298"/>
  <c r="F39" i="298"/>
  <c r="F23" i="298"/>
  <c r="F22" i="298"/>
  <c r="F14" i="298"/>
  <c r="F28" i="298"/>
  <c r="F34" i="298"/>
  <c r="I44" i="42"/>
  <c r="G44" i="42"/>
  <c r="I21" i="42"/>
  <c r="G21" i="42"/>
  <c r="I12" i="73"/>
  <c r="G12" i="73"/>
  <c r="G17" i="182"/>
  <c r="I17" i="182"/>
  <c r="I28" i="182"/>
  <c r="G28" i="182"/>
  <c r="G21" i="94"/>
  <c r="I21" i="94"/>
  <c r="G11" i="94"/>
  <c r="I11" i="94"/>
  <c r="D48" i="118"/>
  <c r="E40" i="118" s="1"/>
  <c r="H48" i="424"/>
  <c r="H50" i="424" s="1"/>
  <c r="E6" i="424" s="1"/>
  <c r="G21" i="387"/>
  <c r="I21" i="387"/>
  <c r="G16" i="387"/>
  <c r="I16" i="387"/>
  <c r="G36" i="311"/>
  <c r="I36" i="311"/>
  <c r="I39" i="70"/>
  <c r="G39" i="70"/>
  <c r="I42" i="70"/>
  <c r="G42" i="70"/>
  <c r="I30" i="395"/>
  <c r="G30" i="395"/>
  <c r="G14" i="395"/>
  <c r="I14" i="395"/>
  <c r="G29" i="217"/>
  <c r="I15" i="114"/>
  <c r="G15" i="114"/>
  <c r="G11" i="114"/>
  <c r="I11" i="114"/>
  <c r="G29" i="161"/>
  <c r="I29" i="161"/>
  <c r="G31" i="74"/>
  <c r="I31" i="74"/>
  <c r="I28" i="57"/>
  <c r="G28" i="57"/>
  <c r="G15" i="290"/>
  <c r="I15" i="290"/>
  <c r="I11" i="70"/>
  <c r="G11" i="70"/>
  <c r="I27" i="70"/>
  <c r="G27" i="70"/>
  <c r="E40" i="423"/>
  <c r="F42" i="215"/>
  <c r="F44" i="215"/>
  <c r="F21" i="458"/>
  <c r="F17" i="458"/>
  <c r="F22" i="458"/>
  <c r="F38" i="458"/>
  <c r="F44" i="458"/>
  <c r="F27" i="458"/>
  <c r="F16" i="458"/>
  <c r="F36" i="458"/>
  <c r="F35" i="458"/>
  <c r="F26" i="458"/>
  <c r="F30" i="458"/>
  <c r="F11" i="458"/>
  <c r="F39" i="458"/>
  <c r="F15" i="458"/>
  <c r="F12" i="458"/>
  <c r="F10" i="458"/>
  <c r="F28" i="458"/>
  <c r="F31" i="458"/>
  <c r="F45" i="458"/>
  <c r="G45" i="458" s="1"/>
  <c r="F18" i="458"/>
  <c r="F14" i="458"/>
  <c r="F23" i="458"/>
  <c r="F13" i="458"/>
  <c r="F37" i="458"/>
  <c r="F43" i="458"/>
  <c r="F34" i="458"/>
  <c r="F29" i="458"/>
  <c r="F42" i="458"/>
  <c r="I14" i="107"/>
  <c r="G14" i="107"/>
  <c r="I23" i="107"/>
  <c r="G23" i="107"/>
  <c r="I34" i="147"/>
  <c r="G34" i="147"/>
  <c r="I36" i="161"/>
  <c r="G36" i="161"/>
  <c r="G27" i="161"/>
  <c r="I27" i="161"/>
  <c r="I28" i="219"/>
  <c r="G28" i="219"/>
  <c r="G23" i="219"/>
  <c r="I23" i="219"/>
  <c r="I29" i="74"/>
  <c r="G29" i="74"/>
  <c r="G43" i="74"/>
  <c r="I43" i="74"/>
  <c r="G39" i="113"/>
  <c r="I39" i="113"/>
  <c r="G30" i="113"/>
  <c r="I30" i="113"/>
  <c r="F11" i="237"/>
  <c r="F18" i="237"/>
  <c r="F26" i="237"/>
  <c r="F45" i="237"/>
  <c r="G45" i="237" s="1"/>
  <c r="F34" i="237"/>
  <c r="F17" i="237"/>
  <c r="F29" i="237"/>
  <c r="F35" i="237"/>
  <c r="F30" i="237"/>
  <c r="F12" i="237"/>
  <c r="F27" i="237"/>
  <c r="F21" i="237"/>
  <c r="F31" i="237"/>
  <c r="F44" i="237"/>
  <c r="F15" i="237"/>
  <c r="F14" i="237"/>
  <c r="F23" i="237"/>
  <c r="F28" i="237"/>
  <c r="F36" i="237"/>
  <c r="F42" i="237"/>
  <c r="F43" i="237"/>
  <c r="F37" i="237"/>
  <c r="F38" i="237"/>
  <c r="F16" i="237"/>
  <c r="F39" i="237"/>
  <c r="F13" i="237"/>
  <c r="F22" i="237"/>
  <c r="F10" i="237"/>
  <c r="I22" i="206"/>
  <c r="G22" i="206"/>
  <c r="I39" i="206"/>
  <c r="G39" i="206"/>
  <c r="E48" i="181"/>
  <c r="G23" i="57"/>
  <c r="I23" i="57"/>
  <c r="G29" i="57"/>
  <c r="I29" i="57"/>
  <c r="G34" i="110"/>
  <c r="I34" i="110"/>
  <c r="G10" i="63"/>
  <c r="I10" i="63"/>
  <c r="G15" i="66"/>
  <c r="I15" i="66"/>
  <c r="I29" i="164"/>
  <c r="G29" i="164"/>
  <c r="F23" i="86"/>
  <c r="F38" i="86"/>
  <c r="F13" i="86"/>
  <c r="F16" i="86"/>
  <c r="F14" i="86"/>
  <c r="F12" i="86"/>
  <c r="F45" i="86"/>
  <c r="G45" i="86" s="1"/>
  <c r="F29" i="86"/>
  <c r="F26" i="86"/>
  <c r="F31" i="86"/>
  <c r="F10" i="86"/>
  <c r="F35" i="86"/>
  <c r="F43" i="86"/>
  <c r="F11" i="86"/>
  <c r="F42" i="86"/>
  <c r="F22" i="86"/>
  <c r="F17" i="86"/>
  <c r="F27" i="86"/>
  <c r="F44" i="86"/>
  <c r="F15" i="86"/>
  <c r="F37" i="86"/>
  <c r="F34" i="86"/>
  <c r="F21" i="86"/>
  <c r="F18" i="86"/>
  <c r="F28" i="86"/>
  <c r="F30" i="86"/>
  <c r="F36" i="86"/>
  <c r="F39" i="86"/>
  <c r="G11" i="383"/>
  <c r="I11" i="383"/>
  <c r="I34" i="383"/>
  <c r="G34" i="383"/>
  <c r="F22" i="95"/>
  <c r="F31" i="95"/>
  <c r="F13" i="95"/>
  <c r="F27" i="95"/>
  <c r="F12" i="95"/>
  <c r="F38" i="95"/>
  <c r="F37" i="95"/>
  <c r="F43" i="95"/>
  <c r="F45" i="95"/>
  <c r="G45" i="95" s="1"/>
  <c r="F39" i="95"/>
  <c r="F15" i="95"/>
  <c r="F44" i="95"/>
  <c r="F18" i="95"/>
  <c r="F14" i="95"/>
  <c r="F36" i="95"/>
  <c r="F42" i="95"/>
  <c r="F34" i="95"/>
  <c r="F35" i="95"/>
  <c r="F10" i="95"/>
  <c r="F26" i="95"/>
  <c r="F16" i="95"/>
  <c r="F23" i="95"/>
  <c r="F28" i="95"/>
  <c r="F29" i="95"/>
  <c r="F30" i="95"/>
  <c r="F17" i="95"/>
  <c r="F21" i="95"/>
  <c r="F11" i="95"/>
  <c r="G36" i="290"/>
  <c r="I36" i="290"/>
  <c r="G23" i="290"/>
  <c r="I23" i="290"/>
  <c r="F22" i="68"/>
  <c r="F28" i="68"/>
  <c r="F27" i="68"/>
  <c r="F10" i="68"/>
  <c r="F45" i="68"/>
  <c r="G45" i="68" s="1"/>
  <c r="F14" i="68"/>
  <c r="F29" i="68"/>
  <c r="F30" i="68"/>
  <c r="F42" i="68"/>
  <c r="F17" i="68"/>
  <c r="F26" i="68"/>
  <c r="F36" i="68"/>
  <c r="F39" i="68"/>
  <c r="F43" i="68"/>
  <c r="F18" i="68"/>
  <c r="F21" i="68"/>
  <c r="F31" i="68"/>
  <c r="F35" i="68"/>
  <c r="F44" i="68"/>
  <c r="F11" i="68"/>
  <c r="F34" i="68"/>
  <c r="F37" i="68"/>
  <c r="F16" i="68"/>
  <c r="F13" i="68"/>
  <c r="F12" i="68"/>
  <c r="F23" i="68"/>
  <c r="F38" i="68"/>
  <c r="F15" i="68"/>
  <c r="G10" i="345"/>
  <c r="I10" i="345"/>
  <c r="I12" i="345"/>
  <c r="G12" i="345"/>
  <c r="I38" i="378"/>
  <c r="G38" i="378"/>
  <c r="I39" i="254"/>
  <c r="G39" i="254"/>
  <c r="F29" i="15"/>
  <c r="F44" i="15"/>
  <c r="F35" i="15"/>
  <c r="F23" i="15"/>
  <c r="F16" i="15"/>
  <c r="F13" i="15"/>
  <c r="F37" i="15"/>
  <c r="J50" i="443"/>
  <c r="E50" i="443"/>
  <c r="I35" i="356"/>
  <c r="G35" i="356"/>
  <c r="G31" i="105"/>
  <c r="G26" i="50"/>
  <c r="I26" i="50"/>
  <c r="G34" i="50"/>
  <c r="I34" i="50"/>
  <c r="I26" i="280"/>
  <c r="G39" i="331"/>
  <c r="I39" i="331"/>
  <c r="I43" i="331"/>
  <c r="G43" i="331"/>
  <c r="I43" i="241"/>
  <c r="G43" i="241"/>
  <c r="I37" i="241"/>
  <c r="G37" i="241"/>
  <c r="D48" i="351"/>
  <c r="E32" i="351" s="1"/>
  <c r="G21" i="312"/>
  <c r="I21" i="312"/>
  <c r="I14" i="312"/>
  <c r="G14" i="312"/>
  <c r="I22" i="42"/>
  <c r="G22" i="42"/>
  <c r="I21" i="73"/>
  <c r="G21" i="73"/>
  <c r="I42" i="73"/>
  <c r="G42" i="73"/>
  <c r="I14" i="182"/>
  <c r="G14" i="182"/>
  <c r="I16" i="182"/>
  <c r="G16" i="182"/>
  <c r="G17" i="94"/>
  <c r="I17" i="94"/>
  <c r="F28" i="326"/>
  <c r="F39" i="326"/>
  <c r="F37" i="326"/>
  <c r="F12" i="326"/>
  <c r="F22" i="326"/>
  <c r="F45" i="326"/>
  <c r="G45" i="326" s="1"/>
  <c r="F29" i="326"/>
  <c r="F31" i="326"/>
  <c r="F44" i="326"/>
  <c r="F36" i="326"/>
  <c r="F16" i="326"/>
  <c r="F23" i="326"/>
  <c r="F17" i="326"/>
  <c r="F43" i="326"/>
  <c r="F35" i="326"/>
  <c r="F14" i="326"/>
  <c r="F11" i="326"/>
  <c r="F15" i="326"/>
  <c r="F10" i="326"/>
  <c r="F30" i="326"/>
  <c r="F42" i="326"/>
  <c r="F13" i="326"/>
  <c r="F27" i="326"/>
  <c r="F34" i="326"/>
  <c r="F18" i="326"/>
  <c r="F38" i="326"/>
  <c r="F26" i="326"/>
  <c r="F21" i="326"/>
  <c r="I10" i="387"/>
  <c r="G10" i="387"/>
  <c r="I11" i="387"/>
  <c r="G11" i="387"/>
  <c r="F36" i="79"/>
  <c r="F43" i="79"/>
  <c r="F26" i="79"/>
  <c r="F10" i="79"/>
  <c r="F37" i="79"/>
  <c r="F27" i="79"/>
  <c r="F16" i="79"/>
  <c r="F14" i="79"/>
  <c r="F45" i="79"/>
  <c r="G45" i="79" s="1"/>
  <c r="F38" i="79"/>
  <c r="F15" i="79"/>
  <c r="F12" i="79"/>
  <c r="F34" i="79"/>
  <c r="F44" i="79"/>
  <c r="F30" i="79"/>
  <c r="F18" i="79"/>
  <c r="F28" i="79"/>
  <c r="F11" i="79"/>
  <c r="F35" i="79"/>
  <c r="F13" i="79"/>
  <c r="F22" i="79"/>
  <c r="F17" i="79"/>
  <c r="F23" i="79"/>
  <c r="F42" i="79"/>
  <c r="F39" i="79"/>
  <c r="F21" i="79"/>
  <c r="F31" i="79"/>
  <c r="F29" i="79"/>
  <c r="I30" i="311"/>
  <c r="G30" i="311"/>
  <c r="G34" i="70"/>
  <c r="I34" i="70"/>
  <c r="I30" i="70"/>
  <c r="G30" i="70"/>
  <c r="F35" i="22"/>
  <c r="F42" i="22"/>
  <c r="F44" i="22"/>
  <c r="F11" i="22"/>
  <c r="F29" i="22"/>
  <c r="F43" i="22"/>
  <c r="F23" i="22"/>
  <c r="F14" i="22"/>
  <c r="F21" i="22"/>
  <c r="F45" i="22"/>
  <c r="G45" i="22" s="1"/>
  <c r="F18" i="22"/>
  <c r="F10" i="22"/>
  <c r="F39" i="22"/>
  <c r="F28" i="22"/>
  <c r="F38" i="22"/>
  <c r="F37" i="22"/>
  <c r="F31" i="22"/>
  <c r="F13" i="22"/>
  <c r="F34" i="22"/>
  <c r="F15" i="22"/>
  <c r="F22" i="22"/>
  <c r="F16" i="22"/>
  <c r="F27" i="22"/>
  <c r="F26" i="22"/>
  <c r="F30" i="22"/>
  <c r="F36" i="22"/>
  <c r="F12" i="22"/>
  <c r="F17" i="22"/>
  <c r="G23" i="395"/>
  <c r="I23" i="395"/>
  <c r="I39" i="114"/>
  <c r="G39" i="114"/>
  <c r="I17" i="114"/>
  <c r="G17" i="114"/>
  <c r="I37" i="206"/>
  <c r="G37" i="206"/>
  <c r="G44" i="110"/>
  <c r="I44" i="110"/>
  <c r="G22" i="356"/>
  <c r="I22" i="356"/>
  <c r="I16" i="70"/>
  <c r="G16" i="70"/>
  <c r="F13" i="215"/>
  <c r="G13" i="215" s="1"/>
  <c r="F14" i="215"/>
  <c r="H48" i="407"/>
  <c r="H50" i="407" s="1"/>
  <c r="E6" i="407" s="1"/>
  <c r="G42" i="107"/>
  <c r="I42" i="107"/>
  <c r="I11" i="107"/>
  <c r="G11" i="107"/>
  <c r="G10" i="147"/>
  <c r="I10" i="147"/>
  <c r="F29" i="144"/>
  <c r="F16" i="144"/>
  <c r="F44" i="144"/>
  <c r="F28" i="144"/>
  <c r="F22" i="144"/>
  <c r="F45" i="144"/>
  <c r="G45" i="144" s="1"/>
  <c r="F42" i="144"/>
  <c r="F36" i="144"/>
  <c r="F10" i="144"/>
  <c r="F11" i="144"/>
  <c r="F43" i="144"/>
  <c r="F38" i="144"/>
  <c r="F17" i="144"/>
  <c r="F27" i="144"/>
  <c r="F15" i="144"/>
  <c r="F39" i="144"/>
  <c r="F35" i="144"/>
  <c r="F21" i="144"/>
  <c r="F31" i="144"/>
  <c r="F14" i="144"/>
  <c r="F26" i="144"/>
  <c r="F12" i="144"/>
  <c r="F18" i="144"/>
  <c r="F37" i="144"/>
  <c r="F34" i="144"/>
  <c r="F23" i="144"/>
  <c r="F30" i="144"/>
  <c r="F13" i="144"/>
  <c r="I28" i="161"/>
  <c r="G28" i="161"/>
  <c r="I11" i="161"/>
  <c r="G11" i="161"/>
  <c r="I14" i="219"/>
  <c r="G14" i="219"/>
  <c r="G13" i="219"/>
  <c r="I13" i="219"/>
  <c r="I16" i="74"/>
  <c r="G16" i="74"/>
  <c r="G27" i="74"/>
  <c r="I27" i="74"/>
  <c r="I17" i="113"/>
  <c r="G17" i="113"/>
  <c r="I11" i="113"/>
  <c r="G11" i="113"/>
  <c r="G13" i="206"/>
  <c r="I13" i="206"/>
  <c r="G18" i="206"/>
  <c r="I18" i="206"/>
  <c r="G12" i="57"/>
  <c r="I12" i="57"/>
  <c r="I11" i="110"/>
  <c r="G11" i="110"/>
  <c r="I42" i="63"/>
  <c r="G42" i="63"/>
  <c r="I11" i="63"/>
  <c r="G11" i="63"/>
  <c r="G10" i="66"/>
  <c r="I10" i="66"/>
  <c r="G34" i="164"/>
  <c r="I34" i="164"/>
  <c r="F31" i="338"/>
  <c r="F21" i="338"/>
  <c r="F18" i="338"/>
  <c r="F23" i="338"/>
  <c r="F11" i="338"/>
  <c r="F15" i="338"/>
  <c r="F36" i="338"/>
  <c r="F12" i="338"/>
  <c r="F42" i="338"/>
  <c r="F34" i="338"/>
  <c r="F27" i="338"/>
  <c r="F38" i="338"/>
  <c r="F22" i="338"/>
  <c r="F43" i="338"/>
  <c r="F14" i="338"/>
  <c r="F16" i="338"/>
  <c r="F39" i="338"/>
  <c r="F44" i="338"/>
  <c r="F26" i="338"/>
  <c r="F29" i="338"/>
  <c r="F30" i="338"/>
  <c r="F45" i="338"/>
  <c r="G45" i="338" s="1"/>
  <c r="F13" i="338"/>
  <c r="F35" i="338"/>
  <c r="F10" i="338"/>
  <c r="F37" i="338"/>
  <c r="F17" i="338"/>
  <c r="F28" i="338"/>
  <c r="F26" i="299"/>
  <c r="F30" i="299"/>
  <c r="F42" i="299"/>
  <c r="F14" i="299"/>
  <c r="F28" i="299"/>
  <c r="F34" i="299"/>
  <c r="F35" i="299"/>
  <c r="F36" i="299"/>
  <c r="F27" i="299"/>
  <c r="F12" i="299"/>
  <c r="F43" i="299"/>
  <c r="F18" i="299"/>
  <c r="F10" i="299"/>
  <c r="F15" i="299"/>
  <c r="F16" i="299"/>
  <c r="F39" i="299"/>
  <c r="F22" i="299"/>
  <c r="F11" i="299"/>
  <c r="F44" i="299"/>
  <c r="F13" i="299"/>
  <c r="F17" i="299"/>
  <c r="F31" i="299"/>
  <c r="F45" i="299"/>
  <c r="G45" i="299" s="1"/>
  <c r="F23" i="299"/>
  <c r="F29" i="299"/>
  <c r="F37" i="299"/>
  <c r="F21" i="299"/>
  <c r="F38" i="299"/>
  <c r="G10" i="383"/>
  <c r="I10" i="383"/>
  <c r="I18" i="383"/>
  <c r="G18" i="383"/>
  <c r="G11" i="290"/>
  <c r="I11" i="290"/>
  <c r="G43" i="290"/>
  <c r="I43" i="290"/>
  <c r="I37" i="345"/>
  <c r="G37" i="345"/>
  <c r="G11" i="345"/>
  <c r="I11" i="345"/>
  <c r="G22" i="378"/>
  <c r="I22" i="378"/>
  <c r="I15" i="254"/>
  <c r="G15" i="254"/>
  <c r="E42" i="443"/>
  <c r="E45" i="443"/>
  <c r="E44" i="443"/>
  <c r="E43" i="443"/>
  <c r="E37" i="443"/>
  <c r="E34" i="443"/>
  <c r="E36" i="443"/>
  <c r="E27" i="443"/>
  <c r="E40" i="443"/>
  <c r="E21" i="443"/>
  <c r="E28" i="443"/>
  <c r="E31" i="443"/>
  <c r="E30" i="443"/>
  <c r="E29" i="443"/>
  <c r="E26" i="443"/>
  <c r="E39" i="443"/>
  <c r="E38" i="443"/>
  <c r="E23" i="443"/>
  <c r="E22" i="443"/>
  <c r="E24" i="443"/>
  <c r="E32" i="443"/>
  <c r="E35" i="443"/>
  <c r="I23" i="356"/>
  <c r="G23" i="356"/>
  <c r="I36" i="105"/>
  <c r="G36" i="105"/>
  <c r="G35" i="105"/>
  <c r="I35" i="105"/>
  <c r="F26" i="20"/>
  <c r="F12" i="20"/>
  <c r="F30" i="20"/>
  <c r="F31" i="20"/>
  <c r="F13" i="20"/>
  <c r="F11" i="20"/>
  <c r="F35" i="20"/>
  <c r="F42" i="20"/>
  <c r="F16" i="20"/>
  <c r="F14" i="20"/>
  <c r="F22" i="20"/>
  <c r="F38" i="20"/>
  <c r="F10" i="20"/>
  <c r="F27" i="20"/>
  <c r="F28" i="20"/>
  <c r="F29" i="20"/>
  <c r="F39" i="20"/>
  <c r="F18" i="20"/>
  <c r="F17" i="20"/>
  <c r="F21" i="20"/>
  <c r="F34" i="20"/>
  <c r="F36" i="20"/>
  <c r="F37" i="20"/>
  <c r="F15" i="20"/>
  <c r="F45" i="20"/>
  <c r="G45" i="20" s="1"/>
  <c r="F44" i="20"/>
  <c r="F23" i="20"/>
  <c r="F43" i="20"/>
  <c r="G27" i="50"/>
  <c r="I27" i="50"/>
  <c r="I31" i="50"/>
  <c r="G31" i="50"/>
  <c r="I37" i="280"/>
  <c r="G37" i="280"/>
  <c r="I38" i="280"/>
  <c r="G38" i="280"/>
  <c r="I13" i="331"/>
  <c r="G13" i="331"/>
  <c r="I15" i="241"/>
  <c r="G15" i="241"/>
  <c r="I30" i="241"/>
  <c r="G30" i="241"/>
  <c r="H24" i="351"/>
  <c r="C24" i="351" s="1"/>
  <c r="G15" i="312"/>
  <c r="I15" i="312"/>
  <c r="I18" i="312"/>
  <c r="G18" i="312"/>
  <c r="G18" i="42"/>
  <c r="I18" i="42"/>
  <c r="G39" i="42"/>
  <c r="I39" i="42"/>
  <c r="G14" i="73"/>
  <c r="I14" i="73"/>
  <c r="G22" i="73"/>
  <c r="I22" i="73"/>
  <c r="G13" i="182"/>
  <c r="I13" i="182"/>
  <c r="I12" i="182"/>
  <c r="G12" i="182"/>
  <c r="G36" i="94"/>
  <c r="I36" i="94"/>
  <c r="F13" i="18"/>
  <c r="F14" i="18"/>
  <c r="F15" i="18"/>
  <c r="F36" i="18"/>
  <c r="F23" i="18"/>
  <c r="F38" i="18"/>
  <c r="F18" i="18"/>
  <c r="F10" i="18"/>
  <c r="F11" i="18"/>
  <c r="F22" i="18"/>
  <c r="F45" i="18"/>
  <c r="G45" i="18" s="1"/>
  <c r="F12" i="18"/>
  <c r="F31" i="18"/>
  <c r="F16" i="18"/>
  <c r="F42" i="18"/>
  <c r="F29" i="18"/>
  <c r="F28" i="18"/>
  <c r="F30" i="18"/>
  <c r="F37" i="18"/>
  <c r="F43" i="18"/>
  <c r="F44" i="18"/>
  <c r="F34" i="18"/>
  <c r="F21" i="18"/>
  <c r="F26" i="18"/>
  <c r="F35" i="18"/>
  <c r="F17" i="18"/>
  <c r="F27" i="18"/>
  <c r="F39" i="18"/>
  <c r="I17" i="387"/>
  <c r="G17" i="387"/>
  <c r="G38" i="311"/>
  <c r="I38" i="311"/>
  <c r="G23" i="70"/>
  <c r="I23" i="70"/>
  <c r="I13" i="70"/>
  <c r="G13" i="70"/>
  <c r="I44" i="395"/>
  <c r="G44" i="395"/>
  <c r="I35" i="217"/>
  <c r="G35" i="217"/>
  <c r="G35" i="114"/>
  <c r="I35" i="114"/>
  <c r="I21" i="114"/>
  <c r="G21" i="114"/>
  <c r="F44" i="194"/>
  <c r="F43" i="194"/>
  <c r="F31" i="194"/>
  <c r="F26" i="194"/>
  <c r="F45" i="194"/>
  <c r="G45" i="194" s="1"/>
  <c r="F15" i="194"/>
  <c r="F13" i="194"/>
  <c r="F35" i="194"/>
  <c r="F22" i="194"/>
  <c r="F27" i="194"/>
  <c r="F14" i="194"/>
  <c r="F42" i="194"/>
  <c r="F23" i="194"/>
  <c r="F38" i="194"/>
  <c r="F34" i="194"/>
  <c r="F36" i="194"/>
  <c r="F16" i="194"/>
  <c r="F17" i="194"/>
  <c r="F28" i="194"/>
  <c r="F21" i="194"/>
  <c r="F18" i="194"/>
  <c r="F10" i="194"/>
  <c r="F29" i="194"/>
  <c r="F12" i="194"/>
  <c r="F37" i="194"/>
  <c r="F30" i="194"/>
  <c r="F39" i="194"/>
  <c r="F11" i="194"/>
  <c r="I11" i="219"/>
  <c r="G11" i="219"/>
  <c r="I39" i="345"/>
  <c r="G39" i="345"/>
  <c r="I35" i="241"/>
  <c r="G35" i="241"/>
  <c r="G28" i="73"/>
  <c r="I28" i="73"/>
  <c r="I42" i="161"/>
  <c r="G42" i="161"/>
  <c r="F39" i="124"/>
  <c r="F34" i="124"/>
  <c r="F23" i="124"/>
  <c r="F38" i="124"/>
  <c r="F18" i="124"/>
  <c r="F45" i="124"/>
  <c r="G45" i="124" s="1"/>
  <c r="F37" i="124"/>
  <c r="F31" i="124"/>
  <c r="F14" i="124"/>
  <c r="F13" i="124"/>
  <c r="F22" i="124"/>
  <c r="F44" i="124"/>
  <c r="F42" i="124"/>
  <c r="F17" i="124"/>
  <c r="F30" i="124"/>
  <c r="F26" i="124"/>
  <c r="F16" i="124"/>
  <c r="F36" i="124"/>
  <c r="F29" i="124"/>
  <c r="F10" i="124"/>
  <c r="F27" i="124"/>
  <c r="F35" i="124"/>
  <c r="F28" i="124"/>
  <c r="F21" i="124"/>
  <c r="F43" i="124"/>
  <c r="F12" i="124"/>
  <c r="F11" i="124"/>
  <c r="F15" i="124"/>
  <c r="F30" i="422"/>
  <c r="F42" i="422"/>
  <c r="F11" i="422"/>
  <c r="F14" i="422"/>
  <c r="F12" i="422"/>
  <c r="F15" i="422"/>
  <c r="F34" i="422"/>
  <c r="F44" i="422"/>
  <c r="F21" i="422"/>
  <c r="F16" i="422"/>
  <c r="F22" i="422"/>
  <c r="F17" i="422"/>
  <c r="F23" i="422"/>
  <c r="F45" i="422"/>
  <c r="G45" i="422" s="1"/>
  <c r="F26" i="422"/>
  <c r="F27" i="422"/>
  <c r="F13" i="422"/>
  <c r="F37" i="422"/>
  <c r="F29" i="422"/>
  <c r="F38" i="422"/>
  <c r="F10" i="422"/>
  <c r="F31" i="422"/>
  <c r="F35" i="422"/>
  <c r="F28" i="422"/>
  <c r="F36" i="422"/>
  <c r="F39" i="422"/>
  <c r="F43" i="422"/>
  <c r="F18" i="422"/>
  <c r="F15" i="215"/>
  <c r="C19" i="478"/>
  <c r="F28" i="215"/>
  <c r="F43" i="215"/>
  <c r="F14" i="263"/>
  <c r="F34" i="263"/>
  <c r="F21" i="263"/>
  <c r="F36" i="263"/>
  <c r="F37" i="263"/>
  <c r="F13" i="263"/>
  <c r="F35" i="263"/>
  <c r="F11" i="263"/>
  <c r="F22" i="263"/>
  <c r="F38" i="263"/>
  <c r="F44" i="263"/>
  <c r="F15" i="263"/>
  <c r="F16" i="263"/>
  <c r="F45" i="263"/>
  <c r="G45" i="263" s="1"/>
  <c r="F31" i="263"/>
  <c r="F42" i="263"/>
  <c r="F39" i="263"/>
  <c r="F12" i="263"/>
  <c r="F23" i="263"/>
  <c r="F26" i="263"/>
  <c r="F10" i="263"/>
  <c r="F28" i="263"/>
  <c r="F30" i="263"/>
  <c r="F17" i="263"/>
  <c r="F18" i="263"/>
  <c r="F27" i="263"/>
  <c r="F29" i="263"/>
  <c r="F43" i="263"/>
  <c r="G31" i="107"/>
  <c r="I31" i="107"/>
  <c r="G12" i="147"/>
  <c r="I12" i="147"/>
  <c r="I31" i="161"/>
  <c r="G31" i="161"/>
  <c r="I23" i="161"/>
  <c r="G23" i="161"/>
  <c r="I18" i="219"/>
  <c r="G18" i="219"/>
  <c r="I38" i="74"/>
  <c r="G38" i="74"/>
  <c r="I30" i="74"/>
  <c r="G30" i="74"/>
  <c r="I34" i="113"/>
  <c r="G34" i="113"/>
  <c r="F12" i="392"/>
  <c r="F38" i="392"/>
  <c r="F34" i="392"/>
  <c r="F39" i="392"/>
  <c r="F14" i="392"/>
  <c r="F42" i="392"/>
  <c r="F36" i="392"/>
  <c r="F43" i="392"/>
  <c r="F15" i="392"/>
  <c r="F45" i="392"/>
  <c r="G45" i="392" s="1"/>
  <c r="F37" i="392"/>
  <c r="F13" i="392"/>
  <c r="F11" i="392"/>
  <c r="F16" i="392"/>
  <c r="F17" i="392"/>
  <c r="F18" i="392"/>
  <c r="F22" i="392"/>
  <c r="F21" i="392"/>
  <c r="F28" i="392"/>
  <c r="F10" i="392"/>
  <c r="F31" i="392"/>
  <c r="F35" i="392"/>
  <c r="F27" i="392"/>
  <c r="F30" i="392"/>
  <c r="F23" i="392"/>
  <c r="F44" i="392"/>
  <c r="F26" i="392"/>
  <c r="F29" i="392"/>
  <c r="F31" i="419"/>
  <c r="F12" i="419"/>
  <c r="F43" i="419"/>
  <c r="F13" i="419"/>
  <c r="F22" i="419"/>
  <c r="F35" i="419"/>
  <c r="F23" i="419"/>
  <c r="F36" i="419"/>
  <c r="F45" i="419"/>
  <c r="G45" i="419" s="1"/>
  <c r="F42" i="419"/>
  <c r="F15" i="419"/>
  <c r="F26" i="419"/>
  <c r="F16" i="419"/>
  <c r="F27" i="419"/>
  <c r="F17" i="419"/>
  <c r="F10" i="419"/>
  <c r="F38" i="419"/>
  <c r="F30" i="419"/>
  <c r="F18" i="419"/>
  <c r="F39" i="419"/>
  <c r="F37" i="419"/>
  <c r="F21" i="419"/>
  <c r="F44" i="419"/>
  <c r="F29" i="419"/>
  <c r="F11" i="419"/>
  <c r="F34" i="419"/>
  <c r="F14" i="419"/>
  <c r="F28" i="419"/>
  <c r="I17" i="206"/>
  <c r="G17" i="206"/>
  <c r="I10" i="206"/>
  <c r="G10" i="206"/>
  <c r="I10" i="57"/>
  <c r="G10" i="57"/>
  <c r="I44" i="57"/>
  <c r="G44" i="57"/>
  <c r="G21" i="110"/>
  <c r="I21" i="110"/>
  <c r="F42" i="307"/>
  <c r="F30" i="307"/>
  <c r="F39" i="307"/>
  <c r="F28" i="307"/>
  <c r="F13" i="307"/>
  <c r="F45" i="307"/>
  <c r="G45" i="307" s="1"/>
  <c r="F16" i="307"/>
  <c r="I44" i="63"/>
  <c r="G44" i="63"/>
  <c r="I28" i="63"/>
  <c r="G28" i="63"/>
  <c r="I16" i="66"/>
  <c r="G16" i="66"/>
  <c r="I21" i="66"/>
  <c r="G21" i="66"/>
  <c r="I37" i="164"/>
  <c r="G37" i="164"/>
  <c r="I26" i="383"/>
  <c r="G26" i="383"/>
  <c r="I30" i="383"/>
  <c r="G30" i="383"/>
  <c r="F23" i="12"/>
  <c r="F43" i="12"/>
  <c r="F44" i="12"/>
  <c r="F42" i="12"/>
  <c r="F10" i="12"/>
  <c r="F16" i="12"/>
  <c r="F22" i="12"/>
  <c r="F21" i="12"/>
  <c r="F45" i="12"/>
  <c r="G45" i="12" s="1"/>
  <c r="F38" i="12"/>
  <c r="F28" i="12"/>
  <c r="F12" i="12"/>
  <c r="F39" i="12"/>
  <c r="F37" i="12"/>
  <c r="F35" i="12"/>
  <c r="F13" i="12"/>
  <c r="F27" i="12"/>
  <c r="F18" i="12"/>
  <c r="F11" i="12"/>
  <c r="F14" i="12"/>
  <c r="F29" i="12"/>
  <c r="F34" i="12"/>
  <c r="F17" i="12"/>
  <c r="F26" i="12"/>
  <c r="F30" i="12"/>
  <c r="F31" i="12"/>
  <c r="F15" i="12"/>
  <c r="F36" i="12"/>
  <c r="I22" i="290"/>
  <c r="G22" i="290"/>
  <c r="I16" i="290"/>
  <c r="G16" i="290"/>
  <c r="I31" i="345"/>
  <c r="G31" i="345"/>
  <c r="I27" i="345"/>
  <c r="G27" i="345"/>
  <c r="F36" i="239"/>
  <c r="F39" i="239"/>
  <c r="F14" i="239"/>
  <c r="F34" i="239"/>
  <c r="F35" i="239"/>
  <c r="F45" i="239"/>
  <c r="G45" i="239" s="1"/>
  <c r="F26" i="239"/>
  <c r="F27" i="239"/>
  <c r="F18" i="239"/>
  <c r="F17" i="239"/>
  <c r="F31" i="239"/>
  <c r="F37" i="239"/>
  <c r="F23" i="239"/>
  <c r="F28" i="239"/>
  <c r="F42" i="239"/>
  <c r="F10" i="239"/>
  <c r="F30" i="239"/>
  <c r="F13" i="239"/>
  <c r="F21" i="239"/>
  <c r="F15" i="239"/>
  <c r="F29" i="239"/>
  <c r="F44" i="239"/>
  <c r="F38" i="239"/>
  <c r="F11" i="239"/>
  <c r="F16" i="239"/>
  <c r="F12" i="239"/>
  <c r="F22" i="239"/>
  <c r="F43" i="239"/>
  <c r="I12" i="254"/>
  <c r="G12" i="254"/>
  <c r="F26" i="372"/>
  <c r="F11" i="372"/>
  <c r="F30" i="372"/>
  <c r="F31" i="372"/>
  <c r="F43" i="372"/>
  <c r="F18" i="372"/>
  <c r="F13" i="372"/>
  <c r="F14" i="372"/>
  <c r="F45" i="372"/>
  <c r="G45" i="372" s="1"/>
  <c r="F17" i="372"/>
  <c r="F27" i="372"/>
  <c r="F35" i="372"/>
  <c r="F23" i="372"/>
  <c r="F38" i="372"/>
  <c r="F10" i="372"/>
  <c r="F16" i="372"/>
  <c r="F28" i="372"/>
  <c r="F29" i="372"/>
  <c r="F44" i="372"/>
  <c r="F12" i="372"/>
  <c r="F39" i="372"/>
  <c r="F15" i="372"/>
  <c r="F22" i="372"/>
  <c r="F36" i="372"/>
  <c r="F21" i="372"/>
  <c r="F42" i="372"/>
  <c r="F34" i="372"/>
  <c r="F37" i="372"/>
  <c r="F36" i="455"/>
  <c r="F37" i="455"/>
  <c r="F38" i="455"/>
  <c r="F31" i="455"/>
  <c r="F45" i="455"/>
  <c r="G45" i="455" s="1"/>
  <c r="F42" i="455"/>
  <c r="F28" i="455"/>
  <c r="F14" i="455"/>
  <c r="F27" i="455"/>
  <c r="F23" i="455"/>
  <c r="F15" i="455"/>
  <c r="F39" i="455"/>
  <c r="F26" i="455"/>
  <c r="F21" i="455"/>
  <c r="F34" i="455"/>
  <c r="F44" i="455"/>
  <c r="F16" i="455"/>
  <c r="F12" i="455"/>
  <c r="F29" i="455"/>
  <c r="F10" i="455"/>
  <c r="F11" i="455"/>
  <c r="F18" i="455"/>
  <c r="F43" i="455"/>
  <c r="F17" i="455"/>
  <c r="F30" i="455"/>
  <c r="F13" i="455"/>
  <c r="F35" i="455"/>
  <c r="F22" i="455"/>
  <c r="G16" i="356"/>
  <c r="I16" i="356"/>
  <c r="I15" i="105"/>
  <c r="G15" i="105"/>
  <c r="G38" i="105"/>
  <c r="I38" i="105"/>
  <c r="I44" i="50"/>
  <c r="G44" i="50"/>
  <c r="G23" i="280"/>
  <c r="I23" i="280"/>
  <c r="G36" i="280"/>
  <c r="I36" i="280"/>
  <c r="G30" i="331"/>
  <c r="I30" i="331"/>
  <c r="G34" i="241"/>
  <c r="I34" i="241"/>
  <c r="G28" i="241"/>
  <c r="I28" i="241"/>
  <c r="F35" i="393"/>
  <c r="F13" i="393"/>
  <c r="F39" i="393"/>
  <c r="F12" i="393"/>
  <c r="F36" i="393"/>
  <c r="F44" i="393"/>
  <c r="F10" i="393"/>
  <c r="F21" i="393"/>
  <c r="F30" i="393"/>
  <c r="F11" i="393"/>
  <c r="F27" i="393"/>
  <c r="F43" i="393"/>
  <c r="F28" i="393"/>
  <c r="F34" i="393"/>
  <c r="F15" i="393"/>
  <c r="F22" i="393"/>
  <c r="F31" i="393"/>
  <c r="F29" i="393"/>
  <c r="F37" i="393"/>
  <c r="F45" i="393"/>
  <c r="G45" i="393" s="1"/>
  <c r="F14" i="393"/>
  <c r="F23" i="393"/>
  <c r="F38" i="393"/>
  <c r="F26" i="393"/>
  <c r="F16" i="393"/>
  <c r="F18" i="393"/>
  <c r="F42" i="393"/>
  <c r="F17" i="393"/>
  <c r="I36" i="312"/>
  <c r="G36" i="312"/>
  <c r="I42" i="312"/>
  <c r="G42" i="312"/>
  <c r="D50" i="23"/>
  <c r="D48" i="23"/>
  <c r="E32" i="23" s="1"/>
  <c r="G38" i="73"/>
  <c r="I38" i="73"/>
  <c r="G31" i="73"/>
  <c r="I31" i="73"/>
  <c r="I29" i="182"/>
  <c r="G29" i="182"/>
  <c r="G38" i="94"/>
  <c r="I38" i="94"/>
  <c r="G12" i="244"/>
  <c r="I12" i="244"/>
  <c r="I26" i="387"/>
  <c r="I32" i="387" s="1"/>
  <c r="F32" i="387" s="1"/>
  <c r="G32" i="387" s="1"/>
  <c r="G26" i="387"/>
  <c r="G28" i="311"/>
  <c r="I28" i="311"/>
  <c r="G34" i="311"/>
  <c r="I34" i="311"/>
  <c r="G44" i="70"/>
  <c r="I44" i="70"/>
  <c r="I14" i="70"/>
  <c r="G14" i="70"/>
  <c r="I29" i="395"/>
  <c r="G29" i="395"/>
  <c r="I30" i="217"/>
  <c r="G30" i="217"/>
  <c r="G22" i="114"/>
  <c r="I22" i="114"/>
  <c r="G38" i="114"/>
  <c r="I38" i="114"/>
  <c r="G35" i="57"/>
  <c r="I35" i="57"/>
  <c r="G21" i="63"/>
  <c r="I21" i="63"/>
  <c r="F45" i="420"/>
  <c r="G45" i="420" s="1"/>
  <c r="F14" i="420"/>
  <c r="F26" i="420"/>
  <c r="F15" i="420"/>
  <c r="F28" i="420"/>
  <c r="F37" i="420"/>
  <c r="F29" i="420"/>
  <c r="F38" i="420"/>
  <c r="F35" i="420"/>
  <c r="F17" i="420"/>
  <c r="F34" i="420"/>
  <c r="F39" i="420"/>
  <c r="F10" i="420"/>
  <c r="F18" i="420"/>
  <c r="F11" i="420"/>
  <c r="F42" i="420"/>
  <c r="F31" i="420"/>
  <c r="F22" i="420"/>
  <c r="F44" i="420"/>
  <c r="F36" i="420"/>
  <c r="F16" i="420"/>
  <c r="F21" i="420"/>
  <c r="F43" i="420"/>
  <c r="F23" i="420"/>
  <c r="F27" i="420"/>
  <c r="F30" i="420"/>
  <c r="F13" i="420"/>
  <c r="F12" i="420"/>
  <c r="I17" i="73"/>
  <c r="G17" i="73"/>
  <c r="I37" i="219"/>
  <c r="G37" i="219"/>
  <c r="I16" i="63"/>
  <c r="G16" i="63"/>
  <c r="F29" i="215"/>
  <c r="F18" i="215"/>
  <c r="H48" i="321"/>
  <c r="H50" i="321" s="1"/>
  <c r="E6" i="321" s="1"/>
  <c r="G43" i="107"/>
  <c r="I43" i="107"/>
  <c r="G37" i="107"/>
  <c r="I37" i="107"/>
  <c r="G31" i="147"/>
  <c r="I31" i="147"/>
  <c r="G43" i="147"/>
  <c r="I43" i="147"/>
  <c r="I16" i="161"/>
  <c r="G16" i="161"/>
  <c r="I10" i="161"/>
  <c r="G10" i="161"/>
  <c r="G22" i="219"/>
  <c r="I22" i="219"/>
  <c r="I16" i="219"/>
  <c r="G16" i="219"/>
  <c r="I23" i="74"/>
  <c r="G23" i="74"/>
  <c r="I36" i="113"/>
  <c r="G36" i="113"/>
  <c r="E48" i="444"/>
  <c r="G27" i="206"/>
  <c r="I27" i="206"/>
  <c r="I16" i="206"/>
  <c r="G16" i="206"/>
  <c r="F37" i="284"/>
  <c r="F23" i="284"/>
  <c r="F14" i="284"/>
  <c r="F26" i="284"/>
  <c r="F38" i="284"/>
  <c r="F17" i="284"/>
  <c r="F28" i="284"/>
  <c r="F44" i="284"/>
  <c r="F15" i="284"/>
  <c r="F21" i="284"/>
  <c r="F29" i="284"/>
  <c r="F22" i="284"/>
  <c r="F42" i="284"/>
  <c r="F36" i="284"/>
  <c r="F45" i="284"/>
  <c r="G45" i="284" s="1"/>
  <c r="F18" i="284"/>
  <c r="F30" i="284"/>
  <c r="F11" i="284"/>
  <c r="F16" i="284"/>
  <c r="F34" i="284"/>
  <c r="F13" i="284"/>
  <c r="F12" i="284"/>
  <c r="F31" i="284"/>
  <c r="F35" i="284"/>
  <c r="F39" i="284"/>
  <c r="F43" i="284"/>
  <c r="F27" i="284"/>
  <c r="F10" i="284"/>
  <c r="I36" i="57"/>
  <c r="G36" i="57"/>
  <c r="I30" i="57"/>
  <c r="G30" i="57"/>
  <c r="I10" i="110"/>
  <c r="G10" i="110"/>
  <c r="I12" i="63"/>
  <c r="G12" i="63"/>
  <c r="I17" i="63"/>
  <c r="G17" i="63"/>
  <c r="G30" i="66"/>
  <c r="I30" i="66"/>
  <c r="I35" i="66"/>
  <c r="G35" i="66"/>
  <c r="I16" i="164"/>
  <c r="G16" i="164"/>
  <c r="E32" i="354"/>
  <c r="E38" i="354"/>
  <c r="E21" i="354"/>
  <c r="E39" i="354"/>
  <c r="E22" i="354"/>
  <c r="E43" i="354"/>
  <c r="E44" i="354"/>
  <c r="E45" i="354"/>
  <c r="E23" i="354"/>
  <c r="E24" i="354"/>
  <c r="E26" i="354"/>
  <c r="E27" i="354"/>
  <c r="E28" i="354"/>
  <c r="E30" i="354"/>
  <c r="E42" i="354"/>
  <c r="E36" i="354"/>
  <c r="E46" i="354"/>
  <c r="A52" i="354" s="1"/>
  <c r="E40" i="354"/>
  <c r="E37" i="354"/>
  <c r="E29" i="354"/>
  <c r="E35" i="354"/>
  <c r="E31" i="354"/>
  <c r="E34" i="354"/>
  <c r="E48" i="239"/>
  <c r="G16" i="383"/>
  <c r="I16" i="383"/>
  <c r="G42" i="290"/>
  <c r="I42" i="290"/>
  <c r="I27" i="290"/>
  <c r="G27" i="290"/>
  <c r="G22" i="345"/>
  <c r="I22" i="345"/>
  <c r="G34" i="345"/>
  <c r="I34" i="345"/>
  <c r="I29" i="378"/>
  <c r="G29" i="378"/>
  <c r="I18" i="254"/>
  <c r="G18" i="254"/>
  <c r="G44" i="356"/>
  <c r="I44" i="356"/>
  <c r="G43" i="105"/>
  <c r="I43" i="105"/>
  <c r="I37" i="50"/>
  <c r="G37" i="50"/>
  <c r="I10" i="280"/>
  <c r="G10" i="280"/>
  <c r="I22" i="280"/>
  <c r="G22" i="280"/>
  <c r="G38" i="331"/>
  <c r="I38" i="331"/>
  <c r="I21" i="331"/>
  <c r="G21" i="331"/>
  <c r="G23" i="241"/>
  <c r="I23" i="241"/>
  <c r="I39" i="241"/>
  <c r="G39" i="241"/>
  <c r="I13" i="312"/>
  <c r="G13" i="312"/>
  <c r="I17" i="312"/>
  <c r="G17" i="312"/>
  <c r="G34" i="42"/>
  <c r="I34" i="42"/>
  <c r="G34" i="73"/>
  <c r="I34" i="73"/>
  <c r="G36" i="73"/>
  <c r="I36" i="73"/>
  <c r="G11" i="182"/>
  <c r="I11" i="182"/>
  <c r="I12" i="94"/>
  <c r="G12" i="94"/>
  <c r="I37" i="244"/>
  <c r="G37" i="244"/>
  <c r="F35" i="109"/>
  <c r="F30" i="109"/>
  <c r="F36" i="109"/>
  <c r="F18" i="109"/>
  <c r="F42" i="109"/>
  <c r="F12" i="109"/>
  <c r="F14" i="109"/>
  <c r="F21" i="109"/>
  <c r="F17" i="109"/>
  <c r="F16" i="109"/>
  <c r="F26" i="109"/>
  <c r="F34" i="109"/>
  <c r="F27" i="109"/>
  <c r="F29" i="109"/>
  <c r="F13" i="109"/>
  <c r="F10" i="109"/>
  <c r="F37" i="109"/>
  <c r="F44" i="109"/>
  <c r="F28" i="109"/>
  <c r="F11" i="109"/>
  <c r="F23" i="109"/>
  <c r="F43" i="109"/>
  <c r="F38" i="109"/>
  <c r="F39" i="109"/>
  <c r="F15" i="109"/>
  <c r="F31" i="109"/>
  <c r="F22" i="109"/>
  <c r="F45" i="109"/>
  <c r="G45" i="109" s="1"/>
  <c r="G15" i="387"/>
  <c r="I15" i="387"/>
  <c r="I18" i="311"/>
  <c r="G18" i="311"/>
  <c r="I37" i="311"/>
  <c r="G37" i="311"/>
  <c r="G38" i="70"/>
  <c r="I38" i="70"/>
  <c r="I28" i="70"/>
  <c r="G28" i="70"/>
  <c r="G22" i="395"/>
  <c r="I22" i="395"/>
  <c r="G23" i="217"/>
  <c r="I23" i="217"/>
  <c r="I34" i="114"/>
  <c r="G34" i="114"/>
  <c r="G28" i="114"/>
  <c r="I28" i="114"/>
  <c r="G17" i="219"/>
  <c r="I17" i="219"/>
  <c r="F36" i="342"/>
  <c r="F10" i="342"/>
  <c r="F28" i="342"/>
  <c r="F15" i="342"/>
  <c r="F45" i="342"/>
  <c r="G45" i="342" s="1"/>
  <c r="F22" i="342"/>
  <c r="F23" i="342"/>
  <c r="I43" i="378"/>
  <c r="G43" i="378"/>
  <c r="I39" i="105"/>
  <c r="G39" i="105"/>
  <c r="I42" i="114"/>
  <c r="G42" i="114"/>
  <c r="F29" i="69"/>
  <c r="F15" i="69"/>
  <c r="F44" i="69"/>
  <c r="F10" i="69"/>
  <c r="F31" i="69"/>
  <c r="F26" i="69"/>
  <c r="F42" i="69"/>
  <c r="F27" i="69"/>
  <c r="F30" i="69"/>
  <c r="F39" i="69"/>
  <c r="F16" i="69"/>
  <c r="F13" i="69"/>
  <c r="F36" i="69"/>
  <c r="F45" i="69"/>
  <c r="G45" i="69" s="1"/>
  <c r="F38" i="69"/>
  <c r="F28" i="69"/>
  <c r="F21" i="69"/>
  <c r="F11" i="69"/>
  <c r="F18" i="69"/>
  <c r="F12" i="69"/>
  <c r="F35" i="69"/>
  <c r="F14" i="69"/>
  <c r="F23" i="69"/>
  <c r="F37" i="69"/>
  <c r="F17" i="69"/>
  <c r="F22" i="69"/>
  <c r="F43" i="69"/>
  <c r="F34" i="69"/>
  <c r="F26" i="352"/>
  <c r="F22" i="352"/>
  <c r="F36" i="352"/>
  <c r="F12" i="352"/>
  <c r="F35" i="352"/>
  <c r="F45" i="352"/>
  <c r="G45" i="352" s="1"/>
  <c r="F37" i="352"/>
  <c r="F17" i="352"/>
  <c r="F29" i="352"/>
  <c r="F10" i="352"/>
  <c r="F39" i="352"/>
  <c r="F27" i="352"/>
  <c r="F13" i="352"/>
  <c r="F34" i="352"/>
  <c r="F43" i="352"/>
  <c r="F44" i="352"/>
  <c r="F21" i="352"/>
  <c r="F38" i="352"/>
  <c r="F42" i="352"/>
  <c r="F16" i="352"/>
  <c r="F14" i="352"/>
  <c r="F23" i="352"/>
  <c r="F15" i="352"/>
  <c r="F18" i="352"/>
  <c r="F11" i="352"/>
  <c r="F28" i="352"/>
  <c r="F30" i="352"/>
  <c r="F31" i="352"/>
  <c r="G18" i="395"/>
  <c r="I18" i="395"/>
  <c r="F23" i="215"/>
  <c r="F16" i="215"/>
  <c r="I22" i="107"/>
  <c r="G22" i="107"/>
  <c r="I34" i="107"/>
  <c r="G34" i="107"/>
  <c r="F26" i="203"/>
  <c r="F11" i="203"/>
  <c r="F17" i="203"/>
  <c r="F27" i="203"/>
  <c r="F37" i="203"/>
  <c r="F23" i="203"/>
  <c r="F36" i="203"/>
  <c r="F30" i="203"/>
  <c r="F10" i="203"/>
  <c r="F42" i="203"/>
  <c r="F18" i="203"/>
  <c r="F12" i="203"/>
  <c r="F45" i="203"/>
  <c r="G45" i="203" s="1"/>
  <c r="F14" i="203"/>
  <c r="F31" i="203"/>
  <c r="F22" i="203"/>
  <c r="F44" i="203"/>
  <c r="F35" i="203"/>
  <c r="F28" i="203"/>
  <c r="F15" i="203"/>
  <c r="F43" i="203"/>
  <c r="F34" i="203"/>
  <c r="F39" i="203"/>
  <c r="F13" i="203"/>
  <c r="F21" i="203"/>
  <c r="F29" i="203"/>
  <c r="F38" i="203"/>
  <c r="F16" i="203"/>
  <c r="G13" i="147"/>
  <c r="I13" i="147"/>
  <c r="G42" i="147"/>
  <c r="I42" i="147"/>
  <c r="I15" i="161"/>
  <c r="G15" i="161"/>
  <c r="F31" i="138"/>
  <c r="F18" i="138"/>
  <c r="F37" i="138"/>
  <c r="F14" i="138"/>
  <c r="F42" i="138"/>
  <c r="F13" i="138"/>
  <c r="F45" i="138"/>
  <c r="G45" i="138" s="1"/>
  <c r="F38" i="138"/>
  <c r="F35" i="138"/>
  <c r="F21" i="138"/>
  <c r="F43" i="138"/>
  <c r="F22" i="138"/>
  <c r="F15" i="138"/>
  <c r="F26" i="138"/>
  <c r="F44" i="138"/>
  <c r="F17" i="138"/>
  <c r="F36" i="138"/>
  <c r="F11" i="138"/>
  <c r="F16" i="138"/>
  <c r="F27" i="138"/>
  <c r="F10" i="138"/>
  <c r="F29" i="138"/>
  <c r="F23" i="138"/>
  <c r="F12" i="138"/>
  <c r="F28" i="138"/>
  <c r="F30" i="138"/>
  <c r="F34" i="138"/>
  <c r="F39" i="138"/>
  <c r="F35" i="208"/>
  <c r="F44" i="208"/>
  <c r="F11" i="208"/>
  <c r="F22" i="208"/>
  <c r="F31" i="208"/>
  <c r="F15" i="208"/>
  <c r="F45" i="208"/>
  <c r="G45" i="208" s="1"/>
  <c r="F13" i="208"/>
  <c r="F18" i="208"/>
  <c r="F12" i="208"/>
  <c r="F17" i="208"/>
  <c r="F38" i="208"/>
  <c r="F43" i="208"/>
  <c r="F37" i="208"/>
  <c r="F29" i="208"/>
  <c r="F36" i="208"/>
  <c r="F39" i="208"/>
  <c r="F14" i="208"/>
  <c r="F42" i="208"/>
  <c r="F26" i="208"/>
  <c r="F27" i="208"/>
  <c r="F28" i="208"/>
  <c r="F10" i="208"/>
  <c r="F21" i="208"/>
  <c r="F30" i="208"/>
  <c r="F34" i="208"/>
  <c r="F16" i="208"/>
  <c r="F23" i="208"/>
  <c r="G29" i="219"/>
  <c r="I29" i="219"/>
  <c r="G36" i="219"/>
  <c r="I36" i="219"/>
  <c r="I12" i="74"/>
  <c r="G12" i="74"/>
  <c r="G29" i="113"/>
  <c r="F11" i="379"/>
  <c r="F31" i="379"/>
  <c r="F12" i="379"/>
  <c r="F34" i="379"/>
  <c r="F21" i="379"/>
  <c r="F13" i="379"/>
  <c r="F43" i="379"/>
  <c r="F35" i="379"/>
  <c r="F22" i="379"/>
  <c r="F14" i="379"/>
  <c r="F44" i="379"/>
  <c r="F36" i="379"/>
  <c r="F23" i="379"/>
  <c r="F16" i="379"/>
  <c r="F26" i="379"/>
  <c r="F17" i="379"/>
  <c r="F10" i="379"/>
  <c r="F15" i="379"/>
  <c r="F38" i="379"/>
  <c r="F39" i="379"/>
  <c r="F18" i="379"/>
  <c r="F42" i="379"/>
  <c r="F37" i="379"/>
  <c r="F27" i="379"/>
  <c r="F28" i="379"/>
  <c r="F29" i="379"/>
  <c r="F45" i="379"/>
  <c r="G45" i="379" s="1"/>
  <c r="F30" i="379"/>
  <c r="I12" i="206"/>
  <c r="G12" i="206"/>
  <c r="G43" i="206"/>
  <c r="I43" i="206"/>
  <c r="I11" i="57"/>
  <c r="G11" i="57"/>
  <c r="I39" i="57"/>
  <c r="G39" i="57"/>
  <c r="I29" i="110"/>
  <c r="G29" i="110"/>
  <c r="F27" i="301"/>
  <c r="F36" i="301"/>
  <c r="F15" i="301"/>
  <c r="F16" i="301"/>
  <c r="F38" i="301"/>
  <c r="F34" i="301"/>
  <c r="F14" i="301"/>
  <c r="G37" i="63"/>
  <c r="I37" i="63"/>
  <c r="I31" i="63"/>
  <c r="G31" i="63"/>
  <c r="I23" i="66"/>
  <c r="G23" i="66"/>
  <c r="I18" i="66"/>
  <c r="G18" i="66"/>
  <c r="E50" i="354"/>
  <c r="J50" i="354"/>
  <c r="G23" i="383"/>
  <c r="I23" i="383"/>
  <c r="I28" i="383"/>
  <c r="G28" i="383"/>
  <c r="F31" i="212"/>
  <c r="F14" i="212"/>
  <c r="F44" i="212"/>
  <c r="F26" i="212"/>
  <c r="F16" i="212"/>
  <c r="F21" i="212"/>
  <c r="F30" i="212"/>
  <c r="F11" i="212"/>
  <c r="F12" i="212"/>
  <c r="F27" i="212"/>
  <c r="F13" i="212"/>
  <c r="F37" i="212"/>
  <c r="F45" i="212"/>
  <c r="G45" i="212" s="1"/>
  <c r="F10" i="212"/>
  <c r="F43" i="212"/>
  <c r="F35" i="212"/>
  <c r="F38" i="212"/>
  <c r="F28" i="212"/>
  <c r="F15" i="212"/>
  <c r="F39" i="212"/>
  <c r="F36" i="212"/>
  <c r="F42" i="212"/>
  <c r="F34" i="212"/>
  <c r="F22" i="212"/>
  <c r="F23" i="212"/>
  <c r="F17" i="212"/>
  <c r="F18" i="212"/>
  <c r="F29" i="212"/>
  <c r="I17" i="290"/>
  <c r="G17" i="290"/>
  <c r="I34" i="290"/>
  <c r="G34" i="290"/>
  <c r="I42" i="345"/>
  <c r="G42" i="345"/>
  <c r="I18" i="345"/>
  <c r="G18" i="345"/>
  <c r="I31" i="378"/>
  <c r="G31" i="378"/>
  <c r="I14" i="378"/>
  <c r="G14" i="378"/>
  <c r="I38" i="254"/>
  <c r="G38" i="254"/>
  <c r="I43" i="356"/>
  <c r="I46" i="356" s="1"/>
  <c r="F46" i="356" s="1"/>
  <c r="G46" i="356" s="1"/>
  <c r="G43" i="356"/>
  <c r="I10" i="105"/>
  <c r="G10" i="105"/>
  <c r="I17" i="105"/>
  <c r="G17" i="105"/>
  <c r="G15" i="280"/>
  <c r="I15" i="280"/>
  <c r="I16" i="280"/>
  <c r="G16" i="280"/>
  <c r="G28" i="331"/>
  <c r="I28" i="331"/>
  <c r="I34" i="331"/>
  <c r="G34" i="331"/>
  <c r="G14" i="241"/>
  <c r="I14" i="241"/>
  <c r="G11" i="241"/>
  <c r="I11" i="241"/>
  <c r="F31" i="273"/>
  <c r="F21" i="273"/>
  <c r="F39" i="273"/>
  <c r="F43" i="273"/>
  <c r="F42" i="273"/>
  <c r="F34" i="273"/>
  <c r="F44" i="273"/>
  <c r="I29" i="312"/>
  <c r="G29" i="312"/>
  <c r="I28" i="312"/>
  <c r="G28" i="312"/>
  <c r="I16" i="42"/>
  <c r="G16" i="42"/>
  <c r="F43" i="261"/>
  <c r="F27" i="261"/>
  <c r="F35" i="261"/>
  <c r="F10" i="261"/>
  <c r="F44" i="261"/>
  <c r="F36" i="261"/>
  <c r="F12" i="261"/>
  <c r="F38" i="261"/>
  <c r="F22" i="261"/>
  <c r="F39" i="261"/>
  <c r="F42" i="261"/>
  <c r="F30" i="261"/>
  <c r="F15" i="261"/>
  <c r="F37" i="261"/>
  <c r="F21" i="261"/>
  <c r="F31" i="261"/>
  <c r="F26" i="261"/>
  <c r="F18" i="261"/>
  <c r="F13" i="261"/>
  <c r="F16" i="261"/>
  <c r="F23" i="261"/>
  <c r="F28" i="261"/>
  <c r="F17" i="261"/>
  <c r="F29" i="261"/>
  <c r="F34" i="261"/>
  <c r="F11" i="261"/>
  <c r="F45" i="261"/>
  <c r="G45" i="261" s="1"/>
  <c r="F14" i="261"/>
  <c r="I29" i="73"/>
  <c r="G29" i="73"/>
  <c r="G30" i="73"/>
  <c r="I30" i="73"/>
  <c r="G10" i="182"/>
  <c r="I10" i="182"/>
  <c r="I39" i="94"/>
  <c r="G39" i="94"/>
  <c r="I35" i="94"/>
  <c r="G35" i="94"/>
  <c r="I29" i="244"/>
  <c r="G29" i="244"/>
  <c r="F34" i="168"/>
  <c r="F27" i="168"/>
  <c r="F35" i="168"/>
  <c r="F12" i="168"/>
  <c r="F14" i="168"/>
  <c r="F17" i="168"/>
  <c r="F30" i="168"/>
  <c r="F45" i="168"/>
  <c r="G45" i="168" s="1"/>
  <c r="F28" i="168"/>
  <c r="F26" i="168"/>
  <c r="F10" i="168"/>
  <c r="F29" i="168"/>
  <c r="F31" i="168"/>
  <c r="F38" i="168"/>
  <c r="F11" i="168"/>
  <c r="F37" i="168"/>
  <c r="F16" i="168"/>
  <c r="F39" i="168"/>
  <c r="F36" i="168"/>
  <c r="F43" i="168"/>
  <c r="F13" i="168"/>
  <c r="F15" i="168"/>
  <c r="F44" i="168"/>
  <c r="F23" i="168"/>
  <c r="F22" i="168"/>
  <c r="F18" i="168"/>
  <c r="F21" i="168"/>
  <c r="F42" i="168"/>
  <c r="I23" i="387"/>
  <c r="G23" i="387"/>
  <c r="I10" i="311"/>
  <c r="G10" i="311"/>
  <c r="G26" i="311"/>
  <c r="I26" i="311"/>
  <c r="I29" i="70"/>
  <c r="G29" i="70"/>
  <c r="G26" i="70"/>
  <c r="I26" i="70"/>
  <c r="F43" i="374"/>
  <c r="F35" i="374"/>
  <c r="F11" i="374"/>
  <c r="F26" i="374"/>
  <c r="F44" i="374"/>
  <c r="F17" i="374"/>
  <c r="F28" i="374"/>
  <c r="F39" i="374"/>
  <c r="F10" i="374"/>
  <c r="F29" i="374"/>
  <c r="F15" i="374"/>
  <c r="F38" i="374"/>
  <c r="F37" i="374"/>
  <c r="F45" i="374"/>
  <c r="G45" i="374" s="1"/>
  <c r="F42" i="374"/>
  <c r="F27" i="374"/>
  <c r="F12" i="374"/>
  <c r="F36" i="374"/>
  <c r="F21" i="374"/>
  <c r="F16" i="374"/>
  <c r="F30" i="374"/>
  <c r="F13" i="374"/>
  <c r="F23" i="374"/>
  <c r="F14" i="374"/>
  <c r="F31" i="374"/>
  <c r="F18" i="374"/>
  <c r="F22" i="374"/>
  <c r="F34" i="374"/>
  <c r="G12" i="395"/>
  <c r="I12" i="395"/>
  <c r="G28" i="395"/>
  <c r="I28" i="395"/>
  <c r="I43" i="217"/>
  <c r="G43" i="217"/>
  <c r="I39" i="217"/>
  <c r="G39" i="217"/>
  <c r="G30" i="114"/>
  <c r="I30" i="114"/>
  <c r="G12" i="114"/>
  <c r="I12" i="114"/>
  <c r="G11" i="311"/>
  <c r="I11" i="311"/>
  <c r="G12" i="311"/>
  <c r="I12" i="311"/>
  <c r="C40" i="476"/>
  <c r="F23" i="160"/>
  <c r="F21" i="160"/>
  <c r="F44" i="160"/>
  <c r="F10" i="160"/>
  <c r="F11" i="160"/>
  <c r="F13" i="160"/>
  <c r="F34" i="160"/>
  <c r="F15" i="160"/>
  <c r="F28" i="160"/>
  <c r="F12" i="160"/>
  <c r="F26" i="160"/>
  <c r="F22" i="160"/>
  <c r="F30" i="160"/>
  <c r="F45" i="160"/>
  <c r="G45" i="160" s="1"/>
  <c r="F14" i="160"/>
  <c r="F17" i="160"/>
  <c r="F42" i="160"/>
  <c r="F18" i="160"/>
  <c r="F36" i="160"/>
  <c r="F37" i="160"/>
  <c r="F29" i="160"/>
  <c r="F16" i="160"/>
  <c r="F38" i="160"/>
  <c r="F43" i="160"/>
  <c r="F31" i="160"/>
  <c r="F35" i="160"/>
  <c r="F39" i="160"/>
  <c r="F27" i="160"/>
  <c r="G12" i="107"/>
  <c r="I12" i="107"/>
  <c r="I26" i="107"/>
  <c r="G26" i="107"/>
  <c r="F23" i="343"/>
  <c r="F31" i="343"/>
  <c r="F34" i="343"/>
  <c r="F38" i="343"/>
  <c r="F44" i="343"/>
  <c r="F14" i="343"/>
  <c r="F35" i="343"/>
  <c r="F37" i="343"/>
  <c r="F36" i="343"/>
  <c r="F15" i="343"/>
  <c r="F45" i="343"/>
  <c r="G45" i="343" s="1"/>
  <c r="F10" i="343"/>
  <c r="F39" i="343"/>
  <c r="F42" i="343"/>
  <c r="F28" i="343"/>
  <c r="F43" i="343"/>
  <c r="F16" i="343"/>
  <c r="F26" i="343"/>
  <c r="F17" i="343"/>
  <c r="F30" i="343"/>
  <c r="F13" i="343"/>
  <c r="F11" i="343"/>
  <c r="F18" i="343"/>
  <c r="F22" i="343"/>
  <c r="F27" i="343"/>
  <c r="F29" i="343"/>
  <c r="F12" i="343"/>
  <c r="F21" i="343"/>
  <c r="I26" i="147"/>
  <c r="G26" i="147"/>
  <c r="G22" i="147"/>
  <c r="I22" i="147"/>
  <c r="I43" i="161"/>
  <c r="G43" i="161"/>
  <c r="G35" i="219"/>
  <c r="I35" i="219"/>
  <c r="G42" i="219"/>
  <c r="I42" i="219"/>
  <c r="I15" i="74"/>
  <c r="G15" i="74"/>
  <c r="I28" i="113"/>
  <c r="G28" i="113"/>
  <c r="J50" i="138"/>
  <c r="E50" i="138"/>
  <c r="G11" i="206"/>
  <c r="I11" i="206"/>
  <c r="I29" i="206"/>
  <c r="G29" i="206"/>
  <c r="F12" i="229"/>
  <c r="F36" i="229"/>
  <c r="F31" i="229"/>
  <c r="F26" i="229"/>
  <c r="F13" i="229"/>
  <c r="F39" i="229"/>
  <c r="F45" i="229"/>
  <c r="G45" i="229" s="1"/>
  <c r="F22" i="229"/>
  <c r="F17" i="229"/>
  <c r="F23" i="229"/>
  <c r="F43" i="229"/>
  <c r="F15" i="229"/>
  <c r="F37" i="229"/>
  <c r="F34" i="229"/>
  <c r="F30" i="229"/>
  <c r="F14" i="229"/>
  <c r="F44" i="229"/>
  <c r="F11" i="229"/>
  <c r="F10" i="229"/>
  <c r="F18" i="229"/>
  <c r="F16" i="229"/>
  <c r="F35" i="229"/>
  <c r="F27" i="229"/>
  <c r="F38" i="229"/>
  <c r="F21" i="229"/>
  <c r="F29" i="229"/>
  <c r="F28" i="229"/>
  <c r="F42" i="229"/>
  <c r="G15" i="57"/>
  <c r="I15" i="57"/>
  <c r="G21" i="57"/>
  <c r="I21" i="57"/>
  <c r="I31" i="110"/>
  <c r="G31" i="110"/>
  <c r="E48" i="89"/>
  <c r="F23" i="404"/>
  <c r="F22" i="404"/>
  <c r="F27" i="404"/>
  <c r="F21" i="404"/>
  <c r="F42" i="404"/>
  <c r="F26" i="404"/>
  <c r="F28" i="404"/>
  <c r="F29" i="404"/>
  <c r="F11" i="404"/>
  <c r="F37" i="404"/>
  <c r="F14" i="404"/>
  <c r="F34" i="404"/>
  <c r="F10" i="404"/>
  <c r="F43" i="404"/>
  <c r="F12" i="404"/>
  <c r="F44" i="404"/>
  <c r="F13" i="404"/>
  <c r="F39" i="404"/>
  <c r="F31" i="404"/>
  <c r="F45" i="404"/>
  <c r="G45" i="404" s="1"/>
  <c r="F16" i="404"/>
  <c r="F38" i="404"/>
  <c r="F18" i="404"/>
  <c r="F36" i="404"/>
  <c r="F35" i="404"/>
  <c r="F30" i="404"/>
  <c r="F15" i="404"/>
  <c r="F17" i="404"/>
  <c r="G29" i="63"/>
  <c r="I29" i="63"/>
  <c r="G27" i="63"/>
  <c r="I27" i="63"/>
  <c r="I28" i="66"/>
  <c r="F11" i="235"/>
  <c r="F30" i="235"/>
  <c r="F45" i="235"/>
  <c r="G45" i="235" s="1"/>
  <c r="F15" i="235"/>
  <c r="F18" i="235"/>
  <c r="F39" i="235"/>
  <c r="F10" i="235"/>
  <c r="F35" i="235"/>
  <c r="F22" i="235"/>
  <c r="F12" i="235"/>
  <c r="F23" i="235"/>
  <c r="F13" i="235"/>
  <c r="F16" i="235"/>
  <c r="F34" i="235"/>
  <c r="F36" i="235"/>
  <c r="F31" i="235"/>
  <c r="F21" i="235"/>
  <c r="F28" i="235"/>
  <c r="F27" i="235"/>
  <c r="F38" i="235"/>
  <c r="F44" i="235"/>
  <c r="F42" i="235"/>
  <c r="F37" i="235"/>
  <c r="F26" i="235"/>
  <c r="F17" i="235"/>
  <c r="F29" i="235"/>
  <c r="F43" i="235"/>
  <c r="F14" i="235"/>
  <c r="G21" i="383"/>
  <c r="I21" i="383"/>
  <c r="I15" i="383"/>
  <c r="G15" i="383"/>
  <c r="I37" i="290"/>
  <c r="G37" i="290"/>
  <c r="I12" i="290"/>
  <c r="G12" i="290"/>
  <c r="I26" i="345"/>
  <c r="G26" i="345"/>
  <c r="G21" i="345"/>
  <c r="I21" i="345"/>
  <c r="E24" i="179"/>
  <c r="E34" i="179"/>
  <c r="E39" i="179"/>
  <c r="E21" i="179"/>
  <c r="E31" i="179"/>
  <c r="E32" i="179"/>
  <c r="E37" i="179"/>
  <c r="E23" i="179"/>
  <c r="E27" i="179"/>
  <c r="E36" i="179"/>
  <c r="E26" i="179"/>
  <c r="E35" i="179"/>
  <c r="E29" i="179"/>
  <c r="E44" i="179"/>
  <c r="E38" i="179"/>
  <c r="E30" i="179"/>
  <c r="E28" i="179"/>
  <c r="E45" i="179"/>
  <c r="E42" i="179"/>
  <c r="E22" i="179"/>
  <c r="E43" i="179"/>
  <c r="G10" i="378"/>
  <c r="I10" i="378"/>
  <c r="G35" i="378"/>
  <c r="I35" i="378"/>
  <c r="I30" i="254"/>
  <c r="G30" i="254"/>
  <c r="I13" i="356"/>
  <c r="G13" i="356"/>
  <c r="G18" i="50"/>
  <c r="I18" i="50"/>
  <c r="G18" i="280"/>
  <c r="I18" i="280"/>
  <c r="G12" i="280"/>
  <c r="I12" i="280"/>
  <c r="G10" i="331"/>
  <c r="I10" i="331"/>
  <c r="I29" i="241"/>
  <c r="G29" i="241"/>
  <c r="I38" i="241"/>
  <c r="G38" i="241"/>
  <c r="G11" i="312"/>
  <c r="I11" i="312"/>
  <c r="G26" i="312"/>
  <c r="I26" i="312"/>
  <c r="E48" i="460"/>
  <c r="G15" i="42"/>
  <c r="I15" i="42"/>
  <c r="I27" i="73"/>
  <c r="G27" i="73"/>
  <c r="G18" i="73"/>
  <c r="I18" i="73"/>
  <c r="G38" i="182"/>
  <c r="I38" i="182"/>
  <c r="I29" i="94"/>
  <c r="G29" i="94"/>
  <c r="I30" i="94"/>
  <c r="G30" i="94"/>
  <c r="I30" i="244"/>
  <c r="G30" i="244"/>
  <c r="H48" i="118"/>
  <c r="H50" i="118" s="1"/>
  <c r="E6" i="118" s="1"/>
  <c r="G43" i="387"/>
  <c r="I43" i="387"/>
  <c r="G36" i="387"/>
  <c r="I36" i="387"/>
  <c r="I35" i="311"/>
  <c r="G35" i="311"/>
  <c r="I15" i="311"/>
  <c r="G15" i="311"/>
  <c r="I37" i="70"/>
  <c r="G37" i="70"/>
  <c r="I15" i="70"/>
  <c r="G15" i="70"/>
  <c r="H48" i="354"/>
  <c r="H50" i="354" s="1"/>
  <c r="E6" i="354" s="1"/>
  <c r="G26" i="395"/>
  <c r="I26" i="395"/>
  <c r="I32" i="395" s="1"/>
  <c r="F32" i="395" s="1"/>
  <c r="G32" i="395" s="1"/>
  <c r="G42" i="395"/>
  <c r="I42" i="395"/>
  <c r="I12" i="217"/>
  <c r="G12" i="217"/>
  <c r="G21" i="217"/>
  <c r="I21" i="217"/>
  <c r="I10" i="114"/>
  <c r="G10" i="114"/>
  <c r="I13" i="114"/>
  <c r="G13" i="114"/>
  <c r="E50" i="477"/>
  <c r="J50" i="478"/>
  <c r="E50" i="478"/>
  <c r="I34" i="431"/>
  <c r="G34" i="431"/>
  <c r="F34" i="423"/>
  <c r="F35" i="423"/>
  <c r="F17" i="423"/>
  <c r="F36" i="423"/>
  <c r="F18" i="423"/>
  <c r="F37" i="423"/>
  <c r="F23" i="423"/>
  <c r="F38" i="423"/>
  <c r="F22" i="423"/>
  <c r="F12" i="423"/>
  <c r="F28" i="423"/>
  <c r="F10" i="423"/>
  <c r="F44" i="423"/>
  <c r="F45" i="423"/>
  <c r="G45" i="423" s="1"/>
  <c r="F21" i="423"/>
  <c r="F26" i="423"/>
  <c r="F27" i="423"/>
  <c r="F29" i="423"/>
  <c r="F30" i="423"/>
  <c r="F31" i="423"/>
  <c r="F11" i="423"/>
  <c r="F39" i="423"/>
  <c r="F13" i="423"/>
  <c r="F42" i="423"/>
  <c r="F14" i="423"/>
  <c r="F43" i="423"/>
  <c r="F15" i="423"/>
  <c r="F16" i="423"/>
  <c r="I42" i="165"/>
  <c r="G42" i="165"/>
  <c r="I16" i="391"/>
  <c r="G16" i="391"/>
  <c r="G16" i="204"/>
  <c r="I34" i="316"/>
  <c r="G34" i="316"/>
  <c r="I16" i="316"/>
  <c r="G16" i="316"/>
  <c r="F16" i="433"/>
  <c r="F29" i="433"/>
  <c r="F38" i="433"/>
  <c r="F12" i="433"/>
  <c r="F17" i="433"/>
  <c r="F13" i="433"/>
  <c r="F39" i="433"/>
  <c r="F14" i="433"/>
  <c r="F18" i="433"/>
  <c r="F30" i="433"/>
  <c r="F21" i="433"/>
  <c r="F34" i="433"/>
  <c r="F43" i="433"/>
  <c r="F35" i="433"/>
  <c r="F22" i="433"/>
  <c r="F36" i="433"/>
  <c r="F44" i="433"/>
  <c r="F10" i="433"/>
  <c r="F45" i="433"/>
  <c r="G45" i="433" s="1"/>
  <c r="F26" i="433"/>
  <c r="F15" i="433"/>
  <c r="F27" i="433"/>
  <c r="F11" i="433"/>
  <c r="F37" i="433"/>
  <c r="F42" i="433"/>
  <c r="F23" i="433"/>
  <c r="F28" i="433"/>
  <c r="F31" i="433"/>
  <c r="I22" i="443"/>
  <c r="G22" i="443"/>
  <c r="I39" i="443"/>
  <c r="G39" i="443"/>
  <c r="G27" i="176"/>
  <c r="I27" i="176"/>
  <c r="G22" i="176"/>
  <c r="I22" i="176"/>
  <c r="I38" i="318"/>
  <c r="G38" i="318"/>
  <c r="I30" i="318"/>
  <c r="G30" i="318"/>
  <c r="F16" i="398"/>
  <c r="F38" i="398"/>
  <c r="F17" i="398"/>
  <c r="F39" i="398"/>
  <c r="F28" i="398"/>
  <c r="F18" i="398"/>
  <c r="F10" i="398"/>
  <c r="F21" i="398"/>
  <c r="F30" i="398"/>
  <c r="F43" i="398"/>
  <c r="F11" i="398"/>
  <c r="F15" i="398"/>
  <c r="F13" i="398"/>
  <c r="F27" i="398"/>
  <c r="F14" i="398"/>
  <c r="F44" i="398"/>
  <c r="F45" i="398"/>
  <c r="G45" i="398" s="1"/>
  <c r="F29" i="398"/>
  <c r="F31" i="398"/>
  <c r="F12" i="398"/>
  <c r="F34" i="398"/>
  <c r="F35" i="398"/>
  <c r="F36" i="398"/>
  <c r="F42" i="398"/>
  <c r="F22" i="398"/>
  <c r="F23" i="398"/>
  <c r="F26" i="398"/>
  <c r="F37" i="398"/>
  <c r="G26" i="426"/>
  <c r="I26" i="426"/>
  <c r="I34" i="426"/>
  <c r="G34" i="426"/>
  <c r="I30" i="215"/>
  <c r="G30" i="215"/>
  <c r="I34" i="215"/>
  <c r="I44" i="121"/>
  <c r="G44" i="121"/>
  <c r="G15" i="121"/>
  <c r="I15" i="121"/>
  <c r="E50" i="302"/>
  <c r="J50" i="302"/>
  <c r="I13" i="428"/>
  <c r="G13" i="428"/>
  <c r="I31" i="428"/>
  <c r="G31" i="428"/>
  <c r="G10" i="322"/>
  <c r="I39" i="154"/>
  <c r="G39" i="154"/>
  <c r="I11" i="154"/>
  <c r="G11" i="154"/>
  <c r="I26" i="305"/>
  <c r="G26" i="305"/>
  <c r="J50" i="218"/>
  <c r="E50" i="218"/>
  <c r="F21" i="446"/>
  <c r="F31" i="446"/>
  <c r="F22" i="446"/>
  <c r="F34" i="446"/>
  <c r="F23" i="446"/>
  <c r="F36" i="446"/>
  <c r="F45" i="446"/>
  <c r="G45" i="446" s="1"/>
  <c r="F35" i="446"/>
  <c r="F26" i="446"/>
  <c r="F43" i="446"/>
  <c r="F27" i="446"/>
  <c r="F13" i="446"/>
  <c r="F29" i="446"/>
  <c r="F39" i="446"/>
  <c r="F12" i="446"/>
  <c r="F14" i="446"/>
  <c r="F30" i="446"/>
  <c r="F44" i="446"/>
  <c r="F16" i="446"/>
  <c r="F38" i="446"/>
  <c r="F17" i="446"/>
  <c r="F18" i="446"/>
  <c r="F42" i="446"/>
  <c r="F28" i="446"/>
  <c r="F15" i="446"/>
  <c r="F37" i="446"/>
  <c r="F10" i="446"/>
  <c r="F11" i="446"/>
  <c r="G35" i="350"/>
  <c r="I35" i="350"/>
  <c r="F27" i="424"/>
  <c r="F21" i="424"/>
  <c r="F28" i="424"/>
  <c r="F29" i="424"/>
  <c r="F10" i="424"/>
  <c r="F30" i="424"/>
  <c r="F37" i="424"/>
  <c r="F31" i="424"/>
  <c r="F11" i="424"/>
  <c r="F36" i="424"/>
  <c r="F38" i="424"/>
  <c r="F35" i="424"/>
  <c r="F12" i="424"/>
  <c r="F34" i="424"/>
  <c r="F39" i="424"/>
  <c r="F13" i="424"/>
  <c r="F42" i="424"/>
  <c r="F22" i="424"/>
  <c r="F14" i="424"/>
  <c r="F44" i="424"/>
  <c r="F43" i="424"/>
  <c r="F23" i="424"/>
  <c r="F15" i="424"/>
  <c r="F45" i="424"/>
  <c r="G45" i="424" s="1"/>
  <c r="F16" i="424"/>
  <c r="F17" i="424"/>
  <c r="F26" i="424"/>
  <c r="F18" i="424"/>
  <c r="G10" i="234"/>
  <c r="I10" i="234"/>
  <c r="G43" i="234"/>
  <c r="I43" i="234"/>
  <c r="I40" i="187"/>
  <c r="F40" i="187" s="1"/>
  <c r="G40" i="187" s="1"/>
  <c r="I11" i="287"/>
  <c r="G11" i="287"/>
  <c r="G43" i="287"/>
  <c r="I43" i="287"/>
  <c r="I18" i="380"/>
  <c r="G18" i="380"/>
  <c r="I28" i="380"/>
  <c r="G28" i="380"/>
  <c r="G18" i="21"/>
  <c r="I18" i="21"/>
  <c r="I14" i="21"/>
  <c r="G14" i="21"/>
  <c r="H48" i="384"/>
  <c r="H50" i="384" s="1"/>
  <c r="E6" i="384" s="1"/>
  <c r="G29" i="224"/>
  <c r="I29" i="224"/>
  <c r="G21" i="224"/>
  <c r="I21" i="224"/>
  <c r="G14" i="335"/>
  <c r="I14" i="335"/>
  <c r="G39" i="335"/>
  <c r="I39" i="335"/>
  <c r="I22" i="431"/>
  <c r="G22" i="431"/>
  <c r="I26" i="431"/>
  <c r="G26" i="431"/>
  <c r="G34" i="211"/>
  <c r="I34" i="211"/>
  <c r="I21" i="166"/>
  <c r="G21" i="166"/>
  <c r="G15" i="166"/>
  <c r="I15" i="166"/>
  <c r="I15" i="376"/>
  <c r="G15" i="376"/>
  <c r="G14" i="371"/>
  <c r="I14" i="371"/>
  <c r="I39" i="371"/>
  <c r="G39" i="371"/>
  <c r="H50" i="466"/>
  <c r="E6" i="466" s="1"/>
  <c r="G39" i="225"/>
  <c r="I39" i="225"/>
  <c r="G18" i="225"/>
  <c r="I18" i="225"/>
  <c r="G23" i="300"/>
  <c r="I23" i="300"/>
  <c r="G34" i="300"/>
  <c r="I34" i="300"/>
  <c r="F43" i="1"/>
  <c r="F30" i="1"/>
  <c r="F23" i="1"/>
  <c r="F28" i="1"/>
  <c r="F42" i="1"/>
  <c r="F37" i="1"/>
  <c r="F34" i="1"/>
  <c r="F14" i="1"/>
  <c r="F38" i="1"/>
  <c r="F17" i="1"/>
  <c r="F13" i="1"/>
  <c r="F44" i="1"/>
  <c r="F26" i="1"/>
  <c r="F27" i="1"/>
  <c r="F11" i="1"/>
  <c r="F39" i="1"/>
  <c r="F35" i="1"/>
  <c r="F18" i="1"/>
  <c r="F29" i="1"/>
  <c r="F31" i="1"/>
  <c r="F45" i="1"/>
  <c r="G45" i="1" s="1"/>
  <c r="F16" i="1"/>
  <c r="F10" i="1"/>
  <c r="F12" i="1"/>
  <c r="F36" i="1"/>
  <c r="F15" i="1"/>
  <c r="F21" i="1"/>
  <c r="F22" i="1"/>
  <c r="J50" i="68"/>
  <c r="E50" i="68"/>
  <c r="I12" i="409"/>
  <c r="G12" i="409"/>
  <c r="I42" i="409"/>
  <c r="G42" i="409"/>
  <c r="I42" i="362"/>
  <c r="G42" i="362"/>
  <c r="I29" i="362"/>
  <c r="G29" i="362"/>
  <c r="G34" i="165"/>
  <c r="I34" i="165"/>
  <c r="G13" i="165"/>
  <c r="I13" i="165"/>
  <c r="H48" i="468"/>
  <c r="H50" i="468" s="1"/>
  <c r="E6" i="468" s="1"/>
  <c r="I36" i="145"/>
  <c r="G36" i="145"/>
  <c r="I43" i="145"/>
  <c r="G43" i="145"/>
  <c r="G21" i="228"/>
  <c r="I21" i="228"/>
  <c r="G26" i="228"/>
  <c r="I26" i="228"/>
  <c r="G17" i="248"/>
  <c r="I17" i="248"/>
  <c r="G12" i="248"/>
  <c r="I12" i="248"/>
  <c r="G28" i="126"/>
  <c r="I28" i="126"/>
  <c r="I38" i="126"/>
  <c r="G38" i="126"/>
  <c r="F26" i="37"/>
  <c r="F12" i="37"/>
  <c r="F27" i="37"/>
  <c r="F10" i="37"/>
  <c r="F39" i="37"/>
  <c r="F34" i="37"/>
  <c r="F17" i="37"/>
  <c r="F11" i="37"/>
  <c r="F43" i="37"/>
  <c r="F38" i="37"/>
  <c r="F14" i="37"/>
  <c r="F36" i="37"/>
  <c r="F42" i="37"/>
  <c r="F45" i="37"/>
  <c r="G45" i="37" s="1"/>
  <c r="F15" i="37"/>
  <c r="F35" i="37"/>
  <c r="F29" i="37"/>
  <c r="F18" i="37"/>
  <c r="F13" i="37"/>
  <c r="F22" i="37"/>
  <c r="F16" i="37"/>
  <c r="F30" i="37"/>
  <c r="F23" i="37"/>
  <c r="F31" i="37"/>
  <c r="F44" i="37"/>
  <c r="F28" i="37"/>
  <c r="F21" i="37"/>
  <c r="F37" i="37"/>
  <c r="F23" i="195"/>
  <c r="F13" i="195"/>
  <c r="F22" i="195"/>
  <c r="F34" i="195"/>
  <c r="F27" i="195"/>
  <c r="F26" i="195"/>
  <c r="F43" i="195"/>
  <c r="F35" i="195"/>
  <c r="F44" i="195"/>
  <c r="F18" i="195"/>
  <c r="F36" i="195"/>
  <c r="F28" i="195"/>
  <c r="F17" i="195"/>
  <c r="F14" i="195"/>
  <c r="F37" i="195"/>
  <c r="F38" i="195"/>
  <c r="F39" i="195"/>
  <c r="F21" i="195"/>
  <c r="F12" i="195"/>
  <c r="F42" i="195"/>
  <c r="F15" i="195"/>
  <c r="F29" i="195"/>
  <c r="F16" i="195"/>
  <c r="F31" i="195"/>
  <c r="F30" i="195"/>
  <c r="F10" i="195"/>
  <c r="F11" i="195"/>
  <c r="F45" i="195"/>
  <c r="G45" i="195" s="1"/>
  <c r="G28" i="88"/>
  <c r="I28" i="88"/>
  <c r="I12" i="65"/>
  <c r="G12" i="65"/>
  <c r="G10" i="65"/>
  <c r="I10" i="65"/>
  <c r="I37" i="255"/>
  <c r="G37" i="255"/>
  <c r="G30" i="255"/>
  <c r="I30" i="255"/>
  <c r="G37" i="391"/>
  <c r="I37" i="391"/>
  <c r="G13" i="391"/>
  <c r="I13" i="391"/>
  <c r="I16" i="346"/>
  <c r="G16" i="346"/>
  <c r="G17" i="346"/>
  <c r="I17" i="346"/>
  <c r="G29" i="171"/>
  <c r="I29" i="171"/>
  <c r="I22" i="171"/>
  <c r="G22" i="171"/>
  <c r="H48" i="464"/>
  <c r="H50" i="464" s="1"/>
  <c r="E6" i="464" s="1"/>
  <c r="I28" i="425"/>
  <c r="G28" i="425"/>
  <c r="G23" i="80"/>
  <c r="I23" i="80"/>
  <c r="I15" i="368"/>
  <c r="G15" i="368"/>
  <c r="G23" i="142"/>
  <c r="I23" i="142"/>
  <c r="G42" i="142"/>
  <c r="I42" i="142"/>
  <c r="F28" i="197"/>
  <c r="F36" i="197"/>
  <c r="F11" i="197"/>
  <c r="F45" i="197"/>
  <c r="G45" i="197" s="1"/>
  <c r="F14" i="197"/>
  <c r="F34" i="197"/>
  <c r="F37" i="197"/>
  <c r="F15" i="197"/>
  <c r="F18" i="197"/>
  <c r="F21" i="197"/>
  <c r="F27" i="197"/>
  <c r="F22" i="197"/>
  <c r="F39" i="197"/>
  <c r="F42" i="197"/>
  <c r="F35" i="197"/>
  <c r="F38" i="197"/>
  <c r="F26" i="197"/>
  <c r="F30" i="197"/>
  <c r="F17" i="197"/>
  <c r="F31" i="197"/>
  <c r="F29" i="197"/>
  <c r="F16" i="197"/>
  <c r="F12" i="197"/>
  <c r="F44" i="197"/>
  <c r="F23" i="197"/>
  <c r="F43" i="197"/>
  <c r="F13" i="197"/>
  <c r="F10" i="197"/>
  <c r="G10" i="365"/>
  <c r="I10" i="365"/>
  <c r="I34" i="365"/>
  <c r="G34" i="365"/>
  <c r="I18" i="457"/>
  <c r="G18" i="457"/>
  <c r="G14" i="457"/>
  <c r="I14" i="457"/>
  <c r="I15" i="204"/>
  <c r="G15" i="204"/>
  <c r="I34" i="204"/>
  <c r="G34" i="204"/>
  <c r="I38" i="121"/>
  <c r="G38" i="121"/>
  <c r="I35" i="154"/>
  <c r="G35" i="154"/>
  <c r="F14" i="416"/>
  <c r="F16" i="416"/>
  <c r="F36" i="416"/>
  <c r="F45" i="416"/>
  <c r="G45" i="416" s="1"/>
  <c r="F17" i="416"/>
  <c r="F39" i="416"/>
  <c r="F18" i="416"/>
  <c r="F30" i="416"/>
  <c r="F21" i="416"/>
  <c r="F34" i="416"/>
  <c r="F22" i="416"/>
  <c r="F35" i="416"/>
  <c r="F23" i="416"/>
  <c r="F37" i="416"/>
  <c r="F27" i="416"/>
  <c r="F38" i="416"/>
  <c r="F28" i="416"/>
  <c r="F10" i="416"/>
  <c r="F29" i="416"/>
  <c r="F12" i="416"/>
  <c r="F42" i="416"/>
  <c r="F43" i="416"/>
  <c r="F26" i="416"/>
  <c r="F15" i="416"/>
  <c r="F11" i="416"/>
  <c r="F13" i="416"/>
  <c r="F31" i="416"/>
  <c r="F44" i="416"/>
  <c r="G21" i="21"/>
  <c r="I21" i="21"/>
  <c r="G11" i="211"/>
  <c r="I11" i="211"/>
  <c r="I12" i="371"/>
  <c r="G12" i="371"/>
  <c r="I36" i="300"/>
  <c r="G36" i="300"/>
  <c r="I16" i="409"/>
  <c r="G16" i="409"/>
  <c r="I19" i="474"/>
  <c r="F19" i="474" s="1"/>
  <c r="G19" i="474" s="1"/>
  <c r="I46" i="474"/>
  <c r="F46" i="474" s="1"/>
  <c r="G46" i="474" s="1"/>
  <c r="F31" i="198"/>
  <c r="F29" i="198"/>
  <c r="F43" i="198"/>
  <c r="F28" i="198"/>
  <c r="F30" i="198"/>
  <c r="F17" i="198"/>
  <c r="F34" i="198"/>
  <c r="F12" i="198"/>
  <c r="F16" i="198"/>
  <c r="F36" i="198"/>
  <c r="F10" i="198"/>
  <c r="F45" i="198"/>
  <c r="G45" i="198" s="1"/>
  <c r="F15" i="198"/>
  <c r="F27" i="198"/>
  <c r="F39" i="198"/>
  <c r="F18" i="198"/>
  <c r="F22" i="198"/>
  <c r="F38" i="198"/>
  <c r="F44" i="198"/>
  <c r="F23" i="198"/>
  <c r="F42" i="198"/>
  <c r="F21" i="198"/>
  <c r="F37" i="198"/>
  <c r="F35" i="198"/>
  <c r="F26" i="198"/>
  <c r="F11" i="198"/>
  <c r="F14" i="198"/>
  <c r="F13" i="198"/>
  <c r="I17" i="316"/>
  <c r="G17" i="316"/>
  <c r="I15" i="316"/>
  <c r="G15" i="316"/>
  <c r="F27" i="247"/>
  <c r="F17" i="247"/>
  <c r="F13" i="247"/>
  <c r="F29" i="247"/>
  <c r="F45" i="247"/>
  <c r="G45" i="247" s="1"/>
  <c r="F44" i="247"/>
  <c r="F34" i="247"/>
  <c r="F23" i="247"/>
  <c r="F22" i="247"/>
  <c r="F39" i="247"/>
  <c r="F26" i="247"/>
  <c r="F28" i="247"/>
  <c r="F42" i="247"/>
  <c r="F31" i="247"/>
  <c r="F18" i="247"/>
  <c r="F11" i="247"/>
  <c r="F30" i="247"/>
  <c r="F14" i="247"/>
  <c r="F21" i="247"/>
  <c r="F15" i="247"/>
  <c r="F35" i="247"/>
  <c r="F10" i="247"/>
  <c r="F37" i="247"/>
  <c r="F43" i="247"/>
  <c r="F16" i="247"/>
  <c r="F36" i="247"/>
  <c r="F38" i="247"/>
  <c r="F12" i="247"/>
  <c r="G27" i="443"/>
  <c r="I27" i="443"/>
  <c r="I17" i="443"/>
  <c r="G17" i="443"/>
  <c r="G14" i="176"/>
  <c r="I14" i="176"/>
  <c r="I18" i="176"/>
  <c r="G18" i="176"/>
  <c r="I36" i="318"/>
  <c r="G36" i="318"/>
  <c r="I18" i="318"/>
  <c r="G18" i="318"/>
  <c r="F22" i="297"/>
  <c r="F37" i="297"/>
  <c r="F17" i="297"/>
  <c r="F16" i="297"/>
  <c r="F14" i="297"/>
  <c r="F15" i="297"/>
  <c r="F43" i="297"/>
  <c r="F29" i="297"/>
  <c r="F12" i="297"/>
  <c r="F34" i="297"/>
  <c r="F27" i="297"/>
  <c r="F31" i="297"/>
  <c r="F35" i="297"/>
  <c r="F28" i="297"/>
  <c r="F10" i="297"/>
  <c r="F42" i="297"/>
  <c r="F23" i="297"/>
  <c r="F13" i="297"/>
  <c r="F18" i="297"/>
  <c r="F36" i="297"/>
  <c r="F38" i="297"/>
  <c r="F21" i="297"/>
  <c r="F44" i="297"/>
  <c r="F45" i="297"/>
  <c r="G45" i="297" s="1"/>
  <c r="F26" i="297"/>
  <c r="F11" i="297"/>
  <c r="F30" i="297"/>
  <c r="F39" i="297"/>
  <c r="I42" i="426"/>
  <c r="G42" i="426"/>
  <c r="G13" i="426"/>
  <c r="I13" i="426"/>
  <c r="I23" i="215"/>
  <c r="G23" i="215"/>
  <c r="I15" i="215"/>
  <c r="G15" i="215"/>
  <c r="I11" i="121"/>
  <c r="G11" i="121"/>
  <c r="I28" i="121"/>
  <c r="G28" i="121"/>
  <c r="I23" i="259"/>
  <c r="G23" i="259"/>
  <c r="I12" i="259"/>
  <c r="G12" i="259"/>
  <c r="G39" i="428"/>
  <c r="I39" i="428"/>
  <c r="I27" i="428"/>
  <c r="G27" i="428"/>
  <c r="I44" i="322"/>
  <c r="G44" i="322"/>
  <c r="F26" i="427"/>
  <c r="F14" i="427"/>
  <c r="F37" i="427"/>
  <c r="F38" i="427"/>
  <c r="F39" i="427"/>
  <c r="F29" i="427"/>
  <c r="F42" i="427"/>
  <c r="F10" i="427"/>
  <c r="F17" i="427"/>
  <c r="F30" i="427"/>
  <c r="F13" i="427"/>
  <c r="F11" i="427"/>
  <c r="F28" i="427"/>
  <c r="F31" i="427"/>
  <c r="F27" i="427"/>
  <c r="F34" i="427"/>
  <c r="F23" i="427"/>
  <c r="F35" i="427"/>
  <c r="F45" i="427"/>
  <c r="G45" i="427" s="1"/>
  <c r="F36" i="427"/>
  <c r="F15" i="427"/>
  <c r="F22" i="427"/>
  <c r="F16" i="427"/>
  <c r="F44" i="427"/>
  <c r="F18" i="427"/>
  <c r="F43" i="427"/>
  <c r="F21" i="427"/>
  <c r="F12" i="427"/>
  <c r="G23" i="154"/>
  <c r="I23" i="154"/>
  <c r="I26" i="154"/>
  <c r="G26" i="154"/>
  <c r="F13" i="337"/>
  <c r="F36" i="337"/>
  <c r="F10" i="337"/>
  <c r="F18" i="337"/>
  <c r="F31" i="337"/>
  <c r="F21" i="337"/>
  <c r="F26" i="337"/>
  <c r="F38" i="337"/>
  <c r="F22" i="337"/>
  <c r="F17" i="337"/>
  <c r="F28" i="337"/>
  <c r="F14" i="337"/>
  <c r="F44" i="337"/>
  <c r="F23" i="337"/>
  <c r="F35" i="337"/>
  <c r="F29" i="337"/>
  <c r="F16" i="337"/>
  <c r="F43" i="337"/>
  <c r="F12" i="337"/>
  <c r="F34" i="337"/>
  <c r="F37" i="337"/>
  <c r="F11" i="337"/>
  <c r="F15" i="337"/>
  <c r="F42" i="337"/>
  <c r="F27" i="337"/>
  <c r="F39" i="337"/>
  <c r="F45" i="337"/>
  <c r="G45" i="337" s="1"/>
  <c r="F30" i="337"/>
  <c r="I28" i="350"/>
  <c r="G28" i="350"/>
  <c r="I11" i="350"/>
  <c r="G11" i="350"/>
  <c r="I42" i="234"/>
  <c r="G42" i="234"/>
  <c r="G44" i="234"/>
  <c r="I44" i="234"/>
  <c r="E21" i="114"/>
  <c r="E23" i="114"/>
  <c r="E27" i="114"/>
  <c r="E29" i="114"/>
  <c r="E34" i="114"/>
  <c r="E30" i="114"/>
  <c r="E35" i="114"/>
  <c r="E31" i="114"/>
  <c r="E36" i="114"/>
  <c r="E37" i="114"/>
  <c r="E42" i="114"/>
  <c r="E22" i="114"/>
  <c r="E28" i="114"/>
  <c r="E24" i="114"/>
  <c r="E39" i="114"/>
  <c r="E44" i="114"/>
  <c r="E46" i="114"/>
  <c r="A52" i="114" s="1"/>
  <c r="E45" i="114"/>
  <c r="E40" i="114"/>
  <c r="E38" i="114"/>
  <c r="E43" i="114"/>
  <c r="E26" i="114"/>
  <c r="F28" i="199"/>
  <c r="F13" i="199"/>
  <c r="F11" i="199"/>
  <c r="F22" i="199"/>
  <c r="F35" i="199"/>
  <c r="F43" i="199"/>
  <c r="F39" i="199"/>
  <c r="F15" i="199"/>
  <c r="F42" i="199"/>
  <c r="F31" i="199"/>
  <c r="F36" i="199"/>
  <c r="F21" i="199"/>
  <c r="F14" i="199"/>
  <c r="F16" i="199"/>
  <c r="F38" i="199"/>
  <c r="F23" i="199"/>
  <c r="F44" i="199"/>
  <c r="F34" i="199"/>
  <c r="F29" i="199"/>
  <c r="F26" i="199"/>
  <c r="F27" i="199"/>
  <c r="F10" i="199"/>
  <c r="F18" i="199"/>
  <c r="F30" i="199"/>
  <c r="F12" i="199"/>
  <c r="F17" i="199"/>
  <c r="F37" i="199"/>
  <c r="F45" i="199"/>
  <c r="G45" i="199" s="1"/>
  <c r="I42" i="21"/>
  <c r="G42" i="21"/>
  <c r="I29" i="21"/>
  <c r="G29" i="21"/>
  <c r="I44" i="224"/>
  <c r="G44" i="224"/>
  <c r="I23" i="224"/>
  <c r="G23" i="224"/>
  <c r="I10" i="335"/>
  <c r="G10" i="335"/>
  <c r="I22" i="335"/>
  <c r="G22" i="335"/>
  <c r="I16" i="431"/>
  <c r="G16" i="431"/>
  <c r="I12" i="431"/>
  <c r="G12" i="431"/>
  <c r="G14" i="211"/>
  <c r="I14" i="211"/>
  <c r="I39" i="211"/>
  <c r="G39" i="211"/>
  <c r="I34" i="166"/>
  <c r="G34" i="166"/>
  <c r="G37" i="166"/>
  <c r="I37" i="166"/>
  <c r="F38" i="465"/>
  <c r="F39" i="465"/>
  <c r="F31" i="465"/>
  <c r="F42" i="465"/>
  <c r="F14" i="465"/>
  <c r="F22" i="465"/>
  <c r="F10" i="465"/>
  <c r="F11" i="465"/>
  <c r="F28" i="465"/>
  <c r="F35" i="465"/>
  <c r="F36" i="465"/>
  <c r="F45" i="465"/>
  <c r="G45" i="465" s="1"/>
  <c r="F37" i="465"/>
  <c r="F44" i="465"/>
  <c r="F30" i="465"/>
  <c r="F17" i="465"/>
  <c r="F43" i="465"/>
  <c r="F34" i="465"/>
  <c r="F26" i="465"/>
  <c r="F29" i="465"/>
  <c r="F27" i="465"/>
  <c r="F18" i="465"/>
  <c r="F13" i="465"/>
  <c r="F12" i="465"/>
  <c r="F16" i="465"/>
  <c r="F21" i="465"/>
  <c r="F23" i="465"/>
  <c r="F15" i="465"/>
  <c r="I18" i="376"/>
  <c r="G18" i="376"/>
  <c r="G31" i="371"/>
  <c r="I31" i="371"/>
  <c r="G10" i="371"/>
  <c r="I10" i="371"/>
  <c r="G21" i="225"/>
  <c r="I21" i="225"/>
  <c r="I37" i="225"/>
  <c r="G37" i="225"/>
  <c r="I31" i="300"/>
  <c r="G31" i="300"/>
  <c r="I37" i="300"/>
  <c r="G37" i="300"/>
  <c r="E35" i="68"/>
  <c r="E37" i="68"/>
  <c r="E21" i="68"/>
  <c r="E39" i="68"/>
  <c r="E23" i="68"/>
  <c r="E34" i="68"/>
  <c r="E42" i="68"/>
  <c r="E29" i="68"/>
  <c r="E44" i="68"/>
  <c r="E27" i="68"/>
  <c r="E45" i="68"/>
  <c r="E24" i="68"/>
  <c r="E36" i="68"/>
  <c r="E26" i="68"/>
  <c r="E38" i="68"/>
  <c r="E22" i="68"/>
  <c r="E43" i="68"/>
  <c r="E40" i="68"/>
  <c r="E46" i="68"/>
  <c r="A52" i="68" s="1"/>
  <c r="E28" i="68"/>
  <c r="E30" i="68"/>
  <c r="E31" i="68"/>
  <c r="F37" i="323"/>
  <c r="F26" i="323"/>
  <c r="F10" i="323"/>
  <c r="F38" i="323"/>
  <c r="F27" i="323"/>
  <c r="F39" i="323"/>
  <c r="F42" i="323"/>
  <c r="F28" i="323"/>
  <c r="F34" i="323"/>
  <c r="F15" i="323"/>
  <c r="F22" i="323"/>
  <c r="F16" i="323"/>
  <c r="F35" i="323"/>
  <c r="F45" i="323"/>
  <c r="G45" i="323" s="1"/>
  <c r="F18" i="323"/>
  <c r="F36" i="323"/>
  <c r="F31" i="323"/>
  <c r="F13" i="323"/>
  <c r="F17" i="323"/>
  <c r="F11" i="323"/>
  <c r="F44" i="323"/>
  <c r="F21" i="323"/>
  <c r="F14" i="323"/>
  <c r="F12" i="323"/>
  <c r="F23" i="323"/>
  <c r="F30" i="323"/>
  <c r="F43" i="323"/>
  <c r="F29" i="323"/>
  <c r="I28" i="409"/>
  <c r="G28" i="409"/>
  <c r="I21" i="362"/>
  <c r="G21" i="362"/>
  <c r="G28" i="362"/>
  <c r="I28" i="362"/>
  <c r="F15" i="25"/>
  <c r="F10" i="25"/>
  <c r="F35" i="25"/>
  <c r="F28" i="25"/>
  <c r="F26" i="25"/>
  <c r="F34" i="25"/>
  <c r="F17" i="25"/>
  <c r="F18" i="25"/>
  <c r="F36" i="25"/>
  <c r="F37" i="25"/>
  <c r="F12" i="25"/>
  <c r="F39" i="25"/>
  <c r="F22" i="25"/>
  <c r="F29" i="25"/>
  <c r="F38" i="25"/>
  <c r="F30" i="25"/>
  <c r="F45" i="25"/>
  <c r="G45" i="25" s="1"/>
  <c r="F13" i="25"/>
  <c r="F21" i="25"/>
  <c r="F11" i="25"/>
  <c r="F31" i="25"/>
  <c r="F44" i="25"/>
  <c r="F42" i="25"/>
  <c r="F27" i="25"/>
  <c r="F14" i="25"/>
  <c r="F43" i="25"/>
  <c r="F16" i="25"/>
  <c r="F23" i="25"/>
  <c r="G37" i="165"/>
  <c r="I37" i="165"/>
  <c r="H48" i="413"/>
  <c r="H50" i="413" s="1"/>
  <c r="E6" i="413" s="1"/>
  <c r="E48" i="356"/>
  <c r="I27" i="145"/>
  <c r="G27" i="145"/>
  <c r="G39" i="145"/>
  <c r="I39" i="145"/>
  <c r="I23" i="228"/>
  <c r="G23" i="228"/>
  <c r="G11" i="228"/>
  <c r="I11" i="228"/>
  <c r="I44" i="248"/>
  <c r="G44" i="248"/>
  <c r="G29" i="248"/>
  <c r="I29" i="248"/>
  <c r="I15" i="126"/>
  <c r="G15" i="126"/>
  <c r="I13" i="88"/>
  <c r="G13" i="88"/>
  <c r="G15" i="88"/>
  <c r="I15" i="88"/>
  <c r="G34" i="255"/>
  <c r="I34" i="255"/>
  <c r="I28" i="255"/>
  <c r="G28" i="255"/>
  <c r="I36" i="391"/>
  <c r="G36" i="391"/>
  <c r="G10" i="391"/>
  <c r="I10" i="391"/>
  <c r="I36" i="346"/>
  <c r="G36" i="346"/>
  <c r="G18" i="171"/>
  <c r="I18" i="171"/>
  <c r="G14" i="171"/>
  <c r="I14" i="171"/>
  <c r="I14" i="425"/>
  <c r="G14" i="425"/>
  <c r="I22" i="425"/>
  <c r="G22" i="425"/>
  <c r="I29" i="80"/>
  <c r="G29" i="80"/>
  <c r="I26" i="368"/>
  <c r="G26" i="368"/>
  <c r="I36" i="368"/>
  <c r="G36" i="368"/>
  <c r="I21" i="142"/>
  <c r="G21" i="142"/>
  <c r="I36" i="142"/>
  <c r="G36" i="142"/>
  <c r="I43" i="365"/>
  <c r="G43" i="365"/>
  <c r="I21" i="365"/>
  <c r="G21" i="365"/>
  <c r="F45" i="289"/>
  <c r="G45" i="289" s="1"/>
  <c r="F18" i="289"/>
  <c r="F12" i="289"/>
  <c r="F17" i="289"/>
  <c r="F34" i="289"/>
  <c r="F39" i="289"/>
  <c r="F31" i="289"/>
  <c r="F44" i="289"/>
  <c r="F15" i="289"/>
  <c r="F42" i="289"/>
  <c r="F30" i="289"/>
  <c r="F43" i="289"/>
  <c r="F16" i="289"/>
  <c r="F27" i="289"/>
  <c r="F23" i="289"/>
  <c r="F14" i="289"/>
  <c r="F22" i="289"/>
  <c r="F36" i="289"/>
  <c r="F26" i="289"/>
  <c r="F35" i="289"/>
  <c r="F11" i="289"/>
  <c r="F28" i="289"/>
  <c r="F37" i="289"/>
  <c r="F21" i="289"/>
  <c r="F10" i="289"/>
  <c r="F13" i="289"/>
  <c r="F29" i="289"/>
  <c r="F38" i="289"/>
  <c r="I43" i="457"/>
  <c r="G43" i="457"/>
  <c r="G18" i="204"/>
  <c r="I18" i="204"/>
  <c r="I44" i="204"/>
  <c r="G44" i="204"/>
  <c r="I35" i="316"/>
  <c r="G35" i="316"/>
  <c r="I16" i="318"/>
  <c r="G16" i="318"/>
  <c r="H32" i="476"/>
  <c r="C32" i="476" s="1"/>
  <c r="C48" i="476" s="1"/>
  <c r="I36" i="228"/>
  <c r="G36" i="228"/>
  <c r="G22" i="255"/>
  <c r="I22" i="255"/>
  <c r="I10" i="316"/>
  <c r="G10" i="316"/>
  <c r="I42" i="316"/>
  <c r="G42" i="316"/>
  <c r="I39" i="426"/>
  <c r="G39" i="426"/>
  <c r="F37" i="23"/>
  <c r="F14" i="23"/>
  <c r="F23" i="23"/>
  <c r="F22" i="23"/>
  <c r="F29" i="23"/>
  <c r="F43" i="23"/>
  <c r="F12" i="23"/>
  <c r="F26" i="23"/>
  <c r="F39" i="23"/>
  <c r="F28" i="23"/>
  <c r="F11" i="23"/>
  <c r="F30" i="23"/>
  <c r="F44" i="23"/>
  <c r="F45" i="23"/>
  <c r="G45" i="23" s="1"/>
  <c r="F38" i="23"/>
  <c r="F34" i="23"/>
  <c r="F31" i="23"/>
  <c r="F42" i="23"/>
  <c r="F17" i="23"/>
  <c r="F35" i="23"/>
  <c r="F13" i="23"/>
  <c r="F15" i="23"/>
  <c r="F36" i="23"/>
  <c r="F16" i="23"/>
  <c r="F27" i="23"/>
  <c r="F10" i="23"/>
  <c r="F21" i="23"/>
  <c r="F18" i="23"/>
  <c r="G21" i="443"/>
  <c r="I21" i="443"/>
  <c r="I37" i="443"/>
  <c r="G37" i="443"/>
  <c r="I12" i="176"/>
  <c r="G12" i="176"/>
  <c r="G29" i="176"/>
  <c r="I29" i="176"/>
  <c r="F44" i="250"/>
  <c r="F17" i="250"/>
  <c r="F10" i="250"/>
  <c r="F14" i="250"/>
  <c r="F12" i="250"/>
  <c r="F30" i="250"/>
  <c r="F45" i="250"/>
  <c r="G45" i="250" s="1"/>
  <c r="F13" i="250"/>
  <c r="F21" i="250"/>
  <c r="F22" i="250"/>
  <c r="F35" i="250"/>
  <c r="F18" i="250"/>
  <c r="F37" i="250"/>
  <c r="F15" i="250"/>
  <c r="F31" i="250"/>
  <c r="F16" i="250"/>
  <c r="F23" i="250"/>
  <c r="F34" i="250"/>
  <c r="F28" i="250"/>
  <c r="F39" i="250"/>
  <c r="F36" i="250"/>
  <c r="F38" i="250"/>
  <c r="F43" i="250"/>
  <c r="F26" i="250"/>
  <c r="F27" i="250"/>
  <c r="F29" i="250"/>
  <c r="F11" i="250"/>
  <c r="F42" i="250"/>
  <c r="G23" i="318"/>
  <c r="I23" i="318"/>
  <c r="G34" i="318"/>
  <c r="I34" i="318"/>
  <c r="I28" i="426"/>
  <c r="G28" i="426"/>
  <c r="I23" i="426"/>
  <c r="G23" i="426"/>
  <c r="I42" i="215"/>
  <c r="G42" i="215"/>
  <c r="I44" i="215"/>
  <c r="G44" i="215"/>
  <c r="I26" i="121"/>
  <c r="G26" i="121"/>
  <c r="I16" i="121"/>
  <c r="G16" i="121"/>
  <c r="I16" i="259"/>
  <c r="I18" i="259"/>
  <c r="G18" i="259"/>
  <c r="E43" i="302"/>
  <c r="E26" i="302"/>
  <c r="E44" i="302"/>
  <c r="E27" i="302"/>
  <c r="E45" i="302"/>
  <c r="E28" i="302"/>
  <c r="E29" i="302"/>
  <c r="E30" i="302"/>
  <c r="E40" i="302"/>
  <c r="E31" i="302"/>
  <c r="E37" i="302"/>
  <c r="E32" i="302"/>
  <c r="E38" i="302"/>
  <c r="E34" i="302"/>
  <c r="E21" i="302"/>
  <c r="E35" i="302"/>
  <c r="E42" i="302"/>
  <c r="E22" i="302"/>
  <c r="E24" i="302"/>
  <c r="E36" i="302"/>
  <c r="E39" i="302"/>
  <c r="E23" i="302"/>
  <c r="I30" i="428"/>
  <c r="G30" i="428"/>
  <c r="I23" i="428"/>
  <c r="G23" i="428"/>
  <c r="G38" i="322"/>
  <c r="I38" i="322"/>
  <c r="I28" i="154"/>
  <c r="G28" i="154"/>
  <c r="I36" i="154"/>
  <c r="G36" i="154"/>
  <c r="G15" i="305"/>
  <c r="I15" i="305"/>
  <c r="I35" i="305"/>
  <c r="G35" i="305"/>
  <c r="F23" i="216"/>
  <c r="F11" i="216"/>
  <c r="F44" i="216"/>
  <c r="F43" i="216"/>
  <c r="F42" i="216"/>
  <c r="F29" i="216"/>
  <c r="F26" i="216"/>
  <c r="F27" i="216"/>
  <c r="F45" i="216"/>
  <c r="G45" i="216" s="1"/>
  <c r="F34" i="216"/>
  <c r="F14" i="216"/>
  <c r="F18" i="216"/>
  <c r="F21" i="216"/>
  <c r="F17" i="216"/>
  <c r="F35" i="216"/>
  <c r="F15" i="216"/>
  <c r="F30" i="216"/>
  <c r="F10" i="216"/>
  <c r="F39" i="216"/>
  <c r="F36" i="216"/>
  <c r="F16" i="216"/>
  <c r="F28" i="216"/>
  <c r="F38" i="216"/>
  <c r="F37" i="216"/>
  <c r="F12" i="216"/>
  <c r="F13" i="216"/>
  <c r="F22" i="216"/>
  <c r="F31" i="216"/>
  <c r="I22" i="350"/>
  <c r="G22" i="350"/>
  <c r="G15" i="350"/>
  <c r="I15" i="350"/>
  <c r="I24" i="182"/>
  <c r="F24" i="182" s="1"/>
  <c r="G24" i="182" s="1"/>
  <c r="G22" i="234"/>
  <c r="I22" i="234"/>
  <c r="I13" i="234"/>
  <c r="G13" i="234"/>
  <c r="I12" i="287"/>
  <c r="G12" i="287"/>
  <c r="J50" i="114"/>
  <c r="E50" i="114"/>
  <c r="I26" i="21"/>
  <c r="G26" i="21"/>
  <c r="F36" i="388"/>
  <c r="F28" i="388"/>
  <c r="F38" i="388"/>
  <c r="F13" i="388"/>
  <c r="F39" i="388"/>
  <c r="F14" i="388"/>
  <c r="F44" i="388"/>
  <c r="F18" i="388"/>
  <c r="F15" i="388"/>
  <c r="F42" i="388"/>
  <c r="F45" i="388"/>
  <c r="G45" i="388" s="1"/>
  <c r="F21" i="388"/>
  <c r="F43" i="388"/>
  <c r="F16" i="388"/>
  <c r="F23" i="388"/>
  <c r="F17" i="388"/>
  <c r="F27" i="388"/>
  <c r="F22" i="388"/>
  <c r="F35" i="388"/>
  <c r="F26" i="388"/>
  <c r="F10" i="388"/>
  <c r="F30" i="388"/>
  <c r="F11" i="388"/>
  <c r="F31" i="388"/>
  <c r="F37" i="388"/>
  <c r="F34" i="388"/>
  <c r="F12" i="388"/>
  <c r="F29" i="388"/>
  <c r="G42" i="224"/>
  <c r="I42" i="224"/>
  <c r="I27" i="224"/>
  <c r="G27" i="224"/>
  <c r="I34" i="335"/>
  <c r="I39" i="431"/>
  <c r="G39" i="431"/>
  <c r="I11" i="431"/>
  <c r="G11" i="431"/>
  <c r="G44" i="211"/>
  <c r="I44" i="211"/>
  <c r="G38" i="211"/>
  <c r="I38" i="211"/>
  <c r="G13" i="166"/>
  <c r="I13" i="166"/>
  <c r="G14" i="166"/>
  <c r="I14" i="166"/>
  <c r="F35" i="385"/>
  <c r="F27" i="385"/>
  <c r="F14" i="385"/>
  <c r="F28" i="385"/>
  <c r="F36" i="385"/>
  <c r="F23" i="385"/>
  <c r="F15" i="385"/>
  <c r="F45" i="385"/>
  <c r="G45" i="385" s="1"/>
  <c r="F37" i="385"/>
  <c r="F16" i="385"/>
  <c r="F38" i="385"/>
  <c r="F17" i="385"/>
  <c r="F29" i="385"/>
  <c r="F39" i="385"/>
  <c r="F10" i="385"/>
  <c r="F18" i="385"/>
  <c r="F30" i="385"/>
  <c r="F42" i="385"/>
  <c r="F11" i="385"/>
  <c r="F21" i="385"/>
  <c r="F31" i="385"/>
  <c r="F43" i="385"/>
  <c r="F12" i="385"/>
  <c r="F22" i="385"/>
  <c r="F34" i="385"/>
  <c r="F44" i="385"/>
  <c r="F13" i="385"/>
  <c r="F26" i="385"/>
  <c r="I43" i="376"/>
  <c r="G43" i="376"/>
  <c r="I26" i="371"/>
  <c r="G26" i="371"/>
  <c r="G37" i="371"/>
  <c r="I37" i="371"/>
  <c r="G44" i="225"/>
  <c r="I44" i="225"/>
  <c r="I31" i="225"/>
  <c r="G31" i="225"/>
  <c r="F28" i="41"/>
  <c r="F39" i="41"/>
  <c r="F21" i="41"/>
  <c r="F38" i="41"/>
  <c r="F26" i="41"/>
  <c r="F10" i="41"/>
  <c r="F13" i="41"/>
  <c r="I44" i="300"/>
  <c r="G44" i="300"/>
  <c r="G15" i="300"/>
  <c r="I15" i="300"/>
  <c r="F44" i="191"/>
  <c r="F22" i="191"/>
  <c r="F34" i="191"/>
  <c r="F13" i="191"/>
  <c r="F39" i="191"/>
  <c r="F15" i="191"/>
  <c r="F30" i="191"/>
  <c r="F14" i="191"/>
  <c r="F23" i="191"/>
  <c r="F26" i="191"/>
  <c r="F16" i="191"/>
  <c r="F37" i="191"/>
  <c r="F43" i="191"/>
  <c r="F17" i="191"/>
  <c r="F38" i="191"/>
  <c r="F18" i="191"/>
  <c r="F12" i="191"/>
  <c r="F36" i="191"/>
  <c r="F28" i="191"/>
  <c r="F10" i="191"/>
  <c r="F11" i="191"/>
  <c r="F29" i="191"/>
  <c r="F42" i="191"/>
  <c r="F31" i="191"/>
  <c r="F21" i="191"/>
  <c r="F45" i="191"/>
  <c r="G45" i="191" s="1"/>
  <c r="F27" i="191"/>
  <c r="F35" i="191"/>
  <c r="I15" i="409"/>
  <c r="G15" i="409"/>
  <c r="I27" i="409"/>
  <c r="G27" i="409"/>
  <c r="I31" i="362"/>
  <c r="G31" i="362"/>
  <c r="I23" i="362"/>
  <c r="G23" i="362"/>
  <c r="I29" i="165"/>
  <c r="G29" i="165"/>
  <c r="G38" i="145"/>
  <c r="I38" i="145"/>
  <c r="I16" i="145"/>
  <c r="G16" i="145"/>
  <c r="G29" i="228"/>
  <c r="I29" i="228"/>
  <c r="I34" i="248"/>
  <c r="G34" i="248"/>
  <c r="G30" i="248"/>
  <c r="I30" i="248"/>
  <c r="I23" i="126"/>
  <c r="G23" i="126"/>
  <c r="I11" i="126"/>
  <c r="G11" i="126"/>
  <c r="E29" i="82"/>
  <c r="E30" i="82"/>
  <c r="E43" i="82"/>
  <c r="E23" i="82"/>
  <c r="E24" i="82"/>
  <c r="E36" i="82"/>
  <c r="E32" i="82"/>
  <c r="E37" i="82"/>
  <c r="E31" i="82"/>
  <c r="E38" i="82"/>
  <c r="E34" i="82"/>
  <c r="E39" i="82"/>
  <c r="E42" i="82"/>
  <c r="E22" i="82"/>
  <c r="E46" i="82"/>
  <c r="A52" i="82" s="1"/>
  <c r="E21" i="82"/>
  <c r="E26" i="82"/>
  <c r="E44" i="82"/>
  <c r="E27" i="82"/>
  <c r="E45" i="82"/>
  <c r="E28" i="82"/>
  <c r="E35" i="82"/>
  <c r="G30" i="88"/>
  <c r="I30" i="88"/>
  <c r="G37" i="88"/>
  <c r="I37" i="88"/>
  <c r="I29" i="65"/>
  <c r="G29" i="65"/>
  <c r="G23" i="255"/>
  <c r="I23" i="255"/>
  <c r="I43" i="255"/>
  <c r="G43" i="255"/>
  <c r="I35" i="391"/>
  <c r="G35" i="391"/>
  <c r="G38" i="346"/>
  <c r="I38" i="346"/>
  <c r="I30" i="346"/>
  <c r="G30" i="346"/>
  <c r="G12" i="171"/>
  <c r="I12" i="171"/>
  <c r="E48" i="73"/>
  <c r="I16" i="425"/>
  <c r="G16" i="425"/>
  <c r="G43" i="425"/>
  <c r="I43" i="425"/>
  <c r="G28" i="80"/>
  <c r="I28" i="80"/>
  <c r="G22" i="368"/>
  <c r="I22" i="368"/>
  <c r="I31" i="368"/>
  <c r="G31" i="368"/>
  <c r="G15" i="142"/>
  <c r="I15" i="142"/>
  <c r="I31" i="142"/>
  <c r="G31" i="142"/>
  <c r="G42" i="365"/>
  <c r="I42" i="365"/>
  <c r="G27" i="365"/>
  <c r="I27" i="365"/>
  <c r="I23" i="204"/>
  <c r="G23" i="204"/>
  <c r="I38" i="204"/>
  <c r="G38" i="204"/>
  <c r="I35" i="426"/>
  <c r="G35" i="426"/>
  <c r="I22" i="166"/>
  <c r="G22" i="166"/>
  <c r="F43" i="210"/>
  <c r="F31" i="210"/>
  <c r="F27" i="210"/>
  <c r="F36" i="210"/>
  <c r="F23" i="210"/>
  <c r="F42" i="210"/>
  <c r="F38" i="210"/>
  <c r="F37" i="210"/>
  <c r="F21" i="210"/>
  <c r="F16" i="210"/>
  <c r="F29" i="210"/>
  <c r="F17" i="210"/>
  <c r="F14" i="210"/>
  <c r="F28" i="210"/>
  <c r="F13" i="210"/>
  <c r="F11" i="210"/>
  <c r="F30" i="210"/>
  <c r="F45" i="210"/>
  <c r="G45" i="210" s="1"/>
  <c r="F39" i="210"/>
  <c r="F26" i="210"/>
  <c r="F15" i="210"/>
  <c r="F10" i="210"/>
  <c r="F35" i="210"/>
  <c r="F18" i="210"/>
  <c r="F34" i="210"/>
  <c r="F12" i="210"/>
  <c r="F44" i="210"/>
  <c r="F22" i="210"/>
  <c r="G29" i="255"/>
  <c r="I29" i="255"/>
  <c r="G12" i="365"/>
  <c r="I12" i="365"/>
  <c r="G11" i="316"/>
  <c r="I11" i="316"/>
  <c r="I43" i="316"/>
  <c r="G43" i="316"/>
  <c r="I18" i="443"/>
  <c r="G18" i="443"/>
  <c r="G14" i="443"/>
  <c r="I14" i="443"/>
  <c r="I10" i="176"/>
  <c r="G10" i="176"/>
  <c r="G16" i="176"/>
  <c r="I16" i="176"/>
  <c r="I28" i="318"/>
  <c r="G28" i="318"/>
  <c r="I17" i="318"/>
  <c r="G17" i="318"/>
  <c r="F18" i="36"/>
  <c r="F11" i="36"/>
  <c r="F29" i="36"/>
  <c r="F39" i="36"/>
  <c r="F30" i="36"/>
  <c r="F34" i="36"/>
  <c r="F12" i="36"/>
  <c r="F45" i="36"/>
  <c r="G45" i="36" s="1"/>
  <c r="F13" i="36"/>
  <c r="F38" i="36"/>
  <c r="F26" i="36"/>
  <c r="F23" i="36"/>
  <c r="F35" i="36"/>
  <c r="F42" i="36"/>
  <c r="F17" i="36"/>
  <c r="F21" i="36"/>
  <c r="F14" i="36"/>
  <c r="F22" i="36"/>
  <c r="F36" i="36"/>
  <c r="F43" i="36"/>
  <c r="F37" i="36"/>
  <c r="F28" i="36"/>
  <c r="F27" i="36"/>
  <c r="F15" i="36"/>
  <c r="F16" i="36"/>
  <c r="F31" i="36"/>
  <c r="F10" i="36"/>
  <c r="F44" i="36"/>
  <c r="I18" i="426"/>
  <c r="G18" i="426"/>
  <c r="I31" i="426"/>
  <c r="G31" i="426"/>
  <c r="I13" i="215"/>
  <c r="G14" i="215"/>
  <c r="I14" i="215"/>
  <c r="I42" i="259"/>
  <c r="G42" i="259"/>
  <c r="I21" i="259"/>
  <c r="G21" i="259"/>
  <c r="I17" i="428"/>
  <c r="G17" i="428"/>
  <c r="G22" i="428"/>
  <c r="I22" i="428"/>
  <c r="G30" i="154"/>
  <c r="I30" i="154"/>
  <c r="I11" i="305"/>
  <c r="G11" i="305"/>
  <c r="F29" i="294"/>
  <c r="F10" i="294"/>
  <c r="F45" i="294"/>
  <c r="G45" i="294" s="1"/>
  <c r="F12" i="294"/>
  <c r="F17" i="294"/>
  <c r="F14" i="294"/>
  <c r="F34" i="294"/>
  <c r="F23" i="294"/>
  <c r="F22" i="294"/>
  <c r="F35" i="294"/>
  <c r="F38" i="294"/>
  <c r="F39" i="294"/>
  <c r="F13" i="294"/>
  <c r="F15" i="294"/>
  <c r="F30" i="294"/>
  <c r="F21" i="294"/>
  <c r="F42" i="294"/>
  <c r="F44" i="294"/>
  <c r="F11" i="294"/>
  <c r="F31" i="294"/>
  <c r="F36" i="294"/>
  <c r="F26" i="294"/>
  <c r="F18" i="294"/>
  <c r="F27" i="294"/>
  <c r="F28" i="294"/>
  <c r="F43" i="294"/>
  <c r="F16" i="294"/>
  <c r="F37" i="294"/>
  <c r="F38" i="332"/>
  <c r="F45" i="332"/>
  <c r="G45" i="332" s="1"/>
  <c r="F36" i="332"/>
  <c r="F16" i="332"/>
  <c r="F43" i="332"/>
  <c r="F10" i="332"/>
  <c r="F21" i="332"/>
  <c r="F17" i="332"/>
  <c r="F29" i="332"/>
  <c r="F27" i="332"/>
  <c r="F34" i="332"/>
  <c r="F15" i="332"/>
  <c r="F37" i="332"/>
  <c r="F12" i="332"/>
  <c r="F13" i="332"/>
  <c r="F22" i="332"/>
  <c r="F39" i="332"/>
  <c r="F26" i="332"/>
  <c r="F31" i="332"/>
  <c r="F35" i="332"/>
  <c r="F11" i="332"/>
  <c r="F42" i="332"/>
  <c r="F14" i="332"/>
  <c r="F44" i="332"/>
  <c r="F28" i="332"/>
  <c r="F18" i="332"/>
  <c r="F30" i="332"/>
  <c r="F23" i="332"/>
  <c r="G39" i="350"/>
  <c r="I39" i="350"/>
  <c r="I23" i="350"/>
  <c r="G23" i="350"/>
  <c r="I29" i="234"/>
  <c r="G29" i="234"/>
  <c r="I39" i="234"/>
  <c r="G39" i="234"/>
  <c r="I37" i="287"/>
  <c r="G37" i="287"/>
  <c r="F45" i="26"/>
  <c r="G45" i="26" s="1"/>
  <c r="F30" i="26"/>
  <c r="F34" i="26"/>
  <c r="F17" i="26"/>
  <c r="F18" i="26"/>
  <c r="F13" i="26"/>
  <c r="F16" i="26"/>
  <c r="F43" i="26"/>
  <c r="F36" i="26"/>
  <c r="F21" i="26"/>
  <c r="F11" i="26"/>
  <c r="F26" i="26"/>
  <c r="F31" i="26"/>
  <c r="F42" i="26"/>
  <c r="F14" i="26"/>
  <c r="F39" i="26"/>
  <c r="F38" i="26"/>
  <c r="F15" i="26"/>
  <c r="F44" i="26"/>
  <c r="F22" i="26"/>
  <c r="F35" i="26"/>
  <c r="F28" i="26"/>
  <c r="F37" i="26"/>
  <c r="F10" i="26"/>
  <c r="F29" i="26"/>
  <c r="F12" i="26"/>
  <c r="F27" i="26"/>
  <c r="F23" i="26"/>
  <c r="I14" i="380"/>
  <c r="G14" i="380"/>
  <c r="I38" i="380"/>
  <c r="G38" i="380"/>
  <c r="G12" i="21"/>
  <c r="I12" i="21"/>
  <c r="G16" i="21"/>
  <c r="I16" i="21"/>
  <c r="G28" i="224"/>
  <c r="I28" i="224"/>
  <c r="I14" i="224"/>
  <c r="G14" i="224"/>
  <c r="I26" i="335"/>
  <c r="G26" i="335"/>
  <c r="I27" i="335"/>
  <c r="G27" i="335"/>
  <c r="I37" i="431"/>
  <c r="G37" i="431"/>
  <c r="G10" i="431"/>
  <c r="I10" i="431"/>
  <c r="I23" i="211"/>
  <c r="G23" i="211"/>
  <c r="I10" i="211"/>
  <c r="G10" i="211"/>
  <c r="G27" i="166"/>
  <c r="I27" i="166"/>
  <c r="I44" i="166"/>
  <c r="G44" i="166"/>
  <c r="G30" i="376"/>
  <c r="I30" i="376"/>
  <c r="I21" i="376"/>
  <c r="G21" i="376"/>
  <c r="I22" i="225"/>
  <c r="G22" i="225"/>
  <c r="I27" i="225"/>
  <c r="G27" i="225"/>
  <c r="G14" i="300"/>
  <c r="I14" i="300"/>
  <c r="I42" i="300"/>
  <c r="G42" i="300"/>
  <c r="F37" i="407"/>
  <c r="F28" i="407"/>
  <c r="F17" i="407"/>
  <c r="F30" i="407"/>
  <c r="F18" i="407"/>
  <c r="F31" i="407"/>
  <c r="F21" i="407"/>
  <c r="F35" i="407"/>
  <c r="F23" i="407"/>
  <c r="F26" i="407"/>
  <c r="F36" i="407"/>
  <c r="F27" i="407"/>
  <c r="F44" i="407"/>
  <c r="F29" i="407"/>
  <c r="F14" i="407"/>
  <c r="F22" i="407"/>
  <c r="F12" i="407"/>
  <c r="F34" i="407"/>
  <c r="F15" i="407"/>
  <c r="F10" i="407"/>
  <c r="F38" i="407"/>
  <c r="F13" i="407"/>
  <c r="F11" i="407"/>
  <c r="F39" i="407"/>
  <c r="F43" i="407"/>
  <c r="F16" i="407"/>
  <c r="F45" i="407"/>
  <c r="G45" i="407" s="1"/>
  <c r="F42" i="407"/>
  <c r="I29" i="409"/>
  <c r="G29" i="409"/>
  <c r="I38" i="409"/>
  <c r="G38" i="409"/>
  <c r="I13" i="362"/>
  <c r="G13" i="362"/>
  <c r="I15" i="362"/>
  <c r="G15" i="362"/>
  <c r="I31" i="165"/>
  <c r="G31" i="165"/>
  <c r="F43" i="276"/>
  <c r="F12" i="276"/>
  <c r="F23" i="276"/>
  <c r="F28" i="276"/>
  <c r="F36" i="276"/>
  <c r="F18" i="276"/>
  <c r="F30" i="276"/>
  <c r="F34" i="276"/>
  <c r="F10" i="276"/>
  <c r="F31" i="276"/>
  <c r="F22" i="276"/>
  <c r="F14" i="276"/>
  <c r="F35" i="276"/>
  <c r="F45" i="276"/>
  <c r="G45" i="276" s="1"/>
  <c r="F15" i="276"/>
  <c r="F44" i="276"/>
  <c r="F37" i="276"/>
  <c r="F13" i="276"/>
  <c r="F16" i="276"/>
  <c r="F17" i="276"/>
  <c r="F21" i="276"/>
  <c r="F29" i="276"/>
  <c r="F38" i="276"/>
  <c r="F39" i="276"/>
  <c r="F42" i="276"/>
  <c r="F26" i="276"/>
  <c r="F27" i="276"/>
  <c r="F11" i="276"/>
  <c r="F26" i="406"/>
  <c r="F29" i="406"/>
  <c r="F38" i="406"/>
  <c r="F43" i="406"/>
  <c r="F44" i="406"/>
  <c r="F21" i="406"/>
  <c r="F22" i="406"/>
  <c r="I29" i="145"/>
  <c r="G29" i="145"/>
  <c r="G22" i="145"/>
  <c r="I22" i="145"/>
  <c r="I13" i="228"/>
  <c r="G13" i="228"/>
  <c r="G27" i="228"/>
  <c r="I27" i="228"/>
  <c r="I26" i="248"/>
  <c r="G26" i="248"/>
  <c r="G42" i="248"/>
  <c r="I42" i="248"/>
  <c r="G22" i="126"/>
  <c r="I22" i="126"/>
  <c r="I12" i="126"/>
  <c r="G12" i="126"/>
  <c r="F43" i="157"/>
  <c r="F37" i="157"/>
  <c r="F44" i="157"/>
  <c r="F23" i="157"/>
  <c r="F21" i="157"/>
  <c r="F39" i="157"/>
  <c r="F11" i="157"/>
  <c r="F27" i="157"/>
  <c r="F15" i="157"/>
  <c r="F34" i="157"/>
  <c r="F10" i="157"/>
  <c r="F16" i="157"/>
  <c r="F30" i="157"/>
  <c r="F38" i="157"/>
  <c r="F36" i="157"/>
  <c r="F31" i="157"/>
  <c r="F18" i="157"/>
  <c r="F13" i="157"/>
  <c r="F14" i="157"/>
  <c r="F12" i="157"/>
  <c r="F17" i="157"/>
  <c r="F26" i="157"/>
  <c r="F35" i="157"/>
  <c r="F42" i="157"/>
  <c r="F22" i="157"/>
  <c r="F45" i="157"/>
  <c r="G45" i="157" s="1"/>
  <c r="F28" i="157"/>
  <c r="F29" i="157"/>
  <c r="I44" i="88"/>
  <c r="G44" i="88"/>
  <c r="G22" i="88"/>
  <c r="I22" i="88"/>
  <c r="I39" i="65"/>
  <c r="G39" i="65"/>
  <c r="G23" i="65"/>
  <c r="I23" i="65"/>
  <c r="I14" i="391"/>
  <c r="G14" i="391"/>
  <c r="G39" i="391"/>
  <c r="I39" i="391"/>
  <c r="I23" i="346"/>
  <c r="G23" i="346"/>
  <c r="I10" i="171"/>
  <c r="G10" i="171"/>
  <c r="I34" i="425"/>
  <c r="G34" i="425"/>
  <c r="I42" i="425"/>
  <c r="G42" i="425"/>
  <c r="G26" i="80"/>
  <c r="I26" i="80"/>
  <c r="G38" i="80"/>
  <c r="I38" i="80"/>
  <c r="I30" i="368"/>
  <c r="G30" i="368"/>
  <c r="I35" i="368"/>
  <c r="G35" i="368"/>
  <c r="G35" i="142"/>
  <c r="I35" i="142"/>
  <c r="G16" i="142"/>
  <c r="I16" i="142"/>
  <c r="I44" i="365"/>
  <c r="G44" i="365"/>
  <c r="I16" i="365"/>
  <c r="G16" i="365"/>
  <c r="E48" i="469"/>
  <c r="I17" i="457"/>
  <c r="G17" i="457"/>
  <c r="G10" i="204"/>
  <c r="I10" i="204"/>
  <c r="I22" i="204"/>
  <c r="G22" i="204"/>
  <c r="F37" i="158"/>
  <c r="F11" i="158"/>
  <c r="G35" i="259"/>
  <c r="I35" i="259"/>
  <c r="G16" i="376"/>
  <c r="I16" i="376"/>
  <c r="I14" i="368"/>
  <c r="G14" i="368"/>
  <c r="G38" i="316"/>
  <c r="I38" i="316"/>
  <c r="F30" i="119"/>
  <c r="F45" i="119"/>
  <c r="G45" i="119" s="1"/>
  <c r="F21" i="119"/>
  <c r="F29" i="119"/>
  <c r="F28" i="119"/>
  <c r="F14" i="119"/>
  <c r="F37" i="119"/>
  <c r="F36" i="119"/>
  <c r="F13" i="119"/>
  <c r="F22" i="119"/>
  <c r="F44" i="119"/>
  <c r="F10" i="119"/>
  <c r="F34" i="119"/>
  <c r="F31" i="119"/>
  <c r="F18" i="119"/>
  <c r="F16" i="119"/>
  <c r="F43" i="119"/>
  <c r="F42" i="119"/>
  <c r="F15" i="119"/>
  <c r="F27" i="119"/>
  <c r="F38" i="119"/>
  <c r="F23" i="119"/>
  <c r="F35" i="119"/>
  <c r="F26" i="119"/>
  <c r="F11" i="119"/>
  <c r="F17" i="119"/>
  <c r="F12" i="119"/>
  <c r="F39" i="119"/>
  <c r="I16" i="443"/>
  <c r="G16" i="443"/>
  <c r="I15" i="176"/>
  <c r="G15" i="176"/>
  <c r="I36" i="176"/>
  <c r="G36" i="176"/>
  <c r="I21" i="318"/>
  <c r="G21" i="318"/>
  <c r="G39" i="318"/>
  <c r="I39" i="318"/>
  <c r="I27" i="426"/>
  <c r="G27" i="426"/>
  <c r="I22" i="426"/>
  <c r="G22" i="426"/>
  <c r="G28" i="215"/>
  <c r="I28" i="215"/>
  <c r="I17" i="121"/>
  <c r="G17" i="121"/>
  <c r="G14" i="121"/>
  <c r="I14" i="121"/>
  <c r="G26" i="259"/>
  <c r="I26" i="259"/>
  <c r="I12" i="428"/>
  <c r="G12" i="428"/>
  <c r="I16" i="322"/>
  <c r="G16" i="322"/>
  <c r="G13" i="322"/>
  <c r="I13" i="322"/>
  <c r="I42" i="154"/>
  <c r="G42" i="154"/>
  <c r="I12" i="154"/>
  <c r="G12" i="154"/>
  <c r="G31" i="305"/>
  <c r="I31" i="305"/>
  <c r="F22" i="429"/>
  <c r="F39" i="429"/>
  <c r="F44" i="429"/>
  <c r="F42" i="429"/>
  <c r="F23" i="429"/>
  <c r="F13" i="429"/>
  <c r="F45" i="429"/>
  <c r="G45" i="429" s="1"/>
  <c r="F14" i="429"/>
  <c r="F15" i="429"/>
  <c r="F16" i="429"/>
  <c r="F21" i="429"/>
  <c r="F17" i="429"/>
  <c r="F43" i="429"/>
  <c r="F37" i="429"/>
  <c r="F18" i="429"/>
  <c r="F26" i="429"/>
  <c r="F35" i="429"/>
  <c r="F27" i="429"/>
  <c r="F36" i="429"/>
  <c r="F28" i="429"/>
  <c r="F29" i="429"/>
  <c r="F10" i="429"/>
  <c r="F30" i="429"/>
  <c r="F11" i="429"/>
  <c r="F31" i="429"/>
  <c r="F12" i="429"/>
  <c r="F34" i="429"/>
  <c r="F38" i="429"/>
  <c r="I37" i="350"/>
  <c r="G37" i="350"/>
  <c r="G43" i="350"/>
  <c r="I43" i="350"/>
  <c r="G14" i="234"/>
  <c r="I14" i="234"/>
  <c r="G23" i="234"/>
  <c r="I23" i="234"/>
  <c r="I21" i="287"/>
  <c r="G21" i="287"/>
  <c r="I43" i="380"/>
  <c r="G43" i="380"/>
  <c r="I16" i="380"/>
  <c r="G16" i="380"/>
  <c r="E48" i="447"/>
  <c r="G37" i="21"/>
  <c r="I37" i="21"/>
  <c r="G36" i="21"/>
  <c r="I36" i="21"/>
  <c r="I31" i="224"/>
  <c r="G31" i="224"/>
  <c r="I22" i="224"/>
  <c r="G22" i="224"/>
  <c r="I16" i="335"/>
  <c r="G16" i="335"/>
  <c r="G43" i="431"/>
  <c r="I43" i="431"/>
  <c r="I21" i="431"/>
  <c r="G21" i="431"/>
  <c r="I37" i="211"/>
  <c r="G37" i="211"/>
  <c r="I21" i="211"/>
  <c r="G21" i="211"/>
  <c r="I23" i="166"/>
  <c r="G23" i="166"/>
  <c r="G16" i="166"/>
  <c r="I16" i="166"/>
  <c r="I17" i="376"/>
  <c r="G17" i="376"/>
  <c r="G27" i="371"/>
  <c r="I27" i="371"/>
  <c r="I28" i="371"/>
  <c r="G28" i="371"/>
  <c r="F23" i="10"/>
  <c r="F11" i="10"/>
  <c r="F39" i="10"/>
  <c r="F16" i="10"/>
  <c r="F42" i="10"/>
  <c r="F31" i="10"/>
  <c r="F29" i="10"/>
  <c r="F43" i="10"/>
  <c r="F28" i="10"/>
  <c r="F34" i="10"/>
  <c r="F44" i="10"/>
  <c r="F13" i="10"/>
  <c r="F18" i="10"/>
  <c r="F14" i="10"/>
  <c r="F35" i="10"/>
  <c r="F26" i="10"/>
  <c r="F37" i="10"/>
  <c r="F12" i="10"/>
  <c r="F30" i="10"/>
  <c r="F45" i="10"/>
  <c r="G45" i="10" s="1"/>
  <c r="F15" i="10"/>
  <c r="F10" i="10"/>
  <c r="F38" i="10"/>
  <c r="F17" i="10"/>
  <c r="F27" i="10"/>
  <c r="F36" i="10"/>
  <c r="F21" i="10"/>
  <c r="F22" i="10"/>
  <c r="I16" i="225"/>
  <c r="G16" i="225"/>
  <c r="G28" i="225"/>
  <c r="I28" i="225"/>
  <c r="I38" i="300"/>
  <c r="G38" i="300"/>
  <c r="I11" i="300"/>
  <c r="G11" i="300"/>
  <c r="G11" i="409"/>
  <c r="I11" i="409"/>
  <c r="I12" i="362"/>
  <c r="G12" i="362"/>
  <c r="G18" i="165"/>
  <c r="I18" i="165"/>
  <c r="G23" i="145"/>
  <c r="I23" i="145"/>
  <c r="G17" i="228"/>
  <c r="I17" i="228"/>
  <c r="I37" i="228"/>
  <c r="G37" i="228"/>
  <c r="I21" i="248"/>
  <c r="G21" i="248"/>
  <c r="I16" i="248"/>
  <c r="G16" i="248"/>
  <c r="G21" i="88"/>
  <c r="I21" i="88"/>
  <c r="I26" i="88"/>
  <c r="G26" i="88"/>
  <c r="I16" i="65"/>
  <c r="G16" i="65"/>
  <c r="I16" i="255"/>
  <c r="G16" i="255"/>
  <c r="I28" i="391"/>
  <c r="G28" i="391"/>
  <c r="I44" i="391"/>
  <c r="G44" i="391"/>
  <c r="I37" i="346"/>
  <c r="G37" i="346"/>
  <c r="I31" i="346"/>
  <c r="G31" i="346"/>
  <c r="I21" i="80"/>
  <c r="G21" i="80"/>
  <c r="I22" i="80"/>
  <c r="G22" i="80"/>
  <c r="G16" i="368"/>
  <c r="I16" i="368"/>
  <c r="G29" i="368"/>
  <c r="I29" i="368"/>
  <c r="I13" i="142"/>
  <c r="G13" i="142"/>
  <c r="I15" i="365"/>
  <c r="G15" i="365"/>
  <c r="I26" i="365"/>
  <c r="G26" i="365"/>
  <c r="F38" i="246"/>
  <c r="F16" i="246"/>
  <c r="F28" i="246"/>
  <c r="F31" i="246"/>
  <c r="F14" i="246"/>
  <c r="F12" i="246"/>
  <c r="F45" i="246"/>
  <c r="G45" i="246" s="1"/>
  <c r="F36" i="246"/>
  <c r="F26" i="246"/>
  <c r="F23" i="246"/>
  <c r="F29" i="246"/>
  <c r="F15" i="246"/>
  <c r="F43" i="246"/>
  <c r="F42" i="246"/>
  <c r="F11" i="246"/>
  <c r="F27" i="246"/>
  <c r="F21" i="246"/>
  <c r="F44" i="246"/>
  <c r="F17" i="246"/>
  <c r="F10" i="246"/>
  <c r="F37" i="246"/>
  <c r="F18" i="246"/>
  <c r="F35" i="246"/>
  <c r="F34" i="246"/>
  <c r="F22" i="246"/>
  <c r="F13" i="246"/>
  <c r="F30" i="246"/>
  <c r="F39" i="246"/>
  <c r="E48" i="364"/>
  <c r="G12" i="457"/>
  <c r="I12" i="457"/>
  <c r="I29" i="204"/>
  <c r="G29" i="204"/>
  <c r="I38" i="215"/>
  <c r="G38" i="215"/>
  <c r="G18" i="428"/>
  <c r="I18" i="428"/>
  <c r="I24" i="178"/>
  <c r="F24" i="178" s="1"/>
  <c r="G24" i="178" s="1"/>
  <c r="I11" i="65"/>
  <c r="G11" i="65"/>
  <c r="I26" i="457"/>
  <c r="G26" i="457"/>
  <c r="I40" i="474"/>
  <c r="F40" i="474" s="1"/>
  <c r="G40" i="474" s="1"/>
  <c r="I18" i="316"/>
  <c r="G18" i="316"/>
  <c r="F42" i="96"/>
  <c r="F17" i="96"/>
  <c r="F27" i="96"/>
  <c r="F29" i="96"/>
  <c r="F39" i="96"/>
  <c r="F13" i="96"/>
  <c r="F23" i="96"/>
  <c r="F21" i="96"/>
  <c r="F31" i="96"/>
  <c r="F15" i="96"/>
  <c r="F44" i="96"/>
  <c r="F22" i="96"/>
  <c r="F35" i="96"/>
  <c r="F45" i="96"/>
  <c r="G45" i="96" s="1"/>
  <c r="F10" i="96"/>
  <c r="F11" i="96"/>
  <c r="F36" i="96"/>
  <c r="F16" i="96"/>
  <c r="F38" i="96"/>
  <c r="F34" i="96"/>
  <c r="F14" i="96"/>
  <c r="F26" i="96"/>
  <c r="F37" i="96"/>
  <c r="F12" i="96"/>
  <c r="F28" i="96"/>
  <c r="F18" i="96"/>
  <c r="F30" i="96"/>
  <c r="F43" i="96"/>
  <c r="G13" i="176"/>
  <c r="I13" i="176"/>
  <c r="G28" i="176"/>
  <c r="I28" i="176"/>
  <c r="G43" i="318"/>
  <c r="I43" i="318"/>
  <c r="I15" i="318"/>
  <c r="G15" i="318"/>
  <c r="E15" i="478"/>
  <c r="E16" i="478"/>
  <c r="E14" i="478"/>
  <c r="E17" i="478"/>
  <c r="E10" i="478"/>
  <c r="E18" i="478"/>
  <c r="E11" i="478"/>
  <c r="E12" i="478"/>
  <c r="E19" i="478"/>
  <c r="G38" i="426"/>
  <c r="I38" i="426"/>
  <c r="I11" i="426"/>
  <c r="G11" i="426"/>
  <c r="I29" i="215"/>
  <c r="G29" i="215"/>
  <c r="I18" i="215"/>
  <c r="G18" i="215"/>
  <c r="I10" i="121"/>
  <c r="G10" i="121"/>
  <c r="G34" i="121"/>
  <c r="I34" i="121"/>
  <c r="I38" i="428"/>
  <c r="G38" i="428"/>
  <c r="I43" i="428"/>
  <c r="G43" i="428"/>
  <c r="I11" i="322"/>
  <c r="G11" i="322"/>
  <c r="G15" i="322"/>
  <c r="I15" i="322"/>
  <c r="I14" i="154"/>
  <c r="G14" i="154"/>
  <c r="G16" i="154"/>
  <c r="I16" i="154"/>
  <c r="G16" i="305"/>
  <c r="I16" i="305"/>
  <c r="H48" i="302"/>
  <c r="H50" i="302" s="1"/>
  <c r="E6" i="302" s="1"/>
  <c r="I13" i="350"/>
  <c r="G13" i="350"/>
  <c r="G26" i="234"/>
  <c r="I26" i="234"/>
  <c r="G38" i="287"/>
  <c r="I38" i="287"/>
  <c r="I27" i="287"/>
  <c r="G27" i="287"/>
  <c r="I34" i="380"/>
  <c r="G34" i="380"/>
  <c r="G15" i="21"/>
  <c r="I15" i="21"/>
  <c r="F11" i="27"/>
  <c r="F30" i="27"/>
  <c r="F27" i="27"/>
  <c r="F28" i="27"/>
  <c r="F13" i="27"/>
  <c r="F31" i="27"/>
  <c r="F23" i="27"/>
  <c r="F35" i="27"/>
  <c r="F36" i="27"/>
  <c r="F15" i="27"/>
  <c r="F14" i="27"/>
  <c r="F26" i="27"/>
  <c r="F10" i="27"/>
  <c r="F18" i="27"/>
  <c r="F22" i="27"/>
  <c r="F37" i="27"/>
  <c r="F44" i="27"/>
  <c r="F38" i="27"/>
  <c r="F16" i="27"/>
  <c r="F17" i="27"/>
  <c r="F21" i="27"/>
  <c r="F42" i="27"/>
  <c r="F34" i="27"/>
  <c r="F12" i="27"/>
  <c r="F29" i="27"/>
  <c r="F45" i="27"/>
  <c r="G45" i="27" s="1"/>
  <c r="F43" i="27"/>
  <c r="F39" i="27"/>
  <c r="I34" i="224"/>
  <c r="G34" i="224"/>
  <c r="G18" i="224"/>
  <c r="I18" i="224"/>
  <c r="G29" i="335"/>
  <c r="I29" i="335"/>
  <c r="I15" i="431"/>
  <c r="G15" i="431"/>
  <c r="G42" i="211"/>
  <c r="I42" i="211"/>
  <c r="I28" i="211"/>
  <c r="G28" i="211"/>
  <c r="G38" i="166"/>
  <c r="I38" i="166"/>
  <c r="I28" i="166"/>
  <c r="G28" i="166"/>
  <c r="I35" i="376"/>
  <c r="G35" i="376"/>
  <c r="I38" i="376"/>
  <c r="G38" i="376"/>
  <c r="G15" i="371"/>
  <c r="I15" i="371"/>
  <c r="G30" i="225"/>
  <c r="I30" i="225"/>
  <c r="G10" i="225"/>
  <c r="I10" i="225"/>
  <c r="I12" i="300"/>
  <c r="G12" i="300"/>
  <c r="I13" i="300"/>
  <c r="G13" i="300"/>
  <c r="E39" i="413"/>
  <c r="E38" i="413"/>
  <c r="E40" i="413"/>
  <c r="E36" i="413"/>
  <c r="E35" i="413"/>
  <c r="E34" i="413"/>
  <c r="E31" i="413"/>
  <c r="E29" i="413"/>
  <c r="E28" i="413"/>
  <c r="E27" i="413"/>
  <c r="E46" i="413"/>
  <c r="A52" i="413" s="1"/>
  <c r="E26" i="413"/>
  <c r="E23" i="413"/>
  <c r="E24" i="413"/>
  <c r="E22" i="413"/>
  <c r="E30" i="413"/>
  <c r="E21" i="413"/>
  <c r="E45" i="413"/>
  <c r="E44" i="413"/>
  <c r="E42" i="413"/>
  <c r="E43" i="413"/>
  <c r="E37" i="413"/>
  <c r="I17" i="409"/>
  <c r="G17" i="409"/>
  <c r="G30" i="362"/>
  <c r="I30" i="362"/>
  <c r="I28" i="165"/>
  <c r="G28" i="165"/>
  <c r="G16" i="165"/>
  <c r="I16" i="165"/>
  <c r="F11" i="35"/>
  <c r="F21" i="35"/>
  <c r="F30" i="35"/>
  <c r="F17" i="35"/>
  <c r="F31" i="35"/>
  <c r="F36" i="35"/>
  <c r="F42" i="35"/>
  <c r="F26" i="35"/>
  <c r="F14" i="35"/>
  <c r="F12" i="35"/>
  <c r="F22" i="35"/>
  <c r="F45" i="35"/>
  <c r="G45" i="35" s="1"/>
  <c r="F34" i="35"/>
  <c r="F16" i="35"/>
  <c r="F43" i="35"/>
  <c r="F35" i="35"/>
  <c r="F15" i="35"/>
  <c r="F27" i="35"/>
  <c r="F29" i="35"/>
  <c r="F10" i="35"/>
  <c r="F18" i="35"/>
  <c r="F37" i="35"/>
  <c r="F28" i="35"/>
  <c r="F13" i="35"/>
  <c r="F23" i="35"/>
  <c r="F38" i="35"/>
  <c r="F44" i="35"/>
  <c r="F39" i="35"/>
  <c r="G21" i="145"/>
  <c r="I21" i="145"/>
  <c r="I14" i="145"/>
  <c r="G14" i="145"/>
  <c r="I30" i="228"/>
  <c r="G30" i="228"/>
  <c r="I39" i="228"/>
  <c r="G39" i="228"/>
  <c r="I15" i="248"/>
  <c r="G15" i="248"/>
  <c r="G30" i="126"/>
  <c r="I30" i="126"/>
  <c r="I27" i="126"/>
  <c r="G27" i="126"/>
  <c r="G34" i="88"/>
  <c r="I34" i="88"/>
  <c r="I17" i="88"/>
  <c r="G17" i="88"/>
  <c r="I44" i="65"/>
  <c r="G44" i="65"/>
  <c r="I27" i="255"/>
  <c r="G27" i="255"/>
  <c r="I12" i="391"/>
  <c r="G12" i="391"/>
  <c r="I17" i="391"/>
  <c r="G17" i="391"/>
  <c r="G15" i="346"/>
  <c r="I15" i="346"/>
  <c r="I26" i="346"/>
  <c r="G26" i="346"/>
  <c r="I27" i="171"/>
  <c r="G27" i="171"/>
  <c r="I30" i="425"/>
  <c r="G11" i="80"/>
  <c r="I11" i="80"/>
  <c r="I36" i="80"/>
  <c r="G36" i="80"/>
  <c r="I10" i="368"/>
  <c r="G10" i="368"/>
  <c r="I27" i="368"/>
  <c r="G27" i="368"/>
  <c r="I18" i="142"/>
  <c r="G18" i="142"/>
  <c r="J50" i="310"/>
  <c r="E50" i="310"/>
  <c r="I31" i="365"/>
  <c r="G31" i="365"/>
  <c r="F35" i="360"/>
  <c r="F23" i="360"/>
  <c r="F34" i="360"/>
  <c r="F26" i="360"/>
  <c r="F44" i="360"/>
  <c r="F17" i="360"/>
  <c r="F16" i="360"/>
  <c r="F27" i="360"/>
  <c r="F30" i="360"/>
  <c r="F10" i="360"/>
  <c r="F15" i="360"/>
  <c r="F18" i="360"/>
  <c r="F37" i="360"/>
  <c r="F45" i="360"/>
  <c r="G45" i="360" s="1"/>
  <c r="F28" i="360"/>
  <c r="F39" i="360"/>
  <c r="F38" i="360"/>
  <c r="F13" i="360"/>
  <c r="F29" i="360"/>
  <c r="F21" i="360"/>
  <c r="F12" i="360"/>
  <c r="F36" i="360"/>
  <c r="F42" i="360"/>
  <c r="F11" i="360"/>
  <c r="F31" i="360"/>
  <c r="F14" i="360"/>
  <c r="F22" i="360"/>
  <c r="F43" i="360"/>
  <c r="I10" i="457"/>
  <c r="G10" i="457"/>
  <c r="G27" i="457"/>
  <c r="I27" i="457"/>
  <c r="I27" i="204"/>
  <c r="G27" i="204"/>
  <c r="G14" i="204"/>
  <c r="I14" i="204"/>
  <c r="F45" i="364"/>
  <c r="G45" i="364" s="1"/>
  <c r="F34" i="364"/>
  <c r="F29" i="364"/>
  <c r="F18" i="364"/>
  <c r="F12" i="364"/>
  <c r="F44" i="364"/>
  <c r="F22" i="364"/>
  <c r="F13" i="364"/>
  <c r="F36" i="364"/>
  <c r="F31" i="364"/>
  <c r="F16" i="364"/>
  <c r="F23" i="364"/>
  <c r="F30" i="364"/>
  <c r="F35" i="364"/>
  <c r="F43" i="364"/>
  <c r="F26" i="364"/>
  <c r="F17" i="364"/>
  <c r="F28" i="364"/>
  <c r="F14" i="364"/>
  <c r="F15" i="364"/>
  <c r="F11" i="364"/>
  <c r="F38" i="364"/>
  <c r="F39" i="364"/>
  <c r="F27" i="364"/>
  <c r="F42" i="364"/>
  <c r="F37" i="364"/>
  <c r="F10" i="364"/>
  <c r="F21" i="364"/>
  <c r="G38" i="154"/>
  <c r="I38" i="154"/>
  <c r="I44" i="350"/>
  <c r="G44" i="350"/>
  <c r="F22" i="436"/>
  <c r="F44" i="436"/>
  <c r="F12" i="436"/>
  <c r="F23" i="436"/>
  <c r="F34" i="436"/>
  <c r="F45" i="436"/>
  <c r="G45" i="436" s="1"/>
  <c r="F35" i="436"/>
  <c r="F36" i="436"/>
  <c r="F26" i="436"/>
  <c r="F15" i="436"/>
  <c r="F10" i="436"/>
  <c r="F37" i="436"/>
  <c r="F11" i="436"/>
  <c r="F16" i="436"/>
  <c r="F27" i="436"/>
  <c r="F38" i="436"/>
  <c r="F28" i="436"/>
  <c r="F17" i="436"/>
  <c r="F29" i="436"/>
  <c r="F39" i="436"/>
  <c r="F30" i="436"/>
  <c r="F18" i="436"/>
  <c r="F31" i="436"/>
  <c r="F42" i="436"/>
  <c r="F14" i="436"/>
  <c r="F21" i="436"/>
  <c r="F13" i="436"/>
  <c r="F43" i="436"/>
  <c r="G31" i="21"/>
  <c r="I31" i="21"/>
  <c r="G12" i="165"/>
  <c r="I12" i="165"/>
  <c r="I27" i="248"/>
  <c r="G27" i="248"/>
  <c r="G28" i="171"/>
  <c r="I28" i="171"/>
  <c r="G15" i="425"/>
  <c r="I15" i="425"/>
  <c r="I29" i="316"/>
  <c r="G29" i="316"/>
  <c r="F38" i="17"/>
  <c r="F14" i="17"/>
  <c r="F37" i="17"/>
  <c r="F42" i="17"/>
  <c r="F12" i="17"/>
  <c r="F26" i="17"/>
  <c r="F13" i="17"/>
  <c r="F45" i="17"/>
  <c r="G45" i="17" s="1"/>
  <c r="F11" i="17"/>
  <c r="F21" i="17"/>
  <c r="F15" i="17"/>
  <c r="F34" i="17"/>
  <c r="F39" i="17"/>
  <c r="F30" i="17"/>
  <c r="F10" i="17"/>
  <c r="F31" i="17"/>
  <c r="F29" i="17"/>
  <c r="F18" i="17"/>
  <c r="F44" i="17"/>
  <c r="F27" i="17"/>
  <c r="F23" i="17"/>
  <c r="F36" i="17"/>
  <c r="F16" i="17"/>
  <c r="F22" i="17"/>
  <c r="F17" i="17"/>
  <c r="F43" i="17"/>
  <c r="F35" i="17"/>
  <c r="F28" i="17"/>
  <c r="I26" i="443"/>
  <c r="G26" i="443"/>
  <c r="I37" i="176"/>
  <c r="G37" i="176"/>
  <c r="I31" i="318"/>
  <c r="G31" i="318"/>
  <c r="G27" i="318"/>
  <c r="I27" i="318"/>
  <c r="F22" i="72"/>
  <c r="F36" i="72"/>
  <c r="F27" i="72"/>
  <c r="F11" i="72"/>
  <c r="F26" i="72"/>
  <c r="F28" i="72"/>
  <c r="F17" i="72"/>
  <c r="F21" i="72"/>
  <c r="F23" i="72"/>
  <c r="F39" i="72"/>
  <c r="F31" i="72"/>
  <c r="F42" i="72"/>
  <c r="F44" i="72"/>
  <c r="F13" i="72"/>
  <c r="F16" i="72"/>
  <c r="F35" i="72"/>
  <c r="F30" i="72"/>
  <c r="F12" i="72"/>
  <c r="F15" i="72"/>
  <c r="F14" i="72"/>
  <c r="F29" i="72"/>
  <c r="F37" i="72"/>
  <c r="F45" i="72"/>
  <c r="G45" i="72" s="1"/>
  <c r="F38" i="72"/>
  <c r="F43" i="72"/>
  <c r="F34" i="72"/>
  <c r="F10" i="72"/>
  <c r="F18" i="72"/>
  <c r="I16" i="426"/>
  <c r="G16" i="426"/>
  <c r="I21" i="426"/>
  <c r="G21" i="426"/>
  <c r="G16" i="215"/>
  <c r="I16" i="215"/>
  <c r="F23" i="315"/>
  <c r="F21" i="315"/>
  <c r="F42" i="315"/>
  <c r="F45" i="315"/>
  <c r="G45" i="315" s="1"/>
  <c r="F13" i="315"/>
  <c r="F44" i="315"/>
  <c r="F37" i="315"/>
  <c r="F15" i="315"/>
  <c r="F31" i="315"/>
  <c r="F34" i="315"/>
  <c r="F18" i="315"/>
  <c r="F26" i="315"/>
  <c r="F16" i="315"/>
  <c r="F29" i="315"/>
  <c r="F10" i="315"/>
  <c r="F11" i="315"/>
  <c r="F17" i="315"/>
  <c r="F38" i="315"/>
  <c r="F27" i="315"/>
  <c r="F36" i="315"/>
  <c r="F35" i="315"/>
  <c r="F22" i="315"/>
  <c r="F39" i="315"/>
  <c r="F30" i="315"/>
  <c r="F43" i="315"/>
  <c r="F28" i="315"/>
  <c r="F12" i="315"/>
  <c r="F14" i="315"/>
  <c r="I43" i="121"/>
  <c r="G43" i="121"/>
  <c r="I37" i="259"/>
  <c r="G37" i="259"/>
  <c r="F28" i="321"/>
  <c r="F43" i="321"/>
  <c r="F15" i="321"/>
  <c r="F27" i="321"/>
  <c r="F11" i="321"/>
  <c r="F30" i="321"/>
  <c r="F29" i="321"/>
  <c r="F35" i="321"/>
  <c r="F45" i="321"/>
  <c r="G45" i="321" s="1"/>
  <c r="F12" i="321"/>
  <c r="F17" i="321"/>
  <c r="F22" i="321"/>
  <c r="F10" i="321"/>
  <c r="F23" i="321"/>
  <c r="F39" i="321"/>
  <c r="F37" i="321"/>
  <c r="F38" i="321"/>
  <c r="F26" i="321"/>
  <c r="F44" i="321"/>
  <c r="F31" i="321"/>
  <c r="F18" i="321"/>
  <c r="F13" i="321"/>
  <c r="F16" i="321"/>
  <c r="F21" i="321"/>
  <c r="F42" i="321"/>
  <c r="F34" i="321"/>
  <c r="F14" i="321"/>
  <c r="F36" i="321"/>
  <c r="G11" i="428"/>
  <c r="I11" i="428"/>
  <c r="I26" i="322"/>
  <c r="G26" i="322"/>
  <c r="I35" i="322"/>
  <c r="G35" i="322"/>
  <c r="I27" i="154"/>
  <c r="G27" i="154"/>
  <c r="G13" i="154"/>
  <c r="I13" i="154"/>
  <c r="I39" i="305"/>
  <c r="G39" i="305"/>
  <c r="I18" i="350"/>
  <c r="G18" i="350"/>
  <c r="I21" i="350"/>
  <c r="G21" i="350"/>
  <c r="I37" i="234"/>
  <c r="G37" i="234"/>
  <c r="I13" i="287"/>
  <c r="G13" i="287"/>
  <c r="G15" i="287"/>
  <c r="I15" i="287"/>
  <c r="F34" i="24"/>
  <c r="F10" i="24"/>
  <c r="F44" i="24"/>
  <c r="F18" i="24"/>
  <c r="F27" i="24"/>
  <c r="F29" i="24"/>
  <c r="F11" i="24"/>
  <c r="F38" i="24"/>
  <c r="F43" i="24"/>
  <c r="F15" i="24"/>
  <c r="F21" i="24"/>
  <c r="F17" i="24"/>
  <c r="F26" i="24"/>
  <c r="F31" i="24"/>
  <c r="F28" i="24"/>
  <c r="F36" i="24"/>
  <c r="F37" i="24"/>
  <c r="F14" i="24"/>
  <c r="F45" i="24"/>
  <c r="G45" i="24" s="1"/>
  <c r="F39" i="24"/>
  <c r="F13" i="24"/>
  <c r="F30" i="24"/>
  <c r="F12" i="24"/>
  <c r="F35" i="24"/>
  <c r="F23" i="24"/>
  <c r="F22" i="24"/>
  <c r="F16" i="24"/>
  <c r="F42" i="24"/>
  <c r="I21" i="380"/>
  <c r="G21" i="380"/>
  <c r="I37" i="380"/>
  <c r="G37" i="380"/>
  <c r="G11" i="21"/>
  <c r="I11" i="21"/>
  <c r="D48" i="477"/>
  <c r="E32" i="477" s="1"/>
  <c r="I11" i="224"/>
  <c r="G11" i="224"/>
  <c r="G39" i="224"/>
  <c r="I39" i="224"/>
  <c r="G13" i="335"/>
  <c r="I13" i="335"/>
  <c r="G31" i="431"/>
  <c r="I31" i="431"/>
  <c r="I38" i="431"/>
  <c r="G38" i="431"/>
  <c r="F35" i="32"/>
  <c r="F28" i="32"/>
  <c r="F18" i="32"/>
  <c r="F15" i="32"/>
  <c r="F26" i="32"/>
  <c r="F17" i="32"/>
  <c r="F37" i="32"/>
  <c r="F23" i="32"/>
  <c r="F36" i="32"/>
  <c r="F13" i="32"/>
  <c r="F45" i="32"/>
  <c r="G45" i="32" s="1"/>
  <c r="F21" i="32"/>
  <c r="F31" i="32"/>
  <c r="F38" i="32"/>
  <c r="F10" i="32"/>
  <c r="F12" i="32"/>
  <c r="F42" i="32"/>
  <c r="F34" i="32"/>
  <c r="F27" i="32"/>
  <c r="F16" i="32"/>
  <c r="F22" i="32"/>
  <c r="F39" i="32"/>
  <c r="F11" i="32"/>
  <c r="F30" i="32"/>
  <c r="F43" i="32"/>
  <c r="F14" i="32"/>
  <c r="F44" i="32"/>
  <c r="F29" i="32"/>
  <c r="I30" i="211"/>
  <c r="G30" i="211"/>
  <c r="G27" i="211"/>
  <c r="I27" i="211"/>
  <c r="I29" i="166"/>
  <c r="G29" i="166"/>
  <c r="G42" i="166"/>
  <c r="I42" i="166"/>
  <c r="G11" i="376"/>
  <c r="I11" i="376"/>
  <c r="I36" i="376"/>
  <c r="G36" i="376"/>
  <c r="I13" i="371"/>
  <c r="G13" i="371"/>
  <c r="F18" i="58"/>
  <c r="F30" i="58"/>
  <c r="F39" i="58"/>
  <c r="F14" i="58"/>
  <c r="I17" i="225"/>
  <c r="G17" i="225"/>
  <c r="I12" i="225"/>
  <c r="G12" i="225"/>
  <c r="I30" i="300"/>
  <c r="G30" i="300"/>
  <c r="I32" i="187"/>
  <c r="F32" i="187" s="1"/>
  <c r="G32" i="187" s="1"/>
  <c r="E50" i="413"/>
  <c r="J50" i="413"/>
  <c r="G10" i="409"/>
  <c r="I10" i="409"/>
  <c r="I39" i="362"/>
  <c r="G39" i="362"/>
  <c r="G10" i="165"/>
  <c r="I10" i="165"/>
  <c r="I11" i="165"/>
  <c r="G11" i="165"/>
  <c r="E48" i="467"/>
  <c r="I18" i="145"/>
  <c r="G18" i="145"/>
  <c r="G26" i="145"/>
  <c r="I26" i="145"/>
  <c r="G16" i="228"/>
  <c r="I16" i="228"/>
  <c r="I15" i="228"/>
  <c r="G15" i="228"/>
  <c r="G23" i="248"/>
  <c r="I23" i="248"/>
  <c r="I38" i="248"/>
  <c r="G38" i="248"/>
  <c r="F39" i="19"/>
  <c r="F31" i="19"/>
  <c r="F29" i="19"/>
  <c r="F13" i="19"/>
  <c r="F44" i="19"/>
  <c r="F35" i="19"/>
  <c r="F10" i="19"/>
  <c r="F34" i="19"/>
  <c r="F30" i="19"/>
  <c r="F17" i="19"/>
  <c r="F12" i="19"/>
  <c r="F37" i="19"/>
  <c r="F26" i="19"/>
  <c r="F38" i="19"/>
  <c r="F27" i="19"/>
  <c r="F22" i="19"/>
  <c r="F14" i="19"/>
  <c r="F18" i="19"/>
  <c r="F42" i="19"/>
  <c r="F21" i="19"/>
  <c r="F43" i="19"/>
  <c r="F36" i="19"/>
  <c r="F45" i="19"/>
  <c r="G45" i="19" s="1"/>
  <c r="F15" i="19"/>
  <c r="F28" i="19"/>
  <c r="F16" i="19"/>
  <c r="F23" i="19"/>
  <c r="F11" i="19"/>
  <c r="G16" i="126"/>
  <c r="I16" i="126"/>
  <c r="I35" i="126"/>
  <c r="G35" i="126"/>
  <c r="F37" i="267"/>
  <c r="F42" i="267"/>
  <c r="F35" i="267"/>
  <c r="F28" i="267"/>
  <c r="F29" i="267"/>
  <c r="F30" i="267"/>
  <c r="F14" i="267"/>
  <c r="F13" i="267"/>
  <c r="F17" i="267"/>
  <c r="F36" i="267"/>
  <c r="F23" i="267"/>
  <c r="F10" i="267"/>
  <c r="F18" i="267"/>
  <c r="F21" i="267"/>
  <c r="F31" i="267"/>
  <c r="F15" i="267"/>
  <c r="F34" i="267"/>
  <c r="F11" i="267"/>
  <c r="F12" i="267"/>
  <c r="F38" i="267"/>
  <c r="F22" i="267"/>
  <c r="F39" i="267"/>
  <c r="F43" i="267"/>
  <c r="F44" i="267"/>
  <c r="F16" i="267"/>
  <c r="F27" i="267"/>
  <c r="F26" i="267"/>
  <c r="F45" i="267"/>
  <c r="G45" i="267" s="1"/>
  <c r="G39" i="88"/>
  <c r="I39" i="88"/>
  <c r="G35" i="88"/>
  <c r="I35" i="88"/>
  <c r="I35" i="65"/>
  <c r="G35" i="65"/>
  <c r="I15" i="255"/>
  <c r="G15" i="255"/>
  <c r="F22" i="78"/>
  <c r="F42" i="78"/>
  <c r="F10" i="78"/>
  <c r="F14" i="78"/>
  <c r="F27" i="78"/>
  <c r="F13" i="78"/>
  <c r="F11" i="78"/>
  <c r="F18" i="78"/>
  <c r="F36" i="78"/>
  <c r="F29" i="78"/>
  <c r="F44" i="78"/>
  <c r="F31" i="78"/>
  <c r="F28" i="78"/>
  <c r="F12" i="78"/>
  <c r="F15" i="78"/>
  <c r="F34" i="78"/>
  <c r="F35" i="78"/>
  <c r="F38" i="78"/>
  <c r="F39" i="78"/>
  <c r="F43" i="78"/>
  <c r="F45" i="78"/>
  <c r="G45" i="78" s="1"/>
  <c r="F37" i="78"/>
  <c r="F23" i="78"/>
  <c r="F26" i="78"/>
  <c r="F30" i="78"/>
  <c r="F21" i="78"/>
  <c r="F17" i="78"/>
  <c r="F16" i="78"/>
  <c r="I27" i="391"/>
  <c r="G27" i="391"/>
  <c r="G39" i="346"/>
  <c r="I34" i="171"/>
  <c r="G34" i="171"/>
  <c r="I35" i="171"/>
  <c r="G35" i="171"/>
  <c r="I38" i="425"/>
  <c r="G38" i="425"/>
  <c r="I43" i="80"/>
  <c r="G43" i="80"/>
  <c r="I18" i="80"/>
  <c r="G18" i="80"/>
  <c r="G44" i="368"/>
  <c r="I44" i="368"/>
  <c r="I12" i="368"/>
  <c r="G12" i="368"/>
  <c r="I30" i="142"/>
  <c r="G30" i="142"/>
  <c r="F14" i="262"/>
  <c r="F16" i="262"/>
  <c r="F27" i="262"/>
  <c r="F13" i="262"/>
  <c r="F10" i="262"/>
  <c r="F22" i="262"/>
  <c r="F39" i="262"/>
  <c r="F34" i="262"/>
  <c r="F18" i="262"/>
  <c r="F35" i="262"/>
  <c r="F42" i="262"/>
  <c r="F36" i="262"/>
  <c r="F37" i="262"/>
  <c r="F23" i="262"/>
  <c r="F44" i="262"/>
  <c r="F17" i="262"/>
  <c r="F38" i="262"/>
  <c r="F30" i="262"/>
  <c r="F31" i="262"/>
  <c r="F21" i="262"/>
  <c r="F43" i="262"/>
  <c r="F12" i="262"/>
  <c r="F15" i="262"/>
  <c r="F26" i="262"/>
  <c r="F29" i="262"/>
  <c r="F28" i="262"/>
  <c r="F11" i="262"/>
  <c r="F45" i="262"/>
  <c r="G45" i="262" s="1"/>
  <c r="I29" i="365"/>
  <c r="G29" i="365"/>
  <c r="G42" i="457"/>
  <c r="I42" i="457"/>
  <c r="G39" i="457"/>
  <c r="I39" i="457"/>
  <c r="I43" i="204"/>
  <c r="G43" i="204"/>
  <c r="G39" i="204"/>
  <c r="I39" i="204"/>
  <c r="G23" i="176"/>
  <c r="I23" i="176"/>
  <c r="I30" i="121"/>
  <c r="G30" i="121"/>
  <c r="I10" i="305"/>
  <c r="G10" i="305"/>
  <c r="F16" i="181"/>
  <c r="F45" i="181"/>
  <c r="G45" i="181" s="1"/>
  <c r="F15" i="181"/>
  <c r="F31" i="181"/>
  <c r="F27" i="181"/>
  <c r="F43" i="181"/>
  <c r="F14" i="181"/>
  <c r="F39" i="181"/>
  <c r="F11" i="181"/>
  <c r="F36" i="181"/>
  <c r="F10" i="181"/>
  <c r="F30" i="181"/>
  <c r="F18" i="181"/>
  <c r="F21" i="181"/>
  <c r="F37" i="181"/>
  <c r="F17" i="181"/>
  <c r="F13" i="181"/>
  <c r="F38" i="181"/>
  <c r="F22" i="181"/>
  <c r="F29" i="181"/>
  <c r="F23" i="181"/>
  <c r="F42" i="181"/>
  <c r="F34" i="181"/>
  <c r="F26" i="181"/>
  <c r="F35" i="181"/>
  <c r="F44" i="181"/>
  <c r="F12" i="181"/>
  <c r="F28" i="181"/>
  <c r="I15" i="391"/>
  <c r="G15" i="391"/>
  <c r="I51" i="308"/>
  <c r="G6" i="308"/>
  <c r="F50" i="308"/>
  <c r="G5" i="308"/>
  <c r="A54" i="308"/>
  <c r="I19" i="475"/>
  <c r="F19" i="475" s="1"/>
  <c r="G19" i="475" s="1"/>
  <c r="I46" i="475"/>
  <c r="F46" i="475" s="1"/>
  <c r="G46" i="475" s="1"/>
  <c r="I27" i="316"/>
  <c r="G27" i="316"/>
  <c r="I15" i="443"/>
  <c r="G15" i="443"/>
  <c r="G39" i="176"/>
  <c r="I39" i="176"/>
  <c r="G11" i="318"/>
  <c r="I11" i="318"/>
  <c r="G22" i="318"/>
  <c r="I22" i="318"/>
  <c r="G17" i="426"/>
  <c r="I17" i="426"/>
  <c r="I30" i="426"/>
  <c r="G30" i="426"/>
  <c r="I37" i="215"/>
  <c r="G37" i="215"/>
  <c r="I12" i="121"/>
  <c r="G12" i="121"/>
  <c r="I17" i="259"/>
  <c r="G17" i="259"/>
  <c r="I16" i="428"/>
  <c r="G16" i="428"/>
  <c r="G23" i="322"/>
  <c r="I23" i="322"/>
  <c r="I28" i="322"/>
  <c r="G28" i="322"/>
  <c r="I37" i="154"/>
  <c r="G37" i="154"/>
  <c r="I31" i="154"/>
  <c r="G31" i="154"/>
  <c r="G42" i="305"/>
  <c r="I42" i="305"/>
  <c r="I40" i="188"/>
  <c r="F40" i="188" s="1"/>
  <c r="G40" i="188" s="1"/>
  <c r="F44" i="31"/>
  <c r="F22" i="31"/>
  <c r="F16" i="31"/>
  <c r="F38" i="31"/>
  <c r="F27" i="31"/>
  <c r="F11" i="31"/>
  <c r="F37" i="31"/>
  <c r="F30" i="31"/>
  <c r="F36" i="31"/>
  <c r="F10" i="31"/>
  <c r="F18" i="31"/>
  <c r="F39" i="31"/>
  <c r="F12" i="31"/>
  <c r="F29" i="31"/>
  <c r="F21" i="31"/>
  <c r="F45" i="31"/>
  <c r="G45" i="31" s="1"/>
  <c r="F31" i="31"/>
  <c r="F14" i="31"/>
  <c r="F35" i="31"/>
  <c r="F43" i="31"/>
  <c r="F26" i="31"/>
  <c r="F15" i="31"/>
  <c r="F17" i="31"/>
  <c r="F42" i="31"/>
  <c r="F23" i="31"/>
  <c r="F34" i="31"/>
  <c r="F13" i="31"/>
  <c r="F28" i="31"/>
  <c r="F30" i="430"/>
  <c r="F21" i="430"/>
  <c r="F31" i="430"/>
  <c r="F22" i="430"/>
  <c r="F34" i="430"/>
  <c r="F23" i="430"/>
  <c r="F13" i="430"/>
  <c r="F26" i="430"/>
  <c r="F35" i="430"/>
  <c r="F44" i="430"/>
  <c r="F14" i="430"/>
  <c r="F43" i="430"/>
  <c r="F36" i="430"/>
  <c r="F27" i="430"/>
  <c r="F15" i="430"/>
  <c r="F42" i="430"/>
  <c r="F37" i="430"/>
  <c r="F11" i="430"/>
  <c r="F16" i="430"/>
  <c r="F12" i="430"/>
  <c r="F38" i="430"/>
  <c r="F10" i="430"/>
  <c r="F17" i="430"/>
  <c r="F39" i="430"/>
  <c r="F45" i="430"/>
  <c r="G45" i="430" s="1"/>
  <c r="F28" i="430"/>
  <c r="F18" i="430"/>
  <c r="F29" i="430"/>
  <c r="I36" i="350"/>
  <c r="G36" i="350"/>
  <c r="I14" i="350"/>
  <c r="G14" i="350"/>
  <c r="I31" i="234"/>
  <c r="G31" i="234"/>
  <c r="G18" i="287"/>
  <c r="I18" i="287"/>
  <c r="G14" i="287"/>
  <c r="I14" i="287"/>
  <c r="I12" i="380"/>
  <c r="G12" i="380"/>
  <c r="G23" i="380"/>
  <c r="I23" i="380"/>
  <c r="G13" i="21"/>
  <c r="I13" i="21"/>
  <c r="F43" i="75"/>
  <c r="F26" i="75"/>
  <c r="F36" i="75"/>
  <c r="F29" i="75"/>
  <c r="F10" i="75"/>
  <c r="F17" i="75"/>
  <c r="F14" i="75"/>
  <c r="F44" i="75"/>
  <c r="F31" i="75"/>
  <c r="F27" i="75"/>
  <c r="F23" i="75"/>
  <c r="F34" i="75"/>
  <c r="F15" i="75"/>
  <c r="F37" i="75"/>
  <c r="F39" i="75"/>
  <c r="F45" i="75"/>
  <c r="G45" i="75" s="1"/>
  <c r="F38" i="75"/>
  <c r="F28" i="75"/>
  <c r="F21" i="75"/>
  <c r="F22" i="75"/>
  <c r="F12" i="75"/>
  <c r="F42" i="75"/>
  <c r="F16" i="75"/>
  <c r="F13" i="75"/>
  <c r="F11" i="75"/>
  <c r="F18" i="75"/>
  <c r="F35" i="75"/>
  <c r="F30" i="75"/>
  <c r="H32" i="477"/>
  <c r="C32" i="477" s="1"/>
  <c r="C48" i="477" s="1"/>
  <c r="I30" i="224"/>
  <c r="G30" i="224"/>
  <c r="I10" i="224"/>
  <c r="G10" i="224"/>
  <c r="I43" i="335"/>
  <c r="G43" i="335"/>
  <c r="I36" i="431"/>
  <c r="G36" i="431"/>
  <c r="G44" i="431"/>
  <c r="I44" i="431"/>
  <c r="I31" i="211"/>
  <c r="G31" i="211"/>
  <c r="I35" i="211"/>
  <c r="G35" i="211"/>
  <c r="G17" i="166"/>
  <c r="I17" i="166"/>
  <c r="G11" i="166"/>
  <c r="I11" i="166"/>
  <c r="G13" i="376"/>
  <c r="I13" i="376"/>
  <c r="I14" i="376"/>
  <c r="G14" i="376"/>
  <c r="I36" i="371"/>
  <c r="G36" i="371"/>
  <c r="E48" i="468"/>
  <c r="G11" i="225"/>
  <c r="I11" i="225"/>
  <c r="I28" i="300"/>
  <c r="G28" i="300"/>
  <c r="F38" i="415"/>
  <c r="F15" i="415"/>
  <c r="F17" i="415"/>
  <c r="F42" i="415"/>
  <c r="F39" i="415"/>
  <c r="F16" i="415"/>
  <c r="F12" i="415"/>
  <c r="F18" i="415"/>
  <c r="F30" i="415"/>
  <c r="F21" i="415"/>
  <c r="F31" i="415"/>
  <c r="F45" i="415"/>
  <c r="G45" i="415" s="1"/>
  <c r="F10" i="415"/>
  <c r="F13" i="415"/>
  <c r="F27" i="415"/>
  <c r="F37" i="415"/>
  <c r="F28" i="415"/>
  <c r="F43" i="415"/>
  <c r="F29" i="415"/>
  <c r="F22" i="415"/>
  <c r="F23" i="415"/>
  <c r="F26" i="415"/>
  <c r="F34" i="415"/>
  <c r="F35" i="415"/>
  <c r="F36" i="415"/>
  <c r="F11" i="415"/>
  <c r="F14" i="415"/>
  <c r="F44" i="415"/>
  <c r="I14" i="409"/>
  <c r="G14" i="409"/>
  <c r="I17" i="362"/>
  <c r="G17" i="362"/>
  <c r="G21" i="165"/>
  <c r="I21" i="165"/>
  <c r="F34" i="91"/>
  <c r="F11" i="91"/>
  <c r="F30" i="91"/>
  <c r="F23" i="91"/>
  <c r="F43" i="91"/>
  <c r="F45" i="91"/>
  <c r="G45" i="91" s="1"/>
  <c r="F38" i="91"/>
  <c r="F44" i="91"/>
  <c r="F12" i="91"/>
  <c r="F42" i="91"/>
  <c r="F36" i="91"/>
  <c r="F13" i="91"/>
  <c r="F17" i="91"/>
  <c r="F10" i="91"/>
  <c r="F29" i="91"/>
  <c r="F39" i="91"/>
  <c r="F31" i="91"/>
  <c r="F15" i="91"/>
  <c r="F22" i="91"/>
  <c r="F16" i="91"/>
  <c r="F27" i="91"/>
  <c r="F35" i="91"/>
  <c r="F26" i="91"/>
  <c r="F37" i="91"/>
  <c r="F28" i="91"/>
  <c r="F21" i="91"/>
  <c r="F18" i="91"/>
  <c r="F14" i="91"/>
  <c r="I12" i="145"/>
  <c r="G12" i="145"/>
  <c r="I28" i="145"/>
  <c r="G28" i="145"/>
  <c r="G31" i="228"/>
  <c r="I31" i="228"/>
  <c r="I10" i="228"/>
  <c r="G10" i="228"/>
  <c r="G13" i="248"/>
  <c r="I13" i="248"/>
  <c r="G10" i="126"/>
  <c r="I10" i="126"/>
  <c r="F17" i="14"/>
  <c r="F14" i="14"/>
  <c r="F11" i="14"/>
  <c r="F21" i="14"/>
  <c r="F12" i="14"/>
  <c r="F23" i="14"/>
  <c r="F16" i="14"/>
  <c r="F45" i="14"/>
  <c r="G45" i="14" s="1"/>
  <c r="F22" i="14"/>
  <c r="F31" i="14"/>
  <c r="F34" i="14"/>
  <c r="F30" i="14"/>
  <c r="F35" i="14"/>
  <c r="F29" i="14"/>
  <c r="F43" i="14"/>
  <c r="F42" i="14"/>
  <c r="F37" i="14"/>
  <c r="F39" i="14"/>
  <c r="F13" i="14"/>
  <c r="F27" i="14"/>
  <c r="F18" i="14"/>
  <c r="F36" i="14"/>
  <c r="F10" i="14"/>
  <c r="F15" i="14"/>
  <c r="F28" i="14"/>
  <c r="F26" i="14"/>
  <c r="F44" i="14"/>
  <c r="F38" i="14"/>
  <c r="I29" i="88"/>
  <c r="G29" i="88"/>
  <c r="I12" i="88"/>
  <c r="G12" i="88"/>
  <c r="G22" i="65"/>
  <c r="I22" i="65"/>
  <c r="G18" i="255"/>
  <c r="I18" i="255"/>
  <c r="I44" i="255"/>
  <c r="G44" i="255"/>
  <c r="I31" i="391"/>
  <c r="G31" i="391"/>
  <c r="G43" i="346"/>
  <c r="I43" i="346"/>
  <c r="G11" i="346"/>
  <c r="I11" i="346"/>
  <c r="G42" i="171"/>
  <c r="I42" i="171"/>
  <c r="G36" i="171"/>
  <c r="I36" i="171"/>
  <c r="F34" i="61"/>
  <c r="F22" i="61"/>
  <c r="F43" i="61"/>
  <c r="F27" i="61"/>
  <c r="F12" i="61"/>
  <c r="F36" i="61"/>
  <c r="F16" i="61"/>
  <c r="F17" i="61"/>
  <c r="F37" i="61"/>
  <c r="F18" i="61"/>
  <c r="F10" i="61"/>
  <c r="F39" i="61"/>
  <c r="F45" i="61"/>
  <c r="G45" i="61" s="1"/>
  <c r="F42" i="61"/>
  <c r="F26" i="61"/>
  <c r="F11" i="61"/>
  <c r="F28" i="61"/>
  <c r="F35" i="61"/>
  <c r="F21" i="61"/>
  <c r="F31" i="61"/>
  <c r="F13" i="61"/>
  <c r="F30" i="61"/>
  <c r="F38" i="61"/>
  <c r="F44" i="61"/>
  <c r="F15" i="61"/>
  <c r="F14" i="61"/>
  <c r="F23" i="61"/>
  <c r="F29" i="61"/>
  <c r="E40" i="477"/>
  <c r="I21" i="425"/>
  <c r="G21" i="425"/>
  <c r="G16" i="80"/>
  <c r="I16" i="80"/>
  <c r="G17" i="80"/>
  <c r="I17" i="80"/>
  <c r="I11" i="368"/>
  <c r="G11" i="368"/>
  <c r="I39" i="368"/>
  <c r="G39" i="368"/>
  <c r="G28" i="142"/>
  <c r="I28" i="142"/>
  <c r="E27" i="310"/>
  <c r="E34" i="310"/>
  <c r="E29" i="310"/>
  <c r="E24" i="310"/>
  <c r="E46" i="310"/>
  <c r="A52" i="310" s="1"/>
  <c r="E35" i="310"/>
  <c r="E30" i="310"/>
  <c r="E36" i="310"/>
  <c r="E31" i="310"/>
  <c r="E37" i="310"/>
  <c r="E38" i="310"/>
  <c r="E21" i="310"/>
  <c r="E39" i="310"/>
  <c r="E22" i="310"/>
  <c r="E23" i="310"/>
  <c r="E42" i="310"/>
  <c r="E43" i="310"/>
  <c r="E40" i="310"/>
  <c r="E26" i="310"/>
  <c r="E44" i="310"/>
  <c r="E45" i="310"/>
  <c r="E28" i="310"/>
  <c r="I14" i="365"/>
  <c r="G14" i="365"/>
  <c r="F21" i="434"/>
  <c r="F31" i="434"/>
  <c r="F43" i="434"/>
  <c r="F22" i="434"/>
  <c r="F44" i="434"/>
  <c r="F13" i="434"/>
  <c r="F23" i="434"/>
  <c r="F35" i="434"/>
  <c r="F45" i="434"/>
  <c r="G45" i="434" s="1"/>
  <c r="F14" i="434"/>
  <c r="F36" i="434"/>
  <c r="F26" i="434"/>
  <c r="F15" i="434"/>
  <c r="F27" i="434"/>
  <c r="F37" i="434"/>
  <c r="F10" i="434"/>
  <c r="F16" i="434"/>
  <c r="F11" i="434"/>
  <c r="F38" i="434"/>
  <c r="F12" i="434"/>
  <c r="F17" i="434"/>
  <c r="F28" i="434"/>
  <c r="F39" i="434"/>
  <c r="F34" i="434"/>
  <c r="F18" i="434"/>
  <c r="F29" i="434"/>
  <c r="F42" i="434"/>
  <c r="F30" i="434"/>
  <c r="G22" i="457"/>
  <c r="I22" i="457"/>
  <c r="I11" i="457"/>
  <c r="G11" i="457"/>
  <c r="G36" i="204"/>
  <c r="I36" i="204"/>
  <c r="I42" i="204"/>
  <c r="I46" i="204" s="1"/>
  <c r="F46" i="204" s="1"/>
  <c r="G46" i="204" s="1"/>
  <c r="G42" i="204"/>
  <c r="I29" i="287"/>
  <c r="G29" i="287"/>
  <c r="G17" i="431"/>
  <c r="I17" i="431"/>
  <c r="G42" i="228"/>
  <c r="I42" i="228"/>
  <c r="G31" i="126"/>
  <c r="I31" i="126"/>
  <c r="I14" i="316"/>
  <c r="G14" i="316"/>
  <c r="G28" i="316"/>
  <c r="I28" i="316"/>
  <c r="F22" i="53"/>
  <c r="F39" i="53"/>
  <c r="F15" i="53"/>
  <c r="F29" i="53"/>
  <c r="F26" i="53"/>
  <c r="F27" i="53"/>
  <c r="F43" i="53"/>
  <c r="F42" i="53"/>
  <c r="F35" i="53"/>
  <c r="F14" i="53"/>
  <c r="F30" i="53"/>
  <c r="F16" i="53"/>
  <c r="F10" i="53"/>
  <c r="F21" i="53"/>
  <c r="F45" i="53"/>
  <c r="G45" i="53" s="1"/>
  <c r="F34" i="53"/>
  <c r="F28" i="53"/>
  <c r="F18" i="53"/>
  <c r="F11" i="53"/>
  <c r="F37" i="53"/>
  <c r="F36" i="53"/>
  <c r="F38" i="53"/>
  <c r="F17" i="53"/>
  <c r="F13" i="53"/>
  <c r="F23" i="53"/>
  <c r="F12" i="53"/>
  <c r="F31" i="53"/>
  <c r="F44" i="53"/>
  <c r="G43" i="443"/>
  <c r="I43" i="443"/>
  <c r="I35" i="443"/>
  <c r="G35" i="443"/>
  <c r="G14" i="318"/>
  <c r="I14" i="318"/>
  <c r="G29" i="318"/>
  <c r="I29" i="318"/>
  <c r="F43" i="92"/>
  <c r="F29" i="92"/>
  <c r="F23" i="92"/>
  <c r="F18" i="92"/>
  <c r="F21" i="92"/>
  <c r="F42" i="92"/>
  <c r="F44" i="92"/>
  <c r="F22" i="92"/>
  <c r="F35" i="92"/>
  <c r="F45" i="92"/>
  <c r="G45" i="92" s="1"/>
  <c r="F37" i="92"/>
  <c r="F11" i="92"/>
  <c r="F10" i="92"/>
  <c r="F38" i="92"/>
  <c r="F34" i="92"/>
  <c r="F26" i="92"/>
  <c r="F36" i="92"/>
  <c r="F27" i="92"/>
  <c r="F13" i="92"/>
  <c r="F28" i="92"/>
  <c r="F39" i="92"/>
  <c r="F15" i="92"/>
  <c r="F12" i="92"/>
  <c r="F17" i="92"/>
  <c r="F30" i="92"/>
  <c r="F14" i="92"/>
  <c r="F16" i="92"/>
  <c r="F31" i="92"/>
  <c r="I37" i="426"/>
  <c r="G37" i="426"/>
  <c r="G12" i="426"/>
  <c r="I12" i="426"/>
  <c r="I36" i="215"/>
  <c r="G36" i="215"/>
  <c r="G42" i="121"/>
  <c r="I42" i="121"/>
  <c r="G14" i="259"/>
  <c r="I14" i="259"/>
  <c r="I10" i="259"/>
  <c r="G10" i="259"/>
  <c r="G10" i="428"/>
  <c r="I10" i="428"/>
  <c r="I21" i="322"/>
  <c r="G21" i="322"/>
  <c r="G43" i="322"/>
  <c r="I43" i="322"/>
  <c r="I44" i="154"/>
  <c r="G44" i="154"/>
  <c r="I36" i="305"/>
  <c r="G36" i="305"/>
  <c r="G10" i="350"/>
  <c r="I10" i="350"/>
  <c r="I12" i="350"/>
  <c r="G12" i="350"/>
  <c r="I36" i="234"/>
  <c r="G36" i="234"/>
  <c r="F42" i="366"/>
  <c r="F45" i="366"/>
  <c r="G45" i="366" s="1"/>
  <c r="F10" i="366"/>
  <c r="F21" i="366"/>
  <c r="F14" i="366"/>
  <c r="F28" i="366"/>
  <c r="F15" i="366"/>
  <c r="F34" i="366"/>
  <c r="F16" i="366"/>
  <c r="F11" i="366"/>
  <c r="F27" i="366"/>
  <c r="F38" i="366"/>
  <c r="F44" i="366"/>
  <c r="F39" i="366"/>
  <c r="F31" i="366"/>
  <c r="F12" i="366"/>
  <c r="F43" i="366"/>
  <c r="F26" i="366"/>
  <c r="F13" i="366"/>
  <c r="F18" i="366"/>
  <c r="F30" i="366"/>
  <c r="F23" i="366"/>
  <c r="F37" i="366"/>
  <c r="F36" i="366"/>
  <c r="F22" i="366"/>
  <c r="F35" i="366"/>
  <c r="F17" i="366"/>
  <c r="F29" i="366"/>
  <c r="I23" i="287"/>
  <c r="G23" i="287"/>
  <c r="G35" i="287"/>
  <c r="I35" i="287"/>
  <c r="G42" i="380"/>
  <c r="I42" i="380"/>
  <c r="I15" i="380"/>
  <c r="G15" i="380"/>
  <c r="F44" i="120"/>
  <c r="F30" i="120"/>
  <c r="F37" i="120"/>
  <c r="F31" i="120"/>
  <c r="F22" i="120"/>
  <c r="F42" i="120"/>
  <c r="F10" i="120"/>
  <c r="F14" i="120"/>
  <c r="F26" i="120"/>
  <c r="F43" i="120"/>
  <c r="F28" i="120"/>
  <c r="F34" i="120"/>
  <c r="F29" i="120"/>
  <c r="F15" i="120"/>
  <c r="F39" i="120"/>
  <c r="F18" i="120"/>
  <c r="F16" i="120"/>
  <c r="F38" i="120"/>
  <c r="F12" i="120"/>
  <c r="F13" i="120"/>
  <c r="F11" i="120"/>
  <c r="F45" i="120"/>
  <c r="G45" i="120" s="1"/>
  <c r="F23" i="120"/>
  <c r="F27" i="120"/>
  <c r="F21" i="120"/>
  <c r="F17" i="120"/>
  <c r="F36" i="120"/>
  <c r="F35" i="120"/>
  <c r="I10" i="21"/>
  <c r="G10" i="21"/>
  <c r="I37" i="224"/>
  <c r="G37" i="224"/>
  <c r="I15" i="224"/>
  <c r="G15" i="224"/>
  <c r="I15" i="335"/>
  <c r="G15" i="335"/>
  <c r="G30" i="431"/>
  <c r="I30" i="431"/>
  <c r="I42" i="431"/>
  <c r="G42" i="431"/>
  <c r="G36" i="211"/>
  <c r="I36" i="211"/>
  <c r="G12" i="211"/>
  <c r="I12" i="211"/>
  <c r="I31" i="166"/>
  <c r="G31" i="166"/>
  <c r="G18" i="166"/>
  <c r="I18" i="166"/>
  <c r="I28" i="376"/>
  <c r="G28" i="376"/>
  <c r="G29" i="376"/>
  <c r="I29" i="376"/>
  <c r="G30" i="371"/>
  <c r="I30" i="371"/>
  <c r="G43" i="225"/>
  <c r="I43" i="225"/>
  <c r="G13" i="225"/>
  <c r="I13" i="225"/>
  <c r="I22" i="300"/>
  <c r="G22" i="300"/>
  <c r="I22" i="409"/>
  <c r="G22" i="409"/>
  <c r="G35" i="409"/>
  <c r="I35" i="409"/>
  <c r="I43" i="362"/>
  <c r="G43" i="362"/>
  <c r="G34" i="362"/>
  <c r="I34" i="362"/>
  <c r="I35" i="165"/>
  <c r="G35" i="165"/>
  <c r="G30" i="165"/>
  <c r="I30" i="165"/>
  <c r="D48" i="478"/>
  <c r="E32" i="478" s="1"/>
  <c r="I44" i="145"/>
  <c r="G44" i="145"/>
  <c r="G35" i="145"/>
  <c r="I35" i="145"/>
  <c r="I44" i="228"/>
  <c r="G44" i="228"/>
  <c r="I14" i="248"/>
  <c r="G14" i="248"/>
  <c r="G29" i="126"/>
  <c r="I29" i="126"/>
  <c r="I27" i="88"/>
  <c r="G27" i="88"/>
  <c r="G31" i="88"/>
  <c r="I31" i="88"/>
  <c r="I34" i="65"/>
  <c r="G34" i="65"/>
  <c r="I30" i="65"/>
  <c r="G30" i="65"/>
  <c r="G38" i="255"/>
  <c r="I38" i="255"/>
  <c r="I21" i="255"/>
  <c r="G21" i="255"/>
  <c r="I23" i="391"/>
  <c r="G23" i="391"/>
  <c r="I42" i="346"/>
  <c r="G42" i="346"/>
  <c r="I22" i="346"/>
  <c r="G22" i="346"/>
  <c r="I38" i="171"/>
  <c r="G38" i="171"/>
  <c r="I39" i="171"/>
  <c r="G39" i="171"/>
  <c r="G10" i="425"/>
  <c r="I10" i="425"/>
  <c r="G30" i="80"/>
  <c r="I30" i="80"/>
  <c r="I34" i="368"/>
  <c r="G34" i="368"/>
  <c r="I37" i="368"/>
  <c r="G37" i="368"/>
  <c r="I10" i="142"/>
  <c r="G10" i="142"/>
  <c r="I39" i="142"/>
  <c r="G39" i="142"/>
  <c r="F42" i="39"/>
  <c r="F10" i="39"/>
  <c r="F14" i="39"/>
  <c r="F45" i="39"/>
  <c r="G45" i="39" s="1"/>
  <c r="F16" i="39"/>
  <c r="F28" i="39"/>
  <c r="F34" i="39"/>
  <c r="F39" i="39"/>
  <c r="F35" i="39"/>
  <c r="F26" i="39"/>
  <c r="F27" i="39"/>
  <c r="F15" i="39"/>
  <c r="F12" i="39"/>
  <c r="F17" i="39"/>
  <c r="F23" i="39"/>
  <c r="F38" i="39"/>
  <c r="F22" i="39"/>
  <c r="F44" i="39"/>
  <c r="F30" i="39"/>
  <c r="F18" i="39"/>
  <c r="F13" i="39"/>
  <c r="F31" i="39"/>
  <c r="F36" i="39"/>
  <c r="F43" i="39"/>
  <c r="F37" i="39"/>
  <c r="F11" i="39"/>
  <c r="F29" i="39"/>
  <c r="F21" i="39"/>
  <c r="F10" i="418"/>
  <c r="F11" i="418"/>
  <c r="F17" i="418"/>
  <c r="F38" i="418"/>
  <c r="F39" i="418"/>
  <c r="F13" i="418"/>
  <c r="F26" i="418"/>
  <c r="F42" i="418"/>
  <c r="F12" i="418"/>
  <c r="F43" i="418"/>
  <c r="F34" i="418"/>
  <c r="F15" i="418"/>
  <c r="F23" i="418"/>
  <c r="F44" i="418"/>
  <c r="F31" i="418"/>
  <c r="F18" i="418"/>
  <c r="F37" i="418"/>
  <c r="F21" i="418"/>
  <c r="F35" i="418"/>
  <c r="F22" i="418"/>
  <c r="F36" i="418"/>
  <c r="F14" i="418"/>
  <c r="F16" i="418"/>
  <c r="F45" i="418"/>
  <c r="G45" i="418" s="1"/>
  <c r="F29" i="418"/>
  <c r="F27" i="418"/>
  <c r="F28" i="418"/>
  <c r="F30" i="418"/>
  <c r="I13" i="365"/>
  <c r="G13" i="365"/>
  <c r="E32" i="158"/>
  <c r="E23" i="158"/>
  <c r="E36" i="158"/>
  <c r="E39" i="158"/>
  <c r="E26" i="158"/>
  <c r="E31" i="158"/>
  <c r="E46" i="158"/>
  <c r="A52" i="158" s="1"/>
  <c r="E37" i="158"/>
  <c r="E34" i="158"/>
  <c r="E38" i="158"/>
  <c r="E35" i="158"/>
  <c r="E24" i="158"/>
  <c r="E27" i="158"/>
  <c r="E44" i="158"/>
  <c r="E45" i="158"/>
  <c r="E43" i="158"/>
  <c r="E28" i="158"/>
  <c r="E29" i="158"/>
  <c r="E30" i="158"/>
  <c r="E21" i="158"/>
  <c r="E22" i="158"/>
  <c r="E42" i="158"/>
  <c r="I31" i="457"/>
  <c r="G31" i="457"/>
  <c r="I16" i="457"/>
  <c r="G16" i="457"/>
  <c r="I28" i="204"/>
  <c r="G28" i="204"/>
  <c r="G30" i="204"/>
  <c r="I30" i="204"/>
  <c r="I39" i="316"/>
  <c r="G39" i="316"/>
  <c r="I26" i="176"/>
  <c r="G26" i="176"/>
  <c r="G29" i="426"/>
  <c r="I29" i="426"/>
  <c r="I21" i="305"/>
  <c r="G21" i="305"/>
  <c r="I13" i="380"/>
  <c r="G13" i="380"/>
  <c r="G35" i="224"/>
  <c r="I35" i="224"/>
  <c r="G10" i="166"/>
  <c r="I10" i="166"/>
  <c r="I32" i="474"/>
  <c r="F32" i="474" s="1"/>
  <c r="G32" i="474" s="1"/>
  <c r="I36" i="316"/>
  <c r="G36" i="316"/>
  <c r="I26" i="316"/>
  <c r="G26" i="316"/>
  <c r="G30" i="443"/>
  <c r="I30" i="443"/>
  <c r="I36" i="443"/>
  <c r="G36" i="443"/>
  <c r="I38" i="176"/>
  <c r="G38" i="176"/>
  <c r="I44" i="318"/>
  <c r="G44" i="318"/>
  <c r="E48" i="463"/>
  <c r="G15" i="426"/>
  <c r="I15" i="426"/>
  <c r="I10" i="426"/>
  <c r="G10" i="426"/>
  <c r="G39" i="215"/>
  <c r="I39" i="215"/>
  <c r="I37" i="121"/>
  <c r="G37" i="121"/>
  <c r="G27" i="259"/>
  <c r="I27" i="259"/>
  <c r="G29" i="259"/>
  <c r="I29" i="259"/>
  <c r="F18" i="38"/>
  <c r="F28" i="38"/>
  <c r="F10" i="38"/>
  <c r="F23" i="38"/>
  <c r="F12" i="38"/>
  <c r="F42" i="38"/>
  <c r="F27" i="38"/>
  <c r="F35" i="38"/>
  <c r="F14" i="38"/>
  <c r="F36" i="38"/>
  <c r="F37" i="38"/>
  <c r="F13" i="38"/>
  <c r="F44" i="38"/>
  <c r="F26" i="38"/>
  <c r="F11" i="38"/>
  <c r="F22" i="38"/>
  <c r="F38" i="38"/>
  <c r="F34" i="38"/>
  <c r="F29" i="38"/>
  <c r="F17" i="38"/>
  <c r="F30" i="38"/>
  <c r="F45" i="38"/>
  <c r="G45" i="38" s="1"/>
  <c r="F31" i="38"/>
  <c r="F16" i="38"/>
  <c r="F39" i="38"/>
  <c r="F43" i="38"/>
  <c r="F15" i="38"/>
  <c r="F21" i="38"/>
  <c r="I37" i="428"/>
  <c r="G37" i="428"/>
  <c r="I27" i="322"/>
  <c r="G27" i="322"/>
  <c r="I39" i="322"/>
  <c r="G39" i="322"/>
  <c r="I15" i="154"/>
  <c r="G15" i="154"/>
  <c r="I13" i="305"/>
  <c r="G13" i="305"/>
  <c r="F17" i="451"/>
  <c r="F31" i="451"/>
  <c r="F39" i="451"/>
  <c r="F34" i="451"/>
  <c r="F22" i="451"/>
  <c r="F12" i="451"/>
  <c r="F44" i="451"/>
  <c r="F13" i="451"/>
  <c r="F23" i="451"/>
  <c r="F14" i="451"/>
  <c r="F45" i="451"/>
  <c r="G45" i="451" s="1"/>
  <c r="F16" i="451"/>
  <c r="F26" i="451"/>
  <c r="F27" i="451"/>
  <c r="F28" i="451"/>
  <c r="F29" i="451"/>
  <c r="F30" i="451"/>
  <c r="F35" i="451"/>
  <c r="F38" i="451"/>
  <c r="F36" i="451"/>
  <c r="F18" i="451"/>
  <c r="F37" i="451"/>
  <c r="F42" i="451"/>
  <c r="F15" i="451"/>
  <c r="F21" i="451"/>
  <c r="F10" i="451"/>
  <c r="F43" i="451"/>
  <c r="F11" i="451"/>
  <c r="I16" i="350"/>
  <c r="G16" i="350"/>
  <c r="I42" i="350"/>
  <c r="I46" i="350" s="1"/>
  <c r="F46" i="350" s="1"/>
  <c r="G46" i="350" s="1"/>
  <c r="G42" i="350"/>
  <c r="G15" i="234"/>
  <c r="I15" i="234"/>
  <c r="I16" i="234"/>
  <c r="G16" i="234"/>
  <c r="I22" i="287"/>
  <c r="G22" i="287"/>
  <c r="I34" i="287"/>
  <c r="G34" i="287"/>
  <c r="I11" i="380"/>
  <c r="G11" i="380"/>
  <c r="I44" i="380"/>
  <c r="G44" i="380"/>
  <c r="I38" i="21"/>
  <c r="G38" i="21"/>
  <c r="G44" i="21"/>
  <c r="I44" i="21"/>
  <c r="G17" i="224"/>
  <c r="I17" i="224"/>
  <c r="I11" i="335"/>
  <c r="G11" i="335"/>
  <c r="G30" i="335"/>
  <c r="I30" i="335"/>
  <c r="I14" i="431"/>
  <c r="G14" i="431"/>
  <c r="I18" i="431"/>
  <c r="G18" i="431"/>
  <c r="G13" i="211"/>
  <c r="I13" i="211"/>
  <c r="I22" i="211"/>
  <c r="G22" i="211"/>
  <c r="I43" i="166"/>
  <c r="G43" i="166"/>
  <c r="I36" i="166"/>
  <c r="G36" i="166"/>
  <c r="G39" i="376"/>
  <c r="I39" i="376"/>
  <c r="G42" i="376"/>
  <c r="I42" i="376"/>
  <c r="G44" i="371"/>
  <c r="I44" i="371"/>
  <c r="I19" i="188"/>
  <c r="F19" i="188" s="1"/>
  <c r="G19" i="188" s="1"/>
  <c r="J50" i="203"/>
  <c r="E50" i="203"/>
  <c r="G15" i="225"/>
  <c r="I15" i="225"/>
  <c r="I29" i="225"/>
  <c r="G29" i="225"/>
  <c r="I17" i="300"/>
  <c r="G17" i="300"/>
  <c r="F18" i="16"/>
  <c r="F43" i="16"/>
  <c r="F38" i="16"/>
  <c r="F15" i="16"/>
  <c r="F30" i="16"/>
  <c r="F21" i="16"/>
  <c r="F42" i="16"/>
  <c r="F39" i="16"/>
  <c r="F35" i="16"/>
  <c r="F44" i="16"/>
  <c r="F31" i="16"/>
  <c r="F28" i="16"/>
  <c r="F37" i="16"/>
  <c r="F23" i="16"/>
  <c r="F10" i="16"/>
  <c r="F16" i="16"/>
  <c r="F13" i="16"/>
  <c r="F34" i="16"/>
  <c r="F11" i="16"/>
  <c r="F12" i="16"/>
  <c r="F27" i="16"/>
  <c r="F26" i="16"/>
  <c r="F17" i="16"/>
  <c r="F29" i="16"/>
  <c r="F36" i="16"/>
  <c r="F45" i="16"/>
  <c r="G45" i="16" s="1"/>
  <c r="F14" i="16"/>
  <c r="F22" i="16"/>
  <c r="G43" i="409"/>
  <c r="I43" i="409"/>
  <c r="I23" i="409"/>
  <c r="G23" i="409"/>
  <c r="I37" i="362"/>
  <c r="G37" i="362"/>
  <c r="I27" i="362"/>
  <c r="G27" i="362"/>
  <c r="G44" i="165"/>
  <c r="I44" i="165"/>
  <c r="I17" i="165"/>
  <c r="G17" i="165"/>
  <c r="H32" i="478"/>
  <c r="C32" i="478" s="1"/>
  <c r="G11" i="145"/>
  <c r="I11" i="145"/>
  <c r="G13" i="145"/>
  <c r="I13" i="145"/>
  <c r="I18" i="228"/>
  <c r="G18" i="228"/>
  <c r="I39" i="248"/>
  <c r="G39" i="248"/>
  <c r="G16" i="88"/>
  <c r="I16" i="88"/>
  <c r="I14" i="88"/>
  <c r="G14" i="88"/>
  <c r="G27" i="65"/>
  <c r="I27" i="65"/>
  <c r="I26" i="65"/>
  <c r="G26" i="65"/>
  <c r="G10" i="255"/>
  <c r="I10" i="255"/>
  <c r="G26" i="255"/>
  <c r="I26" i="255"/>
  <c r="I11" i="391"/>
  <c r="G11" i="391"/>
  <c r="G21" i="346"/>
  <c r="I21" i="346"/>
  <c r="I21" i="171"/>
  <c r="G21" i="171"/>
  <c r="F28" i="373"/>
  <c r="F30" i="373"/>
  <c r="F36" i="373"/>
  <c r="F14" i="373"/>
  <c r="F37" i="373"/>
  <c r="F27" i="373"/>
  <c r="F38" i="373"/>
  <c r="F10" i="373"/>
  <c r="F26" i="373"/>
  <c r="F29" i="373"/>
  <c r="F13" i="373"/>
  <c r="F12" i="373"/>
  <c r="F35" i="373"/>
  <c r="F39" i="373"/>
  <c r="F15" i="373"/>
  <c r="F21" i="373"/>
  <c r="F43" i="373"/>
  <c r="F22" i="373"/>
  <c r="F45" i="373"/>
  <c r="G45" i="373" s="1"/>
  <c r="F23" i="373"/>
  <c r="F34" i="373"/>
  <c r="F18" i="373"/>
  <c r="F44" i="373"/>
  <c r="F31" i="373"/>
  <c r="F16" i="373"/>
  <c r="F42" i="373"/>
  <c r="F11" i="373"/>
  <c r="F17" i="373"/>
  <c r="F22" i="453"/>
  <c r="F43" i="453"/>
  <c r="F12" i="453"/>
  <c r="F13" i="453"/>
  <c r="F30" i="453"/>
  <c r="F26" i="453"/>
  <c r="F16" i="453"/>
  <c r="F44" i="453"/>
  <c r="F31" i="453"/>
  <c r="F34" i="453"/>
  <c r="F42" i="453"/>
  <c r="F39" i="453"/>
  <c r="F14" i="453"/>
  <c r="F23" i="453"/>
  <c r="F38" i="453"/>
  <c r="F27" i="453"/>
  <c r="F28" i="453"/>
  <c r="F45" i="453"/>
  <c r="G45" i="453" s="1"/>
  <c r="F36" i="453"/>
  <c r="F37" i="453"/>
  <c r="F21" i="453"/>
  <c r="F10" i="453"/>
  <c r="F17" i="453"/>
  <c r="F11" i="453"/>
  <c r="F15" i="453"/>
  <c r="F18" i="453"/>
  <c r="F35" i="453"/>
  <c r="F29" i="453"/>
  <c r="G12" i="425"/>
  <c r="I12" i="425"/>
  <c r="I39" i="425"/>
  <c r="G39" i="425"/>
  <c r="I13" i="80"/>
  <c r="G13" i="80"/>
  <c r="I27" i="80"/>
  <c r="G27" i="80"/>
  <c r="I13" i="368"/>
  <c r="G13" i="368"/>
  <c r="I12" i="142"/>
  <c r="G12" i="142"/>
  <c r="I27" i="142"/>
  <c r="G27" i="142"/>
  <c r="G17" i="365"/>
  <c r="I17" i="365"/>
  <c r="E50" i="158"/>
  <c r="J50" i="158"/>
  <c r="F38" i="400"/>
  <c r="F17" i="400"/>
  <c r="F29" i="400"/>
  <c r="F37" i="400"/>
  <c r="F12" i="400"/>
  <c r="F36" i="400"/>
  <c r="F30" i="400"/>
  <c r="F21" i="400"/>
  <c r="F13" i="400"/>
  <c r="F15" i="400"/>
  <c r="F42" i="400"/>
  <c r="F14" i="400"/>
  <c r="F18" i="400"/>
  <c r="F23" i="400"/>
  <c r="F27" i="400"/>
  <c r="F44" i="400"/>
  <c r="F43" i="400"/>
  <c r="F34" i="400"/>
  <c r="F16" i="400"/>
  <c r="F31" i="400"/>
  <c r="F26" i="400"/>
  <c r="F28" i="400"/>
  <c r="F11" i="400"/>
  <c r="F35" i="400"/>
  <c r="F45" i="400"/>
  <c r="G45" i="400" s="1"/>
  <c r="F10" i="400"/>
  <c r="F22" i="400"/>
  <c r="F39" i="400"/>
  <c r="G38" i="457"/>
  <c r="I38" i="457"/>
  <c r="I15" i="457"/>
  <c r="G15" i="457"/>
  <c r="I17" i="204"/>
  <c r="G17" i="204"/>
  <c r="I31" i="204"/>
  <c r="G31" i="204"/>
  <c r="I31" i="443"/>
  <c r="G31" i="443"/>
  <c r="I38" i="335"/>
  <c r="G38" i="335"/>
  <c r="G17" i="371"/>
  <c r="I17" i="371"/>
  <c r="F43" i="117"/>
  <c r="F42" i="117"/>
  <c r="F18" i="117"/>
  <c r="F34" i="117"/>
  <c r="F14" i="117"/>
  <c r="F11" i="117"/>
  <c r="F27" i="117"/>
  <c r="F44" i="117"/>
  <c r="F21" i="117"/>
  <c r="F36" i="117"/>
  <c r="F15" i="117"/>
  <c r="F16" i="117"/>
  <c r="F13" i="117"/>
  <c r="F35" i="117"/>
  <c r="F22" i="117"/>
  <c r="F31" i="117"/>
  <c r="F45" i="117"/>
  <c r="G45" i="117" s="1"/>
  <c r="F28" i="117"/>
  <c r="F10" i="117"/>
  <c r="F26" i="117"/>
  <c r="F38" i="117"/>
  <c r="F17" i="117"/>
  <c r="F30" i="117"/>
  <c r="F37" i="117"/>
  <c r="F29" i="117"/>
  <c r="F23" i="117"/>
  <c r="F39" i="117"/>
  <c r="F12" i="117"/>
  <c r="G39" i="126"/>
  <c r="I39" i="126"/>
  <c r="G29" i="457"/>
  <c r="I29" i="457"/>
  <c r="G21" i="316"/>
  <c r="I21" i="316"/>
  <c r="I31" i="316"/>
  <c r="G31" i="316"/>
  <c r="I42" i="443"/>
  <c r="G42" i="443"/>
  <c r="I13" i="443"/>
  <c r="G13" i="443"/>
  <c r="G34" i="176"/>
  <c r="I34" i="176"/>
  <c r="G31" i="176"/>
  <c r="I31" i="176"/>
  <c r="I37" i="318"/>
  <c r="G37" i="318"/>
  <c r="G26" i="215"/>
  <c r="I26" i="215"/>
  <c r="G10" i="215"/>
  <c r="I10" i="215"/>
  <c r="I22" i="121"/>
  <c r="G22" i="121"/>
  <c r="I31" i="121"/>
  <c r="G31" i="121"/>
  <c r="I34" i="259"/>
  <c r="G34" i="259"/>
  <c r="I31" i="259"/>
  <c r="G31" i="259"/>
  <c r="G28" i="428"/>
  <c r="I36" i="428"/>
  <c r="G36" i="428"/>
  <c r="I17" i="322"/>
  <c r="I30" i="322"/>
  <c r="G30" i="322"/>
  <c r="I18" i="154"/>
  <c r="G18" i="154"/>
  <c r="I44" i="305"/>
  <c r="G44" i="305"/>
  <c r="G23" i="305"/>
  <c r="I23" i="305"/>
  <c r="F29" i="60"/>
  <c r="F38" i="60"/>
  <c r="F30" i="60"/>
  <c r="F36" i="60"/>
  <c r="F31" i="60"/>
  <c r="F44" i="60"/>
  <c r="F12" i="60"/>
  <c r="F13" i="60"/>
  <c r="F39" i="60"/>
  <c r="F23" i="60"/>
  <c r="F42" i="60"/>
  <c r="F34" i="60"/>
  <c r="F18" i="60"/>
  <c r="F15" i="60"/>
  <c r="F21" i="60"/>
  <c r="F17" i="60"/>
  <c r="F27" i="60"/>
  <c r="F43" i="60"/>
  <c r="F14" i="60"/>
  <c r="F35" i="60"/>
  <c r="F37" i="60"/>
  <c r="F28" i="60"/>
  <c r="F10" i="60"/>
  <c r="F11" i="60"/>
  <c r="F26" i="60"/>
  <c r="F16" i="60"/>
  <c r="F45" i="60"/>
  <c r="G45" i="60" s="1"/>
  <c r="F22" i="60"/>
  <c r="I27" i="350"/>
  <c r="G27" i="350"/>
  <c r="I30" i="350"/>
  <c r="G30" i="350"/>
  <c r="G30" i="234"/>
  <c r="I30" i="234"/>
  <c r="I28" i="234"/>
  <c r="G28" i="234"/>
  <c r="G17" i="287"/>
  <c r="I17" i="287"/>
  <c r="G10" i="287"/>
  <c r="I10" i="287"/>
  <c r="G39" i="380"/>
  <c r="I39" i="380"/>
  <c r="G22" i="21"/>
  <c r="I22" i="21"/>
  <c r="I27" i="21"/>
  <c r="G27" i="21"/>
  <c r="I26" i="224"/>
  <c r="G26" i="224"/>
  <c r="I23" i="335"/>
  <c r="G23" i="335"/>
  <c r="G12" i="335"/>
  <c r="I12" i="335"/>
  <c r="I29" i="431"/>
  <c r="G29" i="431"/>
  <c r="I15" i="211"/>
  <c r="G15" i="211"/>
  <c r="I16" i="211"/>
  <c r="G16" i="211"/>
  <c r="I26" i="166"/>
  <c r="G26" i="166"/>
  <c r="I37" i="376"/>
  <c r="G37" i="376"/>
  <c r="I26" i="376"/>
  <c r="G26" i="376"/>
  <c r="G43" i="371"/>
  <c r="I43" i="371"/>
  <c r="I35" i="371"/>
  <c r="G35" i="371"/>
  <c r="E37" i="203"/>
  <c r="E38" i="203"/>
  <c r="E21" i="203"/>
  <c r="E22" i="203"/>
  <c r="E23" i="203"/>
  <c r="E26" i="203"/>
  <c r="E39" i="203"/>
  <c r="E44" i="203"/>
  <c r="E42" i="203"/>
  <c r="E27" i="203"/>
  <c r="E43" i="203"/>
  <c r="E45" i="203"/>
  <c r="E28" i="203"/>
  <c r="E29" i="203"/>
  <c r="E24" i="203"/>
  <c r="E30" i="203"/>
  <c r="E34" i="203"/>
  <c r="E31" i="203"/>
  <c r="E40" i="203"/>
  <c r="E32" i="203"/>
  <c r="E35" i="203"/>
  <c r="E36" i="203"/>
  <c r="G34" i="225"/>
  <c r="I34" i="225"/>
  <c r="I36" i="225"/>
  <c r="G36" i="225"/>
  <c r="I10" i="300"/>
  <c r="G10" i="300"/>
  <c r="G21" i="300"/>
  <c r="I21" i="300"/>
  <c r="I32" i="164"/>
  <c r="F32" i="164" s="1"/>
  <c r="G32" i="164" s="1"/>
  <c r="F42" i="461"/>
  <c r="F13" i="461"/>
  <c r="F36" i="461"/>
  <c r="F10" i="461"/>
  <c r="F26" i="461"/>
  <c r="F14" i="461"/>
  <c r="F15" i="461"/>
  <c r="F35" i="461"/>
  <c r="F45" i="461"/>
  <c r="G45" i="461" s="1"/>
  <c r="F28" i="461"/>
  <c r="F44" i="461"/>
  <c r="F39" i="461"/>
  <c r="F38" i="461"/>
  <c r="F16" i="461"/>
  <c r="F27" i="461"/>
  <c r="F31" i="461"/>
  <c r="F30" i="461"/>
  <c r="F18" i="461"/>
  <c r="F11" i="461"/>
  <c r="F43" i="461"/>
  <c r="F37" i="461"/>
  <c r="F17" i="461"/>
  <c r="F12" i="461"/>
  <c r="F21" i="461"/>
  <c r="F22" i="461"/>
  <c r="F34" i="461"/>
  <c r="F23" i="461"/>
  <c r="F29" i="461"/>
  <c r="G36" i="409"/>
  <c r="I36" i="409"/>
  <c r="I21" i="409"/>
  <c r="G21" i="409"/>
  <c r="I44" i="362"/>
  <c r="G44" i="362"/>
  <c r="I38" i="362"/>
  <c r="G38" i="362"/>
  <c r="G14" i="165"/>
  <c r="I14" i="165"/>
  <c r="I43" i="165"/>
  <c r="G43" i="165"/>
  <c r="F38" i="370"/>
  <c r="F44" i="370"/>
  <c r="F43" i="370"/>
  <c r="F22" i="370"/>
  <c r="F36" i="370"/>
  <c r="F34" i="370"/>
  <c r="F37" i="370"/>
  <c r="F27" i="370"/>
  <c r="F28" i="370"/>
  <c r="F11" i="370"/>
  <c r="F10" i="370"/>
  <c r="F35" i="370"/>
  <c r="F13" i="370"/>
  <c r="F16" i="370"/>
  <c r="F12" i="370"/>
  <c r="F18" i="370"/>
  <c r="F21" i="370"/>
  <c r="F14" i="370"/>
  <c r="F29" i="370"/>
  <c r="F26" i="370"/>
  <c r="F31" i="370"/>
  <c r="F23" i="370"/>
  <c r="F45" i="370"/>
  <c r="G45" i="370" s="1"/>
  <c r="F15" i="370"/>
  <c r="F39" i="370"/>
  <c r="F17" i="370"/>
  <c r="F42" i="370"/>
  <c r="F30" i="370"/>
  <c r="G31" i="145"/>
  <c r="I31" i="145"/>
  <c r="I42" i="145"/>
  <c r="I46" i="145" s="1"/>
  <c r="F46" i="145" s="1"/>
  <c r="G46" i="145" s="1"/>
  <c r="G42" i="145"/>
  <c r="I35" i="228"/>
  <c r="G35" i="228"/>
  <c r="G37" i="248"/>
  <c r="I37" i="248"/>
  <c r="I44" i="126"/>
  <c r="G44" i="126"/>
  <c r="I23" i="88"/>
  <c r="G23" i="88"/>
  <c r="I10" i="88"/>
  <c r="G10" i="88"/>
  <c r="I36" i="65"/>
  <c r="G36" i="65"/>
  <c r="I17" i="65"/>
  <c r="G17" i="65"/>
  <c r="I31" i="255"/>
  <c r="G31" i="255"/>
  <c r="I36" i="255"/>
  <c r="G36" i="255"/>
  <c r="F43" i="196"/>
  <c r="F38" i="196"/>
  <c r="F28" i="196"/>
  <c r="F31" i="196"/>
  <c r="F14" i="196"/>
  <c r="F12" i="196"/>
  <c r="F35" i="196"/>
  <c r="F42" i="196"/>
  <c r="F17" i="196"/>
  <c r="F22" i="196"/>
  <c r="F36" i="196"/>
  <c r="F26" i="196"/>
  <c r="F21" i="196"/>
  <c r="F11" i="196"/>
  <c r="F44" i="196"/>
  <c r="F29" i="196"/>
  <c r="F37" i="196"/>
  <c r="F39" i="196"/>
  <c r="F10" i="196"/>
  <c r="F13" i="196"/>
  <c r="F15" i="196"/>
  <c r="F30" i="196"/>
  <c r="F18" i="196"/>
  <c r="F16" i="196"/>
  <c r="F27" i="196"/>
  <c r="F23" i="196"/>
  <c r="F45" i="196"/>
  <c r="G45" i="196" s="1"/>
  <c r="F34" i="196"/>
  <c r="I38" i="391"/>
  <c r="G38" i="391"/>
  <c r="I22" i="391"/>
  <c r="G22" i="391"/>
  <c r="I27" i="346"/>
  <c r="G27" i="346"/>
  <c r="I44" i="171"/>
  <c r="G44" i="171"/>
  <c r="I37" i="171"/>
  <c r="G37" i="171"/>
  <c r="I31" i="425"/>
  <c r="G31" i="425"/>
  <c r="I35" i="425"/>
  <c r="G35" i="425"/>
  <c r="G10" i="80"/>
  <c r="I10" i="80"/>
  <c r="G37" i="80"/>
  <c r="I37" i="80"/>
  <c r="I17" i="368"/>
  <c r="G17" i="368"/>
  <c r="I42" i="368"/>
  <c r="G42" i="368"/>
  <c r="I44" i="142"/>
  <c r="G44" i="142"/>
  <c r="G11" i="142"/>
  <c r="I11" i="142"/>
  <c r="F22" i="67"/>
  <c r="F30" i="67"/>
  <c r="F27" i="67"/>
  <c r="F35" i="67"/>
  <c r="F31" i="67"/>
  <c r="F36" i="67"/>
  <c r="F39" i="67"/>
  <c r="F11" i="67"/>
  <c r="F23" i="67"/>
  <c r="F37" i="67"/>
  <c r="F43" i="67"/>
  <c r="F34" i="67"/>
  <c r="F13" i="67"/>
  <c r="F18" i="67"/>
  <c r="F29" i="67"/>
  <c r="F38" i="67"/>
  <c r="F28" i="67"/>
  <c r="F26" i="67"/>
  <c r="F10" i="67"/>
  <c r="F15" i="67"/>
  <c r="F17" i="67"/>
  <c r="F42" i="67"/>
  <c r="F14" i="67"/>
  <c r="F21" i="67"/>
  <c r="F44" i="67"/>
  <c r="F45" i="67"/>
  <c r="G45" i="67" s="1"/>
  <c r="F12" i="67"/>
  <c r="F16" i="67"/>
  <c r="F36" i="462"/>
  <c r="F11" i="462"/>
  <c r="F15" i="462"/>
  <c r="F14" i="462"/>
  <c r="F30" i="462"/>
  <c r="F31" i="462"/>
  <c r="F45" i="462"/>
  <c r="G45" i="462" s="1"/>
  <c r="F12" i="462"/>
  <c r="F38" i="462"/>
  <c r="F29" i="462"/>
  <c r="F23" i="462"/>
  <c r="F39" i="462"/>
  <c r="F42" i="462"/>
  <c r="F34" i="462"/>
  <c r="F17" i="462"/>
  <c r="F26" i="462"/>
  <c r="F27" i="462"/>
  <c r="F18" i="462"/>
  <c r="F35" i="462"/>
  <c r="F44" i="462"/>
  <c r="F28" i="462"/>
  <c r="F43" i="462"/>
  <c r="F22" i="462"/>
  <c r="F37" i="462"/>
  <c r="F21" i="462"/>
  <c r="F10" i="462"/>
  <c r="F13" i="462"/>
  <c r="F16" i="462"/>
  <c r="G39" i="365"/>
  <c r="I39" i="365"/>
  <c r="I36" i="365"/>
  <c r="G36" i="365"/>
  <c r="H48" i="122"/>
  <c r="H50" i="122" s="1"/>
  <c r="E6" i="122" s="1"/>
  <c r="I21" i="457"/>
  <c r="G21" i="457"/>
  <c r="I44" i="457"/>
  <c r="G44" i="457"/>
  <c r="I21" i="204"/>
  <c r="G13" i="204"/>
  <c r="E43" i="218"/>
  <c r="E44" i="218"/>
  <c r="E45" i="218"/>
  <c r="E28" i="218"/>
  <c r="E21" i="218"/>
  <c r="E42" i="218"/>
  <c r="E22" i="218"/>
  <c r="E32" i="218"/>
  <c r="E30" i="218"/>
  <c r="E31" i="218"/>
  <c r="E24" i="218"/>
  <c r="E39" i="218"/>
  <c r="E26" i="218"/>
  <c r="E27" i="218"/>
  <c r="E35" i="218"/>
  <c r="E29" i="218"/>
  <c r="E34" i="218"/>
  <c r="E38" i="218"/>
  <c r="E36" i="218"/>
  <c r="E46" i="218"/>
  <c r="A52" i="218" s="1"/>
  <c r="E37" i="218"/>
  <c r="E23" i="218"/>
  <c r="G39" i="300"/>
  <c r="I39" i="300"/>
  <c r="I30" i="409"/>
  <c r="G30" i="409"/>
  <c r="I13" i="316"/>
  <c r="G13" i="316"/>
  <c r="E50" i="82"/>
  <c r="J50" i="82"/>
  <c r="I10" i="443"/>
  <c r="G10" i="443"/>
  <c r="I34" i="443"/>
  <c r="G34" i="443"/>
  <c r="I30" i="176"/>
  <c r="G30" i="176"/>
  <c r="I42" i="176"/>
  <c r="G42" i="176"/>
  <c r="G12" i="318"/>
  <c r="I12" i="318"/>
  <c r="G36" i="426"/>
  <c r="I36" i="426"/>
  <c r="G17" i="215"/>
  <c r="I17" i="215"/>
  <c r="G29" i="121"/>
  <c r="I29" i="121"/>
  <c r="I44" i="259"/>
  <c r="G44" i="259"/>
  <c r="G15" i="259"/>
  <c r="I15" i="259"/>
  <c r="F23" i="218"/>
  <c r="F30" i="218"/>
  <c r="F38" i="218"/>
  <c r="F36" i="218"/>
  <c r="F34" i="218"/>
  <c r="F15" i="218"/>
  <c r="F44" i="218"/>
  <c r="F43" i="218"/>
  <c r="F42" i="218"/>
  <c r="F37" i="218"/>
  <c r="F16" i="218"/>
  <c r="F45" i="218"/>
  <c r="G45" i="218" s="1"/>
  <c r="F12" i="218"/>
  <c r="F35" i="218"/>
  <c r="F28" i="218"/>
  <c r="F27" i="218"/>
  <c r="F11" i="218"/>
  <c r="F21" i="218"/>
  <c r="F10" i="218"/>
  <c r="F18" i="218"/>
  <c r="F13" i="218"/>
  <c r="F14" i="218"/>
  <c r="F26" i="218"/>
  <c r="F39" i="218"/>
  <c r="F29" i="218"/>
  <c r="F17" i="218"/>
  <c r="F31" i="218"/>
  <c r="F22" i="218"/>
  <c r="G21" i="428"/>
  <c r="I21" i="428"/>
  <c r="I44" i="428"/>
  <c r="G44" i="428"/>
  <c r="I36" i="322"/>
  <c r="G36" i="322"/>
  <c r="G34" i="322"/>
  <c r="I34" i="322"/>
  <c r="G43" i="154"/>
  <c r="I43" i="154"/>
  <c r="I34" i="305"/>
  <c r="G34" i="305"/>
  <c r="I27" i="305"/>
  <c r="G27" i="305"/>
  <c r="I29" i="350"/>
  <c r="G29" i="350"/>
  <c r="I31" i="350"/>
  <c r="G31" i="350"/>
  <c r="G11" i="234"/>
  <c r="I11" i="234"/>
  <c r="G21" i="234"/>
  <c r="I21" i="234"/>
  <c r="I39" i="287"/>
  <c r="G39" i="287"/>
  <c r="I31" i="287"/>
  <c r="G31" i="287"/>
  <c r="E48" i="62"/>
  <c r="E48" i="304"/>
  <c r="F36" i="417"/>
  <c r="F34" i="417"/>
  <c r="F13" i="417"/>
  <c r="F35" i="417"/>
  <c r="F42" i="417"/>
  <c r="F37" i="417"/>
  <c r="F15" i="417"/>
  <c r="F10" i="417"/>
  <c r="F45" i="417"/>
  <c r="G45" i="417" s="1"/>
  <c r="F39" i="417"/>
  <c r="F11" i="417"/>
  <c r="F27" i="417"/>
  <c r="F31" i="417"/>
  <c r="F14" i="417"/>
  <c r="F44" i="417"/>
  <c r="F16" i="417"/>
  <c r="F17" i="417"/>
  <c r="F18" i="417"/>
  <c r="F22" i="417"/>
  <c r="F23" i="417"/>
  <c r="F26" i="417"/>
  <c r="F29" i="417"/>
  <c r="F30" i="417"/>
  <c r="F38" i="417"/>
  <c r="F12" i="417"/>
  <c r="F21" i="417"/>
  <c r="F43" i="417"/>
  <c r="F28" i="417"/>
  <c r="I35" i="380"/>
  <c r="G35" i="380"/>
  <c r="G43" i="21"/>
  <c r="I43" i="21"/>
  <c r="I30" i="21"/>
  <c r="G30" i="21"/>
  <c r="F28" i="54"/>
  <c r="F13" i="54"/>
  <c r="F37" i="54"/>
  <c r="F12" i="54"/>
  <c r="F43" i="54"/>
  <c r="F22" i="54"/>
  <c r="F18" i="54"/>
  <c r="F15" i="54"/>
  <c r="F34" i="54"/>
  <c r="F16" i="54"/>
  <c r="F17" i="54"/>
  <c r="F26" i="54"/>
  <c r="F38" i="54"/>
  <c r="F11" i="54"/>
  <c r="F42" i="54"/>
  <c r="F44" i="54"/>
  <c r="F30" i="54"/>
  <c r="F35" i="54"/>
  <c r="F27" i="54"/>
  <c r="F36" i="54"/>
  <c r="F23" i="54"/>
  <c r="F39" i="54"/>
  <c r="F21" i="54"/>
  <c r="F10" i="54"/>
  <c r="F45" i="54"/>
  <c r="G45" i="54" s="1"/>
  <c r="F31" i="54"/>
  <c r="F29" i="54"/>
  <c r="F14" i="54"/>
  <c r="E48" i="352"/>
  <c r="G12" i="224"/>
  <c r="I12" i="224"/>
  <c r="G18" i="335"/>
  <c r="I18" i="335"/>
  <c r="I44" i="335"/>
  <c r="G44" i="335"/>
  <c r="I35" i="431"/>
  <c r="G35" i="431"/>
  <c r="I29" i="211"/>
  <c r="G29" i="211"/>
  <c r="I44" i="376"/>
  <c r="G44" i="376"/>
  <c r="G31" i="376"/>
  <c r="I31" i="376"/>
  <c r="I16" i="371"/>
  <c r="G16" i="371"/>
  <c r="G11" i="371"/>
  <c r="I11" i="371"/>
  <c r="F43" i="361"/>
  <c r="F37" i="361"/>
  <c r="F42" i="361"/>
  <c r="F27" i="361"/>
  <c r="F15" i="361"/>
  <c r="F38" i="361"/>
  <c r="F21" i="361"/>
  <c r="F36" i="361"/>
  <c r="F31" i="361"/>
  <c r="F12" i="361"/>
  <c r="F26" i="361"/>
  <c r="F11" i="361"/>
  <c r="F44" i="361"/>
  <c r="F22" i="361"/>
  <c r="F10" i="361"/>
  <c r="F34" i="361"/>
  <c r="F35" i="361"/>
  <c r="F23" i="361"/>
  <c r="F28" i="361"/>
  <c r="F29" i="361"/>
  <c r="F18" i="361"/>
  <c r="F39" i="361"/>
  <c r="F17" i="361"/>
  <c r="F13" i="361"/>
  <c r="F16" i="361"/>
  <c r="F30" i="361"/>
  <c r="F45" i="361"/>
  <c r="G45" i="361" s="1"/>
  <c r="F14" i="361"/>
  <c r="G23" i="225"/>
  <c r="I23" i="225"/>
  <c r="G35" i="225"/>
  <c r="I35" i="225"/>
  <c r="I27" i="300"/>
  <c r="G27" i="300"/>
  <c r="I26" i="300"/>
  <c r="G26" i="300"/>
  <c r="F23" i="13"/>
  <c r="F18" i="13"/>
  <c r="F29" i="13"/>
  <c r="F26" i="13"/>
  <c r="F12" i="13"/>
  <c r="F44" i="13"/>
  <c r="F10" i="13"/>
  <c r="F34" i="13"/>
  <c r="F15" i="13"/>
  <c r="F38" i="13"/>
  <c r="F39" i="13"/>
  <c r="F22" i="13"/>
  <c r="F43" i="13"/>
  <c r="F28" i="13"/>
  <c r="F35" i="13"/>
  <c r="F42" i="13"/>
  <c r="F16" i="13"/>
  <c r="F14" i="13"/>
  <c r="F13" i="13"/>
  <c r="F31" i="13"/>
  <c r="F36" i="13"/>
  <c r="F11" i="13"/>
  <c r="F30" i="13"/>
  <c r="F37" i="13"/>
  <c r="F21" i="13"/>
  <c r="F17" i="13"/>
  <c r="F45" i="13"/>
  <c r="G45" i="13" s="1"/>
  <c r="F27" i="13"/>
  <c r="G26" i="409"/>
  <c r="I26" i="409"/>
  <c r="I34" i="409"/>
  <c r="G34" i="409"/>
  <c r="I14" i="362"/>
  <c r="G14" i="362"/>
  <c r="G35" i="362"/>
  <c r="I35" i="362"/>
  <c r="I22" i="165"/>
  <c r="G22" i="165"/>
  <c r="G23" i="165"/>
  <c r="I23" i="165"/>
  <c r="I34" i="145"/>
  <c r="G34" i="145"/>
  <c r="I37" i="145"/>
  <c r="G37" i="145"/>
  <c r="G22" i="228"/>
  <c r="I22" i="228"/>
  <c r="G11" i="248"/>
  <c r="I11" i="248"/>
  <c r="I18" i="248"/>
  <c r="G18" i="248"/>
  <c r="I37" i="126"/>
  <c r="G37" i="126"/>
  <c r="I43" i="126"/>
  <c r="G43" i="126"/>
  <c r="F36" i="349"/>
  <c r="F38" i="349"/>
  <c r="F27" i="349"/>
  <c r="F34" i="349"/>
  <c r="F10" i="349"/>
  <c r="F37" i="349"/>
  <c r="F18" i="349"/>
  <c r="F29" i="349"/>
  <c r="F28" i="349"/>
  <c r="F26" i="349"/>
  <c r="F11" i="349"/>
  <c r="F12" i="349"/>
  <c r="F45" i="349"/>
  <c r="G45" i="349" s="1"/>
  <c r="F14" i="349"/>
  <c r="F31" i="349"/>
  <c r="F39" i="349"/>
  <c r="F35" i="349"/>
  <c r="F42" i="349"/>
  <c r="F21" i="349"/>
  <c r="F43" i="349"/>
  <c r="F17" i="349"/>
  <c r="F22" i="349"/>
  <c r="F13" i="349"/>
  <c r="F23" i="349"/>
  <c r="F44" i="349"/>
  <c r="F15" i="349"/>
  <c r="F16" i="349"/>
  <c r="F30" i="349"/>
  <c r="I36" i="88"/>
  <c r="G36" i="88"/>
  <c r="I42" i="88"/>
  <c r="G42" i="88"/>
  <c r="I14" i="65"/>
  <c r="G14" i="65"/>
  <c r="I31" i="65"/>
  <c r="G31" i="65"/>
  <c r="G35" i="255"/>
  <c r="I35" i="255"/>
  <c r="I39" i="255"/>
  <c r="G39" i="255"/>
  <c r="F15" i="230"/>
  <c r="F22" i="230"/>
  <c r="F23" i="230"/>
  <c r="F45" i="230"/>
  <c r="G45" i="230" s="1"/>
  <c r="F26" i="230"/>
  <c r="F27" i="230"/>
  <c r="F13" i="230"/>
  <c r="F34" i="230"/>
  <c r="F35" i="230"/>
  <c r="F36" i="230"/>
  <c r="F42" i="230"/>
  <c r="F37" i="230"/>
  <c r="F31" i="230"/>
  <c r="F10" i="230"/>
  <c r="F11" i="230"/>
  <c r="F29" i="230"/>
  <c r="F14" i="230"/>
  <c r="F12" i="230"/>
  <c r="F30" i="230"/>
  <c r="F43" i="230"/>
  <c r="F18" i="230"/>
  <c r="F17" i="230"/>
  <c r="F44" i="230"/>
  <c r="F39" i="230"/>
  <c r="F28" i="230"/>
  <c r="F16" i="230"/>
  <c r="F38" i="230"/>
  <c r="F21" i="230"/>
  <c r="I34" i="391"/>
  <c r="G34" i="391"/>
  <c r="G29" i="391"/>
  <c r="I29" i="391"/>
  <c r="G13" i="346"/>
  <c r="I13" i="346"/>
  <c r="I26" i="171"/>
  <c r="G26" i="171"/>
  <c r="I37" i="425"/>
  <c r="G37" i="425"/>
  <c r="I44" i="425"/>
  <c r="G44" i="425"/>
  <c r="I34" i="80"/>
  <c r="G34" i="80"/>
  <c r="I39" i="80"/>
  <c r="G39" i="80"/>
  <c r="I21" i="368"/>
  <c r="G21" i="368"/>
  <c r="I28" i="368"/>
  <c r="G28" i="368"/>
  <c r="I24" i="164"/>
  <c r="F24" i="164" s="1"/>
  <c r="G24" i="164" s="1"/>
  <c r="I34" i="142"/>
  <c r="G34" i="142"/>
  <c r="I38" i="142"/>
  <c r="G38" i="142"/>
  <c r="F11" i="180"/>
  <c r="F15" i="180"/>
  <c r="F43" i="180"/>
  <c r="F17" i="180"/>
  <c r="F14" i="180"/>
  <c r="F10" i="180"/>
  <c r="F38" i="180"/>
  <c r="F39" i="180"/>
  <c r="F23" i="180"/>
  <c r="F18" i="180"/>
  <c r="F29" i="180"/>
  <c r="F44" i="180"/>
  <c r="F37" i="180"/>
  <c r="F26" i="180"/>
  <c r="F30" i="180"/>
  <c r="F12" i="180"/>
  <c r="F42" i="180"/>
  <c r="F27" i="180"/>
  <c r="F13" i="180"/>
  <c r="F28" i="180"/>
  <c r="F16" i="180"/>
  <c r="F34" i="180"/>
  <c r="F21" i="180"/>
  <c r="F35" i="180"/>
  <c r="F31" i="180"/>
  <c r="F36" i="180"/>
  <c r="F22" i="180"/>
  <c r="F45" i="180"/>
  <c r="G45" i="180" s="1"/>
  <c r="I22" i="365"/>
  <c r="G22" i="365"/>
  <c r="G18" i="365"/>
  <c r="I18" i="365"/>
  <c r="I37" i="457"/>
  <c r="G37" i="457"/>
  <c r="G35" i="457"/>
  <c r="I35" i="457"/>
  <c r="G26" i="204"/>
  <c r="I26" i="204"/>
  <c r="I28" i="443"/>
  <c r="G28" i="443"/>
  <c r="I30" i="259"/>
  <c r="G30" i="259"/>
  <c r="I29" i="428"/>
  <c r="G29" i="428"/>
  <c r="I12" i="234"/>
  <c r="G12" i="234"/>
  <c r="I42" i="287"/>
  <c r="G42" i="287"/>
  <c r="G18" i="362"/>
  <c r="I18" i="362"/>
  <c r="G28" i="248"/>
  <c r="I28" i="248"/>
  <c r="I14" i="346"/>
  <c r="G14" i="346"/>
  <c r="I23" i="425"/>
  <c r="G23" i="425"/>
  <c r="I40" i="475"/>
  <c r="F40" i="475" s="1"/>
  <c r="G40" i="475" s="1"/>
  <c r="I19" i="164"/>
  <c r="F19" i="164" s="1"/>
  <c r="G19" i="164" s="1"/>
  <c r="I37" i="316"/>
  <c r="G37" i="316"/>
  <c r="I44" i="316"/>
  <c r="G44" i="316"/>
  <c r="D48" i="472"/>
  <c r="E32" i="472" s="1"/>
  <c r="I38" i="443"/>
  <c r="G38" i="443"/>
  <c r="G12" i="443"/>
  <c r="I12" i="443"/>
  <c r="I21" i="176"/>
  <c r="G21" i="176"/>
  <c r="G35" i="176"/>
  <c r="I35" i="176"/>
  <c r="I26" i="318"/>
  <c r="G26" i="318"/>
  <c r="H48" i="179"/>
  <c r="H50" i="179" s="1"/>
  <c r="E6" i="179" s="1"/>
  <c r="C24" i="469"/>
  <c r="C48" i="469" s="1"/>
  <c r="H48" i="469"/>
  <c r="H50" i="469" s="1"/>
  <c r="E6" i="469" s="1"/>
  <c r="I44" i="426"/>
  <c r="G44" i="426"/>
  <c r="I31" i="215"/>
  <c r="G31" i="215"/>
  <c r="I21" i="215"/>
  <c r="G21" i="215"/>
  <c r="I23" i="121"/>
  <c r="G23" i="121"/>
  <c r="I21" i="121"/>
  <c r="G21" i="121"/>
  <c r="I43" i="259"/>
  <c r="G43" i="259"/>
  <c r="I36" i="259"/>
  <c r="G36" i="259"/>
  <c r="G15" i="428"/>
  <c r="I15" i="428"/>
  <c r="I35" i="428"/>
  <c r="G35" i="428"/>
  <c r="I12" i="322"/>
  <c r="G12" i="322"/>
  <c r="G29" i="322"/>
  <c r="I29" i="322"/>
  <c r="G29" i="154"/>
  <c r="I29" i="154"/>
  <c r="I22" i="154"/>
  <c r="G22" i="154"/>
  <c r="G30" i="305"/>
  <c r="I30" i="305"/>
  <c r="I17" i="305"/>
  <c r="G17" i="305"/>
  <c r="F22" i="49"/>
  <c r="F45" i="49"/>
  <c r="G45" i="49" s="1"/>
  <c r="F12" i="49"/>
  <c r="F31" i="49"/>
  <c r="F37" i="49"/>
  <c r="F10" i="49"/>
  <c r="F23" i="49"/>
  <c r="F21" i="49"/>
  <c r="F42" i="49"/>
  <c r="F43" i="49"/>
  <c r="F17" i="49"/>
  <c r="F39" i="49"/>
  <c r="F15" i="49"/>
  <c r="F44" i="49"/>
  <c r="F38" i="49"/>
  <c r="F11" i="49"/>
  <c r="F28" i="49"/>
  <c r="F27" i="49"/>
  <c r="F16" i="49"/>
  <c r="F30" i="49"/>
  <c r="F18" i="49"/>
  <c r="F34" i="49"/>
  <c r="F13" i="49"/>
  <c r="F26" i="49"/>
  <c r="F36" i="49"/>
  <c r="F29" i="49"/>
  <c r="F35" i="49"/>
  <c r="F14" i="49"/>
  <c r="E46" i="477"/>
  <c r="A52" i="477" s="1"/>
  <c r="I17" i="350"/>
  <c r="G17" i="350"/>
  <c r="I38" i="350"/>
  <c r="G38" i="350"/>
  <c r="I38" i="234"/>
  <c r="G38" i="234"/>
  <c r="G34" i="234"/>
  <c r="I34" i="234"/>
  <c r="I16" i="287"/>
  <c r="G16" i="287"/>
  <c r="G30" i="287"/>
  <c r="I30" i="287"/>
  <c r="I30" i="380"/>
  <c r="G30" i="380"/>
  <c r="I28" i="21"/>
  <c r="G28" i="21"/>
  <c r="I39" i="21"/>
  <c r="G39" i="21"/>
  <c r="E34" i="384"/>
  <c r="E26" i="384"/>
  <c r="E42" i="384"/>
  <c r="E21" i="384"/>
  <c r="E31" i="384"/>
  <c r="E37" i="384"/>
  <c r="E45" i="384"/>
  <c r="E29" i="384"/>
  <c r="E40" i="384"/>
  <c r="E39" i="384"/>
  <c r="E35" i="384"/>
  <c r="E30" i="384"/>
  <c r="E43" i="384"/>
  <c r="E28" i="384"/>
  <c r="E46" i="384"/>
  <c r="A52" i="384" s="1"/>
  <c r="E27" i="384"/>
  <c r="E24" i="384"/>
  <c r="E23" i="384"/>
  <c r="E38" i="384"/>
  <c r="E44" i="384"/>
  <c r="E22" i="384"/>
  <c r="E36" i="384"/>
  <c r="C40" i="478"/>
  <c r="G38" i="224"/>
  <c r="I38" i="224"/>
  <c r="G36" i="335"/>
  <c r="I36" i="335"/>
  <c r="I17" i="335"/>
  <c r="G17" i="335"/>
  <c r="I28" i="431"/>
  <c r="G28" i="431"/>
  <c r="I46" i="187"/>
  <c r="F46" i="187" s="1"/>
  <c r="G46" i="187" s="1"/>
  <c r="I17" i="211"/>
  <c r="G17" i="211"/>
  <c r="G43" i="211"/>
  <c r="I43" i="211"/>
  <c r="I12" i="166"/>
  <c r="G12" i="166"/>
  <c r="I34" i="376"/>
  <c r="G34" i="376"/>
  <c r="I27" i="376"/>
  <c r="G27" i="376"/>
  <c r="I42" i="371"/>
  <c r="G42" i="371"/>
  <c r="G18" i="371"/>
  <c r="I18" i="371"/>
  <c r="G42" i="225"/>
  <c r="I42" i="225"/>
  <c r="I46" i="225" s="1"/>
  <c r="F46" i="225" s="1"/>
  <c r="G46" i="225" s="1"/>
  <c r="G16" i="300"/>
  <c r="I16" i="300"/>
  <c r="E48" i="14"/>
  <c r="I37" i="409"/>
  <c r="G37" i="409"/>
  <c r="I13" i="409"/>
  <c r="G13" i="409"/>
  <c r="I16" i="362"/>
  <c r="G16" i="362"/>
  <c r="I10" i="362"/>
  <c r="G10" i="362"/>
  <c r="G36" i="165"/>
  <c r="I36" i="165"/>
  <c r="I27" i="165"/>
  <c r="G27" i="165"/>
  <c r="I10" i="145"/>
  <c r="G10" i="145"/>
  <c r="G28" i="228"/>
  <c r="I28" i="228"/>
  <c r="G12" i="228"/>
  <c r="I12" i="228"/>
  <c r="I10" i="248"/>
  <c r="G10" i="248"/>
  <c r="I35" i="248"/>
  <c r="G35" i="248"/>
  <c r="I42" i="126"/>
  <c r="G42" i="126"/>
  <c r="I21" i="126"/>
  <c r="G21" i="126"/>
  <c r="E48" i="30"/>
  <c r="H48" i="467"/>
  <c r="H50" i="467" s="1"/>
  <c r="E6" i="467" s="1"/>
  <c r="G43" i="88"/>
  <c r="I43" i="88"/>
  <c r="G18" i="88"/>
  <c r="I18" i="88"/>
  <c r="G28" i="65"/>
  <c r="I28" i="65"/>
  <c r="G38" i="65"/>
  <c r="I38" i="65"/>
  <c r="I11" i="255"/>
  <c r="G11" i="255"/>
  <c r="G13" i="255"/>
  <c r="I13" i="255"/>
  <c r="F12" i="437"/>
  <c r="F18" i="437"/>
  <c r="F42" i="437"/>
  <c r="F21" i="437"/>
  <c r="F10" i="437"/>
  <c r="F30" i="437"/>
  <c r="F29" i="437"/>
  <c r="F28" i="437"/>
  <c r="F15" i="437"/>
  <c r="F36" i="437"/>
  <c r="F22" i="437"/>
  <c r="F43" i="437"/>
  <c r="F31" i="437"/>
  <c r="F38" i="437"/>
  <c r="F16" i="437"/>
  <c r="F23" i="437"/>
  <c r="F11" i="437"/>
  <c r="F13" i="437"/>
  <c r="F26" i="437"/>
  <c r="F39" i="437"/>
  <c r="F45" i="437"/>
  <c r="G45" i="437" s="1"/>
  <c r="F35" i="437"/>
  <c r="F37" i="437"/>
  <c r="F17" i="437"/>
  <c r="F27" i="437"/>
  <c r="F44" i="437"/>
  <c r="F14" i="437"/>
  <c r="F34" i="437"/>
  <c r="G43" i="391"/>
  <c r="I43" i="391"/>
  <c r="I21" i="391"/>
  <c r="G21" i="391"/>
  <c r="I34" i="346"/>
  <c r="G34" i="346"/>
  <c r="I13" i="171"/>
  <c r="G13" i="171"/>
  <c r="I30" i="171"/>
  <c r="G30" i="171"/>
  <c r="E48" i="370"/>
  <c r="F27" i="8"/>
  <c r="F11" i="8"/>
  <c r="F36" i="8"/>
  <c r="F28" i="8"/>
  <c r="F29" i="8"/>
  <c r="F45" i="8"/>
  <c r="G45" i="8" s="1"/>
  <c r="F22" i="8"/>
  <c r="F35" i="8"/>
  <c r="F18" i="8"/>
  <c r="F34" i="8"/>
  <c r="F23" i="8"/>
  <c r="F10" i="8"/>
  <c r="F13" i="8"/>
  <c r="F12" i="8"/>
  <c r="F16" i="8"/>
  <c r="F15" i="8"/>
  <c r="F26" i="8"/>
  <c r="F42" i="8"/>
  <c r="F21" i="8"/>
  <c r="F43" i="8"/>
  <c r="F38" i="8"/>
  <c r="F14" i="8"/>
  <c r="F44" i="8"/>
  <c r="F30" i="8"/>
  <c r="F37" i="8"/>
  <c r="F31" i="8"/>
  <c r="F17" i="8"/>
  <c r="F39" i="8"/>
  <c r="I13" i="425"/>
  <c r="G13" i="425"/>
  <c r="I36" i="425"/>
  <c r="G36" i="425"/>
  <c r="I31" i="80"/>
  <c r="G31" i="80"/>
  <c r="G44" i="80"/>
  <c r="I44" i="80"/>
  <c r="I23" i="368"/>
  <c r="G23" i="368"/>
  <c r="I38" i="368"/>
  <c r="G38" i="368"/>
  <c r="G43" i="142"/>
  <c r="I43" i="142"/>
  <c r="I14" i="142"/>
  <c r="G14" i="142"/>
  <c r="G11" i="365"/>
  <c r="I11" i="365"/>
  <c r="I38" i="365"/>
  <c r="G38" i="365"/>
  <c r="F34" i="355"/>
  <c r="F39" i="355"/>
  <c r="F18" i="355"/>
  <c r="F35" i="355"/>
  <c r="F44" i="355"/>
  <c r="F37" i="355"/>
  <c r="F36" i="355"/>
  <c r="F38" i="355"/>
  <c r="F45" i="355"/>
  <c r="G45" i="355" s="1"/>
  <c r="F30" i="355"/>
  <c r="F13" i="355"/>
  <c r="F15" i="355"/>
  <c r="F21" i="355"/>
  <c r="F11" i="355"/>
  <c r="F31" i="355"/>
  <c r="F22" i="355"/>
  <c r="F42" i="355"/>
  <c r="F43" i="355"/>
  <c r="F14" i="355"/>
  <c r="F16" i="355"/>
  <c r="F27" i="355"/>
  <c r="F23" i="355"/>
  <c r="F10" i="355"/>
  <c r="F28" i="355"/>
  <c r="F26" i="355"/>
  <c r="F12" i="355"/>
  <c r="F17" i="355"/>
  <c r="F29" i="355"/>
  <c r="I13" i="457"/>
  <c r="G13" i="457"/>
  <c r="I34" i="457"/>
  <c r="G34" i="457"/>
  <c r="I37" i="204"/>
  <c r="G37" i="204"/>
  <c r="I29" i="380"/>
  <c r="G29" i="380"/>
  <c r="I37" i="335"/>
  <c r="G37" i="335"/>
  <c r="I26" i="225"/>
  <c r="G26" i="225"/>
  <c r="G11" i="362"/>
  <c r="I11" i="362"/>
  <c r="I15" i="145"/>
  <c r="G15" i="145"/>
  <c r="I43" i="65"/>
  <c r="G43" i="65"/>
  <c r="G10" i="346"/>
  <c r="I10" i="346"/>
  <c r="I43" i="171"/>
  <c r="G43" i="171"/>
  <c r="I42" i="80"/>
  <c r="G42" i="80"/>
  <c r="I37" i="365"/>
  <c r="G37" i="365"/>
  <c r="G30" i="316"/>
  <c r="I30" i="316"/>
  <c r="I12" i="316"/>
  <c r="G12" i="316"/>
  <c r="H32" i="472"/>
  <c r="C32" i="472" s="1"/>
  <c r="C48" i="472" s="1"/>
  <c r="I29" i="443"/>
  <c r="G29" i="443"/>
  <c r="I44" i="443"/>
  <c r="G44" i="443"/>
  <c r="I44" i="176"/>
  <c r="G44" i="176"/>
  <c r="I11" i="176"/>
  <c r="G11" i="176"/>
  <c r="I13" i="318"/>
  <c r="G13" i="318"/>
  <c r="G35" i="318"/>
  <c r="I35" i="318"/>
  <c r="I14" i="426"/>
  <c r="G14" i="426"/>
  <c r="G12" i="215"/>
  <c r="I12" i="215"/>
  <c r="I13" i="121"/>
  <c r="G13" i="121"/>
  <c r="I36" i="121"/>
  <c r="G36" i="121"/>
  <c r="I11" i="259"/>
  <c r="G11" i="259"/>
  <c r="G39" i="259"/>
  <c r="I39" i="259"/>
  <c r="I42" i="428"/>
  <c r="G42" i="428"/>
  <c r="I26" i="428"/>
  <c r="G26" i="428"/>
  <c r="G37" i="322"/>
  <c r="I37" i="322"/>
  <c r="G22" i="322"/>
  <c r="I22" i="322"/>
  <c r="G21" i="154"/>
  <c r="I21" i="154"/>
  <c r="I10" i="154"/>
  <c r="G10" i="154"/>
  <c r="I29" i="305"/>
  <c r="G29" i="305"/>
  <c r="I14" i="305"/>
  <c r="G14" i="305"/>
  <c r="I34" i="350"/>
  <c r="G34" i="350"/>
  <c r="I27" i="234"/>
  <c r="G27" i="234"/>
  <c r="G44" i="287"/>
  <c r="I44" i="287"/>
  <c r="I28" i="287"/>
  <c r="G28" i="287"/>
  <c r="I32" i="447"/>
  <c r="F32" i="447" s="1"/>
  <c r="G32" i="447" s="1"/>
  <c r="I17" i="380"/>
  <c r="G17" i="380"/>
  <c r="G35" i="21"/>
  <c r="I35" i="21"/>
  <c r="I17" i="21"/>
  <c r="G17" i="21"/>
  <c r="F38" i="123"/>
  <c r="F29" i="123"/>
  <c r="F12" i="123"/>
  <c r="F30" i="123"/>
  <c r="F17" i="123"/>
  <c r="F31" i="123"/>
  <c r="F18" i="123"/>
  <c r="F26" i="123"/>
  <c r="F27" i="123"/>
  <c r="F21" i="123"/>
  <c r="F42" i="123"/>
  <c r="F16" i="123"/>
  <c r="F15" i="123"/>
  <c r="F22" i="123"/>
  <c r="F43" i="123"/>
  <c r="F37" i="123"/>
  <c r="F36" i="123"/>
  <c r="F44" i="123"/>
  <c r="F14" i="123"/>
  <c r="F28" i="123"/>
  <c r="F11" i="123"/>
  <c r="F23" i="123"/>
  <c r="F34" i="123"/>
  <c r="F13" i="123"/>
  <c r="F39" i="123"/>
  <c r="F35" i="123"/>
  <c r="F45" i="123"/>
  <c r="G45" i="123" s="1"/>
  <c r="F10" i="123"/>
  <c r="J50" i="384"/>
  <c r="E50" i="384"/>
  <c r="G36" i="224"/>
  <c r="I36" i="224"/>
  <c r="I16" i="224"/>
  <c r="G16" i="224"/>
  <c r="G28" i="335"/>
  <c r="I28" i="335"/>
  <c r="I35" i="335"/>
  <c r="G35" i="335"/>
  <c r="I13" i="431"/>
  <c r="G13" i="431"/>
  <c r="I18" i="211"/>
  <c r="G18" i="211"/>
  <c r="G39" i="166"/>
  <c r="I39" i="166"/>
  <c r="G10" i="376"/>
  <c r="I10" i="376"/>
  <c r="I22" i="376"/>
  <c r="G22" i="376"/>
  <c r="I22" i="371"/>
  <c r="G22" i="371"/>
  <c r="I38" i="371"/>
  <c r="G38" i="371"/>
  <c r="F39" i="405"/>
  <c r="F34" i="405"/>
  <c r="F22" i="405"/>
  <c r="F35" i="405"/>
  <c r="F44" i="405"/>
  <c r="F38" i="405"/>
  <c r="F12" i="405"/>
  <c r="F10" i="405"/>
  <c r="F45" i="405"/>
  <c r="G45" i="405" s="1"/>
  <c r="F42" i="405"/>
  <c r="F11" i="405"/>
  <c r="F13" i="405"/>
  <c r="F43" i="405"/>
  <c r="F16" i="405"/>
  <c r="F18" i="405"/>
  <c r="F21" i="405"/>
  <c r="F29" i="405"/>
  <c r="F23" i="405"/>
  <c r="F14" i="405"/>
  <c r="F26" i="405"/>
  <c r="F36" i="405"/>
  <c r="F27" i="405"/>
  <c r="F15" i="405"/>
  <c r="F28" i="405"/>
  <c r="F37" i="405"/>
  <c r="F30" i="405"/>
  <c r="F17" i="405"/>
  <c r="F31" i="405"/>
  <c r="D50" i="476"/>
  <c r="G38" i="225"/>
  <c r="I38" i="225"/>
  <c r="I18" i="300"/>
  <c r="G18" i="300"/>
  <c r="I43" i="300"/>
  <c r="G43" i="300"/>
  <c r="E48" i="164"/>
  <c r="F42" i="64"/>
  <c r="F30" i="64"/>
  <c r="F39" i="64"/>
  <c r="F26" i="64"/>
  <c r="F44" i="64"/>
  <c r="F17" i="64"/>
  <c r="F31" i="64"/>
  <c r="F36" i="64"/>
  <c r="F23" i="64"/>
  <c r="F22" i="64"/>
  <c r="F37" i="64"/>
  <c r="F15" i="64"/>
  <c r="F13" i="64"/>
  <c r="F18" i="64"/>
  <c r="F35" i="64"/>
  <c r="F12" i="64"/>
  <c r="F29" i="64"/>
  <c r="F21" i="64"/>
  <c r="F11" i="64"/>
  <c r="F34" i="64"/>
  <c r="F16" i="64"/>
  <c r="F38" i="64"/>
  <c r="F45" i="64"/>
  <c r="G45" i="64" s="1"/>
  <c r="F27" i="64"/>
  <c r="F14" i="64"/>
  <c r="F10" i="64"/>
  <c r="F28" i="64"/>
  <c r="F43" i="64"/>
  <c r="G18" i="409"/>
  <c r="I18" i="409"/>
  <c r="I44" i="409"/>
  <c r="G44" i="409"/>
  <c r="I26" i="362"/>
  <c r="G26" i="362"/>
  <c r="I39" i="165"/>
  <c r="G39" i="165"/>
  <c r="G38" i="165"/>
  <c r="I38" i="165"/>
  <c r="I30" i="145"/>
  <c r="G30" i="145"/>
  <c r="I38" i="228"/>
  <c r="G38" i="228"/>
  <c r="G34" i="228"/>
  <c r="I34" i="228"/>
  <c r="G31" i="248"/>
  <c r="I31" i="248"/>
  <c r="I43" i="248"/>
  <c r="G43" i="248"/>
  <c r="G18" i="126"/>
  <c r="I18" i="126"/>
  <c r="G17" i="126"/>
  <c r="I17" i="126"/>
  <c r="I38" i="88"/>
  <c r="G38" i="88"/>
  <c r="I46" i="164"/>
  <c r="F46" i="164" s="1"/>
  <c r="G46" i="164" s="1"/>
  <c r="I42" i="65"/>
  <c r="I46" i="65" s="1"/>
  <c r="F46" i="65" s="1"/>
  <c r="G46" i="65" s="1"/>
  <c r="G42" i="65"/>
  <c r="I21" i="65"/>
  <c r="G21" i="65"/>
  <c r="I17" i="255"/>
  <c r="G17" i="255"/>
  <c r="I12" i="255"/>
  <c r="G12" i="255"/>
  <c r="G30" i="391"/>
  <c r="I30" i="391"/>
  <c r="G26" i="391"/>
  <c r="I26" i="391"/>
  <c r="G44" i="346"/>
  <c r="I44" i="346"/>
  <c r="G29" i="346"/>
  <c r="I29" i="346"/>
  <c r="G11" i="171"/>
  <c r="I11" i="171"/>
  <c r="I15" i="171"/>
  <c r="G15" i="171"/>
  <c r="E48" i="393"/>
  <c r="G29" i="425"/>
  <c r="I29" i="425"/>
  <c r="I18" i="425"/>
  <c r="G18" i="425"/>
  <c r="I35" i="80"/>
  <c r="G35" i="80"/>
  <c r="G12" i="80"/>
  <c r="I12" i="80"/>
  <c r="I18" i="368"/>
  <c r="G18" i="368"/>
  <c r="I22" i="142"/>
  <c r="G22" i="142"/>
  <c r="I37" i="142"/>
  <c r="G37" i="142"/>
  <c r="I35" i="365"/>
  <c r="G35" i="365"/>
  <c r="I23" i="365"/>
  <c r="G23" i="365"/>
  <c r="I36" i="457"/>
  <c r="G36" i="457"/>
  <c r="I28" i="457"/>
  <c r="G28" i="457"/>
  <c r="G35" i="204"/>
  <c r="I35" i="204"/>
  <c r="J50" i="337"/>
  <c r="E50" i="337"/>
  <c r="G18" i="234"/>
  <c r="I18" i="234"/>
  <c r="I23" i="316"/>
  <c r="G23" i="316"/>
  <c r="I22" i="316"/>
  <c r="G22" i="316"/>
  <c r="E34" i="423"/>
  <c r="E26" i="423"/>
  <c r="E38" i="423"/>
  <c r="E42" i="423"/>
  <c r="E37" i="423"/>
  <c r="E32" i="423"/>
  <c r="E35" i="423"/>
  <c r="E31" i="423"/>
  <c r="E30" i="423"/>
  <c r="E29" i="423"/>
  <c r="E43" i="423"/>
  <c r="E23" i="423"/>
  <c r="E44" i="423"/>
  <c r="E24" i="423"/>
  <c r="E39" i="423"/>
  <c r="E28" i="423"/>
  <c r="E45" i="423"/>
  <c r="E21" i="423"/>
  <c r="E36" i="423"/>
  <c r="E27" i="423"/>
  <c r="E22" i="423"/>
  <c r="G23" i="443"/>
  <c r="I23" i="443"/>
  <c r="G11" i="443"/>
  <c r="I11" i="443"/>
  <c r="I17" i="176"/>
  <c r="G17" i="176"/>
  <c r="I43" i="176"/>
  <c r="G43" i="176"/>
  <c r="G42" i="318"/>
  <c r="I42" i="318"/>
  <c r="I10" i="318"/>
  <c r="G10" i="318"/>
  <c r="F42" i="295"/>
  <c r="F36" i="295"/>
  <c r="F16" i="295"/>
  <c r="F29" i="295"/>
  <c r="F15" i="295"/>
  <c r="F12" i="295"/>
  <c r="F43" i="295"/>
  <c r="F45" i="295"/>
  <c r="G45" i="295" s="1"/>
  <c r="F37" i="295"/>
  <c r="F18" i="295"/>
  <c r="F31" i="295"/>
  <c r="F23" i="295"/>
  <c r="F30" i="295"/>
  <c r="F28" i="295"/>
  <c r="F10" i="295"/>
  <c r="F35" i="295"/>
  <c r="F21" i="295"/>
  <c r="F34" i="295"/>
  <c r="F22" i="295"/>
  <c r="F44" i="295"/>
  <c r="F17" i="295"/>
  <c r="F38" i="295"/>
  <c r="F39" i="295"/>
  <c r="F11" i="295"/>
  <c r="F27" i="295"/>
  <c r="F14" i="295"/>
  <c r="F13" i="295"/>
  <c r="F26" i="295"/>
  <c r="F28" i="470"/>
  <c r="F11" i="470"/>
  <c r="F38" i="470"/>
  <c r="F29" i="470"/>
  <c r="F12" i="470"/>
  <c r="F21" i="470"/>
  <c r="F27" i="470"/>
  <c r="F37" i="470"/>
  <c r="F10" i="470"/>
  <c r="F18" i="470"/>
  <c r="F15" i="470"/>
  <c r="F45" i="470"/>
  <c r="G45" i="470" s="1"/>
  <c r="F43" i="470"/>
  <c r="F17" i="470"/>
  <c r="F16" i="470"/>
  <c r="F30" i="470"/>
  <c r="F34" i="470"/>
  <c r="F31" i="470"/>
  <c r="F44" i="470"/>
  <c r="F14" i="470"/>
  <c r="F23" i="470"/>
  <c r="F39" i="470"/>
  <c r="F13" i="470"/>
  <c r="F42" i="470"/>
  <c r="F26" i="470"/>
  <c r="F35" i="470"/>
  <c r="F36" i="470"/>
  <c r="F22" i="470"/>
  <c r="G43" i="426"/>
  <c r="I43" i="426"/>
  <c r="I27" i="215"/>
  <c r="G27" i="215"/>
  <c r="I18" i="121"/>
  <c r="G18" i="121"/>
  <c r="G35" i="121"/>
  <c r="I35" i="121"/>
  <c r="G38" i="259"/>
  <c r="I38" i="259"/>
  <c r="I28" i="259"/>
  <c r="G28" i="259"/>
  <c r="E29" i="337"/>
  <c r="E38" i="337"/>
  <c r="E30" i="337"/>
  <c r="E21" i="337"/>
  <c r="E31" i="337"/>
  <c r="E39" i="337"/>
  <c r="E37" i="337"/>
  <c r="E22" i="337"/>
  <c r="E23" i="337"/>
  <c r="E36" i="337"/>
  <c r="E42" i="337"/>
  <c r="E40" i="337"/>
  <c r="E24" i="337"/>
  <c r="E43" i="337"/>
  <c r="E26" i="337"/>
  <c r="E35" i="337"/>
  <c r="E44" i="337"/>
  <c r="E32" i="337"/>
  <c r="E27" i="337"/>
  <c r="E45" i="337"/>
  <c r="E28" i="337"/>
  <c r="E34" i="337"/>
  <c r="G14" i="428"/>
  <c r="I14" i="428"/>
  <c r="I34" i="428"/>
  <c r="G34" i="428"/>
  <c r="G42" i="322"/>
  <c r="I42" i="322"/>
  <c r="G14" i="322"/>
  <c r="I14" i="322"/>
  <c r="G34" i="154"/>
  <c r="I34" i="154"/>
  <c r="I17" i="154"/>
  <c r="G17" i="154"/>
  <c r="G38" i="305"/>
  <c r="I38" i="305"/>
  <c r="G22" i="305"/>
  <c r="I22" i="305"/>
  <c r="E40" i="218"/>
  <c r="I26" i="350"/>
  <c r="G26" i="350"/>
  <c r="I35" i="234"/>
  <c r="G35" i="234"/>
  <c r="I17" i="234"/>
  <c r="G17" i="234"/>
  <c r="E48" i="291"/>
  <c r="I36" i="287"/>
  <c r="G36" i="287"/>
  <c r="G26" i="287"/>
  <c r="I26" i="287"/>
  <c r="E32" i="437"/>
  <c r="E35" i="437"/>
  <c r="E34" i="437"/>
  <c r="E31" i="437"/>
  <c r="E42" i="437"/>
  <c r="E30" i="437"/>
  <c r="E29" i="437"/>
  <c r="E28" i="437"/>
  <c r="E45" i="437"/>
  <c r="E23" i="437"/>
  <c r="E40" i="437"/>
  <c r="E22" i="437"/>
  <c r="E21" i="437"/>
  <c r="E44" i="437"/>
  <c r="E43" i="437"/>
  <c r="E39" i="437"/>
  <c r="E38" i="437"/>
  <c r="E37" i="437"/>
  <c r="E27" i="437"/>
  <c r="E36" i="437"/>
  <c r="E24" i="437"/>
  <c r="E26" i="437"/>
  <c r="I22" i="380"/>
  <c r="G22" i="380"/>
  <c r="I10" i="380"/>
  <c r="G10" i="380"/>
  <c r="I34" i="21"/>
  <c r="G34" i="21"/>
  <c r="G23" i="21"/>
  <c r="I23" i="21"/>
  <c r="I43" i="224"/>
  <c r="G43" i="224"/>
  <c r="I13" i="224"/>
  <c r="G13" i="224"/>
  <c r="I31" i="335"/>
  <c r="G31" i="335"/>
  <c r="G21" i="335"/>
  <c r="I21" i="335"/>
  <c r="I23" i="431"/>
  <c r="G23" i="431"/>
  <c r="G27" i="431"/>
  <c r="I27" i="431"/>
  <c r="G26" i="211"/>
  <c r="I26" i="211"/>
  <c r="G30" i="166"/>
  <c r="I30" i="166"/>
  <c r="G35" i="166"/>
  <c r="I35" i="166"/>
  <c r="I23" i="376"/>
  <c r="G23" i="376"/>
  <c r="I12" i="376"/>
  <c r="G12" i="376"/>
  <c r="I21" i="371"/>
  <c r="G21" i="371"/>
  <c r="I23" i="371"/>
  <c r="G23" i="371"/>
  <c r="F34" i="275"/>
  <c r="F38" i="275"/>
  <c r="F44" i="275"/>
  <c r="F27" i="275"/>
  <c r="F16" i="275"/>
  <c r="F26" i="275"/>
  <c r="F37" i="275"/>
  <c r="F17" i="275"/>
  <c r="F14" i="275"/>
  <c r="F29" i="275"/>
  <c r="F18" i="275"/>
  <c r="F45" i="275"/>
  <c r="G45" i="275" s="1"/>
  <c r="F21" i="275"/>
  <c r="F39" i="275"/>
  <c r="F13" i="275"/>
  <c r="F28" i="275"/>
  <c r="F22" i="275"/>
  <c r="F11" i="275"/>
  <c r="F43" i="275"/>
  <c r="F12" i="275"/>
  <c r="F15" i="275"/>
  <c r="F23" i="275"/>
  <c r="F31" i="275"/>
  <c r="F42" i="275"/>
  <c r="F10" i="275"/>
  <c r="F35" i="275"/>
  <c r="F30" i="275"/>
  <c r="F36" i="275"/>
  <c r="I24" i="187"/>
  <c r="F24" i="187" s="1"/>
  <c r="G24" i="187" s="1"/>
  <c r="D48" i="476"/>
  <c r="E32" i="476" s="1"/>
  <c r="G14" i="225"/>
  <c r="I14" i="225"/>
  <c r="I29" i="300"/>
  <c r="G29" i="300"/>
  <c r="G35" i="300"/>
  <c r="I35" i="300"/>
  <c r="G39" i="409"/>
  <c r="I39" i="409"/>
  <c r="I31" i="409"/>
  <c r="G31" i="409"/>
  <c r="I22" i="362"/>
  <c r="G22" i="362"/>
  <c r="I36" i="362"/>
  <c r="G36" i="362"/>
  <c r="I15" i="165"/>
  <c r="G15" i="165"/>
  <c r="I26" i="165"/>
  <c r="G26" i="165"/>
  <c r="H48" i="269"/>
  <c r="H50" i="269" s="1"/>
  <c r="E6" i="269" s="1"/>
  <c r="I17" i="145"/>
  <c r="G17" i="145"/>
  <c r="G14" i="228"/>
  <c r="I14" i="228"/>
  <c r="I43" i="228"/>
  <c r="G43" i="228"/>
  <c r="G22" i="248"/>
  <c r="I22" i="248"/>
  <c r="I36" i="248"/>
  <c r="G36" i="248"/>
  <c r="I26" i="126"/>
  <c r="G26" i="126"/>
  <c r="I13" i="126"/>
  <c r="G13" i="126"/>
  <c r="I11" i="88"/>
  <c r="G11" i="88"/>
  <c r="I15" i="65"/>
  <c r="G15" i="65"/>
  <c r="G18" i="65"/>
  <c r="I18" i="65"/>
  <c r="G42" i="255"/>
  <c r="I42" i="255"/>
  <c r="I14" i="255"/>
  <c r="G14" i="255"/>
  <c r="G42" i="391"/>
  <c r="I42" i="391"/>
  <c r="I18" i="391"/>
  <c r="G18" i="391"/>
  <c r="I12" i="346"/>
  <c r="G12" i="346"/>
  <c r="I35" i="346"/>
  <c r="G35" i="346"/>
  <c r="I16" i="171"/>
  <c r="G16" i="171"/>
  <c r="G31" i="171"/>
  <c r="I31" i="171"/>
  <c r="E6" i="489"/>
  <c r="I17" i="425"/>
  <c r="G17" i="425"/>
  <c r="I11" i="425"/>
  <c r="G11" i="425"/>
  <c r="G15" i="80"/>
  <c r="I15" i="80"/>
  <c r="I14" i="80"/>
  <c r="G14" i="80"/>
  <c r="G43" i="368"/>
  <c r="I43" i="368"/>
  <c r="I17" i="142"/>
  <c r="G17" i="142"/>
  <c r="I26" i="142"/>
  <c r="G26" i="142"/>
  <c r="E48" i="168"/>
  <c r="I28" i="365"/>
  <c r="G28" i="365"/>
  <c r="I30" i="365"/>
  <c r="G30" i="365"/>
  <c r="I32" i="356"/>
  <c r="F32" i="356" s="1"/>
  <c r="G32" i="356" s="1"/>
  <c r="I30" i="457"/>
  <c r="G30" i="457"/>
  <c r="G23" i="457"/>
  <c r="I23" i="457"/>
  <c r="I11" i="204"/>
  <c r="G11" i="204"/>
  <c r="H48" i="463"/>
  <c r="H50" i="463" s="1"/>
  <c r="E6" i="463" s="1"/>
  <c r="A54" i="481"/>
  <c r="I51" i="481"/>
  <c r="F50" i="481"/>
  <c r="G6" i="481"/>
  <c r="G5" i="481"/>
  <c r="A54" i="479"/>
  <c r="I51" i="479"/>
  <c r="F50" i="479"/>
  <c r="G6" i="479"/>
  <c r="G5" i="479"/>
  <c r="I24" i="475"/>
  <c r="I24" i="474"/>
  <c r="I44" i="473"/>
  <c r="G44" i="473"/>
  <c r="I43" i="473"/>
  <c r="G43" i="473"/>
  <c r="I42" i="473"/>
  <c r="G42" i="473"/>
  <c r="I39" i="473"/>
  <c r="G39" i="473"/>
  <c r="I38" i="473"/>
  <c r="G38" i="473"/>
  <c r="I37" i="473"/>
  <c r="G37" i="473"/>
  <c r="I36" i="473"/>
  <c r="G36" i="473"/>
  <c r="I35" i="473"/>
  <c r="G35" i="473"/>
  <c r="I34" i="473"/>
  <c r="G34" i="473"/>
  <c r="I31" i="473"/>
  <c r="G31" i="473"/>
  <c r="I30" i="473"/>
  <c r="G30" i="473"/>
  <c r="I29" i="473"/>
  <c r="G29" i="473"/>
  <c r="I28" i="473"/>
  <c r="G28" i="473"/>
  <c r="I27" i="473"/>
  <c r="G27" i="473"/>
  <c r="I26" i="473"/>
  <c r="G26" i="473"/>
  <c r="I23" i="473"/>
  <c r="G23" i="473"/>
  <c r="I22" i="473"/>
  <c r="G22" i="473"/>
  <c r="I21" i="473"/>
  <c r="G21" i="473"/>
  <c r="I18" i="473"/>
  <c r="G18" i="473"/>
  <c r="I17" i="473"/>
  <c r="G17" i="473"/>
  <c r="I16" i="473"/>
  <c r="G16" i="473"/>
  <c r="I15" i="473"/>
  <c r="G15" i="473"/>
  <c r="I14" i="473"/>
  <c r="G14" i="473"/>
  <c r="I13" i="473"/>
  <c r="G13" i="473"/>
  <c r="I12" i="473"/>
  <c r="G12" i="473"/>
  <c r="I11" i="473"/>
  <c r="G11" i="473"/>
  <c r="I10" i="473"/>
  <c r="G10" i="473"/>
  <c r="E48" i="471"/>
  <c r="F10" i="471"/>
  <c r="F11" i="471"/>
  <c r="F12" i="471"/>
  <c r="F13" i="471"/>
  <c r="F14" i="471"/>
  <c r="F15" i="471"/>
  <c r="F16" i="471"/>
  <c r="F17" i="471"/>
  <c r="F18" i="471"/>
  <c r="F21" i="471"/>
  <c r="F22" i="471"/>
  <c r="F23" i="471"/>
  <c r="F26" i="471"/>
  <c r="F27" i="471"/>
  <c r="F28" i="471"/>
  <c r="F29" i="471"/>
  <c r="F30" i="471"/>
  <c r="F31" i="471"/>
  <c r="F34" i="471"/>
  <c r="F35" i="471"/>
  <c r="F36" i="471"/>
  <c r="F37" i="471"/>
  <c r="F38" i="471"/>
  <c r="F39" i="471"/>
  <c r="F42" i="471"/>
  <c r="F43" i="471"/>
  <c r="F44" i="471"/>
  <c r="F45" i="471"/>
  <c r="G45" i="471" s="1"/>
  <c r="I22" i="188" l="1"/>
  <c r="I24" i="188" s="1"/>
  <c r="F24" i="188" s="1"/>
  <c r="G24" i="188" s="1"/>
  <c r="G22" i="188"/>
  <c r="E48" i="150"/>
  <c r="I19" i="182"/>
  <c r="F19" i="182" s="1"/>
  <c r="G19" i="182" s="1"/>
  <c r="I40" i="282"/>
  <c r="F40" i="282" s="1"/>
  <c r="G40" i="282" s="1"/>
  <c r="G26" i="188"/>
  <c r="I26" i="188"/>
  <c r="F13" i="158"/>
  <c r="F36" i="158"/>
  <c r="F10" i="158"/>
  <c r="F21" i="158"/>
  <c r="F29" i="158"/>
  <c r="F44" i="158"/>
  <c r="F34" i="158"/>
  <c r="F15" i="158"/>
  <c r="F28" i="158"/>
  <c r="F14" i="158"/>
  <c r="F16" i="158"/>
  <c r="F42" i="158"/>
  <c r="F35" i="158"/>
  <c r="F17" i="158"/>
  <c r="F30" i="158"/>
  <c r="F22" i="158"/>
  <c r="F27" i="158"/>
  <c r="F12" i="158"/>
  <c r="F18" i="158"/>
  <c r="F38" i="158"/>
  <c r="F43" i="158"/>
  <c r="F12" i="58"/>
  <c r="F26" i="58"/>
  <c r="F28" i="58"/>
  <c r="F37" i="58"/>
  <c r="F31" i="58"/>
  <c r="F11" i="58"/>
  <c r="F43" i="58"/>
  <c r="F23" i="58"/>
  <c r="F17" i="58"/>
  <c r="F45" i="58"/>
  <c r="G45" i="58" s="1"/>
  <c r="F15" i="58"/>
  <c r="F10" i="58"/>
  <c r="F21" i="58"/>
  <c r="F22" i="58"/>
  <c r="I44" i="217"/>
  <c r="G44" i="217"/>
  <c r="G22" i="105"/>
  <c r="I22" i="105"/>
  <c r="I29" i="129"/>
  <c r="G29" i="129"/>
  <c r="I42" i="335"/>
  <c r="G42" i="335"/>
  <c r="G23" i="171"/>
  <c r="I23" i="171"/>
  <c r="I26" i="425"/>
  <c r="G26" i="425"/>
  <c r="F18" i="452"/>
  <c r="F12" i="452"/>
  <c r="F28" i="452"/>
  <c r="F30" i="452"/>
  <c r="F11" i="452"/>
  <c r="F21" i="452"/>
  <c r="F38" i="452"/>
  <c r="F23" i="452"/>
  <c r="F36" i="452"/>
  <c r="F13" i="452"/>
  <c r="F15" i="452"/>
  <c r="F17" i="452"/>
  <c r="F22" i="452"/>
  <c r="F44" i="452"/>
  <c r="F37" i="452"/>
  <c r="F26" i="452"/>
  <c r="F27" i="452"/>
  <c r="F29" i="452"/>
  <c r="F31" i="452"/>
  <c r="F10" i="452"/>
  <c r="F34" i="452"/>
  <c r="G15" i="107"/>
  <c r="I15" i="107"/>
  <c r="I28" i="305"/>
  <c r="G28" i="305"/>
  <c r="G27" i="107"/>
  <c r="I27" i="107"/>
  <c r="G13" i="107"/>
  <c r="I13" i="107"/>
  <c r="G28" i="270"/>
  <c r="I28" i="270"/>
  <c r="I43" i="270"/>
  <c r="G43" i="270"/>
  <c r="I16" i="270"/>
  <c r="G16" i="270"/>
  <c r="I30" i="270"/>
  <c r="G30" i="270"/>
  <c r="G37" i="378"/>
  <c r="I37" i="378"/>
  <c r="I28" i="378"/>
  <c r="G28" i="378"/>
  <c r="I21" i="378"/>
  <c r="G21" i="378"/>
  <c r="G12" i="439"/>
  <c r="I12" i="439"/>
  <c r="G23" i="439"/>
  <c r="I23" i="439"/>
  <c r="I35" i="439"/>
  <c r="G35" i="439"/>
  <c r="G43" i="439"/>
  <c r="I43" i="439"/>
  <c r="G15" i="439"/>
  <c r="I15" i="439"/>
  <c r="I15" i="113"/>
  <c r="G15" i="113"/>
  <c r="G44" i="113"/>
  <c r="I44" i="113"/>
  <c r="G29" i="371"/>
  <c r="I29" i="371"/>
  <c r="I27" i="380"/>
  <c r="G27" i="380"/>
  <c r="I26" i="380"/>
  <c r="G26" i="380"/>
  <c r="I29" i="142"/>
  <c r="G29" i="142"/>
  <c r="G42" i="42"/>
  <c r="I42" i="42"/>
  <c r="I46" i="42" s="1"/>
  <c r="F46" i="42" s="1"/>
  <c r="G46" i="42" s="1"/>
  <c r="I36" i="42"/>
  <c r="G36" i="42"/>
  <c r="G11" i="42"/>
  <c r="I11" i="42"/>
  <c r="G13" i="105"/>
  <c r="I13" i="105"/>
  <c r="I11" i="331"/>
  <c r="G11" i="331"/>
  <c r="I27" i="121"/>
  <c r="G27" i="121"/>
  <c r="I37" i="65"/>
  <c r="G37" i="65"/>
  <c r="G14" i="126"/>
  <c r="I14" i="126"/>
  <c r="F29" i="386"/>
  <c r="F42" i="386"/>
  <c r="F22" i="386"/>
  <c r="F12" i="386"/>
  <c r="F13" i="386"/>
  <c r="F37" i="386"/>
  <c r="F38" i="386"/>
  <c r="F39" i="386"/>
  <c r="F30" i="386"/>
  <c r="F18" i="386"/>
  <c r="F23" i="386"/>
  <c r="F35" i="386"/>
  <c r="F26" i="386"/>
  <c r="F28" i="386"/>
  <c r="F11" i="386"/>
  <c r="F45" i="386"/>
  <c r="G45" i="386" s="1"/>
  <c r="F27" i="386"/>
  <c r="F34" i="386"/>
  <c r="F10" i="386"/>
  <c r="F31" i="386"/>
  <c r="F14" i="386"/>
  <c r="F15" i="386"/>
  <c r="F16" i="386"/>
  <c r="F21" i="386"/>
  <c r="F44" i="386"/>
  <c r="F36" i="386"/>
  <c r="F17" i="386"/>
  <c r="F43" i="386"/>
  <c r="G28" i="346"/>
  <c r="I28" i="346"/>
  <c r="I22" i="259"/>
  <c r="G22" i="259"/>
  <c r="I23" i="331"/>
  <c r="G23" i="331"/>
  <c r="I26" i="331"/>
  <c r="G26" i="331"/>
  <c r="I37" i="331"/>
  <c r="G37" i="331"/>
  <c r="I18" i="305"/>
  <c r="G18" i="305"/>
  <c r="G17" i="171"/>
  <c r="G36" i="126"/>
  <c r="F34" i="58"/>
  <c r="F44" i="58"/>
  <c r="F38" i="58"/>
  <c r="F13" i="58"/>
  <c r="G12" i="204"/>
  <c r="I27" i="425"/>
  <c r="G37" i="305"/>
  <c r="F23" i="158"/>
  <c r="I34" i="371"/>
  <c r="I40" i="42"/>
  <c r="F40" i="42" s="1"/>
  <c r="G40" i="42" s="1"/>
  <c r="G13" i="42"/>
  <c r="G21" i="113"/>
  <c r="F16" i="452"/>
  <c r="I46" i="113"/>
  <c r="F46" i="113" s="1"/>
  <c r="G46" i="113" s="1"/>
  <c r="I46" i="353"/>
  <c r="F46" i="353" s="1"/>
  <c r="G46" i="353" s="1"/>
  <c r="F39" i="301"/>
  <c r="F42" i="301"/>
  <c r="F43" i="301"/>
  <c r="F10" i="301"/>
  <c r="F11" i="301"/>
  <c r="F17" i="301"/>
  <c r="F13" i="301"/>
  <c r="F26" i="301"/>
  <c r="F21" i="301"/>
  <c r="F28" i="301"/>
  <c r="F37" i="301"/>
  <c r="F35" i="301"/>
  <c r="F45" i="301"/>
  <c r="G45" i="301" s="1"/>
  <c r="F18" i="301"/>
  <c r="F29" i="301"/>
  <c r="F12" i="301"/>
  <c r="F31" i="301"/>
  <c r="F44" i="301"/>
  <c r="F23" i="301"/>
  <c r="F30" i="301"/>
  <c r="F22" i="301"/>
  <c r="F14" i="307"/>
  <c r="F34" i="307"/>
  <c r="G34" i="307" s="1"/>
  <c r="F12" i="307"/>
  <c r="F37" i="307"/>
  <c r="F36" i="307"/>
  <c r="F15" i="307"/>
  <c r="F10" i="307"/>
  <c r="F35" i="307"/>
  <c r="F44" i="307"/>
  <c r="F18" i="307"/>
  <c r="F11" i="307"/>
  <c r="F43" i="307"/>
  <c r="F17" i="307"/>
  <c r="F38" i="307"/>
  <c r="F31" i="307"/>
  <c r="F26" i="307"/>
  <c r="F22" i="307"/>
  <c r="F29" i="307"/>
  <c r="F21" i="307"/>
  <c r="F23" i="307"/>
  <c r="F27" i="307"/>
  <c r="I34" i="217"/>
  <c r="G34" i="217"/>
  <c r="G11" i="105"/>
  <c r="I11" i="105"/>
  <c r="I44" i="66"/>
  <c r="G44" i="66"/>
  <c r="G21" i="209"/>
  <c r="I21" i="209"/>
  <c r="I29" i="410"/>
  <c r="G29" i="410"/>
  <c r="G44" i="153"/>
  <c r="I44" i="153"/>
  <c r="I31" i="134"/>
  <c r="G31" i="134"/>
  <c r="I10" i="134"/>
  <c r="G10" i="134"/>
  <c r="I22" i="132"/>
  <c r="G22" i="132"/>
  <c r="G30" i="170"/>
  <c r="I30" i="170"/>
  <c r="G10" i="412"/>
  <c r="I10" i="412"/>
  <c r="G17" i="412"/>
  <c r="I17" i="412"/>
  <c r="G22" i="412"/>
  <c r="I22" i="412"/>
  <c r="I11" i="412"/>
  <c r="G11" i="412"/>
  <c r="G39" i="412"/>
  <c r="I39" i="412"/>
  <c r="I34" i="412"/>
  <c r="G34" i="412"/>
  <c r="I27" i="412"/>
  <c r="G27" i="412"/>
  <c r="G12" i="209"/>
  <c r="I12" i="209"/>
  <c r="G15" i="410"/>
  <c r="I15" i="410"/>
  <c r="I29" i="153"/>
  <c r="G29" i="153"/>
  <c r="G15" i="100"/>
  <c r="I15" i="100"/>
  <c r="G16" i="100"/>
  <c r="I16" i="100"/>
  <c r="I19" i="100" s="1"/>
  <c r="F19" i="100" s="1"/>
  <c r="G19" i="100" s="1"/>
  <c r="I42" i="132"/>
  <c r="I46" i="132" s="1"/>
  <c r="F46" i="132" s="1"/>
  <c r="G46" i="132" s="1"/>
  <c r="G42" i="132"/>
  <c r="I34" i="137"/>
  <c r="I40" i="137" s="1"/>
  <c r="F40" i="137" s="1"/>
  <c r="G40" i="137" s="1"/>
  <c r="G34" i="137"/>
  <c r="G38" i="209"/>
  <c r="I38" i="209"/>
  <c r="I19" i="282"/>
  <c r="F19" i="282" s="1"/>
  <c r="G19" i="282" s="1"/>
  <c r="I15" i="402"/>
  <c r="I19" i="402" s="1"/>
  <c r="F19" i="402" s="1"/>
  <c r="G19" i="402" s="1"/>
  <c r="G15" i="402"/>
  <c r="I31" i="264"/>
  <c r="G31" i="264"/>
  <c r="G10" i="264"/>
  <c r="I10" i="264"/>
  <c r="I39" i="383"/>
  <c r="G39" i="383"/>
  <c r="G11" i="217"/>
  <c r="I11" i="217"/>
  <c r="G27" i="280"/>
  <c r="I27" i="280"/>
  <c r="I17" i="280"/>
  <c r="G17" i="280"/>
  <c r="G42" i="50"/>
  <c r="I42" i="50"/>
  <c r="I46" i="50" s="1"/>
  <c r="F46" i="50" s="1"/>
  <c r="G46" i="50" s="1"/>
  <c r="G15" i="50"/>
  <c r="I15" i="50"/>
  <c r="I13" i="244"/>
  <c r="G13" i="244"/>
  <c r="G30" i="81"/>
  <c r="I30" i="81"/>
  <c r="G39" i="81"/>
  <c r="I39" i="81"/>
  <c r="G14" i="81"/>
  <c r="I14" i="81"/>
  <c r="F39" i="15"/>
  <c r="F38" i="15"/>
  <c r="F45" i="15"/>
  <c r="G45" i="15" s="1"/>
  <c r="F43" i="15"/>
  <c r="F17" i="15"/>
  <c r="F21" i="15"/>
  <c r="F27" i="15"/>
  <c r="F26" i="15"/>
  <c r="F31" i="15"/>
  <c r="F14" i="15"/>
  <c r="F30" i="15"/>
  <c r="F36" i="15"/>
  <c r="F42" i="15"/>
  <c r="F10" i="15"/>
  <c r="F22" i="15"/>
  <c r="F34" i="15"/>
  <c r="F12" i="15"/>
  <c r="F15" i="15"/>
  <c r="F11" i="15"/>
  <c r="F18" i="15"/>
  <c r="F28" i="15"/>
  <c r="I32" i="126"/>
  <c r="F32" i="126" s="1"/>
  <c r="G32" i="126" s="1"/>
  <c r="E46" i="478"/>
  <c r="A52" i="478" s="1"/>
  <c r="I11" i="215"/>
  <c r="G35" i="215"/>
  <c r="I40" i="391"/>
  <c r="F40" i="391" s="1"/>
  <c r="G40" i="391" s="1"/>
  <c r="I32" i="224"/>
  <c r="F32" i="224" s="1"/>
  <c r="G32" i="224" s="1"/>
  <c r="G18" i="346"/>
  <c r="F16" i="58"/>
  <c r="F27" i="58"/>
  <c r="F42" i="58"/>
  <c r="I34" i="126"/>
  <c r="F45" i="158"/>
  <c r="G45" i="158" s="1"/>
  <c r="F26" i="158"/>
  <c r="I18" i="322"/>
  <c r="I13" i="65"/>
  <c r="I29" i="331"/>
  <c r="F35" i="452"/>
  <c r="F14" i="452"/>
  <c r="G26" i="66"/>
  <c r="I42" i="66"/>
  <c r="I19" i="411"/>
  <c r="F19" i="411" s="1"/>
  <c r="G19" i="411" s="1"/>
  <c r="F42" i="41"/>
  <c r="F15" i="41"/>
  <c r="F45" i="41"/>
  <c r="G45" i="41" s="1"/>
  <c r="F29" i="41"/>
  <c r="F35" i="41"/>
  <c r="F16" i="41"/>
  <c r="F12" i="41"/>
  <c r="F43" i="41"/>
  <c r="F17" i="41"/>
  <c r="F31" i="41"/>
  <c r="F44" i="41"/>
  <c r="F37" i="41"/>
  <c r="F11" i="41"/>
  <c r="F22" i="41"/>
  <c r="F36" i="41"/>
  <c r="F23" i="41"/>
  <c r="F30" i="41"/>
  <c r="F27" i="41"/>
  <c r="F34" i="41"/>
  <c r="F18" i="41"/>
  <c r="F14" i="41"/>
  <c r="E48" i="75"/>
  <c r="E40" i="478"/>
  <c r="F36" i="58"/>
  <c r="F29" i="58"/>
  <c r="F35" i="58"/>
  <c r="F31" i="158"/>
  <c r="F39" i="158"/>
  <c r="G43" i="305"/>
  <c r="I39" i="121"/>
  <c r="I31" i="380"/>
  <c r="I36" i="380"/>
  <c r="I12" i="305"/>
  <c r="G13" i="259"/>
  <c r="I34" i="105"/>
  <c r="I40" i="105" s="1"/>
  <c r="F40" i="105" s="1"/>
  <c r="G40" i="105" s="1"/>
  <c r="G16" i="331"/>
  <c r="I43" i="215"/>
  <c r="G43" i="215"/>
  <c r="G38" i="42"/>
  <c r="G12" i="66"/>
  <c r="I22" i="331"/>
  <c r="F42" i="452"/>
  <c r="F39" i="452"/>
  <c r="G23" i="378"/>
  <c r="F27" i="406"/>
  <c r="F23" i="406"/>
  <c r="F11" i="406"/>
  <c r="F13" i="406"/>
  <c r="F39" i="406"/>
  <c r="F15" i="406"/>
  <c r="F37" i="406"/>
  <c r="F28" i="406"/>
  <c r="F34" i="406"/>
  <c r="F42" i="406"/>
  <c r="F12" i="406"/>
  <c r="F45" i="406"/>
  <c r="G45" i="406" s="1"/>
  <c r="F10" i="406"/>
  <c r="F14" i="406"/>
  <c r="F36" i="406"/>
  <c r="F30" i="406"/>
  <c r="F31" i="406"/>
  <c r="F35" i="406"/>
  <c r="F18" i="406"/>
  <c r="F16" i="406"/>
  <c r="F17" i="406"/>
  <c r="F21" i="342"/>
  <c r="F11" i="342"/>
  <c r="G11" i="342" s="1"/>
  <c r="F34" i="342"/>
  <c r="F14" i="342"/>
  <c r="F13" i="342"/>
  <c r="F27" i="342"/>
  <c r="I27" i="342" s="1"/>
  <c r="F37" i="342"/>
  <c r="F12" i="342"/>
  <c r="F29" i="342"/>
  <c r="F44" i="342"/>
  <c r="F16" i="342"/>
  <c r="F38" i="342"/>
  <c r="F35" i="342"/>
  <c r="F39" i="342"/>
  <c r="F30" i="342"/>
  <c r="F17" i="342"/>
  <c r="F42" i="342"/>
  <c r="F31" i="342"/>
  <c r="F26" i="342"/>
  <c r="F43" i="342"/>
  <c r="F18" i="342"/>
  <c r="I27" i="217"/>
  <c r="G27" i="217"/>
  <c r="F27" i="273"/>
  <c r="F17" i="273"/>
  <c r="F36" i="273"/>
  <c r="F26" i="273"/>
  <c r="F14" i="273"/>
  <c r="F23" i="273"/>
  <c r="F45" i="273"/>
  <c r="G45" i="273" s="1"/>
  <c r="F35" i="273"/>
  <c r="G35" i="273" s="1"/>
  <c r="F30" i="273"/>
  <c r="F38" i="273"/>
  <c r="F10" i="273"/>
  <c r="F11" i="273"/>
  <c r="I11" i="273" s="1"/>
  <c r="F18" i="273"/>
  <c r="F29" i="273"/>
  <c r="F15" i="273"/>
  <c r="F22" i="273"/>
  <c r="F16" i="273"/>
  <c r="F28" i="273"/>
  <c r="F12" i="273"/>
  <c r="F13" i="273"/>
  <c r="F37" i="273"/>
  <c r="I29" i="105"/>
  <c r="G29" i="105"/>
  <c r="F31" i="357"/>
  <c r="G31" i="357" s="1"/>
  <c r="F36" i="357"/>
  <c r="F45" i="357"/>
  <c r="G45" i="357" s="1"/>
  <c r="F14" i="357"/>
  <c r="F21" i="357"/>
  <c r="G21" i="357" s="1"/>
  <c r="F44" i="357"/>
  <c r="F10" i="357"/>
  <c r="F34" i="357"/>
  <c r="F18" i="357"/>
  <c r="F26" i="357"/>
  <c r="F29" i="357"/>
  <c r="F27" i="357"/>
  <c r="F16" i="357"/>
  <c r="F39" i="357"/>
  <c r="F42" i="357"/>
  <c r="F28" i="357"/>
  <c r="F22" i="357"/>
  <c r="F30" i="357"/>
  <c r="F11" i="357"/>
  <c r="F23" i="357"/>
  <c r="F37" i="357"/>
  <c r="F14" i="399"/>
  <c r="F34" i="399"/>
  <c r="F18" i="399"/>
  <c r="I18" i="399" s="1"/>
  <c r="F22" i="399"/>
  <c r="F31" i="399"/>
  <c r="F21" i="399"/>
  <c r="F35" i="399"/>
  <c r="I35" i="399" s="1"/>
  <c r="F42" i="399"/>
  <c r="I42" i="399" s="1"/>
  <c r="F29" i="399"/>
  <c r="F30" i="399"/>
  <c r="F26" i="399"/>
  <c r="I26" i="399" s="1"/>
  <c r="F10" i="399"/>
  <c r="G10" i="399" s="1"/>
  <c r="F11" i="399"/>
  <c r="F43" i="399"/>
  <c r="F13" i="399"/>
  <c r="G13" i="399" s="1"/>
  <c r="F12" i="399"/>
  <c r="I12" i="399" s="1"/>
  <c r="F27" i="399"/>
  <c r="F45" i="399"/>
  <c r="G45" i="399" s="1"/>
  <c r="F16" i="399"/>
  <c r="I16" i="399" s="1"/>
  <c r="F23" i="399"/>
  <c r="I23" i="399" s="1"/>
  <c r="F39" i="399"/>
  <c r="I32" i="345"/>
  <c r="F32" i="345" s="1"/>
  <c r="G32" i="345" s="1"/>
  <c r="I46" i="306"/>
  <c r="F46" i="306" s="1"/>
  <c r="G46" i="306" s="1"/>
  <c r="I32" i="449"/>
  <c r="F32" i="449" s="1"/>
  <c r="G32" i="449" s="1"/>
  <c r="I22" i="209"/>
  <c r="G22" i="209"/>
  <c r="G23" i="153"/>
  <c r="I23" i="153"/>
  <c r="I24" i="288"/>
  <c r="F24" i="288" s="1"/>
  <c r="G24" i="288" s="1"/>
  <c r="G21" i="412"/>
  <c r="I21" i="412"/>
  <c r="G28" i="412"/>
  <c r="I28" i="412"/>
  <c r="G38" i="412"/>
  <c r="I38" i="412"/>
  <c r="G15" i="412"/>
  <c r="I15" i="412"/>
  <c r="G30" i="412"/>
  <c r="I30" i="412"/>
  <c r="I44" i="412"/>
  <c r="G44" i="412"/>
  <c r="G12" i="412"/>
  <c r="I12" i="412"/>
  <c r="I42" i="153"/>
  <c r="G42" i="153"/>
  <c r="I37" i="209"/>
  <c r="I40" i="209" s="1"/>
  <c r="F40" i="209" s="1"/>
  <c r="G40" i="209" s="1"/>
  <c r="G37" i="209"/>
  <c r="G18" i="113"/>
  <c r="I18" i="113"/>
  <c r="I46" i="395"/>
  <c r="F46" i="395" s="1"/>
  <c r="G46" i="395" s="1"/>
  <c r="I40" i="182"/>
  <c r="F40" i="182" s="1"/>
  <c r="G40" i="182" s="1"/>
  <c r="I32" i="107"/>
  <c r="F32" i="107" s="1"/>
  <c r="G32" i="107" s="1"/>
  <c r="I32" i="311"/>
  <c r="F32" i="311" s="1"/>
  <c r="G32" i="311" s="1"/>
  <c r="I24" i="241"/>
  <c r="F24" i="241" s="1"/>
  <c r="G24" i="241" s="1"/>
  <c r="C48" i="351"/>
  <c r="I46" i="296"/>
  <c r="F46" i="296" s="1"/>
  <c r="G46" i="296" s="1"/>
  <c r="I32" i="188"/>
  <c r="F32" i="188" s="1"/>
  <c r="G32" i="188" s="1"/>
  <c r="I19" i="348"/>
  <c r="F19" i="348" s="1"/>
  <c r="G19" i="348" s="1"/>
  <c r="I32" i="264"/>
  <c r="F32" i="264" s="1"/>
  <c r="G32" i="264" s="1"/>
  <c r="I46" i="411"/>
  <c r="F46" i="411" s="1"/>
  <c r="G46" i="411" s="1"/>
  <c r="I40" i="447"/>
  <c r="F40" i="447" s="1"/>
  <c r="G40" i="447" s="1"/>
  <c r="I19" i="447"/>
  <c r="F19" i="447" s="1"/>
  <c r="G19" i="447" s="1"/>
  <c r="G18" i="209"/>
  <c r="I18" i="209"/>
  <c r="G43" i="412"/>
  <c r="I43" i="412"/>
  <c r="G31" i="412"/>
  <c r="I31" i="412"/>
  <c r="I42" i="412"/>
  <c r="G42" i="412"/>
  <c r="G16" i="412"/>
  <c r="I16" i="412"/>
  <c r="I13" i="412"/>
  <c r="G13" i="412"/>
  <c r="G29" i="412"/>
  <c r="I29" i="412"/>
  <c r="G43" i="153"/>
  <c r="I43" i="153"/>
  <c r="I46" i="288"/>
  <c r="F46" i="288" s="1"/>
  <c r="G46" i="288" s="1"/>
  <c r="G14" i="209"/>
  <c r="I14" i="209"/>
  <c r="G29" i="209"/>
  <c r="I29" i="209"/>
  <c r="I32" i="288"/>
  <c r="F32" i="288" s="1"/>
  <c r="G32" i="288" s="1"/>
  <c r="G31" i="322"/>
  <c r="I31" i="322"/>
  <c r="I19" i="50"/>
  <c r="F19" i="50" s="1"/>
  <c r="G19" i="50" s="1"/>
  <c r="I46" i="219"/>
  <c r="F46" i="219" s="1"/>
  <c r="G46" i="219" s="1"/>
  <c r="I46" i="345"/>
  <c r="F46" i="345" s="1"/>
  <c r="G46" i="345" s="1"/>
  <c r="I46" i="312"/>
  <c r="F46" i="312" s="1"/>
  <c r="G46" i="312" s="1"/>
  <c r="I19" i="288"/>
  <c r="F19" i="288" s="1"/>
  <c r="G19" i="288" s="1"/>
  <c r="G10" i="153"/>
  <c r="I10" i="153"/>
  <c r="I14" i="412"/>
  <c r="G14" i="412"/>
  <c r="I26" i="412"/>
  <c r="I32" i="412" s="1"/>
  <c r="F32" i="412" s="1"/>
  <c r="G32" i="412" s="1"/>
  <c r="G26" i="412"/>
  <c r="I18" i="412"/>
  <c r="G18" i="412"/>
  <c r="I36" i="412"/>
  <c r="G36" i="412"/>
  <c r="G37" i="412"/>
  <c r="I37" i="412"/>
  <c r="G35" i="412"/>
  <c r="I35" i="412"/>
  <c r="G23" i="412"/>
  <c r="I23" i="412"/>
  <c r="G43" i="209"/>
  <c r="I43" i="209"/>
  <c r="I46" i="209" s="1"/>
  <c r="F46" i="209" s="1"/>
  <c r="G46" i="209" s="1"/>
  <c r="I37" i="153"/>
  <c r="G37" i="153"/>
  <c r="I30" i="153"/>
  <c r="G30" i="153"/>
  <c r="I40" i="288"/>
  <c r="F40" i="288" s="1"/>
  <c r="G40" i="288" s="1"/>
  <c r="I26" i="209"/>
  <c r="I32" i="209" s="1"/>
  <c r="F32" i="209" s="1"/>
  <c r="G32" i="209" s="1"/>
  <c r="G26" i="209"/>
  <c r="I27" i="113"/>
  <c r="G27" i="113"/>
  <c r="E48" i="242"/>
  <c r="I22" i="153"/>
  <c r="I24" i="153" s="1"/>
  <c r="F24" i="153" s="1"/>
  <c r="G24" i="153" s="1"/>
  <c r="G22" i="153"/>
  <c r="G17" i="214"/>
  <c r="I17" i="214"/>
  <c r="I18" i="214"/>
  <c r="G18" i="214"/>
  <c r="I39" i="214"/>
  <c r="G39" i="214"/>
  <c r="G21" i="214"/>
  <c r="I21" i="214"/>
  <c r="I28" i="214"/>
  <c r="G28" i="214"/>
  <c r="G14" i="214"/>
  <c r="I14" i="214"/>
  <c r="I27" i="222"/>
  <c r="G27" i="222"/>
  <c r="I11" i="222"/>
  <c r="G11" i="222"/>
  <c r="I26" i="222"/>
  <c r="G26" i="222"/>
  <c r="I42" i="222"/>
  <c r="G42" i="222"/>
  <c r="I43" i="222"/>
  <c r="G43" i="222"/>
  <c r="I12" i="222"/>
  <c r="G12" i="222"/>
  <c r="I31" i="222"/>
  <c r="G31" i="222"/>
  <c r="E30" i="77"/>
  <c r="E27" i="77"/>
  <c r="E39" i="77"/>
  <c r="E44" i="77"/>
  <c r="E22" i="77"/>
  <c r="E21" i="77"/>
  <c r="E40" i="77"/>
  <c r="E29" i="77"/>
  <c r="E24" i="77"/>
  <c r="E31" i="77"/>
  <c r="E26" i="77"/>
  <c r="E42" i="77"/>
  <c r="E45" i="77"/>
  <c r="E37" i="77"/>
  <c r="E38" i="77"/>
  <c r="E36" i="77"/>
  <c r="E35" i="77"/>
  <c r="E43" i="77"/>
  <c r="E23" i="77"/>
  <c r="E34" i="77"/>
  <c r="E28" i="77"/>
  <c r="G13" i="149"/>
  <c r="I13" i="149"/>
  <c r="I38" i="149"/>
  <c r="G38" i="149"/>
  <c r="G21" i="149"/>
  <c r="I21" i="149"/>
  <c r="G17" i="149"/>
  <c r="I17" i="149"/>
  <c r="I34" i="149"/>
  <c r="G34" i="149"/>
  <c r="G42" i="149"/>
  <c r="I42" i="149"/>
  <c r="G12" i="149"/>
  <c r="I12" i="149"/>
  <c r="I29" i="200"/>
  <c r="G29" i="200"/>
  <c r="I37" i="200"/>
  <c r="G37" i="200"/>
  <c r="G39" i="200"/>
  <c r="I39" i="200"/>
  <c r="G34" i="200"/>
  <c r="I34" i="200"/>
  <c r="I15" i="200"/>
  <c r="G15" i="200"/>
  <c r="G14" i="200"/>
  <c r="I14" i="200"/>
  <c r="G13" i="200"/>
  <c r="I13" i="200"/>
  <c r="I15" i="268"/>
  <c r="G15" i="268"/>
  <c r="I30" i="268"/>
  <c r="G30" i="268"/>
  <c r="I21" i="268"/>
  <c r="G21" i="268"/>
  <c r="I11" i="268"/>
  <c r="G11" i="268"/>
  <c r="G36" i="268"/>
  <c r="I36" i="268"/>
  <c r="G37" i="268"/>
  <c r="I37" i="268"/>
  <c r="E48" i="76"/>
  <c r="E48" i="152"/>
  <c r="G17" i="381"/>
  <c r="I17" i="381"/>
  <c r="I31" i="381"/>
  <c r="G31" i="381"/>
  <c r="I44" i="381"/>
  <c r="G44" i="381"/>
  <c r="G22" i="381"/>
  <c r="I22" i="381"/>
  <c r="G39" i="48"/>
  <c r="I39" i="48"/>
  <c r="I23" i="48"/>
  <c r="G23" i="48"/>
  <c r="I44" i="48"/>
  <c r="G44" i="48"/>
  <c r="G35" i="48"/>
  <c r="I35" i="48"/>
  <c r="I27" i="48"/>
  <c r="G27" i="48"/>
  <c r="G43" i="48"/>
  <c r="I43" i="48"/>
  <c r="G36" i="48"/>
  <c r="I36" i="48"/>
  <c r="F45" i="77"/>
  <c r="G45" i="77" s="1"/>
  <c r="F10" i="77"/>
  <c r="F37" i="77"/>
  <c r="F26" i="77"/>
  <c r="F14" i="77"/>
  <c r="F36" i="77"/>
  <c r="F16" i="77"/>
  <c r="F42" i="77"/>
  <c r="F39" i="77"/>
  <c r="F27" i="77"/>
  <c r="F23" i="77"/>
  <c r="F35" i="77"/>
  <c r="F11" i="77"/>
  <c r="F38" i="77"/>
  <c r="F17" i="77"/>
  <c r="F28" i="77"/>
  <c r="F12" i="77"/>
  <c r="F13" i="77"/>
  <c r="F31" i="77"/>
  <c r="F22" i="77"/>
  <c r="F18" i="77"/>
  <c r="F34" i="77"/>
  <c r="F29" i="77"/>
  <c r="F44" i="77"/>
  <c r="F21" i="77"/>
  <c r="F30" i="77"/>
  <c r="F43" i="77"/>
  <c r="F15" i="77"/>
  <c r="F36" i="242"/>
  <c r="F10" i="242"/>
  <c r="F17" i="242"/>
  <c r="F21" i="242"/>
  <c r="F43" i="242"/>
  <c r="F28" i="242"/>
  <c r="F14" i="242"/>
  <c r="F37" i="242"/>
  <c r="F27" i="242"/>
  <c r="F11" i="242"/>
  <c r="F30" i="242"/>
  <c r="F23" i="242"/>
  <c r="F39" i="242"/>
  <c r="F16" i="242"/>
  <c r="F42" i="242"/>
  <c r="F38" i="242"/>
  <c r="F13" i="242"/>
  <c r="F22" i="242"/>
  <c r="F34" i="242"/>
  <c r="F31" i="242"/>
  <c r="F12" i="242"/>
  <c r="F29" i="242"/>
  <c r="F26" i="242"/>
  <c r="F35" i="242"/>
  <c r="F44" i="242"/>
  <c r="F15" i="242"/>
  <c r="F18" i="242"/>
  <c r="F45" i="242"/>
  <c r="G45" i="242" s="1"/>
  <c r="I46" i="447"/>
  <c r="F46" i="447" s="1"/>
  <c r="G46" i="447" s="1"/>
  <c r="I28" i="153"/>
  <c r="G28" i="153"/>
  <c r="I14" i="153"/>
  <c r="G14" i="153"/>
  <c r="I10" i="214"/>
  <c r="G10" i="214"/>
  <c r="G43" i="214"/>
  <c r="I43" i="214"/>
  <c r="I37" i="214"/>
  <c r="G37" i="214"/>
  <c r="I42" i="214"/>
  <c r="G42" i="214"/>
  <c r="I22" i="214"/>
  <c r="G22" i="214"/>
  <c r="I44" i="214"/>
  <c r="G44" i="214"/>
  <c r="I31" i="214"/>
  <c r="G31" i="214"/>
  <c r="I38" i="222"/>
  <c r="G38" i="222"/>
  <c r="G23" i="222"/>
  <c r="I23" i="222"/>
  <c r="I18" i="222"/>
  <c r="G18" i="222"/>
  <c r="G22" i="222"/>
  <c r="I22" i="222"/>
  <c r="G17" i="222"/>
  <c r="I17" i="222"/>
  <c r="I36" i="222"/>
  <c r="G36" i="222"/>
  <c r="G39" i="149"/>
  <c r="I39" i="149"/>
  <c r="I36" i="149"/>
  <c r="G36" i="149"/>
  <c r="G23" i="149"/>
  <c r="I23" i="149"/>
  <c r="I28" i="149"/>
  <c r="G28" i="149"/>
  <c r="G10" i="149"/>
  <c r="I10" i="149"/>
  <c r="G11" i="149"/>
  <c r="I11" i="149"/>
  <c r="I42" i="200"/>
  <c r="G42" i="200"/>
  <c r="G23" i="200"/>
  <c r="I23" i="200"/>
  <c r="G22" i="200"/>
  <c r="I22" i="200"/>
  <c r="I36" i="200"/>
  <c r="G36" i="200"/>
  <c r="I11" i="200"/>
  <c r="G11" i="200"/>
  <c r="G10" i="200"/>
  <c r="I10" i="200"/>
  <c r="G14" i="268"/>
  <c r="I14" i="268"/>
  <c r="I22" i="268"/>
  <c r="G22" i="268"/>
  <c r="I35" i="268"/>
  <c r="G35" i="268"/>
  <c r="G44" i="268"/>
  <c r="I44" i="268"/>
  <c r="I12" i="268"/>
  <c r="G12" i="268"/>
  <c r="I23" i="268"/>
  <c r="G23" i="268"/>
  <c r="G26" i="268"/>
  <c r="I26" i="268"/>
  <c r="I35" i="381"/>
  <c r="G35" i="381"/>
  <c r="I23" i="381"/>
  <c r="G23" i="381"/>
  <c r="I37" i="381"/>
  <c r="G37" i="381"/>
  <c r="I21" i="48"/>
  <c r="G21" i="48"/>
  <c r="G31" i="48"/>
  <c r="I31" i="48"/>
  <c r="G15" i="48"/>
  <c r="I15" i="48"/>
  <c r="I34" i="48"/>
  <c r="G34" i="48"/>
  <c r="G11" i="48"/>
  <c r="I11" i="48"/>
  <c r="G37" i="48"/>
  <c r="I37" i="48"/>
  <c r="I30" i="48"/>
  <c r="G30" i="48"/>
  <c r="I19" i="303"/>
  <c r="F19" i="303" s="1"/>
  <c r="G19" i="303" s="1"/>
  <c r="E48" i="171"/>
  <c r="F31" i="185"/>
  <c r="F29" i="185"/>
  <c r="F38" i="185"/>
  <c r="F18" i="185"/>
  <c r="F27" i="185"/>
  <c r="F34" i="185"/>
  <c r="F22" i="185"/>
  <c r="F15" i="185"/>
  <c r="F45" i="185"/>
  <c r="G45" i="185" s="1"/>
  <c r="F11" i="185"/>
  <c r="F21" i="185"/>
  <c r="F16" i="185"/>
  <c r="F12" i="185"/>
  <c r="F17" i="185"/>
  <c r="F10" i="185"/>
  <c r="F35" i="185"/>
  <c r="F39" i="185"/>
  <c r="F43" i="185"/>
  <c r="F44" i="185"/>
  <c r="F23" i="185"/>
  <c r="F26" i="185"/>
  <c r="F14" i="185"/>
  <c r="F13" i="185"/>
  <c r="F28" i="185"/>
  <c r="F36" i="185"/>
  <c r="F37" i="185"/>
  <c r="F30" i="185"/>
  <c r="F42" i="185"/>
  <c r="I27" i="153"/>
  <c r="G27" i="153"/>
  <c r="I38" i="153"/>
  <c r="I40" i="153" s="1"/>
  <c r="F40" i="153" s="1"/>
  <c r="G40" i="153" s="1"/>
  <c r="G38" i="153"/>
  <c r="G29" i="214"/>
  <c r="I29" i="214"/>
  <c r="G15" i="214"/>
  <c r="I15" i="214"/>
  <c r="I11" i="214"/>
  <c r="G11" i="214"/>
  <c r="G12" i="214"/>
  <c r="I12" i="214"/>
  <c r="I27" i="214"/>
  <c r="G27" i="214"/>
  <c r="G38" i="214"/>
  <c r="I38" i="214"/>
  <c r="G26" i="214"/>
  <c r="I26" i="214"/>
  <c r="G14" i="222"/>
  <c r="I14" i="222"/>
  <c r="I39" i="222"/>
  <c r="G39" i="222"/>
  <c r="I13" i="222"/>
  <c r="G13" i="222"/>
  <c r="I37" i="222"/>
  <c r="G37" i="222"/>
  <c r="I21" i="222"/>
  <c r="G21" i="222"/>
  <c r="G28" i="222"/>
  <c r="I28" i="222"/>
  <c r="I15" i="222"/>
  <c r="G15" i="222"/>
  <c r="I14" i="149"/>
  <c r="G14" i="149"/>
  <c r="G44" i="149"/>
  <c r="I44" i="149"/>
  <c r="G35" i="149"/>
  <c r="I35" i="149"/>
  <c r="I26" i="149"/>
  <c r="G26" i="149"/>
  <c r="G18" i="149"/>
  <c r="I18" i="149"/>
  <c r="G27" i="149"/>
  <c r="I27" i="149"/>
  <c r="I15" i="149"/>
  <c r="G15" i="149"/>
  <c r="G28" i="200"/>
  <c r="I28" i="200"/>
  <c r="G18" i="200"/>
  <c r="I18" i="200"/>
  <c r="I26" i="200"/>
  <c r="G26" i="200"/>
  <c r="I35" i="200"/>
  <c r="G35" i="200"/>
  <c r="I44" i="200"/>
  <c r="G44" i="200"/>
  <c r="I12" i="200"/>
  <c r="G12" i="200"/>
  <c r="I43" i="200"/>
  <c r="G43" i="200"/>
  <c r="I13" i="268"/>
  <c r="G13" i="268"/>
  <c r="I10" i="268"/>
  <c r="G10" i="268"/>
  <c r="G34" i="268"/>
  <c r="I34" i="268"/>
  <c r="G28" i="268"/>
  <c r="I28" i="268"/>
  <c r="G43" i="268"/>
  <c r="I43" i="268"/>
  <c r="I31" i="268"/>
  <c r="G31" i="268"/>
  <c r="I16" i="268"/>
  <c r="G16" i="268"/>
  <c r="G15" i="381"/>
  <c r="I15" i="381"/>
  <c r="G39" i="381"/>
  <c r="I39" i="381"/>
  <c r="G42" i="381"/>
  <c r="I42" i="381"/>
  <c r="I46" i="381" s="1"/>
  <c r="F46" i="381" s="1"/>
  <c r="G46" i="381" s="1"/>
  <c r="G28" i="48"/>
  <c r="I28" i="48"/>
  <c r="G13" i="48"/>
  <c r="I13" i="48"/>
  <c r="I17" i="48"/>
  <c r="G17" i="48"/>
  <c r="I16" i="48"/>
  <c r="G16" i="48"/>
  <c r="I14" i="48"/>
  <c r="G14" i="48"/>
  <c r="G26" i="48"/>
  <c r="I26" i="48"/>
  <c r="I40" i="414"/>
  <c r="F40" i="414" s="1"/>
  <c r="G40" i="414" s="1"/>
  <c r="E48" i="80"/>
  <c r="G31" i="153"/>
  <c r="I31" i="153"/>
  <c r="G13" i="153"/>
  <c r="I13" i="153"/>
  <c r="I19" i="153" s="1"/>
  <c r="F19" i="153" s="1"/>
  <c r="G19" i="153" s="1"/>
  <c r="G34" i="214"/>
  <c r="I34" i="214"/>
  <c r="I23" i="214"/>
  <c r="G23" i="214"/>
  <c r="I30" i="214"/>
  <c r="G30" i="214"/>
  <c r="I13" i="214"/>
  <c r="G13" i="214"/>
  <c r="I16" i="214"/>
  <c r="G16" i="214"/>
  <c r="G35" i="214"/>
  <c r="I35" i="214"/>
  <c r="I36" i="214"/>
  <c r="G36" i="214"/>
  <c r="I34" i="222"/>
  <c r="G34" i="222"/>
  <c r="I10" i="222"/>
  <c r="G10" i="222"/>
  <c r="I29" i="222"/>
  <c r="G29" i="222"/>
  <c r="I16" i="222"/>
  <c r="G16" i="222"/>
  <c r="G35" i="222"/>
  <c r="I35" i="222"/>
  <c r="I30" i="222"/>
  <c r="G30" i="222"/>
  <c r="I44" i="222"/>
  <c r="G44" i="222"/>
  <c r="E46" i="77"/>
  <c r="A52" i="77" s="1"/>
  <c r="G16" i="149"/>
  <c r="I16" i="149"/>
  <c r="G31" i="149"/>
  <c r="I31" i="149"/>
  <c r="I22" i="149"/>
  <c r="G22" i="149"/>
  <c r="I37" i="149"/>
  <c r="G37" i="149"/>
  <c r="I43" i="149"/>
  <c r="G43" i="149"/>
  <c r="I29" i="149"/>
  <c r="G29" i="149"/>
  <c r="G30" i="149"/>
  <c r="I30" i="149"/>
  <c r="G21" i="200"/>
  <c r="I21" i="200"/>
  <c r="I16" i="200"/>
  <c r="G16" i="200"/>
  <c r="I27" i="200"/>
  <c r="G27" i="200"/>
  <c r="G31" i="200"/>
  <c r="I31" i="200"/>
  <c r="I17" i="200"/>
  <c r="G17" i="200"/>
  <c r="I38" i="200"/>
  <c r="G38" i="200"/>
  <c r="G30" i="200"/>
  <c r="I30" i="200"/>
  <c r="I17" i="268"/>
  <c r="G17" i="268"/>
  <c r="G18" i="268"/>
  <c r="I18" i="268"/>
  <c r="G27" i="268"/>
  <c r="I27" i="268"/>
  <c r="G42" i="268"/>
  <c r="I42" i="268"/>
  <c r="I39" i="268"/>
  <c r="G39" i="268"/>
  <c r="I38" i="268"/>
  <c r="G38" i="268"/>
  <c r="I29" i="268"/>
  <c r="G29" i="268"/>
  <c r="G10" i="381"/>
  <c r="I10" i="381"/>
  <c r="I11" i="381"/>
  <c r="G11" i="381"/>
  <c r="I30" i="381"/>
  <c r="I32" i="381" s="1"/>
  <c r="F32" i="381" s="1"/>
  <c r="G32" i="381" s="1"/>
  <c r="G30" i="381"/>
  <c r="G18" i="381"/>
  <c r="I18" i="381"/>
  <c r="G12" i="48"/>
  <c r="I12" i="48"/>
  <c r="I22" i="48"/>
  <c r="G22" i="48"/>
  <c r="I29" i="48"/>
  <c r="G29" i="48"/>
  <c r="G42" i="48"/>
  <c r="I42" i="48"/>
  <c r="I46" i="48" s="1"/>
  <c r="F46" i="48" s="1"/>
  <c r="G46" i="48" s="1"/>
  <c r="G10" i="48"/>
  <c r="I10" i="48"/>
  <c r="G38" i="48"/>
  <c r="I38" i="48"/>
  <c r="G18" i="48"/>
  <c r="I18" i="48"/>
  <c r="I46" i="402"/>
  <c r="F46" i="402" s="1"/>
  <c r="G46" i="402" s="1"/>
  <c r="I19" i="270"/>
  <c r="F19" i="270" s="1"/>
  <c r="G19" i="270" s="1"/>
  <c r="I40" i="125"/>
  <c r="F40" i="125" s="1"/>
  <c r="G40" i="125" s="1"/>
  <c r="G26" i="113"/>
  <c r="I26" i="113"/>
  <c r="G43" i="358"/>
  <c r="I43" i="358"/>
  <c r="I13" i="358"/>
  <c r="G13" i="358"/>
  <c r="G15" i="358"/>
  <c r="I15" i="358"/>
  <c r="G27" i="358"/>
  <c r="I27" i="358"/>
  <c r="I35" i="358"/>
  <c r="G35" i="358"/>
  <c r="G30" i="358"/>
  <c r="I30" i="358"/>
  <c r="I12" i="358"/>
  <c r="G12" i="358"/>
  <c r="G18" i="184"/>
  <c r="I18" i="184"/>
  <c r="G39" i="184"/>
  <c r="I39" i="184"/>
  <c r="G14" i="184"/>
  <c r="I14" i="184"/>
  <c r="I27" i="184"/>
  <c r="G27" i="184"/>
  <c r="G38" i="184"/>
  <c r="I38" i="184"/>
  <c r="G37" i="184"/>
  <c r="I37" i="184"/>
  <c r="G30" i="184"/>
  <c r="I30" i="184"/>
  <c r="I40" i="410"/>
  <c r="F40" i="410" s="1"/>
  <c r="G40" i="410" s="1"/>
  <c r="G34" i="260"/>
  <c r="I34" i="260"/>
  <c r="G22" i="260"/>
  <c r="I22" i="260"/>
  <c r="I38" i="260"/>
  <c r="G38" i="260"/>
  <c r="G15" i="260"/>
  <c r="I15" i="260"/>
  <c r="G23" i="260"/>
  <c r="I23" i="260"/>
  <c r="G13" i="260"/>
  <c r="I13" i="260"/>
  <c r="G16" i="260"/>
  <c r="I16" i="260"/>
  <c r="I15" i="151"/>
  <c r="G15" i="151"/>
  <c r="I17" i="151"/>
  <c r="G17" i="151"/>
  <c r="I11" i="151"/>
  <c r="G11" i="151"/>
  <c r="I10" i="151"/>
  <c r="G10" i="151"/>
  <c r="I31" i="151"/>
  <c r="G31" i="151"/>
  <c r="I35" i="151"/>
  <c r="G35" i="151"/>
  <c r="I19" i="336"/>
  <c r="F19" i="336" s="1"/>
  <c r="G19" i="336" s="1"/>
  <c r="I48" i="282"/>
  <c r="I46" i="439"/>
  <c r="F46" i="439" s="1"/>
  <c r="G46" i="439" s="1"/>
  <c r="E48" i="269"/>
  <c r="I46" i="414"/>
  <c r="F46" i="414" s="1"/>
  <c r="G46" i="414" s="1"/>
  <c r="I32" i="414"/>
  <c r="F32" i="414" s="1"/>
  <c r="G32" i="414" s="1"/>
  <c r="I32" i="394"/>
  <c r="F32" i="394" s="1"/>
  <c r="G32" i="394" s="1"/>
  <c r="F30" i="363"/>
  <c r="F38" i="363"/>
  <c r="F27" i="363"/>
  <c r="F18" i="363"/>
  <c r="F42" i="363"/>
  <c r="F21" i="363"/>
  <c r="F39" i="363"/>
  <c r="F13" i="363"/>
  <c r="F34" i="363"/>
  <c r="F43" i="363"/>
  <c r="F31" i="363"/>
  <c r="F37" i="363"/>
  <c r="F44" i="363"/>
  <c r="F12" i="363"/>
  <c r="F35" i="363"/>
  <c r="F17" i="363"/>
  <c r="F45" i="363"/>
  <c r="G45" i="363" s="1"/>
  <c r="F15" i="363"/>
  <c r="F16" i="363"/>
  <c r="F11" i="363"/>
  <c r="F10" i="363"/>
  <c r="F23" i="363"/>
  <c r="F36" i="363"/>
  <c r="F14" i="363"/>
  <c r="F29" i="363"/>
  <c r="F26" i="363"/>
  <c r="F28" i="363"/>
  <c r="F22" i="363"/>
  <c r="I32" i="375"/>
  <c r="F32" i="375" s="1"/>
  <c r="G32" i="375" s="1"/>
  <c r="I46" i="303"/>
  <c r="F46" i="303" s="1"/>
  <c r="G46" i="303" s="1"/>
  <c r="I40" i="336"/>
  <c r="F40" i="336" s="1"/>
  <c r="G40" i="336" s="1"/>
  <c r="I19" i="394"/>
  <c r="F19" i="394" s="1"/>
  <c r="G19" i="394" s="1"/>
  <c r="I16" i="113"/>
  <c r="G16" i="113"/>
  <c r="I42" i="358"/>
  <c r="G42" i="358"/>
  <c r="G10" i="358"/>
  <c r="I10" i="358"/>
  <c r="G16" i="358"/>
  <c r="I16" i="358"/>
  <c r="I22" i="358"/>
  <c r="G22" i="358"/>
  <c r="G39" i="358"/>
  <c r="I39" i="358"/>
  <c r="I37" i="358"/>
  <c r="G37" i="358"/>
  <c r="I18" i="358"/>
  <c r="G18" i="358"/>
  <c r="I24" i="411"/>
  <c r="F24" i="411" s="1"/>
  <c r="G24" i="411" s="1"/>
  <c r="G36" i="184"/>
  <c r="I36" i="184"/>
  <c r="I21" i="184"/>
  <c r="G21" i="184"/>
  <c r="I16" i="184"/>
  <c r="G16" i="184"/>
  <c r="G28" i="184"/>
  <c r="I28" i="184"/>
  <c r="G29" i="184"/>
  <c r="I29" i="184"/>
  <c r="G31" i="184"/>
  <c r="I31" i="184"/>
  <c r="I42" i="184"/>
  <c r="G42" i="184"/>
  <c r="G18" i="260"/>
  <c r="I18" i="260"/>
  <c r="I12" i="260"/>
  <c r="G12" i="260"/>
  <c r="G26" i="260"/>
  <c r="I26" i="260"/>
  <c r="G36" i="260"/>
  <c r="I36" i="260"/>
  <c r="I28" i="260"/>
  <c r="G28" i="260"/>
  <c r="G44" i="260"/>
  <c r="I44" i="260"/>
  <c r="I12" i="253"/>
  <c r="G12" i="253"/>
  <c r="G37" i="151"/>
  <c r="I37" i="151"/>
  <c r="G42" i="151"/>
  <c r="I42" i="151"/>
  <c r="I38" i="151"/>
  <c r="G38" i="151"/>
  <c r="G23" i="151"/>
  <c r="I23" i="151"/>
  <c r="I34" i="151"/>
  <c r="G34" i="151"/>
  <c r="I12" i="151"/>
  <c r="G12" i="151"/>
  <c r="G30" i="151"/>
  <c r="I30" i="151"/>
  <c r="E48" i="98"/>
  <c r="F17" i="231"/>
  <c r="F44" i="231"/>
  <c r="F28" i="231"/>
  <c r="F23" i="231"/>
  <c r="F26" i="231"/>
  <c r="F30" i="231"/>
  <c r="F36" i="231"/>
  <c r="F10" i="231"/>
  <c r="F43" i="231"/>
  <c r="F37" i="231"/>
  <c r="F18" i="231"/>
  <c r="F16" i="231"/>
  <c r="F29" i="231"/>
  <c r="F11" i="231"/>
  <c r="F21" i="231"/>
  <c r="F15" i="231"/>
  <c r="F22" i="231"/>
  <c r="F31" i="231"/>
  <c r="F39" i="231"/>
  <c r="F45" i="231"/>
  <c r="G45" i="231" s="1"/>
  <c r="F27" i="231"/>
  <c r="F35" i="231"/>
  <c r="F34" i="231"/>
  <c r="F42" i="231"/>
  <c r="F38" i="231"/>
  <c r="F14" i="231"/>
  <c r="F12" i="231"/>
  <c r="F13" i="231"/>
  <c r="I32" i="439"/>
  <c r="F32" i="439" s="1"/>
  <c r="G32" i="439" s="1"/>
  <c r="I24" i="444"/>
  <c r="F24" i="444" s="1"/>
  <c r="G24" i="444" s="1"/>
  <c r="I24" i="449"/>
  <c r="F24" i="449" s="1"/>
  <c r="G24" i="449" s="1"/>
  <c r="I46" i="375"/>
  <c r="F46" i="375" s="1"/>
  <c r="G46" i="375" s="1"/>
  <c r="I40" i="303"/>
  <c r="F40" i="303" s="1"/>
  <c r="G40" i="303" s="1"/>
  <c r="I24" i="303"/>
  <c r="F24" i="303" s="1"/>
  <c r="G24" i="303" s="1"/>
  <c r="I19" i="414"/>
  <c r="F19" i="414" s="1"/>
  <c r="G19" i="414" s="1"/>
  <c r="G12" i="113"/>
  <c r="I12" i="113"/>
  <c r="I19" i="113" s="1"/>
  <c r="F19" i="113" s="1"/>
  <c r="G19" i="113" s="1"/>
  <c r="I24" i="439"/>
  <c r="F24" i="439" s="1"/>
  <c r="G24" i="439" s="1"/>
  <c r="G28" i="358"/>
  <c r="I28" i="358"/>
  <c r="G21" i="358"/>
  <c r="I21" i="358"/>
  <c r="I31" i="358"/>
  <c r="G31" i="358"/>
  <c r="I36" i="358"/>
  <c r="G36" i="358"/>
  <c r="G34" i="358"/>
  <c r="I34" i="358"/>
  <c r="I26" i="358"/>
  <c r="G26" i="358"/>
  <c r="I19" i="444"/>
  <c r="F19" i="444" s="1"/>
  <c r="G19" i="444" s="1"/>
  <c r="E48" i="140"/>
  <c r="I34" i="184"/>
  <c r="G34" i="184"/>
  <c r="G11" i="184"/>
  <c r="I11" i="184"/>
  <c r="G17" i="184"/>
  <c r="I17" i="184"/>
  <c r="G26" i="184"/>
  <c r="I26" i="184"/>
  <c r="G44" i="184"/>
  <c r="I44" i="184"/>
  <c r="G43" i="184"/>
  <c r="I43" i="184"/>
  <c r="I24" i="394"/>
  <c r="F24" i="394" s="1"/>
  <c r="G24" i="394" s="1"/>
  <c r="I32" i="410"/>
  <c r="F32" i="410" s="1"/>
  <c r="G32" i="410" s="1"/>
  <c r="I19" i="410"/>
  <c r="F19" i="410" s="1"/>
  <c r="G19" i="410" s="1"/>
  <c r="I14" i="260"/>
  <c r="G14" i="260"/>
  <c r="I43" i="260"/>
  <c r="G43" i="260"/>
  <c r="G27" i="260"/>
  <c r="I27" i="260"/>
  <c r="I39" i="260"/>
  <c r="G39" i="260"/>
  <c r="I37" i="260"/>
  <c r="G37" i="260"/>
  <c r="I10" i="260"/>
  <c r="G10" i="260"/>
  <c r="I11" i="260"/>
  <c r="G11" i="260"/>
  <c r="I32" i="411"/>
  <c r="F32" i="411" s="1"/>
  <c r="G32" i="411" s="1"/>
  <c r="G23" i="253"/>
  <c r="I23" i="253"/>
  <c r="I24" i="253" s="1"/>
  <c r="F24" i="253" s="1"/>
  <c r="G24" i="253" s="1"/>
  <c r="I14" i="151"/>
  <c r="G14" i="151"/>
  <c r="G36" i="151"/>
  <c r="I36" i="151"/>
  <c r="I29" i="151"/>
  <c r="G29" i="151"/>
  <c r="I22" i="151"/>
  <c r="G22" i="151"/>
  <c r="G26" i="151"/>
  <c r="I26" i="151"/>
  <c r="I44" i="151"/>
  <c r="G44" i="151"/>
  <c r="G16" i="151"/>
  <c r="I16" i="151"/>
  <c r="E43" i="53"/>
  <c r="E28" i="53"/>
  <c r="E44" i="53"/>
  <c r="E38" i="53"/>
  <c r="E24" i="53"/>
  <c r="E36" i="53"/>
  <c r="E27" i="53"/>
  <c r="E31" i="53"/>
  <c r="E23" i="53"/>
  <c r="E35" i="53"/>
  <c r="E37" i="53"/>
  <c r="E29" i="53"/>
  <c r="E34" i="53"/>
  <c r="E42" i="53"/>
  <c r="E21" i="53"/>
  <c r="E22" i="53"/>
  <c r="E45" i="53"/>
  <c r="E39" i="53"/>
  <c r="E46" i="53"/>
  <c r="A52" i="53" s="1"/>
  <c r="E30" i="53"/>
  <c r="E40" i="53"/>
  <c r="E26" i="53"/>
  <c r="I40" i="439"/>
  <c r="F40" i="439" s="1"/>
  <c r="G40" i="439" s="1"/>
  <c r="I40" i="444"/>
  <c r="F40" i="444" s="1"/>
  <c r="G40" i="444" s="1"/>
  <c r="I19" i="449"/>
  <c r="F19" i="449" s="1"/>
  <c r="G19" i="449" s="1"/>
  <c r="I19" i="375"/>
  <c r="F19" i="375" s="1"/>
  <c r="G19" i="375" s="1"/>
  <c r="I32" i="336"/>
  <c r="F32" i="336" s="1"/>
  <c r="G32" i="336" s="1"/>
  <c r="I50" i="328"/>
  <c r="F48" i="328"/>
  <c r="G5" i="207"/>
  <c r="A54" i="207"/>
  <c r="F50" i="207"/>
  <c r="I51" i="207"/>
  <c r="G6" i="207"/>
  <c r="E48" i="107"/>
  <c r="G23" i="358"/>
  <c r="I23" i="358"/>
  <c r="I29" i="358"/>
  <c r="G29" i="358"/>
  <c r="I11" i="358"/>
  <c r="G11" i="358"/>
  <c r="I38" i="358"/>
  <c r="G38" i="358"/>
  <c r="I44" i="358"/>
  <c r="G44" i="358"/>
  <c r="I17" i="358"/>
  <c r="G17" i="358"/>
  <c r="G14" i="358"/>
  <c r="I14" i="358"/>
  <c r="I12" i="184"/>
  <c r="G12" i="184"/>
  <c r="I10" i="184"/>
  <c r="G10" i="184"/>
  <c r="I13" i="184"/>
  <c r="G13" i="184"/>
  <c r="G35" i="184"/>
  <c r="I35" i="184"/>
  <c r="G15" i="184"/>
  <c r="I15" i="184"/>
  <c r="G23" i="184"/>
  <c r="I23" i="184"/>
  <c r="G22" i="184"/>
  <c r="I22" i="184"/>
  <c r="E48" i="180"/>
  <c r="E48" i="117"/>
  <c r="I29" i="260"/>
  <c r="G29" i="260"/>
  <c r="G30" i="260"/>
  <c r="I30" i="260"/>
  <c r="G17" i="260"/>
  <c r="I17" i="260"/>
  <c r="I42" i="260"/>
  <c r="I46" i="260" s="1"/>
  <c r="F46" i="260" s="1"/>
  <c r="G46" i="260" s="1"/>
  <c r="G42" i="260"/>
  <c r="G21" i="260"/>
  <c r="I21" i="260"/>
  <c r="I24" i="260" s="1"/>
  <c r="F24" i="260" s="1"/>
  <c r="G24" i="260" s="1"/>
  <c r="I31" i="260"/>
  <c r="G31" i="260"/>
  <c r="I35" i="260"/>
  <c r="G35" i="260"/>
  <c r="I40" i="375"/>
  <c r="F40" i="375" s="1"/>
  <c r="G40" i="375" s="1"/>
  <c r="I35" i="253"/>
  <c r="G35" i="253"/>
  <c r="I21" i="151"/>
  <c r="G21" i="151"/>
  <c r="G27" i="151"/>
  <c r="I27" i="151"/>
  <c r="G18" i="151"/>
  <c r="I18" i="151"/>
  <c r="G13" i="151"/>
  <c r="I13" i="151"/>
  <c r="G39" i="151"/>
  <c r="I39" i="151"/>
  <c r="I28" i="151"/>
  <c r="G28" i="151"/>
  <c r="I43" i="151"/>
  <c r="G43" i="151"/>
  <c r="E48" i="95"/>
  <c r="I32" i="303"/>
  <c r="F32" i="303" s="1"/>
  <c r="G32" i="303" s="1"/>
  <c r="I24" i="410"/>
  <c r="F24" i="410" s="1"/>
  <c r="G24" i="410" s="1"/>
  <c r="I46" i="444"/>
  <c r="F46" i="444" s="1"/>
  <c r="G46" i="444" s="1"/>
  <c r="I40" i="449"/>
  <c r="F40" i="449" s="1"/>
  <c r="G40" i="449" s="1"/>
  <c r="I24" i="336"/>
  <c r="F24" i="336" s="1"/>
  <c r="G24" i="336" s="1"/>
  <c r="I46" i="394"/>
  <c r="F46" i="394" s="1"/>
  <c r="G46" i="394" s="1"/>
  <c r="I46" i="410"/>
  <c r="F46" i="410" s="1"/>
  <c r="G46" i="410" s="1"/>
  <c r="E48" i="92"/>
  <c r="I32" i="444"/>
  <c r="F32" i="444" s="1"/>
  <c r="G32" i="444" s="1"/>
  <c r="I24" i="375"/>
  <c r="F24" i="375" s="1"/>
  <c r="G24" i="375" s="1"/>
  <c r="I24" i="414"/>
  <c r="F24" i="414" s="1"/>
  <c r="G24" i="414" s="1"/>
  <c r="I40" i="394"/>
  <c r="F40" i="394" s="1"/>
  <c r="G40" i="394" s="1"/>
  <c r="I10" i="167"/>
  <c r="G10" i="167"/>
  <c r="I22" i="167"/>
  <c r="G22" i="167"/>
  <c r="G14" i="167"/>
  <c r="I14" i="167"/>
  <c r="I26" i="167"/>
  <c r="G26" i="167"/>
  <c r="G36" i="167"/>
  <c r="I36" i="167"/>
  <c r="G27" i="167"/>
  <c r="I27" i="167"/>
  <c r="G31" i="167"/>
  <c r="I31" i="167"/>
  <c r="G13" i="304"/>
  <c r="I13" i="304"/>
  <c r="G31" i="304"/>
  <c r="I31" i="304"/>
  <c r="I37" i="304"/>
  <c r="G37" i="304"/>
  <c r="I44" i="304"/>
  <c r="G44" i="304"/>
  <c r="G35" i="304"/>
  <c r="I35" i="304"/>
  <c r="I38" i="304"/>
  <c r="G38" i="304"/>
  <c r="G16" i="304"/>
  <c r="I16" i="304"/>
  <c r="I19" i="236"/>
  <c r="F19" i="236" s="1"/>
  <c r="G19" i="236" s="1"/>
  <c r="G15" i="129"/>
  <c r="I15" i="129"/>
  <c r="G31" i="129"/>
  <c r="I31" i="129"/>
  <c r="I38" i="129"/>
  <c r="G38" i="129"/>
  <c r="I14" i="129"/>
  <c r="G14" i="129"/>
  <c r="I36" i="129"/>
  <c r="G36" i="129"/>
  <c r="I18" i="129"/>
  <c r="G18" i="129"/>
  <c r="I40" i="236"/>
  <c r="F40" i="236" s="1"/>
  <c r="G40" i="236" s="1"/>
  <c r="I21" i="359"/>
  <c r="G21" i="359"/>
  <c r="I13" i="359"/>
  <c r="G13" i="359"/>
  <c r="I12" i="359"/>
  <c r="G12" i="359"/>
  <c r="G14" i="359"/>
  <c r="I14" i="359"/>
  <c r="I18" i="359"/>
  <c r="G18" i="359"/>
  <c r="G11" i="359"/>
  <c r="I11" i="359"/>
  <c r="G16" i="167"/>
  <c r="I16" i="167"/>
  <c r="I35" i="167"/>
  <c r="G35" i="167"/>
  <c r="G23" i="167"/>
  <c r="I23" i="167"/>
  <c r="I44" i="167"/>
  <c r="G44" i="167"/>
  <c r="I11" i="167"/>
  <c r="G11" i="167"/>
  <c r="I37" i="167"/>
  <c r="G37" i="167"/>
  <c r="G28" i="167"/>
  <c r="I28" i="167"/>
  <c r="G29" i="304"/>
  <c r="I29" i="304"/>
  <c r="G18" i="304"/>
  <c r="I18" i="304"/>
  <c r="G34" i="304"/>
  <c r="I34" i="304"/>
  <c r="I11" i="304"/>
  <c r="G11" i="304"/>
  <c r="G17" i="304"/>
  <c r="I17" i="304"/>
  <c r="I43" i="304"/>
  <c r="G43" i="304"/>
  <c r="I27" i="304"/>
  <c r="G27" i="304"/>
  <c r="I44" i="129"/>
  <c r="G44" i="129"/>
  <c r="I13" i="129"/>
  <c r="G13" i="129"/>
  <c r="G43" i="129"/>
  <c r="I43" i="129"/>
  <c r="I28" i="129"/>
  <c r="G28" i="129"/>
  <c r="G21" i="129"/>
  <c r="I21" i="129"/>
  <c r="I34" i="359"/>
  <c r="G34" i="359"/>
  <c r="I42" i="359"/>
  <c r="G42" i="359"/>
  <c r="I26" i="359"/>
  <c r="G26" i="359"/>
  <c r="G23" i="359"/>
  <c r="I23" i="359"/>
  <c r="I37" i="359"/>
  <c r="G37" i="359"/>
  <c r="I29" i="359"/>
  <c r="G29" i="359"/>
  <c r="I35" i="359"/>
  <c r="G35" i="359"/>
  <c r="I24" i="236"/>
  <c r="F24" i="236" s="1"/>
  <c r="G24" i="236" s="1"/>
  <c r="G12" i="167"/>
  <c r="I12" i="167"/>
  <c r="I15" i="167"/>
  <c r="G15" i="167"/>
  <c r="I38" i="167"/>
  <c r="G38" i="167"/>
  <c r="G13" i="167"/>
  <c r="I13" i="167"/>
  <c r="G29" i="167"/>
  <c r="I29" i="167"/>
  <c r="I34" i="167"/>
  <c r="G34" i="167"/>
  <c r="G28" i="304"/>
  <c r="I28" i="304"/>
  <c r="I22" i="304"/>
  <c r="G22" i="304"/>
  <c r="G12" i="304"/>
  <c r="I12" i="304"/>
  <c r="I42" i="304"/>
  <c r="I46" i="304" s="1"/>
  <c r="F46" i="304" s="1"/>
  <c r="G46" i="304" s="1"/>
  <c r="G42" i="304"/>
  <c r="G26" i="304"/>
  <c r="I26" i="304"/>
  <c r="I15" i="304"/>
  <c r="G15" i="304"/>
  <c r="I11" i="129"/>
  <c r="G11" i="129"/>
  <c r="G16" i="129"/>
  <c r="I16" i="129"/>
  <c r="G42" i="129"/>
  <c r="I42" i="129"/>
  <c r="G12" i="129"/>
  <c r="I12" i="129"/>
  <c r="G34" i="129"/>
  <c r="I34" i="129"/>
  <c r="I39" i="359"/>
  <c r="G39" i="359"/>
  <c r="G44" i="359"/>
  <c r="I44" i="359"/>
  <c r="I15" i="359"/>
  <c r="G15" i="359"/>
  <c r="I17" i="359"/>
  <c r="G17" i="359"/>
  <c r="I38" i="359"/>
  <c r="G38" i="359"/>
  <c r="I43" i="359"/>
  <c r="G43" i="359"/>
  <c r="I28" i="359"/>
  <c r="G28" i="359"/>
  <c r="I32" i="236"/>
  <c r="F32" i="236" s="1"/>
  <c r="G32" i="236" s="1"/>
  <c r="I30" i="167"/>
  <c r="G30" i="167"/>
  <c r="G42" i="167"/>
  <c r="I42" i="167"/>
  <c r="I46" i="167" s="1"/>
  <c r="F46" i="167" s="1"/>
  <c r="G46" i="167" s="1"/>
  <c r="I39" i="167"/>
  <c r="G39" i="167"/>
  <c r="G17" i="167"/>
  <c r="I17" i="167"/>
  <c r="G21" i="167"/>
  <c r="I21" i="167"/>
  <c r="I24" i="167" s="1"/>
  <c r="F24" i="167" s="1"/>
  <c r="G24" i="167" s="1"/>
  <c r="G36" i="304"/>
  <c r="I36" i="304"/>
  <c r="I30" i="304"/>
  <c r="G30" i="304"/>
  <c r="I14" i="304"/>
  <c r="G14" i="304"/>
  <c r="G21" i="304"/>
  <c r="I21" i="304"/>
  <c r="I39" i="304"/>
  <c r="G39" i="304"/>
  <c r="I23" i="304"/>
  <c r="G23" i="304"/>
  <c r="G10" i="304"/>
  <c r="I10" i="304"/>
  <c r="I32" i="125"/>
  <c r="F32" i="125" s="1"/>
  <c r="G32" i="125" s="1"/>
  <c r="I19" i="125"/>
  <c r="F19" i="125" s="1"/>
  <c r="G19" i="125" s="1"/>
  <c r="I17" i="129"/>
  <c r="G17" i="129"/>
  <c r="I27" i="129"/>
  <c r="G27" i="129"/>
  <c r="I37" i="129"/>
  <c r="G37" i="129"/>
  <c r="G22" i="129"/>
  <c r="I22" i="129"/>
  <c r="I39" i="129"/>
  <c r="G39" i="129"/>
  <c r="G23" i="129"/>
  <c r="I23" i="129"/>
  <c r="I46" i="236"/>
  <c r="F46" i="236" s="1"/>
  <c r="G46" i="236" s="1"/>
  <c r="I24" i="125"/>
  <c r="F24" i="125" s="1"/>
  <c r="G24" i="125" s="1"/>
  <c r="G30" i="359"/>
  <c r="I30" i="359"/>
  <c r="I10" i="359"/>
  <c r="G10" i="359"/>
  <c r="I31" i="359"/>
  <c r="G31" i="359"/>
  <c r="I27" i="359"/>
  <c r="G27" i="359"/>
  <c r="I22" i="359"/>
  <c r="G22" i="359"/>
  <c r="I16" i="359"/>
  <c r="G16" i="359"/>
  <c r="I36" i="359"/>
  <c r="G36" i="359"/>
  <c r="G22" i="177"/>
  <c r="I22" i="177"/>
  <c r="I15" i="177"/>
  <c r="G15" i="177"/>
  <c r="I11" i="177"/>
  <c r="G11" i="177"/>
  <c r="G29" i="177"/>
  <c r="I29" i="177"/>
  <c r="I27" i="177"/>
  <c r="G27" i="177"/>
  <c r="G42" i="177"/>
  <c r="I42" i="177"/>
  <c r="I21" i="177"/>
  <c r="G21" i="177"/>
  <c r="I42" i="401"/>
  <c r="G42" i="401"/>
  <c r="I31" i="401"/>
  <c r="G31" i="401"/>
  <c r="I38" i="401"/>
  <c r="G38" i="401"/>
  <c r="I37" i="401"/>
  <c r="G37" i="401"/>
  <c r="G10" i="401"/>
  <c r="I10" i="401"/>
  <c r="I27" i="401"/>
  <c r="G27" i="401"/>
  <c r="G16" i="401"/>
  <c r="I16" i="401"/>
  <c r="I24" i="264"/>
  <c r="F24" i="264" s="1"/>
  <c r="G24" i="264" s="1"/>
  <c r="I35" i="183"/>
  <c r="G35" i="183"/>
  <c r="I18" i="183"/>
  <c r="G18" i="183"/>
  <c r="I26" i="183"/>
  <c r="G26" i="183"/>
  <c r="G44" i="183"/>
  <c r="I44" i="183"/>
  <c r="G34" i="183"/>
  <c r="I34" i="183"/>
  <c r="I39" i="183"/>
  <c r="G39" i="183"/>
  <c r="G12" i="183"/>
  <c r="I12" i="183"/>
  <c r="I31" i="330"/>
  <c r="G31" i="330"/>
  <c r="G29" i="330"/>
  <c r="I29" i="330"/>
  <c r="I42" i="330"/>
  <c r="G42" i="330"/>
  <c r="I34" i="330"/>
  <c r="G34" i="330"/>
  <c r="I13" i="330"/>
  <c r="G13" i="330"/>
  <c r="G18" i="330"/>
  <c r="I18" i="330"/>
  <c r="G28" i="330"/>
  <c r="I28" i="330"/>
  <c r="I39" i="327"/>
  <c r="G39" i="327"/>
  <c r="G16" i="327"/>
  <c r="I16" i="327"/>
  <c r="G12" i="327"/>
  <c r="I12" i="327"/>
  <c r="I14" i="327"/>
  <c r="G14" i="327"/>
  <c r="G44" i="327"/>
  <c r="I44" i="327"/>
  <c r="I28" i="327"/>
  <c r="G28" i="327"/>
  <c r="G36" i="327"/>
  <c r="I36" i="327"/>
  <c r="I32" i="270"/>
  <c r="F32" i="270" s="1"/>
  <c r="G32" i="270" s="1"/>
  <c r="I46" i="189"/>
  <c r="F46" i="189" s="1"/>
  <c r="G46" i="189" s="1"/>
  <c r="I18" i="177"/>
  <c r="G18" i="177"/>
  <c r="G39" i="177"/>
  <c r="I39" i="177"/>
  <c r="G23" i="177"/>
  <c r="I23" i="177"/>
  <c r="G12" i="177"/>
  <c r="I12" i="177"/>
  <c r="G43" i="177"/>
  <c r="I43" i="177"/>
  <c r="I44" i="177"/>
  <c r="G44" i="177"/>
  <c r="G17" i="177"/>
  <c r="I17" i="177"/>
  <c r="I14" i="401"/>
  <c r="G14" i="401"/>
  <c r="G23" i="401"/>
  <c r="I23" i="401"/>
  <c r="I34" i="401"/>
  <c r="G34" i="401"/>
  <c r="I43" i="401"/>
  <c r="G43" i="401"/>
  <c r="G44" i="401"/>
  <c r="I44" i="401"/>
  <c r="G15" i="401"/>
  <c r="I15" i="401"/>
  <c r="I21" i="401"/>
  <c r="G21" i="401"/>
  <c r="I40" i="270"/>
  <c r="F40" i="270" s="1"/>
  <c r="G40" i="270" s="1"/>
  <c r="I24" i="270"/>
  <c r="F24" i="270" s="1"/>
  <c r="G24" i="270" s="1"/>
  <c r="I19" i="264"/>
  <c r="F19" i="264" s="1"/>
  <c r="G19" i="264" s="1"/>
  <c r="I37" i="183"/>
  <c r="G37" i="183"/>
  <c r="I10" i="183"/>
  <c r="G10" i="183"/>
  <c r="G36" i="183"/>
  <c r="I36" i="183"/>
  <c r="I29" i="183"/>
  <c r="G29" i="183"/>
  <c r="G21" i="183"/>
  <c r="I21" i="183"/>
  <c r="I13" i="183"/>
  <c r="G13" i="183"/>
  <c r="G42" i="183"/>
  <c r="I42" i="183"/>
  <c r="I36" i="330"/>
  <c r="G36" i="330"/>
  <c r="G30" i="330"/>
  <c r="I30" i="330"/>
  <c r="G21" i="330"/>
  <c r="I21" i="330"/>
  <c r="I43" i="330"/>
  <c r="G43" i="330"/>
  <c r="I26" i="330"/>
  <c r="G26" i="330"/>
  <c r="I17" i="330"/>
  <c r="G17" i="330"/>
  <c r="I35" i="330"/>
  <c r="G35" i="330"/>
  <c r="G38" i="327"/>
  <c r="I38" i="327"/>
  <c r="G18" i="327"/>
  <c r="I18" i="327"/>
  <c r="I26" i="327"/>
  <c r="G26" i="327"/>
  <c r="I10" i="327"/>
  <c r="G10" i="327"/>
  <c r="G15" i="327"/>
  <c r="I15" i="327"/>
  <c r="G35" i="327"/>
  <c r="I35" i="327"/>
  <c r="I17" i="327"/>
  <c r="G17" i="327"/>
  <c r="I46" i="270"/>
  <c r="F46" i="270" s="1"/>
  <c r="G46" i="270" s="1"/>
  <c r="I40" i="428"/>
  <c r="F40" i="428" s="1"/>
  <c r="G40" i="428" s="1"/>
  <c r="I46" i="318"/>
  <c r="F46" i="318" s="1"/>
  <c r="G46" i="318" s="1"/>
  <c r="G35" i="177"/>
  <c r="I35" i="177"/>
  <c r="I26" i="177"/>
  <c r="G26" i="177"/>
  <c r="G28" i="177"/>
  <c r="I28" i="177"/>
  <c r="G37" i="177"/>
  <c r="I37" i="177"/>
  <c r="G14" i="177"/>
  <c r="I14" i="177"/>
  <c r="I31" i="177"/>
  <c r="G31" i="177"/>
  <c r="I35" i="401"/>
  <c r="G35" i="401"/>
  <c r="G18" i="401"/>
  <c r="I18" i="401"/>
  <c r="G22" i="401"/>
  <c r="I22" i="401"/>
  <c r="G13" i="401"/>
  <c r="I13" i="401"/>
  <c r="G30" i="401"/>
  <c r="I30" i="401"/>
  <c r="G39" i="401"/>
  <c r="I39" i="401"/>
  <c r="G12" i="401"/>
  <c r="I12" i="401"/>
  <c r="I40" i="402"/>
  <c r="F40" i="402" s="1"/>
  <c r="G40" i="402" s="1"/>
  <c r="I40" i="264"/>
  <c r="F40" i="264" s="1"/>
  <c r="G40" i="264" s="1"/>
  <c r="I28" i="183"/>
  <c r="G28" i="183"/>
  <c r="G17" i="183"/>
  <c r="I17" i="183"/>
  <c r="I14" i="183"/>
  <c r="G14" i="183"/>
  <c r="G22" i="183"/>
  <c r="I22" i="183"/>
  <c r="G27" i="183"/>
  <c r="I27" i="183"/>
  <c r="I16" i="183"/>
  <c r="G16" i="183"/>
  <c r="G38" i="183"/>
  <c r="I38" i="183"/>
  <c r="I12" i="330"/>
  <c r="G12" i="330"/>
  <c r="G14" i="330"/>
  <c r="I14" i="330"/>
  <c r="I11" i="330"/>
  <c r="G11" i="330"/>
  <c r="I16" i="330"/>
  <c r="G16" i="330"/>
  <c r="G38" i="330"/>
  <c r="I38" i="330"/>
  <c r="I15" i="330"/>
  <c r="G15" i="330"/>
  <c r="I23" i="330"/>
  <c r="G23" i="330"/>
  <c r="I24" i="402"/>
  <c r="F24" i="402" s="1"/>
  <c r="G24" i="402" s="1"/>
  <c r="I29" i="327"/>
  <c r="G29" i="327"/>
  <c r="G23" i="327"/>
  <c r="I23" i="327"/>
  <c r="G42" i="327"/>
  <c r="I42" i="327"/>
  <c r="I37" i="327"/>
  <c r="G37" i="327"/>
  <c r="I21" i="327"/>
  <c r="G21" i="327"/>
  <c r="I31" i="327"/>
  <c r="G31" i="327"/>
  <c r="I46" i="126"/>
  <c r="F46" i="126" s="1"/>
  <c r="G46" i="126" s="1"/>
  <c r="I46" i="473"/>
  <c r="F46" i="473" s="1"/>
  <c r="G46" i="473" s="1"/>
  <c r="I46" i="428"/>
  <c r="F46" i="428" s="1"/>
  <c r="G46" i="428" s="1"/>
  <c r="I36" i="177"/>
  <c r="G36" i="177"/>
  <c r="I38" i="177"/>
  <c r="G38" i="177"/>
  <c r="G34" i="177"/>
  <c r="I34" i="177"/>
  <c r="I30" i="177"/>
  <c r="G30" i="177"/>
  <c r="I10" i="177"/>
  <c r="G10" i="177"/>
  <c r="G13" i="177"/>
  <c r="I13" i="177"/>
  <c r="I16" i="177"/>
  <c r="G16" i="177"/>
  <c r="G36" i="401"/>
  <c r="I36" i="401"/>
  <c r="I26" i="401"/>
  <c r="G26" i="401"/>
  <c r="I17" i="401"/>
  <c r="G17" i="401"/>
  <c r="I29" i="401"/>
  <c r="G29" i="401"/>
  <c r="G11" i="401"/>
  <c r="I11" i="401"/>
  <c r="G28" i="401"/>
  <c r="I28" i="401"/>
  <c r="I32" i="402"/>
  <c r="F32" i="402" s="1"/>
  <c r="G32" i="402" s="1"/>
  <c r="G30" i="183"/>
  <c r="I30" i="183"/>
  <c r="I31" i="183"/>
  <c r="G31" i="183"/>
  <c r="G43" i="183"/>
  <c r="I43" i="183"/>
  <c r="G11" i="183"/>
  <c r="I11" i="183"/>
  <c r="I23" i="183"/>
  <c r="G23" i="183"/>
  <c r="I15" i="183"/>
  <c r="G15" i="183"/>
  <c r="I44" i="330"/>
  <c r="G44" i="330"/>
  <c r="I37" i="330"/>
  <c r="G37" i="330"/>
  <c r="I27" i="330"/>
  <c r="G27" i="330"/>
  <c r="I10" i="330"/>
  <c r="G10" i="330"/>
  <c r="I39" i="330"/>
  <c r="G39" i="330"/>
  <c r="I22" i="330"/>
  <c r="G22" i="330"/>
  <c r="G11" i="327"/>
  <c r="I11" i="327"/>
  <c r="G34" i="327"/>
  <c r="I34" i="327"/>
  <c r="I22" i="327"/>
  <c r="G22" i="327"/>
  <c r="G43" i="327"/>
  <c r="I43" i="327"/>
  <c r="I13" i="327"/>
  <c r="G13" i="327"/>
  <c r="I27" i="327"/>
  <c r="G27" i="327"/>
  <c r="G30" i="327"/>
  <c r="I30" i="327"/>
  <c r="I36" i="97"/>
  <c r="G36" i="97"/>
  <c r="I22" i="97"/>
  <c r="G22" i="97"/>
  <c r="G37" i="97"/>
  <c r="I37" i="97"/>
  <c r="I34" i="97"/>
  <c r="G34" i="97"/>
  <c r="I35" i="97"/>
  <c r="G35" i="97"/>
  <c r="I14" i="97"/>
  <c r="G14" i="97"/>
  <c r="I15" i="97"/>
  <c r="G15" i="97"/>
  <c r="I42" i="162"/>
  <c r="G42" i="162"/>
  <c r="G36" i="162"/>
  <c r="I36" i="162"/>
  <c r="G21" i="162"/>
  <c r="I21" i="162"/>
  <c r="I27" i="162"/>
  <c r="G27" i="162"/>
  <c r="I44" i="162"/>
  <c r="G44" i="162"/>
  <c r="I15" i="162"/>
  <c r="G15" i="162"/>
  <c r="G29" i="162"/>
  <c r="I29" i="162"/>
  <c r="I34" i="459"/>
  <c r="G34" i="459"/>
  <c r="I10" i="459"/>
  <c r="G10" i="459"/>
  <c r="G44" i="459"/>
  <c r="I44" i="459"/>
  <c r="G35" i="459"/>
  <c r="I35" i="459"/>
  <c r="G23" i="459"/>
  <c r="I23" i="459"/>
  <c r="I37" i="459"/>
  <c r="G37" i="459"/>
  <c r="I13" i="459"/>
  <c r="G13" i="459"/>
  <c r="I42" i="408"/>
  <c r="G42" i="408"/>
  <c r="I27" i="408"/>
  <c r="G27" i="408"/>
  <c r="G22" i="408"/>
  <c r="I22" i="408"/>
  <c r="G10" i="408"/>
  <c r="I10" i="408"/>
  <c r="G30" i="408"/>
  <c r="I30" i="408"/>
  <c r="I15" i="408"/>
  <c r="G15" i="408"/>
  <c r="I26" i="408"/>
  <c r="G26" i="408"/>
  <c r="G30" i="258"/>
  <c r="I30" i="258"/>
  <c r="I15" i="258"/>
  <c r="G15" i="258"/>
  <c r="I22" i="258"/>
  <c r="G22" i="258"/>
  <c r="G26" i="258"/>
  <c r="I26" i="258"/>
  <c r="G34" i="258"/>
  <c r="I34" i="258"/>
  <c r="G42" i="258"/>
  <c r="I42" i="258"/>
  <c r="G38" i="258"/>
  <c r="I38" i="258"/>
  <c r="I46" i="100"/>
  <c r="F46" i="100" s="1"/>
  <c r="G46" i="100" s="1"/>
  <c r="I15" i="55"/>
  <c r="G15" i="55"/>
  <c r="G38" i="55"/>
  <c r="I38" i="55"/>
  <c r="G14" i="55"/>
  <c r="I14" i="55"/>
  <c r="G43" i="55"/>
  <c r="I43" i="55"/>
  <c r="I35" i="55"/>
  <c r="G35" i="55"/>
  <c r="I27" i="55"/>
  <c r="G27" i="55"/>
  <c r="I17" i="55"/>
  <c r="G17" i="55"/>
  <c r="I35" i="334"/>
  <c r="G35" i="334"/>
  <c r="G13" i="334"/>
  <c r="I13" i="334"/>
  <c r="I29" i="334"/>
  <c r="G29" i="334"/>
  <c r="I26" i="334"/>
  <c r="G26" i="334"/>
  <c r="G43" i="334"/>
  <c r="I43" i="334"/>
  <c r="I42" i="334"/>
  <c r="G42" i="334"/>
  <c r="I10" i="334"/>
  <c r="G10" i="334"/>
  <c r="I10" i="30"/>
  <c r="G10" i="30"/>
  <c r="I11" i="30"/>
  <c r="G11" i="30"/>
  <c r="G28" i="30"/>
  <c r="I28" i="30"/>
  <c r="G23" i="30"/>
  <c r="I23" i="30"/>
  <c r="G14" i="30"/>
  <c r="I14" i="30"/>
  <c r="I34" i="30"/>
  <c r="G34" i="30"/>
  <c r="G44" i="30"/>
  <c r="I44" i="30"/>
  <c r="I19" i="81"/>
  <c r="F19" i="81" s="1"/>
  <c r="G19" i="81" s="1"/>
  <c r="G39" i="131"/>
  <c r="I39" i="131"/>
  <c r="G44" i="131"/>
  <c r="I44" i="131"/>
  <c r="G23" i="131"/>
  <c r="I23" i="131"/>
  <c r="I28" i="131"/>
  <c r="G28" i="131"/>
  <c r="G15" i="131"/>
  <c r="I15" i="131"/>
  <c r="I26" i="131"/>
  <c r="G26" i="131"/>
  <c r="G36" i="131"/>
  <c r="I36" i="131"/>
  <c r="G21" i="456"/>
  <c r="I21" i="456"/>
  <c r="G43" i="456"/>
  <c r="I43" i="456"/>
  <c r="G34" i="456"/>
  <c r="I34" i="456"/>
  <c r="G22" i="456"/>
  <c r="I22" i="456"/>
  <c r="G28" i="456"/>
  <c r="I28" i="456"/>
  <c r="I14" i="456"/>
  <c r="G14" i="456"/>
  <c r="G39" i="456"/>
  <c r="I39" i="456"/>
  <c r="I16" i="46"/>
  <c r="G16" i="46"/>
  <c r="G44" i="46"/>
  <c r="I44" i="46"/>
  <c r="I14" i="46"/>
  <c r="G14" i="46"/>
  <c r="G12" i="46"/>
  <c r="I12" i="46"/>
  <c r="I23" i="46"/>
  <c r="G23" i="46"/>
  <c r="G27" i="46"/>
  <c r="I27" i="46"/>
  <c r="I13" i="46"/>
  <c r="G13" i="46"/>
  <c r="I24" i="100"/>
  <c r="F24" i="100" s="1"/>
  <c r="G24" i="100" s="1"/>
  <c r="I21" i="115"/>
  <c r="G21" i="115"/>
  <c r="G43" i="115"/>
  <c r="I43" i="115"/>
  <c r="I22" i="115"/>
  <c r="G22" i="115"/>
  <c r="I44" i="115"/>
  <c r="G44" i="115"/>
  <c r="I23" i="115"/>
  <c r="G23" i="115"/>
  <c r="G29" i="115"/>
  <c r="I29" i="115"/>
  <c r="G18" i="115"/>
  <c r="I18" i="115"/>
  <c r="G13" i="278"/>
  <c r="I13" i="278"/>
  <c r="G21" i="278"/>
  <c r="I21" i="278"/>
  <c r="I44" i="278"/>
  <c r="G44" i="278"/>
  <c r="I39" i="278"/>
  <c r="G39" i="278"/>
  <c r="G17" i="278"/>
  <c r="I17" i="278"/>
  <c r="G26" i="278"/>
  <c r="I26" i="278"/>
  <c r="I22" i="278"/>
  <c r="G22" i="278"/>
  <c r="I46" i="317"/>
  <c r="F46" i="317" s="1"/>
  <c r="G46" i="317" s="1"/>
  <c r="I32" i="100"/>
  <c r="F32" i="100" s="1"/>
  <c r="G32" i="100" s="1"/>
  <c r="I44" i="399"/>
  <c r="G44" i="399"/>
  <c r="G15" i="399"/>
  <c r="I15" i="399"/>
  <c r="G28" i="399"/>
  <c r="I28" i="399"/>
  <c r="I37" i="399"/>
  <c r="G37" i="399"/>
  <c r="G17" i="399"/>
  <c r="I17" i="399"/>
  <c r="I38" i="399"/>
  <c r="G38" i="399"/>
  <c r="I36" i="399"/>
  <c r="G36" i="399"/>
  <c r="I26" i="186"/>
  <c r="G26" i="186"/>
  <c r="I31" i="186"/>
  <c r="G31" i="186"/>
  <c r="I42" i="186"/>
  <c r="G42" i="186"/>
  <c r="I14" i="186"/>
  <c r="G14" i="186"/>
  <c r="G16" i="186"/>
  <c r="I16" i="186"/>
  <c r="G44" i="186"/>
  <c r="I44" i="186"/>
  <c r="I24" i="238"/>
  <c r="F24" i="238" s="1"/>
  <c r="G24" i="238" s="1"/>
  <c r="I32" i="238"/>
  <c r="F32" i="238" s="1"/>
  <c r="G32" i="238" s="1"/>
  <c r="I24" i="317"/>
  <c r="F24" i="317" s="1"/>
  <c r="G24" i="317" s="1"/>
  <c r="I19" i="317"/>
  <c r="F19" i="317" s="1"/>
  <c r="G19" i="317" s="1"/>
  <c r="I21" i="265"/>
  <c r="G21" i="265"/>
  <c r="I13" i="265"/>
  <c r="G13" i="265"/>
  <c r="G42" i="265"/>
  <c r="I42" i="265"/>
  <c r="G16" i="265"/>
  <c r="I16" i="265"/>
  <c r="G43" i="265"/>
  <c r="I43" i="265"/>
  <c r="I28" i="265"/>
  <c r="G28" i="265"/>
  <c r="G44" i="265"/>
  <c r="I44" i="265"/>
  <c r="I46" i="134"/>
  <c r="F46" i="134" s="1"/>
  <c r="G46" i="134" s="1"/>
  <c r="G18" i="97"/>
  <c r="I18" i="97"/>
  <c r="G44" i="97"/>
  <c r="I44" i="97"/>
  <c r="I13" i="97"/>
  <c r="G13" i="97"/>
  <c r="I38" i="97"/>
  <c r="G38" i="97"/>
  <c r="I28" i="97"/>
  <c r="G28" i="97"/>
  <c r="I42" i="97"/>
  <c r="G42" i="97"/>
  <c r="G23" i="162"/>
  <c r="I23" i="162"/>
  <c r="I18" i="162"/>
  <c r="G18" i="162"/>
  <c r="I11" i="162"/>
  <c r="G11" i="162"/>
  <c r="I16" i="162"/>
  <c r="G16" i="162"/>
  <c r="I10" i="162"/>
  <c r="G10" i="162"/>
  <c r="I39" i="162"/>
  <c r="G39" i="162"/>
  <c r="G38" i="162"/>
  <c r="I38" i="162"/>
  <c r="I17" i="459"/>
  <c r="G17" i="459"/>
  <c r="I26" i="459"/>
  <c r="G26" i="459"/>
  <c r="G42" i="459"/>
  <c r="I42" i="459"/>
  <c r="I15" i="459"/>
  <c r="G15" i="459"/>
  <c r="I21" i="459"/>
  <c r="G21" i="459"/>
  <c r="I18" i="459"/>
  <c r="G18" i="459"/>
  <c r="I43" i="408"/>
  <c r="G43" i="408"/>
  <c r="I35" i="408"/>
  <c r="G35" i="408"/>
  <c r="G44" i="408"/>
  <c r="I44" i="408"/>
  <c r="G23" i="408"/>
  <c r="I23" i="408"/>
  <c r="I17" i="408"/>
  <c r="G17" i="408"/>
  <c r="I29" i="408"/>
  <c r="G29" i="408"/>
  <c r="G38" i="408"/>
  <c r="I38" i="408"/>
  <c r="I13" i="258"/>
  <c r="G13" i="258"/>
  <c r="G37" i="258"/>
  <c r="I37" i="258"/>
  <c r="I18" i="258"/>
  <c r="G18" i="258"/>
  <c r="I23" i="258"/>
  <c r="G23" i="258"/>
  <c r="G31" i="258"/>
  <c r="I31" i="258"/>
  <c r="G28" i="258"/>
  <c r="I28" i="258"/>
  <c r="I12" i="55"/>
  <c r="G12" i="55"/>
  <c r="I23" i="55"/>
  <c r="G23" i="55"/>
  <c r="G37" i="55"/>
  <c r="I37" i="55"/>
  <c r="G22" i="55"/>
  <c r="I22" i="55"/>
  <c r="G28" i="55"/>
  <c r="I28" i="55"/>
  <c r="I31" i="55"/>
  <c r="G31" i="55"/>
  <c r="G36" i="55"/>
  <c r="I36" i="55"/>
  <c r="G28" i="334"/>
  <c r="I28" i="334"/>
  <c r="I37" i="334"/>
  <c r="G37" i="334"/>
  <c r="I44" i="334"/>
  <c r="G44" i="334"/>
  <c r="G36" i="334"/>
  <c r="I36" i="334"/>
  <c r="G21" i="334"/>
  <c r="I21" i="334"/>
  <c r="I12" i="334"/>
  <c r="G12" i="334"/>
  <c r="G13" i="30"/>
  <c r="I13" i="30"/>
  <c r="I31" i="30"/>
  <c r="G31" i="30"/>
  <c r="G30" i="30"/>
  <c r="I30" i="30"/>
  <c r="G35" i="30"/>
  <c r="I35" i="30"/>
  <c r="I21" i="30"/>
  <c r="G21" i="30"/>
  <c r="I36" i="30"/>
  <c r="G36" i="30"/>
  <c r="G16" i="30"/>
  <c r="I16" i="30"/>
  <c r="I19" i="238"/>
  <c r="F19" i="238" s="1"/>
  <c r="G19" i="238" s="1"/>
  <c r="G38" i="131"/>
  <c r="I38" i="131"/>
  <c r="I13" i="131"/>
  <c r="G13" i="131"/>
  <c r="G31" i="131"/>
  <c r="I31" i="131"/>
  <c r="I43" i="131"/>
  <c r="G43" i="131"/>
  <c r="I34" i="131"/>
  <c r="G34" i="131"/>
  <c r="I22" i="131"/>
  <c r="G22" i="131"/>
  <c r="I10" i="131"/>
  <c r="G10" i="131"/>
  <c r="G12" i="456"/>
  <c r="I12" i="456"/>
  <c r="G35" i="456"/>
  <c r="I35" i="456"/>
  <c r="G18" i="456"/>
  <c r="I18" i="456"/>
  <c r="G26" i="456"/>
  <c r="I26" i="456"/>
  <c r="I29" i="456"/>
  <c r="G29" i="456"/>
  <c r="G31" i="456"/>
  <c r="I31" i="456"/>
  <c r="I13" i="456"/>
  <c r="G13" i="456"/>
  <c r="G11" i="46"/>
  <c r="I11" i="46"/>
  <c r="G18" i="46"/>
  <c r="I18" i="46"/>
  <c r="G31" i="46"/>
  <c r="I31" i="46"/>
  <c r="I17" i="46"/>
  <c r="G17" i="46"/>
  <c r="G15" i="46"/>
  <c r="I15" i="46"/>
  <c r="G21" i="46"/>
  <c r="I21" i="46"/>
  <c r="G36" i="46"/>
  <c r="I36" i="46"/>
  <c r="I34" i="115"/>
  <c r="G34" i="115"/>
  <c r="G15" i="115"/>
  <c r="I15" i="115"/>
  <c r="G28" i="115"/>
  <c r="I28" i="115"/>
  <c r="I39" i="115"/>
  <c r="G39" i="115"/>
  <c r="G26" i="115"/>
  <c r="I26" i="115"/>
  <c r="G13" i="115"/>
  <c r="I13" i="115"/>
  <c r="I27" i="115"/>
  <c r="G27" i="115"/>
  <c r="I46" i="238"/>
  <c r="F46" i="238" s="1"/>
  <c r="G46" i="238" s="1"/>
  <c r="I40" i="450"/>
  <c r="F40" i="450" s="1"/>
  <c r="G40" i="450" s="1"/>
  <c r="G35" i="278"/>
  <c r="I35" i="278"/>
  <c r="I34" i="278"/>
  <c r="G34" i="278"/>
  <c r="G15" i="278"/>
  <c r="I15" i="278"/>
  <c r="G12" i="278"/>
  <c r="I12" i="278"/>
  <c r="I43" i="278"/>
  <c r="G43" i="278"/>
  <c r="G18" i="278"/>
  <c r="I18" i="278"/>
  <c r="G39" i="399"/>
  <c r="I39" i="399"/>
  <c r="G23" i="399"/>
  <c r="G16" i="399"/>
  <c r="I27" i="399"/>
  <c r="G27" i="399"/>
  <c r="G12" i="399"/>
  <c r="I13" i="399"/>
  <c r="I17" i="186"/>
  <c r="G17" i="186"/>
  <c r="G34" i="186"/>
  <c r="I34" i="186"/>
  <c r="G43" i="186"/>
  <c r="I43" i="186"/>
  <c r="G18" i="186"/>
  <c r="I18" i="186"/>
  <c r="I36" i="186"/>
  <c r="G36" i="186"/>
  <c r="I30" i="186"/>
  <c r="G30" i="186"/>
  <c r="I39" i="186"/>
  <c r="G39" i="186"/>
  <c r="I46" i="450"/>
  <c r="F46" i="450" s="1"/>
  <c r="G46" i="450" s="1"/>
  <c r="G35" i="265"/>
  <c r="I35" i="265"/>
  <c r="I15" i="265"/>
  <c r="G15" i="265"/>
  <c r="I27" i="265"/>
  <c r="G27" i="265"/>
  <c r="G38" i="265"/>
  <c r="I38" i="265"/>
  <c r="G30" i="265"/>
  <c r="I30" i="265"/>
  <c r="G17" i="265"/>
  <c r="I17" i="265"/>
  <c r="G34" i="265"/>
  <c r="I34" i="265"/>
  <c r="G23" i="97"/>
  <c r="I23" i="97"/>
  <c r="I26" i="97"/>
  <c r="G26" i="97"/>
  <c r="G12" i="97"/>
  <c r="I12" i="97"/>
  <c r="G21" i="97"/>
  <c r="I21" i="97"/>
  <c r="I10" i="97"/>
  <c r="G10" i="97"/>
  <c r="G30" i="97"/>
  <c r="I30" i="97"/>
  <c r="G27" i="97"/>
  <c r="I27" i="97"/>
  <c r="I40" i="100"/>
  <c r="F40" i="100" s="1"/>
  <c r="G40" i="100" s="1"/>
  <c r="G14" i="162"/>
  <c r="I14" i="162"/>
  <c r="I17" i="162"/>
  <c r="G17" i="162"/>
  <c r="G28" i="162"/>
  <c r="I28" i="162"/>
  <c r="G12" i="162"/>
  <c r="I12" i="162"/>
  <c r="I26" i="162"/>
  <c r="G26" i="162"/>
  <c r="I22" i="162"/>
  <c r="G22" i="162"/>
  <c r="G35" i="162"/>
  <c r="I35" i="162"/>
  <c r="I38" i="459"/>
  <c r="G38" i="459"/>
  <c r="I31" i="459"/>
  <c r="G31" i="459"/>
  <c r="I28" i="459"/>
  <c r="G28" i="459"/>
  <c r="I30" i="459"/>
  <c r="G30" i="459"/>
  <c r="G27" i="459"/>
  <c r="I27" i="459"/>
  <c r="G22" i="459"/>
  <c r="I22" i="459"/>
  <c r="I16" i="459"/>
  <c r="G16" i="459"/>
  <c r="I46" i="81"/>
  <c r="F46" i="81" s="1"/>
  <c r="G46" i="81" s="1"/>
  <c r="I28" i="408"/>
  <c r="G28" i="408"/>
  <c r="I39" i="408"/>
  <c r="G39" i="408"/>
  <c r="I14" i="408"/>
  <c r="G14" i="408"/>
  <c r="G36" i="408"/>
  <c r="I36" i="408"/>
  <c r="I31" i="408"/>
  <c r="G31" i="408"/>
  <c r="G34" i="408"/>
  <c r="I34" i="408"/>
  <c r="G18" i="408"/>
  <c r="I18" i="408"/>
  <c r="I32" i="348"/>
  <c r="F32" i="348" s="1"/>
  <c r="G32" i="348" s="1"/>
  <c r="I40" i="348"/>
  <c r="F40" i="348" s="1"/>
  <c r="G40" i="348" s="1"/>
  <c r="G27" i="258"/>
  <c r="I27" i="258"/>
  <c r="G44" i="258"/>
  <c r="I44" i="258"/>
  <c r="G16" i="258"/>
  <c r="I16" i="258"/>
  <c r="I29" i="258"/>
  <c r="G29" i="258"/>
  <c r="G36" i="258"/>
  <c r="I36" i="258"/>
  <c r="G11" i="258"/>
  <c r="I11" i="258"/>
  <c r="I10" i="258"/>
  <c r="G10" i="258"/>
  <c r="G10" i="55"/>
  <c r="I10" i="55"/>
  <c r="I18" i="55"/>
  <c r="G18" i="55"/>
  <c r="I13" i="55"/>
  <c r="G13" i="55"/>
  <c r="I26" i="55"/>
  <c r="G26" i="55"/>
  <c r="I11" i="55"/>
  <c r="G11" i="55"/>
  <c r="G29" i="55"/>
  <c r="I29" i="55"/>
  <c r="G30" i="55"/>
  <c r="I30" i="55"/>
  <c r="G17" i="334"/>
  <c r="I17" i="334"/>
  <c r="G23" i="334"/>
  <c r="I23" i="334"/>
  <c r="I39" i="334"/>
  <c r="G39" i="334"/>
  <c r="G22" i="334"/>
  <c r="I22" i="334"/>
  <c r="I14" i="334"/>
  <c r="G14" i="334"/>
  <c r="G11" i="334"/>
  <c r="I11" i="334"/>
  <c r="I18" i="334"/>
  <c r="G18" i="334"/>
  <c r="G27" i="30"/>
  <c r="I27" i="30"/>
  <c r="G42" i="30"/>
  <c r="I42" i="30"/>
  <c r="G17" i="30"/>
  <c r="I17" i="30"/>
  <c r="G12" i="30"/>
  <c r="I12" i="30"/>
  <c r="G18" i="30"/>
  <c r="I18" i="30"/>
  <c r="I26" i="30"/>
  <c r="G26" i="30"/>
  <c r="G38" i="30"/>
  <c r="I38" i="30"/>
  <c r="I19" i="450"/>
  <c r="F19" i="450" s="1"/>
  <c r="G19" i="450" s="1"/>
  <c r="I29" i="131"/>
  <c r="G29" i="131"/>
  <c r="I16" i="131"/>
  <c r="G16" i="131"/>
  <c r="I21" i="131"/>
  <c r="G21" i="131"/>
  <c r="I27" i="131"/>
  <c r="G27" i="131"/>
  <c r="I14" i="131"/>
  <c r="G14" i="131"/>
  <c r="I12" i="131"/>
  <c r="G12" i="131"/>
  <c r="I42" i="456"/>
  <c r="G42" i="456"/>
  <c r="G17" i="456"/>
  <c r="I17" i="456"/>
  <c r="I15" i="456"/>
  <c r="G15" i="456"/>
  <c r="G37" i="456"/>
  <c r="I37" i="456"/>
  <c r="G10" i="456"/>
  <c r="I10" i="456"/>
  <c r="I44" i="456"/>
  <c r="G44" i="456"/>
  <c r="I10" i="46"/>
  <c r="G10" i="46"/>
  <c r="G38" i="46"/>
  <c r="I38" i="46"/>
  <c r="I35" i="46"/>
  <c r="G35" i="46"/>
  <c r="G37" i="46"/>
  <c r="I37" i="46"/>
  <c r="I22" i="46"/>
  <c r="G22" i="46"/>
  <c r="I28" i="46"/>
  <c r="G28" i="46"/>
  <c r="I24" i="189"/>
  <c r="F24" i="189" s="1"/>
  <c r="G24" i="189" s="1"/>
  <c r="I42" i="115"/>
  <c r="G42" i="115"/>
  <c r="I17" i="115"/>
  <c r="G17" i="115"/>
  <c r="I10" i="115"/>
  <c r="G10" i="115"/>
  <c r="G12" i="115"/>
  <c r="I12" i="115"/>
  <c r="I37" i="115"/>
  <c r="G37" i="115"/>
  <c r="G31" i="115"/>
  <c r="I31" i="115"/>
  <c r="I30" i="115"/>
  <c r="G30" i="115"/>
  <c r="I32" i="450"/>
  <c r="F32" i="450" s="1"/>
  <c r="G32" i="450" s="1"/>
  <c r="G38" i="278"/>
  <c r="I38" i="278"/>
  <c r="G28" i="278"/>
  <c r="I28" i="278"/>
  <c r="I11" i="278"/>
  <c r="G11" i="278"/>
  <c r="I27" i="278"/>
  <c r="G27" i="278"/>
  <c r="I14" i="278"/>
  <c r="G14" i="278"/>
  <c r="I16" i="278"/>
  <c r="G16" i="278"/>
  <c r="I37" i="278"/>
  <c r="G37" i="278"/>
  <c r="I40" i="189"/>
  <c r="F40" i="189" s="1"/>
  <c r="G40" i="189" s="1"/>
  <c r="G43" i="399"/>
  <c r="I43" i="399"/>
  <c r="I11" i="399"/>
  <c r="G11" i="399"/>
  <c r="I10" i="399"/>
  <c r="G26" i="399"/>
  <c r="G30" i="399"/>
  <c r="I30" i="399"/>
  <c r="G29" i="399"/>
  <c r="I29" i="399"/>
  <c r="G42" i="399"/>
  <c r="G38" i="186"/>
  <c r="I38" i="186"/>
  <c r="I12" i="186"/>
  <c r="G12" i="186"/>
  <c r="G28" i="186"/>
  <c r="I28" i="186"/>
  <c r="I21" i="186"/>
  <c r="G21" i="186"/>
  <c r="I29" i="186"/>
  <c r="G29" i="186"/>
  <c r="I10" i="186"/>
  <c r="G10" i="186"/>
  <c r="I23" i="186"/>
  <c r="G23" i="186"/>
  <c r="I40" i="238"/>
  <c r="F40" i="238" s="1"/>
  <c r="G40" i="238" s="1"/>
  <c r="I32" i="81"/>
  <c r="F32" i="81" s="1"/>
  <c r="G32" i="81" s="1"/>
  <c r="I10" i="265"/>
  <c r="G10" i="265"/>
  <c r="I39" i="265"/>
  <c r="G39" i="265"/>
  <c r="G12" i="265"/>
  <c r="I12" i="265"/>
  <c r="G36" i="265"/>
  <c r="I36" i="265"/>
  <c r="I14" i="265"/>
  <c r="G14" i="265"/>
  <c r="I18" i="265"/>
  <c r="G18" i="265"/>
  <c r="I11" i="97"/>
  <c r="G11" i="97"/>
  <c r="I17" i="97"/>
  <c r="G17" i="97"/>
  <c r="G39" i="97"/>
  <c r="I39" i="97"/>
  <c r="G29" i="97"/>
  <c r="I29" i="97"/>
  <c r="G43" i="97"/>
  <c r="I43" i="97"/>
  <c r="I31" i="97"/>
  <c r="G31" i="97"/>
  <c r="I16" i="97"/>
  <c r="G16" i="97"/>
  <c r="G37" i="162"/>
  <c r="I37" i="162"/>
  <c r="I43" i="162"/>
  <c r="G43" i="162"/>
  <c r="I13" i="162"/>
  <c r="G13" i="162"/>
  <c r="G31" i="162"/>
  <c r="I31" i="162"/>
  <c r="I30" i="162"/>
  <c r="G30" i="162"/>
  <c r="G34" i="162"/>
  <c r="I34" i="162"/>
  <c r="G43" i="459"/>
  <c r="I43" i="459"/>
  <c r="I29" i="459"/>
  <c r="G29" i="459"/>
  <c r="G12" i="459"/>
  <c r="I12" i="459"/>
  <c r="I11" i="459"/>
  <c r="G11" i="459"/>
  <c r="G39" i="459"/>
  <c r="I39" i="459"/>
  <c r="G36" i="459"/>
  <c r="I36" i="459"/>
  <c r="G14" i="459"/>
  <c r="I14" i="459"/>
  <c r="G21" i="408"/>
  <c r="I21" i="408"/>
  <c r="G12" i="408"/>
  <c r="I12" i="408"/>
  <c r="I13" i="408"/>
  <c r="G13" i="408"/>
  <c r="I11" i="408"/>
  <c r="G11" i="408"/>
  <c r="G37" i="408"/>
  <c r="I37" i="408"/>
  <c r="I16" i="408"/>
  <c r="G16" i="408"/>
  <c r="I39" i="258"/>
  <c r="G39" i="258"/>
  <c r="I12" i="258"/>
  <c r="G12" i="258"/>
  <c r="I35" i="258"/>
  <c r="G35" i="258"/>
  <c r="G21" i="258"/>
  <c r="I21" i="258"/>
  <c r="G14" i="258"/>
  <c r="I14" i="258"/>
  <c r="G17" i="258"/>
  <c r="I17" i="258"/>
  <c r="I43" i="258"/>
  <c r="G43" i="258"/>
  <c r="I19" i="189"/>
  <c r="F19" i="189" s="1"/>
  <c r="G19" i="189" s="1"/>
  <c r="I16" i="55"/>
  <c r="G16" i="55"/>
  <c r="G42" i="55"/>
  <c r="I42" i="55"/>
  <c r="I46" i="55" s="1"/>
  <c r="F46" i="55" s="1"/>
  <c r="G46" i="55" s="1"/>
  <c r="G44" i="55"/>
  <c r="I44" i="55"/>
  <c r="I21" i="55"/>
  <c r="G21" i="55"/>
  <c r="I34" i="55"/>
  <c r="G34" i="55"/>
  <c r="I39" i="55"/>
  <c r="G39" i="55"/>
  <c r="I34" i="334"/>
  <c r="G34" i="334"/>
  <c r="I15" i="334"/>
  <c r="G15" i="334"/>
  <c r="I27" i="334"/>
  <c r="G27" i="334"/>
  <c r="I16" i="334"/>
  <c r="G16" i="334"/>
  <c r="G30" i="334"/>
  <c r="I30" i="334"/>
  <c r="G31" i="334"/>
  <c r="I31" i="334"/>
  <c r="G38" i="334"/>
  <c r="I38" i="334"/>
  <c r="G43" i="30"/>
  <c r="I43" i="30"/>
  <c r="G39" i="30"/>
  <c r="I39" i="30"/>
  <c r="G29" i="30"/>
  <c r="I29" i="30"/>
  <c r="I37" i="30"/>
  <c r="G37" i="30"/>
  <c r="G22" i="30"/>
  <c r="I22" i="30"/>
  <c r="I15" i="30"/>
  <c r="G15" i="30"/>
  <c r="G30" i="131"/>
  <c r="I30" i="131"/>
  <c r="I35" i="131"/>
  <c r="G35" i="131"/>
  <c r="I42" i="131"/>
  <c r="I46" i="131" s="1"/>
  <c r="F46" i="131" s="1"/>
  <c r="G46" i="131" s="1"/>
  <c r="G42" i="131"/>
  <c r="I11" i="131"/>
  <c r="G11" i="131"/>
  <c r="I37" i="131"/>
  <c r="G37" i="131"/>
  <c r="I17" i="131"/>
  <c r="G17" i="131"/>
  <c r="I18" i="131"/>
  <c r="G18" i="131"/>
  <c r="I24" i="348"/>
  <c r="F24" i="348" s="1"/>
  <c r="G24" i="348" s="1"/>
  <c r="I23" i="456"/>
  <c r="G23" i="456"/>
  <c r="I38" i="456"/>
  <c r="G38" i="456"/>
  <c r="I11" i="456"/>
  <c r="G11" i="456"/>
  <c r="G30" i="456"/>
  <c r="I30" i="456"/>
  <c r="I36" i="456"/>
  <c r="G36" i="456"/>
  <c r="I16" i="456"/>
  <c r="G16" i="456"/>
  <c r="G27" i="456"/>
  <c r="I27" i="456"/>
  <c r="I43" i="46"/>
  <c r="G43" i="46"/>
  <c r="G30" i="46"/>
  <c r="I30" i="46"/>
  <c r="I26" i="46"/>
  <c r="G26" i="46"/>
  <c r="I29" i="46"/>
  <c r="G29" i="46"/>
  <c r="G34" i="46"/>
  <c r="I34" i="46"/>
  <c r="I39" i="46"/>
  <c r="G39" i="46"/>
  <c r="I42" i="46"/>
  <c r="I46" i="46" s="1"/>
  <c r="F46" i="46" s="1"/>
  <c r="G46" i="46" s="1"/>
  <c r="G42" i="46"/>
  <c r="I35" i="115"/>
  <c r="G35" i="115"/>
  <c r="G14" i="115"/>
  <c r="I14" i="115"/>
  <c r="I38" i="115"/>
  <c r="G38" i="115"/>
  <c r="I36" i="115"/>
  <c r="G36" i="115"/>
  <c r="I16" i="115"/>
  <c r="G16" i="115"/>
  <c r="G11" i="115"/>
  <c r="I11" i="115"/>
  <c r="I24" i="450"/>
  <c r="F24" i="450" s="1"/>
  <c r="G24" i="450" s="1"/>
  <c r="I24" i="81"/>
  <c r="F24" i="81" s="1"/>
  <c r="G24" i="81" s="1"/>
  <c r="I40" i="81"/>
  <c r="F40" i="81" s="1"/>
  <c r="G40" i="81" s="1"/>
  <c r="I30" i="278"/>
  <c r="G30" i="278"/>
  <c r="I31" i="278"/>
  <c r="G31" i="278"/>
  <c r="I42" i="278"/>
  <c r="I46" i="278" s="1"/>
  <c r="F46" i="278" s="1"/>
  <c r="G46" i="278" s="1"/>
  <c r="G42" i="278"/>
  <c r="G36" i="278"/>
  <c r="I36" i="278"/>
  <c r="I10" i="278"/>
  <c r="G10" i="278"/>
  <c r="I23" i="278"/>
  <c r="G23" i="278"/>
  <c r="G29" i="278"/>
  <c r="I29" i="278"/>
  <c r="I40" i="317"/>
  <c r="F40" i="317" s="1"/>
  <c r="G40" i="317" s="1"/>
  <c r="I46" i="348"/>
  <c r="F46" i="348" s="1"/>
  <c r="G46" i="348" s="1"/>
  <c r="G21" i="399"/>
  <c r="I21" i="399"/>
  <c r="I31" i="399"/>
  <c r="G31" i="399"/>
  <c r="I22" i="399"/>
  <c r="G22" i="399"/>
  <c r="I34" i="399"/>
  <c r="G34" i="399"/>
  <c r="I14" i="399"/>
  <c r="G14" i="399"/>
  <c r="I22" i="186"/>
  <c r="G22" i="186"/>
  <c r="G35" i="186"/>
  <c r="I35" i="186"/>
  <c r="G11" i="186"/>
  <c r="I11" i="186"/>
  <c r="G15" i="186"/>
  <c r="I15" i="186"/>
  <c r="G37" i="186"/>
  <c r="I37" i="186"/>
  <c r="G13" i="186"/>
  <c r="I13" i="186"/>
  <c r="I27" i="186"/>
  <c r="G27" i="186"/>
  <c r="I32" i="317"/>
  <c r="F32" i="317" s="1"/>
  <c r="G32" i="317" s="1"/>
  <c r="G37" i="265"/>
  <c r="I37" i="265"/>
  <c r="G29" i="265"/>
  <c r="I29" i="265"/>
  <c r="G26" i="265"/>
  <c r="I26" i="265"/>
  <c r="I22" i="265"/>
  <c r="G22" i="265"/>
  <c r="G23" i="265"/>
  <c r="I23" i="265"/>
  <c r="G31" i="265"/>
  <c r="I31" i="265"/>
  <c r="I11" i="265"/>
  <c r="G11" i="265"/>
  <c r="I40" i="73"/>
  <c r="F40" i="73" s="1"/>
  <c r="G40" i="73" s="1"/>
  <c r="E24" i="351"/>
  <c r="I19" i="253"/>
  <c r="F19" i="253" s="1"/>
  <c r="G19" i="253" s="1"/>
  <c r="I29" i="435"/>
  <c r="G29" i="435"/>
  <c r="I13" i="435"/>
  <c r="G13" i="435"/>
  <c r="G28" i="435"/>
  <c r="I28" i="435"/>
  <c r="I34" i="435"/>
  <c r="G34" i="435"/>
  <c r="I22" i="435"/>
  <c r="G22" i="435"/>
  <c r="I18" i="435"/>
  <c r="G18" i="435"/>
  <c r="G16" i="435"/>
  <c r="I16" i="435"/>
  <c r="I11" i="28"/>
  <c r="G11" i="28"/>
  <c r="G44" i="28"/>
  <c r="I44" i="28"/>
  <c r="G28" i="28"/>
  <c r="I28" i="28"/>
  <c r="I22" i="28"/>
  <c r="G22" i="28"/>
  <c r="G29" i="28"/>
  <c r="I29" i="28"/>
  <c r="G14" i="28"/>
  <c r="I14" i="28"/>
  <c r="I15" i="28"/>
  <c r="G15" i="28"/>
  <c r="I39" i="421"/>
  <c r="G39" i="421"/>
  <c r="I36" i="421"/>
  <c r="G36" i="421"/>
  <c r="I27" i="421"/>
  <c r="G27" i="421"/>
  <c r="I12" i="421"/>
  <c r="G12" i="421"/>
  <c r="G26" i="421"/>
  <c r="I26" i="421"/>
  <c r="G23" i="421"/>
  <c r="I23" i="421"/>
  <c r="I13" i="140"/>
  <c r="G13" i="140"/>
  <c r="I38" i="140"/>
  <c r="G38" i="140"/>
  <c r="G15" i="140"/>
  <c r="I15" i="140"/>
  <c r="I42" i="140"/>
  <c r="G42" i="140"/>
  <c r="I44" i="140"/>
  <c r="G44" i="140"/>
  <c r="G16" i="140"/>
  <c r="I16" i="140"/>
  <c r="G35" i="140"/>
  <c r="I35" i="140"/>
  <c r="G43" i="112"/>
  <c r="I43" i="112"/>
  <c r="I42" i="112"/>
  <c r="G42" i="112"/>
  <c r="I28" i="112"/>
  <c r="G28" i="112"/>
  <c r="G12" i="112"/>
  <c r="I12" i="112"/>
  <c r="I15" i="112"/>
  <c r="G15" i="112"/>
  <c r="G44" i="112"/>
  <c r="I44" i="112"/>
  <c r="G27" i="112"/>
  <c r="I27" i="112"/>
  <c r="I40" i="134"/>
  <c r="F40" i="134" s="1"/>
  <c r="G40" i="134" s="1"/>
  <c r="I32" i="134"/>
  <c r="F32" i="134" s="1"/>
  <c r="G32" i="134" s="1"/>
  <c r="I38" i="390"/>
  <c r="G38" i="390"/>
  <c r="I10" i="390"/>
  <c r="G10" i="390"/>
  <c r="I26" i="390"/>
  <c r="G26" i="390"/>
  <c r="I29" i="390"/>
  <c r="G29" i="390"/>
  <c r="G18" i="390"/>
  <c r="I18" i="390"/>
  <c r="I17" i="390"/>
  <c r="G17" i="390"/>
  <c r="I14" i="390"/>
  <c r="G14" i="390"/>
  <c r="I32" i="59"/>
  <c r="F32" i="59" s="1"/>
  <c r="G32" i="59" s="1"/>
  <c r="I16" i="440"/>
  <c r="G16" i="440"/>
  <c r="G17" i="440"/>
  <c r="I17" i="440"/>
  <c r="G31" i="440"/>
  <c r="I31" i="440"/>
  <c r="I14" i="440"/>
  <c r="G14" i="440"/>
  <c r="G26" i="440"/>
  <c r="I26" i="440"/>
  <c r="I36" i="440"/>
  <c r="G36" i="440"/>
  <c r="I43" i="440"/>
  <c r="G43" i="440"/>
  <c r="I24" i="146"/>
  <c r="F24" i="146" s="1"/>
  <c r="G24" i="146" s="1"/>
  <c r="I36" i="148"/>
  <c r="G36" i="148"/>
  <c r="G35" i="148"/>
  <c r="I35" i="148"/>
  <c r="G22" i="148"/>
  <c r="I22" i="148"/>
  <c r="I37" i="148"/>
  <c r="G37" i="148"/>
  <c r="I34" i="148"/>
  <c r="G34" i="148"/>
  <c r="G21" i="148"/>
  <c r="I21" i="148"/>
  <c r="I40" i="59"/>
  <c r="F40" i="59" s="1"/>
  <c r="G40" i="59" s="1"/>
  <c r="G23" i="232"/>
  <c r="I23" i="232"/>
  <c r="G30" i="232"/>
  <c r="I30" i="232"/>
  <c r="I15" i="232"/>
  <c r="G15" i="232"/>
  <c r="I28" i="232"/>
  <c r="G28" i="232"/>
  <c r="I31" i="232"/>
  <c r="G31" i="232"/>
  <c r="G42" i="232"/>
  <c r="I42" i="232"/>
  <c r="I36" i="232"/>
  <c r="G36" i="232"/>
  <c r="I32" i="127"/>
  <c r="F32" i="127" s="1"/>
  <c r="G32" i="127" s="1"/>
  <c r="I19" i="306"/>
  <c r="F19" i="306" s="1"/>
  <c r="G19" i="306" s="1"/>
  <c r="I40" i="253"/>
  <c r="F40" i="253" s="1"/>
  <c r="G40" i="253" s="1"/>
  <c r="E48" i="417"/>
  <c r="I23" i="435"/>
  <c r="G23" i="435"/>
  <c r="G11" i="435"/>
  <c r="I11" i="435"/>
  <c r="I44" i="435"/>
  <c r="G44" i="435"/>
  <c r="I37" i="435"/>
  <c r="G37" i="435"/>
  <c r="I17" i="435"/>
  <c r="G17" i="435"/>
  <c r="I30" i="435"/>
  <c r="G30" i="435"/>
  <c r="I35" i="435"/>
  <c r="G35" i="435"/>
  <c r="G10" i="28"/>
  <c r="I10" i="28"/>
  <c r="G34" i="28"/>
  <c r="I34" i="28"/>
  <c r="I17" i="28"/>
  <c r="G17" i="28"/>
  <c r="G43" i="28"/>
  <c r="I43" i="28"/>
  <c r="I16" i="28"/>
  <c r="G16" i="28"/>
  <c r="G18" i="28"/>
  <c r="I18" i="28"/>
  <c r="I30" i="28"/>
  <c r="G30" i="28"/>
  <c r="I28" i="421"/>
  <c r="G28" i="421"/>
  <c r="I34" i="421"/>
  <c r="G34" i="421"/>
  <c r="I18" i="421"/>
  <c r="G18" i="421"/>
  <c r="G15" i="421"/>
  <c r="I15" i="421"/>
  <c r="I17" i="421"/>
  <c r="G17" i="421"/>
  <c r="I10" i="421"/>
  <c r="G10" i="421"/>
  <c r="I37" i="421"/>
  <c r="G37" i="421"/>
  <c r="I11" i="140"/>
  <c r="G11" i="140"/>
  <c r="G30" i="140"/>
  <c r="I30" i="140"/>
  <c r="I36" i="140"/>
  <c r="G36" i="140"/>
  <c r="G23" i="140"/>
  <c r="I23" i="140"/>
  <c r="I27" i="140"/>
  <c r="G27" i="140"/>
  <c r="G28" i="140"/>
  <c r="I28" i="140"/>
  <c r="G14" i="140"/>
  <c r="I14" i="140"/>
  <c r="I11" i="112"/>
  <c r="G11" i="112"/>
  <c r="G35" i="112"/>
  <c r="I35" i="112"/>
  <c r="I37" i="112"/>
  <c r="G37" i="112"/>
  <c r="G18" i="112"/>
  <c r="I18" i="112"/>
  <c r="I23" i="112"/>
  <c r="G23" i="112"/>
  <c r="I29" i="112"/>
  <c r="G29" i="112"/>
  <c r="G30" i="112"/>
  <c r="I30" i="112"/>
  <c r="G11" i="390"/>
  <c r="I11" i="390"/>
  <c r="G13" i="390"/>
  <c r="I13" i="390"/>
  <c r="I42" i="390"/>
  <c r="G42" i="390"/>
  <c r="I12" i="390"/>
  <c r="G12" i="390"/>
  <c r="G35" i="390"/>
  <c r="I35" i="390"/>
  <c r="I43" i="390"/>
  <c r="G43" i="390"/>
  <c r="G28" i="440"/>
  <c r="I28" i="440"/>
  <c r="G15" i="440"/>
  <c r="I15" i="440"/>
  <c r="I27" i="440"/>
  <c r="G27" i="440"/>
  <c r="I37" i="440"/>
  <c r="G37" i="440"/>
  <c r="G22" i="440"/>
  <c r="I22" i="440"/>
  <c r="I38" i="440"/>
  <c r="G38" i="440"/>
  <c r="I39" i="440"/>
  <c r="G39" i="440"/>
  <c r="G26" i="148"/>
  <c r="I26" i="148"/>
  <c r="I15" i="148"/>
  <c r="G15" i="148"/>
  <c r="G27" i="148"/>
  <c r="I27" i="148"/>
  <c r="I12" i="148"/>
  <c r="G12" i="148"/>
  <c r="G31" i="148"/>
  <c r="I31" i="148"/>
  <c r="I43" i="148"/>
  <c r="G43" i="148"/>
  <c r="G44" i="148"/>
  <c r="I44" i="148"/>
  <c r="I46" i="59"/>
  <c r="F46" i="59" s="1"/>
  <c r="G46" i="59" s="1"/>
  <c r="G16" i="232"/>
  <c r="I16" i="232"/>
  <c r="I11" i="232"/>
  <c r="G11" i="232"/>
  <c r="I43" i="232"/>
  <c r="G43" i="232"/>
  <c r="I34" i="232"/>
  <c r="G34" i="232"/>
  <c r="G21" i="232"/>
  <c r="I21" i="232"/>
  <c r="I18" i="232"/>
  <c r="G18" i="232"/>
  <c r="G38" i="232"/>
  <c r="I38" i="232"/>
  <c r="I40" i="127"/>
  <c r="F40" i="127" s="1"/>
  <c r="G40" i="127" s="1"/>
  <c r="I19" i="59"/>
  <c r="F19" i="59" s="1"/>
  <c r="G19" i="59" s="1"/>
  <c r="G42" i="435"/>
  <c r="I42" i="435"/>
  <c r="I38" i="435"/>
  <c r="G38" i="435"/>
  <c r="G39" i="435"/>
  <c r="I39" i="435"/>
  <c r="I10" i="435"/>
  <c r="G10" i="435"/>
  <c r="I14" i="435"/>
  <c r="G14" i="435"/>
  <c r="G31" i="435"/>
  <c r="I31" i="435"/>
  <c r="I31" i="28"/>
  <c r="G31" i="28"/>
  <c r="G39" i="28"/>
  <c r="I39" i="28"/>
  <c r="G12" i="28"/>
  <c r="I12" i="28"/>
  <c r="I37" i="28"/>
  <c r="G37" i="28"/>
  <c r="I13" i="28"/>
  <c r="G13" i="28"/>
  <c r="I27" i="28"/>
  <c r="G27" i="28"/>
  <c r="I42" i="28"/>
  <c r="G42" i="28"/>
  <c r="I21" i="421"/>
  <c r="G21" i="421"/>
  <c r="I42" i="421"/>
  <c r="G42" i="421"/>
  <c r="I38" i="421"/>
  <c r="G38" i="421"/>
  <c r="G44" i="421"/>
  <c r="I44" i="421"/>
  <c r="I16" i="421"/>
  <c r="G16" i="421"/>
  <c r="I29" i="421"/>
  <c r="G29" i="421"/>
  <c r="I13" i="421"/>
  <c r="G13" i="421"/>
  <c r="I18" i="140"/>
  <c r="G18" i="140"/>
  <c r="G21" i="140"/>
  <c r="I21" i="140"/>
  <c r="I26" i="140"/>
  <c r="G26" i="140"/>
  <c r="I29" i="140"/>
  <c r="G29" i="140"/>
  <c r="I34" i="140"/>
  <c r="G34" i="140"/>
  <c r="G39" i="140"/>
  <c r="I39" i="140"/>
  <c r="I39" i="112"/>
  <c r="G39" i="112"/>
  <c r="I26" i="112"/>
  <c r="G26" i="112"/>
  <c r="G10" i="112"/>
  <c r="I10" i="112"/>
  <c r="G21" i="112"/>
  <c r="I21" i="112"/>
  <c r="G31" i="112"/>
  <c r="I31" i="112"/>
  <c r="I38" i="112"/>
  <c r="G38" i="112"/>
  <c r="I24" i="127"/>
  <c r="F24" i="127" s="1"/>
  <c r="G24" i="127" s="1"/>
  <c r="I24" i="134"/>
  <c r="F24" i="134" s="1"/>
  <c r="G24" i="134" s="1"/>
  <c r="I19" i="134"/>
  <c r="F19" i="134" s="1"/>
  <c r="G19" i="134" s="1"/>
  <c r="I27" i="390"/>
  <c r="G27" i="390"/>
  <c r="I28" i="390"/>
  <c r="G28" i="390"/>
  <c r="I21" i="390"/>
  <c r="G21" i="390"/>
  <c r="I16" i="390"/>
  <c r="G16" i="390"/>
  <c r="G30" i="390"/>
  <c r="I30" i="390"/>
  <c r="I31" i="390"/>
  <c r="G31" i="390"/>
  <c r="I36" i="390"/>
  <c r="G36" i="390"/>
  <c r="I24" i="59"/>
  <c r="F24" i="59" s="1"/>
  <c r="G24" i="59" s="1"/>
  <c r="G12" i="440"/>
  <c r="I12" i="440"/>
  <c r="I23" i="440"/>
  <c r="G23" i="440"/>
  <c r="I10" i="440"/>
  <c r="G10" i="440"/>
  <c r="I44" i="440"/>
  <c r="G44" i="440"/>
  <c r="I30" i="440"/>
  <c r="G30" i="440"/>
  <c r="G18" i="440"/>
  <c r="I18" i="440"/>
  <c r="G29" i="440"/>
  <c r="I29" i="440"/>
  <c r="I13" i="148"/>
  <c r="G13" i="148"/>
  <c r="I14" i="148"/>
  <c r="G14" i="148"/>
  <c r="I38" i="148"/>
  <c r="G38" i="148"/>
  <c r="G29" i="148"/>
  <c r="I29" i="148"/>
  <c r="G42" i="148"/>
  <c r="I42" i="148"/>
  <c r="I28" i="148"/>
  <c r="G28" i="148"/>
  <c r="I30" i="148"/>
  <c r="G30" i="148"/>
  <c r="I13" i="232"/>
  <c r="G13" i="232"/>
  <c r="I14" i="232"/>
  <c r="G14" i="232"/>
  <c r="I27" i="232"/>
  <c r="G27" i="232"/>
  <c r="G22" i="232"/>
  <c r="I22" i="232"/>
  <c r="I37" i="232"/>
  <c r="G37" i="232"/>
  <c r="I17" i="232"/>
  <c r="G17" i="232"/>
  <c r="G21" i="435"/>
  <c r="I21" i="435"/>
  <c r="G15" i="435"/>
  <c r="I15" i="435"/>
  <c r="I26" i="435"/>
  <c r="G26" i="435"/>
  <c r="I36" i="435"/>
  <c r="G36" i="435"/>
  <c r="G27" i="435"/>
  <c r="I27" i="435"/>
  <c r="G12" i="435"/>
  <c r="I12" i="435"/>
  <c r="I43" i="435"/>
  <c r="G43" i="435"/>
  <c r="G38" i="28"/>
  <c r="I38" i="28"/>
  <c r="I36" i="28"/>
  <c r="G36" i="28"/>
  <c r="G35" i="28"/>
  <c r="I35" i="28"/>
  <c r="I23" i="28"/>
  <c r="G23" i="28"/>
  <c r="I21" i="28"/>
  <c r="G21" i="28"/>
  <c r="I26" i="28"/>
  <c r="G26" i="28"/>
  <c r="G43" i="421"/>
  <c r="I43" i="421"/>
  <c r="I11" i="421"/>
  <c r="G11" i="421"/>
  <c r="I31" i="421"/>
  <c r="G31" i="421"/>
  <c r="I14" i="421"/>
  <c r="G14" i="421"/>
  <c r="G30" i="421"/>
  <c r="I30" i="421"/>
  <c r="I35" i="421"/>
  <c r="G35" i="421"/>
  <c r="G22" i="421"/>
  <c r="I22" i="421"/>
  <c r="I12" i="140"/>
  <c r="G12" i="140"/>
  <c r="I37" i="140"/>
  <c r="G37" i="140"/>
  <c r="I10" i="140"/>
  <c r="G10" i="140"/>
  <c r="I43" i="140"/>
  <c r="G43" i="140"/>
  <c r="I22" i="140"/>
  <c r="G22" i="140"/>
  <c r="I31" i="140"/>
  <c r="G31" i="140"/>
  <c r="G17" i="140"/>
  <c r="I17" i="140"/>
  <c r="I22" i="112"/>
  <c r="G22" i="112"/>
  <c r="I14" i="112"/>
  <c r="G14" i="112"/>
  <c r="I36" i="112"/>
  <c r="G36" i="112"/>
  <c r="I13" i="112"/>
  <c r="G13" i="112"/>
  <c r="I34" i="112"/>
  <c r="G34" i="112"/>
  <c r="I16" i="112"/>
  <c r="G16" i="112"/>
  <c r="G17" i="112"/>
  <c r="I17" i="112"/>
  <c r="I40" i="146"/>
  <c r="F40" i="146" s="1"/>
  <c r="G40" i="146" s="1"/>
  <c r="I37" i="390"/>
  <c r="G37" i="390"/>
  <c r="I34" i="390"/>
  <c r="G34" i="390"/>
  <c r="G15" i="390"/>
  <c r="I15" i="390"/>
  <c r="I22" i="390"/>
  <c r="G22" i="390"/>
  <c r="G39" i="390"/>
  <c r="I39" i="390"/>
  <c r="I23" i="390"/>
  <c r="G23" i="390"/>
  <c r="I44" i="390"/>
  <c r="G44" i="390"/>
  <c r="G35" i="440"/>
  <c r="I35" i="440"/>
  <c r="I21" i="440"/>
  <c r="G21" i="440"/>
  <c r="I34" i="440"/>
  <c r="G34" i="440"/>
  <c r="I42" i="440"/>
  <c r="I46" i="440" s="1"/>
  <c r="F46" i="440" s="1"/>
  <c r="G46" i="440" s="1"/>
  <c r="G42" i="440"/>
  <c r="I11" i="440"/>
  <c r="G11" i="440"/>
  <c r="I13" i="440"/>
  <c r="G13" i="440"/>
  <c r="I46" i="146"/>
  <c r="F46" i="146" s="1"/>
  <c r="G46" i="146" s="1"/>
  <c r="I19" i="146"/>
  <c r="F19" i="146" s="1"/>
  <c r="G19" i="146" s="1"/>
  <c r="I19" i="127"/>
  <c r="F19" i="127" s="1"/>
  <c r="G19" i="127" s="1"/>
  <c r="I23" i="148"/>
  <c r="G23" i="148"/>
  <c r="I11" i="148"/>
  <c r="G11" i="148"/>
  <c r="I16" i="148"/>
  <c r="G16" i="148"/>
  <c r="I18" i="148"/>
  <c r="G18" i="148"/>
  <c r="G39" i="148"/>
  <c r="I39" i="148"/>
  <c r="G10" i="148"/>
  <c r="I10" i="148"/>
  <c r="I17" i="148"/>
  <c r="G17" i="148"/>
  <c r="G35" i="232"/>
  <c r="I35" i="232"/>
  <c r="I44" i="232"/>
  <c r="G44" i="232"/>
  <c r="I26" i="232"/>
  <c r="G26" i="232"/>
  <c r="I12" i="232"/>
  <c r="G12" i="232"/>
  <c r="I29" i="232"/>
  <c r="G29" i="232"/>
  <c r="I39" i="232"/>
  <c r="G39" i="232"/>
  <c r="I10" i="232"/>
  <c r="G10" i="232"/>
  <c r="I32" i="146"/>
  <c r="F32" i="146" s="1"/>
  <c r="G32" i="146" s="1"/>
  <c r="I32" i="318"/>
  <c r="F32" i="318" s="1"/>
  <c r="G32" i="318" s="1"/>
  <c r="I46" i="431"/>
  <c r="F46" i="431" s="1"/>
  <c r="G46" i="431" s="1"/>
  <c r="I19" i="206"/>
  <c r="F19" i="206" s="1"/>
  <c r="G19" i="206" s="1"/>
  <c r="H48" i="351"/>
  <c r="H50" i="351" s="1"/>
  <c r="E6" i="351" s="1"/>
  <c r="I24" i="356"/>
  <c r="F24" i="356" s="1"/>
  <c r="G24" i="356" s="1"/>
  <c r="I46" i="182"/>
  <c r="F46" i="182" s="1"/>
  <c r="G46" i="182" s="1"/>
  <c r="I46" i="387"/>
  <c r="F46" i="387" s="1"/>
  <c r="G46" i="387" s="1"/>
  <c r="G43" i="108"/>
  <c r="I43" i="108"/>
  <c r="I23" i="108"/>
  <c r="G23" i="108"/>
  <c r="I15" i="108"/>
  <c r="G15" i="108"/>
  <c r="G17" i="108"/>
  <c r="I17" i="108"/>
  <c r="I34" i="108"/>
  <c r="G34" i="108"/>
  <c r="I21" i="108"/>
  <c r="G21" i="108"/>
  <c r="I37" i="108"/>
  <c r="G37" i="108"/>
  <c r="I46" i="170"/>
  <c r="F46" i="170" s="1"/>
  <c r="G46" i="170" s="1"/>
  <c r="I19" i="353"/>
  <c r="F19" i="353" s="1"/>
  <c r="G19" i="353" s="1"/>
  <c r="I43" i="438"/>
  <c r="G43" i="438"/>
  <c r="I14" i="438"/>
  <c r="G14" i="438"/>
  <c r="I21" i="438"/>
  <c r="G21" i="438"/>
  <c r="G12" i="438"/>
  <c r="I12" i="438"/>
  <c r="G26" i="438"/>
  <c r="I26" i="438"/>
  <c r="G30" i="438"/>
  <c r="I30" i="438"/>
  <c r="I36" i="438"/>
  <c r="G36" i="438"/>
  <c r="I40" i="266"/>
  <c r="F40" i="266" s="1"/>
  <c r="G40" i="266" s="1"/>
  <c r="I26" i="44"/>
  <c r="G26" i="44"/>
  <c r="I44" i="44"/>
  <c r="G44" i="44"/>
  <c r="I34" i="44"/>
  <c r="G34" i="44"/>
  <c r="G28" i="44"/>
  <c r="I28" i="44"/>
  <c r="G27" i="44"/>
  <c r="I27" i="44"/>
  <c r="I15" i="44"/>
  <c r="G15" i="44"/>
  <c r="I36" i="44"/>
  <c r="G36" i="44"/>
  <c r="G16" i="82"/>
  <c r="I16" i="82"/>
  <c r="I18" i="82"/>
  <c r="G18" i="82"/>
  <c r="G37" i="82"/>
  <c r="I37" i="82"/>
  <c r="G17" i="82"/>
  <c r="I17" i="82"/>
  <c r="G35" i="82"/>
  <c r="I35" i="82"/>
  <c r="I26" i="82"/>
  <c r="G26" i="82"/>
  <c r="I13" i="82"/>
  <c r="G13" i="82"/>
  <c r="E24" i="41"/>
  <c r="E31" i="41"/>
  <c r="E27" i="41"/>
  <c r="E34" i="41"/>
  <c r="E21" i="41"/>
  <c r="E46" i="41"/>
  <c r="A52" i="41" s="1"/>
  <c r="E42" i="41"/>
  <c r="E45" i="41"/>
  <c r="E38" i="41"/>
  <c r="E39" i="41"/>
  <c r="E44" i="41"/>
  <c r="E35" i="41"/>
  <c r="E37" i="41"/>
  <c r="E29" i="41"/>
  <c r="E23" i="41"/>
  <c r="E43" i="41"/>
  <c r="E28" i="41"/>
  <c r="E30" i="41"/>
  <c r="E22" i="41"/>
  <c r="E36" i="41"/>
  <c r="E40" i="41"/>
  <c r="E26" i="41"/>
  <c r="G38" i="103"/>
  <c r="I38" i="103"/>
  <c r="I11" i="103"/>
  <c r="G11" i="103"/>
  <c r="I44" i="103"/>
  <c r="G44" i="103"/>
  <c r="I21" i="103"/>
  <c r="G21" i="103"/>
  <c r="I29" i="103"/>
  <c r="G29" i="103"/>
  <c r="G42" i="103"/>
  <c r="I42" i="103"/>
  <c r="G21" i="130"/>
  <c r="I21" i="130"/>
  <c r="G15" i="130"/>
  <c r="I15" i="130"/>
  <c r="I18" i="130"/>
  <c r="G18" i="130"/>
  <c r="I35" i="130"/>
  <c r="G35" i="130"/>
  <c r="I31" i="130"/>
  <c r="G31" i="130"/>
  <c r="G36" i="130"/>
  <c r="I36" i="130"/>
  <c r="G11" i="130"/>
  <c r="I11" i="130"/>
  <c r="G30" i="541"/>
  <c r="I30" i="541"/>
  <c r="G10" i="541"/>
  <c r="I10" i="541"/>
  <c r="I29" i="541"/>
  <c r="G29" i="541"/>
  <c r="G44" i="541"/>
  <c r="I44" i="541"/>
  <c r="G22" i="541"/>
  <c r="I22" i="541"/>
  <c r="I37" i="541"/>
  <c r="G37" i="541"/>
  <c r="I15" i="541"/>
  <c r="G15" i="541"/>
  <c r="G26" i="340"/>
  <c r="I26" i="340"/>
  <c r="G31" i="340"/>
  <c r="I31" i="340"/>
  <c r="I13" i="340"/>
  <c r="G13" i="340"/>
  <c r="G15" i="340"/>
  <c r="I15" i="340"/>
  <c r="I23" i="340"/>
  <c r="G23" i="340"/>
  <c r="G18" i="340"/>
  <c r="I18" i="340"/>
  <c r="G12" i="111"/>
  <c r="I12" i="111"/>
  <c r="G28" i="111"/>
  <c r="I28" i="111"/>
  <c r="I36" i="111"/>
  <c r="G36" i="111"/>
  <c r="G44" i="111"/>
  <c r="I44" i="111"/>
  <c r="G43" i="111"/>
  <c r="I43" i="111"/>
  <c r="I16" i="111"/>
  <c r="G16" i="111"/>
  <c r="I31" i="111"/>
  <c r="G31" i="111"/>
  <c r="G26" i="272"/>
  <c r="I26" i="272"/>
  <c r="I30" i="272"/>
  <c r="G30" i="272"/>
  <c r="I29" i="272"/>
  <c r="G29" i="272"/>
  <c r="I37" i="272"/>
  <c r="G37" i="272"/>
  <c r="I34" i="272"/>
  <c r="G34" i="272"/>
  <c r="I16" i="272"/>
  <c r="G16" i="272"/>
  <c r="G21" i="272"/>
  <c r="I21" i="272"/>
  <c r="I44" i="341"/>
  <c r="G44" i="341"/>
  <c r="I12" i="341"/>
  <c r="G12" i="341"/>
  <c r="I38" i="341"/>
  <c r="G38" i="341"/>
  <c r="I22" i="341"/>
  <c r="G22" i="341"/>
  <c r="I23" i="341"/>
  <c r="G23" i="341"/>
  <c r="G36" i="341"/>
  <c r="I36" i="341"/>
  <c r="I24" i="132"/>
  <c r="F24" i="132" s="1"/>
  <c r="G24" i="132" s="1"/>
  <c r="I26" i="159"/>
  <c r="G26" i="159"/>
  <c r="G16" i="159"/>
  <c r="I16" i="159"/>
  <c r="I29" i="159"/>
  <c r="G29" i="159"/>
  <c r="G13" i="159"/>
  <c r="I13" i="159"/>
  <c r="I15" i="159"/>
  <c r="G15" i="159"/>
  <c r="G44" i="159"/>
  <c r="I44" i="159"/>
  <c r="I31" i="159"/>
  <c r="G31" i="159"/>
  <c r="I19" i="170"/>
  <c r="F19" i="170" s="1"/>
  <c r="G19" i="170" s="1"/>
  <c r="I44" i="85"/>
  <c r="G44" i="85"/>
  <c r="G13" i="85"/>
  <c r="I13" i="85"/>
  <c r="G14" i="85"/>
  <c r="I14" i="85"/>
  <c r="G37" i="85"/>
  <c r="I37" i="85"/>
  <c r="G38" i="85"/>
  <c r="I38" i="85"/>
  <c r="I42" i="85"/>
  <c r="G42" i="85"/>
  <c r="I17" i="85"/>
  <c r="G17" i="85"/>
  <c r="G26" i="252"/>
  <c r="I26" i="252"/>
  <c r="G37" i="252"/>
  <c r="I37" i="252"/>
  <c r="I35" i="252"/>
  <c r="G35" i="252"/>
  <c r="I44" i="252"/>
  <c r="G44" i="252"/>
  <c r="G39" i="252"/>
  <c r="I39" i="252"/>
  <c r="G23" i="252"/>
  <c r="I23" i="252"/>
  <c r="I13" i="252"/>
  <c r="G13" i="252"/>
  <c r="G27" i="110"/>
  <c r="I27" i="110"/>
  <c r="G37" i="110"/>
  <c r="I37" i="110"/>
  <c r="G36" i="292"/>
  <c r="I36" i="292"/>
  <c r="G18" i="292"/>
  <c r="I18" i="292"/>
  <c r="I43" i="292"/>
  <c r="G43" i="292"/>
  <c r="I15" i="292"/>
  <c r="G15" i="292"/>
  <c r="I22" i="292"/>
  <c r="G22" i="292"/>
  <c r="I17" i="292"/>
  <c r="G17" i="292"/>
  <c r="I30" i="292"/>
  <c r="G30" i="292"/>
  <c r="G13" i="136"/>
  <c r="I13" i="136"/>
  <c r="I38" i="136"/>
  <c r="G38" i="136"/>
  <c r="G28" i="136"/>
  <c r="I28" i="136"/>
  <c r="G37" i="136"/>
  <c r="I37" i="136"/>
  <c r="I26" i="136"/>
  <c r="G26" i="136"/>
  <c r="I22" i="136"/>
  <c r="G22" i="136"/>
  <c r="G11" i="136"/>
  <c r="I11" i="136"/>
  <c r="G34" i="244"/>
  <c r="I34" i="244"/>
  <c r="I31" i="244"/>
  <c r="G31" i="244"/>
  <c r="I23" i="244"/>
  <c r="G23" i="244"/>
  <c r="G17" i="244"/>
  <c r="I17" i="244"/>
  <c r="I15" i="244"/>
  <c r="G15" i="244"/>
  <c r="G44" i="45"/>
  <c r="I44" i="45"/>
  <c r="G14" i="45"/>
  <c r="I14" i="45"/>
  <c r="G13" i="45"/>
  <c r="I13" i="45"/>
  <c r="G42" i="45"/>
  <c r="I42" i="45"/>
  <c r="I26" i="45"/>
  <c r="G26" i="45"/>
  <c r="G31" i="45"/>
  <c r="I31" i="45"/>
  <c r="I18" i="45"/>
  <c r="G18" i="45"/>
  <c r="I13" i="277"/>
  <c r="G13" i="277"/>
  <c r="I16" i="277"/>
  <c r="G16" i="277"/>
  <c r="G31" i="277"/>
  <c r="I31" i="277"/>
  <c r="G42" i="277"/>
  <c r="I42" i="277"/>
  <c r="G43" i="277"/>
  <c r="I43" i="277"/>
  <c r="I44" i="277"/>
  <c r="G44" i="277"/>
  <c r="I17" i="277"/>
  <c r="G17" i="277"/>
  <c r="I46" i="137"/>
  <c r="F46" i="137" s="1"/>
  <c r="G46" i="137" s="1"/>
  <c r="G22" i="43"/>
  <c r="I22" i="43"/>
  <c r="G39" i="43"/>
  <c r="I39" i="43"/>
  <c r="G13" i="43"/>
  <c r="I13" i="43"/>
  <c r="G29" i="43"/>
  <c r="I29" i="43"/>
  <c r="I28" i="43"/>
  <c r="G28" i="43"/>
  <c r="G17" i="43"/>
  <c r="I17" i="43"/>
  <c r="I11" i="43"/>
  <c r="G11" i="43"/>
  <c r="I38" i="293"/>
  <c r="G38" i="293"/>
  <c r="I35" i="293"/>
  <c r="G35" i="293"/>
  <c r="I11" i="293"/>
  <c r="G11" i="293"/>
  <c r="I39" i="293"/>
  <c r="G39" i="293"/>
  <c r="G21" i="293"/>
  <c r="I21" i="293"/>
  <c r="G16" i="293"/>
  <c r="I16" i="293"/>
  <c r="I26" i="293"/>
  <c r="G26" i="293"/>
  <c r="G18" i="76"/>
  <c r="I18" i="76"/>
  <c r="I13" i="76"/>
  <c r="G13" i="76"/>
  <c r="G11" i="76"/>
  <c r="I11" i="76"/>
  <c r="G14" i="76"/>
  <c r="I14" i="76"/>
  <c r="I22" i="76"/>
  <c r="G22" i="76"/>
  <c r="G30" i="76"/>
  <c r="I30" i="76"/>
  <c r="I23" i="579"/>
  <c r="G23" i="579"/>
  <c r="I38" i="579"/>
  <c r="G38" i="579"/>
  <c r="I16" i="579"/>
  <c r="G16" i="579"/>
  <c r="I31" i="579"/>
  <c r="G31" i="579"/>
  <c r="I11" i="579"/>
  <c r="G11" i="579"/>
  <c r="I26" i="579"/>
  <c r="G26" i="579"/>
  <c r="I30" i="271"/>
  <c r="G30" i="271"/>
  <c r="G43" i="271"/>
  <c r="I43" i="271"/>
  <c r="I13" i="271"/>
  <c r="G13" i="271"/>
  <c r="I16" i="271"/>
  <c r="G16" i="271"/>
  <c r="I44" i="271"/>
  <c r="G44" i="271"/>
  <c r="I26" i="271"/>
  <c r="G26" i="271"/>
  <c r="G10" i="271"/>
  <c r="I10" i="271"/>
  <c r="I30" i="445"/>
  <c r="G30" i="445"/>
  <c r="I35" i="445"/>
  <c r="G35" i="445"/>
  <c r="G14" i="445"/>
  <c r="I14" i="445"/>
  <c r="G43" i="445"/>
  <c r="I43" i="445"/>
  <c r="G26" i="445"/>
  <c r="I26" i="445"/>
  <c r="G13" i="445"/>
  <c r="I13" i="445"/>
  <c r="I23" i="445"/>
  <c r="G23" i="445"/>
  <c r="I32" i="296"/>
  <c r="F32" i="296" s="1"/>
  <c r="G32" i="296" s="1"/>
  <c r="I22" i="51"/>
  <c r="G22" i="51"/>
  <c r="G38" i="51"/>
  <c r="I38" i="51"/>
  <c r="G35" i="51"/>
  <c r="I35" i="51"/>
  <c r="G14" i="51"/>
  <c r="I14" i="51"/>
  <c r="I23" i="51"/>
  <c r="G23" i="51"/>
  <c r="G16" i="51"/>
  <c r="I16" i="51"/>
  <c r="G21" i="51"/>
  <c r="I21" i="51"/>
  <c r="I22" i="98"/>
  <c r="G22" i="98"/>
  <c r="I34" i="98"/>
  <c r="G34" i="98"/>
  <c r="G39" i="98"/>
  <c r="I39" i="98"/>
  <c r="G11" i="98"/>
  <c r="I11" i="98"/>
  <c r="I23" i="98"/>
  <c r="G23" i="98"/>
  <c r="G42" i="98"/>
  <c r="I42" i="98"/>
  <c r="I44" i="98"/>
  <c r="G44" i="98"/>
  <c r="G21" i="283"/>
  <c r="I21" i="283"/>
  <c r="G44" i="283"/>
  <c r="I44" i="283"/>
  <c r="G35" i="283"/>
  <c r="I35" i="283"/>
  <c r="I18" i="283"/>
  <c r="G18" i="283"/>
  <c r="I38" i="283"/>
  <c r="G38" i="283"/>
  <c r="I39" i="283"/>
  <c r="G39" i="283"/>
  <c r="G29" i="283"/>
  <c r="I29" i="283"/>
  <c r="I24" i="170"/>
  <c r="F24" i="170" s="1"/>
  <c r="G24" i="170" s="1"/>
  <c r="I40" i="320"/>
  <c r="F40" i="320" s="1"/>
  <c r="G40" i="320" s="1"/>
  <c r="G38" i="155"/>
  <c r="I38" i="155"/>
  <c r="I44" i="155"/>
  <c r="G44" i="155"/>
  <c r="I27" i="155"/>
  <c r="G27" i="155"/>
  <c r="G42" i="155"/>
  <c r="I42" i="155"/>
  <c r="I14" i="155"/>
  <c r="G14" i="155"/>
  <c r="I11" i="155"/>
  <c r="G11" i="155"/>
  <c r="I35" i="155"/>
  <c r="G35" i="155"/>
  <c r="G14" i="319"/>
  <c r="I14" i="319"/>
  <c r="G29" i="319"/>
  <c r="I29" i="319"/>
  <c r="I26" i="319"/>
  <c r="G26" i="319"/>
  <c r="I22" i="319"/>
  <c r="G22" i="319"/>
  <c r="I13" i="319"/>
  <c r="G13" i="319"/>
  <c r="G16" i="319"/>
  <c r="I16" i="319"/>
  <c r="G37" i="254"/>
  <c r="I37" i="254"/>
  <c r="I40" i="254" s="1"/>
  <c r="F40" i="254" s="1"/>
  <c r="G40" i="254" s="1"/>
  <c r="I22" i="254"/>
  <c r="I24" i="254" s="1"/>
  <c r="F24" i="254" s="1"/>
  <c r="G24" i="254" s="1"/>
  <c r="G22" i="254"/>
  <c r="I15" i="106"/>
  <c r="G15" i="106"/>
  <c r="I44" i="106"/>
  <c r="G44" i="106"/>
  <c r="I31" i="106"/>
  <c r="G31" i="106"/>
  <c r="G42" i="106"/>
  <c r="I42" i="106"/>
  <c r="I28" i="106"/>
  <c r="G28" i="106"/>
  <c r="G17" i="106"/>
  <c r="I17" i="106"/>
  <c r="G38" i="221"/>
  <c r="I38" i="221"/>
  <c r="I34" i="221"/>
  <c r="G34" i="221"/>
  <c r="I10" i="221"/>
  <c r="G10" i="221"/>
  <c r="G42" i="221"/>
  <c r="I42" i="221"/>
  <c r="I31" i="221"/>
  <c r="G31" i="221"/>
  <c r="G13" i="221"/>
  <c r="I13" i="221"/>
  <c r="G44" i="221"/>
  <c r="I44" i="221"/>
  <c r="G22" i="150"/>
  <c r="I22" i="150"/>
  <c r="I14" i="150"/>
  <c r="G14" i="150"/>
  <c r="G11" i="150"/>
  <c r="I11" i="150"/>
  <c r="I26" i="150"/>
  <c r="G26" i="150"/>
  <c r="G37" i="150"/>
  <c r="I37" i="150"/>
  <c r="G31" i="150"/>
  <c r="I31" i="150"/>
  <c r="G21" i="150"/>
  <c r="I21" i="150"/>
  <c r="I34" i="310"/>
  <c r="G34" i="310"/>
  <c r="I37" i="310"/>
  <c r="G37" i="310"/>
  <c r="I18" i="310"/>
  <c r="G18" i="310"/>
  <c r="G26" i="310"/>
  <c r="I26" i="310"/>
  <c r="I13" i="310"/>
  <c r="G13" i="310"/>
  <c r="I30" i="310"/>
  <c r="G30" i="310"/>
  <c r="I46" i="391"/>
  <c r="F46" i="391" s="1"/>
  <c r="G46" i="391" s="1"/>
  <c r="H48" i="478"/>
  <c r="H50" i="478" s="1"/>
  <c r="E6" i="478" s="1"/>
  <c r="I40" i="280"/>
  <c r="F40" i="280" s="1"/>
  <c r="G40" i="280" s="1"/>
  <c r="G10" i="108"/>
  <c r="I10" i="108"/>
  <c r="G26" i="108"/>
  <c r="I26" i="108"/>
  <c r="G42" i="108"/>
  <c r="I42" i="108"/>
  <c r="G16" i="108"/>
  <c r="I16" i="108"/>
  <c r="G14" i="108"/>
  <c r="I14" i="108"/>
  <c r="G29" i="108"/>
  <c r="I29" i="108"/>
  <c r="I40" i="353"/>
  <c r="F40" i="353" s="1"/>
  <c r="G40" i="353" s="1"/>
  <c r="I42" i="438"/>
  <c r="G42" i="438"/>
  <c r="G13" i="438"/>
  <c r="I13" i="438"/>
  <c r="I39" i="438"/>
  <c r="G39" i="438"/>
  <c r="G31" i="438"/>
  <c r="I31" i="438"/>
  <c r="I37" i="438"/>
  <c r="G37" i="438"/>
  <c r="I27" i="438"/>
  <c r="G27" i="438"/>
  <c r="I15" i="438"/>
  <c r="G15" i="438"/>
  <c r="G16" i="44"/>
  <c r="I16" i="44"/>
  <c r="G35" i="44"/>
  <c r="I35" i="44"/>
  <c r="I22" i="44"/>
  <c r="G22" i="44"/>
  <c r="I30" i="44"/>
  <c r="G30" i="44"/>
  <c r="I17" i="44"/>
  <c r="G17" i="44"/>
  <c r="I31" i="44"/>
  <c r="G31" i="44"/>
  <c r="I12" i="44"/>
  <c r="G12" i="44"/>
  <c r="I28" i="82"/>
  <c r="G28" i="82"/>
  <c r="I38" i="82"/>
  <c r="G38" i="82"/>
  <c r="I23" i="82"/>
  <c r="G23" i="82"/>
  <c r="I43" i="82"/>
  <c r="G43" i="82"/>
  <c r="G31" i="82"/>
  <c r="I31" i="82"/>
  <c r="G11" i="82"/>
  <c r="I11" i="82"/>
  <c r="G30" i="82"/>
  <c r="I30" i="82"/>
  <c r="I12" i="103"/>
  <c r="G12" i="103"/>
  <c r="G36" i="103"/>
  <c r="I36" i="103"/>
  <c r="I10" i="103"/>
  <c r="G10" i="103"/>
  <c r="G35" i="103"/>
  <c r="I35" i="103"/>
  <c r="I22" i="103"/>
  <c r="G22" i="103"/>
  <c r="I37" i="103"/>
  <c r="G37" i="103"/>
  <c r="I43" i="103"/>
  <c r="G43" i="103"/>
  <c r="I22" i="130"/>
  <c r="G22" i="130"/>
  <c r="I14" i="130"/>
  <c r="G14" i="130"/>
  <c r="G23" i="130"/>
  <c r="I23" i="130"/>
  <c r="I38" i="130"/>
  <c r="G38" i="130"/>
  <c r="I13" i="130"/>
  <c r="G13" i="130"/>
  <c r="I34" i="130"/>
  <c r="G34" i="130"/>
  <c r="G16" i="130"/>
  <c r="I16" i="130"/>
  <c r="G26" i="541"/>
  <c r="I26" i="541"/>
  <c r="I23" i="541"/>
  <c r="G23" i="541"/>
  <c r="G38" i="541"/>
  <c r="I38" i="541"/>
  <c r="G16" i="541"/>
  <c r="I16" i="541"/>
  <c r="I31" i="541"/>
  <c r="G31" i="541"/>
  <c r="I11" i="541"/>
  <c r="G11" i="541"/>
  <c r="G42" i="340"/>
  <c r="I42" i="340"/>
  <c r="I30" i="340"/>
  <c r="G30" i="340"/>
  <c r="I28" i="340"/>
  <c r="G28" i="340"/>
  <c r="G44" i="340"/>
  <c r="I44" i="340"/>
  <c r="G37" i="340"/>
  <c r="I37" i="340"/>
  <c r="I21" i="340"/>
  <c r="G21" i="340"/>
  <c r="I17" i="340"/>
  <c r="G17" i="340"/>
  <c r="I22" i="111"/>
  <c r="G22" i="111"/>
  <c r="G42" i="111"/>
  <c r="I42" i="111"/>
  <c r="I46" i="111" s="1"/>
  <c r="F46" i="111" s="1"/>
  <c r="G46" i="111" s="1"/>
  <c r="G38" i="111"/>
  <c r="I38" i="111"/>
  <c r="I17" i="111"/>
  <c r="G17" i="111"/>
  <c r="I27" i="111"/>
  <c r="G27" i="111"/>
  <c r="I39" i="111"/>
  <c r="G39" i="111"/>
  <c r="G36" i="272"/>
  <c r="I36" i="272"/>
  <c r="I22" i="272"/>
  <c r="G22" i="272"/>
  <c r="I31" i="272"/>
  <c r="G31" i="272"/>
  <c r="I38" i="272"/>
  <c r="G38" i="272"/>
  <c r="I44" i="272"/>
  <c r="G44" i="272"/>
  <c r="G28" i="272"/>
  <c r="I28" i="272"/>
  <c r="I40" i="296"/>
  <c r="F40" i="296" s="1"/>
  <c r="G40" i="296" s="1"/>
  <c r="I21" i="341"/>
  <c r="G21" i="341"/>
  <c r="I30" i="341"/>
  <c r="G30" i="341"/>
  <c r="I14" i="341"/>
  <c r="G14" i="341"/>
  <c r="I34" i="341"/>
  <c r="G34" i="341"/>
  <c r="I27" i="341"/>
  <c r="G27" i="341"/>
  <c r="G15" i="341"/>
  <c r="I15" i="341"/>
  <c r="I16" i="341"/>
  <c r="G16" i="341"/>
  <c r="I40" i="132"/>
  <c r="F40" i="132" s="1"/>
  <c r="G40" i="132" s="1"/>
  <c r="I32" i="137"/>
  <c r="F32" i="137" s="1"/>
  <c r="G32" i="137" s="1"/>
  <c r="I18" i="159"/>
  <c r="G18" i="159"/>
  <c r="I14" i="159"/>
  <c r="G14" i="159"/>
  <c r="G38" i="159"/>
  <c r="I38" i="159"/>
  <c r="G21" i="159"/>
  <c r="I21" i="159"/>
  <c r="G30" i="159"/>
  <c r="I30" i="159"/>
  <c r="G23" i="159"/>
  <c r="I23" i="159"/>
  <c r="I34" i="85"/>
  <c r="G34" i="85"/>
  <c r="I28" i="85"/>
  <c r="G28" i="85"/>
  <c r="G31" i="85"/>
  <c r="I31" i="85"/>
  <c r="G29" i="85"/>
  <c r="I29" i="85"/>
  <c r="G36" i="85"/>
  <c r="I36" i="85"/>
  <c r="G30" i="85"/>
  <c r="I30" i="85"/>
  <c r="G15" i="85"/>
  <c r="I15" i="85"/>
  <c r="G42" i="252"/>
  <c r="I42" i="252"/>
  <c r="G29" i="252"/>
  <c r="I29" i="252"/>
  <c r="G34" i="252"/>
  <c r="I34" i="252"/>
  <c r="I16" i="252"/>
  <c r="G16" i="252"/>
  <c r="I12" i="252"/>
  <c r="G12" i="252"/>
  <c r="G10" i="252"/>
  <c r="I10" i="252"/>
  <c r="I15" i="110"/>
  <c r="G15" i="110"/>
  <c r="G39" i="110"/>
  <c r="I39" i="110"/>
  <c r="I38" i="110"/>
  <c r="G38" i="110"/>
  <c r="I44" i="292"/>
  <c r="G44" i="292"/>
  <c r="I12" i="292"/>
  <c r="G12" i="292"/>
  <c r="G13" i="292"/>
  <c r="I13" i="292"/>
  <c r="G27" i="292"/>
  <c r="I27" i="292"/>
  <c r="G10" i="292"/>
  <c r="I10" i="292"/>
  <c r="I42" i="292"/>
  <c r="G42" i="292"/>
  <c r="I44" i="136"/>
  <c r="G44" i="136"/>
  <c r="I12" i="136"/>
  <c r="G12" i="136"/>
  <c r="I39" i="136"/>
  <c r="G39" i="136"/>
  <c r="I42" i="136"/>
  <c r="G42" i="136"/>
  <c r="I17" i="136"/>
  <c r="G17" i="136"/>
  <c r="I16" i="136"/>
  <c r="G16" i="136"/>
  <c r="I39" i="244"/>
  <c r="G39" i="244"/>
  <c r="G35" i="244"/>
  <c r="I35" i="244"/>
  <c r="I42" i="244"/>
  <c r="G42" i="244"/>
  <c r="I14" i="244"/>
  <c r="G14" i="244"/>
  <c r="I44" i="244"/>
  <c r="G44" i="244"/>
  <c r="I21" i="45"/>
  <c r="G21" i="45"/>
  <c r="G38" i="45"/>
  <c r="I38" i="45"/>
  <c r="G10" i="45"/>
  <c r="I10" i="45"/>
  <c r="I23" i="45"/>
  <c r="G23" i="45"/>
  <c r="G34" i="45"/>
  <c r="I34" i="45"/>
  <c r="I36" i="45"/>
  <c r="G36" i="45"/>
  <c r="G34" i="277"/>
  <c r="I34" i="277"/>
  <c r="G28" i="277"/>
  <c r="I28" i="277"/>
  <c r="I10" i="277"/>
  <c r="G10" i="277"/>
  <c r="I18" i="277"/>
  <c r="G18" i="277"/>
  <c r="I30" i="277"/>
  <c r="G30" i="277"/>
  <c r="G14" i="277"/>
  <c r="I14" i="277"/>
  <c r="I24" i="137"/>
  <c r="F24" i="137" s="1"/>
  <c r="G24" i="137" s="1"/>
  <c r="I31" i="43"/>
  <c r="G31" i="43"/>
  <c r="I38" i="43"/>
  <c r="G38" i="43"/>
  <c r="I15" i="43"/>
  <c r="G15" i="43"/>
  <c r="I34" i="43"/>
  <c r="G34" i="43"/>
  <c r="G30" i="43"/>
  <c r="I30" i="43"/>
  <c r="I36" i="43"/>
  <c r="G36" i="43"/>
  <c r="I43" i="43"/>
  <c r="G43" i="43"/>
  <c r="I32" i="170"/>
  <c r="F32" i="170" s="1"/>
  <c r="G32" i="170" s="1"/>
  <c r="G36" i="293"/>
  <c r="I36" i="293"/>
  <c r="I18" i="293"/>
  <c r="G18" i="293"/>
  <c r="G22" i="293"/>
  <c r="I22" i="293"/>
  <c r="I13" i="293"/>
  <c r="G13" i="293"/>
  <c r="I37" i="293"/>
  <c r="G37" i="293"/>
  <c r="G14" i="293"/>
  <c r="I14" i="293"/>
  <c r="G27" i="293"/>
  <c r="I27" i="293"/>
  <c r="I27" i="76"/>
  <c r="G27" i="76"/>
  <c r="G38" i="76"/>
  <c r="I38" i="76"/>
  <c r="I42" i="76"/>
  <c r="G42" i="76"/>
  <c r="G34" i="76"/>
  <c r="I34" i="76"/>
  <c r="I29" i="76"/>
  <c r="G29" i="76"/>
  <c r="G31" i="76"/>
  <c r="I31" i="76"/>
  <c r="G16" i="76"/>
  <c r="I16" i="76"/>
  <c r="I39" i="579"/>
  <c r="G39" i="579"/>
  <c r="I17" i="579"/>
  <c r="G17" i="579"/>
  <c r="I34" i="579"/>
  <c r="G34" i="579"/>
  <c r="I12" i="579"/>
  <c r="G12" i="579"/>
  <c r="I27" i="579"/>
  <c r="G27" i="579"/>
  <c r="I42" i="579"/>
  <c r="G42" i="579"/>
  <c r="I18" i="579"/>
  <c r="G18" i="579"/>
  <c r="I14" i="271"/>
  <c r="G14" i="271"/>
  <c r="I18" i="271"/>
  <c r="G18" i="271"/>
  <c r="I27" i="271"/>
  <c r="G27" i="271"/>
  <c r="I29" i="271"/>
  <c r="G29" i="271"/>
  <c r="I22" i="271"/>
  <c r="G22" i="271"/>
  <c r="I17" i="271"/>
  <c r="G17" i="271"/>
  <c r="I32" i="306"/>
  <c r="F32" i="306" s="1"/>
  <c r="G32" i="306" s="1"/>
  <c r="I29" i="445"/>
  <c r="G29" i="445"/>
  <c r="G18" i="445"/>
  <c r="I18" i="445"/>
  <c r="I39" i="445"/>
  <c r="G39" i="445"/>
  <c r="I31" i="445"/>
  <c r="G31" i="445"/>
  <c r="I36" i="445"/>
  <c r="G36" i="445"/>
  <c r="G15" i="445"/>
  <c r="I15" i="445"/>
  <c r="G22" i="445"/>
  <c r="I22" i="445"/>
  <c r="I18" i="51"/>
  <c r="G18" i="51"/>
  <c r="I10" i="51"/>
  <c r="G10" i="51"/>
  <c r="I28" i="51"/>
  <c r="G28" i="51"/>
  <c r="I44" i="51"/>
  <c r="G44" i="51"/>
  <c r="G34" i="51"/>
  <c r="I34" i="51"/>
  <c r="G31" i="51"/>
  <c r="I31" i="51"/>
  <c r="G39" i="51"/>
  <c r="I39" i="51"/>
  <c r="I26" i="98"/>
  <c r="G26" i="98"/>
  <c r="I15" i="98"/>
  <c r="G15" i="98"/>
  <c r="G28" i="98"/>
  <c r="I28" i="98"/>
  <c r="I16" i="98"/>
  <c r="G16" i="98"/>
  <c r="I14" i="98"/>
  <c r="G14" i="98"/>
  <c r="I30" i="98"/>
  <c r="G30" i="98"/>
  <c r="I18" i="98"/>
  <c r="G18" i="98"/>
  <c r="I34" i="283"/>
  <c r="G34" i="283"/>
  <c r="G28" i="283"/>
  <c r="I28" i="283"/>
  <c r="I27" i="283"/>
  <c r="G27" i="283"/>
  <c r="G14" i="283"/>
  <c r="I14" i="283"/>
  <c r="G15" i="283"/>
  <c r="I15" i="283"/>
  <c r="G23" i="283"/>
  <c r="I23" i="283"/>
  <c r="I19" i="320"/>
  <c r="F19" i="320" s="1"/>
  <c r="G19" i="320" s="1"/>
  <c r="I18" i="155"/>
  <c r="G18" i="155"/>
  <c r="I34" i="155"/>
  <c r="G34" i="155"/>
  <c r="I26" i="155"/>
  <c r="G26" i="155"/>
  <c r="I10" i="155"/>
  <c r="G10" i="155"/>
  <c r="I16" i="155"/>
  <c r="G16" i="155"/>
  <c r="I36" i="155"/>
  <c r="G36" i="155"/>
  <c r="G17" i="319"/>
  <c r="I17" i="319"/>
  <c r="I12" i="319"/>
  <c r="G12" i="319"/>
  <c r="G11" i="319"/>
  <c r="I11" i="319"/>
  <c r="G39" i="319"/>
  <c r="I39" i="319"/>
  <c r="I31" i="319"/>
  <c r="G31" i="319"/>
  <c r="I36" i="319"/>
  <c r="G36" i="319"/>
  <c r="I10" i="319"/>
  <c r="G10" i="319"/>
  <c r="I13" i="254"/>
  <c r="G13" i="254"/>
  <c r="I26" i="106"/>
  <c r="G26" i="106"/>
  <c r="G30" i="106"/>
  <c r="I30" i="106"/>
  <c r="G29" i="106"/>
  <c r="I29" i="106"/>
  <c r="G37" i="106"/>
  <c r="I37" i="106"/>
  <c r="I39" i="106"/>
  <c r="G39" i="106"/>
  <c r="G16" i="106"/>
  <c r="I16" i="106"/>
  <c r="I13" i="106"/>
  <c r="G13" i="106"/>
  <c r="I14" i="221"/>
  <c r="G14" i="221"/>
  <c r="G17" i="221"/>
  <c r="I17" i="221"/>
  <c r="I28" i="221"/>
  <c r="G28" i="221"/>
  <c r="I16" i="221"/>
  <c r="G16" i="221"/>
  <c r="I30" i="221"/>
  <c r="G30" i="221"/>
  <c r="I29" i="221"/>
  <c r="G29" i="221"/>
  <c r="I22" i="221"/>
  <c r="G22" i="221"/>
  <c r="I42" i="150"/>
  <c r="G42" i="150"/>
  <c r="I27" i="150"/>
  <c r="G27" i="150"/>
  <c r="G34" i="150"/>
  <c r="I34" i="150"/>
  <c r="G17" i="150"/>
  <c r="I17" i="150"/>
  <c r="G16" i="150"/>
  <c r="I16" i="150"/>
  <c r="I15" i="150"/>
  <c r="G15" i="150"/>
  <c r="I13" i="150"/>
  <c r="G13" i="150"/>
  <c r="I24" i="296"/>
  <c r="F24" i="296" s="1"/>
  <c r="G24" i="296" s="1"/>
  <c r="I22" i="310"/>
  <c r="G22" i="310"/>
  <c r="I42" i="310"/>
  <c r="G42" i="310"/>
  <c r="G43" i="310"/>
  <c r="I43" i="310"/>
  <c r="I16" i="310"/>
  <c r="G16" i="310"/>
  <c r="G35" i="310"/>
  <c r="I35" i="310"/>
  <c r="G29" i="310"/>
  <c r="I29" i="310"/>
  <c r="G14" i="310"/>
  <c r="I14" i="310"/>
  <c r="I46" i="290"/>
  <c r="F46" i="290" s="1"/>
  <c r="G46" i="290" s="1"/>
  <c r="I40" i="164"/>
  <c r="F40" i="164" s="1"/>
  <c r="G40" i="164" s="1"/>
  <c r="I31" i="108"/>
  <c r="G31" i="108"/>
  <c r="I35" i="108"/>
  <c r="G35" i="108"/>
  <c r="I22" i="108"/>
  <c r="G22" i="108"/>
  <c r="I39" i="108"/>
  <c r="G39" i="108"/>
  <c r="I30" i="108"/>
  <c r="G30" i="108"/>
  <c r="G36" i="108"/>
  <c r="I36" i="108"/>
  <c r="I18" i="108"/>
  <c r="G18" i="108"/>
  <c r="G11" i="438"/>
  <c r="I11" i="438"/>
  <c r="I29" i="438"/>
  <c r="G29" i="438"/>
  <c r="I38" i="438"/>
  <c r="G38" i="438"/>
  <c r="G28" i="438"/>
  <c r="I28" i="438"/>
  <c r="I16" i="438"/>
  <c r="G16" i="438"/>
  <c r="G22" i="438"/>
  <c r="I22" i="438"/>
  <c r="I35" i="438"/>
  <c r="G35" i="438"/>
  <c r="E48" i="541"/>
  <c r="G13" i="44"/>
  <c r="I13" i="44"/>
  <c r="G23" i="44"/>
  <c r="I23" i="44"/>
  <c r="I37" i="44"/>
  <c r="G37" i="44"/>
  <c r="I18" i="44"/>
  <c r="G18" i="44"/>
  <c r="I42" i="44"/>
  <c r="G42" i="44"/>
  <c r="I38" i="44"/>
  <c r="G38" i="44"/>
  <c r="I27" i="82"/>
  <c r="G27" i="82"/>
  <c r="I12" i="82"/>
  <c r="G12" i="82"/>
  <c r="I36" i="82"/>
  <c r="G36" i="82"/>
  <c r="I42" i="82"/>
  <c r="G42" i="82"/>
  <c r="I14" i="82"/>
  <c r="G14" i="82"/>
  <c r="I22" i="82"/>
  <c r="G22" i="82"/>
  <c r="G30" i="103"/>
  <c r="I30" i="103"/>
  <c r="I31" i="103"/>
  <c r="G31" i="103"/>
  <c r="I18" i="103"/>
  <c r="G18" i="103"/>
  <c r="I27" i="103"/>
  <c r="G27" i="103"/>
  <c r="G23" i="103"/>
  <c r="I23" i="103"/>
  <c r="G14" i="103"/>
  <c r="I14" i="103"/>
  <c r="G39" i="103"/>
  <c r="I39" i="103"/>
  <c r="G17" i="130"/>
  <c r="I17" i="130"/>
  <c r="I39" i="130"/>
  <c r="G39" i="130"/>
  <c r="G27" i="130"/>
  <c r="I27" i="130"/>
  <c r="I29" i="130"/>
  <c r="G29" i="130"/>
  <c r="G30" i="130"/>
  <c r="I30" i="130"/>
  <c r="I44" i="130"/>
  <c r="G44" i="130"/>
  <c r="G42" i="541"/>
  <c r="I42" i="541"/>
  <c r="G18" i="541"/>
  <c r="I18" i="541"/>
  <c r="I39" i="541"/>
  <c r="G39" i="541"/>
  <c r="I17" i="541"/>
  <c r="G17" i="541"/>
  <c r="G34" i="541"/>
  <c r="I34" i="541"/>
  <c r="G12" i="541"/>
  <c r="I12" i="541"/>
  <c r="I27" i="541"/>
  <c r="G27" i="541"/>
  <c r="I39" i="340"/>
  <c r="G39" i="340"/>
  <c r="G11" i="340"/>
  <c r="I11" i="340"/>
  <c r="I12" i="340"/>
  <c r="G12" i="340"/>
  <c r="G27" i="340"/>
  <c r="I27" i="340"/>
  <c r="G34" i="340"/>
  <c r="I34" i="340"/>
  <c r="I36" i="340"/>
  <c r="G36" i="340"/>
  <c r="G14" i="340"/>
  <c r="I14" i="340"/>
  <c r="I15" i="111"/>
  <c r="G15" i="111"/>
  <c r="I30" i="111"/>
  <c r="G30" i="111"/>
  <c r="I11" i="111"/>
  <c r="G11" i="111"/>
  <c r="I21" i="111"/>
  <c r="G21" i="111"/>
  <c r="I35" i="111"/>
  <c r="G35" i="111"/>
  <c r="G34" i="111"/>
  <c r="I34" i="111"/>
  <c r="I13" i="111"/>
  <c r="G13" i="111"/>
  <c r="G14" i="272"/>
  <c r="I14" i="272"/>
  <c r="G42" i="272"/>
  <c r="I42" i="272"/>
  <c r="G39" i="272"/>
  <c r="I39" i="272"/>
  <c r="I10" i="272"/>
  <c r="G10" i="272"/>
  <c r="I35" i="272"/>
  <c r="G35" i="272"/>
  <c r="G18" i="272"/>
  <c r="I18" i="272"/>
  <c r="I11" i="272"/>
  <c r="G11" i="272"/>
  <c r="G11" i="341"/>
  <c r="I11" i="341"/>
  <c r="I18" i="341"/>
  <c r="G18" i="341"/>
  <c r="I29" i="341"/>
  <c r="G29" i="341"/>
  <c r="G10" i="341"/>
  <c r="I10" i="341"/>
  <c r="G43" i="341"/>
  <c r="I43" i="341"/>
  <c r="G35" i="341"/>
  <c r="I35" i="341"/>
  <c r="I31" i="341"/>
  <c r="G31" i="341"/>
  <c r="I39" i="159"/>
  <c r="G39" i="159"/>
  <c r="G43" i="159"/>
  <c r="I43" i="159"/>
  <c r="I10" i="159"/>
  <c r="G10" i="159"/>
  <c r="I28" i="159"/>
  <c r="G28" i="159"/>
  <c r="I36" i="159"/>
  <c r="G36" i="159"/>
  <c r="I17" i="159"/>
  <c r="G17" i="159"/>
  <c r="G37" i="159"/>
  <c r="I37" i="159"/>
  <c r="I24" i="353"/>
  <c r="F24" i="353" s="1"/>
  <c r="G24" i="353" s="1"/>
  <c r="I24" i="266"/>
  <c r="F24" i="266" s="1"/>
  <c r="G24" i="266" s="1"/>
  <c r="I10" i="85"/>
  <c r="G10" i="85"/>
  <c r="G27" i="85"/>
  <c r="I27" i="85"/>
  <c r="G11" i="85"/>
  <c r="I11" i="85"/>
  <c r="G22" i="85"/>
  <c r="I22" i="85"/>
  <c r="G21" i="85"/>
  <c r="I21" i="85"/>
  <c r="G12" i="85"/>
  <c r="I12" i="85"/>
  <c r="G35" i="85"/>
  <c r="I35" i="85"/>
  <c r="I11" i="252"/>
  <c r="G11" i="252"/>
  <c r="I14" i="252"/>
  <c r="G14" i="252"/>
  <c r="I43" i="252"/>
  <c r="G43" i="252"/>
  <c r="G22" i="252"/>
  <c r="I22" i="252"/>
  <c r="G15" i="252"/>
  <c r="I15" i="252"/>
  <c r="G30" i="252"/>
  <c r="I30" i="252"/>
  <c r="I27" i="252"/>
  <c r="G27" i="252"/>
  <c r="G23" i="110"/>
  <c r="I23" i="110"/>
  <c r="I24" i="110" s="1"/>
  <c r="F24" i="110" s="1"/>
  <c r="G24" i="110" s="1"/>
  <c r="G14" i="110"/>
  <c r="I14" i="110"/>
  <c r="I17" i="110"/>
  <c r="G17" i="110"/>
  <c r="I26" i="292"/>
  <c r="G26" i="292"/>
  <c r="G28" i="292"/>
  <c r="I28" i="292"/>
  <c r="G23" i="292"/>
  <c r="I23" i="292"/>
  <c r="G11" i="292"/>
  <c r="I11" i="292"/>
  <c r="G16" i="292"/>
  <c r="I16" i="292"/>
  <c r="I21" i="292"/>
  <c r="G21" i="292"/>
  <c r="I35" i="292"/>
  <c r="G35" i="292"/>
  <c r="I15" i="136"/>
  <c r="G15" i="136"/>
  <c r="G29" i="136"/>
  <c r="I29" i="136"/>
  <c r="I23" i="136"/>
  <c r="G23" i="136"/>
  <c r="I27" i="136"/>
  <c r="G27" i="136"/>
  <c r="I30" i="136"/>
  <c r="G30" i="136"/>
  <c r="I10" i="136"/>
  <c r="G10" i="136"/>
  <c r="I31" i="136"/>
  <c r="G31" i="136"/>
  <c r="I11" i="244"/>
  <c r="G11" i="244"/>
  <c r="G21" i="244"/>
  <c r="I21" i="244"/>
  <c r="I22" i="244"/>
  <c r="G22" i="244"/>
  <c r="I38" i="244"/>
  <c r="G38" i="244"/>
  <c r="I36" i="244"/>
  <c r="G36" i="244"/>
  <c r="G18" i="244"/>
  <c r="I18" i="244"/>
  <c r="I15" i="45"/>
  <c r="G15" i="45"/>
  <c r="I17" i="45"/>
  <c r="G17" i="45"/>
  <c r="G12" i="45"/>
  <c r="I12" i="45"/>
  <c r="I11" i="45"/>
  <c r="G11" i="45"/>
  <c r="I22" i="45"/>
  <c r="G22" i="45"/>
  <c r="I28" i="45"/>
  <c r="G28" i="45"/>
  <c r="I39" i="45"/>
  <c r="G39" i="45"/>
  <c r="I23" i="277"/>
  <c r="G23" i="277"/>
  <c r="I36" i="277"/>
  <c r="G36" i="277"/>
  <c r="I29" i="277"/>
  <c r="G29" i="277"/>
  <c r="I26" i="277"/>
  <c r="G26" i="277"/>
  <c r="I15" i="277"/>
  <c r="G15" i="277"/>
  <c r="G12" i="277"/>
  <c r="I12" i="277"/>
  <c r="I21" i="277"/>
  <c r="G21" i="277"/>
  <c r="I19" i="132"/>
  <c r="F19" i="132" s="1"/>
  <c r="G19" i="132" s="1"/>
  <c r="I37" i="43"/>
  <c r="G37" i="43"/>
  <c r="G27" i="43"/>
  <c r="I27" i="43"/>
  <c r="G16" i="43"/>
  <c r="I16" i="43"/>
  <c r="G18" i="43"/>
  <c r="I18" i="43"/>
  <c r="G35" i="43"/>
  <c r="I35" i="43"/>
  <c r="G26" i="43"/>
  <c r="I26" i="43"/>
  <c r="I32" i="43" s="1"/>
  <c r="F32" i="43" s="1"/>
  <c r="G32" i="43" s="1"/>
  <c r="G42" i="293"/>
  <c r="I42" i="293"/>
  <c r="I43" i="293"/>
  <c r="G43" i="293"/>
  <c r="I29" i="293"/>
  <c r="G29" i="293"/>
  <c r="G44" i="293"/>
  <c r="I44" i="293"/>
  <c r="I31" i="293"/>
  <c r="G31" i="293"/>
  <c r="I17" i="293"/>
  <c r="G17" i="293"/>
  <c r="E48" i="579"/>
  <c r="I24" i="320"/>
  <c r="F24" i="320" s="1"/>
  <c r="G24" i="320" s="1"/>
  <c r="G26" i="76"/>
  <c r="I26" i="76"/>
  <c r="G28" i="76"/>
  <c r="I28" i="76"/>
  <c r="I21" i="76"/>
  <c r="G21" i="76"/>
  <c r="G23" i="76"/>
  <c r="I23" i="76"/>
  <c r="I10" i="76"/>
  <c r="G10" i="76"/>
  <c r="I12" i="76"/>
  <c r="G12" i="76"/>
  <c r="G36" i="76"/>
  <c r="I36" i="76"/>
  <c r="I35" i="579"/>
  <c r="G35" i="579"/>
  <c r="I13" i="579"/>
  <c r="G13" i="579"/>
  <c r="I28" i="579"/>
  <c r="G28" i="579"/>
  <c r="I43" i="579"/>
  <c r="G43" i="579"/>
  <c r="I21" i="579"/>
  <c r="G21" i="579"/>
  <c r="I36" i="579"/>
  <c r="G36" i="579"/>
  <c r="I14" i="579"/>
  <c r="G14" i="579"/>
  <c r="G35" i="271"/>
  <c r="I35" i="271"/>
  <c r="G23" i="271"/>
  <c r="I23" i="271"/>
  <c r="I11" i="271"/>
  <c r="G11" i="271"/>
  <c r="G36" i="271"/>
  <c r="I36" i="271"/>
  <c r="I42" i="271"/>
  <c r="I46" i="271" s="1"/>
  <c r="F46" i="271" s="1"/>
  <c r="G46" i="271" s="1"/>
  <c r="G42" i="271"/>
  <c r="G38" i="271"/>
  <c r="I38" i="271"/>
  <c r="I31" i="271"/>
  <c r="G31" i="271"/>
  <c r="G27" i="445"/>
  <c r="I27" i="445"/>
  <c r="G12" i="445"/>
  <c r="I12" i="445"/>
  <c r="I10" i="445"/>
  <c r="G10" i="445"/>
  <c r="G42" i="445"/>
  <c r="I42" i="445"/>
  <c r="I17" i="445"/>
  <c r="G17" i="445"/>
  <c r="I21" i="445"/>
  <c r="I24" i="445" s="1"/>
  <c r="F24" i="445" s="1"/>
  <c r="G24" i="445" s="1"/>
  <c r="G21" i="445"/>
  <c r="I32" i="132"/>
  <c r="F32" i="132" s="1"/>
  <c r="G32" i="132" s="1"/>
  <c r="G37" i="51"/>
  <c r="I37" i="51"/>
  <c r="G17" i="51"/>
  <c r="I17" i="51"/>
  <c r="I30" i="51"/>
  <c r="G30" i="51"/>
  <c r="I13" i="51"/>
  <c r="G13" i="51"/>
  <c r="I15" i="51"/>
  <c r="G15" i="51"/>
  <c r="I36" i="51"/>
  <c r="G36" i="51"/>
  <c r="G29" i="51"/>
  <c r="I29" i="51"/>
  <c r="I29" i="98"/>
  <c r="G29" i="98"/>
  <c r="G21" i="98"/>
  <c r="I21" i="98"/>
  <c r="I38" i="98"/>
  <c r="G38" i="98"/>
  <c r="I31" i="98"/>
  <c r="G31" i="98"/>
  <c r="G17" i="98"/>
  <c r="I17" i="98"/>
  <c r="I43" i="98"/>
  <c r="G43" i="98"/>
  <c r="G16" i="283"/>
  <c r="I16" i="283"/>
  <c r="I31" i="283"/>
  <c r="G31" i="283"/>
  <c r="G30" i="283"/>
  <c r="I30" i="283"/>
  <c r="I13" i="283"/>
  <c r="G13" i="283"/>
  <c r="I42" i="283"/>
  <c r="G42" i="283"/>
  <c r="I37" i="283"/>
  <c r="G37" i="283"/>
  <c r="G36" i="283"/>
  <c r="I36" i="283"/>
  <c r="I13" i="155"/>
  <c r="G13" i="155"/>
  <c r="I31" i="155"/>
  <c r="G31" i="155"/>
  <c r="I23" i="155"/>
  <c r="G23" i="155"/>
  <c r="G30" i="155"/>
  <c r="I30" i="155"/>
  <c r="I28" i="155"/>
  <c r="G28" i="155"/>
  <c r="I43" i="155"/>
  <c r="G43" i="155"/>
  <c r="I37" i="155"/>
  <c r="G37" i="155"/>
  <c r="G37" i="319"/>
  <c r="I37" i="319"/>
  <c r="G15" i="319"/>
  <c r="I15" i="319"/>
  <c r="G34" i="319"/>
  <c r="I34" i="319"/>
  <c r="I30" i="319"/>
  <c r="G30" i="319"/>
  <c r="I27" i="319"/>
  <c r="G27" i="319"/>
  <c r="I42" i="319"/>
  <c r="G42" i="319"/>
  <c r="I43" i="319"/>
  <c r="G43" i="319"/>
  <c r="G31" i="254"/>
  <c r="I31" i="254"/>
  <c r="G43" i="106"/>
  <c r="I43" i="106"/>
  <c r="I34" i="106"/>
  <c r="G34" i="106"/>
  <c r="G23" i="106"/>
  <c r="I23" i="106"/>
  <c r="I11" i="106"/>
  <c r="G11" i="106"/>
  <c r="I27" i="106"/>
  <c r="G27" i="106"/>
  <c r="G18" i="106"/>
  <c r="I18" i="106"/>
  <c r="I12" i="106"/>
  <c r="G12" i="106"/>
  <c r="I26" i="221"/>
  <c r="G26" i="221"/>
  <c r="I36" i="221"/>
  <c r="G36" i="221"/>
  <c r="G27" i="221"/>
  <c r="I27" i="221"/>
  <c r="G15" i="221"/>
  <c r="I15" i="221"/>
  <c r="I43" i="221"/>
  <c r="G43" i="221"/>
  <c r="I18" i="221"/>
  <c r="G18" i="221"/>
  <c r="I37" i="221"/>
  <c r="G37" i="221"/>
  <c r="I39" i="150"/>
  <c r="G39" i="150"/>
  <c r="I44" i="150"/>
  <c r="G44" i="150"/>
  <c r="G28" i="150"/>
  <c r="I28" i="150"/>
  <c r="G36" i="150"/>
  <c r="I36" i="150"/>
  <c r="G35" i="150"/>
  <c r="I35" i="150"/>
  <c r="I12" i="150"/>
  <c r="G12" i="150"/>
  <c r="I27" i="310"/>
  <c r="G27" i="310"/>
  <c r="G11" i="310"/>
  <c r="I11" i="310"/>
  <c r="G28" i="310"/>
  <c r="I28" i="310"/>
  <c r="G23" i="310"/>
  <c r="I23" i="310"/>
  <c r="G21" i="310"/>
  <c r="I21" i="310"/>
  <c r="I39" i="310"/>
  <c r="G39" i="310"/>
  <c r="G38" i="310"/>
  <c r="I38" i="310"/>
  <c r="I40" i="154"/>
  <c r="F40" i="154" s="1"/>
  <c r="G40" i="154" s="1"/>
  <c r="I32" i="428"/>
  <c r="F32" i="428" s="1"/>
  <c r="G32" i="428" s="1"/>
  <c r="I46" i="371"/>
  <c r="F46" i="371" s="1"/>
  <c r="G46" i="371" s="1"/>
  <c r="I40" i="376"/>
  <c r="F40" i="376" s="1"/>
  <c r="G40" i="376" s="1"/>
  <c r="I19" i="114"/>
  <c r="F19" i="114" s="1"/>
  <c r="G19" i="114" s="1"/>
  <c r="I46" i="107"/>
  <c r="F46" i="107" s="1"/>
  <c r="G46" i="107" s="1"/>
  <c r="I46" i="73"/>
  <c r="F46" i="73" s="1"/>
  <c r="G46" i="73" s="1"/>
  <c r="I40" i="63"/>
  <c r="F40" i="63" s="1"/>
  <c r="G40" i="63" s="1"/>
  <c r="I46" i="110"/>
  <c r="F46" i="110" s="1"/>
  <c r="G46" i="110" s="1"/>
  <c r="I32" i="74"/>
  <c r="F32" i="74" s="1"/>
  <c r="G32" i="74" s="1"/>
  <c r="I46" i="311"/>
  <c r="F46" i="311" s="1"/>
  <c r="G46" i="311" s="1"/>
  <c r="I24" i="113"/>
  <c r="F24" i="113" s="1"/>
  <c r="G24" i="113" s="1"/>
  <c r="I40" i="50"/>
  <c r="F40" i="50" s="1"/>
  <c r="G40" i="50" s="1"/>
  <c r="I19" i="356"/>
  <c r="F19" i="356" s="1"/>
  <c r="G19" i="356" s="1"/>
  <c r="I27" i="108"/>
  <c r="G27" i="108"/>
  <c r="G44" i="108"/>
  <c r="I44" i="108"/>
  <c r="I38" i="108"/>
  <c r="G38" i="108"/>
  <c r="G13" i="108"/>
  <c r="I13" i="108"/>
  <c r="G28" i="108"/>
  <c r="I28" i="108"/>
  <c r="I12" i="108"/>
  <c r="G12" i="108"/>
  <c r="G11" i="108"/>
  <c r="I11" i="108"/>
  <c r="I34" i="438"/>
  <c r="I40" i="438" s="1"/>
  <c r="F40" i="438" s="1"/>
  <c r="G40" i="438" s="1"/>
  <c r="G34" i="438"/>
  <c r="G17" i="438"/>
  <c r="I17" i="438"/>
  <c r="G23" i="438"/>
  <c r="I23" i="438"/>
  <c r="I18" i="438"/>
  <c r="G18" i="438"/>
  <c r="I44" i="438"/>
  <c r="G44" i="438"/>
  <c r="G10" i="438"/>
  <c r="I10" i="438"/>
  <c r="I32" i="320"/>
  <c r="F32" i="320" s="1"/>
  <c r="G32" i="320" s="1"/>
  <c r="I29" i="44"/>
  <c r="G29" i="44"/>
  <c r="I11" i="44"/>
  <c r="G11" i="44"/>
  <c r="I43" i="44"/>
  <c r="G43" i="44"/>
  <c r="G21" i="44"/>
  <c r="I21" i="44"/>
  <c r="I10" i="44"/>
  <c r="G10" i="44"/>
  <c r="G39" i="44"/>
  <c r="I39" i="44"/>
  <c r="I14" i="44"/>
  <c r="G14" i="44"/>
  <c r="I34" i="82"/>
  <c r="G34" i="82"/>
  <c r="G10" i="82"/>
  <c r="I10" i="82"/>
  <c r="I44" i="82"/>
  <c r="G44" i="82"/>
  <c r="G39" i="82"/>
  <c r="I39" i="82"/>
  <c r="G29" i="82"/>
  <c r="I29" i="82"/>
  <c r="I15" i="82"/>
  <c r="G15" i="82"/>
  <c r="I21" i="82"/>
  <c r="G21" i="82"/>
  <c r="E32" i="41"/>
  <c r="G34" i="103"/>
  <c r="I34" i="103"/>
  <c r="G17" i="103"/>
  <c r="I17" i="103"/>
  <c r="G13" i="103"/>
  <c r="I13" i="103"/>
  <c r="G15" i="103"/>
  <c r="I15" i="103"/>
  <c r="I28" i="103"/>
  <c r="G28" i="103"/>
  <c r="I26" i="103"/>
  <c r="G26" i="103"/>
  <c r="I16" i="103"/>
  <c r="G16" i="103"/>
  <c r="I12" i="130"/>
  <c r="G12" i="130"/>
  <c r="G37" i="130"/>
  <c r="I37" i="130"/>
  <c r="I28" i="130"/>
  <c r="G28" i="130"/>
  <c r="I26" i="130"/>
  <c r="G26" i="130"/>
  <c r="I42" i="130"/>
  <c r="G42" i="130"/>
  <c r="G43" i="130"/>
  <c r="I43" i="130"/>
  <c r="I10" i="130"/>
  <c r="G10" i="130"/>
  <c r="G36" i="541"/>
  <c r="I36" i="541"/>
  <c r="G14" i="541"/>
  <c r="I14" i="541"/>
  <c r="I35" i="541"/>
  <c r="G35" i="541"/>
  <c r="I13" i="541"/>
  <c r="G13" i="541"/>
  <c r="G28" i="541"/>
  <c r="I28" i="541"/>
  <c r="I43" i="541"/>
  <c r="G43" i="541"/>
  <c r="I21" i="541"/>
  <c r="G21" i="541"/>
  <c r="G29" i="340"/>
  <c r="I29" i="340"/>
  <c r="G10" i="340"/>
  <c r="I10" i="340"/>
  <c r="G16" i="340"/>
  <c r="I16" i="340"/>
  <c r="G35" i="340"/>
  <c r="I35" i="340"/>
  <c r="I22" i="340"/>
  <c r="G22" i="340"/>
  <c r="G38" i="340"/>
  <c r="I38" i="340"/>
  <c r="I43" i="340"/>
  <c r="G43" i="340"/>
  <c r="G37" i="111"/>
  <c r="I37" i="111"/>
  <c r="I10" i="111"/>
  <c r="G10" i="111"/>
  <c r="G23" i="111"/>
  <c r="I23" i="111"/>
  <c r="G18" i="111"/>
  <c r="I18" i="111"/>
  <c r="G26" i="111"/>
  <c r="I26" i="111"/>
  <c r="G29" i="111"/>
  <c r="I29" i="111"/>
  <c r="I14" i="111"/>
  <c r="G14" i="111"/>
  <c r="I24" i="306"/>
  <c r="F24" i="306" s="1"/>
  <c r="G24" i="306" s="1"/>
  <c r="I23" i="272"/>
  <c r="G23" i="272"/>
  <c r="I15" i="272"/>
  <c r="G15" i="272"/>
  <c r="I27" i="272"/>
  <c r="G27" i="272"/>
  <c r="I13" i="272"/>
  <c r="G13" i="272"/>
  <c r="I12" i="272"/>
  <c r="G12" i="272"/>
  <c r="I17" i="272"/>
  <c r="G17" i="272"/>
  <c r="I43" i="272"/>
  <c r="G43" i="272"/>
  <c r="G39" i="341"/>
  <c r="I39" i="341"/>
  <c r="I17" i="341"/>
  <c r="G17" i="341"/>
  <c r="G28" i="341"/>
  <c r="I28" i="341"/>
  <c r="I26" i="341"/>
  <c r="G26" i="341"/>
  <c r="G42" i="341"/>
  <c r="I42" i="341"/>
  <c r="G13" i="341"/>
  <c r="I13" i="341"/>
  <c r="G37" i="341"/>
  <c r="I37" i="341"/>
  <c r="G11" i="159"/>
  <c r="I11" i="159"/>
  <c r="G34" i="159"/>
  <c r="I34" i="159"/>
  <c r="G42" i="159"/>
  <c r="I42" i="159"/>
  <c r="G35" i="159"/>
  <c r="I35" i="159"/>
  <c r="I27" i="159"/>
  <c r="G27" i="159"/>
  <c r="G12" i="159"/>
  <c r="I12" i="159"/>
  <c r="I22" i="159"/>
  <c r="G22" i="159"/>
  <c r="I40" i="170"/>
  <c r="F40" i="170" s="1"/>
  <c r="G40" i="170" s="1"/>
  <c r="I39" i="85"/>
  <c r="G39" i="85"/>
  <c r="I23" i="85"/>
  <c r="G23" i="85"/>
  <c r="I16" i="85"/>
  <c r="G16" i="85"/>
  <c r="I26" i="85"/>
  <c r="G26" i="85"/>
  <c r="I43" i="85"/>
  <c r="G43" i="85"/>
  <c r="I18" i="85"/>
  <c r="G18" i="85"/>
  <c r="I21" i="252"/>
  <c r="I24" i="252" s="1"/>
  <c r="F24" i="252" s="1"/>
  <c r="G24" i="252" s="1"/>
  <c r="G21" i="252"/>
  <c r="I17" i="252"/>
  <c r="G17" i="252"/>
  <c r="I31" i="252"/>
  <c r="G31" i="252"/>
  <c r="I36" i="252"/>
  <c r="G36" i="252"/>
  <c r="I28" i="252"/>
  <c r="G28" i="252"/>
  <c r="I18" i="252"/>
  <c r="G18" i="252"/>
  <c r="G38" i="252"/>
  <c r="I38" i="252"/>
  <c r="G35" i="110"/>
  <c r="I35" i="110"/>
  <c r="I30" i="110"/>
  <c r="G30" i="110"/>
  <c r="I26" i="110"/>
  <c r="G26" i="110"/>
  <c r="I34" i="292"/>
  <c r="G34" i="292"/>
  <c r="G39" i="292"/>
  <c r="I39" i="292"/>
  <c r="G29" i="292"/>
  <c r="I29" i="292"/>
  <c r="I14" i="292"/>
  <c r="G14" i="292"/>
  <c r="G37" i="292"/>
  <c r="I37" i="292"/>
  <c r="G38" i="292"/>
  <c r="I38" i="292"/>
  <c r="G31" i="292"/>
  <c r="I31" i="292"/>
  <c r="I14" i="136"/>
  <c r="G14" i="136"/>
  <c r="I43" i="136"/>
  <c r="G43" i="136"/>
  <c r="G34" i="136"/>
  <c r="I34" i="136"/>
  <c r="G36" i="136"/>
  <c r="I36" i="136"/>
  <c r="G35" i="136"/>
  <c r="I35" i="136"/>
  <c r="G18" i="136"/>
  <c r="I18" i="136"/>
  <c r="G21" i="136"/>
  <c r="I21" i="136"/>
  <c r="I10" i="244"/>
  <c r="G10" i="244"/>
  <c r="I26" i="244"/>
  <c r="G26" i="244"/>
  <c r="I28" i="244"/>
  <c r="G28" i="244"/>
  <c r="G27" i="244"/>
  <c r="I27" i="244"/>
  <c r="I43" i="244"/>
  <c r="G43" i="244"/>
  <c r="G43" i="45"/>
  <c r="I43" i="45"/>
  <c r="G35" i="45"/>
  <c r="I35" i="45"/>
  <c r="G30" i="45"/>
  <c r="I30" i="45"/>
  <c r="I37" i="45"/>
  <c r="G37" i="45"/>
  <c r="I16" i="45"/>
  <c r="G16" i="45"/>
  <c r="I27" i="45"/>
  <c r="G27" i="45"/>
  <c r="I29" i="45"/>
  <c r="G29" i="45"/>
  <c r="G38" i="277"/>
  <c r="I38" i="277"/>
  <c r="G27" i="277"/>
  <c r="I27" i="277"/>
  <c r="G39" i="277"/>
  <c r="I39" i="277"/>
  <c r="G22" i="277"/>
  <c r="I22" i="277"/>
  <c r="G37" i="277"/>
  <c r="I37" i="277"/>
  <c r="I11" i="277"/>
  <c r="G11" i="277"/>
  <c r="G35" i="277"/>
  <c r="I35" i="277"/>
  <c r="I19" i="296"/>
  <c r="F19" i="296" s="1"/>
  <c r="G19" i="296" s="1"/>
  <c r="I19" i="137"/>
  <c r="F19" i="137" s="1"/>
  <c r="G19" i="137" s="1"/>
  <c r="G23" i="43"/>
  <c r="I23" i="43"/>
  <c r="G21" i="43"/>
  <c r="I21" i="43"/>
  <c r="I44" i="43"/>
  <c r="G44" i="43"/>
  <c r="I42" i="43"/>
  <c r="G42" i="43"/>
  <c r="I10" i="43"/>
  <c r="G10" i="43"/>
  <c r="I12" i="43"/>
  <c r="G12" i="43"/>
  <c r="I14" i="43"/>
  <c r="G14" i="43"/>
  <c r="I32" i="353"/>
  <c r="F32" i="353" s="1"/>
  <c r="G32" i="353" s="1"/>
  <c r="I12" i="293"/>
  <c r="G12" i="293"/>
  <c r="I28" i="293"/>
  <c r="G28" i="293"/>
  <c r="I34" i="293"/>
  <c r="G34" i="293"/>
  <c r="I10" i="293"/>
  <c r="G10" i="293"/>
  <c r="I23" i="293"/>
  <c r="G23" i="293"/>
  <c r="I30" i="293"/>
  <c r="G30" i="293"/>
  <c r="G15" i="293"/>
  <c r="I15" i="293"/>
  <c r="I19" i="266"/>
  <c r="F19" i="266" s="1"/>
  <c r="G19" i="266" s="1"/>
  <c r="I15" i="76"/>
  <c r="G15" i="76"/>
  <c r="I39" i="76"/>
  <c r="G39" i="76"/>
  <c r="G37" i="76"/>
  <c r="I37" i="76"/>
  <c r="G44" i="76"/>
  <c r="I44" i="76"/>
  <c r="G43" i="76"/>
  <c r="I43" i="76"/>
  <c r="I35" i="76"/>
  <c r="G35" i="76"/>
  <c r="I17" i="76"/>
  <c r="G17" i="76"/>
  <c r="I32" i="253"/>
  <c r="I29" i="579"/>
  <c r="G29" i="579"/>
  <c r="I44" i="579"/>
  <c r="G44" i="579"/>
  <c r="I22" i="579"/>
  <c r="G22" i="579"/>
  <c r="I37" i="579"/>
  <c r="G37" i="579"/>
  <c r="I15" i="579"/>
  <c r="G15" i="579"/>
  <c r="I30" i="579"/>
  <c r="G30" i="579"/>
  <c r="I10" i="579"/>
  <c r="G10" i="579"/>
  <c r="G12" i="271"/>
  <c r="I12" i="271"/>
  <c r="G37" i="271"/>
  <c r="I37" i="271"/>
  <c r="I39" i="271"/>
  <c r="G39" i="271"/>
  <c r="G34" i="271"/>
  <c r="I34" i="271"/>
  <c r="G15" i="271"/>
  <c r="I15" i="271"/>
  <c r="I28" i="271"/>
  <c r="G28" i="271"/>
  <c r="I21" i="271"/>
  <c r="G21" i="271"/>
  <c r="I37" i="445"/>
  <c r="G37" i="445"/>
  <c r="G16" i="445"/>
  <c r="I16" i="445"/>
  <c r="G44" i="445"/>
  <c r="I44" i="445"/>
  <c r="G28" i="445"/>
  <c r="I28" i="445"/>
  <c r="G34" i="445"/>
  <c r="I34" i="445"/>
  <c r="I38" i="445"/>
  <c r="G38" i="445"/>
  <c r="I11" i="445"/>
  <c r="G11" i="445"/>
  <c r="I42" i="51"/>
  <c r="G42" i="51"/>
  <c r="G43" i="51"/>
  <c r="I43" i="51"/>
  <c r="G12" i="51"/>
  <c r="I12" i="51"/>
  <c r="G26" i="51"/>
  <c r="I26" i="51"/>
  <c r="I11" i="51"/>
  <c r="G11" i="51"/>
  <c r="G27" i="51"/>
  <c r="I27" i="51"/>
  <c r="G12" i="98"/>
  <c r="I12" i="98"/>
  <c r="G36" i="98"/>
  <c r="I36" i="98"/>
  <c r="G35" i="98"/>
  <c r="I35" i="98"/>
  <c r="G13" i="98"/>
  <c r="I13" i="98"/>
  <c r="I10" i="98"/>
  <c r="G10" i="98"/>
  <c r="G27" i="98"/>
  <c r="I27" i="98"/>
  <c r="G37" i="98"/>
  <c r="I37" i="98"/>
  <c r="I10" i="283"/>
  <c r="G10" i="283"/>
  <c r="G26" i="283"/>
  <c r="I26" i="283"/>
  <c r="I12" i="283"/>
  <c r="G12" i="283"/>
  <c r="I43" i="283"/>
  <c r="G43" i="283"/>
  <c r="I11" i="283"/>
  <c r="G11" i="283"/>
  <c r="I17" i="283"/>
  <c r="G17" i="283"/>
  <c r="G22" i="283"/>
  <c r="I22" i="283"/>
  <c r="I15" i="155"/>
  <c r="G15" i="155"/>
  <c r="G39" i="155"/>
  <c r="I39" i="155"/>
  <c r="I21" i="155"/>
  <c r="G21" i="155"/>
  <c r="G17" i="155"/>
  <c r="I17" i="155"/>
  <c r="G22" i="155"/>
  <c r="I22" i="155"/>
  <c r="G29" i="155"/>
  <c r="I29" i="155"/>
  <c r="G12" i="155"/>
  <c r="I12" i="155"/>
  <c r="I35" i="319"/>
  <c r="G35" i="319"/>
  <c r="I23" i="319"/>
  <c r="G23" i="319"/>
  <c r="G44" i="319"/>
  <c r="I44" i="319"/>
  <c r="I18" i="319"/>
  <c r="G18" i="319"/>
  <c r="I38" i="319"/>
  <c r="G38" i="319"/>
  <c r="G21" i="319"/>
  <c r="I21" i="319"/>
  <c r="G28" i="319"/>
  <c r="I28" i="319"/>
  <c r="I29" i="254"/>
  <c r="G29" i="254"/>
  <c r="I27" i="254"/>
  <c r="G27" i="254"/>
  <c r="I36" i="106"/>
  <c r="G36" i="106"/>
  <c r="G14" i="106"/>
  <c r="I14" i="106"/>
  <c r="I21" i="106"/>
  <c r="G21" i="106"/>
  <c r="I22" i="106"/>
  <c r="G22" i="106"/>
  <c r="I35" i="106"/>
  <c r="G35" i="106"/>
  <c r="I10" i="106"/>
  <c r="G10" i="106"/>
  <c r="G38" i="106"/>
  <c r="I38" i="106"/>
  <c r="I46" i="253"/>
  <c r="F46" i="253" s="1"/>
  <c r="G46" i="253" s="1"/>
  <c r="G39" i="221"/>
  <c r="I39" i="221"/>
  <c r="G12" i="221"/>
  <c r="I12" i="221"/>
  <c r="I21" i="221"/>
  <c r="G21" i="221"/>
  <c r="G23" i="221"/>
  <c r="I23" i="221"/>
  <c r="I11" i="221"/>
  <c r="G11" i="221"/>
  <c r="G35" i="221"/>
  <c r="I35" i="221"/>
  <c r="G29" i="150"/>
  <c r="I29" i="150"/>
  <c r="I30" i="150"/>
  <c r="G30" i="150"/>
  <c r="I10" i="150"/>
  <c r="G10" i="150"/>
  <c r="G43" i="150"/>
  <c r="I43" i="150"/>
  <c r="I38" i="150"/>
  <c r="G38" i="150"/>
  <c r="I23" i="150"/>
  <c r="G23" i="150"/>
  <c r="G18" i="150"/>
  <c r="I18" i="150"/>
  <c r="I31" i="310"/>
  <c r="G31" i="310"/>
  <c r="I44" i="310"/>
  <c r="G44" i="310"/>
  <c r="I10" i="310"/>
  <c r="G10" i="310"/>
  <c r="G15" i="310"/>
  <c r="I15" i="310"/>
  <c r="G36" i="310"/>
  <c r="I36" i="310"/>
  <c r="G17" i="310"/>
  <c r="I17" i="310"/>
  <c r="I12" i="310"/>
  <c r="G12" i="310"/>
  <c r="I30" i="343"/>
  <c r="G30" i="343"/>
  <c r="G29" i="342"/>
  <c r="I29" i="342"/>
  <c r="I29" i="79"/>
  <c r="G29" i="79"/>
  <c r="I30" i="86"/>
  <c r="G30" i="86"/>
  <c r="I11" i="9"/>
  <c r="G11" i="9"/>
  <c r="I35" i="71"/>
  <c r="G35" i="71"/>
  <c r="I17" i="102"/>
  <c r="G17" i="102"/>
  <c r="G29" i="116"/>
  <c r="I29" i="116"/>
  <c r="G34" i="357"/>
  <c r="I34" i="357"/>
  <c r="I38" i="325"/>
  <c r="G38" i="325"/>
  <c r="G36" i="274"/>
  <c r="I36" i="274"/>
  <c r="G28" i="156"/>
  <c r="I28" i="156"/>
  <c r="I35" i="84"/>
  <c r="G35" i="84"/>
  <c r="I29" i="205"/>
  <c r="G29" i="205"/>
  <c r="G15" i="329"/>
  <c r="I15" i="329"/>
  <c r="G37" i="193"/>
  <c r="I37" i="193"/>
  <c r="I42" i="163"/>
  <c r="G42" i="163"/>
  <c r="I11" i="163"/>
  <c r="G11" i="163"/>
  <c r="I44" i="333"/>
  <c r="G44" i="333"/>
  <c r="I27" i="245"/>
  <c r="G27" i="245"/>
  <c r="I39" i="172"/>
  <c r="G39" i="172"/>
  <c r="G16" i="442"/>
  <c r="I16" i="442"/>
  <c r="I13" i="442"/>
  <c r="G13" i="442"/>
  <c r="I12" i="369"/>
  <c r="G12" i="369"/>
  <c r="G37" i="93"/>
  <c r="I37" i="93"/>
  <c r="I16" i="93"/>
  <c r="G16" i="93"/>
  <c r="I21" i="173"/>
  <c r="G21" i="173"/>
  <c r="I15" i="173"/>
  <c r="G15" i="173"/>
  <c r="G26" i="52"/>
  <c r="I26" i="52"/>
  <c r="I24" i="383"/>
  <c r="F24" i="383" s="1"/>
  <c r="G24" i="383" s="1"/>
  <c r="I27" i="235"/>
  <c r="G27" i="235"/>
  <c r="G15" i="404"/>
  <c r="I15" i="404"/>
  <c r="I14" i="404"/>
  <c r="G14" i="404"/>
  <c r="G34" i="229"/>
  <c r="I34" i="229"/>
  <c r="I17" i="343"/>
  <c r="G17" i="343"/>
  <c r="I34" i="343"/>
  <c r="G34" i="343"/>
  <c r="G36" i="160"/>
  <c r="I36" i="160"/>
  <c r="G44" i="160"/>
  <c r="I44" i="160"/>
  <c r="G16" i="374"/>
  <c r="I16" i="374"/>
  <c r="I26" i="374"/>
  <c r="G26" i="374"/>
  <c r="I18" i="168"/>
  <c r="G18" i="168"/>
  <c r="G26" i="168"/>
  <c r="I26" i="168"/>
  <c r="I18" i="261"/>
  <c r="G18" i="261"/>
  <c r="G27" i="261"/>
  <c r="I27" i="261"/>
  <c r="G11" i="273"/>
  <c r="I35" i="273"/>
  <c r="I34" i="212"/>
  <c r="G34" i="212"/>
  <c r="I30" i="212"/>
  <c r="G30" i="212"/>
  <c r="I30" i="301"/>
  <c r="G30" i="301"/>
  <c r="G12" i="301"/>
  <c r="I12" i="301"/>
  <c r="I44" i="379"/>
  <c r="G44" i="379"/>
  <c r="I29" i="208"/>
  <c r="G29" i="208"/>
  <c r="I34" i="138"/>
  <c r="G34" i="138"/>
  <c r="I43" i="138"/>
  <c r="G43" i="138"/>
  <c r="G15" i="352"/>
  <c r="I15" i="352"/>
  <c r="G37" i="352"/>
  <c r="I37" i="352"/>
  <c r="I18" i="69"/>
  <c r="G18" i="69"/>
  <c r="G44" i="69"/>
  <c r="I44" i="69"/>
  <c r="G27" i="342"/>
  <c r="I11" i="342"/>
  <c r="I38" i="109"/>
  <c r="G38" i="109"/>
  <c r="I14" i="109"/>
  <c r="G14" i="109"/>
  <c r="G31" i="284"/>
  <c r="I31" i="284"/>
  <c r="G28" i="284"/>
  <c r="I28" i="284"/>
  <c r="G21" i="420"/>
  <c r="I21" i="420"/>
  <c r="I37" i="420"/>
  <c r="G37" i="420"/>
  <c r="I12" i="393"/>
  <c r="G12" i="393"/>
  <c r="I18" i="455"/>
  <c r="G18" i="455"/>
  <c r="G42" i="455"/>
  <c r="I42" i="455"/>
  <c r="G29" i="372"/>
  <c r="I29" i="372"/>
  <c r="I11" i="372"/>
  <c r="G11" i="372"/>
  <c r="I10" i="239"/>
  <c r="G10" i="239"/>
  <c r="G26" i="12"/>
  <c r="I26" i="12"/>
  <c r="G21" i="12"/>
  <c r="I21" i="12"/>
  <c r="I30" i="307"/>
  <c r="G30" i="307"/>
  <c r="I27" i="419"/>
  <c r="G27" i="419"/>
  <c r="I44" i="392"/>
  <c r="G44" i="392"/>
  <c r="G28" i="263"/>
  <c r="I28" i="263"/>
  <c r="G13" i="263"/>
  <c r="I13" i="263"/>
  <c r="I28" i="422"/>
  <c r="G28" i="422"/>
  <c r="I44" i="422"/>
  <c r="G44" i="422"/>
  <c r="I10" i="124"/>
  <c r="G10" i="124"/>
  <c r="I38" i="124"/>
  <c r="G38" i="124"/>
  <c r="G30" i="194"/>
  <c r="I30" i="194"/>
  <c r="G27" i="194"/>
  <c r="I27" i="194"/>
  <c r="I21" i="18"/>
  <c r="G21" i="18"/>
  <c r="G18" i="18"/>
  <c r="I18" i="18"/>
  <c r="G16" i="20"/>
  <c r="I16" i="20"/>
  <c r="I17" i="299"/>
  <c r="G17" i="299"/>
  <c r="I28" i="299"/>
  <c r="G28" i="299"/>
  <c r="I39" i="338"/>
  <c r="G39" i="338"/>
  <c r="G31" i="338"/>
  <c r="I31" i="338"/>
  <c r="G21" i="144"/>
  <c r="I21" i="144"/>
  <c r="I16" i="144"/>
  <c r="G16" i="144"/>
  <c r="I30" i="22"/>
  <c r="G30" i="22"/>
  <c r="I21" i="22"/>
  <c r="G21" i="22"/>
  <c r="I31" i="79"/>
  <c r="G31" i="79"/>
  <c r="G15" i="79"/>
  <c r="I15" i="79"/>
  <c r="I26" i="326"/>
  <c r="G26" i="326"/>
  <c r="G16" i="326"/>
  <c r="I16" i="326"/>
  <c r="I17" i="15"/>
  <c r="G17" i="15"/>
  <c r="I39" i="15"/>
  <c r="G39" i="15"/>
  <c r="G12" i="68"/>
  <c r="I12" i="68"/>
  <c r="I42" i="68"/>
  <c r="G42" i="68"/>
  <c r="G30" i="95"/>
  <c r="I30" i="95"/>
  <c r="I28" i="86"/>
  <c r="G28" i="86"/>
  <c r="I26" i="86"/>
  <c r="G26" i="86"/>
  <c r="I31" i="237"/>
  <c r="G31" i="237"/>
  <c r="I18" i="458"/>
  <c r="G18" i="458"/>
  <c r="G38" i="458"/>
  <c r="I38" i="458"/>
  <c r="E24" i="118"/>
  <c r="E32" i="118"/>
  <c r="E22" i="118"/>
  <c r="E23" i="118"/>
  <c r="E36" i="118"/>
  <c r="E30" i="118"/>
  <c r="E28" i="118"/>
  <c r="E38" i="118"/>
  <c r="E26" i="118"/>
  <c r="E46" i="118"/>
  <c r="A52" i="118" s="1"/>
  <c r="E45" i="118"/>
  <c r="E37" i="118"/>
  <c r="E39" i="118"/>
  <c r="E42" i="118"/>
  <c r="E27" i="118"/>
  <c r="E35" i="118"/>
  <c r="E21" i="118"/>
  <c r="E29" i="118"/>
  <c r="E31" i="118"/>
  <c r="E44" i="118"/>
  <c r="E43" i="118"/>
  <c r="E34" i="118"/>
  <c r="I28" i="298"/>
  <c r="G28" i="298"/>
  <c r="G12" i="298"/>
  <c r="I12" i="298"/>
  <c r="G23" i="29"/>
  <c r="I23" i="29"/>
  <c r="I35" i="29"/>
  <c r="G35" i="29"/>
  <c r="I31" i="11"/>
  <c r="G31" i="11"/>
  <c r="G18" i="11"/>
  <c r="I18" i="11"/>
  <c r="I17" i="367"/>
  <c r="G17" i="367"/>
  <c r="I38" i="367"/>
  <c r="G38" i="367"/>
  <c r="G30" i="249"/>
  <c r="I30" i="249"/>
  <c r="G15" i="249"/>
  <c r="I15" i="249"/>
  <c r="G30" i="152"/>
  <c r="I30" i="152"/>
  <c r="G27" i="40"/>
  <c r="I27" i="40"/>
  <c r="I21" i="40"/>
  <c r="G21" i="40"/>
  <c r="G38" i="460"/>
  <c r="I38" i="460"/>
  <c r="G12" i="233"/>
  <c r="I12" i="233"/>
  <c r="I22" i="233"/>
  <c r="G22" i="233"/>
  <c r="I21" i="139"/>
  <c r="G21" i="139"/>
  <c r="G15" i="139"/>
  <c r="I15" i="139"/>
  <c r="I35" i="141"/>
  <c r="G35" i="141"/>
  <c r="I10" i="174"/>
  <c r="G10" i="174"/>
  <c r="I18" i="448"/>
  <c r="G18" i="448"/>
  <c r="G31" i="223"/>
  <c r="I31" i="223"/>
  <c r="G34" i="223"/>
  <c r="I34" i="223"/>
  <c r="I24" i="70"/>
  <c r="F24" i="70" s="1"/>
  <c r="G24" i="70" s="1"/>
  <c r="I26" i="324"/>
  <c r="G26" i="324"/>
  <c r="I22" i="324"/>
  <c r="G22" i="324"/>
  <c r="I38" i="56"/>
  <c r="G38" i="56"/>
  <c r="G18" i="90"/>
  <c r="I18" i="90"/>
  <c r="I23" i="99"/>
  <c r="G23" i="99"/>
  <c r="I30" i="99"/>
  <c r="G30" i="99"/>
  <c r="G37" i="396"/>
  <c r="I37" i="396"/>
  <c r="I15" i="128"/>
  <c r="G15" i="128"/>
  <c r="I12" i="314"/>
  <c r="G12" i="314"/>
  <c r="G34" i="9"/>
  <c r="I34" i="9"/>
  <c r="I12" i="9"/>
  <c r="G12" i="9"/>
  <c r="I11" i="339"/>
  <c r="G11" i="339"/>
  <c r="I14" i="339"/>
  <c r="G14" i="339"/>
  <c r="I27" i="226"/>
  <c r="G27" i="226"/>
  <c r="G30" i="257"/>
  <c r="I30" i="257"/>
  <c r="G17" i="257"/>
  <c r="I17" i="257"/>
  <c r="G17" i="403"/>
  <c r="I17" i="403"/>
  <c r="I31" i="403"/>
  <c r="G31" i="403"/>
  <c r="G36" i="87"/>
  <c r="I36" i="87"/>
  <c r="I16" i="87"/>
  <c r="G16" i="87"/>
  <c r="I17" i="202"/>
  <c r="G17" i="202"/>
  <c r="I30" i="202"/>
  <c r="G30" i="202"/>
  <c r="G10" i="169"/>
  <c r="I10" i="169"/>
  <c r="I37" i="169"/>
  <c r="G37" i="169"/>
  <c r="G37" i="101"/>
  <c r="I37" i="101"/>
  <c r="G34" i="101"/>
  <c r="I34" i="101"/>
  <c r="G43" i="5"/>
  <c r="I43" i="5"/>
  <c r="I15" i="5"/>
  <c r="G15" i="5"/>
  <c r="I21" i="201"/>
  <c r="G21" i="201"/>
  <c r="G31" i="213"/>
  <c r="I31" i="213"/>
  <c r="G13" i="213"/>
  <c r="I13" i="213"/>
  <c r="I21" i="71"/>
  <c r="G21" i="71"/>
  <c r="I27" i="71"/>
  <c r="G27" i="71"/>
  <c r="G31" i="220"/>
  <c r="I31" i="220"/>
  <c r="I36" i="220"/>
  <c r="G36" i="220"/>
  <c r="G29" i="281"/>
  <c r="I29" i="281"/>
  <c r="G37" i="281"/>
  <c r="I37" i="281"/>
  <c r="I44" i="452"/>
  <c r="G44" i="452"/>
  <c r="G13" i="452"/>
  <c r="I13" i="452"/>
  <c r="G35" i="34"/>
  <c r="I35" i="34"/>
  <c r="I21" i="227"/>
  <c r="G21" i="227"/>
  <c r="G11" i="227"/>
  <c r="I11" i="227"/>
  <c r="G42" i="102"/>
  <c r="I42" i="102"/>
  <c r="G21" i="102"/>
  <c r="I21" i="102"/>
  <c r="G39" i="33"/>
  <c r="I39" i="33"/>
  <c r="G18" i="33"/>
  <c r="I18" i="33"/>
  <c r="G14" i="83"/>
  <c r="I14" i="83"/>
  <c r="G30" i="240"/>
  <c r="I30" i="240"/>
  <c r="I40" i="57"/>
  <c r="F40" i="57" s="1"/>
  <c r="G40" i="57" s="1"/>
  <c r="I39" i="432"/>
  <c r="G39" i="432"/>
  <c r="I13" i="432"/>
  <c r="G13" i="432"/>
  <c r="I36" i="454"/>
  <c r="G36" i="454"/>
  <c r="G11" i="454"/>
  <c r="I11" i="454"/>
  <c r="I21" i="116"/>
  <c r="G21" i="116"/>
  <c r="I39" i="116"/>
  <c r="G39" i="116"/>
  <c r="G22" i="47"/>
  <c r="I22" i="47"/>
  <c r="I36" i="47"/>
  <c r="G36" i="47"/>
  <c r="I21" i="357"/>
  <c r="I31" i="357"/>
  <c r="I37" i="251"/>
  <c r="G37" i="251"/>
  <c r="I17" i="251"/>
  <c r="G17" i="251"/>
  <c r="G36" i="397"/>
  <c r="I36" i="397"/>
  <c r="I35" i="397"/>
  <c r="G35" i="397"/>
  <c r="I36" i="313"/>
  <c r="G36" i="313"/>
  <c r="I22" i="313"/>
  <c r="G22" i="313"/>
  <c r="G30" i="325"/>
  <c r="I30" i="325"/>
  <c r="G39" i="133"/>
  <c r="I39" i="133"/>
  <c r="G36" i="133"/>
  <c r="I36" i="133"/>
  <c r="G37" i="274"/>
  <c r="I37" i="274"/>
  <c r="G43" i="274"/>
  <c r="I43" i="274"/>
  <c r="G21" i="175"/>
  <c r="I21" i="175"/>
  <c r="G10" i="175"/>
  <c r="I10" i="175"/>
  <c r="I39" i="156"/>
  <c r="G39" i="156"/>
  <c r="I28" i="256"/>
  <c r="G28" i="256"/>
  <c r="G27" i="256"/>
  <c r="I27" i="256"/>
  <c r="I43" i="279"/>
  <c r="G43" i="279"/>
  <c r="I11" i="84"/>
  <c r="G11" i="84"/>
  <c r="I10" i="3"/>
  <c r="I19" i="3" s="1"/>
  <c r="F19" i="3" s="1"/>
  <c r="G19" i="3" s="1"/>
  <c r="G10" i="3"/>
  <c r="G42" i="3"/>
  <c r="I42" i="3"/>
  <c r="I46" i="3" s="1"/>
  <c r="F46" i="3" s="1"/>
  <c r="G46" i="3" s="1"/>
  <c r="G34" i="243"/>
  <c r="I34" i="243"/>
  <c r="I35" i="243"/>
  <c r="G35" i="243"/>
  <c r="I34" i="205"/>
  <c r="G34" i="205"/>
  <c r="I28" i="205"/>
  <c r="G28" i="205"/>
  <c r="I39" i="190"/>
  <c r="G39" i="190"/>
  <c r="I38" i="329"/>
  <c r="G38" i="329"/>
  <c r="I16" i="329"/>
  <c r="G16" i="329"/>
  <c r="I38" i="193"/>
  <c r="G38" i="193"/>
  <c r="G36" i="163"/>
  <c r="I36" i="163"/>
  <c r="G44" i="163"/>
  <c r="I44" i="163"/>
  <c r="I35" i="309"/>
  <c r="G35" i="309"/>
  <c r="I16" i="309"/>
  <c r="G16" i="309"/>
  <c r="I15" i="333"/>
  <c r="G15" i="333"/>
  <c r="I14" i="333"/>
  <c r="G14" i="333"/>
  <c r="G35" i="245"/>
  <c r="I35" i="245"/>
  <c r="I11" i="245"/>
  <c r="G11" i="245"/>
  <c r="I44" i="172"/>
  <c r="G44" i="172"/>
  <c r="I32" i="94"/>
  <c r="F32" i="94" s="1"/>
  <c r="G32" i="94" s="1"/>
  <c r="I28" i="442"/>
  <c r="G28" i="442"/>
  <c r="G22" i="442"/>
  <c r="I22" i="442"/>
  <c r="I44" i="369"/>
  <c r="G44" i="369"/>
  <c r="I39" i="369"/>
  <c r="G39" i="369"/>
  <c r="I30" i="93"/>
  <c r="G30" i="93"/>
  <c r="G31" i="93"/>
  <c r="I31" i="93"/>
  <c r="I26" i="173"/>
  <c r="G26" i="173"/>
  <c r="G39" i="173"/>
  <c r="I39" i="173"/>
  <c r="I12" i="377"/>
  <c r="G12" i="377"/>
  <c r="I18" i="377"/>
  <c r="G18" i="377"/>
  <c r="I38" i="347"/>
  <c r="G38" i="347"/>
  <c r="G10" i="347"/>
  <c r="I10" i="347"/>
  <c r="G10" i="104"/>
  <c r="I10" i="104"/>
  <c r="G37" i="104"/>
  <c r="I37" i="104"/>
  <c r="I17" i="192"/>
  <c r="G17" i="192"/>
  <c r="G34" i="192"/>
  <c r="I34" i="192"/>
  <c r="I39" i="6"/>
  <c r="G39" i="6"/>
  <c r="G42" i="6"/>
  <c r="I42" i="6"/>
  <c r="G13" i="52"/>
  <c r="I13" i="52"/>
  <c r="I17" i="52"/>
  <c r="G17" i="52"/>
  <c r="I39" i="194"/>
  <c r="G39" i="194"/>
  <c r="G21" i="338"/>
  <c r="I21" i="338"/>
  <c r="I39" i="11"/>
  <c r="G39" i="11"/>
  <c r="I44" i="99"/>
  <c r="G44" i="99"/>
  <c r="G23" i="257"/>
  <c r="I23" i="257"/>
  <c r="G38" i="202"/>
  <c r="I38" i="202"/>
  <c r="I26" i="201"/>
  <c r="G26" i="201"/>
  <c r="I27" i="452"/>
  <c r="G27" i="452"/>
  <c r="I21" i="432"/>
  <c r="G21" i="432"/>
  <c r="G10" i="251"/>
  <c r="I10" i="251"/>
  <c r="I10" i="256"/>
  <c r="G10" i="256"/>
  <c r="G31" i="192"/>
  <c r="I31" i="192"/>
  <c r="F45" i="354"/>
  <c r="G45" i="354" s="1"/>
  <c r="F39" i="354"/>
  <c r="F36" i="354"/>
  <c r="F13" i="354"/>
  <c r="F17" i="354"/>
  <c r="F34" i="354"/>
  <c r="F43" i="354"/>
  <c r="F21" i="354"/>
  <c r="F31" i="354"/>
  <c r="F38" i="354"/>
  <c r="F23" i="354"/>
  <c r="F42" i="354"/>
  <c r="F15" i="354"/>
  <c r="F35" i="354"/>
  <c r="F18" i="354"/>
  <c r="F12" i="354"/>
  <c r="F28" i="354"/>
  <c r="F29" i="354"/>
  <c r="F27" i="354"/>
  <c r="F11" i="354"/>
  <c r="F26" i="354"/>
  <c r="F30" i="354"/>
  <c r="F16" i="354"/>
  <c r="F14" i="354"/>
  <c r="F44" i="354"/>
  <c r="F37" i="354"/>
  <c r="F22" i="354"/>
  <c r="F10" i="354"/>
  <c r="I28" i="235"/>
  <c r="G28" i="235"/>
  <c r="G30" i="235"/>
  <c r="I30" i="235"/>
  <c r="I30" i="404"/>
  <c r="G30" i="404"/>
  <c r="I37" i="404"/>
  <c r="G37" i="404"/>
  <c r="I37" i="229"/>
  <c r="G37" i="229"/>
  <c r="I26" i="343"/>
  <c r="G26" i="343"/>
  <c r="I31" i="343"/>
  <c r="G31" i="343"/>
  <c r="G18" i="160"/>
  <c r="I18" i="160"/>
  <c r="I21" i="160"/>
  <c r="G21" i="160"/>
  <c r="G21" i="374"/>
  <c r="I21" i="374"/>
  <c r="I11" i="374"/>
  <c r="G11" i="374"/>
  <c r="I22" i="168"/>
  <c r="G22" i="168"/>
  <c r="G28" i="168"/>
  <c r="I28" i="168"/>
  <c r="G26" i="261"/>
  <c r="I26" i="261"/>
  <c r="G43" i="261"/>
  <c r="I43" i="261"/>
  <c r="G14" i="273"/>
  <c r="I14" i="273"/>
  <c r="I27" i="273"/>
  <c r="G27" i="273"/>
  <c r="G42" i="212"/>
  <c r="I42" i="212"/>
  <c r="G21" i="212"/>
  <c r="I21" i="212"/>
  <c r="G35" i="301"/>
  <c r="I35" i="301"/>
  <c r="I26" i="301"/>
  <c r="G26" i="301"/>
  <c r="I29" i="379"/>
  <c r="G29" i="379"/>
  <c r="G14" i="379"/>
  <c r="I14" i="379"/>
  <c r="I37" i="208"/>
  <c r="G37" i="208"/>
  <c r="G30" i="138"/>
  <c r="I30" i="138"/>
  <c r="I21" i="138"/>
  <c r="G21" i="138"/>
  <c r="I16" i="203"/>
  <c r="G16" i="203"/>
  <c r="I12" i="203"/>
  <c r="G12" i="203"/>
  <c r="I23" i="352"/>
  <c r="G23" i="352"/>
  <c r="I11" i="69"/>
  <c r="G11" i="69"/>
  <c r="I15" i="69"/>
  <c r="G15" i="69"/>
  <c r="I22" i="342"/>
  <c r="G22" i="342"/>
  <c r="I10" i="342"/>
  <c r="G10" i="342"/>
  <c r="G43" i="109"/>
  <c r="I43" i="109"/>
  <c r="I12" i="109"/>
  <c r="G12" i="109"/>
  <c r="I12" i="284"/>
  <c r="G12" i="284"/>
  <c r="G17" i="284"/>
  <c r="I17" i="284"/>
  <c r="I16" i="420"/>
  <c r="G16" i="420"/>
  <c r="I28" i="420"/>
  <c r="G28" i="420"/>
  <c r="G37" i="393"/>
  <c r="I37" i="393"/>
  <c r="G39" i="393"/>
  <c r="I39" i="393"/>
  <c r="G11" i="455"/>
  <c r="I11" i="455"/>
  <c r="I28" i="372"/>
  <c r="G28" i="372"/>
  <c r="I26" i="372"/>
  <c r="G26" i="372"/>
  <c r="I42" i="239"/>
  <c r="G42" i="239"/>
  <c r="I17" i="12"/>
  <c r="G17" i="12"/>
  <c r="G22" i="12"/>
  <c r="I22" i="12"/>
  <c r="G23" i="307"/>
  <c r="I23" i="307"/>
  <c r="G26" i="307"/>
  <c r="I26" i="307"/>
  <c r="G16" i="419"/>
  <c r="I16" i="419"/>
  <c r="G23" i="392"/>
  <c r="I23" i="392"/>
  <c r="I15" i="392"/>
  <c r="G15" i="392"/>
  <c r="G10" i="263"/>
  <c r="I10" i="263"/>
  <c r="I37" i="263"/>
  <c r="G37" i="263"/>
  <c r="I35" i="422"/>
  <c r="G35" i="422"/>
  <c r="G34" i="422"/>
  <c r="I34" i="422"/>
  <c r="G29" i="124"/>
  <c r="I29" i="124"/>
  <c r="G23" i="124"/>
  <c r="I23" i="124"/>
  <c r="I37" i="194"/>
  <c r="G37" i="194"/>
  <c r="G22" i="194"/>
  <c r="I22" i="194"/>
  <c r="G34" i="18"/>
  <c r="I34" i="18"/>
  <c r="G38" i="18"/>
  <c r="I38" i="18"/>
  <c r="G15" i="20"/>
  <c r="I15" i="20"/>
  <c r="I42" i="20"/>
  <c r="G42" i="20"/>
  <c r="I13" i="299"/>
  <c r="G13" i="299"/>
  <c r="G14" i="299"/>
  <c r="I14" i="299"/>
  <c r="I16" i="338"/>
  <c r="G16" i="338"/>
  <c r="G35" i="144"/>
  <c r="I35" i="144"/>
  <c r="I29" i="144"/>
  <c r="G29" i="144"/>
  <c r="G26" i="22"/>
  <c r="I26" i="22"/>
  <c r="I14" i="22"/>
  <c r="G14" i="22"/>
  <c r="G21" i="79"/>
  <c r="I21" i="79"/>
  <c r="G38" i="79"/>
  <c r="I38" i="79"/>
  <c r="I38" i="326"/>
  <c r="G38" i="326"/>
  <c r="G36" i="326"/>
  <c r="I36" i="326"/>
  <c r="I16" i="15"/>
  <c r="G16" i="15"/>
  <c r="G29" i="15"/>
  <c r="I29" i="15"/>
  <c r="I13" i="68"/>
  <c r="G13" i="68"/>
  <c r="G30" i="68"/>
  <c r="I30" i="68"/>
  <c r="G29" i="95"/>
  <c r="I29" i="95"/>
  <c r="G43" i="95"/>
  <c r="I43" i="95"/>
  <c r="I18" i="86"/>
  <c r="G18" i="86"/>
  <c r="I29" i="86"/>
  <c r="G29" i="86"/>
  <c r="G10" i="237"/>
  <c r="I10" i="237"/>
  <c r="I21" i="237"/>
  <c r="G21" i="237"/>
  <c r="I22" i="458"/>
  <c r="G22" i="458"/>
  <c r="I14" i="298"/>
  <c r="G14" i="298"/>
  <c r="I15" i="298"/>
  <c r="G15" i="298"/>
  <c r="G39" i="29"/>
  <c r="I39" i="29"/>
  <c r="G17" i="29"/>
  <c r="I17" i="29"/>
  <c r="I23" i="11"/>
  <c r="G23" i="11"/>
  <c r="I16" i="367"/>
  <c r="G16" i="367"/>
  <c r="G21" i="367"/>
  <c r="I21" i="367"/>
  <c r="G34" i="249"/>
  <c r="I34" i="249"/>
  <c r="I29" i="249"/>
  <c r="G29" i="249"/>
  <c r="G35" i="152"/>
  <c r="I35" i="152"/>
  <c r="I46" i="57"/>
  <c r="F46" i="57" s="1"/>
  <c r="G46" i="57" s="1"/>
  <c r="G18" i="40"/>
  <c r="I18" i="40"/>
  <c r="G22" i="40"/>
  <c r="I22" i="40"/>
  <c r="G36" i="460"/>
  <c r="I36" i="460"/>
  <c r="G26" i="233"/>
  <c r="I26" i="233"/>
  <c r="I43" i="233"/>
  <c r="G43" i="233"/>
  <c r="I24" i="378"/>
  <c r="F24" i="378" s="1"/>
  <c r="G24" i="378" s="1"/>
  <c r="I23" i="139"/>
  <c r="G23" i="139"/>
  <c r="I29" i="139"/>
  <c r="G29" i="139"/>
  <c r="I22" i="141"/>
  <c r="G22" i="141"/>
  <c r="I43" i="174"/>
  <c r="G43" i="174"/>
  <c r="I28" i="448"/>
  <c r="G28" i="448"/>
  <c r="I35" i="448"/>
  <c r="G35" i="448"/>
  <c r="I43" i="223"/>
  <c r="G43" i="223"/>
  <c r="I28" i="223"/>
  <c r="G28" i="223"/>
  <c r="F22" i="135"/>
  <c r="F21" i="135"/>
  <c r="F17" i="135"/>
  <c r="F38" i="135"/>
  <c r="F42" i="135"/>
  <c r="F18" i="135"/>
  <c r="F37" i="135"/>
  <c r="F13" i="135"/>
  <c r="F14" i="135"/>
  <c r="F27" i="135"/>
  <c r="F10" i="135"/>
  <c r="F39" i="135"/>
  <c r="F29" i="135"/>
  <c r="F28" i="135"/>
  <c r="F35" i="135"/>
  <c r="F43" i="135"/>
  <c r="F30" i="135"/>
  <c r="F34" i="135"/>
  <c r="F45" i="135"/>
  <c r="G45" i="135" s="1"/>
  <c r="F44" i="135"/>
  <c r="F31" i="135"/>
  <c r="F11" i="135"/>
  <c r="F15" i="135"/>
  <c r="F16" i="135"/>
  <c r="F26" i="135"/>
  <c r="F12" i="135"/>
  <c r="F36" i="135"/>
  <c r="F23" i="135"/>
  <c r="G29" i="324"/>
  <c r="I29" i="324"/>
  <c r="G13" i="324"/>
  <c r="I13" i="324"/>
  <c r="G12" i="56"/>
  <c r="I12" i="56"/>
  <c r="G44" i="90"/>
  <c r="I44" i="90"/>
  <c r="I42" i="99"/>
  <c r="G42" i="99"/>
  <c r="I31" i="99"/>
  <c r="G31" i="99"/>
  <c r="G35" i="396"/>
  <c r="I35" i="396"/>
  <c r="I12" i="128"/>
  <c r="G12" i="128"/>
  <c r="G18" i="314"/>
  <c r="I18" i="314"/>
  <c r="I21" i="9"/>
  <c r="G21" i="9"/>
  <c r="G29" i="9"/>
  <c r="I29" i="9"/>
  <c r="I28" i="339"/>
  <c r="G28" i="339"/>
  <c r="I13" i="339"/>
  <c r="G13" i="339"/>
  <c r="G35" i="226"/>
  <c r="I35" i="226"/>
  <c r="I32" i="114"/>
  <c r="F32" i="114" s="1"/>
  <c r="G32" i="114" s="1"/>
  <c r="G12" i="257"/>
  <c r="I12" i="257"/>
  <c r="G29" i="257"/>
  <c r="I29" i="257"/>
  <c r="I15" i="403"/>
  <c r="G15" i="403"/>
  <c r="I12" i="403"/>
  <c r="G12" i="403"/>
  <c r="G39" i="87"/>
  <c r="I39" i="87"/>
  <c r="G34" i="202"/>
  <c r="I34" i="202"/>
  <c r="I13" i="202"/>
  <c r="G13" i="202"/>
  <c r="G34" i="169"/>
  <c r="I34" i="169"/>
  <c r="I26" i="169"/>
  <c r="G26" i="169"/>
  <c r="I17" i="101"/>
  <c r="G17" i="101"/>
  <c r="I21" i="101"/>
  <c r="G21" i="101"/>
  <c r="G21" i="5"/>
  <c r="I21" i="5"/>
  <c r="I26" i="5"/>
  <c r="I32" i="5" s="1"/>
  <c r="F32" i="5" s="1"/>
  <c r="G32" i="5" s="1"/>
  <c r="G26" i="5"/>
  <c r="G18" i="201"/>
  <c r="I18" i="201"/>
  <c r="G42" i="213"/>
  <c r="I42" i="213"/>
  <c r="I12" i="213"/>
  <c r="G12" i="213"/>
  <c r="I39" i="71"/>
  <c r="G39" i="71"/>
  <c r="I38" i="220"/>
  <c r="G38" i="220"/>
  <c r="I35" i="220"/>
  <c r="G35" i="220"/>
  <c r="I30" i="281"/>
  <c r="G30" i="281"/>
  <c r="I17" i="281"/>
  <c r="G17" i="281"/>
  <c r="G21" i="452"/>
  <c r="I21" i="452"/>
  <c r="I12" i="452"/>
  <c r="G12" i="452"/>
  <c r="G26" i="34"/>
  <c r="I26" i="34"/>
  <c r="I16" i="227"/>
  <c r="G16" i="227"/>
  <c r="G27" i="227"/>
  <c r="I27" i="227"/>
  <c r="I44" i="102"/>
  <c r="G44" i="102"/>
  <c r="I22" i="102"/>
  <c r="G22" i="102"/>
  <c r="I31" i="33"/>
  <c r="G31" i="33"/>
  <c r="I23" i="83"/>
  <c r="G23" i="83"/>
  <c r="I22" i="240"/>
  <c r="G22" i="240"/>
  <c r="G27" i="240"/>
  <c r="I27" i="240"/>
  <c r="I16" i="432"/>
  <c r="G16" i="432"/>
  <c r="I18" i="432"/>
  <c r="G18" i="432"/>
  <c r="I17" i="454"/>
  <c r="G17" i="454"/>
  <c r="I26" i="454"/>
  <c r="G26" i="454"/>
  <c r="I35" i="116"/>
  <c r="G35" i="116"/>
  <c r="G22" i="116"/>
  <c r="I22" i="116"/>
  <c r="I19" i="107"/>
  <c r="F19" i="107" s="1"/>
  <c r="G19" i="107" s="1"/>
  <c r="G38" i="47"/>
  <c r="I38" i="47"/>
  <c r="I31" i="47"/>
  <c r="G31" i="47"/>
  <c r="I15" i="357"/>
  <c r="G15" i="357"/>
  <c r="I22" i="251"/>
  <c r="G22" i="251"/>
  <c r="I27" i="397"/>
  <c r="G27" i="397"/>
  <c r="I12" i="397"/>
  <c r="G12" i="397"/>
  <c r="G27" i="313"/>
  <c r="I27" i="313"/>
  <c r="I17" i="313"/>
  <c r="G17" i="313"/>
  <c r="G44" i="133"/>
  <c r="I44" i="133"/>
  <c r="I10" i="133"/>
  <c r="G10" i="133"/>
  <c r="G42" i="274"/>
  <c r="I42" i="274"/>
  <c r="G30" i="274"/>
  <c r="I30" i="274"/>
  <c r="I34" i="175"/>
  <c r="G34" i="175"/>
  <c r="I11" i="175"/>
  <c r="G11" i="175"/>
  <c r="G26" i="156"/>
  <c r="I26" i="156"/>
  <c r="G34" i="256"/>
  <c r="I34" i="256"/>
  <c r="I17" i="256"/>
  <c r="G17" i="256"/>
  <c r="I31" i="279"/>
  <c r="G31" i="279"/>
  <c r="G28" i="3"/>
  <c r="I28" i="3"/>
  <c r="G38" i="3"/>
  <c r="I38" i="3"/>
  <c r="I21" i="243"/>
  <c r="G21" i="243"/>
  <c r="I43" i="243"/>
  <c r="G43" i="243"/>
  <c r="I35" i="205"/>
  <c r="G35" i="205"/>
  <c r="G14" i="190"/>
  <c r="I14" i="190"/>
  <c r="I42" i="190"/>
  <c r="G42" i="190"/>
  <c r="G14" i="329"/>
  <c r="I14" i="329"/>
  <c r="G13" i="329"/>
  <c r="I13" i="329"/>
  <c r="G30" i="193"/>
  <c r="I30" i="193"/>
  <c r="G21" i="163"/>
  <c r="I21" i="163"/>
  <c r="G38" i="163"/>
  <c r="I38" i="163"/>
  <c r="I31" i="309"/>
  <c r="G31" i="309"/>
  <c r="G12" i="309"/>
  <c r="I12" i="309"/>
  <c r="G35" i="333"/>
  <c r="I35" i="333"/>
  <c r="I39" i="333"/>
  <c r="G39" i="333"/>
  <c r="G22" i="245"/>
  <c r="I22" i="245"/>
  <c r="I23" i="245"/>
  <c r="G23" i="245"/>
  <c r="I19" i="217"/>
  <c r="F19" i="217" s="1"/>
  <c r="G19" i="217" s="1"/>
  <c r="I12" i="172"/>
  <c r="G12" i="172"/>
  <c r="G11" i="172"/>
  <c r="I11" i="172"/>
  <c r="G34" i="442"/>
  <c r="I34" i="442"/>
  <c r="I21" i="442"/>
  <c r="G21" i="442"/>
  <c r="I42" i="369"/>
  <c r="G42" i="369"/>
  <c r="I13" i="369"/>
  <c r="G13" i="369"/>
  <c r="G21" i="93"/>
  <c r="I21" i="93"/>
  <c r="I42" i="93"/>
  <c r="G42" i="93"/>
  <c r="I18" i="173"/>
  <c r="G18" i="173"/>
  <c r="G38" i="173"/>
  <c r="I38" i="173"/>
  <c r="I36" i="377"/>
  <c r="G36" i="377"/>
  <c r="I29" i="377"/>
  <c r="G29" i="377"/>
  <c r="G35" i="347"/>
  <c r="I35" i="347"/>
  <c r="I34" i="347"/>
  <c r="G34" i="347"/>
  <c r="I44" i="104"/>
  <c r="G44" i="104"/>
  <c r="I27" i="104"/>
  <c r="G27" i="104"/>
  <c r="G39" i="192"/>
  <c r="I39" i="192"/>
  <c r="G26" i="192"/>
  <c r="I26" i="192"/>
  <c r="I32" i="331"/>
  <c r="F32" i="331" s="1"/>
  <c r="G32" i="331" s="1"/>
  <c r="I14" i="6"/>
  <c r="G14" i="6"/>
  <c r="I26" i="6"/>
  <c r="G26" i="6"/>
  <c r="I16" i="52"/>
  <c r="G16" i="52"/>
  <c r="G21" i="52"/>
  <c r="I21" i="52"/>
  <c r="I13" i="273"/>
  <c r="G13" i="273"/>
  <c r="I22" i="138"/>
  <c r="G22" i="138"/>
  <c r="I21" i="109"/>
  <c r="G21" i="109"/>
  <c r="I29" i="420"/>
  <c r="G29" i="420"/>
  <c r="G36" i="239"/>
  <c r="I36" i="239"/>
  <c r="I35" i="263"/>
  <c r="G35" i="263"/>
  <c r="I14" i="20"/>
  <c r="G14" i="20"/>
  <c r="I44" i="144"/>
  <c r="G44" i="144"/>
  <c r="I44" i="237"/>
  <c r="G44" i="237"/>
  <c r="I42" i="298"/>
  <c r="G42" i="298"/>
  <c r="G18" i="249"/>
  <c r="I18" i="249"/>
  <c r="I37" i="460"/>
  <c r="G37" i="460"/>
  <c r="I27" i="139"/>
  <c r="G27" i="139"/>
  <c r="I21" i="56"/>
  <c r="G21" i="56"/>
  <c r="I10" i="226"/>
  <c r="G10" i="226"/>
  <c r="I42" i="87"/>
  <c r="G42" i="87"/>
  <c r="I43" i="71"/>
  <c r="G43" i="71"/>
  <c r="G29" i="227"/>
  <c r="I29" i="227"/>
  <c r="I35" i="454"/>
  <c r="G35" i="454"/>
  <c r="I28" i="397"/>
  <c r="G28" i="397"/>
  <c r="G31" i="313"/>
  <c r="I31" i="313"/>
  <c r="I42" i="133"/>
  <c r="G42" i="133"/>
  <c r="I23" i="175"/>
  <c r="G23" i="175"/>
  <c r="I15" i="243"/>
  <c r="G15" i="243"/>
  <c r="G43" i="190"/>
  <c r="I43" i="190"/>
  <c r="G36" i="193"/>
  <c r="I36" i="193"/>
  <c r="G38" i="333"/>
  <c r="I38" i="333"/>
  <c r="I13" i="192"/>
  <c r="G13" i="192"/>
  <c r="I40" i="305"/>
  <c r="F40" i="305" s="1"/>
  <c r="G40" i="305" s="1"/>
  <c r="I24" i="345"/>
  <c r="F24" i="345" s="1"/>
  <c r="G24" i="345" s="1"/>
  <c r="I21" i="235"/>
  <c r="G21" i="235"/>
  <c r="I11" i="235"/>
  <c r="G11" i="235"/>
  <c r="I35" i="404"/>
  <c r="G35" i="404"/>
  <c r="I11" i="404"/>
  <c r="G11" i="404"/>
  <c r="G42" i="229"/>
  <c r="I42" i="229"/>
  <c r="G15" i="229"/>
  <c r="I15" i="229"/>
  <c r="I16" i="343"/>
  <c r="G16" i="343"/>
  <c r="G23" i="343"/>
  <c r="I23" i="343"/>
  <c r="I42" i="160"/>
  <c r="G42" i="160"/>
  <c r="I23" i="160"/>
  <c r="G23" i="160"/>
  <c r="I36" i="374"/>
  <c r="G36" i="374"/>
  <c r="I35" i="374"/>
  <c r="G35" i="374"/>
  <c r="G23" i="168"/>
  <c r="I23" i="168"/>
  <c r="I31" i="261"/>
  <c r="G31" i="261"/>
  <c r="I42" i="273"/>
  <c r="G42" i="273"/>
  <c r="I31" i="273"/>
  <c r="G31" i="273"/>
  <c r="G36" i="212"/>
  <c r="I36" i="212"/>
  <c r="I16" i="212"/>
  <c r="G16" i="212"/>
  <c r="I11" i="301"/>
  <c r="G11" i="301"/>
  <c r="I39" i="301"/>
  <c r="G39" i="301"/>
  <c r="I28" i="379"/>
  <c r="G28" i="379"/>
  <c r="I22" i="379"/>
  <c r="G22" i="379"/>
  <c r="I43" i="208"/>
  <c r="G43" i="208"/>
  <c r="I28" i="138"/>
  <c r="G28" i="138"/>
  <c r="I35" i="138"/>
  <c r="G35" i="138"/>
  <c r="I38" i="203"/>
  <c r="G38" i="203"/>
  <c r="G18" i="203"/>
  <c r="I18" i="203"/>
  <c r="I14" i="352"/>
  <c r="G14" i="352"/>
  <c r="I35" i="352"/>
  <c r="G35" i="352"/>
  <c r="I21" i="69"/>
  <c r="G21" i="69"/>
  <c r="I29" i="69"/>
  <c r="G29" i="69"/>
  <c r="I43" i="342"/>
  <c r="G43" i="342"/>
  <c r="G17" i="342"/>
  <c r="I17" i="342"/>
  <c r="I23" i="109"/>
  <c r="G23" i="109"/>
  <c r="G42" i="109"/>
  <c r="I42" i="109"/>
  <c r="I13" i="284"/>
  <c r="G13" i="284"/>
  <c r="I38" i="284"/>
  <c r="G38" i="284"/>
  <c r="G36" i="420"/>
  <c r="I36" i="420"/>
  <c r="I15" i="420"/>
  <c r="G15" i="420"/>
  <c r="E40" i="23"/>
  <c r="E39" i="23"/>
  <c r="E45" i="23"/>
  <c r="E21" i="23"/>
  <c r="E23" i="23"/>
  <c r="E43" i="23"/>
  <c r="E36" i="23"/>
  <c r="E26" i="23"/>
  <c r="E46" i="23"/>
  <c r="A52" i="23" s="1"/>
  <c r="E37" i="23"/>
  <c r="E27" i="23"/>
  <c r="E30" i="23"/>
  <c r="E22" i="23"/>
  <c r="E38" i="23"/>
  <c r="E42" i="23"/>
  <c r="E34" i="23"/>
  <c r="E44" i="23"/>
  <c r="E35" i="23"/>
  <c r="E24" i="23"/>
  <c r="E31" i="23"/>
  <c r="E29" i="23"/>
  <c r="E28" i="23"/>
  <c r="G29" i="393"/>
  <c r="I29" i="393"/>
  <c r="I13" i="393"/>
  <c r="G13" i="393"/>
  <c r="I10" i="455"/>
  <c r="G10" i="455"/>
  <c r="G31" i="455"/>
  <c r="I31" i="455"/>
  <c r="I16" i="372"/>
  <c r="G16" i="372"/>
  <c r="I28" i="239"/>
  <c r="G28" i="239"/>
  <c r="I34" i="12"/>
  <c r="G34" i="12"/>
  <c r="G16" i="12"/>
  <c r="I16" i="12"/>
  <c r="G43" i="307"/>
  <c r="I43" i="307"/>
  <c r="I35" i="307"/>
  <c r="G35" i="307"/>
  <c r="G28" i="419"/>
  <c r="I28" i="419"/>
  <c r="I26" i="419"/>
  <c r="G26" i="419"/>
  <c r="I30" i="392"/>
  <c r="G30" i="392"/>
  <c r="I43" i="392"/>
  <c r="G43" i="392"/>
  <c r="G26" i="263"/>
  <c r="I26" i="263"/>
  <c r="G36" i="263"/>
  <c r="I36" i="263"/>
  <c r="G31" i="422"/>
  <c r="I31" i="422"/>
  <c r="I15" i="422"/>
  <c r="G15" i="422"/>
  <c r="G36" i="124"/>
  <c r="I36" i="124"/>
  <c r="G34" i="124"/>
  <c r="I34" i="124"/>
  <c r="I12" i="194"/>
  <c r="G12" i="194"/>
  <c r="I35" i="194"/>
  <c r="G35" i="194"/>
  <c r="G44" i="18"/>
  <c r="I44" i="18"/>
  <c r="G23" i="18"/>
  <c r="I23" i="18"/>
  <c r="G37" i="20"/>
  <c r="I37" i="20"/>
  <c r="G35" i="20"/>
  <c r="I35" i="20"/>
  <c r="I44" i="299"/>
  <c r="G44" i="299"/>
  <c r="I42" i="299"/>
  <c r="G42" i="299"/>
  <c r="I14" i="338"/>
  <c r="G14" i="338"/>
  <c r="I39" i="144"/>
  <c r="G39" i="144"/>
  <c r="I19" i="147"/>
  <c r="F19" i="147" s="1"/>
  <c r="G19" i="147" s="1"/>
  <c r="I27" i="22"/>
  <c r="G27" i="22"/>
  <c r="G23" i="22"/>
  <c r="I23" i="22"/>
  <c r="I39" i="79"/>
  <c r="G39" i="79"/>
  <c r="I18" i="326"/>
  <c r="G18" i="326"/>
  <c r="G44" i="326"/>
  <c r="I44" i="326"/>
  <c r="G11" i="15"/>
  <c r="I11" i="15"/>
  <c r="G22" i="15"/>
  <c r="I22" i="15"/>
  <c r="I16" i="68"/>
  <c r="G16" i="68"/>
  <c r="I29" i="68"/>
  <c r="G29" i="68"/>
  <c r="I28" i="95"/>
  <c r="G28" i="95"/>
  <c r="I37" i="95"/>
  <c r="G37" i="95"/>
  <c r="I21" i="86"/>
  <c r="G21" i="86"/>
  <c r="I22" i="237"/>
  <c r="G22" i="237"/>
  <c r="I27" i="237"/>
  <c r="G27" i="237"/>
  <c r="I31" i="458"/>
  <c r="G31" i="458"/>
  <c r="I17" i="458"/>
  <c r="G17" i="458"/>
  <c r="I22" i="298"/>
  <c r="G22" i="298"/>
  <c r="G31" i="298"/>
  <c r="I31" i="298"/>
  <c r="I32" i="241"/>
  <c r="F32" i="241" s="1"/>
  <c r="G32" i="241" s="1"/>
  <c r="I43" i="29"/>
  <c r="G43" i="29"/>
  <c r="I29" i="11"/>
  <c r="G29" i="11"/>
  <c r="I46" i="254"/>
  <c r="F46" i="254" s="1"/>
  <c r="G46" i="254" s="1"/>
  <c r="I23" i="367"/>
  <c r="G23" i="367"/>
  <c r="I17" i="249"/>
  <c r="G17" i="249"/>
  <c r="I36" i="249"/>
  <c r="G36" i="249"/>
  <c r="G38" i="152"/>
  <c r="I38" i="152"/>
  <c r="I17" i="40"/>
  <c r="G17" i="40"/>
  <c r="I28" i="40"/>
  <c r="G28" i="40"/>
  <c r="G28" i="460"/>
  <c r="I28" i="460"/>
  <c r="I27" i="233"/>
  <c r="G27" i="233"/>
  <c r="I35" i="139"/>
  <c r="G35" i="139"/>
  <c r="I18" i="141"/>
  <c r="G18" i="141"/>
  <c r="I21" i="174"/>
  <c r="G21" i="174"/>
  <c r="I18" i="174"/>
  <c r="G18" i="174"/>
  <c r="I39" i="448"/>
  <c r="G39" i="448"/>
  <c r="G23" i="448"/>
  <c r="I23" i="448"/>
  <c r="I30" i="223"/>
  <c r="G30" i="223"/>
  <c r="G23" i="223"/>
  <c r="I23" i="223"/>
  <c r="F37" i="62"/>
  <c r="F39" i="62"/>
  <c r="F31" i="62"/>
  <c r="F12" i="62"/>
  <c r="F27" i="62"/>
  <c r="F36" i="62"/>
  <c r="F14" i="62"/>
  <c r="F15" i="62"/>
  <c r="F35" i="62"/>
  <c r="F30" i="62"/>
  <c r="F28" i="62"/>
  <c r="F26" i="62"/>
  <c r="F42" i="62"/>
  <c r="F34" i="62"/>
  <c r="F43" i="62"/>
  <c r="F18" i="62"/>
  <c r="F16" i="62"/>
  <c r="F29" i="62"/>
  <c r="F17" i="62"/>
  <c r="F11" i="62"/>
  <c r="F10" i="62"/>
  <c r="F44" i="62"/>
  <c r="F22" i="62"/>
  <c r="F45" i="62"/>
  <c r="G45" i="62" s="1"/>
  <c r="F21" i="62"/>
  <c r="F13" i="62"/>
  <c r="F23" i="62"/>
  <c r="F38" i="62"/>
  <c r="I34" i="324"/>
  <c r="G34" i="324"/>
  <c r="G37" i="56"/>
  <c r="I37" i="56"/>
  <c r="G38" i="90"/>
  <c r="I38" i="90"/>
  <c r="G16" i="99"/>
  <c r="I16" i="99"/>
  <c r="G11" i="99"/>
  <c r="I11" i="99"/>
  <c r="I13" i="396"/>
  <c r="G13" i="396"/>
  <c r="G10" i="128"/>
  <c r="I10" i="128"/>
  <c r="I38" i="314"/>
  <c r="G38" i="314"/>
  <c r="G22" i="9"/>
  <c r="I22" i="9"/>
  <c r="I38" i="9"/>
  <c r="G38" i="9"/>
  <c r="I46" i="161"/>
  <c r="F46" i="161" s="1"/>
  <c r="G46" i="161" s="1"/>
  <c r="G21" i="339"/>
  <c r="I21" i="339"/>
  <c r="I14" i="226"/>
  <c r="G14" i="226"/>
  <c r="G22" i="257"/>
  <c r="I22" i="257"/>
  <c r="I27" i="257"/>
  <c r="G27" i="257"/>
  <c r="I43" i="403"/>
  <c r="G43" i="403"/>
  <c r="I30" i="403"/>
  <c r="G30" i="403"/>
  <c r="G12" i="87"/>
  <c r="I12" i="87"/>
  <c r="G44" i="87"/>
  <c r="I44" i="87"/>
  <c r="G35" i="202"/>
  <c r="I35" i="202"/>
  <c r="I31" i="202"/>
  <c r="G31" i="202"/>
  <c r="G29" i="169"/>
  <c r="I29" i="169"/>
  <c r="I23" i="169"/>
  <c r="G23" i="169"/>
  <c r="G30" i="101"/>
  <c r="I30" i="101"/>
  <c r="I26" i="101"/>
  <c r="G26" i="101"/>
  <c r="G13" i="5"/>
  <c r="I13" i="5"/>
  <c r="I44" i="5"/>
  <c r="G44" i="5"/>
  <c r="I35" i="201"/>
  <c r="G35" i="201"/>
  <c r="I26" i="213"/>
  <c r="G26" i="213"/>
  <c r="G14" i="213"/>
  <c r="I14" i="213"/>
  <c r="I16" i="71"/>
  <c r="G16" i="71"/>
  <c r="G43" i="220"/>
  <c r="I43" i="220"/>
  <c r="G12" i="220"/>
  <c r="I12" i="220"/>
  <c r="G12" i="281"/>
  <c r="I12" i="281"/>
  <c r="I11" i="281"/>
  <c r="G11" i="281"/>
  <c r="I42" i="452"/>
  <c r="G42" i="452"/>
  <c r="G39" i="452"/>
  <c r="I39" i="452"/>
  <c r="I21" i="34"/>
  <c r="G21" i="34"/>
  <c r="G37" i="227"/>
  <c r="I37" i="227"/>
  <c r="I34" i="227"/>
  <c r="G34" i="227"/>
  <c r="I28" i="102"/>
  <c r="G28" i="102"/>
  <c r="I15" i="102"/>
  <c r="G15" i="102"/>
  <c r="I30" i="33"/>
  <c r="G30" i="33"/>
  <c r="G10" i="240"/>
  <c r="I10" i="240"/>
  <c r="I29" i="240"/>
  <c r="G29" i="240"/>
  <c r="G36" i="432"/>
  <c r="I36" i="432"/>
  <c r="I26" i="432"/>
  <c r="G26" i="432"/>
  <c r="G22" i="454"/>
  <c r="I22" i="454"/>
  <c r="G37" i="454"/>
  <c r="I37" i="454"/>
  <c r="G14" i="116"/>
  <c r="I14" i="116"/>
  <c r="I27" i="116"/>
  <c r="G27" i="116"/>
  <c r="I18" i="47"/>
  <c r="G18" i="47"/>
  <c r="G39" i="47"/>
  <c r="I39" i="47"/>
  <c r="I30" i="357"/>
  <c r="G30" i="357"/>
  <c r="I19" i="345"/>
  <c r="F19" i="345" s="1"/>
  <c r="G19" i="345" s="1"/>
  <c r="I28" i="251"/>
  <c r="G28" i="251"/>
  <c r="I14" i="397"/>
  <c r="G14" i="397"/>
  <c r="G31" i="397"/>
  <c r="I31" i="397"/>
  <c r="I29" i="313"/>
  <c r="G29" i="313"/>
  <c r="G35" i="313"/>
  <c r="I35" i="313"/>
  <c r="G14" i="325"/>
  <c r="I14" i="325"/>
  <c r="G23" i="325"/>
  <c r="I23" i="325"/>
  <c r="I15" i="133"/>
  <c r="G15" i="133"/>
  <c r="I38" i="133"/>
  <c r="G38" i="133"/>
  <c r="G11" i="274"/>
  <c r="I11" i="274"/>
  <c r="I31" i="274"/>
  <c r="G31" i="274"/>
  <c r="G37" i="175"/>
  <c r="I37" i="175"/>
  <c r="G43" i="175"/>
  <c r="I43" i="175"/>
  <c r="G37" i="256"/>
  <c r="I37" i="256"/>
  <c r="I37" i="279"/>
  <c r="G37" i="279"/>
  <c r="G34" i="279"/>
  <c r="I34" i="279"/>
  <c r="G21" i="84"/>
  <c r="I21" i="84"/>
  <c r="G22" i="3"/>
  <c r="I22" i="3"/>
  <c r="I12" i="3"/>
  <c r="G12" i="3"/>
  <c r="I31" i="243"/>
  <c r="G31" i="243"/>
  <c r="G30" i="243"/>
  <c r="I30" i="243"/>
  <c r="I11" i="205"/>
  <c r="G11" i="205"/>
  <c r="I11" i="190"/>
  <c r="G11" i="190"/>
  <c r="G18" i="190"/>
  <c r="I18" i="190"/>
  <c r="I32" i="206"/>
  <c r="F32" i="206" s="1"/>
  <c r="G32" i="206" s="1"/>
  <c r="G28" i="329"/>
  <c r="I28" i="329"/>
  <c r="G12" i="193"/>
  <c r="I12" i="193"/>
  <c r="I15" i="163"/>
  <c r="G15" i="163"/>
  <c r="I12" i="163"/>
  <c r="G12" i="163"/>
  <c r="G42" i="309"/>
  <c r="I42" i="309"/>
  <c r="I23" i="309"/>
  <c r="G23" i="309"/>
  <c r="G34" i="333"/>
  <c r="I34" i="333"/>
  <c r="G13" i="333"/>
  <c r="I13" i="333"/>
  <c r="I13" i="245"/>
  <c r="G13" i="245"/>
  <c r="I16" i="245"/>
  <c r="G16" i="245"/>
  <c r="G37" i="172"/>
  <c r="I37" i="172"/>
  <c r="G22" i="172"/>
  <c r="I22" i="172"/>
  <c r="I30" i="442"/>
  <c r="G30" i="442"/>
  <c r="G36" i="442"/>
  <c r="I36" i="442"/>
  <c r="G31" i="369"/>
  <c r="I31" i="369"/>
  <c r="I23" i="369"/>
  <c r="G23" i="369"/>
  <c r="I29" i="93"/>
  <c r="G29" i="93"/>
  <c r="I13" i="93"/>
  <c r="G13" i="93"/>
  <c r="G11" i="173"/>
  <c r="I11" i="173"/>
  <c r="I30" i="173"/>
  <c r="G30" i="173"/>
  <c r="G22" i="377"/>
  <c r="I22" i="377"/>
  <c r="I27" i="377"/>
  <c r="G27" i="377"/>
  <c r="G21" i="347"/>
  <c r="I21" i="347"/>
  <c r="G26" i="347"/>
  <c r="I26" i="347"/>
  <c r="G23" i="104"/>
  <c r="I23" i="104"/>
  <c r="G11" i="104"/>
  <c r="I11" i="104"/>
  <c r="I15" i="192"/>
  <c r="G15" i="192"/>
  <c r="I22" i="192"/>
  <c r="G22" i="192"/>
  <c r="G43" i="6"/>
  <c r="I43" i="6"/>
  <c r="G21" i="6"/>
  <c r="I21" i="6"/>
  <c r="G35" i="52"/>
  <c r="I35" i="52"/>
  <c r="I18" i="52"/>
  <c r="G18" i="52"/>
  <c r="I17" i="404"/>
  <c r="G17" i="404"/>
  <c r="G10" i="168"/>
  <c r="I10" i="168"/>
  <c r="I34" i="301"/>
  <c r="G34" i="301"/>
  <c r="G10" i="69"/>
  <c r="I10" i="69"/>
  <c r="G30" i="12"/>
  <c r="I30" i="12"/>
  <c r="I27" i="124"/>
  <c r="G27" i="124"/>
  <c r="I34" i="299"/>
  <c r="G34" i="299"/>
  <c r="G26" i="367"/>
  <c r="I26" i="367"/>
  <c r="G18" i="139"/>
  <c r="I18" i="139"/>
  <c r="G10" i="223"/>
  <c r="I10" i="223"/>
  <c r="I23" i="324"/>
  <c r="G23" i="324"/>
  <c r="G16" i="396"/>
  <c r="I16" i="396"/>
  <c r="G27" i="9"/>
  <c r="I27" i="9"/>
  <c r="G30" i="339"/>
  <c r="I30" i="339"/>
  <c r="I18" i="403"/>
  <c r="G18" i="403"/>
  <c r="G12" i="169"/>
  <c r="I12" i="169"/>
  <c r="I37" i="5"/>
  <c r="G37" i="5"/>
  <c r="I23" i="220"/>
  <c r="G23" i="220"/>
  <c r="G12" i="240"/>
  <c r="I12" i="240"/>
  <c r="G37" i="47"/>
  <c r="I37" i="47"/>
  <c r="I17" i="3"/>
  <c r="G17" i="3"/>
  <c r="I40" i="145"/>
  <c r="F40" i="145" s="1"/>
  <c r="G40" i="145" s="1"/>
  <c r="I31" i="235"/>
  <c r="G31" i="235"/>
  <c r="I36" i="404"/>
  <c r="G36" i="404"/>
  <c r="G29" i="404"/>
  <c r="I29" i="404"/>
  <c r="I28" i="229"/>
  <c r="G28" i="229"/>
  <c r="I43" i="229"/>
  <c r="G43" i="229"/>
  <c r="I43" i="343"/>
  <c r="G43" i="343"/>
  <c r="I17" i="160"/>
  <c r="G17" i="160"/>
  <c r="G12" i="374"/>
  <c r="I12" i="374"/>
  <c r="G43" i="374"/>
  <c r="I43" i="374"/>
  <c r="I44" i="168"/>
  <c r="G44" i="168"/>
  <c r="I30" i="168"/>
  <c r="G30" i="168"/>
  <c r="I21" i="261"/>
  <c r="G21" i="261"/>
  <c r="I12" i="273"/>
  <c r="G12" i="273"/>
  <c r="I15" i="273"/>
  <c r="G15" i="273"/>
  <c r="G39" i="212"/>
  <c r="I39" i="212"/>
  <c r="I26" i="212"/>
  <c r="G26" i="212"/>
  <c r="I38" i="301"/>
  <c r="G38" i="301"/>
  <c r="G27" i="301"/>
  <c r="I27" i="301"/>
  <c r="G27" i="379"/>
  <c r="I27" i="379"/>
  <c r="I35" i="379"/>
  <c r="G35" i="379"/>
  <c r="G23" i="208"/>
  <c r="I23" i="208"/>
  <c r="I38" i="208"/>
  <c r="G38" i="208"/>
  <c r="G12" i="138"/>
  <c r="I12" i="138"/>
  <c r="I38" i="138"/>
  <c r="G38" i="138"/>
  <c r="G29" i="203"/>
  <c r="I29" i="203"/>
  <c r="I42" i="203"/>
  <c r="G42" i="203"/>
  <c r="G16" i="352"/>
  <c r="I16" i="352"/>
  <c r="G12" i="352"/>
  <c r="I12" i="352"/>
  <c r="I28" i="69"/>
  <c r="G28" i="69"/>
  <c r="I38" i="342"/>
  <c r="G38" i="342"/>
  <c r="G12" i="342"/>
  <c r="I12" i="342"/>
  <c r="I11" i="109"/>
  <c r="G11" i="109"/>
  <c r="G18" i="109"/>
  <c r="I18" i="109"/>
  <c r="E48" i="354"/>
  <c r="G34" i="284"/>
  <c r="I34" i="284"/>
  <c r="G26" i="284"/>
  <c r="I26" i="284"/>
  <c r="G44" i="420"/>
  <c r="I44" i="420"/>
  <c r="I26" i="420"/>
  <c r="G26" i="420"/>
  <c r="E50" i="23"/>
  <c r="J50" i="23"/>
  <c r="I31" i="393"/>
  <c r="G31" i="393"/>
  <c r="I35" i="393"/>
  <c r="G35" i="393"/>
  <c r="G29" i="455"/>
  <c r="I29" i="455"/>
  <c r="G38" i="455"/>
  <c r="I38" i="455"/>
  <c r="G10" i="372"/>
  <c r="I10" i="372"/>
  <c r="I23" i="239"/>
  <c r="G23" i="239"/>
  <c r="I29" i="12"/>
  <c r="G29" i="12"/>
  <c r="I10" i="12"/>
  <c r="G10" i="12"/>
  <c r="I24" i="66"/>
  <c r="F24" i="66" s="1"/>
  <c r="G24" i="66" s="1"/>
  <c r="I36" i="307"/>
  <c r="G36" i="307"/>
  <c r="G14" i="307"/>
  <c r="I14" i="307"/>
  <c r="I14" i="419"/>
  <c r="G14" i="419"/>
  <c r="I15" i="419"/>
  <c r="G15" i="419"/>
  <c r="I27" i="392"/>
  <c r="G27" i="392"/>
  <c r="I36" i="392"/>
  <c r="G36" i="392"/>
  <c r="I23" i="263"/>
  <c r="G23" i="263"/>
  <c r="I21" i="263"/>
  <c r="G21" i="263"/>
  <c r="I10" i="422"/>
  <c r="G10" i="422"/>
  <c r="I12" i="422"/>
  <c r="G12" i="422"/>
  <c r="I16" i="124"/>
  <c r="G16" i="124"/>
  <c r="I39" i="124"/>
  <c r="G39" i="124"/>
  <c r="G29" i="194"/>
  <c r="I29" i="194"/>
  <c r="G13" i="194"/>
  <c r="I13" i="194"/>
  <c r="I43" i="18"/>
  <c r="G43" i="18"/>
  <c r="G36" i="18"/>
  <c r="I36" i="18"/>
  <c r="I36" i="20"/>
  <c r="G36" i="20"/>
  <c r="I11" i="20"/>
  <c r="G11" i="20"/>
  <c r="I11" i="299"/>
  <c r="G11" i="299"/>
  <c r="I30" i="299"/>
  <c r="G30" i="299"/>
  <c r="I43" i="338"/>
  <c r="G43" i="338"/>
  <c r="G15" i="144"/>
  <c r="I15" i="144"/>
  <c r="G16" i="22"/>
  <c r="I16" i="22"/>
  <c r="I43" i="22"/>
  <c r="G43" i="22"/>
  <c r="G42" i="79"/>
  <c r="I42" i="79"/>
  <c r="I14" i="79"/>
  <c r="G14" i="79"/>
  <c r="I34" i="326"/>
  <c r="G34" i="326"/>
  <c r="I31" i="326"/>
  <c r="G31" i="326"/>
  <c r="G30" i="15"/>
  <c r="I30" i="15"/>
  <c r="I37" i="68"/>
  <c r="G37" i="68"/>
  <c r="G14" i="68"/>
  <c r="I14" i="68"/>
  <c r="I23" i="95"/>
  <c r="G23" i="95"/>
  <c r="G38" i="95"/>
  <c r="I38" i="95"/>
  <c r="I34" i="86"/>
  <c r="G34" i="86"/>
  <c r="I12" i="86"/>
  <c r="G12" i="86"/>
  <c r="I19" i="63"/>
  <c r="F19" i="63" s="1"/>
  <c r="G19" i="63" s="1"/>
  <c r="I13" i="237"/>
  <c r="G13" i="237"/>
  <c r="I12" i="237"/>
  <c r="G12" i="237"/>
  <c r="I40" i="147"/>
  <c r="F40" i="147" s="1"/>
  <c r="G40" i="147" s="1"/>
  <c r="I28" i="458"/>
  <c r="G28" i="458"/>
  <c r="I21" i="458"/>
  <c r="G21" i="458"/>
  <c r="I24" i="94"/>
  <c r="F24" i="94" s="1"/>
  <c r="G24" i="94" s="1"/>
  <c r="I23" i="298"/>
  <c r="G23" i="298"/>
  <c r="G38" i="298"/>
  <c r="I38" i="298"/>
  <c r="I37" i="29"/>
  <c r="G37" i="29"/>
  <c r="I26" i="29"/>
  <c r="G26" i="29"/>
  <c r="G44" i="11"/>
  <c r="I44" i="11"/>
  <c r="I34" i="367"/>
  <c r="G34" i="367"/>
  <c r="I23" i="249"/>
  <c r="G23" i="249"/>
  <c r="G27" i="152"/>
  <c r="I27" i="152"/>
  <c r="G12" i="152"/>
  <c r="I12" i="152"/>
  <c r="I35" i="40"/>
  <c r="G35" i="40"/>
  <c r="G11" i="40"/>
  <c r="I11" i="40"/>
  <c r="I12" i="460"/>
  <c r="G12" i="460"/>
  <c r="G17" i="233"/>
  <c r="I17" i="233"/>
  <c r="I32" i="378"/>
  <c r="F32" i="378" s="1"/>
  <c r="G32" i="378" s="1"/>
  <c r="I17" i="139"/>
  <c r="G17" i="139"/>
  <c r="I24" i="290"/>
  <c r="F24" i="290" s="1"/>
  <c r="G24" i="290" s="1"/>
  <c r="G14" i="141"/>
  <c r="I14" i="141"/>
  <c r="I23" i="174"/>
  <c r="G23" i="174"/>
  <c r="I36" i="174"/>
  <c r="G36" i="174"/>
  <c r="I11" i="448"/>
  <c r="G11" i="448"/>
  <c r="G13" i="448"/>
  <c r="I13" i="448"/>
  <c r="I26" i="223"/>
  <c r="G26" i="223"/>
  <c r="I29" i="223"/>
  <c r="G29" i="223"/>
  <c r="I11" i="324"/>
  <c r="G11" i="324"/>
  <c r="I44" i="324"/>
  <c r="G44" i="324"/>
  <c r="I30" i="56"/>
  <c r="G30" i="56"/>
  <c r="G15" i="90"/>
  <c r="I15" i="90"/>
  <c r="I37" i="99"/>
  <c r="G37" i="99"/>
  <c r="G14" i="396"/>
  <c r="I14" i="396"/>
  <c r="I34" i="396"/>
  <c r="G34" i="396"/>
  <c r="I29" i="128"/>
  <c r="G29" i="128"/>
  <c r="G44" i="128"/>
  <c r="I44" i="128"/>
  <c r="G28" i="314"/>
  <c r="I28" i="314"/>
  <c r="I30" i="314"/>
  <c r="G30" i="314"/>
  <c r="I40" i="66"/>
  <c r="F40" i="66" s="1"/>
  <c r="G40" i="66" s="1"/>
  <c r="G13" i="9"/>
  <c r="I13" i="9"/>
  <c r="I26" i="9"/>
  <c r="G26" i="9"/>
  <c r="I42" i="339"/>
  <c r="G42" i="339"/>
  <c r="G26" i="226"/>
  <c r="I26" i="226"/>
  <c r="G34" i="257"/>
  <c r="I34" i="257"/>
  <c r="G16" i="257"/>
  <c r="I16" i="257"/>
  <c r="I39" i="403"/>
  <c r="G39" i="403"/>
  <c r="G30" i="87"/>
  <c r="I30" i="87"/>
  <c r="G18" i="87"/>
  <c r="I18" i="87"/>
  <c r="I44" i="202"/>
  <c r="G44" i="202"/>
  <c r="I43" i="169"/>
  <c r="G43" i="169"/>
  <c r="I16" i="169"/>
  <c r="G16" i="169"/>
  <c r="I23" i="101"/>
  <c r="G23" i="101"/>
  <c r="G13" i="101"/>
  <c r="I13" i="101"/>
  <c r="G18" i="5"/>
  <c r="I18" i="5"/>
  <c r="G42" i="5"/>
  <c r="I42" i="5"/>
  <c r="I46" i="5" s="1"/>
  <c r="F46" i="5" s="1"/>
  <c r="G46" i="5" s="1"/>
  <c r="I12" i="201"/>
  <c r="G12" i="201"/>
  <c r="G35" i="213"/>
  <c r="I35" i="213"/>
  <c r="G18" i="213"/>
  <c r="I18" i="213"/>
  <c r="I12" i="71"/>
  <c r="G12" i="71"/>
  <c r="I18" i="220"/>
  <c r="G18" i="220"/>
  <c r="I15" i="220"/>
  <c r="G15" i="220"/>
  <c r="G31" i="281"/>
  <c r="I31" i="281"/>
  <c r="I22" i="281"/>
  <c r="G22" i="281"/>
  <c r="I10" i="452"/>
  <c r="G10" i="452"/>
  <c r="G26" i="452"/>
  <c r="I26" i="452"/>
  <c r="G23" i="34"/>
  <c r="I23" i="34"/>
  <c r="I19" i="94"/>
  <c r="F19" i="94" s="1"/>
  <c r="G19" i="94" s="1"/>
  <c r="G15" i="227"/>
  <c r="I15" i="227"/>
  <c r="I10" i="227"/>
  <c r="G10" i="227"/>
  <c r="G12" i="102"/>
  <c r="I12" i="102"/>
  <c r="G36" i="102"/>
  <c r="I36" i="102"/>
  <c r="I10" i="33"/>
  <c r="G10" i="33"/>
  <c r="I22" i="83"/>
  <c r="G22" i="83"/>
  <c r="I44" i="83"/>
  <c r="G44" i="83"/>
  <c r="G14" i="240"/>
  <c r="I14" i="240"/>
  <c r="G26" i="240"/>
  <c r="I26" i="240"/>
  <c r="G14" i="432"/>
  <c r="I14" i="432"/>
  <c r="I17" i="432"/>
  <c r="G17" i="432"/>
  <c r="G21" i="454"/>
  <c r="I21" i="454"/>
  <c r="I15" i="454"/>
  <c r="G15" i="454"/>
  <c r="G13" i="116"/>
  <c r="I13" i="116"/>
  <c r="I44" i="116"/>
  <c r="G44" i="116"/>
  <c r="G16" i="47"/>
  <c r="I16" i="47"/>
  <c r="G29" i="357"/>
  <c r="I29" i="357"/>
  <c r="I46" i="383"/>
  <c r="F46" i="383" s="1"/>
  <c r="G46" i="383" s="1"/>
  <c r="I42" i="251"/>
  <c r="G42" i="251"/>
  <c r="I42" i="397"/>
  <c r="G42" i="397"/>
  <c r="I24" i="280"/>
  <c r="F24" i="280" s="1"/>
  <c r="G24" i="280" s="1"/>
  <c r="I21" i="313"/>
  <c r="G21" i="313"/>
  <c r="I13" i="313"/>
  <c r="G13" i="313"/>
  <c r="I31" i="325"/>
  <c r="G31" i="325"/>
  <c r="I11" i="325"/>
  <c r="G11" i="325"/>
  <c r="I31" i="133"/>
  <c r="G31" i="133"/>
  <c r="I35" i="133"/>
  <c r="G35" i="133"/>
  <c r="G29" i="274"/>
  <c r="I29" i="274"/>
  <c r="I30" i="175"/>
  <c r="G30" i="175"/>
  <c r="G14" i="175"/>
  <c r="I14" i="175"/>
  <c r="I32" i="57"/>
  <c r="F32" i="57" s="1"/>
  <c r="G32" i="57" s="1"/>
  <c r="I44" i="156"/>
  <c r="G44" i="156"/>
  <c r="G23" i="256"/>
  <c r="I23" i="256"/>
  <c r="I44" i="279"/>
  <c r="G44" i="279"/>
  <c r="I26" i="279"/>
  <c r="G26" i="279"/>
  <c r="I26" i="84"/>
  <c r="G26" i="84"/>
  <c r="G13" i="3"/>
  <c r="I13" i="3"/>
  <c r="I11" i="3"/>
  <c r="G11" i="3"/>
  <c r="I23" i="243"/>
  <c r="G23" i="243"/>
  <c r="I38" i="243"/>
  <c r="G38" i="243"/>
  <c r="I16" i="205"/>
  <c r="G16" i="205"/>
  <c r="I35" i="190"/>
  <c r="G35" i="190"/>
  <c r="I38" i="190"/>
  <c r="G38" i="190"/>
  <c r="I23" i="329"/>
  <c r="G23" i="329"/>
  <c r="I12" i="329"/>
  <c r="G12" i="329"/>
  <c r="G29" i="193"/>
  <c r="I29" i="193"/>
  <c r="I10" i="163"/>
  <c r="G10" i="163"/>
  <c r="G34" i="163"/>
  <c r="I34" i="163"/>
  <c r="G15" i="309"/>
  <c r="I15" i="309"/>
  <c r="I26" i="309"/>
  <c r="G26" i="309"/>
  <c r="I10" i="333"/>
  <c r="G10" i="333"/>
  <c r="I17" i="333"/>
  <c r="G17" i="333"/>
  <c r="I18" i="245"/>
  <c r="G18" i="245"/>
  <c r="I34" i="245"/>
  <c r="G34" i="245"/>
  <c r="I24" i="395"/>
  <c r="F24" i="395" s="1"/>
  <c r="G24" i="395" s="1"/>
  <c r="I10" i="172"/>
  <c r="G10" i="172"/>
  <c r="G29" i="172"/>
  <c r="I29" i="172"/>
  <c r="G12" i="442"/>
  <c r="I12" i="442"/>
  <c r="I43" i="369"/>
  <c r="G43" i="369"/>
  <c r="I17" i="369"/>
  <c r="G17" i="369"/>
  <c r="I17" i="93"/>
  <c r="G17" i="93"/>
  <c r="G23" i="93"/>
  <c r="I23" i="93"/>
  <c r="G13" i="173"/>
  <c r="I13" i="173"/>
  <c r="G10" i="173"/>
  <c r="I10" i="173"/>
  <c r="G37" i="377"/>
  <c r="I37" i="377"/>
  <c r="I30" i="347"/>
  <c r="G30" i="347"/>
  <c r="I17" i="347"/>
  <c r="G17" i="347"/>
  <c r="I14" i="104"/>
  <c r="G14" i="104"/>
  <c r="I15" i="104"/>
  <c r="G15" i="104"/>
  <c r="I28" i="192"/>
  <c r="G28" i="192"/>
  <c r="I18" i="192"/>
  <c r="G18" i="192"/>
  <c r="G27" i="6"/>
  <c r="I27" i="6"/>
  <c r="G35" i="6"/>
  <c r="I35" i="6"/>
  <c r="I11" i="52"/>
  <c r="G11" i="52"/>
  <c r="I14" i="52"/>
  <c r="G14" i="52"/>
  <c r="I34" i="404"/>
  <c r="G34" i="404"/>
  <c r="I44" i="374"/>
  <c r="G44" i="374"/>
  <c r="I22" i="212"/>
  <c r="G22" i="212"/>
  <c r="G14" i="203"/>
  <c r="I14" i="203"/>
  <c r="G18" i="124"/>
  <c r="I18" i="124"/>
  <c r="I23" i="326"/>
  <c r="G23" i="326"/>
  <c r="G17" i="68"/>
  <c r="I17" i="68"/>
  <c r="I34" i="298"/>
  <c r="G34" i="298"/>
  <c r="I34" i="11"/>
  <c r="G34" i="11"/>
  <c r="G36" i="152"/>
  <c r="I36" i="152"/>
  <c r="G31" i="174"/>
  <c r="I31" i="174"/>
  <c r="I13" i="56"/>
  <c r="G13" i="56"/>
  <c r="I19" i="254"/>
  <c r="F19" i="254" s="1"/>
  <c r="G19" i="254" s="1"/>
  <c r="I11" i="257"/>
  <c r="G11" i="257"/>
  <c r="G43" i="202"/>
  <c r="I43" i="202"/>
  <c r="I23" i="5"/>
  <c r="G23" i="5"/>
  <c r="G13" i="281"/>
  <c r="I13" i="281"/>
  <c r="G10" i="34"/>
  <c r="I10" i="34"/>
  <c r="I26" i="102"/>
  <c r="G26" i="102"/>
  <c r="I15" i="116"/>
  <c r="G15" i="116"/>
  <c r="I27" i="251"/>
  <c r="G27" i="251"/>
  <c r="I28" i="313"/>
  <c r="G28" i="313"/>
  <c r="I22" i="133"/>
  <c r="G22" i="133"/>
  <c r="G29" i="156"/>
  <c r="I29" i="156"/>
  <c r="G28" i="84"/>
  <c r="I28" i="84"/>
  <c r="G36" i="329"/>
  <c r="I36" i="329"/>
  <c r="G27" i="309"/>
  <c r="I27" i="309"/>
  <c r="I28" i="6"/>
  <c r="G28" i="6"/>
  <c r="I32" i="391"/>
  <c r="F32" i="391" s="1"/>
  <c r="G32" i="391" s="1"/>
  <c r="I36" i="235"/>
  <c r="G36" i="235"/>
  <c r="I18" i="404"/>
  <c r="G18" i="404"/>
  <c r="I28" i="404"/>
  <c r="G28" i="404"/>
  <c r="G29" i="229"/>
  <c r="I29" i="229"/>
  <c r="I23" i="229"/>
  <c r="G23" i="229"/>
  <c r="I28" i="343"/>
  <c r="G28" i="343"/>
  <c r="I14" i="160"/>
  <c r="G14" i="160"/>
  <c r="I27" i="374"/>
  <c r="G27" i="374"/>
  <c r="I32" i="70"/>
  <c r="F32" i="70" s="1"/>
  <c r="G32" i="70" s="1"/>
  <c r="I15" i="168"/>
  <c r="G15" i="168"/>
  <c r="I17" i="168"/>
  <c r="G17" i="168"/>
  <c r="I37" i="261"/>
  <c r="G37" i="261"/>
  <c r="I10" i="273"/>
  <c r="G10" i="273"/>
  <c r="I15" i="212"/>
  <c r="G15" i="212"/>
  <c r="G44" i="212"/>
  <c r="I44" i="212"/>
  <c r="I23" i="301"/>
  <c r="G23" i="301"/>
  <c r="I29" i="301"/>
  <c r="G29" i="301"/>
  <c r="G37" i="379"/>
  <c r="I37" i="379"/>
  <c r="I43" i="379"/>
  <c r="G43" i="379"/>
  <c r="I16" i="208"/>
  <c r="G16" i="208"/>
  <c r="I17" i="208"/>
  <c r="G17" i="208"/>
  <c r="I23" i="138"/>
  <c r="G23" i="138"/>
  <c r="I21" i="203"/>
  <c r="G21" i="203"/>
  <c r="G10" i="203"/>
  <c r="I10" i="203"/>
  <c r="G42" i="352"/>
  <c r="I42" i="352"/>
  <c r="I36" i="352"/>
  <c r="G36" i="352"/>
  <c r="I38" i="69"/>
  <c r="G38" i="69"/>
  <c r="I46" i="114"/>
  <c r="F46" i="114" s="1"/>
  <c r="G46" i="114" s="1"/>
  <c r="I13" i="342"/>
  <c r="G13" i="342"/>
  <c r="G21" i="342"/>
  <c r="I21" i="342"/>
  <c r="I28" i="109"/>
  <c r="G28" i="109"/>
  <c r="I36" i="109"/>
  <c r="G36" i="109"/>
  <c r="I19" i="280"/>
  <c r="F19" i="280" s="1"/>
  <c r="G19" i="280" s="1"/>
  <c r="I16" i="284"/>
  <c r="G16" i="284"/>
  <c r="I14" i="284"/>
  <c r="G14" i="284"/>
  <c r="I22" i="420"/>
  <c r="G22" i="420"/>
  <c r="I14" i="420"/>
  <c r="G14" i="420"/>
  <c r="I22" i="393"/>
  <c r="G22" i="393"/>
  <c r="I12" i="455"/>
  <c r="G12" i="455"/>
  <c r="I37" i="455"/>
  <c r="G37" i="455"/>
  <c r="I38" i="372"/>
  <c r="G38" i="372"/>
  <c r="I43" i="239"/>
  <c r="G43" i="239"/>
  <c r="I37" i="239"/>
  <c r="G37" i="239"/>
  <c r="I14" i="12"/>
  <c r="G14" i="12"/>
  <c r="G42" i="12"/>
  <c r="I42" i="12"/>
  <c r="I13" i="307"/>
  <c r="G13" i="307"/>
  <c r="I42" i="307"/>
  <c r="G42" i="307"/>
  <c r="G34" i="419"/>
  <c r="I34" i="419"/>
  <c r="I42" i="419"/>
  <c r="G42" i="419"/>
  <c r="I35" i="392"/>
  <c r="G35" i="392"/>
  <c r="G42" i="392"/>
  <c r="I42" i="392"/>
  <c r="I12" i="263"/>
  <c r="G12" i="263"/>
  <c r="G34" i="263"/>
  <c r="I34" i="263"/>
  <c r="I38" i="422"/>
  <c r="G38" i="422"/>
  <c r="I14" i="422"/>
  <c r="G14" i="422"/>
  <c r="I26" i="124"/>
  <c r="G26" i="124"/>
  <c r="I10" i="194"/>
  <c r="G10" i="194"/>
  <c r="I15" i="194"/>
  <c r="G15" i="194"/>
  <c r="G37" i="18"/>
  <c r="I37" i="18"/>
  <c r="I15" i="18"/>
  <c r="G15" i="18"/>
  <c r="I34" i="20"/>
  <c r="G34" i="20"/>
  <c r="I13" i="20"/>
  <c r="G13" i="20"/>
  <c r="I22" i="299"/>
  <c r="G22" i="299"/>
  <c r="I26" i="299"/>
  <c r="G26" i="299"/>
  <c r="I22" i="338"/>
  <c r="G22" i="338"/>
  <c r="G27" i="144"/>
  <c r="I27" i="144"/>
  <c r="I22" i="22"/>
  <c r="G22" i="22"/>
  <c r="G29" i="22"/>
  <c r="I29" i="22"/>
  <c r="G23" i="79"/>
  <c r="I23" i="79"/>
  <c r="I16" i="79"/>
  <c r="G16" i="79"/>
  <c r="I27" i="326"/>
  <c r="G27" i="326"/>
  <c r="I29" i="326"/>
  <c r="G29" i="326"/>
  <c r="I24" i="73"/>
  <c r="F24" i="73" s="1"/>
  <c r="G24" i="73" s="1"/>
  <c r="G43" i="15"/>
  <c r="I43" i="15"/>
  <c r="G34" i="68"/>
  <c r="I34" i="68"/>
  <c r="I16" i="95"/>
  <c r="G16" i="95"/>
  <c r="G12" i="95"/>
  <c r="I12" i="95"/>
  <c r="I37" i="86"/>
  <c r="G37" i="86"/>
  <c r="I14" i="86"/>
  <c r="G14" i="86"/>
  <c r="I39" i="237"/>
  <c r="G39" i="237"/>
  <c r="I30" i="237"/>
  <c r="G30" i="237"/>
  <c r="G10" i="458"/>
  <c r="I10" i="458"/>
  <c r="I39" i="298"/>
  <c r="G39" i="298"/>
  <c r="I27" i="298"/>
  <c r="G27" i="298"/>
  <c r="I42" i="29"/>
  <c r="G42" i="29"/>
  <c r="I11" i="29"/>
  <c r="G11" i="29"/>
  <c r="G10" i="11"/>
  <c r="I10" i="11"/>
  <c r="I10" i="367"/>
  <c r="G10" i="367"/>
  <c r="G28" i="249"/>
  <c r="I28" i="249"/>
  <c r="I23" i="152"/>
  <c r="G23" i="152"/>
  <c r="G22" i="152"/>
  <c r="I22" i="152"/>
  <c r="I40" i="161"/>
  <c r="F40" i="161" s="1"/>
  <c r="G40" i="161" s="1"/>
  <c r="I42" i="40"/>
  <c r="G42" i="40"/>
  <c r="I29" i="40"/>
  <c r="G29" i="40"/>
  <c r="I35" i="460"/>
  <c r="G35" i="460"/>
  <c r="G30" i="233"/>
  <c r="I30" i="233"/>
  <c r="I28" i="139"/>
  <c r="G28" i="139"/>
  <c r="I11" i="141"/>
  <c r="G11" i="141"/>
  <c r="I16" i="141"/>
  <c r="G16" i="141"/>
  <c r="G30" i="174"/>
  <c r="I30" i="174"/>
  <c r="I16" i="174"/>
  <c r="G16" i="174"/>
  <c r="I17" i="448"/>
  <c r="G17" i="448"/>
  <c r="I15" i="223"/>
  <c r="G15" i="223"/>
  <c r="I27" i="223"/>
  <c r="G27" i="223"/>
  <c r="I24" i="161"/>
  <c r="F24" i="161" s="1"/>
  <c r="G24" i="161" s="1"/>
  <c r="I27" i="324"/>
  <c r="G27" i="324"/>
  <c r="I22" i="56"/>
  <c r="G22" i="56"/>
  <c r="G26" i="56"/>
  <c r="I26" i="56"/>
  <c r="G23" i="90"/>
  <c r="I23" i="90"/>
  <c r="G17" i="90"/>
  <c r="I17" i="90"/>
  <c r="I21" i="99"/>
  <c r="G21" i="99"/>
  <c r="G17" i="99"/>
  <c r="I17" i="99"/>
  <c r="I10" i="396"/>
  <c r="G10" i="396"/>
  <c r="G22" i="396"/>
  <c r="I22" i="396"/>
  <c r="G37" i="128"/>
  <c r="I37" i="128"/>
  <c r="I11" i="128"/>
  <c r="G11" i="128"/>
  <c r="I42" i="314"/>
  <c r="G42" i="314"/>
  <c r="I15" i="314"/>
  <c r="G15" i="314"/>
  <c r="I10" i="9"/>
  <c r="G10" i="9"/>
  <c r="G28" i="9"/>
  <c r="I28" i="9"/>
  <c r="G17" i="339"/>
  <c r="I17" i="339"/>
  <c r="I11" i="226"/>
  <c r="G11" i="226"/>
  <c r="I42" i="226"/>
  <c r="G42" i="226"/>
  <c r="I44" i="257"/>
  <c r="G44" i="257"/>
  <c r="I37" i="403"/>
  <c r="G37" i="403"/>
  <c r="G28" i="87"/>
  <c r="I28" i="87"/>
  <c r="I35" i="87"/>
  <c r="G35" i="87"/>
  <c r="G14" i="202"/>
  <c r="I14" i="202"/>
  <c r="I29" i="202"/>
  <c r="G29" i="202"/>
  <c r="I38" i="169"/>
  <c r="G38" i="169"/>
  <c r="I36" i="169"/>
  <c r="G36" i="169"/>
  <c r="E48" i="386"/>
  <c r="I42" i="101"/>
  <c r="G42" i="101"/>
  <c r="I14" i="101"/>
  <c r="G14" i="101"/>
  <c r="I31" i="5"/>
  <c r="G31" i="5"/>
  <c r="I30" i="5"/>
  <c r="G30" i="5"/>
  <c r="I37" i="201"/>
  <c r="G37" i="201"/>
  <c r="I17" i="213"/>
  <c r="G17" i="213"/>
  <c r="G29" i="213"/>
  <c r="I29" i="213"/>
  <c r="I17" i="71"/>
  <c r="G17" i="71"/>
  <c r="I30" i="220"/>
  <c r="G30" i="220"/>
  <c r="G44" i="281"/>
  <c r="I44" i="281"/>
  <c r="G27" i="281"/>
  <c r="I27" i="281"/>
  <c r="I22" i="452"/>
  <c r="G22" i="452"/>
  <c r="G36" i="452"/>
  <c r="I36" i="452"/>
  <c r="I39" i="34"/>
  <c r="G39" i="34"/>
  <c r="I31" i="34"/>
  <c r="G31" i="34"/>
  <c r="G12" i="227"/>
  <c r="I12" i="227"/>
  <c r="G42" i="227"/>
  <c r="I42" i="227"/>
  <c r="I30" i="102"/>
  <c r="G30" i="102"/>
  <c r="I23" i="102"/>
  <c r="G23" i="102"/>
  <c r="I16" i="33"/>
  <c r="G16" i="33"/>
  <c r="G30" i="83"/>
  <c r="I30" i="83"/>
  <c r="I43" i="83"/>
  <c r="G43" i="83"/>
  <c r="G37" i="240"/>
  <c r="I37" i="240"/>
  <c r="G39" i="240"/>
  <c r="I39" i="240"/>
  <c r="I19" i="73"/>
  <c r="F19" i="73" s="1"/>
  <c r="G19" i="73" s="1"/>
  <c r="I10" i="432"/>
  <c r="G10" i="432"/>
  <c r="I28" i="432"/>
  <c r="G28" i="432"/>
  <c r="I43" i="454"/>
  <c r="G43" i="454"/>
  <c r="I37" i="116"/>
  <c r="G37" i="116"/>
  <c r="G13" i="47"/>
  <c r="I13" i="47"/>
  <c r="I15" i="47"/>
  <c r="G15" i="47"/>
  <c r="I14" i="357"/>
  <c r="G14" i="357"/>
  <c r="I44" i="251"/>
  <c r="G44" i="251"/>
  <c r="G34" i="397"/>
  <c r="I34" i="397"/>
  <c r="I26" i="397"/>
  <c r="G26" i="397"/>
  <c r="I38" i="313"/>
  <c r="G38" i="313"/>
  <c r="G43" i="313"/>
  <c r="I43" i="313"/>
  <c r="I18" i="325"/>
  <c r="G18" i="325"/>
  <c r="G22" i="325"/>
  <c r="I22" i="325"/>
  <c r="I14" i="133"/>
  <c r="G14" i="133"/>
  <c r="I30" i="133"/>
  <c r="G30" i="133"/>
  <c r="G10" i="274"/>
  <c r="I10" i="274"/>
  <c r="I22" i="274"/>
  <c r="G22" i="274"/>
  <c r="G36" i="175"/>
  <c r="I36" i="175"/>
  <c r="I43" i="156"/>
  <c r="G43" i="156"/>
  <c r="I34" i="156"/>
  <c r="G34" i="156"/>
  <c r="I14" i="256"/>
  <c r="G14" i="256"/>
  <c r="G23" i="279"/>
  <c r="I23" i="279"/>
  <c r="G22" i="279"/>
  <c r="I22" i="279"/>
  <c r="I13" i="84"/>
  <c r="G13" i="84"/>
  <c r="G37" i="84"/>
  <c r="I37" i="84"/>
  <c r="G14" i="3"/>
  <c r="I14" i="3"/>
  <c r="I15" i="3"/>
  <c r="G15" i="3"/>
  <c r="G11" i="243"/>
  <c r="I11" i="243"/>
  <c r="I39" i="243"/>
  <c r="G39" i="243"/>
  <c r="I15" i="205"/>
  <c r="G15" i="205"/>
  <c r="G28" i="190"/>
  <c r="I28" i="190"/>
  <c r="I15" i="190"/>
  <c r="G15" i="190"/>
  <c r="I17" i="329"/>
  <c r="G17" i="329"/>
  <c r="I34" i="329"/>
  <c r="G34" i="329"/>
  <c r="I17" i="193"/>
  <c r="G17" i="193"/>
  <c r="I44" i="193"/>
  <c r="G44" i="193"/>
  <c r="I39" i="163"/>
  <c r="G39" i="163"/>
  <c r="G22" i="309"/>
  <c r="I22" i="309"/>
  <c r="I44" i="309"/>
  <c r="G44" i="309"/>
  <c r="I23" i="333"/>
  <c r="G23" i="333"/>
  <c r="G21" i="245"/>
  <c r="I21" i="245"/>
  <c r="G26" i="245"/>
  <c r="I26" i="245"/>
  <c r="I36" i="172"/>
  <c r="G36" i="172"/>
  <c r="G16" i="172"/>
  <c r="I16" i="172"/>
  <c r="I38" i="442"/>
  <c r="G38" i="442"/>
  <c r="I38" i="369"/>
  <c r="G38" i="369"/>
  <c r="I11" i="369"/>
  <c r="G11" i="369"/>
  <c r="I24" i="50"/>
  <c r="G28" i="93"/>
  <c r="I28" i="93"/>
  <c r="G44" i="93"/>
  <c r="I44" i="93"/>
  <c r="G36" i="173"/>
  <c r="I36" i="173"/>
  <c r="G35" i="173"/>
  <c r="I35" i="173"/>
  <c r="I42" i="377"/>
  <c r="G42" i="377"/>
  <c r="I27" i="347"/>
  <c r="G27" i="347"/>
  <c r="I14" i="347"/>
  <c r="G14" i="347"/>
  <c r="G42" i="104"/>
  <c r="I42" i="104"/>
  <c r="G36" i="104"/>
  <c r="I36" i="104"/>
  <c r="I36" i="192"/>
  <c r="G36" i="192"/>
  <c r="G14" i="192"/>
  <c r="I14" i="192"/>
  <c r="I17" i="6"/>
  <c r="G17" i="6"/>
  <c r="G36" i="52"/>
  <c r="I36" i="52"/>
  <c r="I22" i="52"/>
  <c r="G22" i="52"/>
  <c r="I38" i="343"/>
  <c r="G38" i="343"/>
  <c r="I22" i="273"/>
  <c r="G22" i="273"/>
  <c r="I36" i="208"/>
  <c r="G36" i="208"/>
  <c r="G35" i="342"/>
  <c r="I35" i="342"/>
  <c r="I35" i="284"/>
  <c r="G35" i="284"/>
  <c r="I28" i="455"/>
  <c r="G28" i="455"/>
  <c r="I37" i="392"/>
  <c r="G37" i="392"/>
  <c r="I31" i="144"/>
  <c r="G31" i="144"/>
  <c r="I36" i="15"/>
  <c r="G36" i="15"/>
  <c r="G14" i="29"/>
  <c r="I14" i="29"/>
  <c r="I11" i="460"/>
  <c r="G11" i="460"/>
  <c r="I17" i="223"/>
  <c r="G17" i="223"/>
  <c r="I16" i="324"/>
  <c r="G16" i="324"/>
  <c r="G35" i="99"/>
  <c r="I35" i="99"/>
  <c r="G21" i="314"/>
  <c r="I21" i="314"/>
  <c r="G23" i="226"/>
  <c r="I23" i="226"/>
  <c r="G38" i="87"/>
  <c r="I38" i="87"/>
  <c r="G27" i="101"/>
  <c r="I27" i="101"/>
  <c r="G10" i="281"/>
  <c r="I10" i="281"/>
  <c r="G31" i="227"/>
  <c r="I31" i="227"/>
  <c r="I26" i="33"/>
  <c r="G26" i="33"/>
  <c r="I43" i="432"/>
  <c r="G43" i="432"/>
  <c r="G17" i="175"/>
  <c r="I17" i="175"/>
  <c r="G14" i="279"/>
  <c r="I14" i="279"/>
  <c r="G44" i="243"/>
  <c r="I44" i="243"/>
  <c r="I17" i="205"/>
  <c r="G17" i="205"/>
  <c r="I38" i="245"/>
  <c r="G38" i="245"/>
  <c r="I19" i="318"/>
  <c r="F19" i="318" s="1"/>
  <c r="G19" i="318" s="1"/>
  <c r="I32" i="225"/>
  <c r="F32" i="225" s="1"/>
  <c r="G32" i="225" s="1"/>
  <c r="I34" i="235"/>
  <c r="G34" i="235"/>
  <c r="I38" i="404"/>
  <c r="G38" i="404"/>
  <c r="I26" i="404"/>
  <c r="G26" i="404"/>
  <c r="I21" i="229"/>
  <c r="G21" i="229"/>
  <c r="I17" i="229"/>
  <c r="G17" i="229"/>
  <c r="G42" i="343"/>
  <c r="I42" i="343"/>
  <c r="I42" i="374"/>
  <c r="I46" i="374" s="1"/>
  <c r="F46" i="374" s="1"/>
  <c r="G46" i="374" s="1"/>
  <c r="G42" i="374"/>
  <c r="G13" i="168"/>
  <c r="I13" i="168"/>
  <c r="I14" i="168"/>
  <c r="G14" i="168"/>
  <c r="I15" i="261"/>
  <c r="G15" i="261"/>
  <c r="I26" i="273"/>
  <c r="G26" i="273"/>
  <c r="I19" i="105"/>
  <c r="F19" i="105" s="1"/>
  <c r="G19" i="105" s="1"/>
  <c r="I28" i="212"/>
  <c r="G28" i="212"/>
  <c r="I14" i="212"/>
  <c r="G14" i="212"/>
  <c r="I37" i="301"/>
  <c r="G37" i="301"/>
  <c r="G42" i="379"/>
  <c r="I42" i="379"/>
  <c r="G13" i="379"/>
  <c r="I13" i="379"/>
  <c r="I34" i="208"/>
  <c r="G34" i="208"/>
  <c r="I12" i="208"/>
  <c r="G12" i="208"/>
  <c r="I29" i="138"/>
  <c r="G29" i="138"/>
  <c r="I13" i="138"/>
  <c r="G13" i="138"/>
  <c r="I13" i="203"/>
  <c r="G13" i="203"/>
  <c r="I30" i="203"/>
  <c r="G30" i="203"/>
  <c r="G38" i="352"/>
  <c r="I38" i="352"/>
  <c r="I22" i="352"/>
  <c r="G22" i="352"/>
  <c r="I36" i="342"/>
  <c r="G36" i="342"/>
  <c r="I44" i="109"/>
  <c r="G44" i="109"/>
  <c r="I30" i="109"/>
  <c r="G30" i="109"/>
  <c r="G11" i="284"/>
  <c r="I11" i="284"/>
  <c r="I23" i="284"/>
  <c r="G23" i="284"/>
  <c r="I19" i="161"/>
  <c r="F19" i="161" s="1"/>
  <c r="G19" i="161" s="1"/>
  <c r="I31" i="420"/>
  <c r="G31" i="420"/>
  <c r="I15" i="393"/>
  <c r="G15" i="393"/>
  <c r="I16" i="455"/>
  <c r="G16" i="455"/>
  <c r="I36" i="455"/>
  <c r="G36" i="455"/>
  <c r="I23" i="372"/>
  <c r="G23" i="372"/>
  <c r="I22" i="239"/>
  <c r="G22" i="239"/>
  <c r="I31" i="239"/>
  <c r="G31" i="239"/>
  <c r="I11" i="12"/>
  <c r="G11" i="12"/>
  <c r="G44" i="12"/>
  <c r="I44" i="12"/>
  <c r="G21" i="307"/>
  <c r="I21" i="307"/>
  <c r="I31" i="307"/>
  <c r="G31" i="307"/>
  <c r="G11" i="419"/>
  <c r="I11" i="419"/>
  <c r="I31" i="392"/>
  <c r="G31" i="392"/>
  <c r="I14" i="392"/>
  <c r="G14" i="392"/>
  <c r="I39" i="263"/>
  <c r="G39" i="263"/>
  <c r="I14" i="263"/>
  <c r="G14" i="263"/>
  <c r="I29" i="422"/>
  <c r="G29" i="422"/>
  <c r="I11" i="422"/>
  <c r="G11" i="422"/>
  <c r="I30" i="124"/>
  <c r="G30" i="124"/>
  <c r="G18" i="194"/>
  <c r="I18" i="194"/>
  <c r="G30" i="18"/>
  <c r="I30" i="18"/>
  <c r="G14" i="18"/>
  <c r="I14" i="18"/>
  <c r="I21" i="20"/>
  <c r="G21" i="20"/>
  <c r="I31" i="20"/>
  <c r="G31" i="20"/>
  <c r="I39" i="299"/>
  <c r="G39" i="299"/>
  <c r="G28" i="338"/>
  <c r="I28" i="338"/>
  <c r="I38" i="338"/>
  <c r="G38" i="338"/>
  <c r="I17" i="144"/>
  <c r="G17" i="144"/>
  <c r="I15" i="22"/>
  <c r="G15" i="22"/>
  <c r="I11" i="22"/>
  <c r="G11" i="22"/>
  <c r="I17" i="79"/>
  <c r="G17" i="79"/>
  <c r="G27" i="79"/>
  <c r="I27" i="79"/>
  <c r="I13" i="326"/>
  <c r="G13" i="326"/>
  <c r="G23" i="15"/>
  <c r="I23" i="15"/>
  <c r="I11" i="68"/>
  <c r="G11" i="68"/>
  <c r="I10" i="68"/>
  <c r="G10" i="68"/>
  <c r="I26" i="95"/>
  <c r="G26" i="95"/>
  <c r="I27" i="95"/>
  <c r="G27" i="95"/>
  <c r="I15" i="86"/>
  <c r="G15" i="86"/>
  <c r="I16" i="86"/>
  <c r="G16" i="86"/>
  <c r="G16" i="237"/>
  <c r="I16" i="237"/>
  <c r="G35" i="237"/>
  <c r="I35" i="237"/>
  <c r="G12" i="458"/>
  <c r="I12" i="458"/>
  <c r="I46" i="70"/>
  <c r="F46" i="70" s="1"/>
  <c r="G46" i="70" s="1"/>
  <c r="I29" i="298"/>
  <c r="G29" i="298"/>
  <c r="G43" i="298"/>
  <c r="I43" i="298"/>
  <c r="I29" i="29"/>
  <c r="G29" i="29"/>
  <c r="I16" i="29"/>
  <c r="G16" i="29"/>
  <c r="G43" i="11"/>
  <c r="I43" i="11"/>
  <c r="G15" i="11"/>
  <c r="I15" i="11"/>
  <c r="I43" i="367"/>
  <c r="G43" i="367"/>
  <c r="G37" i="249"/>
  <c r="I37" i="249"/>
  <c r="G34" i="152"/>
  <c r="I34" i="152"/>
  <c r="I10" i="152"/>
  <c r="G10" i="152"/>
  <c r="G16" i="40"/>
  <c r="I16" i="40"/>
  <c r="G26" i="40"/>
  <c r="I26" i="40"/>
  <c r="I44" i="460"/>
  <c r="G44" i="460"/>
  <c r="I29" i="460"/>
  <c r="G29" i="460"/>
  <c r="I16" i="233"/>
  <c r="G16" i="233"/>
  <c r="G37" i="139"/>
  <c r="I37" i="139"/>
  <c r="I13" i="141"/>
  <c r="G13" i="141"/>
  <c r="I23" i="141"/>
  <c r="G23" i="141"/>
  <c r="I38" i="174"/>
  <c r="G38" i="174"/>
  <c r="I42" i="174"/>
  <c r="G42" i="174"/>
  <c r="G27" i="448"/>
  <c r="I27" i="448"/>
  <c r="F11" i="285"/>
  <c r="F28" i="285"/>
  <c r="F38" i="285"/>
  <c r="F31" i="285"/>
  <c r="F17" i="285"/>
  <c r="F39" i="285"/>
  <c r="F14" i="285"/>
  <c r="F18" i="285"/>
  <c r="F29" i="285"/>
  <c r="F30" i="285"/>
  <c r="F22" i="285"/>
  <c r="F12" i="285"/>
  <c r="F16" i="285"/>
  <c r="F36" i="285"/>
  <c r="F35" i="285"/>
  <c r="F13" i="285"/>
  <c r="F15" i="285"/>
  <c r="F26" i="285"/>
  <c r="F37" i="285"/>
  <c r="F27" i="285"/>
  <c r="F23" i="285"/>
  <c r="F34" i="285"/>
  <c r="F10" i="285"/>
  <c r="F21" i="285"/>
  <c r="F45" i="285"/>
  <c r="G45" i="285" s="1"/>
  <c r="F43" i="285"/>
  <c r="F44" i="285"/>
  <c r="F42" i="285"/>
  <c r="I38" i="223"/>
  <c r="G38" i="223"/>
  <c r="G36" i="223"/>
  <c r="I36" i="223"/>
  <c r="I39" i="324"/>
  <c r="G39" i="324"/>
  <c r="G39" i="56"/>
  <c r="I39" i="56"/>
  <c r="G31" i="56"/>
  <c r="I31" i="56"/>
  <c r="I28" i="90"/>
  <c r="G28" i="90"/>
  <c r="G22" i="90"/>
  <c r="I22" i="90"/>
  <c r="I36" i="99"/>
  <c r="G36" i="99"/>
  <c r="G18" i="99"/>
  <c r="I18" i="99"/>
  <c r="G21" i="396"/>
  <c r="I21" i="396"/>
  <c r="I15" i="396"/>
  <c r="G15" i="396"/>
  <c r="I23" i="128"/>
  <c r="G23" i="128"/>
  <c r="I36" i="128"/>
  <c r="G36" i="128"/>
  <c r="I35" i="314"/>
  <c r="G35" i="314"/>
  <c r="G31" i="9"/>
  <c r="I31" i="9"/>
  <c r="G12" i="339"/>
  <c r="I12" i="339"/>
  <c r="G16" i="226"/>
  <c r="I16" i="226"/>
  <c r="I28" i="226"/>
  <c r="G28" i="226"/>
  <c r="I31" i="257"/>
  <c r="G31" i="257"/>
  <c r="I39" i="257"/>
  <c r="G39" i="257"/>
  <c r="I36" i="403"/>
  <c r="G36" i="403"/>
  <c r="I14" i="87"/>
  <c r="G14" i="87"/>
  <c r="I17" i="87"/>
  <c r="G17" i="87"/>
  <c r="I11" i="202"/>
  <c r="G11" i="202"/>
  <c r="G10" i="202"/>
  <c r="I10" i="202"/>
  <c r="I18" i="169"/>
  <c r="G18" i="169"/>
  <c r="I27" i="169"/>
  <c r="G27" i="169"/>
  <c r="I44" i="101"/>
  <c r="G44" i="101"/>
  <c r="I38" i="101"/>
  <c r="G38" i="101"/>
  <c r="I35" i="5"/>
  <c r="G35" i="5"/>
  <c r="I43" i="201"/>
  <c r="G43" i="201"/>
  <c r="I31" i="201"/>
  <c r="G31" i="201"/>
  <c r="I10" i="213"/>
  <c r="G10" i="213"/>
  <c r="I22" i="71"/>
  <c r="G22" i="71"/>
  <c r="G29" i="71"/>
  <c r="I29" i="71"/>
  <c r="G11" i="220"/>
  <c r="I11" i="220"/>
  <c r="I21" i="281"/>
  <c r="G21" i="281"/>
  <c r="I11" i="452"/>
  <c r="G11" i="452"/>
  <c r="I18" i="452"/>
  <c r="G18" i="452"/>
  <c r="G13" i="34"/>
  <c r="I13" i="34"/>
  <c r="G29" i="34"/>
  <c r="I29" i="34"/>
  <c r="I44" i="227"/>
  <c r="G44" i="227"/>
  <c r="G28" i="227"/>
  <c r="I28" i="227"/>
  <c r="G27" i="102"/>
  <c r="I27" i="102"/>
  <c r="I35" i="102"/>
  <c r="G35" i="102"/>
  <c r="I27" i="33"/>
  <c r="G27" i="33"/>
  <c r="G12" i="33"/>
  <c r="I12" i="33"/>
  <c r="G15" i="83"/>
  <c r="I15" i="83"/>
  <c r="G31" i="83"/>
  <c r="I31" i="83"/>
  <c r="G38" i="240"/>
  <c r="I38" i="240"/>
  <c r="I37" i="432"/>
  <c r="G37" i="432"/>
  <c r="I38" i="432"/>
  <c r="G38" i="432"/>
  <c r="I18" i="454"/>
  <c r="G18" i="454"/>
  <c r="G30" i="454"/>
  <c r="I30" i="454"/>
  <c r="G16" i="116"/>
  <c r="I16" i="116"/>
  <c r="I10" i="116"/>
  <c r="G10" i="116"/>
  <c r="G29" i="47"/>
  <c r="I29" i="47"/>
  <c r="G44" i="47"/>
  <c r="I44" i="47"/>
  <c r="I35" i="357"/>
  <c r="G35" i="357"/>
  <c r="I38" i="357"/>
  <c r="G38" i="357"/>
  <c r="I18" i="251"/>
  <c r="G18" i="251"/>
  <c r="I31" i="251"/>
  <c r="G31" i="251"/>
  <c r="I39" i="397"/>
  <c r="G39" i="397"/>
  <c r="I23" i="397"/>
  <c r="G23" i="397"/>
  <c r="I26" i="313"/>
  <c r="G26" i="313"/>
  <c r="I39" i="313"/>
  <c r="G39" i="313"/>
  <c r="I34" i="325"/>
  <c r="G34" i="325"/>
  <c r="I17" i="325"/>
  <c r="G17" i="325"/>
  <c r="G43" i="133"/>
  <c r="I43" i="133"/>
  <c r="G37" i="133"/>
  <c r="I37" i="133"/>
  <c r="I28" i="274"/>
  <c r="G28" i="274"/>
  <c r="G27" i="175"/>
  <c r="I27" i="175"/>
  <c r="I13" i="175"/>
  <c r="G13" i="175"/>
  <c r="G12" i="156"/>
  <c r="I12" i="156"/>
  <c r="I17" i="156"/>
  <c r="G17" i="156"/>
  <c r="G22" i="256"/>
  <c r="I22" i="256"/>
  <c r="I16" i="279"/>
  <c r="G16" i="279"/>
  <c r="G27" i="279"/>
  <c r="I27" i="279"/>
  <c r="G15" i="84"/>
  <c r="I15" i="84"/>
  <c r="G12" i="84"/>
  <c r="I12" i="84"/>
  <c r="I31" i="3"/>
  <c r="G31" i="3"/>
  <c r="I30" i="3"/>
  <c r="G30" i="3"/>
  <c r="I18" i="243"/>
  <c r="G18" i="243"/>
  <c r="G36" i="243"/>
  <c r="I36" i="243"/>
  <c r="I30" i="205"/>
  <c r="G30" i="205"/>
  <c r="G36" i="205"/>
  <c r="I36" i="205"/>
  <c r="G34" i="190"/>
  <c r="I34" i="190"/>
  <c r="I10" i="190"/>
  <c r="G10" i="190"/>
  <c r="I26" i="329"/>
  <c r="G26" i="329"/>
  <c r="I31" i="329"/>
  <c r="G31" i="329"/>
  <c r="G16" i="193"/>
  <c r="I16" i="193"/>
  <c r="G15" i="193"/>
  <c r="I15" i="193"/>
  <c r="G22" i="163"/>
  <c r="I22" i="163"/>
  <c r="I14" i="309"/>
  <c r="G14" i="309"/>
  <c r="I29" i="309"/>
  <c r="G29" i="309"/>
  <c r="I11" i="333"/>
  <c r="G11" i="333"/>
  <c r="G44" i="245"/>
  <c r="I44" i="245"/>
  <c r="I31" i="245"/>
  <c r="G31" i="245"/>
  <c r="I31" i="172"/>
  <c r="G31" i="172"/>
  <c r="G42" i="172"/>
  <c r="I42" i="172"/>
  <c r="I10" i="442"/>
  <c r="G10" i="442"/>
  <c r="G15" i="369"/>
  <c r="I15" i="369"/>
  <c r="G22" i="369"/>
  <c r="I22" i="369"/>
  <c r="I34" i="93"/>
  <c r="G34" i="93"/>
  <c r="I27" i="93"/>
  <c r="G27" i="93"/>
  <c r="G16" i="173"/>
  <c r="I16" i="173"/>
  <c r="G23" i="173"/>
  <c r="I23" i="173"/>
  <c r="G10" i="377"/>
  <c r="I10" i="377"/>
  <c r="I28" i="347"/>
  <c r="G28" i="347"/>
  <c r="I36" i="347"/>
  <c r="G36" i="347"/>
  <c r="I31" i="104"/>
  <c r="G31" i="104"/>
  <c r="I34" i="104"/>
  <c r="G34" i="104"/>
  <c r="I27" i="192"/>
  <c r="G27" i="192"/>
  <c r="I36" i="6"/>
  <c r="G36" i="6"/>
  <c r="I10" i="6"/>
  <c r="G10" i="6"/>
  <c r="G15" i="52"/>
  <c r="I15" i="52"/>
  <c r="I30" i="52"/>
  <c r="G30" i="52"/>
  <c r="I39" i="138"/>
  <c r="G39" i="138"/>
  <c r="I30" i="372"/>
  <c r="G30" i="372"/>
  <c r="I26" i="392"/>
  <c r="G26" i="392"/>
  <c r="I14" i="194"/>
  <c r="G14" i="194"/>
  <c r="G44" i="338"/>
  <c r="I44" i="338"/>
  <c r="I21" i="326"/>
  <c r="G21" i="326"/>
  <c r="I17" i="95"/>
  <c r="G17" i="95"/>
  <c r="I44" i="458"/>
  <c r="G44" i="458"/>
  <c r="I21" i="29"/>
  <c r="G21" i="29"/>
  <c r="E48" i="405"/>
  <c r="I13" i="90"/>
  <c r="G13" i="90"/>
  <c r="G34" i="128"/>
  <c r="I34" i="128"/>
  <c r="G27" i="339"/>
  <c r="I27" i="339"/>
  <c r="I14" i="403"/>
  <c r="G14" i="403"/>
  <c r="G15" i="169"/>
  <c r="I15" i="169"/>
  <c r="I37" i="213"/>
  <c r="G37" i="213"/>
  <c r="I34" i="452"/>
  <c r="G34" i="452"/>
  <c r="I43" i="34"/>
  <c r="G43" i="34"/>
  <c r="G16" i="83"/>
  <c r="I16" i="83"/>
  <c r="G27" i="454"/>
  <c r="I27" i="454"/>
  <c r="I30" i="47"/>
  <c r="G30" i="47"/>
  <c r="G27" i="357"/>
  <c r="I27" i="357"/>
  <c r="G43" i="397"/>
  <c r="I43" i="397"/>
  <c r="I34" i="274"/>
  <c r="G34" i="274"/>
  <c r="G35" i="256"/>
  <c r="I35" i="256"/>
  <c r="G11" i="309"/>
  <c r="I11" i="309"/>
  <c r="I16" i="6"/>
  <c r="G16" i="6"/>
  <c r="I19" i="457"/>
  <c r="F19" i="457" s="1"/>
  <c r="G19" i="457" s="1"/>
  <c r="I40" i="224"/>
  <c r="F40" i="224" s="1"/>
  <c r="G40" i="224" s="1"/>
  <c r="I40" i="380"/>
  <c r="F40" i="380" s="1"/>
  <c r="G40" i="380" s="1"/>
  <c r="I16" i="235"/>
  <c r="G16" i="235"/>
  <c r="G16" i="404"/>
  <c r="I16" i="404"/>
  <c r="G42" i="404"/>
  <c r="I42" i="404"/>
  <c r="I38" i="229"/>
  <c r="G38" i="229"/>
  <c r="I22" i="229"/>
  <c r="G22" i="229"/>
  <c r="I32" i="147"/>
  <c r="F32" i="147" s="1"/>
  <c r="G32" i="147" s="1"/>
  <c r="G39" i="343"/>
  <c r="I39" i="343"/>
  <c r="G30" i="160"/>
  <c r="I30" i="160"/>
  <c r="G43" i="168"/>
  <c r="I43" i="168"/>
  <c r="I12" i="168"/>
  <c r="G12" i="168"/>
  <c r="I14" i="261"/>
  <c r="G14" i="261"/>
  <c r="I30" i="261"/>
  <c r="G30" i="261"/>
  <c r="I43" i="273"/>
  <c r="G43" i="273"/>
  <c r="G38" i="212"/>
  <c r="I38" i="212"/>
  <c r="G31" i="212"/>
  <c r="I31" i="212"/>
  <c r="I10" i="301"/>
  <c r="G10" i="301"/>
  <c r="I18" i="379"/>
  <c r="G18" i="379"/>
  <c r="I21" i="379"/>
  <c r="G21" i="379"/>
  <c r="I30" i="208"/>
  <c r="G30" i="208"/>
  <c r="G18" i="208"/>
  <c r="I18" i="208"/>
  <c r="I10" i="138"/>
  <c r="G10" i="138"/>
  <c r="G42" i="138"/>
  <c r="I42" i="138"/>
  <c r="G39" i="203"/>
  <c r="I39" i="203"/>
  <c r="G36" i="203"/>
  <c r="I36" i="203"/>
  <c r="G21" i="352"/>
  <c r="I21" i="352"/>
  <c r="G26" i="352"/>
  <c r="I26" i="352"/>
  <c r="I36" i="69"/>
  <c r="G36" i="69"/>
  <c r="I26" i="342"/>
  <c r="G26" i="342"/>
  <c r="G30" i="342"/>
  <c r="I30" i="342"/>
  <c r="I37" i="109"/>
  <c r="G37" i="109"/>
  <c r="I35" i="109"/>
  <c r="G35" i="109"/>
  <c r="I30" i="284"/>
  <c r="G30" i="284"/>
  <c r="I37" i="284"/>
  <c r="G37" i="284"/>
  <c r="G42" i="420"/>
  <c r="I42" i="420"/>
  <c r="I24" i="63"/>
  <c r="F24" i="63" s="1"/>
  <c r="G24" i="63" s="1"/>
  <c r="G34" i="393"/>
  <c r="I34" i="393"/>
  <c r="I40" i="241"/>
  <c r="F40" i="241" s="1"/>
  <c r="G40" i="241" s="1"/>
  <c r="I44" i="455"/>
  <c r="G44" i="455"/>
  <c r="I37" i="372"/>
  <c r="G37" i="372"/>
  <c r="I35" i="372"/>
  <c r="G35" i="372"/>
  <c r="I12" i="239"/>
  <c r="G12" i="239"/>
  <c r="G17" i="239"/>
  <c r="I17" i="239"/>
  <c r="I18" i="12"/>
  <c r="G18" i="12"/>
  <c r="I43" i="12"/>
  <c r="G43" i="12"/>
  <c r="I11" i="307"/>
  <c r="G11" i="307"/>
  <c r="I29" i="419"/>
  <c r="G29" i="419"/>
  <c r="I36" i="419"/>
  <c r="G36" i="419"/>
  <c r="I10" i="392"/>
  <c r="G10" i="392"/>
  <c r="G39" i="392"/>
  <c r="I39" i="392"/>
  <c r="I42" i="263"/>
  <c r="G42" i="263"/>
  <c r="G37" i="422"/>
  <c r="I37" i="422"/>
  <c r="I42" i="422"/>
  <c r="G42" i="422"/>
  <c r="G17" i="124"/>
  <c r="I17" i="124"/>
  <c r="I21" i="194"/>
  <c r="G21" i="194"/>
  <c r="G26" i="194"/>
  <c r="I26" i="194"/>
  <c r="I28" i="18"/>
  <c r="G28" i="18"/>
  <c r="I13" i="18"/>
  <c r="G13" i="18"/>
  <c r="I17" i="20"/>
  <c r="G17" i="20"/>
  <c r="I30" i="20"/>
  <c r="G30" i="20"/>
  <c r="I16" i="299"/>
  <c r="G16" i="299"/>
  <c r="G17" i="338"/>
  <c r="I17" i="338"/>
  <c r="G27" i="338"/>
  <c r="I27" i="338"/>
  <c r="I13" i="144"/>
  <c r="G13" i="144"/>
  <c r="I38" i="144"/>
  <c r="G38" i="144"/>
  <c r="I34" i="22"/>
  <c r="G34" i="22"/>
  <c r="I44" i="22"/>
  <c r="G44" i="22"/>
  <c r="I22" i="79"/>
  <c r="G22" i="79"/>
  <c r="I37" i="79"/>
  <c r="G37" i="79"/>
  <c r="G42" i="326"/>
  <c r="I42" i="326"/>
  <c r="G22" i="326"/>
  <c r="I22" i="326"/>
  <c r="I15" i="15"/>
  <c r="G15" i="15"/>
  <c r="G44" i="68"/>
  <c r="I44" i="68"/>
  <c r="I27" i="68"/>
  <c r="G27" i="68"/>
  <c r="I10" i="95"/>
  <c r="G10" i="95"/>
  <c r="I13" i="95"/>
  <c r="G13" i="95"/>
  <c r="I44" i="86"/>
  <c r="G44" i="86"/>
  <c r="G13" i="86"/>
  <c r="I13" i="86"/>
  <c r="G38" i="237"/>
  <c r="I38" i="237"/>
  <c r="I29" i="237"/>
  <c r="G29" i="237"/>
  <c r="G15" i="458"/>
  <c r="I15" i="458"/>
  <c r="I21" i="298"/>
  <c r="G21" i="298"/>
  <c r="I17" i="298"/>
  <c r="G17" i="298"/>
  <c r="I44" i="29"/>
  <c r="G44" i="29"/>
  <c r="I28" i="29"/>
  <c r="G28" i="29"/>
  <c r="G28" i="11"/>
  <c r="I28" i="11"/>
  <c r="G37" i="11"/>
  <c r="I37" i="11"/>
  <c r="I40" i="378"/>
  <c r="F40" i="378" s="1"/>
  <c r="G40" i="378" s="1"/>
  <c r="I28" i="367"/>
  <c r="G28" i="367"/>
  <c r="G35" i="249"/>
  <c r="I35" i="249"/>
  <c r="I32" i="290"/>
  <c r="F32" i="290" s="1"/>
  <c r="G32" i="290" s="1"/>
  <c r="I37" i="152"/>
  <c r="G37" i="152"/>
  <c r="I13" i="152"/>
  <c r="G13" i="152"/>
  <c r="I46" i="206"/>
  <c r="F46" i="206" s="1"/>
  <c r="G46" i="206" s="1"/>
  <c r="I15" i="40"/>
  <c r="G15" i="40"/>
  <c r="G30" i="40"/>
  <c r="I30" i="40"/>
  <c r="G42" i="460"/>
  <c r="I42" i="460"/>
  <c r="I21" i="460"/>
  <c r="G21" i="460"/>
  <c r="G36" i="233"/>
  <c r="I36" i="233"/>
  <c r="I14" i="233"/>
  <c r="G14" i="233"/>
  <c r="I36" i="139"/>
  <c r="G36" i="139"/>
  <c r="I12" i="139"/>
  <c r="G12" i="139"/>
  <c r="I43" i="141"/>
  <c r="G43" i="141"/>
  <c r="G31" i="141"/>
  <c r="I31" i="141"/>
  <c r="G11" i="174"/>
  <c r="I11" i="174"/>
  <c r="G44" i="174"/>
  <c r="I44" i="174"/>
  <c r="I38" i="448"/>
  <c r="G38" i="448"/>
  <c r="I39" i="223"/>
  <c r="G39" i="223"/>
  <c r="G16" i="223"/>
  <c r="I16" i="223"/>
  <c r="I10" i="324"/>
  <c r="G10" i="324"/>
  <c r="G15" i="56"/>
  <c r="I15" i="56"/>
  <c r="I27" i="56"/>
  <c r="G27" i="56"/>
  <c r="G30" i="90"/>
  <c r="I30" i="90"/>
  <c r="I31" i="90"/>
  <c r="G31" i="90"/>
  <c r="G10" i="99"/>
  <c r="I10" i="99"/>
  <c r="G26" i="396"/>
  <c r="I26" i="396"/>
  <c r="I44" i="396"/>
  <c r="G44" i="396"/>
  <c r="G35" i="128"/>
  <c r="I35" i="128"/>
  <c r="G14" i="128"/>
  <c r="I14" i="128"/>
  <c r="I16" i="314"/>
  <c r="G16" i="314"/>
  <c r="G10" i="314"/>
  <c r="I10" i="314"/>
  <c r="I35" i="9"/>
  <c r="G35" i="9"/>
  <c r="E48" i="138"/>
  <c r="I43" i="339"/>
  <c r="G43" i="339"/>
  <c r="G35" i="339"/>
  <c r="I35" i="339"/>
  <c r="G18" i="226"/>
  <c r="I18" i="226"/>
  <c r="G10" i="257"/>
  <c r="I10" i="257"/>
  <c r="I37" i="257"/>
  <c r="G37" i="257"/>
  <c r="I22" i="403"/>
  <c r="G22" i="403"/>
  <c r="I27" i="87"/>
  <c r="G27" i="87"/>
  <c r="I22" i="87"/>
  <c r="G22" i="87"/>
  <c r="I26" i="202"/>
  <c r="G26" i="202"/>
  <c r="G36" i="202"/>
  <c r="I36" i="202"/>
  <c r="I17" i="169"/>
  <c r="G17" i="169"/>
  <c r="I35" i="169"/>
  <c r="G35" i="169"/>
  <c r="I15" i="101"/>
  <c r="G15" i="101"/>
  <c r="G36" i="5"/>
  <c r="I36" i="5"/>
  <c r="G34" i="201"/>
  <c r="I34" i="201"/>
  <c r="G10" i="201"/>
  <c r="I10" i="201"/>
  <c r="I11" i="213"/>
  <c r="G11" i="213"/>
  <c r="I38" i="71"/>
  <c r="G38" i="71"/>
  <c r="I14" i="71"/>
  <c r="G14" i="71"/>
  <c r="I26" i="220"/>
  <c r="G26" i="220"/>
  <c r="I42" i="281"/>
  <c r="G42" i="281"/>
  <c r="G43" i="452"/>
  <c r="I43" i="452"/>
  <c r="I19" i="395"/>
  <c r="F19" i="395" s="1"/>
  <c r="G19" i="395" s="1"/>
  <c r="I18" i="34"/>
  <c r="G18" i="34"/>
  <c r="I15" i="34"/>
  <c r="G15" i="34"/>
  <c r="G22" i="227"/>
  <c r="I22" i="227"/>
  <c r="G14" i="227"/>
  <c r="I14" i="227"/>
  <c r="I38" i="102"/>
  <c r="G38" i="102"/>
  <c r="G14" i="102"/>
  <c r="I14" i="102"/>
  <c r="I22" i="33"/>
  <c r="G22" i="33"/>
  <c r="G37" i="33"/>
  <c r="I37" i="33"/>
  <c r="I11" i="83"/>
  <c r="G11" i="83"/>
  <c r="I34" i="83"/>
  <c r="G34" i="83"/>
  <c r="G42" i="240"/>
  <c r="I42" i="240"/>
  <c r="G17" i="240"/>
  <c r="I17" i="240"/>
  <c r="I15" i="432"/>
  <c r="G15" i="432"/>
  <c r="I42" i="454"/>
  <c r="G42" i="454"/>
  <c r="G34" i="454"/>
  <c r="I34" i="454"/>
  <c r="I12" i="116"/>
  <c r="G12" i="116"/>
  <c r="I34" i="47"/>
  <c r="G34" i="47"/>
  <c r="G17" i="47"/>
  <c r="I17" i="47"/>
  <c r="G37" i="357"/>
  <c r="I37" i="357"/>
  <c r="G22" i="357"/>
  <c r="I22" i="357"/>
  <c r="I32" i="66"/>
  <c r="F32" i="66" s="1"/>
  <c r="G32" i="66" s="1"/>
  <c r="G38" i="251"/>
  <c r="I38" i="251"/>
  <c r="G16" i="251"/>
  <c r="I16" i="251"/>
  <c r="I18" i="397"/>
  <c r="G18" i="397"/>
  <c r="G44" i="397"/>
  <c r="I44" i="397"/>
  <c r="I19" i="312"/>
  <c r="F19" i="312" s="1"/>
  <c r="G19" i="312" s="1"/>
  <c r="G10" i="313"/>
  <c r="I10" i="313"/>
  <c r="I12" i="313"/>
  <c r="G12" i="313"/>
  <c r="I21" i="325"/>
  <c r="G21" i="325"/>
  <c r="I12" i="325"/>
  <c r="G12" i="325"/>
  <c r="G11" i="133"/>
  <c r="I11" i="133"/>
  <c r="I17" i="133"/>
  <c r="G17" i="133"/>
  <c r="G35" i="274"/>
  <c r="I35" i="274"/>
  <c r="G18" i="175"/>
  <c r="I18" i="175"/>
  <c r="G35" i="175"/>
  <c r="I35" i="175"/>
  <c r="I37" i="156"/>
  <c r="G37" i="156"/>
  <c r="I35" i="156"/>
  <c r="G35" i="156"/>
  <c r="G18" i="256"/>
  <c r="I18" i="256"/>
  <c r="I39" i="256"/>
  <c r="G39" i="256"/>
  <c r="I13" i="279"/>
  <c r="G13" i="279"/>
  <c r="I15" i="279"/>
  <c r="G15" i="279"/>
  <c r="G39" i="84"/>
  <c r="I39" i="84"/>
  <c r="G17" i="84"/>
  <c r="I17" i="84"/>
  <c r="G27" i="3"/>
  <c r="I27" i="3"/>
  <c r="I39" i="3"/>
  <c r="G39" i="3"/>
  <c r="I16" i="243"/>
  <c r="G16" i="243"/>
  <c r="I12" i="243"/>
  <c r="G12" i="243"/>
  <c r="I10" i="205"/>
  <c r="G10" i="205"/>
  <c r="I12" i="190"/>
  <c r="G12" i="190"/>
  <c r="I21" i="190"/>
  <c r="G21" i="190"/>
  <c r="I46" i="74"/>
  <c r="F46" i="74" s="1"/>
  <c r="G46" i="74" s="1"/>
  <c r="I10" i="329"/>
  <c r="G10" i="329"/>
  <c r="I11" i="329"/>
  <c r="G11" i="329"/>
  <c r="I35" i="193"/>
  <c r="G35" i="193"/>
  <c r="I28" i="193"/>
  <c r="G28" i="193"/>
  <c r="G29" i="163"/>
  <c r="I29" i="163"/>
  <c r="I28" i="309"/>
  <c r="G28" i="309"/>
  <c r="G16" i="333"/>
  <c r="I16" i="333"/>
  <c r="I46" i="280"/>
  <c r="F46" i="280" s="1"/>
  <c r="G46" i="280" s="1"/>
  <c r="I10" i="245"/>
  <c r="G10" i="245"/>
  <c r="I37" i="245"/>
  <c r="G37" i="245"/>
  <c r="I34" i="172"/>
  <c r="G34" i="172"/>
  <c r="G28" i="172"/>
  <c r="I28" i="172"/>
  <c r="I37" i="442"/>
  <c r="G37" i="442"/>
  <c r="G16" i="369"/>
  <c r="I16" i="369"/>
  <c r="G37" i="369"/>
  <c r="I37" i="369"/>
  <c r="I18" i="93"/>
  <c r="G18" i="93"/>
  <c r="G12" i="93"/>
  <c r="I12" i="93"/>
  <c r="G34" i="173"/>
  <c r="I34" i="173"/>
  <c r="G37" i="173"/>
  <c r="I37" i="173"/>
  <c r="G14" i="377"/>
  <c r="I14" i="377"/>
  <c r="G23" i="347"/>
  <c r="I23" i="347"/>
  <c r="G42" i="347"/>
  <c r="I42" i="347"/>
  <c r="I35" i="104"/>
  <c r="G35" i="104"/>
  <c r="F12" i="286"/>
  <c r="F43" i="286"/>
  <c r="F16" i="286"/>
  <c r="F35" i="286"/>
  <c r="F17" i="286"/>
  <c r="F30" i="286"/>
  <c r="F39" i="286"/>
  <c r="F28" i="286"/>
  <c r="F42" i="286"/>
  <c r="F22" i="286"/>
  <c r="F26" i="286"/>
  <c r="F10" i="286"/>
  <c r="F36" i="286"/>
  <c r="F34" i="286"/>
  <c r="F13" i="286"/>
  <c r="F21" i="286"/>
  <c r="F11" i="286"/>
  <c r="F27" i="286"/>
  <c r="F18" i="286"/>
  <c r="F44" i="286"/>
  <c r="F14" i="286"/>
  <c r="F15" i="286"/>
  <c r="F29" i="286"/>
  <c r="F31" i="286"/>
  <c r="F38" i="286"/>
  <c r="F37" i="286"/>
  <c r="F45" i="286"/>
  <c r="G45" i="286" s="1"/>
  <c r="F23" i="286"/>
  <c r="I43" i="192"/>
  <c r="G43" i="192"/>
  <c r="I30" i="6"/>
  <c r="G30" i="6"/>
  <c r="I37" i="52"/>
  <c r="G37" i="52"/>
  <c r="I34" i="52"/>
  <c r="G34" i="52"/>
  <c r="I36" i="393"/>
  <c r="G36" i="393"/>
  <c r="I10" i="249"/>
  <c r="G10" i="249"/>
  <c r="G15" i="377"/>
  <c r="I15" i="377"/>
  <c r="I32" i="145"/>
  <c r="F32" i="145" s="1"/>
  <c r="G32" i="145" s="1"/>
  <c r="I14" i="235"/>
  <c r="G14" i="235"/>
  <c r="I13" i="235"/>
  <c r="G13" i="235"/>
  <c r="I21" i="404"/>
  <c r="G21" i="404"/>
  <c r="G27" i="229"/>
  <c r="I27" i="229"/>
  <c r="I21" i="343"/>
  <c r="G21" i="343"/>
  <c r="I10" i="343"/>
  <c r="G10" i="343"/>
  <c r="G27" i="160"/>
  <c r="I27" i="160"/>
  <c r="G22" i="160"/>
  <c r="I22" i="160"/>
  <c r="I37" i="374"/>
  <c r="G37" i="374"/>
  <c r="I36" i="168"/>
  <c r="G36" i="168"/>
  <c r="G35" i="168"/>
  <c r="I35" i="168"/>
  <c r="G42" i="261"/>
  <c r="I42" i="261"/>
  <c r="G28" i="273"/>
  <c r="I28" i="273"/>
  <c r="I35" i="212"/>
  <c r="G35" i="212"/>
  <c r="I16" i="301"/>
  <c r="G16" i="301"/>
  <c r="I39" i="379"/>
  <c r="G39" i="379"/>
  <c r="G34" i="379"/>
  <c r="I34" i="379"/>
  <c r="I21" i="208"/>
  <c r="G21" i="208"/>
  <c r="I13" i="208"/>
  <c r="G13" i="208"/>
  <c r="G27" i="138"/>
  <c r="I27" i="138"/>
  <c r="I14" i="138"/>
  <c r="G14" i="138"/>
  <c r="I34" i="203"/>
  <c r="G34" i="203"/>
  <c r="G23" i="203"/>
  <c r="I23" i="203"/>
  <c r="G44" i="352"/>
  <c r="I44" i="352"/>
  <c r="I34" i="69"/>
  <c r="G34" i="69"/>
  <c r="I13" i="69"/>
  <c r="G13" i="69"/>
  <c r="I16" i="342"/>
  <c r="G16" i="342"/>
  <c r="G10" i="109"/>
  <c r="I10" i="109"/>
  <c r="G18" i="284"/>
  <c r="I18" i="284"/>
  <c r="I11" i="420"/>
  <c r="G11" i="420"/>
  <c r="I28" i="393"/>
  <c r="G28" i="393"/>
  <c r="G34" i="455"/>
  <c r="I34" i="455"/>
  <c r="I34" i="372"/>
  <c r="G34" i="372"/>
  <c r="G27" i="372"/>
  <c r="I27" i="372"/>
  <c r="I16" i="239"/>
  <c r="G16" i="239"/>
  <c r="G18" i="239"/>
  <c r="I18" i="239"/>
  <c r="I27" i="12"/>
  <c r="G27" i="12"/>
  <c r="G23" i="12"/>
  <c r="I23" i="12"/>
  <c r="G37" i="307"/>
  <c r="I37" i="307"/>
  <c r="I44" i="419"/>
  <c r="G44" i="419"/>
  <c r="G23" i="419"/>
  <c r="I23" i="419"/>
  <c r="G28" i="392"/>
  <c r="I28" i="392"/>
  <c r="I34" i="392"/>
  <c r="G34" i="392"/>
  <c r="I31" i="263"/>
  <c r="G31" i="263"/>
  <c r="I13" i="422"/>
  <c r="G13" i="422"/>
  <c r="I30" i="422"/>
  <c r="G30" i="422"/>
  <c r="G42" i="124"/>
  <c r="I42" i="124"/>
  <c r="G28" i="194"/>
  <c r="I28" i="194"/>
  <c r="I31" i="194"/>
  <c r="G31" i="194"/>
  <c r="I29" i="18"/>
  <c r="G29" i="18"/>
  <c r="G18" i="20"/>
  <c r="I18" i="20"/>
  <c r="I12" i="20"/>
  <c r="G12" i="20"/>
  <c r="I19" i="383"/>
  <c r="F19" i="383" s="1"/>
  <c r="G19" i="383" s="1"/>
  <c r="I15" i="299"/>
  <c r="G15" i="299"/>
  <c r="I37" i="338"/>
  <c r="G37" i="338"/>
  <c r="G34" i="338"/>
  <c r="I34" i="338"/>
  <c r="I19" i="66"/>
  <c r="F19" i="66" s="1"/>
  <c r="G19" i="66" s="1"/>
  <c r="G30" i="144"/>
  <c r="I30" i="144"/>
  <c r="I43" i="144"/>
  <c r="G43" i="144"/>
  <c r="I13" i="22"/>
  <c r="G13" i="22"/>
  <c r="G42" i="22"/>
  <c r="I42" i="22"/>
  <c r="G13" i="79"/>
  <c r="I13" i="79"/>
  <c r="I10" i="79"/>
  <c r="G10" i="79"/>
  <c r="I30" i="326"/>
  <c r="G30" i="326"/>
  <c r="I12" i="326"/>
  <c r="G12" i="326"/>
  <c r="G10" i="15"/>
  <c r="I10" i="15"/>
  <c r="I14" i="15"/>
  <c r="G14" i="15"/>
  <c r="G35" i="68"/>
  <c r="I35" i="68"/>
  <c r="G28" i="68"/>
  <c r="I28" i="68"/>
  <c r="G35" i="95"/>
  <c r="I35" i="95"/>
  <c r="I31" i="95"/>
  <c r="G31" i="95"/>
  <c r="I27" i="86"/>
  <c r="G27" i="86"/>
  <c r="I38" i="86"/>
  <c r="G38" i="86"/>
  <c r="G37" i="237"/>
  <c r="I37" i="237"/>
  <c r="I17" i="237"/>
  <c r="G17" i="237"/>
  <c r="I39" i="458"/>
  <c r="G39" i="458"/>
  <c r="G36" i="298"/>
  <c r="I36" i="298"/>
  <c r="G13" i="298"/>
  <c r="I13" i="298"/>
  <c r="G15" i="29"/>
  <c r="I15" i="29"/>
  <c r="I34" i="29"/>
  <c r="G34" i="29"/>
  <c r="I14" i="11"/>
  <c r="G14" i="11"/>
  <c r="I12" i="11"/>
  <c r="G12" i="11"/>
  <c r="G18" i="367"/>
  <c r="I18" i="367"/>
  <c r="I15" i="367"/>
  <c r="G15" i="367"/>
  <c r="I13" i="249"/>
  <c r="G13" i="249"/>
  <c r="G12" i="249"/>
  <c r="I12" i="249"/>
  <c r="I15" i="152"/>
  <c r="G15" i="152"/>
  <c r="I18" i="152"/>
  <c r="G18" i="152"/>
  <c r="I14" i="40"/>
  <c r="G14" i="40"/>
  <c r="I34" i="40"/>
  <c r="G34" i="40"/>
  <c r="I43" i="460"/>
  <c r="G43" i="460"/>
  <c r="G15" i="460"/>
  <c r="I15" i="460"/>
  <c r="I13" i="233"/>
  <c r="G13" i="233"/>
  <c r="I31" i="233"/>
  <c r="G31" i="233"/>
  <c r="I16" i="139"/>
  <c r="G16" i="139"/>
  <c r="I26" i="139"/>
  <c r="G26" i="139"/>
  <c r="I26" i="141"/>
  <c r="G26" i="141"/>
  <c r="I30" i="141"/>
  <c r="G30" i="141"/>
  <c r="I34" i="174"/>
  <c r="G34" i="174"/>
  <c r="G22" i="174"/>
  <c r="I22" i="174"/>
  <c r="G10" i="448"/>
  <c r="I10" i="448"/>
  <c r="G35" i="223"/>
  <c r="I35" i="223"/>
  <c r="G37" i="223"/>
  <c r="I37" i="223"/>
  <c r="I32" i="42"/>
  <c r="F32" i="42" s="1"/>
  <c r="G32" i="42" s="1"/>
  <c r="G21" i="324"/>
  <c r="I21" i="324"/>
  <c r="G34" i="56"/>
  <c r="I34" i="56"/>
  <c r="G28" i="56"/>
  <c r="I28" i="56"/>
  <c r="I36" i="90"/>
  <c r="G36" i="90"/>
  <c r="I21" i="90"/>
  <c r="G21" i="90"/>
  <c r="I27" i="99"/>
  <c r="G27" i="99"/>
  <c r="I27" i="396"/>
  <c r="G27" i="396"/>
  <c r="G12" i="396"/>
  <c r="I12" i="396"/>
  <c r="G21" i="128"/>
  <c r="I21" i="128"/>
  <c r="G26" i="128"/>
  <c r="I26" i="128"/>
  <c r="I43" i="314"/>
  <c r="G43" i="314"/>
  <c r="I13" i="314"/>
  <c r="G13" i="314"/>
  <c r="G36" i="9"/>
  <c r="I36" i="9"/>
  <c r="I46" i="217"/>
  <c r="F46" i="217" s="1"/>
  <c r="G46" i="217" s="1"/>
  <c r="G10" i="339"/>
  <c r="I10" i="339"/>
  <c r="I43" i="226"/>
  <c r="G43" i="226"/>
  <c r="I21" i="226"/>
  <c r="G21" i="226"/>
  <c r="I43" i="257"/>
  <c r="G43" i="257"/>
  <c r="I26" i="257"/>
  <c r="G26" i="257"/>
  <c r="I27" i="403"/>
  <c r="G27" i="403"/>
  <c r="I34" i="403"/>
  <c r="G34" i="403"/>
  <c r="G11" i="87"/>
  <c r="I11" i="87"/>
  <c r="G10" i="87"/>
  <c r="I10" i="87"/>
  <c r="G28" i="202"/>
  <c r="I28" i="202"/>
  <c r="I27" i="202"/>
  <c r="G27" i="202"/>
  <c r="G39" i="169"/>
  <c r="I39" i="169"/>
  <c r="I21" i="169"/>
  <c r="G21" i="169"/>
  <c r="I39" i="101"/>
  <c r="G39" i="101"/>
  <c r="I10" i="101"/>
  <c r="G10" i="101"/>
  <c r="I16" i="5"/>
  <c r="G16" i="5"/>
  <c r="I44" i="201"/>
  <c r="G44" i="201"/>
  <c r="I42" i="201"/>
  <c r="G42" i="201"/>
  <c r="I32" i="63"/>
  <c r="F32" i="63" s="1"/>
  <c r="G32" i="63" s="1"/>
  <c r="G38" i="213"/>
  <c r="I38" i="213"/>
  <c r="I30" i="71"/>
  <c r="G30" i="71"/>
  <c r="G18" i="71"/>
  <c r="I18" i="71"/>
  <c r="G39" i="220"/>
  <c r="I39" i="220"/>
  <c r="I38" i="281"/>
  <c r="G38" i="281"/>
  <c r="G31" i="452"/>
  <c r="I31" i="452"/>
  <c r="I37" i="452"/>
  <c r="G37" i="452"/>
  <c r="I19" i="70"/>
  <c r="F19" i="70" s="1"/>
  <c r="G19" i="70" s="1"/>
  <c r="G11" i="34"/>
  <c r="I11" i="34"/>
  <c r="I39" i="227"/>
  <c r="G39" i="227"/>
  <c r="I13" i="227"/>
  <c r="G13" i="227"/>
  <c r="I29" i="102"/>
  <c r="G29" i="102"/>
  <c r="G18" i="102"/>
  <c r="I18" i="102"/>
  <c r="I44" i="33"/>
  <c r="G44" i="33"/>
  <c r="G11" i="33"/>
  <c r="I11" i="33"/>
  <c r="I18" i="83"/>
  <c r="G18" i="83"/>
  <c r="I13" i="83"/>
  <c r="G13" i="83"/>
  <c r="I18" i="240"/>
  <c r="G18" i="240"/>
  <c r="G34" i="240"/>
  <c r="I34" i="240"/>
  <c r="G34" i="432"/>
  <c r="I34" i="432"/>
  <c r="G44" i="454"/>
  <c r="I44" i="454"/>
  <c r="I28" i="454"/>
  <c r="G28" i="454"/>
  <c r="I26" i="116"/>
  <c r="G26" i="116"/>
  <c r="I23" i="47"/>
  <c r="G23" i="47"/>
  <c r="G42" i="47"/>
  <c r="I42" i="47"/>
  <c r="I39" i="357"/>
  <c r="G39" i="357"/>
  <c r="I26" i="357"/>
  <c r="G26" i="357"/>
  <c r="G29" i="251"/>
  <c r="I29" i="251"/>
  <c r="I39" i="251"/>
  <c r="G39" i="251"/>
  <c r="G17" i="397"/>
  <c r="I17" i="397"/>
  <c r="G30" i="313"/>
  <c r="I30" i="313"/>
  <c r="G37" i="313"/>
  <c r="I37" i="313"/>
  <c r="G35" i="325"/>
  <c r="I35" i="325"/>
  <c r="I13" i="325"/>
  <c r="G13" i="325"/>
  <c r="I16" i="133"/>
  <c r="G16" i="133"/>
  <c r="I23" i="133"/>
  <c r="G23" i="133"/>
  <c r="G16" i="274"/>
  <c r="I16" i="274"/>
  <c r="I31" i="175"/>
  <c r="G31" i="175"/>
  <c r="I16" i="175"/>
  <c r="G16" i="175"/>
  <c r="I16" i="156"/>
  <c r="G16" i="156"/>
  <c r="G22" i="156"/>
  <c r="I22" i="156"/>
  <c r="I38" i="256"/>
  <c r="G38" i="256"/>
  <c r="I15" i="256"/>
  <c r="G15" i="256"/>
  <c r="G39" i="279"/>
  <c r="I39" i="279"/>
  <c r="I11" i="279"/>
  <c r="G11" i="279"/>
  <c r="I31" i="84"/>
  <c r="G31" i="84"/>
  <c r="I42" i="84"/>
  <c r="G42" i="84"/>
  <c r="G34" i="3"/>
  <c r="I34" i="3"/>
  <c r="I40" i="3" s="1"/>
  <c r="F40" i="3" s="1"/>
  <c r="G40" i="3" s="1"/>
  <c r="I21" i="3"/>
  <c r="G21" i="3"/>
  <c r="I14" i="243"/>
  <c r="G14" i="243"/>
  <c r="G28" i="243"/>
  <c r="I28" i="243"/>
  <c r="I23" i="205"/>
  <c r="G23" i="205"/>
  <c r="G38" i="205"/>
  <c r="I38" i="205"/>
  <c r="I22" i="190"/>
  <c r="G22" i="190"/>
  <c r="I44" i="190"/>
  <c r="G44" i="190"/>
  <c r="G44" i="329"/>
  <c r="I44" i="329"/>
  <c r="I35" i="329"/>
  <c r="G35" i="329"/>
  <c r="I34" i="193"/>
  <c r="G34" i="193"/>
  <c r="I31" i="193"/>
  <c r="G31" i="193"/>
  <c r="G35" i="163"/>
  <c r="I35" i="163"/>
  <c r="G30" i="309"/>
  <c r="I30" i="309"/>
  <c r="G43" i="333"/>
  <c r="I43" i="333"/>
  <c r="G42" i="245"/>
  <c r="I42" i="245"/>
  <c r="I29" i="245"/>
  <c r="G29" i="245"/>
  <c r="I17" i="172"/>
  <c r="G17" i="172"/>
  <c r="G38" i="172"/>
  <c r="I38" i="172"/>
  <c r="I43" i="442"/>
  <c r="G43" i="442"/>
  <c r="I27" i="442"/>
  <c r="G27" i="442"/>
  <c r="E48" i="6"/>
  <c r="I27" i="369"/>
  <c r="G27" i="369"/>
  <c r="I15" i="93"/>
  <c r="G15" i="93"/>
  <c r="I42" i="173"/>
  <c r="G42" i="173"/>
  <c r="I12" i="173"/>
  <c r="G12" i="173"/>
  <c r="I28" i="377"/>
  <c r="G28" i="377"/>
  <c r="I13" i="377"/>
  <c r="G13" i="377"/>
  <c r="I44" i="347"/>
  <c r="G44" i="347"/>
  <c r="I31" i="347"/>
  <c r="G31" i="347"/>
  <c r="I21" i="104"/>
  <c r="G21" i="104"/>
  <c r="I38" i="192"/>
  <c r="G38" i="192"/>
  <c r="G15" i="6"/>
  <c r="I15" i="6"/>
  <c r="G43" i="52"/>
  <c r="I43" i="52"/>
  <c r="G30" i="379"/>
  <c r="I30" i="379"/>
  <c r="I36" i="422"/>
  <c r="G36" i="422"/>
  <c r="I46" i="121"/>
  <c r="F46" i="121" s="1"/>
  <c r="G46" i="121" s="1"/>
  <c r="I19" i="331"/>
  <c r="F19" i="331" s="1"/>
  <c r="G19" i="331" s="1"/>
  <c r="G43" i="235"/>
  <c r="I43" i="235"/>
  <c r="I23" i="235"/>
  <c r="G23" i="235"/>
  <c r="G31" i="404"/>
  <c r="I31" i="404"/>
  <c r="G27" i="404"/>
  <c r="I27" i="404"/>
  <c r="I35" i="229"/>
  <c r="G35" i="229"/>
  <c r="I39" i="229"/>
  <c r="G39" i="229"/>
  <c r="I12" i="343"/>
  <c r="G12" i="343"/>
  <c r="G39" i="160"/>
  <c r="I39" i="160"/>
  <c r="I26" i="160"/>
  <c r="G26" i="160"/>
  <c r="I34" i="374"/>
  <c r="G34" i="374"/>
  <c r="I38" i="374"/>
  <c r="G38" i="374"/>
  <c r="I39" i="168"/>
  <c r="G39" i="168"/>
  <c r="I27" i="168"/>
  <c r="G27" i="168"/>
  <c r="G11" i="261"/>
  <c r="I11" i="261"/>
  <c r="I39" i="261"/>
  <c r="G39" i="261"/>
  <c r="G29" i="273"/>
  <c r="I29" i="273"/>
  <c r="I38" i="273"/>
  <c r="G38" i="273"/>
  <c r="I40" i="290"/>
  <c r="F40" i="290" s="1"/>
  <c r="G40" i="290" s="1"/>
  <c r="I43" i="212"/>
  <c r="G43" i="212"/>
  <c r="I44" i="301"/>
  <c r="G44" i="301"/>
  <c r="G38" i="379"/>
  <c r="I38" i="379"/>
  <c r="G12" i="379"/>
  <c r="I12" i="379"/>
  <c r="I10" i="208"/>
  <c r="G10" i="208"/>
  <c r="I16" i="138"/>
  <c r="G16" i="138"/>
  <c r="G37" i="138"/>
  <c r="I37" i="138"/>
  <c r="G43" i="203"/>
  <c r="I43" i="203"/>
  <c r="I37" i="203"/>
  <c r="G37" i="203"/>
  <c r="I43" i="352"/>
  <c r="G43" i="352"/>
  <c r="I43" i="69"/>
  <c r="G43" i="69"/>
  <c r="I16" i="69"/>
  <c r="G16" i="69"/>
  <c r="I14" i="342"/>
  <c r="G14" i="342"/>
  <c r="I13" i="109"/>
  <c r="G13" i="109"/>
  <c r="I18" i="420"/>
  <c r="G18" i="420"/>
  <c r="I17" i="393"/>
  <c r="G17" i="393"/>
  <c r="I43" i="393"/>
  <c r="G43" i="393"/>
  <c r="I21" i="455"/>
  <c r="G21" i="455"/>
  <c r="G42" i="372"/>
  <c r="I42" i="372"/>
  <c r="I17" i="372"/>
  <c r="G17" i="372"/>
  <c r="I11" i="239"/>
  <c r="G11" i="239"/>
  <c r="G27" i="239"/>
  <c r="I27" i="239"/>
  <c r="I13" i="12"/>
  <c r="G13" i="12"/>
  <c r="G28" i="307"/>
  <c r="I28" i="307"/>
  <c r="I21" i="419"/>
  <c r="G21" i="419"/>
  <c r="I35" i="419"/>
  <c r="G35" i="419"/>
  <c r="I21" i="392"/>
  <c r="G21" i="392"/>
  <c r="I38" i="392"/>
  <c r="G38" i="392"/>
  <c r="I27" i="422"/>
  <c r="G27" i="422"/>
  <c r="I15" i="124"/>
  <c r="G15" i="124"/>
  <c r="I44" i="124"/>
  <c r="G44" i="124"/>
  <c r="I17" i="194"/>
  <c r="G17" i="194"/>
  <c r="I43" i="194"/>
  <c r="G43" i="194"/>
  <c r="G42" i="18"/>
  <c r="I42" i="18"/>
  <c r="G39" i="20"/>
  <c r="I39" i="20"/>
  <c r="I26" i="20"/>
  <c r="G26" i="20"/>
  <c r="G10" i="299"/>
  <c r="I10" i="299"/>
  <c r="G10" i="338"/>
  <c r="I10" i="338"/>
  <c r="I42" i="338"/>
  <c r="G42" i="338"/>
  <c r="I23" i="144"/>
  <c r="G23" i="144"/>
  <c r="I11" i="144"/>
  <c r="G11" i="144"/>
  <c r="I31" i="22"/>
  <c r="G31" i="22"/>
  <c r="G35" i="22"/>
  <c r="I35" i="22"/>
  <c r="G35" i="79"/>
  <c r="I35" i="79"/>
  <c r="I26" i="79"/>
  <c r="G26" i="79"/>
  <c r="G10" i="326"/>
  <c r="I10" i="326"/>
  <c r="G37" i="326"/>
  <c r="I37" i="326"/>
  <c r="I27" i="15"/>
  <c r="G27" i="15"/>
  <c r="I31" i="68"/>
  <c r="G31" i="68"/>
  <c r="I22" i="68"/>
  <c r="G22" i="68"/>
  <c r="I34" i="95"/>
  <c r="G34" i="95"/>
  <c r="I22" i="95"/>
  <c r="G22" i="95"/>
  <c r="G17" i="86"/>
  <c r="I17" i="86"/>
  <c r="I23" i="86"/>
  <c r="G23" i="86"/>
  <c r="I43" i="237"/>
  <c r="G43" i="237"/>
  <c r="I34" i="237"/>
  <c r="G34" i="237"/>
  <c r="G42" i="458"/>
  <c r="I42" i="458"/>
  <c r="I11" i="458"/>
  <c r="G11" i="458"/>
  <c r="I11" i="298"/>
  <c r="G11" i="298"/>
  <c r="G16" i="298"/>
  <c r="I16" i="298"/>
  <c r="I22" i="29"/>
  <c r="G22" i="29"/>
  <c r="I27" i="29"/>
  <c r="G27" i="29"/>
  <c r="I22" i="11"/>
  <c r="G22" i="11"/>
  <c r="I36" i="11"/>
  <c r="G36" i="11"/>
  <c r="G37" i="367"/>
  <c r="I37" i="367"/>
  <c r="I36" i="367"/>
  <c r="G36" i="367"/>
  <c r="G43" i="249"/>
  <c r="I43" i="249"/>
  <c r="G31" i="249"/>
  <c r="I31" i="249"/>
  <c r="I17" i="152"/>
  <c r="G17" i="152"/>
  <c r="I44" i="152"/>
  <c r="G44" i="152"/>
  <c r="G31" i="40"/>
  <c r="I31" i="40"/>
  <c r="G39" i="40"/>
  <c r="I39" i="40"/>
  <c r="I30" i="460"/>
  <c r="G30" i="460"/>
  <c r="G26" i="460"/>
  <c r="I26" i="460"/>
  <c r="G35" i="233"/>
  <c r="I35" i="233"/>
  <c r="I39" i="233"/>
  <c r="G39" i="233"/>
  <c r="I34" i="139"/>
  <c r="G34" i="139"/>
  <c r="I39" i="139"/>
  <c r="G39" i="139"/>
  <c r="G28" i="141"/>
  <c r="I28" i="141"/>
  <c r="G37" i="141"/>
  <c r="I37" i="141"/>
  <c r="I13" i="174"/>
  <c r="G13" i="174"/>
  <c r="G37" i="174"/>
  <c r="I37" i="174"/>
  <c r="G31" i="448"/>
  <c r="I31" i="448"/>
  <c r="G16" i="448"/>
  <c r="I16" i="448"/>
  <c r="I12" i="223"/>
  <c r="G12" i="223"/>
  <c r="I38" i="324"/>
  <c r="G38" i="324"/>
  <c r="I36" i="324"/>
  <c r="G36" i="324"/>
  <c r="I23" i="56"/>
  <c r="G23" i="56"/>
  <c r="G11" i="56"/>
  <c r="I11" i="56"/>
  <c r="I11" i="90"/>
  <c r="G11" i="90"/>
  <c r="I43" i="90"/>
  <c r="G43" i="90"/>
  <c r="I43" i="99"/>
  <c r="G43" i="99"/>
  <c r="I23" i="396"/>
  <c r="G23" i="396"/>
  <c r="I31" i="396"/>
  <c r="G31" i="396"/>
  <c r="I27" i="128"/>
  <c r="G27" i="128"/>
  <c r="I16" i="128"/>
  <c r="G16" i="128"/>
  <c r="G14" i="314"/>
  <c r="I14" i="314"/>
  <c r="I29" i="314"/>
  <c r="G29" i="314"/>
  <c r="I14" i="9"/>
  <c r="G14" i="9"/>
  <c r="G37" i="339"/>
  <c r="I37" i="339"/>
  <c r="G23" i="339"/>
  <c r="I23" i="339"/>
  <c r="G12" i="226"/>
  <c r="I12" i="226"/>
  <c r="G29" i="226"/>
  <c r="I29" i="226"/>
  <c r="I13" i="257"/>
  <c r="G13" i="257"/>
  <c r="I38" i="403"/>
  <c r="G38" i="403"/>
  <c r="G42" i="403"/>
  <c r="I42" i="403"/>
  <c r="I15" i="87"/>
  <c r="G15" i="87"/>
  <c r="I21" i="87"/>
  <c r="G21" i="87"/>
  <c r="I12" i="202"/>
  <c r="G12" i="202"/>
  <c r="I23" i="202"/>
  <c r="G23" i="202"/>
  <c r="I30" i="169"/>
  <c r="G30" i="169"/>
  <c r="G22" i="169"/>
  <c r="I22" i="169"/>
  <c r="I18" i="101"/>
  <c r="G18" i="101"/>
  <c r="I36" i="101"/>
  <c r="G36" i="101"/>
  <c r="I11" i="5"/>
  <c r="G11" i="5"/>
  <c r="G23" i="201"/>
  <c r="I23" i="201"/>
  <c r="G28" i="201"/>
  <c r="I28" i="201"/>
  <c r="G21" i="213"/>
  <c r="I21" i="213"/>
  <c r="G10" i="71"/>
  <c r="I10" i="71"/>
  <c r="I22" i="220"/>
  <c r="G22" i="220"/>
  <c r="I40" i="206"/>
  <c r="F40" i="206" s="1"/>
  <c r="G40" i="206" s="1"/>
  <c r="I35" i="281"/>
  <c r="G35" i="281"/>
  <c r="I17" i="452"/>
  <c r="G17" i="452"/>
  <c r="G23" i="452"/>
  <c r="I23" i="452"/>
  <c r="G44" i="34"/>
  <c r="I44" i="34"/>
  <c r="I37" i="34"/>
  <c r="G37" i="34"/>
  <c r="G36" i="227"/>
  <c r="I36" i="227"/>
  <c r="I38" i="227"/>
  <c r="G38" i="227"/>
  <c r="I10" i="102"/>
  <c r="G10" i="102"/>
  <c r="I13" i="102"/>
  <c r="G13" i="102"/>
  <c r="I38" i="33"/>
  <c r="G38" i="33"/>
  <c r="I28" i="33"/>
  <c r="G28" i="33"/>
  <c r="G21" i="83"/>
  <c r="I21" i="83"/>
  <c r="G17" i="83"/>
  <c r="I17" i="83"/>
  <c r="I36" i="240"/>
  <c r="G36" i="240"/>
  <c r="G28" i="240"/>
  <c r="I28" i="240"/>
  <c r="G31" i="432"/>
  <c r="I31" i="432"/>
  <c r="G31" i="454"/>
  <c r="I31" i="454"/>
  <c r="G10" i="454"/>
  <c r="I10" i="454"/>
  <c r="G36" i="116"/>
  <c r="I36" i="116"/>
  <c r="I12" i="47"/>
  <c r="G12" i="47"/>
  <c r="I10" i="357"/>
  <c r="G10" i="357"/>
  <c r="I15" i="251"/>
  <c r="G15" i="251"/>
  <c r="G26" i="251"/>
  <c r="I26" i="251"/>
  <c r="I10" i="397"/>
  <c r="G10" i="397"/>
  <c r="I46" i="94"/>
  <c r="F46" i="94" s="1"/>
  <c r="G46" i="94" s="1"/>
  <c r="G16" i="313"/>
  <c r="I16" i="313"/>
  <c r="I42" i="325"/>
  <c r="G42" i="325"/>
  <c r="I29" i="325"/>
  <c r="G29" i="325"/>
  <c r="G18" i="133"/>
  <c r="I18" i="133"/>
  <c r="I27" i="133"/>
  <c r="G27" i="133"/>
  <c r="G21" i="274"/>
  <c r="I21" i="274"/>
  <c r="I12" i="175"/>
  <c r="G12" i="175"/>
  <c r="G11" i="156"/>
  <c r="I11" i="156"/>
  <c r="I36" i="156"/>
  <c r="G36" i="156"/>
  <c r="I12" i="256"/>
  <c r="G12" i="256"/>
  <c r="G29" i="256"/>
  <c r="I29" i="256"/>
  <c r="I21" i="279"/>
  <c r="G21" i="279"/>
  <c r="I28" i="279"/>
  <c r="G28" i="279"/>
  <c r="G23" i="84"/>
  <c r="I23" i="84"/>
  <c r="G44" i="84"/>
  <c r="I44" i="84"/>
  <c r="I35" i="3"/>
  <c r="G35" i="3"/>
  <c r="G42" i="243"/>
  <c r="I42" i="243"/>
  <c r="G29" i="243"/>
  <c r="I29" i="243"/>
  <c r="I37" i="205"/>
  <c r="G37" i="205"/>
  <c r="G44" i="205"/>
  <c r="I44" i="205"/>
  <c r="I23" i="190"/>
  <c r="G23" i="190"/>
  <c r="G37" i="190"/>
  <c r="I37" i="190"/>
  <c r="I24" i="74"/>
  <c r="F24" i="74" s="1"/>
  <c r="G24" i="74" s="1"/>
  <c r="G22" i="329"/>
  <c r="I22" i="329"/>
  <c r="I43" i="329"/>
  <c r="G43" i="329"/>
  <c r="I26" i="193"/>
  <c r="G26" i="193"/>
  <c r="I11" i="193"/>
  <c r="G11" i="193"/>
  <c r="G31" i="163"/>
  <c r="I31" i="163"/>
  <c r="I37" i="309"/>
  <c r="G37" i="309"/>
  <c r="I28" i="333"/>
  <c r="G28" i="333"/>
  <c r="I29" i="333"/>
  <c r="G29" i="333"/>
  <c r="I28" i="245"/>
  <c r="G28" i="245"/>
  <c r="I39" i="245"/>
  <c r="G39" i="245"/>
  <c r="I43" i="172"/>
  <c r="G43" i="172"/>
  <c r="I21" i="172"/>
  <c r="G21" i="172"/>
  <c r="G23" i="442"/>
  <c r="I23" i="442"/>
  <c r="G35" i="442"/>
  <c r="I35" i="442"/>
  <c r="I30" i="369"/>
  <c r="G30" i="369"/>
  <c r="I22" i="93"/>
  <c r="G22" i="93"/>
  <c r="I22" i="173"/>
  <c r="G22" i="173"/>
  <c r="I23" i="377"/>
  <c r="G23" i="377"/>
  <c r="I38" i="377"/>
  <c r="G38" i="377"/>
  <c r="I39" i="347"/>
  <c r="G39" i="347"/>
  <c r="I38" i="104"/>
  <c r="G38" i="104"/>
  <c r="G35" i="192"/>
  <c r="I35" i="192"/>
  <c r="I38" i="6"/>
  <c r="G38" i="6"/>
  <c r="I42" i="52"/>
  <c r="G42" i="52"/>
  <c r="I27" i="52"/>
  <c r="G27" i="52"/>
  <c r="I17" i="352"/>
  <c r="G17" i="352"/>
  <c r="G44" i="141"/>
  <c r="I44" i="141"/>
  <c r="I18" i="347"/>
  <c r="G18" i="347"/>
  <c r="I24" i="217"/>
  <c r="F24" i="217" s="1"/>
  <c r="G24" i="217" s="1"/>
  <c r="I29" i="235"/>
  <c r="G29" i="235"/>
  <c r="I12" i="235"/>
  <c r="G12" i="235"/>
  <c r="G39" i="404"/>
  <c r="I39" i="404"/>
  <c r="I22" i="404"/>
  <c r="G22" i="404"/>
  <c r="I16" i="229"/>
  <c r="G16" i="229"/>
  <c r="G13" i="229"/>
  <c r="I13" i="229"/>
  <c r="I29" i="343"/>
  <c r="G29" i="343"/>
  <c r="I15" i="343"/>
  <c r="G15" i="343"/>
  <c r="G35" i="160"/>
  <c r="I35" i="160"/>
  <c r="G12" i="160"/>
  <c r="I12" i="160"/>
  <c r="I22" i="374"/>
  <c r="G22" i="374"/>
  <c r="I15" i="374"/>
  <c r="G15" i="374"/>
  <c r="I16" i="168"/>
  <c r="G16" i="168"/>
  <c r="G34" i="168"/>
  <c r="I34" i="168"/>
  <c r="I34" i="261"/>
  <c r="G34" i="261"/>
  <c r="I22" i="261"/>
  <c r="G22" i="261"/>
  <c r="G36" i="273"/>
  <c r="I36" i="273"/>
  <c r="I40" i="331"/>
  <c r="F40" i="331" s="1"/>
  <c r="G40" i="331" s="1"/>
  <c r="G10" i="212"/>
  <c r="I10" i="212"/>
  <c r="G18" i="301"/>
  <c r="I18" i="301"/>
  <c r="G28" i="301"/>
  <c r="I28" i="301"/>
  <c r="I15" i="379"/>
  <c r="G15" i="379"/>
  <c r="I31" i="379"/>
  <c r="G31" i="379"/>
  <c r="G28" i="208"/>
  <c r="I28" i="208"/>
  <c r="I15" i="208"/>
  <c r="G15" i="208"/>
  <c r="I11" i="138"/>
  <c r="G11" i="138"/>
  <c r="G18" i="138"/>
  <c r="I18" i="138"/>
  <c r="I15" i="203"/>
  <c r="G15" i="203"/>
  <c r="G27" i="203"/>
  <c r="I27" i="203"/>
  <c r="I34" i="352"/>
  <c r="G34" i="352"/>
  <c r="I22" i="69"/>
  <c r="G22" i="69"/>
  <c r="I39" i="69"/>
  <c r="G39" i="69"/>
  <c r="I15" i="342"/>
  <c r="G15" i="342"/>
  <c r="I29" i="109"/>
  <c r="G29" i="109"/>
  <c r="G36" i="284"/>
  <c r="I36" i="284"/>
  <c r="I10" i="420"/>
  <c r="G10" i="420"/>
  <c r="G42" i="393"/>
  <c r="I42" i="393"/>
  <c r="I27" i="393"/>
  <c r="G27" i="393"/>
  <c r="I26" i="455"/>
  <c r="G26" i="455"/>
  <c r="G21" i="372"/>
  <c r="I21" i="372"/>
  <c r="G38" i="239"/>
  <c r="I38" i="239"/>
  <c r="I26" i="239"/>
  <c r="G26" i="239"/>
  <c r="G35" i="12"/>
  <c r="I35" i="12"/>
  <c r="I29" i="307"/>
  <c r="G29" i="307"/>
  <c r="G37" i="419"/>
  <c r="I37" i="419"/>
  <c r="G22" i="419"/>
  <c r="I22" i="419"/>
  <c r="I22" i="392"/>
  <c r="G22" i="392"/>
  <c r="G12" i="392"/>
  <c r="I12" i="392"/>
  <c r="G16" i="263"/>
  <c r="I16" i="263"/>
  <c r="I26" i="422"/>
  <c r="G26" i="422"/>
  <c r="G11" i="124"/>
  <c r="I11" i="124"/>
  <c r="G22" i="124"/>
  <c r="I22" i="124"/>
  <c r="I16" i="194"/>
  <c r="G16" i="194"/>
  <c r="I44" i="194"/>
  <c r="G44" i="194"/>
  <c r="I16" i="18"/>
  <c r="G16" i="18"/>
  <c r="G29" i="20"/>
  <c r="I29" i="20"/>
  <c r="I38" i="299"/>
  <c r="G38" i="299"/>
  <c r="G18" i="299"/>
  <c r="I18" i="299"/>
  <c r="I35" i="338"/>
  <c r="G35" i="338"/>
  <c r="G12" i="338"/>
  <c r="I12" i="338"/>
  <c r="I34" i="144"/>
  <c r="G34" i="144"/>
  <c r="G10" i="144"/>
  <c r="I10" i="144"/>
  <c r="G37" i="22"/>
  <c r="I37" i="22"/>
  <c r="G11" i="79"/>
  <c r="I11" i="79"/>
  <c r="I43" i="79"/>
  <c r="G43" i="79"/>
  <c r="I15" i="326"/>
  <c r="G15" i="326"/>
  <c r="G39" i="326"/>
  <c r="I39" i="326"/>
  <c r="I32" i="280"/>
  <c r="F32" i="280" s="1"/>
  <c r="G32" i="280" s="1"/>
  <c r="G37" i="15"/>
  <c r="I37" i="15"/>
  <c r="I35" i="15"/>
  <c r="G35" i="15"/>
  <c r="I21" i="68"/>
  <c r="G21" i="68"/>
  <c r="I42" i="95"/>
  <c r="G42" i="95"/>
  <c r="I22" i="86"/>
  <c r="G22" i="86"/>
  <c r="G42" i="237"/>
  <c r="I42" i="237"/>
  <c r="I29" i="458"/>
  <c r="G29" i="458"/>
  <c r="I30" i="458"/>
  <c r="G30" i="458"/>
  <c r="G18" i="298"/>
  <c r="I18" i="298"/>
  <c r="I35" i="298"/>
  <c r="G35" i="298"/>
  <c r="G12" i="29"/>
  <c r="I12" i="29"/>
  <c r="I32" i="105"/>
  <c r="F32" i="105" s="1"/>
  <c r="G32" i="105" s="1"/>
  <c r="I17" i="11"/>
  <c r="G17" i="11"/>
  <c r="I42" i="11"/>
  <c r="I46" i="11" s="1"/>
  <c r="F46" i="11" s="1"/>
  <c r="G46" i="11" s="1"/>
  <c r="G42" i="11"/>
  <c r="G27" i="367"/>
  <c r="I27" i="367"/>
  <c r="G35" i="367"/>
  <c r="I35" i="367"/>
  <c r="I42" i="249"/>
  <c r="G42" i="249"/>
  <c r="I27" i="249"/>
  <c r="G27" i="249"/>
  <c r="G21" i="152"/>
  <c r="I21" i="152"/>
  <c r="G16" i="152"/>
  <c r="I16" i="152"/>
  <c r="I12" i="40"/>
  <c r="G12" i="40"/>
  <c r="I23" i="40"/>
  <c r="G23" i="40"/>
  <c r="I39" i="460"/>
  <c r="G39" i="460"/>
  <c r="G10" i="460"/>
  <c r="I10" i="460"/>
  <c r="I40" i="217"/>
  <c r="F40" i="217" s="1"/>
  <c r="G40" i="217" s="1"/>
  <c r="I11" i="233"/>
  <c r="G11" i="233"/>
  <c r="I38" i="233"/>
  <c r="G38" i="233"/>
  <c r="I40" i="94"/>
  <c r="F40" i="94" s="1"/>
  <c r="G40" i="94" s="1"/>
  <c r="G13" i="139"/>
  <c r="I13" i="139"/>
  <c r="G11" i="139"/>
  <c r="I11" i="139"/>
  <c r="G38" i="141"/>
  <c r="I38" i="141"/>
  <c r="I21" i="141"/>
  <c r="G21" i="141"/>
  <c r="I14" i="174"/>
  <c r="G14" i="174"/>
  <c r="I39" i="174"/>
  <c r="G39" i="174"/>
  <c r="I30" i="448"/>
  <c r="G30" i="448"/>
  <c r="I34" i="448"/>
  <c r="G34" i="448"/>
  <c r="G12" i="324"/>
  <c r="I12" i="324"/>
  <c r="G31" i="324"/>
  <c r="I31" i="324"/>
  <c r="I18" i="56"/>
  <c r="G18" i="56"/>
  <c r="G37" i="90"/>
  <c r="I37" i="90"/>
  <c r="I29" i="90"/>
  <c r="G29" i="90"/>
  <c r="G22" i="99"/>
  <c r="I22" i="99"/>
  <c r="G38" i="396"/>
  <c r="I38" i="396"/>
  <c r="I13" i="128"/>
  <c r="G13" i="128"/>
  <c r="I37" i="314"/>
  <c r="G37" i="314"/>
  <c r="I34" i="314"/>
  <c r="G34" i="314"/>
  <c r="G37" i="9"/>
  <c r="I37" i="9"/>
  <c r="I23" i="9"/>
  <c r="G23" i="9"/>
  <c r="G44" i="339"/>
  <c r="I44" i="339"/>
  <c r="I34" i="339"/>
  <c r="G34" i="339"/>
  <c r="G13" i="226"/>
  <c r="I13" i="226"/>
  <c r="G37" i="226"/>
  <c r="I37" i="226"/>
  <c r="I14" i="257"/>
  <c r="G14" i="257"/>
  <c r="G16" i="403"/>
  <c r="I16" i="403"/>
  <c r="G13" i="87"/>
  <c r="I13" i="87"/>
  <c r="I31" i="87"/>
  <c r="G31" i="87"/>
  <c r="I15" i="202"/>
  <c r="G15" i="202"/>
  <c r="G44" i="169"/>
  <c r="I44" i="169"/>
  <c r="I13" i="169"/>
  <c r="G13" i="169"/>
  <c r="G35" i="101"/>
  <c r="I35" i="101"/>
  <c r="G43" i="101"/>
  <c r="I43" i="101"/>
  <c r="G28" i="5"/>
  <c r="I28" i="5"/>
  <c r="G39" i="5"/>
  <c r="I39" i="5"/>
  <c r="I11" i="201"/>
  <c r="G11" i="201"/>
  <c r="I36" i="201"/>
  <c r="G36" i="201"/>
  <c r="I44" i="213"/>
  <c r="G44" i="213"/>
  <c r="I23" i="213"/>
  <c r="G23" i="213"/>
  <c r="I23" i="71"/>
  <c r="G23" i="71"/>
  <c r="I13" i="71"/>
  <c r="G13" i="71"/>
  <c r="I17" i="220"/>
  <c r="G17" i="220"/>
  <c r="I16" i="220"/>
  <c r="G16" i="220"/>
  <c r="I15" i="281"/>
  <c r="G15" i="281"/>
  <c r="I23" i="281"/>
  <c r="G23" i="281"/>
  <c r="G30" i="452"/>
  <c r="I30" i="452"/>
  <c r="I32" i="161"/>
  <c r="F32" i="161" s="1"/>
  <c r="G32" i="161" s="1"/>
  <c r="I34" i="34"/>
  <c r="G34" i="34"/>
  <c r="G14" i="34"/>
  <c r="I14" i="34"/>
  <c r="I32" i="73"/>
  <c r="F32" i="73" s="1"/>
  <c r="G32" i="73" s="1"/>
  <c r="G18" i="227"/>
  <c r="I18" i="227"/>
  <c r="I16" i="102"/>
  <c r="G16" i="102"/>
  <c r="G35" i="33"/>
  <c r="I35" i="33"/>
  <c r="I21" i="33"/>
  <c r="G21" i="33"/>
  <c r="G10" i="83"/>
  <c r="I10" i="83"/>
  <c r="G39" i="83"/>
  <c r="I39" i="83"/>
  <c r="G35" i="240"/>
  <c r="I35" i="240"/>
  <c r="I23" i="240"/>
  <c r="G23" i="240"/>
  <c r="G30" i="432"/>
  <c r="I30" i="432"/>
  <c r="I16" i="454"/>
  <c r="G16" i="454"/>
  <c r="G39" i="454"/>
  <c r="I39" i="454"/>
  <c r="G34" i="116"/>
  <c r="I34" i="116"/>
  <c r="I28" i="47"/>
  <c r="G28" i="47"/>
  <c r="I19" i="42"/>
  <c r="F19" i="42" s="1"/>
  <c r="G19" i="42" s="1"/>
  <c r="I13" i="357"/>
  <c r="G13" i="357"/>
  <c r="G17" i="357"/>
  <c r="I17" i="357"/>
  <c r="I12" i="251"/>
  <c r="G12" i="251"/>
  <c r="I22" i="397"/>
  <c r="G22" i="397"/>
  <c r="I46" i="105"/>
  <c r="F46" i="105" s="1"/>
  <c r="G46" i="105" s="1"/>
  <c r="G14" i="313"/>
  <c r="I14" i="313"/>
  <c r="I11" i="313"/>
  <c r="G11" i="313"/>
  <c r="G10" i="325"/>
  <c r="I10" i="325"/>
  <c r="I16" i="325"/>
  <c r="G16" i="325"/>
  <c r="I13" i="133"/>
  <c r="G13" i="133"/>
  <c r="G34" i="133"/>
  <c r="I34" i="133"/>
  <c r="I44" i="274"/>
  <c r="G44" i="274"/>
  <c r="G15" i="274"/>
  <c r="I15" i="274"/>
  <c r="I39" i="175"/>
  <c r="G39" i="175"/>
  <c r="I10" i="156"/>
  <c r="G10" i="156"/>
  <c r="I30" i="156"/>
  <c r="G30" i="156"/>
  <c r="I30" i="256"/>
  <c r="G30" i="256"/>
  <c r="G16" i="256"/>
  <c r="I16" i="256"/>
  <c r="G30" i="279"/>
  <c r="I30" i="279"/>
  <c r="I12" i="279"/>
  <c r="G12" i="279"/>
  <c r="G38" i="84"/>
  <c r="I38" i="84"/>
  <c r="G18" i="84"/>
  <c r="I18" i="84"/>
  <c r="I18" i="3"/>
  <c r="G18" i="3"/>
  <c r="G44" i="3"/>
  <c r="I44" i="3"/>
  <c r="I27" i="243"/>
  <c r="G27" i="243"/>
  <c r="G13" i="205"/>
  <c r="I13" i="205"/>
  <c r="I43" i="205"/>
  <c r="G43" i="205"/>
  <c r="G16" i="190"/>
  <c r="I16" i="190"/>
  <c r="I18" i="329"/>
  <c r="G18" i="329"/>
  <c r="I39" i="329"/>
  <c r="G39" i="329"/>
  <c r="G22" i="193"/>
  <c r="I22" i="193"/>
  <c r="I43" i="193"/>
  <c r="G43" i="193"/>
  <c r="I23" i="163"/>
  <c r="G23" i="163"/>
  <c r="I13" i="163"/>
  <c r="G13" i="163"/>
  <c r="I22" i="333"/>
  <c r="G22" i="333"/>
  <c r="I37" i="333"/>
  <c r="G37" i="333"/>
  <c r="I43" i="245"/>
  <c r="G43" i="245"/>
  <c r="G17" i="245"/>
  <c r="I17" i="245"/>
  <c r="G26" i="172"/>
  <c r="I26" i="172"/>
  <c r="G23" i="172"/>
  <c r="I23" i="172"/>
  <c r="I14" i="442"/>
  <c r="G14" i="442"/>
  <c r="G26" i="442"/>
  <c r="I26" i="442"/>
  <c r="G36" i="369"/>
  <c r="I36" i="369"/>
  <c r="I35" i="93"/>
  <c r="G35" i="93"/>
  <c r="I31" i="173"/>
  <c r="G31" i="173"/>
  <c r="I14" i="173"/>
  <c r="G14" i="173"/>
  <c r="I43" i="377"/>
  <c r="G43" i="377"/>
  <c r="I44" i="377"/>
  <c r="G44" i="377"/>
  <c r="G16" i="347"/>
  <c r="I16" i="347"/>
  <c r="G29" i="104"/>
  <c r="I29" i="104"/>
  <c r="I12" i="192"/>
  <c r="G12" i="192"/>
  <c r="I23" i="192"/>
  <c r="G23" i="192"/>
  <c r="G23" i="6"/>
  <c r="I23" i="6"/>
  <c r="I12" i="52"/>
  <c r="G12" i="52"/>
  <c r="I10" i="52"/>
  <c r="G10" i="52"/>
  <c r="I30" i="229"/>
  <c r="G30" i="229"/>
  <c r="G39" i="109"/>
  <c r="I39" i="109"/>
  <c r="G29" i="448"/>
  <c r="I29" i="448"/>
  <c r="G39" i="104"/>
  <c r="I39" i="104"/>
  <c r="G17" i="235"/>
  <c r="I17" i="235"/>
  <c r="I22" i="235"/>
  <c r="G22" i="235"/>
  <c r="I13" i="404"/>
  <c r="G13" i="404"/>
  <c r="G23" i="404"/>
  <c r="I23" i="404"/>
  <c r="I18" i="229"/>
  <c r="G18" i="229"/>
  <c r="I26" i="229"/>
  <c r="G26" i="229"/>
  <c r="I27" i="343"/>
  <c r="G27" i="343"/>
  <c r="G36" i="343"/>
  <c r="I36" i="343"/>
  <c r="I31" i="160"/>
  <c r="G31" i="160"/>
  <c r="G28" i="160"/>
  <c r="I28" i="160"/>
  <c r="G18" i="374"/>
  <c r="I18" i="374"/>
  <c r="I29" i="374"/>
  <c r="G29" i="374"/>
  <c r="I37" i="168"/>
  <c r="G37" i="168"/>
  <c r="I29" i="261"/>
  <c r="G29" i="261"/>
  <c r="G38" i="261"/>
  <c r="I38" i="261"/>
  <c r="I44" i="273"/>
  <c r="G44" i="273"/>
  <c r="G39" i="273"/>
  <c r="I39" i="273"/>
  <c r="G13" i="301"/>
  <c r="I13" i="301"/>
  <c r="G43" i="301"/>
  <c r="I43" i="301"/>
  <c r="I10" i="379"/>
  <c r="G10" i="379"/>
  <c r="I11" i="379"/>
  <c r="G11" i="379"/>
  <c r="I27" i="208"/>
  <c r="G27" i="208"/>
  <c r="I31" i="208"/>
  <c r="G31" i="208"/>
  <c r="I36" i="138"/>
  <c r="G36" i="138"/>
  <c r="G31" i="138"/>
  <c r="I31" i="138"/>
  <c r="G28" i="203"/>
  <c r="I28" i="203"/>
  <c r="G17" i="203"/>
  <c r="I17" i="203"/>
  <c r="G13" i="352"/>
  <c r="I13" i="352"/>
  <c r="I17" i="69"/>
  <c r="G17" i="69"/>
  <c r="I30" i="69"/>
  <c r="G30" i="69"/>
  <c r="G31" i="342"/>
  <c r="I31" i="342"/>
  <c r="I27" i="109"/>
  <c r="G27" i="109"/>
  <c r="G42" i="284"/>
  <c r="I42" i="284"/>
  <c r="G12" i="420"/>
  <c r="I12" i="420"/>
  <c r="G39" i="420"/>
  <c r="I39" i="420"/>
  <c r="G18" i="393"/>
  <c r="I18" i="393"/>
  <c r="G11" i="393"/>
  <c r="I11" i="393"/>
  <c r="I22" i="455"/>
  <c r="G22" i="455"/>
  <c r="I39" i="455"/>
  <c r="G39" i="455"/>
  <c r="G36" i="372"/>
  <c r="I36" i="372"/>
  <c r="I14" i="372"/>
  <c r="G14" i="372"/>
  <c r="G44" i="239"/>
  <c r="I44" i="239"/>
  <c r="G37" i="12"/>
  <c r="I37" i="12"/>
  <c r="G38" i="307"/>
  <c r="I38" i="307"/>
  <c r="I18" i="307"/>
  <c r="G18" i="307"/>
  <c r="I39" i="419"/>
  <c r="G39" i="419"/>
  <c r="I13" i="419"/>
  <c r="G13" i="419"/>
  <c r="I18" i="392"/>
  <c r="G18" i="392"/>
  <c r="G43" i="263"/>
  <c r="I43" i="263"/>
  <c r="G15" i="263"/>
  <c r="I15" i="263"/>
  <c r="I12" i="124"/>
  <c r="G12" i="124"/>
  <c r="I13" i="124"/>
  <c r="G13" i="124"/>
  <c r="I36" i="194"/>
  <c r="G36" i="194"/>
  <c r="I31" i="18"/>
  <c r="G31" i="18"/>
  <c r="I28" i="20"/>
  <c r="G28" i="20"/>
  <c r="I21" i="299"/>
  <c r="G21" i="299"/>
  <c r="I43" i="299"/>
  <c r="G43" i="299"/>
  <c r="G13" i="338"/>
  <c r="I13" i="338"/>
  <c r="G36" i="338"/>
  <c r="I36" i="338"/>
  <c r="I37" i="144"/>
  <c r="G37" i="144"/>
  <c r="G36" i="144"/>
  <c r="I36" i="144"/>
  <c r="G38" i="22"/>
  <c r="I38" i="22"/>
  <c r="I28" i="79"/>
  <c r="G28" i="79"/>
  <c r="I36" i="79"/>
  <c r="G36" i="79"/>
  <c r="I11" i="326"/>
  <c r="G11" i="326"/>
  <c r="G28" i="326"/>
  <c r="I28" i="326"/>
  <c r="I28" i="15"/>
  <c r="G28" i="15"/>
  <c r="I12" i="15"/>
  <c r="G12" i="15"/>
  <c r="I18" i="68"/>
  <c r="G18" i="68"/>
  <c r="I36" i="95"/>
  <c r="G36" i="95"/>
  <c r="I40" i="383"/>
  <c r="F40" i="383" s="1"/>
  <c r="G40" i="383" s="1"/>
  <c r="I42" i="86"/>
  <c r="G42" i="86"/>
  <c r="G36" i="237"/>
  <c r="I36" i="237"/>
  <c r="G26" i="237"/>
  <c r="I26" i="237"/>
  <c r="I34" i="458"/>
  <c r="G34" i="458"/>
  <c r="I26" i="458"/>
  <c r="G26" i="458"/>
  <c r="G44" i="298"/>
  <c r="I44" i="298"/>
  <c r="I30" i="298"/>
  <c r="G30" i="298"/>
  <c r="G38" i="29"/>
  <c r="I38" i="29"/>
  <c r="I21" i="11"/>
  <c r="G21" i="11"/>
  <c r="I13" i="11"/>
  <c r="G13" i="11"/>
  <c r="I11" i="367"/>
  <c r="G11" i="367"/>
  <c r="G14" i="367"/>
  <c r="I14" i="367"/>
  <c r="I11" i="249"/>
  <c r="G11" i="249"/>
  <c r="G44" i="249"/>
  <c r="I44" i="249"/>
  <c r="I29" i="152"/>
  <c r="G29" i="152"/>
  <c r="I11" i="152"/>
  <c r="G11" i="152"/>
  <c r="I38" i="40"/>
  <c r="G38" i="40"/>
  <c r="I44" i="40"/>
  <c r="G44" i="40"/>
  <c r="I17" i="460"/>
  <c r="G17" i="460"/>
  <c r="G14" i="460"/>
  <c r="I14" i="460"/>
  <c r="G37" i="233"/>
  <c r="I37" i="233"/>
  <c r="I29" i="233"/>
  <c r="G29" i="233"/>
  <c r="I19" i="241"/>
  <c r="F19" i="241" s="1"/>
  <c r="G19" i="241" s="1"/>
  <c r="I22" i="139"/>
  <c r="G22" i="139"/>
  <c r="I31" i="139"/>
  <c r="G31" i="139"/>
  <c r="I17" i="141"/>
  <c r="G17" i="141"/>
  <c r="I12" i="141"/>
  <c r="G12" i="141"/>
  <c r="I28" i="174"/>
  <c r="G28" i="174"/>
  <c r="G17" i="174"/>
  <c r="I17" i="174"/>
  <c r="I44" i="448"/>
  <c r="G44" i="448"/>
  <c r="I37" i="448"/>
  <c r="G37" i="448"/>
  <c r="I24" i="206"/>
  <c r="F24" i="206" s="1"/>
  <c r="G24" i="206" s="1"/>
  <c r="I14" i="223"/>
  <c r="G14" i="223"/>
  <c r="G28" i="324"/>
  <c r="I28" i="324"/>
  <c r="I35" i="324"/>
  <c r="G35" i="324"/>
  <c r="I17" i="56"/>
  <c r="G17" i="56"/>
  <c r="I16" i="56"/>
  <c r="G16" i="56"/>
  <c r="I42" i="90"/>
  <c r="G42" i="90"/>
  <c r="G34" i="90"/>
  <c r="I34" i="90"/>
  <c r="I34" i="99"/>
  <c r="G34" i="99"/>
  <c r="I29" i="99"/>
  <c r="G29" i="99"/>
  <c r="G43" i="396"/>
  <c r="I43" i="396"/>
  <c r="G11" i="396"/>
  <c r="I11" i="396"/>
  <c r="I42" i="128"/>
  <c r="G42" i="128"/>
  <c r="I30" i="128"/>
  <c r="G30" i="128"/>
  <c r="I22" i="314"/>
  <c r="G22" i="314"/>
  <c r="I27" i="314"/>
  <c r="G27" i="314"/>
  <c r="I16" i="9"/>
  <c r="G16" i="9"/>
  <c r="I18" i="339"/>
  <c r="G18" i="339"/>
  <c r="I36" i="339"/>
  <c r="G36" i="339"/>
  <c r="I31" i="226"/>
  <c r="G31" i="226"/>
  <c r="I38" i="226"/>
  <c r="G38" i="226"/>
  <c r="I28" i="257"/>
  <c r="G28" i="257"/>
  <c r="I35" i="403"/>
  <c r="G35" i="403"/>
  <c r="I29" i="403"/>
  <c r="G29" i="403"/>
  <c r="I26" i="87"/>
  <c r="G26" i="87"/>
  <c r="G37" i="87"/>
  <c r="I37" i="87"/>
  <c r="I16" i="202"/>
  <c r="G16" i="202"/>
  <c r="I31" i="169"/>
  <c r="G31" i="169"/>
  <c r="I11" i="169"/>
  <c r="G11" i="169"/>
  <c r="G31" i="101"/>
  <c r="I31" i="101"/>
  <c r="G11" i="101"/>
  <c r="I11" i="101"/>
  <c r="I29" i="5"/>
  <c r="G29" i="5"/>
  <c r="G38" i="5"/>
  <c r="I38" i="5"/>
  <c r="I14" i="201"/>
  <c r="G14" i="201"/>
  <c r="I29" i="201"/>
  <c r="G29" i="201"/>
  <c r="G16" i="213"/>
  <c r="I16" i="213"/>
  <c r="I39" i="213"/>
  <c r="G39" i="213"/>
  <c r="I36" i="71"/>
  <c r="G36" i="71"/>
  <c r="I11" i="71"/>
  <c r="G11" i="71"/>
  <c r="I14" i="220"/>
  <c r="G14" i="220"/>
  <c r="I44" i="220"/>
  <c r="G44" i="220"/>
  <c r="G16" i="281"/>
  <c r="I16" i="281"/>
  <c r="I14" i="281"/>
  <c r="G14" i="281"/>
  <c r="G16" i="452"/>
  <c r="I16" i="452"/>
  <c r="I24" i="311"/>
  <c r="F24" i="311" s="1"/>
  <c r="G24" i="311" s="1"/>
  <c r="G38" i="34"/>
  <c r="I38" i="34"/>
  <c r="G28" i="34"/>
  <c r="I28" i="34"/>
  <c r="G35" i="227"/>
  <c r="I35" i="227"/>
  <c r="I34" i="102"/>
  <c r="G34" i="102"/>
  <c r="G31" i="102"/>
  <c r="I31" i="102"/>
  <c r="I14" i="33"/>
  <c r="G14" i="33"/>
  <c r="I15" i="33"/>
  <c r="G15" i="33"/>
  <c r="I35" i="83"/>
  <c r="G35" i="83"/>
  <c r="I26" i="83"/>
  <c r="G26" i="83"/>
  <c r="I31" i="240"/>
  <c r="G31" i="240"/>
  <c r="I11" i="240"/>
  <c r="G11" i="240"/>
  <c r="I11" i="432"/>
  <c r="G11" i="432"/>
  <c r="I44" i="432"/>
  <c r="G44" i="432"/>
  <c r="I38" i="454"/>
  <c r="G38" i="454"/>
  <c r="I17" i="116"/>
  <c r="G17" i="116"/>
  <c r="I42" i="116"/>
  <c r="G42" i="116"/>
  <c r="I14" i="47"/>
  <c r="G14" i="47"/>
  <c r="G23" i="357"/>
  <c r="I23" i="357"/>
  <c r="I28" i="357"/>
  <c r="G28" i="357"/>
  <c r="I34" i="251"/>
  <c r="G34" i="251"/>
  <c r="G30" i="251"/>
  <c r="I30" i="251"/>
  <c r="G21" i="397"/>
  <c r="I21" i="397"/>
  <c r="I24" i="397" s="1"/>
  <c r="F24" i="397" s="1"/>
  <c r="G24" i="397" s="1"/>
  <c r="I18" i="313"/>
  <c r="G18" i="313"/>
  <c r="I37" i="325"/>
  <c r="G37" i="325"/>
  <c r="G36" i="325"/>
  <c r="I36" i="325"/>
  <c r="I21" i="133"/>
  <c r="G21" i="133"/>
  <c r="I39" i="274"/>
  <c r="G39" i="274"/>
  <c r="G14" i="274"/>
  <c r="I14" i="274"/>
  <c r="I29" i="175"/>
  <c r="G29" i="175"/>
  <c r="I42" i="156"/>
  <c r="G42" i="156"/>
  <c r="G15" i="156"/>
  <c r="I15" i="156"/>
  <c r="I44" i="256"/>
  <c r="G44" i="256"/>
  <c r="G29" i="279"/>
  <c r="I29" i="279"/>
  <c r="I38" i="279"/>
  <c r="G38" i="279"/>
  <c r="G16" i="84"/>
  <c r="I16" i="84"/>
  <c r="I22" i="84"/>
  <c r="G22" i="84"/>
  <c r="I43" i="3"/>
  <c r="G43" i="3"/>
  <c r="I29" i="3"/>
  <c r="G29" i="3"/>
  <c r="G22" i="243"/>
  <c r="I22" i="243"/>
  <c r="G26" i="243"/>
  <c r="I26" i="243"/>
  <c r="G12" i="205"/>
  <c r="I12" i="205"/>
  <c r="I42" i="205"/>
  <c r="G42" i="205"/>
  <c r="G26" i="190"/>
  <c r="I26" i="190"/>
  <c r="I17" i="190"/>
  <c r="G17" i="190"/>
  <c r="I19" i="219"/>
  <c r="F19" i="219" s="1"/>
  <c r="G19" i="219" s="1"/>
  <c r="I30" i="329"/>
  <c r="G30" i="329"/>
  <c r="G39" i="193"/>
  <c r="I39" i="193"/>
  <c r="I21" i="193"/>
  <c r="G21" i="193"/>
  <c r="G17" i="163"/>
  <c r="I17" i="163"/>
  <c r="I27" i="163"/>
  <c r="G27" i="163"/>
  <c r="I38" i="309"/>
  <c r="G38" i="309"/>
  <c r="G34" i="309"/>
  <c r="I34" i="309"/>
  <c r="I21" i="333"/>
  <c r="G21" i="333"/>
  <c r="I12" i="333"/>
  <c r="G12" i="333"/>
  <c r="I36" i="245"/>
  <c r="G36" i="245"/>
  <c r="I15" i="172"/>
  <c r="G15" i="172"/>
  <c r="I27" i="172"/>
  <c r="G27" i="172"/>
  <c r="G31" i="442"/>
  <c r="I31" i="442"/>
  <c r="I18" i="442"/>
  <c r="G18" i="442"/>
  <c r="G21" i="369"/>
  <c r="I21" i="369"/>
  <c r="I40" i="356"/>
  <c r="F40" i="356" s="1"/>
  <c r="G40" i="356" s="1"/>
  <c r="G36" i="93"/>
  <c r="I36" i="93"/>
  <c r="G44" i="173"/>
  <c r="I44" i="173"/>
  <c r="I28" i="173"/>
  <c r="G28" i="173"/>
  <c r="I16" i="377"/>
  <c r="G16" i="377"/>
  <c r="G21" i="377"/>
  <c r="I21" i="377"/>
  <c r="G15" i="347"/>
  <c r="I15" i="347"/>
  <c r="I18" i="104"/>
  <c r="G18" i="104"/>
  <c r="G30" i="104"/>
  <c r="I30" i="104"/>
  <c r="G11" i="192"/>
  <c r="I11" i="192"/>
  <c r="G16" i="192"/>
  <c r="I16" i="192"/>
  <c r="G31" i="6"/>
  <c r="I31" i="6"/>
  <c r="I11" i="6"/>
  <c r="G11" i="6"/>
  <c r="I44" i="52"/>
  <c r="G44" i="52"/>
  <c r="I23" i="52"/>
  <c r="G23" i="52"/>
  <c r="I15" i="235"/>
  <c r="G15" i="235"/>
  <c r="I10" i="160"/>
  <c r="G10" i="160"/>
  <c r="I35" i="261"/>
  <c r="G35" i="261"/>
  <c r="I36" i="379"/>
  <c r="G36" i="379"/>
  <c r="I12" i="69"/>
  <c r="G12" i="69"/>
  <c r="I43" i="455"/>
  <c r="G43" i="455"/>
  <c r="I17" i="419"/>
  <c r="G17" i="419"/>
  <c r="I10" i="18"/>
  <c r="G10" i="18"/>
  <c r="G31" i="86"/>
  <c r="I31" i="86"/>
  <c r="I31" i="367"/>
  <c r="G31" i="367"/>
  <c r="I16" i="101"/>
  <c r="G16" i="101"/>
  <c r="I34" i="377"/>
  <c r="G34" i="377"/>
  <c r="I40" i="21"/>
  <c r="F40" i="21" s="1"/>
  <c r="G40" i="21" s="1"/>
  <c r="I40" i="350"/>
  <c r="F40" i="350" s="1"/>
  <c r="G40" i="350" s="1"/>
  <c r="H48" i="477"/>
  <c r="H50" i="477" s="1"/>
  <c r="E6" i="477" s="1"/>
  <c r="F38" i="477" s="1"/>
  <c r="I19" i="378"/>
  <c r="F19" i="378" s="1"/>
  <c r="G19" i="378" s="1"/>
  <c r="I26" i="235"/>
  <c r="G26" i="235"/>
  <c r="G35" i="235"/>
  <c r="I35" i="235"/>
  <c r="G44" i="404"/>
  <c r="I44" i="404"/>
  <c r="I10" i="229"/>
  <c r="G10" i="229"/>
  <c r="I31" i="229"/>
  <c r="G31" i="229"/>
  <c r="I22" i="343"/>
  <c r="G22" i="343"/>
  <c r="I37" i="343"/>
  <c r="G37" i="343"/>
  <c r="G43" i="160"/>
  <c r="I43" i="160"/>
  <c r="G15" i="160"/>
  <c r="I15" i="160"/>
  <c r="G31" i="374"/>
  <c r="I31" i="374"/>
  <c r="G10" i="374"/>
  <c r="I10" i="374"/>
  <c r="I19" i="311"/>
  <c r="F19" i="311" s="1"/>
  <c r="G19" i="311" s="1"/>
  <c r="G11" i="168"/>
  <c r="I11" i="168"/>
  <c r="I17" i="261"/>
  <c r="G17" i="261"/>
  <c r="I12" i="261"/>
  <c r="G12" i="261"/>
  <c r="I37" i="273"/>
  <c r="G37" i="273"/>
  <c r="I16" i="273"/>
  <c r="G16" i="273"/>
  <c r="I29" i="212"/>
  <c r="G29" i="212"/>
  <c r="I37" i="212"/>
  <c r="G37" i="212"/>
  <c r="I14" i="301"/>
  <c r="G14" i="301"/>
  <c r="I15" i="301"/>
  <c r="G15" i="301"/>
  <c r="I17" i="379"/>
  <c r="G17" i="379"/>
  <c r="G26" i="208"/>
  <c r="I26" i="208"/>
  <c r="G22" i="208"/>
  <c r="I22" i="208"/>
  <c r="I17" i="138"/>
  <c r="G17" i="138"/>
  <c r="I35" i="203"/>
  <c r="G35" i="203"/>
  <c r="I11" i="203"/>
  <c r="G11" i="203"/>
  <c r="G31" i="352"/>
  <c r="I31" i="352"/>
  <c r="I27" i="352"/>
  <c r="G27" i="352"/>
  <c r="I37" i="69"/>
  <c r="G37" i="69"/>
  <c r="I27" i="69"/>
  <c r="G27" i="69"/>
  <c r="I39" i="342"/>
  <c r="G39" i="342"/>
  <c r="I44" i="342"/>
  <c r="G44" i="342"/>
  <c r="I34" i="109"/>
  <c r="G34" i="109"/>
  <c r="I10" i="284"/>
  <c r="G10" i="284"/>
  <c r="G22" i="284"/>
  <c r="I22" i="284"/>
  <c r="G13" i="420"/>
  <c r="I13" i="420"/>
  <c r="I34" i="420"/>
  <c r="G34" i="420"/>
  <c r="I40" i="311"/>
  <c r="F40" i="311" s="1"/>
  <c r="G40" i="311" s="1"/>
  <c r="I16" i="393"/>
  <c r="G16" i="393"/>
  <c r="I30" i="393"/>
  <c r="G30" i="393"/>
  <c r="G35" i="455"/>
  <c r="I35" i="455"/>
  <c r="I15" i="455"/>
  <c r="G15" i="455"/>
  <c r="G22" i="372"/>
  <c r="I22" i="372"/>
  <c r="G13" i="372"/>
  <c r="I13" i="372"/>
  <c r="I29" i="239"/>
  <c r="G29" i="239"/>
  <c r="G35" i="239"/>
  <c r="I35" i="239"/>
  <c r="G39" i="12"/>
  <c r="I39" i="12"/>
  <c r="I32" i="383"/>
  <c r="F32" i="383" s="1"/>
  <c r="G32" i="383" s="1"/>
  <c r="I10" i="307"/>
  <c r="G10" i="307"/>
  <c r="I12" i="307"/>
  <c r="G12" i="307"/>
  <c r="I19" i="57"/>
  <c r="F19" i="57" s="1"/>
  <c r="G19" i="57" s="1"/>
  <c r="I18" i="419"/>
  <c r="G18" i="419"/>
  <c r="I43" i="419"/>
  <c r="G43" i="419"/>
  <c r="G17" i="392"/>
  <c r="I17" i="392"/>
  <c r="I40" i="113"/>
  <c r="F40" i="113" s="1"/>
  <c r="G40" i="113" s="1"/>
  <c r="I29" i="263"/>
  <c r="G29" i="263"/>
  <c r="G44" i="263"/>
  <c r="I44" i="263"/>
  <c r="G23" i="422"/>
  <c r="I23" i="422"/>
  <c r="I43" i="124"/>
  <c r="G43" i="124"/>
  <c r="I14" i="124"/>
  <c r="G14" i="124"/>
  <c r="G34" i="194"/>
  <c r="I34" i="194"/>
  <c r="I24" i="114"/>
  <c r="F24" i="114" s="1"/>
  <c r="G24" i="114" s="1"/>
  <c r="I39" i="18"/>
  <c r="G39" i="18"/>
  <c r="G12" i="18"/>
  <c r="I12" i="18"/>
  <c r="F39" i="351"/>
  <c r="F38" i="351"/>
  <c r="F12" i="351"/>
  <c r="F45" i="351"/>
  <c r="G45" i="351" s="1"/>
  <c r="F31" i="351"/>
  <c r="F13" i="351"/>
  <c r="F42" i="351"/>
  <c r="F30" i="351"/>
  <c r="F14" i="351"/>
  <c r="F29" i="351"/>
  <c r="F23" i="351"/>
  <c r="F10" i="351"/>
  <c r="F34" i="351"/>
  <c r="F15" i="351"/>
  <c r="F44" i="351"/>
  <c r="F35" i="351"/>
  <c r="F16" i="351"/>
  <c r="F11" i="351"/>
  <c r="F36" i="351"/>
  <c r="F22" i="351"/>
  <c r="F37" i="351"/>
  <c r="F43" i="351"/>
  <c r="F26" i="351"/>
  <c r="F17" i="351"/>
  <c r="F21" i="351"/>
  <c r="F27" i="351"/>
  <c r="F18" i="351"/>
  <c r="F28" i="351"/>
  <c r="G27" i="20"/>
  <c r="I27" i="20"/>
  <c r="E48" i="443"/>
  <c r="G37" i="299"/>
  <c r="I37" i="299"/>
  <c r="I12" i="299"/>
  <c r="G12" i="299"/>
  <c r="I15" i="338"/>
  <c r="G15" i="338"/>
  <c r="I18" i="144"/>
  <c r="G18" i="144"/>
  <c r="G42" i="144"/>
  <c r="I42" i="144"/>
  <c r="I46" i="144" s="1"/>
  <c r="F46" i="144" s="1"/>
  <c r="G46" i="144" s="1"/>
  <c r="G28" i="22"/>
  <c r="I28" i="22"/>
  <c r="I40" i="70"/>
  <c r="F40" i="70" s="1"/>
  <c r="G40" i="70" s="1"/>
  <c r="I18" i="79"/>
  <c r="G18" i="79"/>
  <c r="I14" i="326"/>
  <c r="G14" i="326"/>
  <c r="I24" i="312"/>
  <c r="F24" i="312" s="1"/>
  <c r="G24" i="312" s="1"/>
  <c r="I42" i="15"/>
  <c r="G42" i="15"/>
  <c r="G31" i="15"/>
  <c r="I31" i="15"/>
  <c r="I43" i="68"/>
  <c r="G43" i="68"/>
  <c r="G14" i="95"/>
  <c r="I14" i="95"/>
  <c r="I11" i="86"/>
  <c r="G11" i="86"/>
  <c r="I28" i="237"/>
  <c r="G28" i="237"/>
  <c r="G18" i="237"/>
  <c r="I18" i="237"/>
  <c r="G43" i="458"/>
  <c r="I43" i="458"/>
  <c r="G35" i="458"/>
  <c r="I35" i="458"/>
  <c r="G26" i="298"/>
  <c r="I26" i="298"/>
  <c r="G18" i="29"/>
  <c r="I18" i="29"/>
  <c r="G26" i="11"/>
  <c r="I26" i="11"/>
  <c r="I39" i="367"/>
  <c r="G39" i="367"/>
  <c r="I44" i="367"/>
  <c r="G44" i="367"/>
  <c r="G22" i="249"/>
  <c r="I22" i="249"/>
  <c r="G14" i="249"/>
  <c r="I14" i="249"/>
  <c r="I43" i="152"/>
  <c r="G43" i="152"/>
  <c r="I36" i="40"/>
  <c r="G36" i="40"/>
  <c r="G10" i="40"/>
  <c r="I10" i="40"/>
  <c r="I22" i="460"/>
  <c r="G22" i="460"/>
  <c r="I34" i="460"/>
  <c r="G34" i="460"/>
  <c r="G28" i="233"/>
  <c r="I28" i="233"/>
  <c r="G23" i="233"/>
  <c r="I23" i="233"/>
  <c r="I38" i="139"/>
  <c r="G38" i="139"/>
  <c r="G10" i="139"/>
  <c r="I10" i="139"/>
  <c r="I36" i="141"/>
  <c r="G36" i="141"/>
  <c r="G42" i="141"/>
  <c r="I42" i="141"/>
  <c r="I27" i="174"/>
  <c r="G27" i="174"/>
  <c r="G21" i="448"/>
  <c r="I21" i="448"/>
  <c r="I12" i="448"/>
  <c r="G12" i="448"/>
  <c r="G21" i="223"/>
  <c r="I21" i="223"/>
  <c r="I24" i="147"/>
  <c r="F24" i="147" s="1"/>
  <c r="G24" i="147" s="1"/>
  <c r="G14" i="324"/>
  <c r="I14" i="324"/>
  <c r="G30" i="324"/>
  <c r="I30" i="324"/>
  <c r="G44" i="56"/>
  <c r="I44" i="56"/>
  <c r="I14" i="56"/>
  <c r="G14" i="56"/>
  <c r="I26" i="90"/>
  <c r="G26" i="90"/>
  <c r="I35" i="90"/>
  <c r="G35" i="90"/>
  <c r="G28" i="99"/>
  <c r="I28" i="99"/>
  <c r="I39" i="99"/>
  <c r="G39" i="99"/>
  <c r="I29" i="396"/>
  <c r="G29" i="396"/>
  <c r="I36" i="396"/>
  <c r="G36" i="396"/>
  <c r="I22" i="128"/>
  <c r="G22" i="128"/>
  <c r="I39" i="128"/>
  <c r="G39" i="128"/>
  <c r="I31" i="314"/>
  <c r="G31" i="314"/>
  <c r="G39" i="314"/>
  <c r="I39" i="314"/>
  <c r="G44" i="9"/>
  <c r="I44" i="9"/>
  <c r="I30" i="9"/>
  <c r="G30" i="9"/>
  <c r="G29" i="339"/>
  <c r="I29" i="339"/>
  <c r="G31" i="339"/>
  <c r="I31" i="339"/>
  <c r="I22" i="226"/>
  <c r="G22" i="226"/>
  <c r="G39" i="226"/>
  <c r="I39" i="226"/>
  <c r="I40" i="395"/>
  <c r="F40" i="395" s="1"/>
  <c r="G40" i="395" s="1"/>
  <c r="I35" i="257"/>
  <c r="G35" i="257"/>
  <c r="I11" i="403"/>
  <c r="G11" i="403"/>
  <c r="I26" i="403"/>
  <c r="G26" i="403"/>
  <c r="G29" i="87"/>
  <c r="I29" i="87"/>
  <c r="G37" i="202"/>
  <c r="I37" i="202"/>
  <c r="G14" i="169"/>
  <c r="I14" i="169"/>
  <c r="G22" i="101"/>
  <c r="I22" i="101"/>
  <c r="G34" i="5"/>
  <c r="I34" i="5"/>
  <c r="I40" i="5" s="1"/>
  <c r="F40" i="5" s="1"/>
  <c r="G40" i="5" s="1"/>
  <c r="I22" i="201"/>
  <c r="G22" i="201"/>
  <c r="G30" i="201"/>
  <c r="I30" i="201"/>
  <c r="G36" i="213"/>
  <c r="I36" i="213"/>
  <c r="I28" i="213"/>
  <c r="G28" i="213"/>
  <c r="G34" i="71"/>
  <c r="I34" i="71"/>
  <c r="I31" i="71"/>
  <c r="G31" i="71"/>
  <c r="G27" i="220"/>
  <c r="I27" i="220"/>
  <c r="G34" i="220"/>
  <c r="I34" i="220"/>
  <c r="I43" i="281"/>
  <c r="G43" i="281"/>
  <c r="I39" i="281"/>
  <c r="G39" i="281"/>
  <c r="I29" i="452"/>
  <c r="G29" i="452"/>
  <c r="I40" i="387"/>
  <c r="F40" i="387" s="1"/>
  <c r="G40" i="387" s="1"/>
  <c r="G17" i="34"/>
  <c r="I17" i="34"/>
  <c r="I12" i="34"/>
  <c r="G12" i="34"/>
  <c r="I43" i="227"/>
  <c r="G43" i="227"/>
  <c r="I37" i="102"/>
  <c r="G37" i="102"/>
  <c r="I23" i="33"/>
  <c r="G23" i="33"/>
  <c r="I29" i="33"/>
  <c r="G29" i="33"/>
  <c r="I38" i="83"/>
  <c r="G38" i="83"/>
  <c r="I36" i="83"/>
  <c r="G36" i="83"/>
  <c r="I43" i="240"/>
  <c r="G43" i="240"/>
  <c r="G16" i="240"/>
  <c r="I16" i="240"/>
  <c r="G35" i="432"/>
  <c r="I35" i="432"/>
  <c r="I29" i="432"/>
  <c r="G29" i="432"/>
  <c r="I40" i="219"/>
  <c r="F40" i="219" s="1"/>
  <c r="G40" i="219" s="1"/>
  <c r="G23" i="454"/>
  <c r="I23" i="454"/>
  <c r="G28" i="116"/>
  <c r="I28" i="116"/>
  <c r="I23" i="116"/>
  <c r="G23" i="116"/>
  <c r="G27" i="47"/>
  <c r="I27" i="47"/>
  <c r="I16" i="357"/>
  <c r="G16" i="357"/>
  <c r="I18" i="357"/>
  <c r="G18" i="357"/>
  <c r="I36" i="251"/>
  <c r="G36" i="251"/>
  <c r="I35" i="251"/>
  <c r="G35" i="251"/>
  <c r="I37" i="397"/>
  <c r="G37" i="397"/>
  <c r="G38" i="397"/>
  <c r="I38" i="397"/>
  <c r="G23" i="313"/>
  <c r="I23" i="313"/>
  <c r="G43" i="325"/>
  <c r="I43" i="325"/>
  <c r="I39" i="325"/>
  <c r="G39" i="325"/>
  <c r="I26" i="133"/>
  <c r="G26" i="133"/>
  <c r="I27" i="274"/>
  <c r="G27" i="274"/>
  <c r="I26" i="274"/>
  <c r="G26" i="274"/>
  <c r="G38" i="175"/>
  <c r="I38" i="175"/>
  <c r="I38" i="156"/>
  <c r="G38" i="156"/>
  <c r="I18" i="156"/>
  <c r="G18" i="156"/>
  <c r="G13" i="256"/>
  <c r="I13" i="256"/>
  <c r="G43" i="256"/>
  <c r="I43" i="256"/>
  <c r="I18" i="279"/>
  <c r="G18" i="279"/>
  <c r="G35" i="279"/>
  <c r="I35" i="279"/>
  <c r="I29" i="84"/>
  <c r="G29" i="84"/>
  <c r="I30" i="84"/>
  <c r="G30" i="84"/>
  <c r="I36" i="3"/>
  <c r="G36" i="3"/>
  <c r="I37" i="3"/>
  <c r="G37" i="3"/>
  <c r="I17" i="243"/>
  <c r="G17" i="243"/>
  <c r="I22" i="205"/>
  <c r="G22" i="205"/>
  <c r="G14" i="205"/>
  <c r="I14" i="205"/>
  <c r="G29" i="190"/>
  <c r="I29" i="190"/>
  <c r="G30" i="190"/>
  <c r="I30" i="190"/>
  <c r="G29" i="329"/>
  <c r="I29" i="329"/>
  <c r="I14" i="193"/>
  <c r="G14" i="193"/>
  <c r="I27" i="193"/>
  <c r="G27" i="193"/>
  <c r="G43" i="163"/>
  <c r="I43" i="163"/>
  <c r="I30" i="163"/>
  <c r="G30" i="163"/>
  <c r="G10" i="309"/>
  <c r="I10" i="309"/>
  <c r="G21" i="309"/>
  <c r="I21" i="309"/>
  <c r="I30" i="333"/>
  <c r="G30" i="333"/>
  <c r="G14" i="245"/>
  <c r="I14" i="245"/>
  <c r="I18" i="172"/>
  <c r="G18" i="172"/>
  <c r="G11" i="442"/>
  <c r="I11" i="442"/>
  <c r="I17" i="442"/>
  <c r="G17" i="442"/>
  <c r="I35" i="369"/>
  <c r="G35" i="369"/>
  <c r="I18" i="369"/>
  <c r="G18" i="369"/>
  <c r="G26" i="93"/>
  <c r="I26" i="93"/>
  <c r="I29" i="173"/>
  <c r="G29" i="173"/>
  <c r="I17" i="377"/>
  <c r="G17" i="377"/>
  <c r="I26" i="377"/>
  <c r="G26" i="377"/>
  <c r="I43" i="347"/>
  <c r="G43" i="347"/>
  <c r="G22" i="104"/>
  <c r="I22" i="104"/>
  <c r="I13" i="104"/>
  <c r="G13" i="104"/>
  <c r="G29" i="192"/>
  <c r="I29" i="192"/>
  <c r="G22" i="6"/>
  <c r="I22" i="6"/>
  <c r="I44" i="6"/>
  <c r="G44" i="6"/>
  <c r="I32" i="217"/>
  <c r="F32" i="217" s="1"/>
  <c r="G32" i="217" s="1"/>
  <c r="G29" i="52"/>
  <c r="I29" i="52"/>
  <c r="I28" i="52"/>
  <c r="G28" i="52"/>
  <c r="I38" i="235"/>
  <c r="G38" i="235"/>
  <c r="G37" i="160"/>
  <c r="I37" i="160"/>
  <c r="I13" i="261"/>
  <c r="G13" i="261"/>
  <c r="G36" i="301"/>
  <c r="I36" i="301"/>
  <c r="I18" i="352"/>
  <c r="G18" i="352"/>
  <c r="I43" i="420"/>
  <c r="G43" i="420"/>
  <c r="I30" i="239"/>
  <c r="G30" i="239"/>
  <c r="I44" i="20"/>
  <c r="G44" i="20"/>
  <c r="G36" i="22"/>
  <c r="I36" i="22"/>
  <c r="I39" i="95"/>
  <c r="G39" i="95"/>
  <c r="I14" i="448"/>
  <c r="G14" i="448"/>
  <c r="I46" i="171"/>
  <c r="F46" i="171" s="1"/>
  <c r="G46" i="171" s="1"/>
  <c r="G37" i="235"/>
  <c r="I37" i="235"/>
  <c r="G10" i="235"/>
  <c r="I10" i="235"/>
  <c r="I12" i="404"/>
  <c r="G12" i="404"/>
  <c r="I11" i="229"/>
  <c r="G11" i="229"/>
  <c r="I36" i="229"/>
  <c r="G36" i="229"/>
  <c r="I18" i="343"/>
  <c r="G18" i="343"/>
  <c r="G35" i="343"/>
  <c r="I35" i="343"/>
  <c r="G38" i="160"/>
  <c r="I38" i="160"/>
  <c r="G34" i="160"/>
  <c r="I34" i="160"/>
  <c r="I14" i="374"/>
  <c r="G14" i="374"/>
  <c r="I39" i="374"/>
  <c r="G39" i="374"/>
  <c r="G38" i="168"/>
  <c r="I38" i="168"/>
  <c r="I28" i="261"/>
  <c r="G28" i="261"/>
  <c r="I36" i="261"/>
  <c r="G36" i="261"/>
  <c r="G18" i="273"/>
  <c r="I18" i="273"/>
  <c r="I30" i="273"/>
  <c r="G30" i="273"/>
  <c r="I18" i="212"/>
  <c r="G18" i="212"/>
  <c r="I13" i="212"/>
  <c r="G13" i="212"/>
  <c r="I22" i="301"/>
  <c r="G22" i="301"/>
  <c r="I31" i="301"/>
  <c r="G31" i="301"/>
  <c r="G26" i="379"/>
  <c r="I26" i="379"/>
  <c r="I42" i="208"/>
  <c r="G42" i="208"/>
  <c r="G11" i="208"/>
  <c r="I11" i="208"/>
  <c r="I44" i="138"/>
  <c r="G44" i="138"/>
  <c r="I44" i="203"/>
  <c r="G44" i="203"/>
  <c r="I26" i="203"/>
  <c r="G26" i="203"/>
  <c r="I30" i="352"/>
  <c r="G30" i="352"/>
  <c r="G39" i="352"/>
  <c r="I39" i="352"/>
  <c r="I23" i="69"/>
  <c r="G23" i="69"/>
  <c r="I42" i="69"/>
  <c r="G42" i="69"/>
  <c r="G37" i="342"/>
  <c r="I37" i="342"/>
  <c r="G34" i="342"/>
  <c r="I34" i="342"/>
  <c r="I40" i="114"/>
  <c r="F40" i="114" s="1"/>
  <c r="G40" i="114" s="1"/>
  <c r="I22" i="109"/>
  <c r="G22" i="109"/>
  <c r="G26" i="109"/>
  <c r="I26" i="109"/>
  <c r="G27" i="284"/>
  <c r="I27" i="284"/>
  <c r="I29" i="284"/>
  <c r="G29" i="284"/>
  <c r="G30" i="420"/>
  <c r="I30" i="420"/>
  <c r="I17" i="420"/>
  <c r="G17" i="420"/>
  <c r="I26" i="393"/>
  <c r="G26" i="393"/>
  <c r="G21" i="393"/>
  <c r="I21" i="393"/>
  <c r="G13" i="455"/>
  <c r="I13" i="455"/>
  <c r="G23" i="455"/>
  <c r="I23" i="455"/>
  <c r="G15" i="372"/>
  <c r="I15" i="372"/>
  <c r="G18" i="372"/>
  <c r="I18" i="372"/>
  <c r="G15" i="239"/>
  <c r="I15" i="239"/>
  <c r="G34" i="239"/>
  <c r="I34" i="239"/>
  <c r="I36" i="12"/>
  <c r="G36" i="12"/>
  <c r="I12" i="12"/>
  <c r="G12" i="12"/>
  <c r="G16" i="307"/>
  <c r="I16" i="307"/>
  <c r="I39" i="307"/>
  <c r="G39" i="307"/>
  <c r="I30" i="419"/>
  <c r="G30" i="419"/>
  <c r="G12" i="419"/>
  <c r="I12" i="419"/>
  <c r="I16" i="392"/>
  <c r="G16" i="392"/>
  <c r="I27" i="263"/>
  <c r="G27" i="263"/>
  <c r="I38" i="263"/>
  <c r="G38" i="263"/>
  <c r="I18" i="422"/>
  <c r="G18" i="422"/>
  <c r="G17" i="422"/>
  <c r="I17" i="422"/>
  <c r="I21" i="124"/>
  <c r="G21" i="124"/>
  <c r="G31" i="124"/>
  <c r="I31" i="124"/>
  <c r="I38" i="194"/>
  <c r="G38" i="194"/>
  <c r="I27" i="18"/>
  <c r="G27" i="18"/>
  <c r="I10" i="20"/>
  <c r="G10" i="20"/>
  <c r="I40" i="345"/>
  <c r="F40" i="345" s="1"/>
  <c r="G40" i="345" s="1"/>
  <c r="I29" i="299"/>
  <c r="G29" i="299"/>
  <c r="G27" i="299"/>
  <c r="I27" i="299"/>
  <c r="G30" i="338"/>
  <c r="I30" i="338"/>
  <c r="I11" i="338"/>
  <c r="G11" i="338"/>
  <c r="I46" i="63"/>
  <c r="F46" i="63" s="1"/>
  <c r="G46" i="63" s="1"/>
  <c r="I12" i="144"/>
  <c r="G12" i="144"/>
  <c r="I39" i="22"/>
  <c r="G39" i="22"/>
  <c r="I30" i="79"/>
  <c r="G30" i="79"/>
  <c r="I35" i="326"/>
  <c r="G35" i="326"/>
  <c r="G21" i="15"/>
  <c r="I21" i="15"/>
  <c r="I38" i="15"/>
  <c r="G38" i="15"/>
  <c r="I39" i="68"/>
  <c r="G39" i="68"/>
  <c r="G18" i="95"/>
  <c r="I18" i="95"/>
  <c r="G43" i="86"/>
  <c r="I43" i="86"/>
  <c r="G23" i="237"/>
  <c r="I23" i="237"/>
  <c r="G11" i="237"/>
  <c r="I11" i="237"/>
  <c r="I37" i="458"/>
  <c r="G37" i="458"/>
  <c r="I36" i="458"/>
  <c r="G36" i="458"/>
  <c r="I24" i="387"/>
  <c r="F24" i="387" s="1"/>
  <c r="G24" i="387" s="1"/>
  <c r="I24" i="42"/>
  <c r="F24" i="42" s="1"/>
  <c r="G24" i="42" s="1"/>
  <c r="I37" i="298"/>
  <c r="G37" i="298"/>
  <c r="G10" i="29"/>
  <c r="I10" i="29"/>
  <c r="E48" i="316"/>
  <c r="I35" i="11"/>
  <c r="G35" i="11"/>
  <c r="G30" i="11"/>
  <c r="I30" i="11"/>
  <c r="G12" i="367"/>
  <c r="I12" i="367"/>
  <c r="I42" i="367"/>
  <c r="I46" i="367" s="1"/>
  <c r="F46" i="367" s="1"/>
  <c r="G46" i="367" s="1"/>
  <c r="G42" i="367"/>
  <c r="G39" i="249"/>
  <c r="I39" i="249"/>
  <c r="G21" i="249"/>
  <c r="I21" i="249"/>
  <c r="G14" i="152"/>
  <c r="I14" i="152"/>
  <c r="I28" i="152"/>
  <c r="G28" i="152"/>
  <c r="G13" i="40"/>
  <c r="I13" i="40"/>
  <c r="I31" i="460"/>
  <c r="G31" i="460"/>
  <c r="I18" i="460"/>
  <c r="G18" i="460"/>
  <c r="G42" i="233"/>
  <c r="I42" i="233"/>
  <c r="I21" i="233"/>
  <c r="G21" i="233"/>
  <c r="G43" i="139"/>
  <c r="I43" i="139"/>
  <c r="I30" i="139"/>
  <c r="G30" i="139"/>
  <c r="I15" i="141"/>
  <c r="G15" i="141"/>
  <c r="I34" i="141"/>
  <c r="G34" i="141"/>
  <c r="I35" i="174"/>
  <c r="G35" i="174"/>
  <c r="G12" i="174"/>
  <c r="I12" i="174"/>
  <c r="G42" i="448"/>
  <c r="I42" i="448"/>
  <c r="I15" i="448"/>
  <c r="G15" i="448"/>
  <c r="E48" i="465"/>
  <c r="I42" i="223"/>
  <c r="G42" i="223"/>
  <c r="I13" i="223"/>
  <c r="G13" i="223"/>
  <c r="I17" i="324"/>
  <c r="G17" i="324"/>
  <c r="I18" i="324"/>
  <c r="G18" i="324"/>
  <c r="G43" i="56"/>
  <c r="I43" i="56"/>
  <c r="G35" i="56"/>
  <c r="I35" i="56"/>
  <c r="I12" i="90"/>
  <c r="G12" i="90"/>
  <c r="I14" i="90"/>
  <c r="G14" i="90"/>
  <c r="G12" i="99"/>
  <c r="I12" i="99"/>
  <c r="G13" i="99"/>
  <c r="I13" i="99"/>
  <c r="F37" i="389"/>
  <c r="F31" i="389"/>
  <c r="F16" i="389"/>
  <c r="F34" i="389"/>
  <c r="F18" i="389"/>
  <c r="F11" i="389"/>
  <c r="F42" i="389"/>
  <c r="F39" i="389"/>
  <c r="F44" i="389"/>
  <c r="F43" i="389"/>
  <c r="F14" i="389"/>
  <c r="F13" i="389"/>
  <c r="F17" i="389"/>
  <c r="F45" i="389"/>
  <c r="G45" i="389" s="1"/>
  <c r="F21" i="389"/>
  <c r="F23" i="389"/>
  <c r="F10" i="389"/>
  <c r="F28" i="389"/>
  <c r="F29" i="389"/>
  <c r="F36" i="389"/>
  <c r="F15" i="389"/>
  <c r="F38" i="389"/>
  <c r="F22" i="389"/>
  <c r="F27" i="389"/>
  <c r="F30" i="389"/>
  <c r="F35" i="389"/>
  <c r="F26" i="389"/>
  <c r="F12" i="389"/>
  <c r="I28" i="396"/>
  <c r="G28" i="396"/>
  <c r="I30" i="396"/>
  <c r="G30" i="396"/>
  <c r="I31" i="128"/>
  <c r="G31" i="128"/>
  <c r="I17" i="128"/>
  <c r="G17" i="128"/>
  <c r="G11" i="314"/>
  <c r="I11" i="314"/>
  <c r="I36" i="314"/>
  <c r="G36" i="314"/>
  <c r="I15" i="9"/>
  <c r="G15" i="9"/>
  <c r="G42" i="9"/>
  <c r="I42" i="9"/>
  <c r="I40" i="312"/>
  <c r="F40" i="312" s="1"/>
  <c r="G40" i="312" s="1"/>
  <c r="I22" i="339"/>
  <c r="G22" i="339"/>
  <c r="I39" i="339"/>
  <c r="G39" i="339"/>
  <c r="G44" i="226"/>
  <c r="I44" i="226"/>
  <c r="I15" i="226"/>
  <c r="G15" i="226"/>
  <c r="G42" i="257"/>
  <c r="I42" i="257"/>
  <c r="I38" i="257"/>
  <c r="G38" i="257"/>
  <c r="I10" i="403"/>
  <c r="G10" i="403"/>
  <c r="G28" i="403"/>
  <c r="I28" i="403"/>
  <c r="I34" i="87"/>
  <c r="G34" i="87"/>
  <c r="G21" i="202"/>
  <c r="I21" i="202"/>
  <c r="G42" i="169"/>
  <c r="I42" i="169"/>
  <c r="G28" i="101"/>
  <c r="I28" i="101"/>
  <c r="G27" i="5"/>
  <c r="I27" i="5"/>
  <c r="I17" i="5"/>
  <c r="G17" i="5"/>
  <c r="I38" i="201"/>
  <c r="G38" i="201"/>
  <c r="I17" i="201"/>
  <c r="G17" i="201"/>
  <c r="G43" i="213"/>
  <c r="I43" i="213"/>
  <c r="I27" i="213"/>
  <c r="G27" i="213"/>
  <c r="I44" i="71"/>
  <c r="G44" i="71"/>
  <c r="I37" i="71"/>
  <c r="G37" i="71"/>
  <c r="G13" i="220"/>
  <c r="I13" i="220"/>
  <c r="I21" i="220"/>
  <c r="G21" i="220"/>
  <c r="I26" i="281"/>
  <c r="G26" i="281"/>
  <c r="I18" i="281"/>
  <c r="G18" i="281"/>
  <c r="I24" i="219"/>
  <c r="F24" i="219" s="1"/>
  <c r="G24" i="219" s="1"/>
  <c r="I15" i="452"/>
  <c r="G15" i="452"/>
  <c r="G22" i="34"/>
  <c r="I22" i="34"/>
  <c r="I27" i="34"/>
  <c r="G27" i="34"/>
  <c r="G23" i="227"/>
  <c r="I23" i="227"/>
  <c r="F31" i="89"/>
  <c r="F38" i="89"/>
  <c r="F12" i="89"/>
  <c r="F35" i="89"/>
  <c r="F28" i="89"/>
  <c r="F44" i="89"/>
  <c r="F37" i="89"/>
  <c r="F29" i="89"/>
  <c r="F34" i="89"/>
  <c r="F17" i="89"/>
  <c r="F39" i="89"/>
  <c r="F22" i="89"/>
  <c r="F21" i="89"/>
  <c r="F23" i="89"/>
  <c r="F10" i="89"/>
  <c r="F16" i="89"/>
  <c r="F27" i="89"/>
  <c r="F14" i="89"/>
  <c r="F26" i="89"/>
  <c r="F36" i="89"/>
  <c r="F30" i="89"/>
  <c r="F43" i="89"/>
  <c r="F45" i="89"/>
  <c r="G45" i="89" s="1"/>
  <c r="F15" i="89"/>
  <c r="F13" i="89"/>
  <c r="F18" i="89"/>
  <c r="F11" i="89"/>
  <c r="F42" i="89"/>
  <c r="G43" i="102"/>
  <c r="I43" i="102"/>
  <c r="I34" i="33"/>
  <c r="G34" i="33"/>
  <c r="I17" i="33"/>
  <c r="G17" i="33"/>
  <c r="I12" i="83"/>
  <c r="G12" i="83"/>
  <c r="G29" i="83"/>
  <c r="I29" i="83"/>
  <c r="I21" i="240"/>
  <c r="G21" i="240"/>
  <c r="G44" i="240"/>
  <c r="I44" i="240"/>
  <c r="G12" i="432"/>
  <c r="I12" i="432"/>
  <c r="I42" i="432"/>
  <c r="G42" i="432"/>
  <c r="I12" i="454"/>
  <c r="G12" i="454"/>
  <c r="I18" i="116"/>
  <c r="G18" i="116"/>
  <c r="I38" i="116"/>
  <c r="G38" i="116"/>
  <c r="G26" i="47"/>
  <c r="I26" i="47"/>
  <c r="G10" i="47"/>
  <c r="I10" i="47"/>
  <c r="G44" i="357"/>
  <c r="I44" i="357"/>
  <c r="I36" i="357"/>
  <c r="G36" i="357"/>
  <c r="I13" i="251"/>
  <c r="G13" i="251"/>
  <c r="I23" i="251"/>
  <c r="G23" i="251"/>
  <c r="I29" i="397"/>
  <c r="G29" i="397"/>
  <c r="I16" i="397"/>
  <c r="G16" i="397"/>
  <c r="G42" i="313"/>
  <c r="I42" i="313"/>
  <c r="I28" i="325"/>
  <c r="G28" i="325"/>
  <c r="G26" i="325"/>
  <c r="I26" i="325"/>
  <c r="I18" i="274"/>
  <c r="G18" i="274"/>
  <c r="I38" i="274"/>
  <c r="G38" i="274"/>
  <c r="I22" i="175"/>
  <c r="G22" i="175"/>
  <c r="G15" i="175"/>
  <c r="I15" i="175"/>
  <c r="G31" i="156"/>
  <c r="I31" i="156"/>
  <c r="G27" i="156"/>
  <c r="I27" i="156"/>
  <c r="G42" i="256"/>
  <c r="I42" i="256"/>
  <c r="I31" i="256"/>
  <c r="G31" i="256"/>
  <c r="G42" i="279"/>
  <c r="I42" i="279"/>
  <c r="G34" i="84"/>
  <c r="I34" i="84"/>
  <c r="G14" i="84"/>
  <c r="I14" i="84"/>
  <c r="G26" i="3"/>
  <c r="I26" i="3"/>
  <c r="I32" i="3" s="1"/>
  <c r="F32" i="3" s="1"/>
  <c r="G32" i="3" s="1"/>
  <c r="I37" i="243"/>
  <c r="G37" i="243"/>
  <c r="I31" i="205"/>
  <c r="G31" i="205"/>
  <c r="I18" i="205"/>
  <c r="G18" i="205"/>
  <c r="I36" i="190"/>
  <c r="G36" i="190"/>
  <c r="G27" i="190"/>
  <c r="I27" i="190"/>
  <c r="G21" i="329"/>
  <c r="I21" i="329"/>
  <c r="I42" i="193"/>
  <c r="G42" i="193"/>
  <c r="G37" i="163"/>
  <c r="I37" i="163"/>
  <c r="I26" i="163"/>
  <c r="G26" i="163"/>
  <c r="G39" i="309"/>
  <c r="I39" i="309"/>
  <c r="I17" i="309"/>
  <c r="G17" i="309"/>
  <c r="G31" i="333"/>
  <c r="I31" i="333"/>
  <c r="I42" i="333"/>
  <c r="G42" i="333"/>
  <c r="I46" i="66"/>
  <c r="F46" i="66" s="1"/>
  <c r="G46" i="66" s="1"/>
  <c r="G12" i="245"/>
  <c r="I12" i="245"/>
  <c r="I13" i="172"/>
  <c r="G13" i="172"/>
  <c r="G14" i="172"/>
  <c r="I14" i="172"/>
  <c r="G29" i="442"/>
  <c r="I29" i="442"/>
  <c r="I10" i="369"/>
  <c r="G10" i="369"/>
  <c r="G34" i="369"/>
  <c r="I34" i="369"/>
  <c r="G14" i="93"/>
  <c r="I14" i="93"/>
  <c r="G38" i="93"/>
  <c r="I38" i="93"/>
  <c r="I27" i="173"/>
  <c r="G27" i="173"/>
  <c r="G39" i="377"/>
  <c r="I39" i="377"/>
  <c r="I31" i="377"/>
  <c r="G31" i="377"/>
  <c r="I11" i="347"/>
  <c r="G11" i="347"/>
  <c r="I37" i="347"/>
  <c r="G37" i="347"/>
  <c r="I43" i="104"/>
  <c r="I46" i="104" s="1"/>
  <c r="F46" i="104" s="1"/>
  <c r="G46" i="104" s="1"/>
  <c r="G43" i="104"/>
  <c r="I26" i="104"/>
  <c r="G26" i="104"/>
  <c r="I10" i="192"/>
  <c r="G10" i="192"/>
  <c r="I44" i="192"/>
  <c r="G44" i="192"/>
  <c r="I34" i="6"/>
  <c r="G34" i="6"/>
  <c r="G18" i="6"/>
  <c r="I18" i="6"/>
  <c r="I39" i="52"/>
  <c r="G39" i="52"/>
  <c r="I21" i="168"/>
  <c r="G21" i="168"/>
  <c r="I11" i="212"/>
  <c r="G11" i="212"/>
  <c r="G44" i="284"/>
  <c r="I44" i="284"/>
  <c r="G14" i="393"/>
  <c r="I14" i="393"/>
  <c r="I44" i="372"/>
  <c r="G44" i="372"/>
  <c r="G15" i="307"/>
  <c r="I15" i="307"/>
  <c r="G30" i="263"/>
  <c r="I30" i="263"/>
  <c r="I26" i="18"/>
  <c r="G26" i="18"/>
  <c r="I31" i="299"/>
  <c r="G31" i="299"/>
  <c r="I12" i="79"/>
  <c r="G12" i="79"/>
  <c r="I23" i="68"/>
  <c r="G23" i="68"/>
  <c r="I14" i="458"/>
  <c r="G14" i="458"/>
  <c r="I34" i="233"/>
  <c r="G34" i="233"/>
  <c r="I39" i="90"/>
  <c r="G39" i="90"/>
  <c r="I42" i="220"/>
  <c r="I46" i="220" s="1"/>
  <c r="F46" i="220" s="1"/>
  <c r="G46" i="220" s="1"/>
  <c r="G42" i="220"/>
  <c r="G13" i="347"/>
  <c r="I13" i="347"/>
  <c r="I22" i="215"/>
  <c r="I24" i="215" s="1"/>
  <c r="F24" i="215" s="1"/>
  <c r="G24" i="215" s="1"/>
  <c r="I42" i="235"/>
  <c r="G42" i="235"/>
  <c r="I39" i="235"/>
  <c r="G39" i="235"/>
  <c r="G43" i="404"/>
  <c r="I43" i="404"/>
  <c r="G44" i="229"/>
  <c r="I44" i="229"/>
  <c r="G12" i="229"/>
  <c r="I12" i="229"/>
  <c r="G11" i="343"/>
  <c r="I11" i="343"/>
  <c r="I14" i="343"/>
  <c r="G14" i="343"/>
  <c r="I16" i="160"/>
  <c r="G16" i="160"/>
  <c r="I13" i="160"/>
  <c r="G13" i="160"/>
  <c r="I23" i="374"/>
  <c r="G23" i="374"/>
  <c r="I28" i="374"/>
  <c r="G28" i="374"/>
  <c r="I31" i="168"/>
  <c r="G31" i="168"/>
  <c r="I23" i="261"/>
  <c r="G23" i="261"/>
  <c r="G44" i="261"/>
  <c r="I44" i="261"/>
  <c r="I23" i="273"/>
  <c r="G23" i="273"/>
  <c r="G17" i="273"/>
  <c r="I17" i="273"/>
  <c r="G17" i="212"/>
  <c r="I17" i="212"/>
  <c r="G27" i="212"/>
  <c r="I27" i="212"/>
  <c r="G21" i="301"/>
  <c r="I21" i="301"/>
  <c r="I16" i="379"/>
  <c r="G16" i="379"/>
  <c r="G14" i="208"/>
  <c r="I14" i="208"/>
  <c r="I44" i="208"/>
  <c r="G44" i="208"/>
  <c r="I26" i="138"/>
  <c r="G26" i="138"/>
  <c r="I46" i="147"/>
  <c r="F46" i="147" s="1"/>
  <c r="G46" i="147" s="1"/>
  <c r="I22" i="203"/>
  <c r="G22" i="203"/>
  <c r="I28" i="352"/>
  <c r="G28" i="352"/>
  <c r="I10" i="352"/>
  <c r="G10" i="352"/>
  <c r="G14" i="69"/>
  <c r="I14" i="69"/>
  <c r="I26" i="69"/>
  <c r="G26" i="69"/>
  <c r="I23" i="342"/>
  <c r="G23" i="342"/>
  <c r="G28" i="342"/>
  <c r="I28" i="342"/>
  <c r="G31" i="109"/>
  <c r="I31" i="109"/>
  <c r="I16" i="109"/>
  <c r="G16" i="109"/>
  <c r="I43" i="284"/>
  <c r="G43" i="284"/>
  <c r="I21" i="284"/>
  <c r="G21" i="284"/>
  <c r="I27" i="420"/>
  <c r="G27" i="420"/>
  <c r="I35" i="420"/>
  <c r="G35" i="420"/>
  <c r="G38" i="393"/>
  <c r="I38" i="393"/>
  <c r="G10" i="393"/>
  <c r="I10" i="393"/>
  <c r="I30" i="455"/>
  <c r="G30" i="455"/>
  <c r="I27" i="455"/>
  <c r="G27" i="455"/>
  <c r="I39" i="372"/>
  <c r="G39" i="372"/>
  <c r="I43" i="372"/>
  <c r="G43" i="372"/>
  <c r="I21" i="239"/>
  <c r="G21" i="239"/>
  <c r="I14" i="239"/>
  <c r="G14" i="239"/>
  <c r="I15" i="12"/>
  <c r="G15" i="12"/>
  <c r="G28" i="12"/>
  <c r="I28" i="12"/>
  <c r="I27" i="307"/>
  <c r="G27" i="307"/>
  <c r="I22" i="307"/>
  <c r="G22" i="307"/>
  <c r="I38" i="419"/>
  <c r="G38" i="419"/>
  <c r="I31" i="419"/>
  <c r="G31" i="419"/>
  <c r="G11" i="392"/>
  <c r="I11" i="392"/>
  <c r="G18" i="263"/>
  <c r="I18" i="263"/>
  <c r="I22" i="263"/>
  <c r="G22" i="263"/>
  <c r="I43" i="422"/>
  <c r="G43" i="422"/>
  <c r="I22" i="422"/>
  <c r="G22" i="422"/>
  <c r="G28" i="124"/>
  <c r="I28" i="124"/>
  <c r="I37" i="124"/>
  <c r="G37" i="124"/>
  <c r="I23" i="194"/>
  <c r="G23" i="194"/>
  <c r="G17" i="18"/>
  <c r="I17" i="18"/>
  <c r="I22" i="18"/>
  <c r="G22" i="18"/>
  <c r="I43" i="20"/>
  <c r="G43" i="20"/>
  <c r="I38" i="20"/>
  <c r="G38" i="20"/>
  <c r="I23" i="299"/>
  <c r="G23" i="299"/>
  <c r="G36" i="299"/>
  <c r="I36" i="299"/>
  <c r="I29" i="338"/>
  <c r="G29" i="338"/>
  <c r="I23" i="338"/>
  <c r="G23" i="338"/>
  <c r="I26" i="144"/>
  <c r="G26" i="144"/>
  <c r="I22" i="144"/>
  <c r="G22" i="144"/>
  <c r="I17" i="22"/>
  <c r="G17" i="22"/>
  <c r="I10" i="22"/>
  <c r="G10" i="22"/>
  <c r="G44" i="79"/>
  <c r="I44" i="79"/>
  <c r="G43" i="326"/>
  <c r="I43" i="326"/>
  <c r="I32" i="50"/>
  <c r="F32" i="50" s="1"/>
  <c r="G32" i="50" s="1"/>
  <c r="G13" i="15"/>
  <c r="I13" i="15"/>
  <c r="I44" i="15"/>
  <c r="G44" i="15"/>
  <c r="I15" i="68"/>
  <c r="G15" i="68"/>
  <c r="I36" i="68"/>
  <c r="G36" i="68"/>
  <c r="G11" i="95"/>
  <c r="I11" i="95"/>
  <c r="I44" i="95"/>
  <c r="G44" i="95"/>
  <c r="I39" i="86"/>
  <c r="G39" i="86"/>
  <c r="I35" i="86"/>
  <c r="G35" i="86"/>
  <c r="G14" i="237"/>
  <c r="I14" i="237"/>
  <c r="I13" i="458"/>
  <c r="G13" i="458"/>
  <c r="I16" i="458"/>
  <c r="G16" i="458"/>
  <c r="I30" i="29"/>
  <c r="G30" i="29"/>
  <c r="I31" i="29"/>
  <c r="G31" i="29"/>
  <c r="G38" i="11"/>
  <c r="I38" i="11"/>
  <c r="G27" i="11"/>
  <c r="I27" i="11"/>
  <c r="I30" i="367"/>
  <c r="G30" i="367"/>
  <c r="I13" i="367"/>
  <c r="G13" i="367"/>
  <c r="I26" i="249"/>
  <c r="G26" i="249"/>
  <c r="I16" i="249"/>
  <c r="G16" i="249"/>
  <c r="G39" i="152"/>
  <c r="I39" i="152"/>
  <c r="I26" i="152"/>
  <c r="G26" i="152"/>
  <c r="I40" i="74"/>
  <c r="F40" i="74" s="1"/>
  <c r="G40" i="74" s="1"/>
  <c r="G37" i="40"/>
  <c r="I37" i="40"/>
  <c r="G27" i="460"/>
  <c r="I27" i="460"/>
  <c r="G23" i="460"/>
  <c r="I23" i="460"/>
  <c r="G10" i="233"/>
  <c r="I10" i="233"/>
  <c r="G44" i="233"/>
  <c r="I44" i="233"/>
  <c r="I32" i="182"/>
  <c r="F32" i="182" s="1"/>
  <c r="G32" i="182" s="1"/>
  <c r="I24" i="105"/>
  <c r="F24" i="105" s="1"/>
  <c r="G24" i="105" s="1"/>
  <c r="I14" i="139"/>
  <c r="G14" i="139"/>
  <c r="I39" i="141"/>
  <c r="G39" i="141"/>
  <c r="I27" i="141"/>
  <c r="G27" i="141"/>
  <c r="G26" i="174"/>
  <c r="I26" i="174"/>
  <c r="G29" i="174"/>
  <c r="I29" i="174"/>
  <c r="I22" i="448"/>
  <c r="G22" i="448"/>
  <c r="I26" i="448"/>
  <c r="G26" i="448"/>
  <c r="I18" i="223"/>
  <c r="G18" i="223"/>
  <c r="G11" i="223"/>
  <c r="I11" i="223"/>
  <c r="I19" i="74"/>
  <c r="F19" i="74" s="1"/>
  <c r="G19" i="74" s="1"/>
  <c r="G37" i="324"/>
  <c r="I37" i="324"/>
  <c r="I15" i="324"/>
  <c r="G15" i="324"/>
  <c r="I29" i="56"/>
  <c r="G29" i="56"/>
  <c r="I36" i="56"/>
  <c r="G36" i="56"/>
  <c r="I10" i="90"/>
  <c r="G10" i="90"/>
  <c r="I15" i="99"/>
  <c r="G15" i="99"/>
  <c r="G14" i="99"/>
  <c r="I14" i="99"/>
  <c r="I42" i="396"/>
  <c r="G42" i="396"/>
  <c r="G18" i="396"/>
  <c r="I18" i="396"/>
  <c r="G28" i="128"/>
  <c r="I28" i="128"/>
  <c r="G43" i="128"/>
  <c r="I43" i="128"/>
  <c r="G23" i="314"/>
  <c r="I23" i="314"/>
  <c r="I26" i="314"/>
  <c r="G26" i="314"/>
  <c r="G43" i="9"/>
  <c r="I43" i="9"/>
  <c r="I17" i="9"/>
  <c r="G17" i="9"/>
  <c r="I32" i="219"/>
  <c r="F32" i="219" s="1"/>
  <c r="G32" i="219" s="1"/>
  <c r="I38" i="339"/>
  <c r="G38" i="339"/>
  <c r="G26" i="339"/>
  <c r="I26" i="339"/>
  <c r="I30" i="226"/>
  <c r="G30" i="226"/>
  <c r="G36" i="226"/>
  <c r="I36" i="226"/>
  <c r="I18" i="257"/>
  <c r="G18" i="257"/>
  <c r="I36" i="257"/>
  <c r="G36" i="257"/>
  <c r="G21" i="403"/>
  <c r="I21" i="403"/>
  <c r="I44" i="403"/>
  <c r="G44" i="403"/>
  <c r="I23" i="87"/>
  <c r="G23" i="87"/>
  <c r="G18" i="202"/>
  <c r="I18" i="202"/>
  <c r="I39" i="202"/>
  <c r="G39" i="202"/>
  <c r="I29" i="101"/>
  <c r="G29" i="101"/>
  <c r="I22" i="5"/>
  <c r="G22" i="5"/>
  <c r="I14" i="5"/>
  <c r="G14" i="5"/>
  <c r="I16" i="201"/>
  <c r="G16" i="201"/>
  <c r="I27" i="201"/>
  <c r="G27" i="201"/>
  <c r="I22" i="213"/>
  <c r="G22" i="213"/>
  <c r="I34" i="213"/>
  <c r="G34" i="213"/>
  <c r="I15" i="71"/>
  <c r="G15" i="71"/>
  <c r="I26" i="71"/>
  <c r="G26" i="71"/>
  <c r="I37" i="220"/>
  <c r="G37" i="220"/>
  <c r="I28" i="220"/>
  <c r="G28" i="220"/>
  <c r="G36" i="281"/>
  <c r="I36" i="281"/>
  <c r="G28" i="281"/>
  <c r="I28" i="281"/>
  <c r="G38" i="452"/>
  <c r="I38" i="452"/>
  <c r="I28" i="452"/>
  <c r="G28" i="452"/>
  <c r="I36" i="34"/>
  <c r="G36" i="34"/>
  <c r="G42" i="34"/>
  <c r="I42" i="34"/>
  <c r="I30" i="227"/>
  <c r="G30" i="227"/>
  <c r="G11" i="102"/>
  <c r="I11" i="102"/>
  <c r="G36" i="33"/>
  <c r="I36" i="33"/>
  <c r="G13" i="33"/>
  <c r="I13" i="33"/>
  <c r="I37" i="83"/>
  <c r="G37" i="83"/>
  <c r="G27" i="83"/>
  <c r="I27" i="83"/>
  <c r="I15" i="240"/>
  <c r="G15" i="240"/>
  <c r="G27" i="432"/>
  <c r="I27" i="432"/>
  <c r="I22" i="432"/>
  <c r="G22" i="432"/>
  <c r="I13" i="454"/>
  <c r="G13" i="454"/>
  <c r="I11" i="116"/>
  <c r="G11" i="116"/>
  <c r="I43" i="116"/>
  <c r="G43" i="116"/>
  <c r="G21" i="47"/>
  <c r="I21" i="47"/>
  <c r="I11" i="47"/>
  <c r="G11" i="47"/>
  <c r="I12" i="357"/>
  <c r="G12" i="357"/>
  <c r="I43" i="357"/>
  <c r="G43" i="357"/>
  <c r="I21" i="251"/>
  <c r="G21" i="251"/>
  <c r="G14" i="251"/>
  <c r="I14" i="251"/>
  <c r="I15" i="397"/>
  <c r="G15" i="397"/>
  <c r="G13" i="397"/>
  <c r="I13" i="397"/>
  <c r="I44" i="313"/>
  <c r="G44" i="313"/>
  <c r="I19" i="290"/>
  <c r="F19" i="290" s="1"/>
  <c r="G19" i="290" s="1"/>
  <c r="I27" i="325"/>
  <c r="G27" i="325"/>
  <c r="I44" i="325"/>
  <c r="G44" i="325"/>
  <c r="I29" i="133"/>
  <c r="G29" i="133"/>
  <c r="I23" i="274"/>
  <c r="G23" i="274"/>
  <c r="I17" i="274"/>
  <c r="G17" i="274"/>
  <c r="G42" i="175"/>
  <c r="I42" i="175"/>
  <c r="G28" i="175"/>
  <c r="I28" i="175"/>
  <c r="G21" i="156"/>
  <c r="I21" i="156"/>
  <c r="G13" i="156"/>
  <c r="I13" i="156"/>
  <c r="I11" i="256"/>
  <c r="G11" i="256"/>
  <c r="I21" i="256"/>
  <c r="G21" i="256"/>
  <c r="G10" i="279"/>
  <c r="I10" i="279"/>
  <c r="G17" i="279"/>
  <c r="I17" i="279"/>
  <c r="I27" i="84"/>
  <c r="G27" i="84"/>
  <c r="G10" i="84"/>
  <c r="I10" i="84"/>
  <c r="I16" i="3"/>
  <c r="G16" i="3"/>
  <c r="G10" i="243"/>
  <c r="I10" i="243"/>
  <c r="I26" i="205"/>
  <c r="G26" i="205"/>
  <c r="I27" i="205"/>
  <c r="G27" i="205"/>
  <c r="I31" i="190"/>
  <c r="G31" i="190"/>
  <c r="F43" i="291"/>
  <c r="F34" i="291"/>
  <c r="F14" i="291"/>
  <c r="F13" i="291"/>
  <c r="F15" i="291"/>
  <c r="F45" i="291"/>
  <c r="G45" i="291" s="1"/>
  <c r="F17" i="291"/>
  <c r="F29" i="291"/>
  <c r="F42" i="291"/>
  <c r="F18" i="291"/>
  <c r="F10" i="291"/>
  <c r="F39" i="291"/>
  <c r="F37" i="291"/>
  <c r="F16" i="291"/>
  <c r="F21" i="291"/>
  <c r="F23" i="291"/>
  <c r="F11" i="291"/>
  <c r="F38" i="291"/>
  <c r="F35" i="291"/>
  <c r="F31" i="291"/>
  <c r="F12" i="291"/>
  <c r="F27" i="291"/>
  <c r="F30" i="291"/>
  <c r="F22" i="291"/>
  <c r="F44" i="291"/>
  <c r="F36" i="291"/>
  <c r="F26" i="291"/>
  <c r="F28" i="291"/>
  <c r="I37" i="329"/>
  <c r="G37" i="329"/>
  <c r="G10" i="193"/>
  <c r="I10" i="193"/>
  <c r="I23" i="193"/>
  <c r="G23" i="193"/>
  <c r="I18" i="163"/>
  <c r="G18" i="163"/>
  <c r="I14" i="163"/>
  <c r="G14" i="163"/>
  <c r="I36" i="309"/>
  <c r="G36" i="309"/>
  <c r="G43" i="309"/>
  <c r="I43" i="309"/>
  <c r="G26" i="333"/>
  <c r="I26" i="333"/>
  <c r="G18" i="333"/>
  <c r="I18" i="333"/>
  <c r="G15" i="245"/>
  <c r="I15" i="245"/>
  <c r="G35" i="172"/>
  <c r="I35" i="172"/>
  <c r="I42" i="442"/>
  <c r="G42" i="442"/>
  <c r="G15" i="442"/>
  <c r="I15" i="442"/>
  <c r="G28" i="369"/>
  <c r="I28" i="369"/>
  <c r="I29" i="369"/>
  <c r="G29" i="369"/>
  <c r="I46" i="241"/>
  <c r="F46" i="241" s="1"/>
  <c r="G46" i="241" s="1"/>
  <c r="I11" i="93"/>
  <c r="G11" i="93"/>
  <c r="I39" i="93"/>
  <c r="G39" i="93"/>
  <c r="I17" i="173"/>
  <c r="G17" i="173"/>
  <c r="I35" i="377"/>
  <c r="G35" i="377"/>
  <c r="G11" i="377"/>
  <c r="I11" i="377"/>
  <c r="I12" i="347"/>
  <c r="G12" i="347"/>
  <c r="G29" i="347"/>
  <c r="I29" i="347"/>
  <c r="I28" i="104"/>
  <c r="G28" i="104"/>
  <c r="G12" i="104"/>
  <c r="I12" i="104"/>
  <c r="I21" i="192"/>
  <c r="G21" i="192"/>
  <c r="I30" i="192"/>
  <c r="G30" i="192"/>
  <c r="I12" i="6"/>
  <c r="G12" i="6"/>
  <c r="I13" i="6"/>
  <c r="G13" i="6"/>
  <c r="I38" i="52"/>
  <c r="G38" i="52"/>
  <c r="I30" i="374"/>
  <c r="G30" i="374"/>
  <c r="G21" i="422"/>
  <c r="I21" i="422"/>
  <c r="I26" i="15"/>
  <c r="G26" i="15"/>
  <c r="G13" i="201"/>
  <c r="I13" i="201"/>
  <c r="I19" i="380"/>
  <c r="F19" i="380" s="1"/>
  <c r="G19" i="380" s="1"/>
  <c r="I40" i="368"/>
  <c r="F40" i="368" s="1"/>
  <c r="G40" i="368" s="1"/>
  <c r="F36" i="118"/>
  <c r="F43" i="118"/>
  <c r="F28" i="118"/>
  <c r="F44" i="118"/>
  <c r="F10" i="118"/>
  <c r="F18" i="118"/>
  <c r="F45" i="118"/>
  <c r="G45" i="118" s="1"/>
  <c r="F39" i="118"/>
  <c r="F14" i="118"/>
  <c r="F42" i="118"/>
  <c r="F23" i="118"/>
  <c r="F26" i="118"/>
  <c r="F27" i="118"/>
  <c r="F30" i="118"/>
  <c r="F35" i="118"/>
  <c r="F12" i="118"/>
  <c r="F37" i="118"/>
  <c r="F38" i="118"/>
  <c r="F13" i="118"/>
  <c r="F31" i="118"/>
  <c r="F11" i="118"/>
  <c r="F22" i="118"/>
  <c r="F15" i="118"/>
  <c r="F21" i="118"/>
  <c r="F16" i="118"/>
  <c r="F29" i="118"/>
  <c r="F17" i="118"/>
  <c r="F34" i="118"/>
  <c r="I32" i="312"/>
  <c r="F32" i="312" s="1"/>
  <c r="G32" i="312" s="1"/>
  <c r="E48" i="179"/>
  <c r="I44" i="235"/>
  <c r="G44" i="235"/>
  <c r="I18" i="235"/>
  <c r="G18" i="235"/>
  <c r="I10" i="404"/>
  <c r="G10" i="404"/>
  <c r="I24" i="57"/>
  <c r="F24" i="57" s="1"/>
  <c r="G24" i="57" s="1"/>
  <c r="G14" i="229"/>
  <c r="I14" i="229"/>
  <c r="G13" i="343"/>
  <c r="I13" i="343"/>
  <c r="I44" i="343"/>
  <c r="G44" i="343"/>
  <c r="I29" i="160"/>
  <c r="G29" i="160"/>
  <c r="G11" i="160"/>
  <c r="I11" i="160"/>
  <c r="I13" i="374"/>
  <c r="G13" i="374"/>
  <c r="I17" i="374"/>
  <c r="G17" i="374"/>
  <c r="I42" i="168"/>
  <c r="G42" i="168"/>
  <c r="G29" i="168"/>
  <c r="I29" i="168"/>
  <c r="I16" i="261"/>
  <c r="G16" i="261"/>
  <c r="I10" i="261"/>
  <c r="G10" i="261"/>
  <c r="I34" i="273"/>
  <c r="G34" i="273"/>
  <c r="G21" i="273"/>
  <c r="I21" i="273"/>
  <c r="G23" i="212"/>
  <c r="I23" i="212"/>
  <c r="I12" i="212"/>
  <c r="G12" i="212"/>
  <c r="I17" i="301"/>
  <c r="G17" i="301"/>
  <c r="I42" i="301"/>
  <c r="G42" i="301"/>
  <c r="I23" i="379"/>
  <c r="G23" i="379"/>
  <c r="I39" i="208"/>
  <c r="G39" i="208"/>
  <c r="G35" i="208"/>
  <c r="I35" i="208"/>
  <c r="I15" i="138"/>
  <c r="G15" i="138"/>
  <c r="I31" i="203"/>
  <c r="G31" i="203"/>
  <c r="I40" i="107"/>
  <c r="F40" i="107" s="1"/>
  <c r="G40" i="107" s="1"/>
  <c r="I11" i="352"/>
  <c r="G11" i="352"/>
  <c r="I29" i="352"/>
  <c r="G29" i="352"/>
  <c r="I35" i="69"/>
  <c r="G35" i="69"/>
  <c r="G31" i="69"/>
  <c r="I31" i="69"/>
  <c r="G18" i="342"/>
  <c r="I18" i="342"/>
  <c r="I42" i="342"/>
  <c r="G42" i="342"/>
  <c r="G15" i="109"/>
  <c r="I15" i="109"/>
  <c r="G17" i="109"/>
  <c r="I17" i="109"/>
  <c r="I24" i="331"/>
  <c r="F24" i="331" s="1"/>
  <c r="G24" i="331" s="1"/>
  <c r="I39" i="284"/>
  <c r="G39" i="284"/>
  <c r="I15" i="284"/>
  <c r="G15" i="284"/>
  <c r="I23" i="420"/>
  <c r="G23" i="420"/>
  <c r="G38" i="420"/>
  <c r="I38" i="420"/>
  <c r="I23" i="393"/>
  <c r="G23" i="393"/>
  <c r="I44" i="393"/>
  <c r="G44" i="393"/>
  <c r="I17" i="455"/>
  <c r="G17" i="455"/>
  <c r="G14" i="455"/>
  <c r="I14" i="455"/>
  <c r="I12" i="372"/>
  <c r="G12" i="372"/>
  <c r="G31" i="372"/>
  <c r="I31" i="372"/>
  <c r="G13" i="239"/>
  <c r="I13" i="239"/>
  <c r="I39" i="239"/>
  <c r="G39" i="239"/>
  <c r="G31" i="12"/>
  <c r="I31" i="12"/>
  <c r="I38" i="12"/>
  <c r="G38" i="12"/>
  <c r="G17" i="307"/>
  <c r="I17" i="307"/>
  <c r="I44" i="307"/>
  <c r="G44" i="307"/>
  <c r="I10" i="419"/>
  <c r="G10" i="419"/>
  <c r="I29" i="392"/>
  <c r="G29" i="392"/>
  <c r="I13" i="392"/>
  <c r="G13" i="392"/>
  <c r="I17" i="263"/>
  <c r="G17" i="263"/>
  <c r="I11" i="263"/>
  <c r="G11" i="263"/>
  <c r="I39" i="422"/>
  <c r="G39" i="422"/>
  <c r="I16" i="422"/>
  <c r="G16" i="422"/>
  <c r="G35" i="124"/>
  <c r="I35" i="124"/>
  <c r="I11" i="194"/>
  <c r="G11" i="194"/>
  <c r="I42" i="194"/>
  <c r="G42" i="194"/>
  <c r="I35" i="18"/>
  <c r="G35" i="18"/>
  <c r="I11" i="18"/>
  <c r="G11" i="18"/>
  <c r="I23" i="20"/>
  <c r="G23" i="20"/>
  <c r="G22" i="20"/>
  <c r="I22" i="20"/>
  <c r="I35" i="299"/>
  <c r="G35" i="299"/>
  <c r="I26" i="338"/>
  <c r="G26" i="338"/>
  <c r="I18" i="338"/>
  <c r="G18" i="338"/>
  <c r="G14" i="144"/>
  <c r="I14" i="144"/>
  <c r="I28" i="144"/>
  <c r="G28" i="144"/>
  <c r="G12" i="22"/>
  <c r="I12" i="22"/>
  <c r="I18" i="22"/>
  <c r="G18" i="22"/>
  <c r="G34" i="79"/>
  <c r="I34" i="79"/>
  <c r="I19" i="387"/>
  <c r="F19" i="387" s="1"/>
  <c r="G19" i="387" s="1"/>
  <c r="G17" i="326"/>
  <c r="I17" i="326"/>
  <c r="E46" i="351"/>
  <c r="A52" i="351" s="1"/>
  <c r="E34" i="351"/>
  <c r="E40" i="351"/>
  <c r="E39" i="351"/>
  <c r="E42" i="351"/>
  <c r="E28" i="351"/>
  <c r="E27" i="351"/>
  <c r="E29" i="351"/>
  <c r="E37" i="351"/>
  <c r="E44" i="351"/>
  <c r="E22" i="351"/>
  <c r="E21" i="351"/>
  <c r="E35" i="351"/>
  <c r="E43" i="351"/>
  <c r="E36" i="351"/>
  <c r="E45" i="351"/>
  <c r="E38" i="351"/>
  <c r="E31" i="351"/>
  <c r="E30" i="351"/>
  <c r="E23" i="351"/>
  <c r="E26" i="351"/>
  <c r="G18" i="15"/>
  <c r="I18" i="15"/>
  <c r="G34" i="15"/>
  <c r="I34" i="15"/>
  <c r="G38" i="68"/>
  <c r="I38" i="68"/>
  <c r="I26" i="68"/>
  <c r="G26" i="68"/>
  <c r="I21" i="95"/>
  <c r="G21" i="95"/>
  <c r="I15" i="95"/>
  <c r="G15" i="95"/>
  <c r="I36" i="86"/>
  <c r="G36" i="86"/>
  <c r="I10" i="86"/>
  <c r="G10" i="86"/>
  <c r="I15" i="237"/>
  <c r="G15" i="237"/>
  <c r="I23" i="458"/>
  <c r="G23" i="458"/>
  <c r="I27" i="458"/>
  <c r="G27" i="458"/>
  <c r="G10" i="298"/>
  <c r="I10" i="298"/>
  <c r="I13" i="29"/>
  <c r="G13" i="29"/>
  <c r="G36" i="29"/>
  <c r="I36" i="29"/>
  <c r="I11" i="11"/>
  <c r="G11" i="11"/>
  <c r="G16" i="11"/>
  <c r="I16" i="11"/>
  <c r="I22" i="367"/>
  <c r="I24" i="367" s="1"/>
  <c r="F24" i="367" s="1"/>
  <c r="G24" i="367" s="1"/>
  <c r="G22" i="367"/>
  <c r="G29" i="367"/>
  <c r="I29" i="367"/>
  <c r="I38" i="249"/>
  <c r="G38" i="249"/>
  <c r="I42" i="152"/>
  <c r="G42" i="152"/>
  <c r="G31" i="152"/>
  <c r="I31" i="152"/>
  <c r="I24" i="107"/>
  <c r="F24" i="107" s="1"/>
  <c r="G24" i="107" s="1"/>
  <c r="I43" i="40"/>
  <c r="G43" i="40"/>
  <c r="I16" i="460"/>
  <c r="G16" i="460"/>
  <c r="I13" i="460"/>
  <c r="G13" i="460"/>
  <c r="I18" i="233"/>
  <c r="G18" i="233"/>
  <c r="G15" i="233"/>
  <c r="I15" i="233"/>
  <c r="I46" i="331"/>
  <c r="F46" i="331" s="1"/>
  <c r="G46" i="331" s="1"/>
  <c r="I42" i="139"/>
  <c r="G42" i="139"/>
  <c r="G44" i="139"/>
  <c r="I44" i="139"/>
  <c r="G10" i="141"/>
  <c r="I10" i="141"/>
  <c r="G29" i="141"/>
  <c r="I29" i="141"/>
  <c r="G15" i="174"/>
  <c r="I15" i="174"/>
  <c r="I43" i="448"/>
  <c r="G43" i="448"/>
  <c r="I36" i="448"/>
  <c r="G36" i="448"/>
  <c r="G22" i="223"/>
  <c r="I22" i="223"/>
  <c r="G44" i="223"/>
  <c r="I44" i="223"/>
  <c r="I43" i="324"/>
  <c r="G43" i="324"/>
  <c r="G42" i="324"/>
  <c r="I42" i="324"/>
  <c r="G10" i="56"/>
  <c r="I10" i="56"/>
  <c r="I42" i="56"/>
  <c r="I46" i="56" s="1"/>
  <c r="F46" i="56" s="1"/>
  <c r="G46" i="56" s="1"/>
  <c r="G42" i="56"/>
  <c r="I27" i="90"/>
  <c r="G27" i="90"/>
  <c r="I16" i="90"/>
  <c r="G16" i="90"/>
  <c r="I26" i="99"/>
  <c r="G26" i="99"/>
  <c r="G38" i="99"/>
  <c r="I38" i="99"/>
  <c r="G39" i="396"/>
  <c r="I39" i="396"/>
  <c r="I17" i="396"/>
  <c r="G17" i="396"/>
  <c r="I18" i="128"/>
  <c r="G18" i="128"/>
  <c r="I38" i="128"/>
  <c r="G38" i="128"/>
  <c r="G17" i="314"/>
  <c r="I17" i="314"/>
  <c r="I44" i="314"/>
  <c r="G44" i="314"/>
  <c r="G39" i="9"/>
  <c r="I39" i="9"/>
  <c r="I18" i="9"/>
  <c r="G18" i="9"/>
  <c r="I16" i="339"/>
  <c r="G16" i="339"/>
  <c r="I15" i="339"/>
  <c r="G15" i="339"/>
  <c r="I34" i="226"/>
  <c r="G34" i="226"/>
  <c r="G17" i="226"/>
  <c r="I17" i="226"/>
  <c r="I15" i="257"/>
  <c r="G15" i="257"/>
  <c r="G21" i="257"/>
  <c r="I21" i="257"/>
  <c r="I23" i="403"/>
  <c r="G23" i="403"/>
  <c r="G13" i="403"/>
  <c r="I13" i="403"/>
  <c r="I43" i="87"/>
  <c r="G43" i="87"/>
  <c r="G42" i="202"/>
  <c r="I42" i="202"/>
  <c r="I22" i="202"/>
  <c r="G22" i="202"/>
  <c r="I28" i="169"/>
  <c r="G28" i="169"/>
  <c r="G12" i="101"/>
  <c r="I12" i="101"/>
  <c r="I10" i="5"/>
  <c r="I19" i="5" s="1"/>
  <c r="F19" i="5" s="1"/>
  <c r="G19" i="5" s="1"/>
  <c r="G10" i="5"/>
  <c r="I12" i="5"/>
  <c r="G12" i="5"/>
  <c r="I15" i="201"/>
  <c r="G15" i="201"/>
  <c r="I39" i="201"/>
  <c r="G39" i="201"/>
  <c r="G30" i="213"/>
  <c r="I30" i="213"/>
  <c r="G15" i="213"/>
  <c r="I15" i="213"/>
  <c r="G42" i="71"/>
  <c r="I42" i="71"/>
  <c r="G28" i="71"/>
  <c r="I28" i="71"/>
  <c r="G10" i="220"/>
  <c r="I10" i="220"/>
  <c r="I29" i="220"/>
  <c r="G29" i="220"/>
  <c r="G34" i="281"/>
  <c r="I34" i="281"/>
  <c r="I35" i="452"/>
  <c r="G35" i="452"/>
  <c r="I14" i="452"/>
  <c r="G14" i="452"/>
  <c r="G30" i="34"/>
  <c r="I30" i="34"/>
  <c r="I16" i="34"/>
  <c r="G16" i="34"/>
  <c r="I17" i="227"/>
  <c r="G17" i="227"/>
  <c r="I26" i="227"/>
  <c r="G26" i="227"/>
  <c r="G39" i="102"/>
  <c r="I39" i="102"/>
  <c r="G43" i="33"/>
  <c r="I43" i="33"/>
  <c r="I42" i="33"/>
  <c r="G42" i="33"/>
  <c r="I42" i="83"/>
  <c r="I46" i="83" s="1"/>
  <c r="F46" i="83" s="1"/>
  <c r="G46" i="83" s="1"/>
  <c r="G42" i="83"/>
  <c r="G28" i="83"/>
  <c r="I28" i="83"/>
  <c r="I13" i="240"/>
  <c r="G13" i="240"/>
  <c r="I23" i="432"/>
  <c r="G23" i="432"/>
  <c r="G14" i="454"/>
  <c r="I14" i="454"/>
  <c r="G29" i="454"/>
  <c r="I29" i="454"/>
  <c r="G30" i="116"/>
  <c r="I30" i="116"/>
  <c r="I31" i="116"/>
  <c r="G31" i="116"/>
  <c r="I43" i="47"/>
  <c r="G43" i="47"/>
  <c r="I35" i="47"/>
  <c r="G35" i="47"/>
  <c r="G11" i="357"/>
  <c r="I11" i="357"/>
  <c r="I42" i="357"/>
  <c r="G42" i="357"/>
  <c r="G11" i="251"/>
  <c r="I11" i="251"/>
  <c r="I43" i="251"/>
  <c r="G43" i="251"/>
  <c r="I30" i="397"/>
  <c r="G30" i="397"/>
  <c r="I11" i="397"/>
  <c r="G11" i="397"/>
  <c r="I34" i="313"/>
  <c r="G34" i="313"/>
  <c r="G15" i="313"/>
  <c r="I15" i="313"/>
  <c r="G15" i="325"/>
  <c r="I15" i="325"/>
  <c r="G12" i="133"/>
  <c r="I12" i="133"/>
  <c r="I28" i="133"/>
  <c r="G28" i="133"/>
  <c r="I12" i="274"/>
  <c r="G12" i="274"/>
  <c r="G13" i="274"/>
  <c r="I13" i="274"/>
  <c r="G44" i="175"/>
  <c r="I44" i="175"/>
  <c r="G26" i="175"/>
  <c r="I26" i="175"/>
  <c r="I23" i="156"/>
  <c r="G23" i="156"/>
  <c r="I14" i="156"/>
  <c r="G14" i="156"/>
  <c r="I36" i="256"/>
  <c r="G36" i="256"/>
  <c r="I26" i="256"/>
  <c r="G26" i="256"/>
  <c r="G36" i="279"/>
  <c r="I36" i="279"/>
  <c r="I36" i="84"/>
  <c r="G36" i="84"/>
  <c r="I43" i="84"/>
  <c r="G43" i="84"/>
  <c r="E48" i="406"/>
  <c r="I23" i="3"/>
  <c r="G23" i="3"/>
  <c r="G13" i="243"/>
  <c r="I13" i="243"/>
  <c r="G39" i="205"/>
  <c r="I39" i="205"/>
  <c r="G21" i="205"/>
  <c r="I21" i="205"/>
  <c r="G13" i="190"/>
  <c r="I13" i="190"/>
  <c r="I42" i="329"/>
  <c r="G42" i="329"/>
  <c r="G27" i="329"/>
  <c r="I27" i="329"/>
  <c r="G18" i="193"/>
  <c r="I18" i="193"/>
  <c r="I13" i="193"/>
  <c r="G13" i="193"/>
  <c r="G28" i="163"/>
  <c r="I28" i="163"/>
  <c r="I16" i="163"/>
  <c r="G16" i="163"/>
  <c r="I13" i="309"/>
  <c r="G13" i="309"/>
  <c r="G18" i="309"/>
  <c r="I18" i="309"/>
  <c r="G36" i="333"/>
  <c r="I36" i="333"/>
  <c r="G27" i="333"/>
  <c r="I27" i="333"/>
  <c r="I30" i="245"/>
  <c r="G30" i="245"/>
  <c r="I30" i="172"/>
  <c r="G30" i="172"/>
  <c r="G39" i="442"/>
  <c r="I39" i="442"/>
  <c r="I44" i="442"/>
  <c r="G44" i="442"/>
  <c r="I26" i="369"/>
  <c r="G26" i="369"/>
  <c r="I14" i="369"/>
  <c r="G14" i="369"/>
  <c r="I10" i="93"/>
  <c r="G10" i="93"/>
  <c r="I43" i="93"/>
  <c r="G43" i="93"/>
  <c r="I46" i="378"/>
  <c r="F46" i="378" s="1"/>
  <c r="G46" i="378" s="1"/>
  <c r="I43" i="173"/>
  <c r="G43" i="173"/>
  <c r="G30" i="377"/>
  <c r="I30" i="377"/>
  <c r="G22" i="347"/>
  <c r="I22" i="347"/>
  <c r="I16" i="104"/>
  <c r="G16" i="104"/>
  <c r="G17" i="104"/>
  <c r="I17" i="104"/>
  <c r="I42" i="192"/>
  <c r="G42" i="192"/>
  <c r="I37" i="192"/>
  <c r="G37" i="192"/>
  <c r="I29" i="6"/>
  <c r="G29" i="6"/>
  <c r="I37" i="6"/>
  <c r="G37" i="6"/>
  <c r="G31" i="52"/>
  <c r="I31" i="52"/>
  <c r="I39" i="123"/>
  <c r="G39" i="123"/>
  <c r="G18" i="8"/>
  <c r="I18" i="8"/>
  <c r="G28" i="49"/>
  <c r="I28" i="49"/>
  <c r="I12" i="230"/>
  <c r="G12" i="230"/>
  <c r="G11" i="54"/>
  <c r="I11" i="54"/>
  <c r="G34" i="462"/>
  <c r="I34" i="462"/>
  <c r="I16" i="461"/>
  <c r="G16" i="461"/>
  <c r="G35" i="16"/>
  <c r="I35" i="16"/>
  <c r="G43" i="120"/>
  <c r="I43" i="120"/>
  <c r="I22" i="181"/>
  <c r="G22" i="181"/>
  <c r="I34" i="19"/>
  <c r="G34" i="19"/>
  <c r="I13" i="321"/>
  <c r="G13" i="321"/>
  <c r="I37" i="360"/>
  <c r="G37" i="360"/>
  <c r="G44" i="10"/>
  <c r="I44" i="10"/>
  <c r="G42" i="119"/>
  <c r="I42" i="119"/>
  <c r="G13" i="276"/>
  <c r="I13" i="276"/>
  <c r="I36" i="26"/>
  <c r="G36" i="26"/>
  <c r="G42" i="36"/>
  <c r="I42" i="36"/>
  <c r="G44" i="323"/>
  <c r="I44" i="323"/>
  <c r="I43" i="199"/>
  <c r="G43" i="199"/>
  <c r="G39" i="427"/>
  <c r="I39" i="427"/>
  <c r="I15" i="416"/>
  <c r="G15" i="416"/>
  <c r="G22" i="423"/>
  <c r="I22" i="423"/>
  <c r="G15" i="275"/>
  <c r="I15" i="275"/>
  <c r="I16" i="275"/>
  <c r="G16" i="275"/>
  <c r="I31" i="470"/>
  <c r="G31" i="470"/>
  <c r="I11" i="470"/>
  <c r="G11" i="470"/>
  <c r="I28" i="295"/>
  <c r="G28" i="295"/>
  <c r="I13" i="64"/>
  <c r="G13" i="64"/>
  <c r="G29" i="405"/>
  <c r="I29" i="405"/>
  <c r="G39" i="405"/>
  <c r="I39" i="405"/>
  <c r="I13" i="123"/>
  <c r="G13" i="123"/>
  <c r="G26" i="123"/>
  <c r="I26" i="123"/>
  <c r="I23" i="355"/>
  <c r="G23" i="355"/>
  <c r="I37" i="355"/>
  <c r="G37" i="355"/>
  <c r="G30" i="8"/>
  <c r="I30" i="8"/>
  <c r="I35" i="8"/>
  <c r="G35" i="8"/>
  <c r="I40" i="346"/>
  <c r="F40" i="346" s="1"/>
  <c r="G40" i="346" s="1"/>
  <c r="I11" i="437"/>
  <c r="G11" i="437"/>
  <c r="I12" i="437"/>
  <c r="G12" i="437"/>
  <c r="G11" i="49"/>
  <c r="I11" i="49"/>
  <c r="I31" i="180"/>
  <c r="G31" i="180"/>
  <c r="I23" i="180"/>
  <c r="G23" i="180"/>
  <c r="I14" i="230"/>
  <c r="G14" i="230"/>
  <c r="I15" i="230"/>
  <c r="G15" i="230"/>
  <c r="I13" i="13"/>
  <c r="G13" i="13"/>
  <c r="I29" i="13"/>
  <c r="G29" i="13"/>
  <c r="G14" i="361"/>
  <c r="I14" i="361"/>
  <c r="G11" i="361"/>
  <c r="I11" i="361"/>
  <c r="G38" i="54"/>
  <c r="I38" i="54"/>
  <c r="I18" i="417"/>
  <c r="G18" i="417"/>
  <c r="G34" i="417"/>
  <c r="I34" i="417"/>
  <c r="G26" i="218"/>
  <c r="I26" i="218"/>
  <c r="I44" i="218"/>
  <c r="G44" i="218"/>
  <c r="G42" i="462"/>
  <c r="I42" i="462"/>
  <c r="I44" i="67"/>
  <c r="G44" i="67"/>
  <c r="G23" i="67"/>
  <c r="I23" i="67"/>
  <c r="G16" i="196"/>
  <c r="I16" i="196"/>
  <c r="I42" i="196"/>
  <c r="G42" i="196"/>
  <c r="I26" i="370"/>
  <c r="G26" i="370"/>
  <c r="I22" i="370"/>
  <c r="G22" i="370"/>
  <c r="G38" i="461"/>
  <c r="I38" i="461"/>
  <c r="G11" i="60"/>
  <c r="I11" i="60"/>
  <c r="I13" i="60"/>
  <c r="G13" i="60"/>
  <c r="G37" i="117"/>
  <c r="I37" i="117"/>
  <c r="I44" i="117"/>
  <c r="G44" i="117"/>
  <c r="G26" i="400"/>
  <c r="I26" i="400"/>
  <c r="I12" i="400"/>
  <c r="G12" i="400"/>
  <c r="G11" i="453"/>
  <c r="I11" i="453"/>
  <c r="G44" i="453"/>
  <c r="I44" i="453"/>
  <c r="G23" i="373"/>
  <c r="I23" i="373"/>
  <c r="I14" i="373"/>
  <c r="G14" i="373"/>
  <c r="I19" i="255"/>
  <c r="F19" i="255" s="1"/>
  <c r="G19" i="255" s="1"/>
  <c r="I29" i="16"/>
  <c r="G29" i="16"/>
  <c r="G39" i="16"/>
  <c r="I39" i="16"/>
  <c r="I40" i="287"/>
  <c r="F40" i="287" s="1"/>
  <c r="G40" i="287" s="1"/>
  <c r="I28" i="451"/>
  <c r="G28" i="451"/>
  <c r="G30" i="38"/>
  <c r="I30" i="38"/>
  <c r="I12" i="38"/>
  <c r="G12" i="38"/>
  <c r="I30" i="418"/>
  <c r="G30" i="418"/>
  <c r="I15" i="418"/>
  <c r="G15" i="418"/>
  <c r="I43" i="39"/>
  <c r="G43" i="39"/>
  <c r="I39" i="39"/>
  <c r="G39" i="39"/>
  <c r="G21" i="120"/>
  <c r="I21" i="120"/>
  <c r="G26" i="120"/>
  <c r="I26" i="120"/>
  <c r="G12" i="366"/>
  <c r="I12" i="366"/>
  <c r="I27" i="92"/>
  <c r="G27" i="92"/>
  <c r="I29" i="92"/>
  <c r="G29" i="92"/>
  <c r="I38" i="53"/>
  <c r="G38" i="53"/>
  <c r="G27" i="53"/>
  <c r="I27" i="53"/>
  <c r="G42" i="434"/>
  <c r="I42" i="434"/>
  <c r="I36" i="434"/>
  <c r="G36" i="434"/>
  <c r="I10" i="14"/>
  <c r="G10" i="14"/>
  <c r="G16" i="14"/>
  <c r="I16" i="14"/>
  <c r="I19" i="228"/>
  <c r="F19" i="228" s="1"/>
  <c r="G19" i="228" s="1"/>
  <c r="I22" i="91"/>
  <c r="G22" i="91"/>
  <c r="I30" i="91"/>
  <c r="G30" i="91"/>
  <c r="G36" i="415"/>
  <c r="I36" i="415"/>
  <c r="G30" i="415"/>
  <c r="I30" i="415"/>
  <c r="I15" i="75"/>
  <c r="G15" i="75"/>
  <c r="I10" i="430"/>
  <c r="G10" i="430"/>
  <c r="G23" i="430"/>
  <c r="I23" i="430"/>
  <c r="G14" i="31"/>
  <c r="I14" i="31"/>
  <c r="I22" i="31"/>
  <c r="G22" i="31"/>
  <c r="I38" i="181"/>
  <c r="G38" i="181"/>
  <c r="I46" i="457"/>
  <c r="F46" i="457" s="1"/>
  <c r="G46" i="457" s="1"/>
  <c r="I30" i="262"/>
  <c r="G30" i="262"/>
  <c r="I16" i="262"/>
  <c r="G16" i="262"/>
  <c r="G28" i="78"/>
  <c r="I28" i="78"/>
  <c r="I12" i="267"/>
  <c r="G12" i="267"/>
  <c r="I35" i="267"/>
  <c r="G35" i="267"/>
  <c r="I10" i="19"/>
  <c r="G10" i="19"/>
  <c r="I10" i="58"/>
  <c r="G10" i="58"/>
  <c r="I23" i="58"/>
  <c r="G23" i="58"/>
  <c r="G29" i="32"/>
  <c r="I29" i="32"/>
  <c r="I21" i="32"/>
  <c r="G21" i="32"/>
  <c r="G22" i="24"/>
  <c r="I22" i="24"/>
  <c r="G15" i="24"/>
  <c r="I15" i="24"/>
  <c r="I18" i="321"/>
  <c r="G18" i="321"/>
  <c r="G11" i="321"/>
  <c r="I11" i="321"/>
  <c r="G35" i="315"/>
  <c r="I35" i="315"/>
  <c r="I13" i="315"/>
  <c r="G13" i="315"/>
  <c r="I17" i="72"/>
  <c r="G17" i="72"/>
  <c r="G35" i="17"/>
  <c r="I35" i="17"/>
  <c r="G15" i="17"/>
  <c r="I15" i="17"/>
  <c r="I42" i="436"/>
  <c r="G42" i="436"/>
  <c r="I36" i="436"/>
  <c r="G36" i="436"/>
  <c r="I27" i="364"/>
  <c r="G27" i="364"/>
  <c r="I13" i="364"/>
  <c r="G13" i="364"/>
  <c r="I43" i="360"/>
  <c r="G43" i="360"/>
  <c r="G18" i="360"/>
  <c r="I18" i="360"/>
  <c r="I13" i="35"/>
  <c r="G13" i="35"/>
  <c r="I26" i="35"/>
  <c r="G26" i="35"/>
  <c r="I19" i="225"/>
  <c r="F19" i="225" s="1"/>
  <c r="G19" i="225" s="1"/>
  <c r="G39" i="27"/>
  <c r="I39" i="27"/>
  <c r="G26" i="27"/>
  <c r="I26" i="27"/>
  <c r="F34" i="302"/>
  <c r="F13" i="302"/>
  <c r="F29" i="302"/>
  <c r="F31" i="302"/>
  <c r="F10" i="302"/>
  <c r="F42" i="302"/>
  <c r="F35" i="302"/>
  <c r="F36" i="302"/>
  <c r="F26" i="302"/>
  <c r="F39" i="302"/>
  <c r="F16" i="302"/>
  <c r="F45" i="302"/>
  <c r="G45" i="302" s="1"/>
  <c r="F38" i="302"/>
  <c r="F43" i="302"/>
  <c r="F14" i="302"/>
  <c r="F22" i="302"/>
  <c r="F23" i="302"/>
  <c r="F12" i="302"/>
  <c r="F18" i="302"/>
  <c r="F44" i="302"/>
  <c r="F27" i="302"/>
  <c r="F11" i="302"/>
  <c r="F28" i="302"/>
  <c r="F37" i="302"/>
  <c r="F17" i="302"/>
  <c r="F30" i="302"/>
  <c r="F21" i="302"/>
  <c r="F15" i="302"/>
  <c r="I30" i="96"/>
  <c r="G30" i="96"/>
  <c r="G44" i="96"/>
  <c r="I44" i="96"/>
  <c r="I11" i="246"/>
  <c r="G11" i="246"/>
  <c r="I36" i="10"/>
  <c r="G36" i="10"/>
  <c r="G34" i="10"/>
  <c r="I34" i="10"/>
  <c r="I34" i="429"/>
  <c r="G34" i="429"/>
  <c r="I21" i="429"/>
  <c r="G21" i="429"/>
  <c r="G43" i="119"/>
  <c r="I43" i="119"/>
  <c r="I30" i="119"/>
  <c r="G30" i="119"/>
  <c r="G44" i="158"/>
  <c r="I44" i="158"/>
  <c r="I36" i="158"/>
  <c r="G36" i="158"/>
  <c r="I17" i="157"/>
  <c r="G17" i="157"/>
  <c r="I21" i="157"/>
  <c r="G21" i="157"/>
  <c r="I32" i="248"/>
  <c r="F32" i="248" s="1"/>
  <c r="G32" i="248" s="1"/>
  <c r="G21" i="406"/>
  <c r="I21" i="406"/>
  <c r="I29" i="406"/>
  <c r="G29" i="406"/>
  <c r="I37" i="276"/>
  <c r="G37" i="276"/>
  <c r="I43" i="276"/>
  <c r="G43" i="276"/>
  <c r="I43" i="407"/>
  <c r="G43" i="407"/>
  <c r="I23" i="407"/>
  <c r="G23" i="407"/>
  <c r="I19" i="211"/>
  <c r="F19" i="211" s="1"/>
  <c r="G19" i="211" s="1"/>
  <c r="G10" i="26"/>
  <c r="I10" i="26"/>
  <c r="I43" i="26"/>
  <c r="G43" i="26"/>
  <c r="I44" i="332"/>
  <c r="G44" i="332"/>
  <c r="I17" i="332"/>
  <c r="G17" i="332"/>
  <c r="I31" i="294"/>
  <c r="G31" i="294"/>
  <c r="I12" i="294"/>
  <c r="G12" i="294"/>
  <c r="G35" i="36"/>
  <c r="I35" i="36"/>
  <c r="G31" i="210"/>
  <c r="I31" i="210"/>
  <c r="I40" i="248"/>
  <c r="F40" i="248" s="1"/>
  <c r="G40" i="248" s="1"/>
  <c r="G29" i="191"/>
  <c r="I29" i="191"/>
  <c r="I15" i="191"/>
  <c r="G15" i="191"/>
  <c r="G18" i="41"/>
  <c r="I18" i="41"/>
  <c r="I23" i="41"/>
  <c r="G23" i="41"/>
  <c r="I32" i="371"/>
  <c r="F32" i="371" s="1"/>
  <c r="G32" i="371" s="1"/>
  <c r="G10" i="385"/>
  <c r="I10" i="385"/>
  <c r="I23" i="388"/>
  <c r="G23" i="388"/>
  <c r="I32" i="21"/>
  <c r="F32" i="21" s="1"/>
  <c r="G32" i="21" s="1"/>
  <c r="G21" i="216"/>
  <c r="I21" i="216"/>
  <c r="I23" i="250"/>
  <c r="G23" i="250"/>
  <c r="I44" i="250"/>
  <c r="G44" i="250"/>
  <c r="G13" i="23"/>
  <c r="I13" i="23"/>
  <c r="G29" i="23"/>
  <c r="I29" i="23"/>
  <c r="H48" i="476"/>
  <c r="H50" i="476" s="1"/>
  <c r="E6" i="476" s="1"/>
  <c r="G16" i="289"/>
  <c r="I16" i="289"/>
  <c r="I40" i="255"/>
  <c r="F40" i="255" s="1"/>
  <c r="G40" i="255" s="1"/>
  <c r="I13" i="25"/>
  <c r="G13" i="25"/>
  <c r="I10" i="25"/>
  <c r="G10" i="25"/>
  <c r="I11" i="323"/>
  <c r="G11" i="323"/>
  <c r="G38" i="323"/>
  <c r="I38" i="323"/>
  <c r="I16" i="465"/>
  <c r="G16" i="465"/>
  <c r="I28" i="465"/>
  <c r="G28" i="465"/>
  <c r="I19" i="335"/>
  <c r="F19" i="335" s="1"/>
  <c r="G19" i="335" s="1"/>
  <c r="I27" i="199"/>
  <c r="G27" i="199"/>
  <c r="I35" i="199"/>
  <c r="G35" i="199"/>
  <c r="G29" i="337"/>
  <c r="I29" i="337"/>
  <c r="I36" i="427"/>
  <c r="G36" i="427"/>
  <c r="I38" i="427"/>
  <c r="G38" i="427"/>
  <c r="I44" i="297"/>
  <c r="G44" i="297"/>
  <c r="I43" i="297"/>
  <c r="G43" i="297"/>
  <c r="I18" i="247"/>
  <c r="G18" i="247"/>
  <c r="I39" i="198"/>
  <c r="G39" i="198"/>
  <c r="I26" i="416"/>
  <c r="G26" i="416"/>
  <c r="I18" i="416"/>
  <c r="G18" i="416"/>
  <c r="I16" i="197"/>
  <c r="G16" i="197"/>
  <c r="I34" i="197"/>
  <c r="G34" i="197"/>
  <c r="I31" i="195"/>
  <c r="G31" i="195"/>
  <c r="G35" i="195"/>
  <c r="I35" i="195"/>
  <c r="I22" i="37"/>
  <c r="G22" i="37"/>
  <c r="I10" i="37"/>
  <c r="G10" i="37"/>
  <c r="I16" i="1"/>
  <c r="G16" i="1"/>
  <c r="I37" i="1"/>
  <c r="G37" i="1"/>
  <c r="I13" i="424"/>
  <c r="G13" i="424"/>
  <c r="G14" i="446"/>
  <c r="I14" i="446"/>
  <c r="I44" i="398"/>
  <c r="G44" i="398"/>
  <c r="G42" i="433"/>
  <c r="I42" i="433"/>
  <c r="I18" i="433"/>
  <c r="G18" i="433"/>
  <c r="I42" i="423"/>
  <c r="G42" i="423"/>
  <c r="I38" i="423"/>
  <c r="G38" i="423"/>
  <c r="I27" i="123"/>
  <c r="G27" i="123"/>
  <c r="I18" i="437"/>
  <c r="G18" i="437"/>
  <c r="G37" i="67"/>
  <c r="I37" i="67"/>
  <c r="I29" i="117"/>
  <c r="G29" i="117"/>
  <c r="I29" i="451"/>
  <c r="G29" i="451"/>
  <c r="I24" i="255"/>
  <c r="F24" i="255" s="1"/>
  <c r="G24" i="255" s="1"/>
  <c r="I23" i="92"/>
  <c r="G23" i="92"/>
  <c r="I24" i="425"/>
  <c r="F24" i="425" s="1"/>
  <c r="G24" i="425" s="1"/>
  <c r="I11" i="415"/>
  <c r="G11" i="415"/>
  <c r="I16" i="31"/>
  <c r="G16" i="31"/>
  <c r="G12" i="78"/>
  <c r="I12" i="78"/>
  <c r="G26" i="436"/>
  <c r="I26" i="436"/>
  <c r="I12" i="276"/>
  <c r="G12" i="276"/>
  <c r="G29" i="332"/>
  <c r="I29" i="332"/>
  <c r="G34" i="250"/>
  <c r="I34" i="250"/>
  <c r="I21" i="465"/>
  <c r="G21" i="465"/>
  <c r="I37" i="197"/>
  <c r="G37" i="197"/>
  <c r="G10" i="1"/>
  <c r="I10" i="1"/>
  <c r="I19" i="1" s="1"/>
  <c r="F19" i="1" s="1"/>
  <c r="G19" i="1" s="1"/>
  <c r="I12" i="275"/>
  <c r="G12" i="275"/>
  <c r="I27" i="275"/>
  <c r="G27" i="275"/>
  <c r="I34" i="470"/>
  <c r="G34" i="470"/>
  <c r="I28" i="470"/>
  <c r="G28" i="470"/>
  <c r="G30" i="295"/>
  <c r="I30" i="295"/>
  <c r="I40" i="228"/>
  <c r="F40" i="228" s="1"/>
  <c r="G40" i="228" s="1"/>
  <c r="I43" i="64"/>
  <c r="G43" i="64"/>
  <c r="I15" i="64"/>
  <c r="G15" i="64"/>
  <c r="I21" i="405"/>
  <c r="G21" i="405"/>
  <c r="I34" i="123"/>
  <c r="G34" i="123"/>
  <c r="I18" i="123"/>
  <c r="G18" i="123"/>
  <c r="H48" i="472"/>
  <c r="G27" i="355"/>
  <c r="I27" i="355"/>
  <c r="I44" i="355"/>
  <c r="G44" i="355"/>
  <c r="I44" i="8"/>
  <c r="G44" i="8"/>
  <c r="I22" i="8"/>
  <c r="G22" i="8"/>
  <c r="G23" i="437"/>
  <c r="I23" i="437"/>
  <c r="I38" i="49"/>
  <c r="G38" i="49"/>
  <c r="E24" i="472"/>
  <c r="E21" i="472"/>
  <c r="E22" i="472"/>
  <c r="E44" i="472"/>
  <c r="E23" i="472"/>
  <c r="E45" i="472"/>
  <c r="E29" i="472"/>
  <c r="E36" i="472"/>
  <c r="E37" i="472"/>
  <c r="E38" i="472"/>
  <c r="E28" i="472"/>
  <c r="E30" i="472"/>
  <c r="E39" i="472"/>
  <c r="E35" i="472"/>
  <c r="E34" i="472"/>
  <c r="E26" i="472"/>
  <c r="E27" i="472"/>
  <c r="E43" i="472"/>
  <c r="E42" i="472"/>
  <c r="E31" i="472"/>
  <c r="I35" i="180"/>
  <c r="G35" i="180"/>
  <c r="I39" i="180"/>
  <c r="G39" i="180"/>
  <c r="G29" i="230"/>
  <c r="I29" i="230"/>
  <c r="I30" i="349"/>
  <c r="G30" i="349"/>
  <c r="I12" i="349"/>
  <c r="G12" i="349"/>
  <c r="G14" i="13"/>
  <c r="I14" i="13"/>
  <c r="I18" i="13"/>
  <c r="G18" i="13"/>
  <c r="I26" i="361"/>
  <c r="G26" i="361"/>
  <c r="G14" i="54"/>
  <c r="I14" i="54"/>
  <c r="I26" i="54"/>
  <c r="G26" i="54"/>
  <c r="I17" i="417"/>
  <c r="G17" i="417"/>
  <c r="I36" i="417"/>
  <c r="G36" i="417"/>
  <c r="G14" i="218"/>
  <c r="I14" i="218"/>
  <c r="I15" i="218"/>
  <c r="G15" i="218"/>
  <c r="G16" i="462"/>
  <c r="I16" i="462"/>
  <c r="G39" i="462"/>
  <c r="I39" i="462"/>
  <c r="G21" i="67"/>
  <c r="I21" i="67"/>
  <c r="I11" i="67"/>
  <c r="G11" i="67"/>
  <c r="G18" i="196"/>
  <c r="I18" i="196"/>
  <c r="G35" i="196"/>
  <c r="I35" i="196"/>
  <c r="I19" i="88"/>
  <c r="F19" i="88" s="1"/>
  <c r="G19" i="88" s="1"/>
  <c r="I29" i="370"/>
  <c r="G29" i="370"/>
  <c r="I43" i="370"/>
  <c r="G43" i="370"/>
  <c r="I29" i="461"/>
  <c r="G29" i="461"/>
  <c r="G39" i="461"/>
  <c r="I39" i="461"/>
  <c r="I19" i="300"/>
  <c r="F19" i="300" s="1"/>
  <c r="G19" i="300" s="1"/>
  <c r="I19" i="287"/>
  <c r="F19" i="287" s="1"/>
  <c r="G19" i="287" s="1"/>
  <c r="G10" i="60"/>
  <c r="I10" i="60"/>
  <c r="I12" i="60"/>
  <c r="G12" i="60"/>
  <c r="G30" i="117"/>
  <c r="I30" i="117"/>
  <c r="I27" i="117"/>
  <c r="G27" i="117"/>
  <c r="I31" i="400"/>
  <c r="G31" i="400"/>
  <c r="G37" i="400"/>
  <c r="I37" i="400"/>
  <c r="I17" i="453"/>
  <c r="G17" i="453"/>
  <c r="I16" i="453"/>
  <c r="G16" i="453"/>
  <c r="G36" i="373"/>
  <c r="I36" i="373"/>
  <c r="I17" i="16"/>
  <c r="G17" i="16"/>
  <c r="G42" i="16"/>
  <c r="I42" i="16"/>
  <c r="I27" i="451"/>
  <c r="G27" i="451"/>
  <c r="G17" i="38"/>
  <c r="I17" i="38"/>
  <c r="G23" i="38"/>
  <c r="I23" i="38"/>
  <c r="I19" i="166"/>
  <c r="F19" i="166" s="1"/>
  <c r="G19" i="166" s="1"/>
  <c r="I28" i="418"/>
  <c r="G28" i="418"/>
  <c r="I34" i="418"/>
  <c r="G34" i="418"/>
  <c r="I36" i="39"/>
  <c r="G36" i="39"/>
  <c r="I34" i="39"/>
  <c r="G34" i="39"/>
  <c r="I27" i="120"/>
  <c r="G27" i="120"/>
  <c r="G14" i="120"/>
  <c r="I14" i="120"/>
  <c r="I31" i="366"/>
  <c r="G31" i="366"/>
  <c r="I36" i="92"/>
  <c r="G36" i="92"/>
  <c r="G43" i="92"/>
  <c r="I43" i="92"/>
  <c r="I36" i="53"/>
  <c r="G36" i="53"/>
  <c r="I26" i="53"/>
  <c r="G26" i="53"/>
  <c r="I29" i="434"/>
  <c r="G29" i="434"/>
  <c r="I14" i="434"/>
  <c r="G14" i="434"/>
  <c r="G29" i="61"/>
  <c r="I29" i="61"/>
  <c r="I39" i="61"/>
  <c r="G39" i="61"/>
  <c r="G36" i="14"/>
  <c r="I36" i="14"/>
  <c r="I23" i="14"/>
  <c r="G23" i="14"/>
  <c r="G15" i="91"/>
  <c r="I15" i="91"/>
  <c r="I11" i="91"/>
  <c r="G11" i="91"/>
  <c r="I35" i="415"/>
  <c r="G35" i="415"/>
  <c r="I18" i="415"/>
  <c r="G18" i="415"/>
  <c r="G30" i="75"/>
  <c r="I30" i="75"/>
  <c r="G34" i="75"/>
  <c r="I34" i="75"/>
  <c r="I38" i="430"/>
  <c r="G38" i="430"/>
  <c r="I34" i="430"/>
  <c r="G34" i="430"/>
  <c r="I31" i="31"/>
  <c r="G31" i="31"/>
  <c r="I44" i="31"/>
  <c r="G44" i="31"/>
  <c r="G13" i="181"/>
  <c r="I13" i="181"/>
  <c r="G16" i="181"/>
  <c r="I16" i="181"/>
  <c r="I38" i="262"/>
  <c r="G38" i="262"/>
  <c r="I14" i="262"/>
  <c r="G14" i="262"/>
  <c r="I16" i="78"/>
  <c r="G16" i="78"/>
  <c r="I31" i="78"/>
  <c r="G31" i="78"/>
  <c r="G11" i="267"/>
  <c r="I11" i="267"/>
  <c r="G42" i="267"/>
  <c r="I42" i="267"/>
  <c r="G36" i="19"/>
  <c r="I36" i="19"/>
  <c r="G35" i="19"/>
  <c r="I35" i="19"/>
  <c r="G31" i="58"/>
  <c r="I31" i="58"/>
  <c r="I12" i="58"/>
  <c r="G12" i="58"/>
  <c r="G44" i="32"/>
  <c r="I44" i="32"/>
  <c r="G23" i="24"/>
  <c r="I23" i="24"/>
  <c r="I43" i="24"/>
  <c r="G43" i="24"/>
  <c r="I31" i="321"/>
  <c r="G31" i="321"/>
  <c r="I27" i="321"/>
  <c r="G27" i="321"/>
  <c r="G36" i="315"/>
  <c r="I36" i="315"/>
  <c r="G37" i="72"/>
  <c r="I37" i="72"/>
  <c r="G28" i="72"/>
  <c r="I28" i="72"/>
  <c r="I43" i="17"/>
  <c r="G43" i="17"/>
  <c r="G21" i="17"/>
  <c r="I21" i="17"/>
  <c r="I31" i="436"/>
  <c r="G31" i="436"/>
  <c r="I35" i="436"/>
  <c r="G35" i="436"/>
  <c r="G39" i="364"/>
  <c r="I39" i="364"/>
  <c r="I22" i="364"/>
  <c r="G22" i="364"/>
  <c r="I22" i="360"/>
  <c r="G22" i="360"/>
  <c r="G15" i="360"/>
  <c r="I15" i="360"/>
  <c r="I28" i="35"/>
  <c r="G28" i="35"/>
  <c r="G42" i="35"/>
  <c r="I42" i="35"/>
  <c r="I43" i="27"/>
  <c r="G43" i="27"/>
  <c r="G14" i="27"/>
  <c r="I14" i="27"/>
  <c r="I18" i="96"/>
  <c r="G18" i="96"/>
  <c r="I15" i="96"/>
  <c r="G15" i="96"/>
  <c r="I42" i="246"/>
  <c r="G42" i="246"/>
  <c r="I32" i="365"/>
  <c r="F32" i="365" s="1"/>
  <c r="G32" i="365" s="1"/>
  <c r="I32" i="425"/>
  <c r="F32" i="425" s="1"/>
  <c r="G32" i="425" s="1"/>
  <c r="I24" i="248"/>
  <c r="F24" i="248" s="1"/>
  <c r="G24" i="248" s="1"/>
  <c r="I27" i="10"/>
  <c r="G27" i="10"/>
  <c r="I28" i="10"/>
  <c r="G28" i="10"/>
  <c r="I12" i="429"/>
  <c r="G12" i="429"/>
  <c r="I16" i="429"/>
  <c r="G16" i="429"/>
  <c r="I16" i="119"/>
  <c r="G16" i="119"/>
  <c r="I31" i="158"/>
  <c r="G31" i="158"/>
  <c r="G39" i="158"/>
  <c r="I39" i="158"/>
  <c r="I46" i="425"/>
  <c r="F46" i="425" s="1"/>
  <c r="G46" i="425" s="1"/>
  <c r="I12" i="157"/>
  <c r="G12" i="157"/>
  <c r="I23" i="157"/>
  <c r="G23" i="157"/>
  <c r="G18" i="406"/>
  <c r="I18" i="406"/>
  <c r="I36" i="406"/>
  <c r="G36" i="406"/>
  <c r="I44" i="276"/>
  <c r="G44" i="276"/>
  <c r="I39" i="407"/>
  <c r="G39" i="407"/>
  <c r="I35" i="407"/>
  <c r="G35" i="407"/>
  <c r="G37" i="26"/>
  <c r="I37" i="26"/>
  <c r="G16" i="26"/>
  <c r="I16" i="26"/>
  <c r="I14" i="332"/>
  <c r="G14" i="332"/>
  <c r="I21" i="332"/>
  <c r="G21" i="332"/>
  <c r="I11" i="294"/>
  <c r="G11" i="294"/>
  <c r="G44" i="36"/>
  <c r="I44" i="36"/>
  <c r="G23" i="36"/>
  <c r="I23" i="36"/>
  <c r="I30" i="210"/>
  <c r="G30" i="210"/>
  <c r="I43" i="210"/>
  <c r="G43" i="210"/>
  <c r="I11" i="191"/>
  <c r="G11" i="191"/>
  <c r="I39" i="191"/>
  <c r="G39" i="191"/>
  <c r="I11" i="41"/>
  <c r="G11" i="41"/>
  <c r="G17" i="41"/>
  <c r="I17" i="41"/>
  <c r="I39" i="385"/>
  <c r="G39" i="385"/>
  <c r="I46" i="224"/>
  <c r="F46" i="224" s="1"/>
  <c r="G46" i="224" s="1"/>
  <c r="I16" i="388"/>
  <c r="G16" i="388"/>
  <c r="I31" i="216"/>
  <c r="G31" i="216"/>
  <c r="G18" i="216"/>
  <c r="I18" i="216"/>
  <c r="I40" i="318"/>
  <c r="F40" i="318" s="1"/>
  <c r="G40" i="318" s="1"/>
  <c r="I16" i="250"/>
  <c r="G16" i="250"/>
  <c r="I35" i="23"/>
  <c r="G35" i="23"/>
  <c r="I22" i="23"/>
  <c r="G22" i="23"/>
  <c r="I38" i="289"/>
  <c r="G38" i="289"/>
  <c r="I43" i="289"/>
  <c r="G43" i="289"/>
  <c r="I15" i="25"/>
  <c r="G15" i="25"/>
  <c r="G17" i="323"/>
  <c r="I17" i="323"/>
  <c r="G10" i="323"/>
  <c r="I10" i="323"/>
  <c r="I24" i="225"/>
  <c r="F24" i="225" s="1"/>
  <c r="G24" i="225" s="1"/>
  <c r="I12" i="465"/>
  <c r="G12" i="465"/>
  <c r="I11" i="465"/>
  <c r="G11" i="465"/>
  <c r="G26" i="199"/>
  <c r="I26" i="199"/>
  <c r="I22" i="199"/>
  <c r="G22" i="199"/>
  <c r="I35" i="337"/>
  <c r="G35" i="337"/>
  <c r="I37" i="427"/>
  <c r="G37" i="427"/>
  <c r="I21" i="297"/>
  <c r="G21" i="297"/>
  <c r="I15" i="297"/>
  <c r="G15" i="297"/>
  <c r="G31" i="247"/>
  <c r="I31" i="247"/>
  <c r="I27" i="198"/>
  <c r="G27" i="198"/>
  <c r="I43" i="416"/>
  <c r="G43" i="416"/>
  <c r="G39" i="416"/>
  <c r="I39" i="416"/>
  <c r="I29" i="197"/>
  <c r="G29" i="197"/>
  <c r="I14" i="197"/>
  <c r="G14" i="197"/>
  <c r="F45" i="464"/>
  <c r="G45" i="464" s="1"/>
  <c r="F10" i="464"/>
  <c r="F27" i="464"/>
  <c r="F37" i="464"/>
  <c r="F11" i="464"/>
  <c r="F12" i="464"/>
  <c r="F28" i="464"/>
  <c r="F29" i="464"/>
  <c r="F39" i="464"/>
  <c r="F30" i="464"/>
  <c r="F14" i="464"/>
  <c r="F42" i="464"/>
  <c r="F21" i="464"/>
  <c r="F31" i="464"/>
  <c r="F15" i="464"/>
  <c r="F43" i="464"/>
  <c r="F22" i="464"/>
  <c r="F16" i="464"/>
  <c r="F34" i="464"/>
  <c r="F44" i="464"/>
  <c r="F26" i="464"/>
  <c r="F13" i="464"/>
  <c r="F38" i="464"/>
  <c r="F35" i="464"/>
  <c r="F17" i="464"/>
  <c r="F36" i="464"/>
  <c r="F18" i="464"/>
  <c r="F23" i="464"/>
  <c r="I16" i="195"/>
  <c r="G16" i="195"/>
  <c r="G43" i="195"/>
  <c r="I43" i="195"/>
  <c r="I13" i="37"/>
  <c r="G13" i="37"/>
  <c r="I27" i="37"/>
  <c r="G27" i="37"/>
  <c r="I42" i="1"/>
  <c r="I46" i="1" s="1"/>
  <c r="F46" i="1" s="1"/>
  <c r="G46" i="1" s="1"/>
  <c r="G42" i="1"/>
  <c r="I39" i="424"/>
  <c r="G39" i="424"/>
  <c r="G12" i="446"/>
  <c r="I12" i="446"/>
  <c r="I40" i="426"/>
  <c r="F40" i="426" s="1"/>
  <c r="G40" i="426" s="1"/>
  <c r="I14" i="398"/>
  <c r="G14" i="398"/>
  <c r="G37" i="433"/>
  <c r="I37" i="433"/>
  <c r="G14" i="433"/>
  <c r="I14" i="433"/>
  <c r="I13" i="423"/>
  <c r="G13" i="423"/>
  <c r="G23" i="423"/>
  <c r="I23" i="423"/>
  <c r="G34" i="405"/>
  <c r="I34" i="405"/>
  <c r="I13" i="437"/>
  <c r="G13" i="437"/>
  <c r="I37" i="373"/>
  <c r="G37" i="373"/>
  <c r="I44" i="315"/>
  <c r="G44" i="315"/>
  <c r="I22" i="96"/>
  <c r="G22" i="96"/>
  <c r="I39" i="157"/>
  <c r="G39" i="157"/>
  <c r="I18" i="385"/>
  <c r="G18" i="385"/>
  <c r="G17" i="250"/>
  <c r="I17" i="250"/>
  <c r="I27" i="323"/>
  <c r="G27" i="323"/>
  <c r="G10" i="199"/>
  <c r="I10" i="199"/>
  <c r="I15" i="427"/>
  <c r="G15" i="427"/>
  <c r="G11" i="247"/>
  <c r="I11" i="247"/>
  <c r="I30" i="416"/>
  <c r="G30" i="416"/>
  <c r="I44" i="195"/>
  <c r="G44" i="195"/>
  <c r="I14" i="423"/>
  <c r="G14" i="423"/>
  <c r="I43" i="275"/>
  <c r="G43" i="275"/>
  <c r="I44" i="275"/>
  <c r="G44" i="275"/>
  <c r="E48" i="337"/>
  <c r="G30" i="470"/>
  <c r="I30" i="470"/>
  <c r="I26" i="295"/>
  <c r="G26" i="295"/>
  <c r="I23" i="295"/>
  <c r="G23" i="295"/>
  <c r="G28" i="64"/>
  <c r="I28" i="64"/>
  <c r="G37" i="64"/>
  <c r="I37" i="64"/>
  <c r="I18" i="405"/>
  <c r="G18" i="405"/>
  <c r="I23" i="123"/>
  <c r="G23" i="123"/>
  <c r="G31" i="123"/>
  <c r="I31" i="123"/>
  <c r="I16" i="355"/>
  <c r="G16" i="355"/>
  <c r="I35" i="355"/>
  <c r="G35" i="355"/>
  <c r="G14" i="8"/>
  <c r="I14" i="8"/>
  <c r="I24" i="391"/>
  <c r="F24" i="391" s="1"/>
  <c r="G24" i="391" s="1"/>
  <c r="G16" i="437"/>
  <c r="I16" i="437"/>
  <c r="I44" i="49"/>
  <c r="G44" i="49"/>
  <c r="I32" i="204"/>
  <c r="F32" i="204" s="1"/>
  <c r="G32" i="204" s="1"/>
  <c r="G21" i="180"/>
  <c r="I21" i="180"/>
  <c r="I38" i="180"/>
  <c r="G38" i="180"/>
  <c r="I24" i="368"/>
  <c r="F24" i="368" s="1"/>
  <c r="G24" i="368" s="1"/>
  <c r="I11" i="230"/>
  <c r="G11" i="230"/>
  <c r="I16" i="349"/>
  <c r="G16" i="349"/>
  <c r="G11" i="349"/>
  <c r="I11" i="349"/>
  <c r="I16" i="13"/>
  <c r="G16" i="13"/>
  <c r="G23" i="13"/>
  <c r="I23" i="13"/>
  <c r="G30" i="361"/>
  <c r="I30" i="361"/>
  <c r="I12" i="361"/>
  <c r="G12" i="361"/>
  <c r="I29" i="54"/>
  <c r="G29" i="54"/>
  <c r="G17" i="54"/>
  <c r="I17" i="54"/>
  <c r="I16" i="417"/>
  <c r="G16" i="417"/>
  <c r="G13" i="218"/>
  <c r="I13" i="218"/>
  <c r="I34" i="218"/>
  <c r="G34" i="218"/>
  <c r="G13" i="462"/>
  <c r="I13" i="462"/>
  <c r="I23" i="462"/>
  <c r="G23" i="462"/>
  <c r="I14" i="67"/>
  <c r="G14" i="67"/>
  <c r="I39" i="67"/>
  <c r="G39" i="67"/>
  <c r="I30" i="196"/>
  <c r="G30" i="196"/>
  <c r="I12" i="196"/>
  <c r="G12" i="196"/>
  <c r="G14" i="370"/>
  <c r="I14" i="370"/>
  <c r="G44" i="370"/>
  <c r="I44" i="370"/>
  <c r="I23" i="461"/>
  <c r="G23" i="461"/>
  <c r="G44" i="461"/>
  <c r="I44" i="461"/>
  <c r="I28" i="60"/>
  <c r="G28" i="60"/>
  <c r="I44" i="60"/>
  <c r="G44" i="60"/>
  <c r="G17" i="117"/>
  <c r="I17" i="117"/>
  <c r="G11" i="117"/>
  <c r="I11" i="117"/>
  <c r="I16" i="400"/>
  <c r="G16" i="400"/>
  <c r="I29" i="400"/>
  <c r="G29" i="400"/>
  <c r="I10" i="453"/>
  <c r="G10" i="453"/>
  <c r="I26" i="453"/>
  <c r="G26" i="453"/>
  <c r="G22" i="373"/>
  <c r="I22" i="373"/>
  <c r="I30" i="373"/>
  <c r="G30" i="373"/>
  <c r="I26" i="16"/>
  <c r="G26" i="16"/>
  <c r="G21" i="16"/>
  <c r="I21" i="16"/>
  <c r="I26" i="451"/>
  <c r="G26" i="451"/>
  <c r="I29" i="38"/>
  <c r="G29" i="38"/>
  <c r="I10" i="38"/>
  <c r="G10" i="38"/>
  <c r="I27" i="418"/>
  <c r="G27" i="418"/>
  <c r="I43" i="418"/>
  <c r="G43" i="418"/>
  <c r="G31" i="39"/>
  <c r="I31" i="39"/>
  <c r="G28" i="39"/>
  <c r="I28" i="39"/>
  <c r="I19" i="425"/>
  <c r="F19" i="425" s="1"/>
  <c r="G19" i="425" s="1"/>
  <c r="I23" i="120"/>
  <c r="G23" i="120"/>
  <c r="I10" i="120"/>
  <c r="G10" i="120"/>
  <c r="I39" i="366"/>
  <c r="G39" i="366"/>
  <c r="I24" i="322"/>
  <c r="F24" i="322" s="1"/>
  <c r="G24" i="322" s="1"/>
  <c r="G26" i="92"/>
  <c r="I26" i="92"/>
  <c r="G37" i="53"/>
  <c r="I37" i="53"/>
  <c r="G29" i="53"/>
  <c r="I29" i="53"/>
  <c r="I18" i="434"/>
  <c r="G18" i="434"/>
  <c r="G23" i="61"/>
  <c r="I23" i="61"/>
  <c r="I10" i="61"/>
  <c r="G10" i="61"/>
  <c r="G18" i="14"/>
  <c r="I18" i="14"/>
  <c r="I12" i="14"/>
  <c r="G12" i="14"/>
  <c r="I31" i="91"/>
  <c r="G31" i="91"/>
  <c r="G34" i="91"/>
  <c r="I34" i="91"/>
  <c r="I34" i="415"/>
  <c r="G34" i="415"/>
  <c r="I12" i="415"/>
  <c r="G12" i="415"/>
  <c r="I35" i="75"/>
  <c r="G35" i="75"/>
  <c r="G23" i="75"/>
  <c r="I23" i="75"/>
  <c r="I12" i="430"/>
  <c r="G12" i="430"/>
  <c r="G22" i="430"/>
  <c r="I22" i="430"/>
  <c r="I17" i="181"/>
  <c r="G17" i="181"/>
  <c r="G17" i="262"/>
  <c r="I17" i="262"/>
  <c r="I17" i="78"/>
  <c r="G17" i="78"/>
  <c r="I44" i="78"/>
  <c r="G44" i="78"/>
  <c r="I34" i="267"/>
  <c r="G34" i="267"/>
  <c r="G37" i="267"/>
  <c r="I37" i="267"/>
  <c r="I43" i="19"/>
  <c r="G43" i="19"/>
  <c r="I44" i="19"/>
  <c r="G44" i="19"/>
  <c r="G27" i="58"/>
  <c r="I27" i="58"/>
  <c r="I14" i="32"/>
  <c r="G14" i="32"/>
  <c r="I13" i="32"/>
  <c r="G13" i="32"/>
  <c r="I35" i="24"/>
  <c r="G35" i="24"/>
  <c r="I38" i="24"/>
  <c r="G38" i="24"/>
  <c r="I44" i="321"/>
  <c r="G44" i="321"/>
  <c r="I15" i="321"/>
  <c r="G15" i="321"/>
  <c r="G27" i="315"/>
  <c r="I27" i="315"/>
  <c r="I42" i="315"/>
  <c r="G42" i="315"/>
  <c r="G29" i="72"/>
  <c r="I29" i="72"/>
  <c r="I26" i="72"/>
  <c r="G26" i="72"/>
  <c r="I17" i="17"/>
  <c r="G17" i="17"/>
  <c r="I11" i="17"/>
  <c r="G11" i="17"/>
  <c r="I18" i="436"/>
  <c r="G18" i="436"/>
  <c r="G38" i="364"/>
  <c r="I38" i="364"/>
  <c r="G44" i="364"/>
  <c r="I44" i="364"/>
  <c r="I14" i="360"/>
  <c r="G14" i="360"/>
  <c r="G10" i="360"/>
  <c r="I10" i="360"/>
  <c r="I37" i="35"/>
  <c r="G37" i="35"/>
  <c r="G36" i="35"/>
  <c r="I36" i="35"/>
  <c r="G15" i="27"/>
  <c r="I15" i="27"/>
  <c r="I40" i="121"/>
  <c r="F40" i="121" s="1"/>
  <c r="G40" i="121" s="1"/>
  <c r="G28" i="96"/>
  <c r="I28" i="96"/>
  <c r="I31" i="96"/>
  <c r="G31" i="96"/>
  <c r="G43" i="246"/>
  <c r="I43" i="246"/>
  <c r="I17" i="10"/>
  <c r="G17" i="10"/>
  <c r="G43" i="10"/>
  <c r="I43" i="10"/>
  <c r="I31" i="429"/>
  <c r="G31" i="429"/>
  <c r="I15" i="429"/>
  <c r="G15" i="429"/>
  <c r="G18" i="119"/>
  <c r="I18" i="119"/>
  <c r="I38" i="158"/>
  <c r="G38" i="158"/>
  <c r="I22" i="158"/>
  <c r="G22" i="158"/>
  <c r="G14" i="157"/>
  <c r="I14" i="157"/>
  <c r="G44" i="157"/>
  <c r="I44" i="157"/>
  <c r="I28" i="406"/>
  <c r="G28" i="406"/>
  <c r="G15" i="276"/>
  <c r="I15" i="276"/>
  <c r="I11" i="407"/>
  <c r="G11" i="407"/>
  <c r="I21" i="407"/>
  <c r="G21" i="407"/>
  <c r="I40" i="371"/>
  <c r="F40" i="371" s="1"/>
  <c r="G40" i="371" s="1"/>
  <c r="I28" i="26"/>
  <c r="G28" i="26"/>
  <c r="I13" i="26"/>
  <c r="G13" i="26"/>
  <c r="I42" i="332"/>
  <c r="G42" i="332"/>
  <c r="G10" i="332"/>
  <c r="I10" i="332"/>
  <c r="G44" i="294"/>
  <c r="I44" i="294"/>
  <c r="G10" i="294"/>
  <c r="I10" i="294"/>
  <c r="I24" i="259"/>
  <c r="F24" i="259" s="1"/>
  <c r="G24" i="259" s="1"/>
  <c r="G10" i="36"/>
  <c r="I10" i="36"/>
  <c r="G26" i="36"/>
  <c r="I26" i="36"/>
  <c r="G11" i="210"/>
  <c r="I11" i="210"/>
  <c r="E48" i="82"/>
  <c r="I10" i="191"/>
  <c r="G10" i="191"/>
  <c r="G13" i="191"/>
  <c r="I13" i="191"/>
  <c r="I16" i="41"/>
  <c r="G16" i="41"/>
  <c r="I15" i="41"/>
  <c r="G15" i="41"/>
  <c r="G29" i="385"/>
  <c r="I29" i="385"/>
  <c r="G43" i="388"/>
  <c r="I43" i="388"/>
  <c r="I32" i="380"/>
  <c r="F32" i="380" s="1"/>
  <c r="G32" i="380" s="1"/>
  <c r="G22" i="216"/>
  <c r="I22" i="216"/>
  <c r="G14" i="216"/>
  <c r="I14" i="216"/>
  <c r="E48" i="302"/>
  <c r="G31" i="250"/>
  <c r="I31" i="250"/>
  <c r="I17" i="23"/>
  <c r="G17" i="23"/>
  <c r="G23" i="23"/>
  <c r="I23" i="23"/>
  <c r="I29" i="289"/>
  <c r="G29" i="289"/>
  <c r="I30" i="289"/>
  <c r="G30" i="289"/>
  <c r="I30" i="25"/>
  <c r="G30" i="25"/>
  <c r="I13" i="323"/>
  <c r="G13" i="323"/>
  <c r="I26" i="323"/>
  <c r="G26" i="323"/>
  <c r="I13" i="465"/>
  <c r="G13" i="465"/>
  <c r="I10" i="465"/>
  <c r="G10" i="465"/>
  <c r="G29" i="199"/>
  <c r="I29" i="199"/>
  <c r="I11" i="199"/>
  <c r="G11" i="199"/>
  <c r="I23" i="337"/>
  <c r="G23" i="337"/>
  <c r="I35" i="427"/>
  <c r="G35" i="427"/>
  <c r="I14" i="427"/>
  <c r="G14" i="427"/>
  <c r="I38" i="297"/>
  <c r="G38" i="297"/>
  <c r="I14" i="297"/>
  <c r="G14" i="297"/>
  <c r="I42" i="247"/>
  <c r="G42" i="247"/>
  <c r="I15" i="198"/>
  <c r="G15" i="198"/>
  <c r="I42" i="416"/>
  <c r="G42" i="416"/>
  <c r="G17" i="416"/>
  <c r="I17" i="416"/>
  <c r="G31" i="197"/>
  <c r="I31" i="197"/>
  <c r="G29" i="195"/>
  <c r="I29" i="195"/>
  <c r="G26" i="195"/>
  <c r="I26" i="195"/>
  <c r="I18" i="37"/>
  <c r="G18" i="37"/>
  <c r="G12" i="37"/>
  <c r="I12" i="37"/>
  <c r="G31" i="1"/>
  <c r="I31" i="1"/>
  <c r="I28" i="1"/>
  <c r="G28" i="1"/>
  <c r="I19" i="234"/>
  <c r="F19" i="234" s="1"/>
  <c r="G19" i="234" s="1"/>
  <c r="I34" i="424"/>
  <c r="G34" i="424"/>
  <c r="G39" i="446"/>
  <c r="I39" i="446"/>
  <c r="I32" i="426"/>
  <c r="F32" i="426" s="1"/>
  <c r="G32" i="426" s="1"/>
  <c r="I27" i="398"/>
  <c r="G27" i="398"/>
  <c r="I11" i="433"/>
  <c r="G11" i="433"/>
  <c r="G39" i="433"/>
  <c r="I39" i="433"/>
  <c r="G39" i="423"/>
  <c r="I39" i="423"/>
  <c r="I37" i="423"/>
  <c r="G37" i="423"/>
  <c r="I26" i="275"/>
  <c r="G26" i="275"/>
  <c r="I42" i="366"/>
  <c r="G42" i="366"/>
  <c r="I21" i="415"/>
  <c r="G21" i="415"/>
  <c r="I28" i="17"/>
  <c r="G28" i="17"/>
  <c r="I11" i="275"/>
  <c r="G11" i="275"/>
  <c r="I38" i="275"/>
  <c r="G38" i="275"/>
  <c r="I16" i="470"/>
  <c r="G16" i="470"/>
  <c r="G13" i="295"/>
  <c r="I13" i="295"/>
  <c r="I31" i="295"/>
  <c r="G31" i="295"/>
  <c r="G10" i="64"/>
  <c r="I10" i="64"/>
  <c r="I22" i="64"/>
  <c r="G22" i="64"/>
  <c r="G16" i="405"/>
  <c r="I16" i="405"/>
  <c r="I11" i="123"/>
  <c r="G11" i="123"/>
  <c r="I17" i="123"/>
  <c r="G17" i="123"/>
  <c r="I14" i="355"/>
  <c r="G14" i="355"/>
  <c r="I18" i="355"/>
  <c r="G18" i="355"/>
  <c r="G38" i="8"/>
  <c r="I38" i="8"/>
  <c r="I29" i="8"/>
  <c r="G29" i="8"/>
  <c r="I38" i="437"/>
  <c r="G38" i="437"/>
  <c r="I15" i="49"/>
  <c r="G15" i="49"/>
  <c r="F37" i="469"/>
  <c r="F28" i="469"/>
  <c r="F38" i="469"/>
  <c r="F29" i="469"/>
  <c r="F43" i="469"/>
  <c r="F15" i="469"/>
  <c r="F18" i="469"/>
  <c r="F23" i="469"/>
  <c r="F27" i="469"/>
  <c r="F34" i="469"/>
  <c r="F36" i="469"/>
  <c r="F10" i="469"/>
  <c r="F22" i="469"/>
  <c r="F35" i="469"/>
  <c r="F16" i="469"/>
  <c r="F44" i="469"/>
  <c r="F45" i="469"/>
  <c r="G45" i="469" s="1"/>
  <c r="F26" i="469"/>
  <c r="F12" i="469"/>
  <c r="F17" i="469"/>
  <c r="F30" i="469"/>
  <c r="F11" i="469"/>
  <c r="F13" i="469"/>
  <c r="F21" i="469"/>
  <c r="F39" i="469"/>
  <c r="F14" i="469"/>
  <c r="F31" i="469"/>
  <c r="F42" i="469"/>
  <c r="G34" i="180"/>
  <c r="I34" i="180"/>
  <c r="I10" i="180"/>
  <c r="G10" i="180"/>
  <c r="I10" i="230"/>
  <c r="G10" i="230"/>
  <c r="I15" i="349"/>
  <c r="G15" i="349"/>
  <c r="G26" i="349"/>
  <c r="I26" i="349"/>
  <c r="I42" i="13"/>
  <c r="G42" i="13"/>
  <c r="I16" i="361"/>
  <c r="G16" i="361"/>
  <c r="G31" i="361"/>
  <c r="I31" i="361"/>
  <c r="I31" i="54"/>
  <c r="G31" i="54"/>
  <c r="G16" i="54"/>
  <c r="I16" i="54"/>
  <c r="I44" i="417"/>
  <c r="G44" i="417"/>
  <c r="I40" i="322"/>
  <c r="F40" i="322" s="1"/>
  <c r="G40" i="322" s="1"/>
  <c r="G18" i="218"/>
  <c r="I18" i="218"/>
  <c r="G36" i="218"/>
  <c r="I36" i="218"/>
  <c r="G10" i="462"/>
  <c r="I10" i="462"/>
  <c r="I29" i="462"/>
  <c r="G29" i="462"/>
  <c r="G42" i="67"/>
  <c r="I42" i="67"/>
  <c r="G36" i="67"/>
  <c r="I36" i="67"/>
  <c r="I19" i="80"/>
  <c r="F19" i="80" s="1"/>
  <c r="G19" i="80" s="1"/>
  <c r="I15" i="196"/>
  <c r="G15" i="196"/>
  <c r="I14" i="196"/>
  <c r="G14" i="196"/>
  <c r="I21" i="370"/>
  <c r="G21" i="370"/>
  <c r="I38" i="370"/>
  <c r="G38" i="370"/>
  <c r="I34" i="461"/>
  <c r="G34" i="461"/>
  <c r="I28" i="461"/>
  <c r="G28" i="461"/>
  <c r="I37" i="60"/>
  <c r="G37" i="60"/>
  <c r="G31" i="60"/>
  <c r="I31" i="60"/>
  <c r="I46" i="443"/>
  <c r="F46" i="443" s="1"/>
  <c r="G46" i="443" s="1"/>
  <c r="I38" i="117"/>
  <c r="G38" i="117"/>
  <c r="I14" i="117"/>
  <c r="G14" i="117"/>
  <c r="G34" i="400"/>
  <c r="I34" i="400"/>
  <c r="G17" i="400"/>
  <c r="I17" i="400"/>
  <c r="I21" i="453"/>
  <c r="G21" i="453"/>
  <c r="I30" i="453"/>
  <c r="G30" i="453"/>
  <c r="I43" i="373"/>
  <c r="G43" i="373"/>
  <c r="G28" i="373"/>
  <c r="I28" i="373"/>
  <c r="I32" i="65"/>
  <c r="F32" i="65" s="1"/>
  <c r="G32" i="65" s="1"/>
  <c r="I27" i="16"/>
  <c r="G27" i="16"/>
  <c r="G30" i="16"/>
  <c r="I30" i="16"/>
  <c r="I11" i="451"/>
  <c r="G11" i="451"/>
  <c r="I16" i="451"/>
  <c r="G16" i="451"/>
  <c r="G34" i="38"/>
  <c r="I34" i="38"/>
  <c r="G28" i="38"/>
  <c r="I28" i="38"/>
  <c r="I29" i="418"/>
  <c r="G29" i="418"/>
  <c r="I12" i="418"/>
  <c r="G12" i="418"/>
  <c r="G13" i="39"/>
  <c r="I13" i="39"/>
  <c r="G16" i="39"/>
  <c r="I16" i="39"/>
  <c r="I40" i="362"/>
  <c r="F40" i="362" s="1"/>
  <c r="G40" i="362" s="1"/>
  <c r="G42" i="120"/>
  <c r="I42" i="120"/>
  <c r="I44" i="366"/>
  <c r="G44" i="366"/>
  <c r="I19" i="428"/>
  <c r="F19" i="428" s="1"/>
  <c r="G19" i="428" s="1"/>
  <c r="I34" i="92"/>
  <c r="G34" i="92"/>
  <c r="G11" i="53"/>
  <c r="I11" i="53"/>
  <c r="I15" i="53"/>
  <c r="G15" i="53"/>
  <c r="G34" i="434"/>
  <c r="I34" i="434"/>
  <c r="I35" i="434"/>
  <c r="G35" i="434"/>
  <c r="I14" i="61"/>
  <c r="G14" i="61"/>
  <c r="I18" i="61"/>
  <c r="G18" i="61"/>
  <c r="I27" i="14"/>
  <c r="G27" i="14"/>
  <c r="I21" i="14"/>
  <c r="G21" i="14"/>
  <c r="G39" i="91"/>
  <c r="I39" i="91"/>
  <c r="I24" i="165"/>
  <c r="F24" i="165" s="1"/>
  <c r="G24" i="165" s="1"/>
  <c r="I26" i="415"/>
  <c r="G26" i="415"/>
  <c r="I16" i="415"/>
  <c r="G16" i="415"/>
  <c r="I18" i="75"/>
  <c r="G18" i="75"/>
  <c r="I27" i="75"/>
  <c r="G27" i="75"/>
  <c r="I16" i="430"/>
  <c r="G16" i="430"/>
  <c r="I31" i="430"/>
  <c r="G31" i="430"/>
  <c r="I21" i="31"/>
  <c r="G21" i="31"/>
  <c r="G37" i="181"/>
  <c r="I37" i="181"/>
  <c r="I44" i="262"/>
  <c r="G44" i="262"/>
  <c r="I21" i="78"/>
  <c r="G21" i="78"/>
  <c r="I29" i="78"/>
  <c r="G29" i="78"/>
  <c r="G15" i="267"/>
  <c r="I15" i="267"/>
  <c r="I21" i="19"/>
  <c r="G21" i="19"/>
  <c r="I13" i="19"/>
  <c r="G13" i="19"/>
  <c r="G29" i="58"/>
  <c r="I29" i="58"/>
  <c r="G43" i="32"/>
  <c r="I43" i="32"/>
  <c r="I36" i="32"/>
  <c r="G36" i="32"/>
  <c r="G12" i="24"/>
  <c r="I12" i="24"/>
  <c r="I11" i="24"/>
  <c r="G11" i="24"/>
  <c r="I26" i="321"/>
  <c r="G26" i="321"/>
  <c r="G43" i="321"/>
  <c r="I43" i="321"/>
  <c r="G38" i="315"/>
  <c r="I38" i="315"/>
  <c r="I21" i="315"/>
  <c r="G21" i="315"/>
  <c r="I14" i="72"/>
  <c r="G14" i="72"/>
  <c r="G11" i="72"/>
  <c r="I11" i="72"/>
  <c r="I22" i="17"/>
  <c r="G22" i="17"/>
  <c r="I30" i="436"/>
  <c r="G30" i="436"/>
  <c r="G34" i="436"/>
  <c r="I34" i="436"/>
  <c r="G11" i="364"/>
  <c r="I11" i="364"/>
  <c r="G12" i="364"/>
  <c r="I12" i="364"/>
  <c r="G31" i="360"/>
  <c r="I31" i="360"/>
  <c r="I30" i="360"/>
  <c r="G30" i="360"/>
  <c r="G18" i="35"/>
  <c r="I18" i="35"/>
  <c r="I31" i="35"/>
  <c r="G31" i="35"/>
  <c r="G29" i="27"/>
  <c r="I29" i="27"/>
  <c r="I36" i="27"/>
  <c r="G36" i="27"/>
  <c r="I12" i="96"/>
  <c r="G12" i="96"/>
  <c r="G21" i="96"/>
  <c r="I21" i="96"/>
  <c r="I32" i="457"/>
  <c r="F32" i="457" s="1"/>
  <c r="G32" i="457" s="1"/>
  <c r="G39" i="246"/>
  <c r="I39" i="246"/>
  <c r="I15" i="246"/>
  <c r="G15" i="246"/>
  <c r="I38" i="10"/>
  <c r="G38" i="10"/>
  <c r="G29" i="10"/>
  <c r="I29" i="10"/>
  <c r="I11" i="429"/>
  <c r="G11" i="429"/>
  <c r="I14" i="429"/>
  <c r="G14" i="429"/>
  <c r="I46" i="154"/>
  <c r="F46" i="154" s="1"/>
  <c r="G46" i="154" s="1"/>
  <c r="I31" i="119"/>
  <c r="G31" i="119"/>
  <c r="I42" i="158"/>
  <c r="G42" i="158"/>
  <c r="I15" i="158"/>
  <c r="G15" i="158"/>
  <c r="I40" i="425"/>
  <c r="F40" i="425" s="1"/>
  <c r="G40" i="425" s="1"/>
  <c r="I13" i="157"/>
  <c r="G13" i="157"/>
  <c r="I37" i="157"/>
  <c r="G37" i="157"/>
  <c r="I39" i="406"/>
  <c r="G39" i="406"/>
  <c r="G27" i="406"/>
  <c r="I27" i="406"/>
  <c r="G13" i="407"/>
  <c r="I13" i="407"/>
  <c r="G31" i="407"/>
  <c r="I31" i="407"/>
  <c r="I19" i="431"/>
  <c r="F19" i="431" s="1"/>
  <c r="G19" i="431" s="1"/>
  <c r="G35" i="26"/>
  <c r="I35" i="26"/>
  <c r="I18" i="26"/>
  <c r="G18" i="26"/>
  <c r="I11" i="332"/>
  <c r="G11" i="332"/>
  <c r="G43" i="332"/>
  <c r="I43" i="332"/>
  <c r="I42" i="294"/>
  <c r="G42" i="294"/>
  <c r="I29" i="294"/>
  <c r="G29" i="294"/>
  <c r="I31" i="36"/>
  <c r="G31" i="36"/>
  <c r="I38" i="36"/>
  <c r="G38" i="36"/>
  <c r="I13" i="210"/>
  <c r="G13" i="210"/>
  <c r="G28" i="191"/>
  <c r="I28" i="191"/>
  <c r="G34" i="191"/>
  <c r="I34" i="191"/>
  <c r="I10" i="41"/>
  <c r="I19" i="41" s="1"/>
  <c r="F19" i="41" s="1"/>
  <c r="G19" i="41" s="1"/>
  <c r="G10" i="41"/>
  <c r="G39" i="41"/>
  <c r="I39" i="41"/>
  <c r="I26" i="385"/>
  <c r="G26" i="385"/>
  <c r="G17" i="385"/>
  <c r="I17" i="385"/>
  <c r="I29" i="388"/>
  <c r="G29" i="388"/>
  <c r="G21" i="388"/>
  <c r="I21" i="388"/>
  <c r="I13" i="216"/>
  <c r="G13" i="216"/>
  <c r="G34" i="216"/>
  <c r="I34" i="216"/>
  <c r="I15" i="250"/>
  <c r="G15" i="250"/>
  <c r="I42" i="23"/>
  <c r="I46" i="23" s="1"/>
  <c r="F46" i="23" s="1"/>
  <c r="G46" i="23" s="1"/>
  <c r="G42" i="23"/>
  <c r="G14" i="23"/>
  <c r="I14" i="23"/>
  <c r="I13" i="289"/>
  <c r="G13" i="289"/>
  <c r="I42" i="289"/>
  <c r="G42" i="289"/>
  <c r="F15" i="413"/>
  <c r="F29" i="413"/>
  <c r="F38" i="413"/>
  <c r="F30" i="413"/>
  <c r="F16" i="413"/>
  <c r="F31" i="413"/>
  <c r="F39" i="413"/>
  <c r="F10" i="413"/>
  <c r="F18" i="413"/>
  <c r="F11" i="413"/>
  <c r="F42" i="413"/>
  <c r="F34" i="413"/>
  <c r="F21" i="413"/>
  <c r="F12" i="413"/>
  <c r="F43" i="413"/>
  <c r="F35" i="413"/>
  <c r="F22" i="413"/>
  <c r="F13" i="413"/>
  <c r="F44" i="413"/>
  <c r="F36" i="413"/>
  <c r="F23" i="413"/>
  <c r="F45" i="413"/>
  <c r="G45" i="413" s="1"/>
  <c r="F17" i="413"/>
  <c r="F26" i="413"/>
  <c r="F14" i="413"/>
  <c r="F27" i="413"/>
  <c r="F28" i="413"/>
  <c r="F37" i="413"/>
  <c r="I38" i="25"/>
  <c r="G38" i="25"/>
  <c r="I31" i="323"/>
  <c r="G31" i="323"/>
  <c r="I37" i="323"/>
  <c r="G37" i="323"/>
  <c r="I18" i="465"/>
  <c r="G18" i="465"/>
  <c r="I22" i="465"/>
  <c r="G22" i="465"/>
  <c r="I34" i="199"/>
  <c r="G34" i="199"/>
  <c r="I13" i="199"/>
  <c r="G13" i="199"/>
  <c r="E48" i="114"/>
  <c r="G44" i="337"/>
  <c r="I44" i="337"/>
  <c r="I23" i="427"/>
  <c r="G23" i="427"/>
  <c r="G26" i="427"/>
  <c r="I26" i="427"/>
  <c r="I36" i="297"/>
  <c r="G36" i="297"/>
  <c r="I16" i="297"/>
  <c r="G16" i="297"/>
  <c r="I12" i="247"/>
  <c r="G12" i="247"/>
  <c r="G28" i="247"/>
  <c r="I28" i="247"/>
  <c r="I13" i="198"/>
  <c r="G13" i="198"/>
  <c r="G12" i="416"/>
  <c r="I12" i="416"/>
  <c r="I17" i="197"/>
  <c r="G17" i="197"/>
  <c r="G11" i="197"/>
  <c r="I11" i="197"/>
  <c r="G15" i="195"/>
  <c r="I15" i="195"/>
  <c r="I27" i="195"/>
  <c r="G27" i="195"/>
  <c r="I29" i="37"/>
  <c r="G29" i="37"/>
  <c r="G26" i="37"/>
  <c r="I26" i="37"/>
  <c r="I32" i="228"/>
  <c r="F32" i="228" s="1"/>
  <c r="G32" i="228" s="1"/>
  <c r="I46" i="362"/>
  <c r="F46" i="362" s="1"/>
  <c r="G46" i="362" s="1"/>
  <c r="I29" i="1"/>
  <c r="G29" i="1"/>
  <c r="I23" i="1"/>
  <c r="G23" i="1"/>
  <c r="I12" i="424"/>
  <c r="G12" i="424"/>
  <c r="I29" i="446"/>
  <c r="G29" i="446"/>
  <c r="I32" i="305"/>
  <c r="F32" i="305" s="1"/>
  <c r="G32" i="305" s="1"/>
  <c r="I13" i="398"/>
  <c r="G13" i="398"/>
  <c r="I27" i="433"/>
  <c r="G27" i="433"/>
  <c r="I13" i="433"/>
  <c r="G13" i="433"/>
  <c r="G11" i="423"/>
  <c r="I11" i="423"/>
  <c r="I18" i="423"/>
  <c r="G18" i="423"/>
  <c r="I10" i="355"/>
  <c r="G10" i="355"/>
  <c r="I22" i="417"/>
  <c r="G22" i="417"/>
  <c r="I37" i="39"/>
  <c r="G37" i="39"/>
  <c r="F45" i="477"/>
  <c r="G45" i="477" s="1"/>
  <c r="F15" i="477"/>
  <c r="F28" i="477"/>
  <c r="F30" i="477"/>
  <c r="F12" i="477"/>
  <c r="F44" i="477"/>
  <c r="F18" i="477"/>
  <c r="G27" i="262"/>
  <c r="I27" i="262"/>
  <c r="I21" i="24"/>
  <c r="G21" i="24"/>
  <c r="I27" i="246"/>
  <c r="G27" i="246"/>
  <c r="I26" i="157"/>
  <c r="G26" i="157"/>
  <c r="G42" i="191"/>
  <c r="I42" i="191"/>
  <c r="I22" i="275"/>
  <c r="G22" i="275"/>
  <c r="I34" i="275"/>
  <c r="G34" i="275"/>
  <c r="I17" i="470"/>
  <c r="G17" i="470"/>
  <c r="I14" i="295"/>
  <c r="G14" i="295"/>
  <c r="G18" i="295"/>
  <c r="I18" i="295"/>
  <c r="G14" i="64"/>
  <c r="I14" i="64"/>
  <c r="G23" i="64"/>
  <c r="I23" i="64"/>
  <c r="J50" i="476"/>
  <c r="E50" i="476"/>
  <c r="I43" i="405"/>
  <c r="G43" i="405"/>
  <c r="G28" i="123"/>
  <c r="I28" i="123"/>
  <c r="G30" i="123"/>
  <c r="I30" i="123"/>
  <c r="I43" i="355"/>
  <c r="G43" i="355"/>
  <c r="I39" i="355"/>
  <c r="G39" i="355"/>
  <c r="I43" i="8"/>
  <c r="G43" i="8"/>
  <c r="G28" i="8"/>
  <c r="I28" i="8"/>
  <c r="I31" i="437"/>
  <c r="G31" i="437"/>
  <c r="F38" i="467"/>
  <c r="F29" i="467"/>
  <c r="F39" i="467"/>
  <c r="F31" i="467"/>
  <c r="F42" i="467"/>
  <c r="F14" i="467"/>
  <c r="F22" i="467"/>
  <c r="F44" i="467"/>
  <c r="F16" i="467"/>
  <c r="F37" i="467"/>
  <c r="F11" i="467"/>
  <c r="F45" i="467"/>
  <c r="G45" i="467" s="1"/>
  <c r="F28" i="467"/>
  <c r="F35" i="467"/>
  <c r="F12" i="467"/>
  <c r="F18" i="467"/>
  <c r="F17" i="467"/>
  <c r="F34" i="467"/>
  <c r="F10" i="467"/>
  <c r="F27" i="467"/>
  <c r="F15" i="467"/>
  <c r="F23" i="467"/>
  <c r="F43" i="467"/>
  <c r="F13" i="467"/>
  <c r="F30" i="467"/>
  <c r="F36" i="467"/>
  <c r="F26" i="467"/>
  <c r="F21" i="467"/>
  <c r="G14" i="49"/>
  <c r="I14" i="49"/>
  <c r="I39" i="49"/>
  <c r="G39" i="49"/>
  <c r="G16" i="180"/>
  <c r="I16" i="180"/>
  <c r="I14" i="180"/>
  <c r="G14" i="180"/>
  <c r="I31" i="230"/>
  <c r="G31" i="230"/>
  <c r="I44" i="349"/>
  <c r="G44" i="349"/>
  <c r="I28" i="349"/>
  <c r="G28" i="349"/>
  <c r="G35" i="13"/>
  <c r="I35" i="13"/>
  <c r="I32" i="300"/>
  <c r="F32" i="300" s="1"/>
  <c r="G32" i="300" s="1"/>
  <c r="I13" i="361"/>
  <c r="G13" i="361"/>
  <c r="I36" i="361"/>
  <c r="G36" i="361"/>
  <c r="I34" i="54"/>
  <c r="G34" i="54"/>
  <c r="I14" i="417"/>
  <c r="G14" i="417"/>
  <c r="G10" i="218"/>
  <c r="I10" i="218"/>
  <c r="G38" i="218"/>
  <c r="I38" i="218"/>
  <c r="G21" i="462"/>
  <c r="I21" i="462"/>
  <c r="I38" i="462"/>
  <c r="G38" i="462"/>
  <c r="I17" i="67"/>
  <c r="G17" i="67"/>
  <c r="G31" i="67"/>
  <c r="I31" i="67"/>
  <c r="I13" i="196"/>
  <c r="G13" i="196"/>
  <c r="I31" i="196"/>
  <c r="G31" i="196"/>
  <c r="I18" i="370"/>
  <c r="G18" i="370"/>
  <c r="G22" i="461"/>
  <c r="I22" i="461"/>
  <c r="G35" i="60"/>
  <c r="I35" i="60"/>
  <c r="G36" i="60"/>
  <c r="I36" i="60"/>
  <c r="I19" i="215"/>
  <c r="F19" i="215" s="1"/>
  <c r="G19" i="215" s="1"/>
  <c r="I26" i="117"/>
  <c r="G26" i="117"/>
  <c r="G34" i="117"/>
  <c r="I34" i="117"/>
  <c r="I43" i="400"/>
  <c r="G43" i="400"/>
  <c r="I38" i="400"/>
  <c r="G38" i="400"/>
  <c r="G37" i="453"/>
  <c r="I37" i="453"/>
  <c r="I13" i="453"/>
  <c r="G13" i="453"/>
  <c r="G21" i="373"/>
  <c r="I21" i="373"/>
  <c r="G12" i="16"/>
  <c r="I12" i="16"/>
  <c r="I15" i="16"/>
  <c r="G15" i="16"/>
  <c r="I43" i="451"/>
  <c r="G43" i="451"/>
  <c r="G38" i="38"/>
  <c r="I38" i="38"/>
  <c r="I18" i="38"/>
  <c r="G18" i="38"/>
  <c r="I42" i="418"/>
  <c r="G42" i="418"/>
  <c r="I18" i="39"/>
  <c r="G18" i="39"/>
  <c r="I11" i="120"/>
  <c r="G11" i="120"/>
  <c r="I22" i="120"/>
  <c r="G22" i="120"/>
  <c r="G29" i="366"/>
  <c r="I29" i="366"/>
  <c r="G38" i="366"/>
  <c r="I38" i="366"/>
  <c r="I19" i="350"/>
  <c r="F19" i="350" s="1"/>
  <c r="G19" i="350" s="1"/>
  <c r="I38" i="92"/>
  <c r="G38" i="92"/>
  <c r="G18" i="53"/>
  <c r="I18" i="53"/>
  <c r="I39" i="53"/>
  <c r="G39" i="53"/>
  <c r="I39" i="434"/>
  <c r="G39" i="434"/>
  <c r="G23" i="434"/>
  <c r="I23" i="434"/>
  <c r="I15" i="61"/>
  <c r="G15" i="61"/>
  <c r="G37" i="61"/>
  <c r="I37" i="61"/>
  <c r="I13" i="14"/>
  <c r="G13" i="14"/>
  <c r="I11" i="14"/>
  <c r="G11" i="14"/>
  <c r="I29" i="91"/>
  <c r="G29" i="91"/>
  <c r="I23" i="415"/>
  <c r="G23" i="415"/>
  <c r="I39" i="415"/>
  <c r="G39" i="415"/>
  <c r="I11" i="75"/>
  <c r="G11" i="75"/>
  <c r="I31" i="75"/>
  <c r="G31" i="75"/>
  <c r="E46" i="472"/>
  <c r="A52" i="472" s="1"/>
  <c r="I11" i="430"/>
  <c r="G11" i="430"/>
  <c r="I21" i="430"/>
  <c r="G21" i="430"/>
  <c r="I29" i="31"/>
  <c r="G29" i="31"/>
  <c r="I21" i="181"/>
  <c r="G21" i="181"/>
  <c r="G23" i="262"/>
  <c r="I23" i="262"/>
  <c r="I30" i="78"/>
  <c r="G30" i="78"/>
  <c r="I36" i="78"/>
  <c r="G36" i="78"/>
  <c r="G31" i="267"/>
  <c r="I31" i="267"/>
  <c r="G42" i="19"/>
  <c r="I42" i="19"/>
  <c r="I29" i="19"/>
  <c r="G29" i="19"/>
  <c r="G15" i="58"/>
  <c r="I15" i="58"/>
  <c r="G30" i="32"/>
  <c r="I30" i="32"/>
  <c r="G23" i="32"/>
  <c r="I23" i="32"/>
  <c r="G30" i="24"/>
  <c r="I30" i="24"/>
  <c r="G29" i="24"/>
  <c r="I29" i="24"/>
  <c r="I24" i="350"/>
  <c r="F24" i="350" s="1"/>
  <c r="G24" i="350" s="1"/>
  <c r="I38" i="321"/>
  <c r="G38" i="321"/>
  <c r="G28" i="321"/>
  <c r="I28" i="321"/>
  <c r="G17" i="315"/>
  <c r="I17" i="315"/>
  <c r="I23" i="315"/>
  <c r="G23" i="315"/>
  <c r="I15" i="72"/>
  <c r="G15" i="72"/>
  <c r="I27" i="72"/>
  <c r="G27" i="72"/>
  <c r="I16" i="17"/>
  <c r="G16" i="17"/>
  <c r="I13" i="17"/>
  <c r="G13" i="17"/>
  <c r="I39" i="436"/>
  <c r="G39" i="436"/>
  <c r="I23" i="436"/>
  <c r="G23" i="436"/>
  <c r="I15" i="364"/>
  <c r="G15" i="364"/>
  <c r="I18" i="364"/>
  <c r="G18" i="364"/>
  <c r="I11" i="360"/>
  <c r="G11" i="360"/>
  <c r="I27" i="360"/>
  <c r="G27" i="360"/>
  <c r="I32" i="346"/>
  <c r="F32" i="346" s="1"/>
  <c r="G32" i="346" s="1"/>
  <c r="G10" i="35"/>
  <c r="I10" i="35"/>
  <c r="I17" i="35"/>
  <c r="G17" i="35"/>
  <c r="G12" i="27"/>
  <c r="I12" i="27"/>
  <c r="G35" i="27"/>
  <c r="I35" i="27"/>
  <c r="I37" i="96"/>
  <c r="G37" i="96"/>
  <c r="I23" i="96"/>
  <c r="G23" i="96"/>
  <c r="I30" i="246"/>
  <c r="G30" i="246"/>
  <c r="G29" i="246"/>
  <c r="I29" i="246"/>
  <c r="I32" i="88"/>
  <c r="F32" i="88" s="1"/>
  <c r="G32" i="88" s="1"/>
  <c r="G10" i="10"/>
  <c r="I10" i="10"/>
  <c r="G31" i="10"/>
  <c r="I31" i="10"/>
  <c r="I30" i="429"/>
  <c r="G30" i="429"/>
  <c r="G34" i="119"/>
  <c r="I34" i="119"/>
  <c r="G29" i="158"/>
  <c r="I29" i="158"/>
  <c r="G13" i="158"/>
  <c r="I13" i="158"/>
  <c r="I18" i="157"/>
  <c r="G18" i="157"/>
  <c r="I43" i="157"/>
  <c r="G43" i="157"/>
  <c r="I44" i="406"/>
  <c r="G44" i="406"/>
  <c r="G26" i="406"/>
  <c r="I26" i="406"/>
  <c r="I35" i="276"/>
  <c r="G35" i="276"/>
  <c r="G38" i="407"/>
  <c r="I38" i="407"/>
  <c r="I18" i="407"/>
  <c r="G18" i="407"/>
  <c r="G22" i="26"/>
  <c r="I22" i="26"/>
  <c r="I17" i="26"/>
  <c r="G17" i="26"/>
  <c r="I35" i="332"/>
  <c r="G35" i="332"/>
  <c r="I16" i="332"/>
  <c r="G16" i="332"/>
  <c r="I21" i="294"/>
  <c r="G21" i="294"/>
  <c r="I46" i="259"/>
  <c r="F46" i="259" s="1"/>
  <c r="G46" i="259" s="1"/>
  <c r="G16" i="36"/>
  <c r="I16" i="36"/>
  <c r="I13" i="36"/>
  <c r="G13" i="36"/>
  <c r="I19" i="176"/>
  <c r="F19" i="176" s="1"/>
  <c r="G19" i="176" s="1"/>
  <c r="G28" i="210"/>
  <c r="I28" i="210"/>
  <c r="G36" i="191"/>
  <c r="I36" i="191"/>
  <c r="I22" i="191"/>
  <c r="G22" i="191"/>
  <c r="I34" i="41"/>
  <c r="I40" i="41" s="1"/>
  <c r="F40" i="41" s="1"/>
  <c r="G40" i="41" s="1"/>
  <c r="G34" i="41"/>
  <c r="G36" i="41"/>
  <c r="I36" i="41"/>
  <c r="I13" i="385"/>
  <c r="G13" i="385"/>
  <c r="I38" i="385"/>
  <c r="G38" i="385"/>
  <c r="I12" i="388"/>
  <c r="G12" i="388"/>
  <c r="G12" i="216"/>
  <c r="I12" i="216"/>
  <c r="I37" i="250"/>
  <c r="G37" i="250"/>
  <c r="G31" i="23"/>
  <c r="I31" i="23"/>
  <c r="G37" i="23"/>
  <c r="I37" i="23"/>
  <c r="G10" i="289"/>
  <c r="I10" i="289"/>
  <c r="G15" i="289"/>
  <c r="I15" i="289"/>
  <c r="I29" i="25"/>
  <c r="G29" i="25"/>
  <c r="G36" i="323"/>
  <c r="I36" i="323"/>
  <c r="I27" i="465"/>
  <c r="G27" i="465"/>
  <c r="G14" i="465"/>
  <c r="I14" i="465"/>
  <c r="I44" i="199"/>
  <c r="G44" i="199"/>
  <c r="G28" i="199"/>
  <c r="I28" i="199"/>
  <c r="G30" i="337"/>
  <c r="I30" i="337"/>
  <c r="G14" i="337"/>
  <c r="I14" i="337"/>
  <c r="I34" i="427"/>
  <c r="G34" i="427"/>
  <c r="G18" i="297"/>
  <c r="I18" i="297"/>
  <c r="I17" i="297"/>
  <c r="G17" i="297"/>
  <c r="I38" i="247"/>
  <c r="G38" i="247"/>
  <c r="G26" i="247"/>
  <c r="I26" i="247"/>
  <c r="G14" i="198"/>
  <c r="I14" i="198"/>
  <c r="I10" i="198"/>
  <c r="G10" i="198"/>
  <c r="G29" i="416"/>
  <c r="I29" i="416"/>
  <c r="I36" i="416"/>
  <c r="G36" i="416"/>
  <c r="I30" i="197"/>
  <c r="G30" i="197"/>
  <c r="I36" i="197"/>
  <c r="G36" i="197"/>
  <c r="I19" i="65"/>
  <c r="F19" i="65" s="1"/>
  <c r="G19" i="65" s="1"/>
  <c r="I42" i="195"/>
  <c r="G42" i="195"/>
  <c r="I34" i="195"/>
  <c r="G34" i="195"/>
  <c r="G35" i="37"/>
  <c r="I35" i="37"/>
  <c r="I18" i="1"/>
  <c r="G18" i="1"/>
  <c r="G30" i="1"/>
  <c r="I30" i="1"/>
  <c r="I18" i="424"/>
  <c r="G18" i="424"/>
  <c r="I35" i="424"/>
  <c r="G35" i="424"/>
  <c r="I11" i="446"/>
  <c r="G11" i="446"/>
  <c r="I13" i="446"/>
  <c r="G13" i="446"/>
  <c r="I37" i="398"/>
  <c r="G37" i="398"/>
  <c r="G15" i="398"/>
  <c r="I15" i="398"/>
  <c r="I15" i="433"/>
  <c r="G15" i="433"/>
  <c r="G17" i="433"/>
  <c r="I17" i="433"/>
  <c r="G31" i="423"/>
  <c r="I31" i="423"/>
  <c r="G36" i="423"/>
  <c r="I36" i="423"/>
  <c r="I13" i="92"/>
  <c r="G13" i="92"/>
  <c r="I15" i="19"/>
  <c r="G15" i="19"/>
  <c r="I36" i="364"/>
  <c r="G36" i="364"/>
  <c r="I38" i="429"/>
  <c r="G38" i="429"/>
  <c r="I26" i="407"/>
  <c r="G26" i="407"/>
  <c r="I28" i="332"/>
  <c r="G28" i="332"/>
  <c r="I30" i="191"/>
  <c r="G30" i="191"/>
  <c r="I21" i="25"/>
  <c r="G21" i="25"/>
  <c r="I13" i="337"/>
  <c r="G13" i="337"/>
  <c r="G16" i="398"/>
  <c r="I16" i="398"/>
  <c r="I28" i="275"/>
  <c r="G28" i="275"/>
  <c r="I32" i="287"/>
  <c r="F32" i="287" s="1"/>
  <c r="G32" i="287" s="1"/>
  <c r="I32" i="350"/>
  <c r="F32" i="350" s="1"/>
  <c r="G32" i="350" s="1"/>
  <c r="I43" i="470"/>
  <c r="G43" i="470"/>
  <c r="I27" i="295"/>
  <c r="G27" i="295"/>
  <c r="G37" i="295"/>
  <c r="I37" i="295"/>
  <c r="I27" i="64"/>
  <c r="G27" i="64"/>
  <c r="I36" i="64"/>
  <c r="G36" i="64"/>
  <c r="I31" i="405"/>
  <c r="G31" i="405"/>
  <c r="I13" i="405"/>
  <c r="G13" i="405"/>
  <c r="G14" i="123"/>
  <c r="I14" i="123"/>
  <c r="I12" i="123"/>
  <c r="G12" i="123"/>
  <c r="I40" i="457"/>
  <c r="F40" i="457" s="1"/>
  <c r="G40" i="457" s="1"/>
  <c r="I42" i="355"/>
  <c r="G42" i="355"/>
  <c r="I34" i="355"/>
  <c r="G34" i="355"/>
  <c r="G21" i="8"/>
  <c r="I21" i="8"/>
  <c r="I36" i="8"/>
  <c r="G36" i="8"/>
  <c r="G34" i="437"/>
  <c r="I34" i="437"/>
  <c r="I43" i="437"/>
  <c r="G43" i="437"/>
  <c r="I19" i="362"/>
  <c r="F19" i="362" s="1"/>
  <c r="G19" i="362" s="1"/>
  <c r="E48" i="384"/>
  <c r="I35" i="49"/>
  <c r="G35" i="49"/>
  <c r="I17" i="49"/>
  <c r="G17" i="49"/>
  <c r="I24" i="121"/>
  <c r="F24" i="121" s="1"/>
  <c r="G24" i="121" s="1"/>
  <c r="F14" i="179"/>
  <c r="F37" i="179"/>
  <c r="F12" i="179"/>
  <c r="F23" i="179"/>
  <c r="F28" i="179"/>
  <c r="F44" i="179"/>
  <c r="F31" i="179"/>
  <c r="F27" i="179"/>
  <c r="F10" i="179"/>
  <c r="F43" i="179"/>
  <c r="F18" i="179"/>
  <c r="F39" i="179"/>
  <c r="F13" i="179"/>
  <c r="F38" i="179"/>
  <c r="F35" i="179"/>
  <c r="F15" i="179"/>
  <c r="F34" i="179"/>
  <c r="F26" i="179"/>
  <c r="F17" i="179"/>
  <c r="F29" i="179"/>
  <c r="F11" i="179"/>
  <c r="F45" i="179"/>
  <c r="G45" i="179" s="1"/>
  <c r="F16" i="179"/>
  <c r="F22" i="179"/>
  <c r="F30" i="179"/>
  <c r="F21" i="179"/>
  <c r="F36" i="179"/>
  <c r="F42" i="179"/>
  <c r="G28" i="180"/>
  <c r="I28" i="180"/>
  <c r="G17" i="180"/>
  <c r="I17" i="180"/>
  <c r="I21" i="230"/>
  <c r="G21" i="230"/>
  <c r="I37" i="230"/>
  <c r="G37" i="230"/>
  <c r="I23" i="349"/>
  <c r="G23" i="349"/>
  <c r="I29" i="349"/>
  <c r="G29" i="349"/>
  <c r="I28" i="13"/>
  <c r="G28" i="13"/>
  <c r="I17" i="361"/>
  <c r="G17" i="361"/>
  <c r="I21" i="361"/>
  <c r="G21" i="361"/>
  <c r="I10" i="54"/>
  <c r="G10" i="54"/>
  <c r="I15" i="54"/>
  <c r="G15" i="54"/>
  <c r="I31" i="417"/>
  <c r="G31" i="417"/>
  <c r="I21" i="218"/>
  <c r="G21" i="218"/>
  <c r="I30" i="218"/>
  <c r="G30" i="218"/>
  <c r="I37" i="462"/>
  <c r="G37" i="462"/>
  <c r="G12" i="462"/>
  <c r="I12" i="462"/>
  <c r="I15" i="67"/>
  <c r="G15" i="67"/>
  <c r="G35" i="67"/>
  <c r="I35" i="67"/>
  <c r="G10" i="196"/>
  <c r="I10" i="196"/>
  <c r="G28" i="196"/>
  <c r="I28" i="196"/>
  <c r="I12" i="370"/>
  <c r="G12" i="370"/>
  <c r="G21" i="461"/>
  <c r="I21" i="461"/>
  <c r="I35" i="461"/>
  <c r="G35" i="461"/>
  <c r="I14" i="60"/>
  <c r="G14" i="60"/>
  <c r="G30" i="60"/>
  <c r="I30" i="60"/>
  <c r="I10" i="117"/>
  <c r="G10" i="117"/>
  <c r="I18" i="117"/>
  <c r="G18" i="117"/>
  <c r="I44" i="400"/>
  <c r="G44" i="400"/>
  <c r="I36" i="453"/>
  <c r="G36" i="453"/>
  <c r="I12" i="453"/>
  <c r="G12" i="453"/>
  <c r="I15" i="373"/>
  <c r="G15" i="373"/>
  <c r="G11" i="16"/>
  <c r="I11" i="16"/>
  <c r="G38" i="16"/>
  <c r="I38" i="16"/>
  <c r="G10" i="451"/>
  <c r="I10" i="451"/>
  <c r="I14" i="451"/>
  <c r="G14" i="451"/>
  <c r="G22" i="38"/>
  <c r="I22" i="38"/>
  <c r="I16" i="418"/>
  <c r="G16" i="418"/>
  <c r="I26" i="418"/>
  <c r="G26" i="418"/>
  <c r="I30" i="39"/>
  <c r="G30" i="39"/>
  <c r="G14" i="39"/>
  <c r="I14" i="39"/>
  <c r="I40" i="65"/>
  <c r="F40" i="65" s="1"/>
  <c r="G40" i="65" s="1"/>
  <c r="I13" i="120"/>
  <c r="G13" i="120"/>
  <c r="I31" i="120"/>
  <c r="G31" i="120"/>
  <c r="G17" i="366"/>
  <c r="I17" i="366"/>
  <c r="I27" i="366"/>
  <c r="G27" i="366"/>
  <c r="I10" i="92"/>
  <c r="G10" i="92"/>
  <c r="I28" i="53"/>
  <c r="G28" i="53"/>
  <c r="I22" i="53"/>
  <c r="G22" i="53"/>
  <c r="I46" i="228"/>
  <c r="F46" i="228" s="1"/>
  <c r="G46" i="228" s="1"/>
  <c r="I28" i="434"/>
  <c r="G28" i="434"/>
  <c r="G13" i="434"/>
  <c r="I13" i="434"/>
  <c r="G44" i="61"/>
  <c r="I44" i="61"/>
  <c r="G17" i="61"/>
  <c r="I17" i="61"/>
  <c r="I39" i="14"/>
  <c r="G39" i="14"/>
  <c r="I14" i="14"/>
  <c r="G14" i="14"/>
  <c r="I10" i="91"/>
  <c r="G10" i="91"/>
  <c r="I22" i="415"/>
  <c r="G22" i="415"/>
  <c r="G42" i="415"/>
  <c r="I42" i="415"/>
  <c r="I13" i="75"/>
  <c r="G13" i="75"/>
  <c r="I44" i="75"/>
  <c r="G44" i="75"/>
  <c r="G37" i="430"/>
  <c r="I37" i="430"/>
  <c r="G30" i="430"/>
  <c r="I30" i="430"/>
  <c r="I12" i="31"/>
  <c r="G12" i="31"/>
  <c r="I46" i="305"/>
  <c r="F46" i="305" s="1"/>
  <c r="G46" i="305" s="1"/>
  <c r="G18" i="181"/>
  <c r="I18" i="181"/>
  <c r="I19" i="305"/>
  <c r="F19" i="305" s="1"/>
  <c r="G19" i="305" s="1"/>
  <c r="I37" i="262"/>
  <c r="G37" i="262"/>
  <c r="I26" i="78"/>
  <c r="G26" i="78"/>
  <c r="G18" i="78"/>
  <c r="I18" i="78"/>
  <c r="I21" i="267"/>
  <c r="G21" i="267"/>
  <c r="I18" i="19"/>
  <c r="G18" i="19"/>
  <c r="I31" i="19"/>
  <c r="G31" i="19"/>
  <c r="I37" i="58"/>
  <c r="G37" i="58"/>
  <c r="I11" i="32"/>
  <c r="G11" i="32"/>
  <c r="G37" i="32"/>
  <c r="I37" i="32"/>
  <c r="I13" i="24"/>
  <c r="G13" i="24"/>
  <c r="I27" i="24"/>
  <c r="G27" i="24"/>
  <c r="I37" i="321"/>
  <c r="G37" i="321"/>
  <c r="I11" i="315"/>
  <c r="G11" i="315"/>
  <c r="I12" i="72"/>
  <c r="G12" i="72"/>
  <c r="I36" i="72"/>
  <c r="G36" i="72"/>
  <c r="I36" i="17"/>
  <c r="G36" i="17"/>
  <c r="G26" i="17"/>
  <c r="I26" i="17"/>
  <c r="G29" i="436"/>
  <c r="I29" i="436"/>
  <c r="I12" i="436"/>
  <c r="G12" i="436"/>
  <c r="G14" i="364"/>
  <c r="I14" i="364"/>
  <c r="I29" i="364"/>
  <c r="G29" i="364"/>
  <c r="I42" i="360"/>
  <c r="G42" i="360"/>
  <c r="G16" i="360"/>
  <c r="I16" i="360"/>
  <c r="I29" i="35"/>
  <c r="G29" i="35"/>
  <c r="G30" i="35"/>
  <c r="I30" i="35"/>
  <c r="E48" i="413"/>
  <c r="I46" i="211"/>
  <c r="F46" i="211" s="1"/>
  <c r="G46" i="211" s="1"/>
  <c r="I34" i="27"/>
  <c r="G34" i="27"/>
  <c r="I23" i="27"/>
  <c r="G23" i="27"/>
  <c r="I19" i="121"/>
  <c r="F19" i="121" s="1"/>
  <c r="G19" i="121" s="1"/>
  <c r="I26" i="96"/>
  <c r="G26" i="96"/>
  <c r="I13" i="96"/>
  <c r="G13" i="96"/>
  <c r="G13" i="246"/>
  <c r="I13" i="246"/>
  <c r="I23" i="246"/>
  <c r="G23" i="246"/>
  <c r="I24" i="88"/>
  <c r="F24" i="88" s="1"/>
  <c r="G24" i="88" s="1"/>
  <c r="I15" i="10"/>
  <c r="G15" i="10"/>
  <c r="I42" i="10"/>
  <c r="G42" i="10"/>
  <c r="G10" i="429"/>
  <c r="I10" i="429"/>
  <c r="I13" i="429"/>
  <c r="G13" i="429"/>
  <c r="G39" i="119"/>
  <c r="I39" i="119"/>
  <c r="I10" i="119"/>
  <c r="G10" i="119"/>
  <c r="G11" i="158"/>
  <c r="I11" i="158"/>
  <c r="I37" i="158"/>
  <c r="G37" i="158"/>
  <c r="I19" i="171"/>
  <c r="F19" i="171" s="1"/>
  <c r="G19" i="171" s="1"/>
  <c r="I31" i="157"/>
  <c r="G31" i="157"/>
  <c r="I35" i="406"/>
  <c r="G35" i="406"/>
  <c r="I11" i="276"/>
  <c r="G11" i="276"/>
  <c r="G14" i="276"/>
  <c r="I14" i="276"/>
  <c r="I10" i="407"/>
  <c r="G10" i="407"/>
  <c r="I30" i="407"/>
  <c r="G30" i="407"/>
  <c r="I44" i="26"/>
  <c r="G44" i="26"/>
  <c r="G34" i="26"/>
  <c r="I34" i="26"/>
  <c r="I31" i="332"/>
  <c r="G31" i="332"/>
  <c r="G36" i="332"/>
  <c r="I36" i="332"/>
  <c r="I30" i="294"/>
  <c r="G30" i="294"/>
  <c r="G15" i="36"/>
  <c r="I15" i="36"/>
  <c r="I14" i="210"/>
  <c r="G14" i="210"/>
  <c r="G12" i="191"/>
  <c r="I12" i="191"/>
  <c r="G44" i="191"/>
  <c r="I44" i="191"/>
  <c r="G37" i="41"/>
  <c r="I37" i="41"/>
  <c r="I43" i="41"/>
  <c r="G43" i="41"/>
  <c r="I44" i="385"/>
  <c r="G44" i="385"/>
  <c r="I16" i="385"/>
  <c r="G16" i="385"/>
  <c r="I34" i="388"/>
  <c r="G34" i="388"/>
  <c r="I42" i="388"/>
  <c r="G42" i="388"/>
  <c r="G37" i="216"/>
  <c r="I37" i="216"/>
  <c r="I27" i="216"/>
  <c r="G27" i="216"/>
  <c r="G42" i="250"/>
  <c r="I42" i="250"/>
  <c r="I18" i="250"/>
  <c r="G18" i="250"/>
  <c r="I34" i="23"/>
  <c r="I40" i="23" s="1"/>
  <c r="F40" i="23" s="1"/>
  <c r="G40" i="23" s="1"/>
  <c r="G34" i="23"/>
  <c r="G21" i="289"/>
  <c r="I21" i="289"/>
  <c r="I44" i="289"/>
  <c r="G44" i="289"/>
  <c r="I24" i="142"/>
  <c r="F24" i="142" s="1"/>
  <c r="G24" i="142" s="1"/>
  <c r="I22" i="25"/>
  <c r="G22" i="25"/>
  <c r="I24" i="362"/>
  <c r="F24" i="362" s="1"/>
  <c r="G24" i="362" s="1"/>
  <c r="G18" i="323"/>
  <c r="I18" i="323"/>
  <c r="I19" i="371"/>
  <c r="F19" i="371" s="1"/>
  <c r="G19" i="371" s="1"/>
  <c r="G29" i="465"/>
  <c r="I29" i="465"/>
  <c r="G42" i="465"/>
  <c r="I42" i="465"/>
  <c r="I23" i="199"/>
  <c r="G23" i="199"/>
  <c r="G28" i="337"/>
  <c r="I28" i="337"/>
  <c r="I32" i="154"/>
  <c r="F32" i="154" s="1"/>
  <c r="G32" i="154" s="1"/>
  <c r="I27" i="427"/>
  <c r="G27" i="427"/>
  <c r="I13" i="297"/>
  <c r="G13" i="297"/>
  <c r="I37" i="297"/>
  <c r="G37" i="297"/>
  <c r="I36" i="247"/>
  <c r="G36" i="247"/>
  <c r="I39" i="247"/>
  <c r="G39" i="247"/>
  <c r="I11" i="198"/>
  <c r="G11" i="198"/>
  <c r="I36" i="198"/>
  <c r="G36" i="198"/>
  <c r="G10" i="416"/>
  <c r="I10" i="416"/>
  <c r="G16" i="416"/>
  <c r="I16" i="416"/>
  <c r="I26" i="197"/>
  <c r="G26" i="197"/>
  <c r="G28" i="197"/>
  <c r="I28" i="197"/>
  <c r="G12" i="195"/>
  <c r="I12" i="195"/>
  <c r="G22" i="195"/>
  <c r="I22" i="195"/>
  <c r="I15" i="37"/>
  <c r="G15" i="37"/>
  <c r="I24" i="228"/>
  <c r="F24" i="228" s="1"/>
  <c r="G24" i="228" s="1"/>
  <c r="I46" i="409"/>
  <c r="F46" i="409" s="1"/>
  <c r="G46" i="409" s="1"/>
  <c r="G35" i="1"/>
  <c r="I35" i="1"/>
  <c r="I43" i="1"/>
  <c r="G43" i="1"/>
  <c r="I26" i="424"/>
  <c r="G26" i="424"/>
  <c r="G38" i="424"/>
  <c r="I38" i="424"/>
  <c r="I10" i="446"/>
  <c r="G10" i="446"/>
  <c r="I27" i="446"/>
  <c r="G27" i="446"/>
  <c r="I26" i="398"/>
  <c r="G26" i="398"/>
  <c r="I11" i="398"/>
  <c r="G11" i="398"/>
  <c r="G26" i="433"/>
  <c r="I26" i="433"/>
  <c r="I12" i="433"/>
  <c r="G12" i="433"/>
  <c r="I30" i="423"/>
  <c r="G30" i="423"/>
  <c r="I17" i="423"/>
  <c r="G17" i="423"/>
  <c r="I38" i="470"/>
  <c r="G38" i="470"/>
  <c r="I23" i="405"/>
  <c r="G23" i="405"/>
  <c r="G36" i="355"/>
  <c r="I36" i="355"/>
  <c r="I36" i="370"/>
  <c r="G36" i="370"/>
  <c r="I21" i="117"/>
  <c r="G21" i="117"/>
  <c r="G36" i="16"/>
  <c r="I36" i="16"/>
  <c r="G17" i="120"/>
  <c r="I17" i="120"/>
  <c r="I26" i="434"/>
  <c r="G26" i="434"/>
  <c r="I15" i="181"/>
  <c r="G15" i="181"/>
  <c r="G31" i="32"/>
  <c r="I31" i="32"/>
  <c r="G16" i="407"/>
  <c r="I16" i="407"/>
  <c r="I36" i="294"/>
  <c r="G36" i="294"/>
  <c r="I17" i="388"/>
  <c r="G17" i="388"/>
  <c r="I24" i="365"/>
  <c r="F24" i="365" s="1"/>
  <c r="G24" i="365" s="1"/>
  <c r="I23" i="433"/>
  <c r="G23" i="433"/>
  <c r="I19" i="473"/>
  <c r="F19" i="473" s="1"/>
  <c r="G19" i="473" s="1"/>
  <c r="E24" i="476"/>
  <c r="E22" i="476"/>
  <c r="E44" i="476"/>
  <c r="E23" i="476"/>
  <c r="E45" i="476"/>
  <c r="E38" i="476"/>
  <c r="E39" i="476"/>
  <c r="E31" i="476"/>
  <c r="E27" i="476"/>
  <c r="E36" i="476"/>
  <c r="E28" i="476"/>
  <c r="E29" i="476"/>
  <c r="E30" i="476"/>
  <c r="E43" i="476"/>
  <c r="E37" i="476"/>
  <c r="E35" i="476"/>
  <c r="E21" i="476"/>
  <c r="E26" i="476"/>
  <c r="E42" i="476"/>
  <c r="E34" i="476"/>
  <c r="I13" i="275"/>
  <c r="G13" i="275"/>
  <c r="I22" i="470"/>
  <c r="G22" i="470"/>
  <c r="G11" i="295"/>
  <c r="I11" i="295"/>
  <c r="G31" i="64"/>
  <c r="I31" i="64"/>
  <c r="I17" i="405"/>
  <c r="G17" i="405"/>
  <c r="I11" i="405"/>
  <c r="G11" i="405"/>
  <c r="G44" i="123"/>
  <c r="I44" i="123"/>
  <c r="I29" i="123"/>
  <c r="G29" i="123"/>
  <c r="I22" i="355"/>
  <c r="G22" i="355"/>
  <c r="G42" i="8"/>
  <c r="I42" i="8"/>
  <c r="I11" i="8"/>
  <c r="G11" i="8"/>
  <c r="G14" i="437"/>
  <c r="I14" i="437"/>
  <c r="I22" i="437"/>
  <c r="G22" i="437"/>
  <c r="G29" i="49"/>
  <c r="I29" i="49"/>
  <c r="I43" i="49"/>
  <c r="G43" i="49"/>
  <c r="I13" i="180"/>
  <c r="G13" i="180"/>
  <c r="I43" i="180"/>
  <c r="G43" i="180"/>
  <c r="I40" i="80"/>
  <c r="F40" i="80" s="1"/>
  <c r="G40" i="80" s="1"/>
  <c r="I38" i="230"/>
  <c r="G38" i="230"/>
  <c r="I42" i="230"/>
  <c r="G42" i="230"/>
  <c r="G13" i="349"/>
  <c r="I13" i="349"/>
  <c r="I18" i="349"/>
  <c r="G18" i="349"/>
  <c r="G43" i="13"/>
  <c r="I43" i="13"/>
  <c r="I39" i="361"/>
  <c r="G39" i="361"/>
  <c r="I38" i="361"/>
  <c r="G38" i="361"/>
  <c r="G21" i="54"/>
  <c r="I21" i="54"/>
  <c r="G18" i="54"/>
  <c r="I18" i="54"/>
  <c r="I28" i="417"/>
  <c r="G28" i="417"/>
  <c r="I27" i="417"/>
  <c r="G27" i="417"/>
  <c r="G11" i="218"/>
  <c r="I11" i="218"/>
  <c r="I23" i="218"/>
  <c r="G23" i="218"/>
  <c r="I22" i="462"/>
  <c r="G22" i="462"/>
  <c r="I10" i="67"/>
  <c r="G10" i="67"/>
  <c r="I27" i="67"/>
  <c r="G27" i="67"/>
  <c r="I39" i="196"/>
  <c r="G39" i="196"/>
  <c r="I38" i="196"/>
  <c r="G38" i="196"/>
  <c r="I16" i="370"/>
  <c r="G16" i="370"/>
  <c r="G12" i="461"/>
  <c r="I12" i="461"/>
  <c r="G15" i="461"/>
  <c r="I15" i="461"/>
  <c r="I43" i="60"/>
  <c r="G43" i="60"/>
  <c r="I38" i="60"/>
  <c r="G38" i="60"/>
  <c r="I32" i="215"/>
  <c r="F32" i="215" s="1"/>
  <c r="G32" i="215" s="1"/>
  <c r="I24" i="316"/>
  <c r="F24" i="316" s="1"/>
  <c r="G24" i="316" s="1"/>
  <c r="I28" i="117"/>
  <c r="G28" i="117"/>
  <c r="I42" i="117"/>
  <c r="G42" i="117"/>
  <c r="G27" i="400"/>
  <c r="I27" i="400"/>
  <c r="I43" i="453"/>
  <c r="G43" i="453"/>
  <c r="I39" i="373"/>
  <c r="G39" i="373"/>
  <c r="I34" i="16"/>
  <c r="G34" i="16"/>
  <c r="I43" i="16"/>
  <c r="G43" i="16"/>
  <c r="G21" i="451"/>
  <c r="I21" i="451"/>
  <c r="G23" i="451"/>
  <c r="I23" i="451"/>
  <c r="I11" i="38"/>
  <c r="G11" i="38"/>
  <c r="I14" i="418"/>
  <c r="G14" i="418"/>
  <c r="I13" i="418"/>
  <c r="G13" i="418"/>
  <c r="I44" i="39"/>
  <c r="G44" i="39"/>
  <c r="G10" i="39"/>
  <c r="I10" i="39"/>
  <c r="I12" i="120"/>
  <c r="G12" i="120"/>
  <c r="G37" i="120"/>
  <c r="I37" i="120"/>
  <c r="G35" i="366"/>
  <c r="I35" i="366"/>
  <c r="I11" i="366"/>
  <c r="G11" i="366"/>
  <c r="I19" i="259"/>
  <c r="F19" i="259" s="1"/>
  <c r="G19" i="259" s="1"/>
  <c r="I31" i="92"/>
  <c r="G31" i="92"/>
  <c r="I11" i="92"/>
  <c r="G11" i="92"/>
  <c r="I34" i="53"/>
  <c r="G34" i="53"/>
  <c r="I17" i="434"/>
  <c r="G17" i="434"/>
  <c r="I44" i="434"/>
  <c r="G44" i="434"/>
  <c r="G38" i="61"/>
  <c r="I38" i="61"/>
  <c r="G16" i="61"/>
  <c r="I16" i="61"/>
  <c r="G37" i="14"/>
  <c r="I37" i="14"/>
  <c r="I17" i="14"/>
  <c r="G17" i="14"/>
  <c r="G17" i="91"/>
  <c r="I17" i="91"/>
  <c r="I29" i="415"/>
  <c r="G29" i="415"/>
  <c r="I17" i="415"/>
  <c r="G17" i="415"/>
  <c r="I16" i="75"/>
  <c r="G16" i="75"/>
  <c r="I14" i="75"/>
  <c r="G14" i="75"/>
  <c r="I42" i="430"/>
  <c r="G42" i="430"/>
  <c r="I28" i="31"/>
  <c r="G28" i="31"/>
  <c r="G39" i="31"/>
  <c r="I39" i="31"/>
  <c r="I28" i="181"/>
  <c r="G28" i="181"/>
  <c r="I30" i="181"/>
  <c r="G30" i="181"/>
  <c r="I36" i="262"/>
  <c r="G36" i="262"/>
  <c r="I23" i="78"/>
  <c r="G23" i="78"/>
  <c r="G11" i="78"/>
  <c r="I11" i="78"/>
  <c r="G18" i="267"/>
  <c r="I18" i="267"/>
  <c r="I14" i="19"/>
  <c r="G14" i="19"/>
  <c r="I39" i="19"/>
  <c r="G39" i="19"/>
  <c r="I19" i="165"/>
  <c r="F19" i="165" s="1"/>
  <c r="G19" i="165" s="1"/>
  <c r="I14" i="58"/>
  <c r="G14" i="58"/>
  <c r="I30" i="58"/>
  <c r="G30" i="58"/>
  <c r="G39" i="32"/>
  <c r="I39" i="32"/>
  <c r="I17" i="32"/>
  <c r="G17" i="32"/>
  <c r="I39" i="24"/>
  <c r="G39" i="24"/>
  <c r="G18" i="24"/>
  <c r="I18" i="24"/>
  <c r="I32" i="322"/>
  <c r="F32" i="322" s="1"/>
  <c r="G32" i="322" s="1"/>
  <c r="I39" i="321"/>
  <c r="G39" i="321"/>
  <c r="I10" i="315"/>
  <c r="G10" i="315"/>
  <c r="I30" i="72"/>
  <c r="G30" i="72"/>
  <c r="G22" i="72"/>
  <c r="I22" i="72"/>
  <c r="I23" i="17"/>
  <c r="G23" i="17"/>
  <c r="I12" i="17"/>
  <c r="G12" i="17"/>
  <c r="I17" i="436"/>
  <c r="G17" i="436"/>
  <c r="I44" i="436"/>
  <c r="G44" i="436"/>
  <c r="I28" i="364"/>
  <c r="G28" i="364"/>
  <c r="I34" i="364"/>
  <c r="G34" i="364"/>
  <c r="I36" i="360"/>
  <c r="G36" i="360"/>
  <c r="I17" i="360"/>
  <c r="G17" i="360"/>
  <c r="I40" i="88"/>
  <c r="F40" i="88" s="1"/>
  <c r="G40" i="88" s="1"/>
  <c r="I27" i="35"/>
  <c r="G27" i="35"/>
  <c r="G21" i="35"/>
  <c r="I21" i="35"/>
  <c r="G42" i="27"/>
  <c r="I42" i="27"/>
  <c r="G31" i="27"/>
  <c r="I31" i="27"/>
  <c r="I32" i="234"/>
  <c r="F32" i="234" s="1"/>
  <c r="G32" i="234" s="1"/>
  <c r="G14" i="96"/>
  <c r="I14" i="96"/>
  <c r="I39" i="96"/>
  <c r="G39" i="96"/>
  <c r="I22" i="246"/>
  <c r="G22" i="246"/>
  <c r="I26" i="246"/>
  <c r="G26" i="246"/>
  <c r="I16" i="10"/>
  <c r="G16" i="10"/>
  <c r="I24" i="211"/>
  <c r="F24" i="211" s="1"/>
  <c r="G24" i="211" s="1"/>
  <c r="I29" i="429"/>
  <c r="G29" i="429"/>
  <c r="I23" i="429"/>
  <c r="G23" i="429"/>
  <c r="G12" i="119"/>
  <c r="I12" i="119"/>
  <c r="I44" i="119"/>
  <c r="G44" i="119"/>
  <c r="I18" i="158"/>
  <c r="G18" i="158"/>
  <c r="G30" i="158"/>
  <c r="I30" i="158"/>
  <c r="I36" i="157"/>
  <c r="G36" i="157"/>
  <c r="I12" i="406"/>
  <c r="G12" i="406"/>
  <c r="G27" i="276"/>
  <c r="I27" i="276"/>
  <c r="G22" i="276"/>
  <c r="I22" i="276"/>
  <c r="I15" i="407"/>
  <c r="G15" i="407"/>
  <c r="I17" i="407"/>
  <c r="G17" i="407"/>
  <c r="I24" i="376"/>
  <c r="F24" i="376" s="1"/>
  <c r="G24" i="376" s="1"/>
  <c r="I15" i="26"/>
  <c r="G15" i="26"/>
  <c r="G30" i="26"/>
  <c r="I30" i="26"/>
  <c r="I26" i="332"/>
  <c r="G26" i="332"/>
  <c r="G15" i="294"/>
  <c r="I15" i="294"/>
  <c r="I27" i="36"/>
  <c r="G27" i="36"/>
  <c r="I12" i="36"/>
  <c r="G12" i="36"/>
  <c r="G22" i="210"/>
  <c r="I22" i="210"/>
  <c r="I17" i="210"/>
  <c r="G17" i="210"/>
  <c r="G18" i="191"/>
  <c r="I18" i="191"/>
  <c r="I48" i="188"/>
  <c r="G35" i="41"/>
  <c r="I35" i="41"/>
  <c r="I42" i="41"/>
  <c r="I46" i="41" s="1"/>
  <c r="F46" i="41" s="1"/>
  <c r="G46" i="41" s="1"/>
  <c r="G42" i="41"/>
  <c r="I34" i="385"/>
  <c r="G34" i="385"/>
  <c r="I37" i="385"/>
  <c r="G37" i="385"/>
  <c r="G37" i="388"/>
  <c r="I37" i="388"/>
  <c r="I15" i="388"/>
  <c r="G15" i="388"/>
  <c r="I38" i="216"/>
  <c r="G38" i="216"/>
  <c r="I26" i="216"/>
  <c r="G26" i="216"/>
  <c r="G11" i="250"/>
  <c r="I11" i="250"/>
  <c r="G35" i="250"/>
  <c r="I35" i="250"/>
  <c r="G38" i="23"/>
  <c r="I38" i="23"/>
  <c r="I37" i="289"/>
  <c r="G37" i="289"/>
  <c r="I31" i="289"/>
  <c r="G31" i="289"/>
  <c r="I23" i="25"/>
  <c r="G23" i="25"/>
  <c r="I39" i="25"/>
  <c r="G39" i="25"/>
  <c r="I26" i="465"/>
  <c r="G26" i="465"/>
  <c r="I31" i="465"/>
  <c r="G31" i="465"/>
  <c r="I38" i="199"/>
  <c r="G38" i="199"/>
  <c r="I39" i="337"/>
  <c r="G39" i="337"/>
  <c r="G17" i="337"/>
  <c r="I17" i="337"/>
  <c r="G31" i="427"/>
  <c r="I31" i="427"/>
  <c r="I23" i="297"/>
  <c r="G23" i="297"/>
  <c r="I22" i="297"/>
  <c r="G22" i="297"/>
  <c r="G16" i="247"/>
  <c r="I16" i="247"/>
  <c r="I22" i="247"/>
  <c r="G22" i="247"/>
  <c r="I26" i="198"/>
  <c r="G26" i="198"/>
  <c r="I16" i="198"/>
  <c r="G16" i="198"/>
  <c r="I28" i="416"/>
  <c r="G28" i="416"/>
  <c r="I14" i="416"/>
  <c r="G14" i="416"/>
  <c r="I40" i="365"/>
  <c r="F40" i="365" s="1"/>
  <c r="G40" i="365" s="1"/>
  <c r="I38" i="197"/>
  <c r="G38" i="197"/>
  <c r="I46" i="142"/>
  <c r="F46" i="142" s="1"/>
  <c r="G46" i="142" s="1"/>
  <c r="G21" i="195"/>
  <c r="I21" i="195"/>
  <c r="G13" i="195"/>
  <c r="I13" i="195"/>
  <c r="I39" i="1"/>
  <c r="G39" i="1"/>
  <c r="I40" i="300"/>
  <c r="F40" i="300" s="1"/>
  <c r="G40" i="300" s="1"/>
  <c r="I17" i="424"/>
  <c r="G17" i="424"/>
  <c r="I36" i="424"/>
  <c r="G36" i="424"/>
  <c r="I37" i="446"/>
  <c r="G37" i="446"/>
  <c r="I43" i="446"/>
  <c r="G43" i="446"/>
  <c r="I23" i="398"/>
  <c r="G23" i="398"/>
  <c r="I43" i="398"/>
  <c r="G43" i="398"/>
  <c r="I38" i="433"/>
  <c r="G38" i="433"/>
  <c r="G29" i="423"/>
  <c r="I29" i="423"/>
  <c r="I35" i="423"/>
  <c r="G35" i="423"/>
  <c r="I18" i="180"/>
  <c r="G18" i="180"/>
  <c r="I26" i="13"/>
  <c r="G26" i="13"/>
  <c r="I39" i="218"/>
  <c r="G39" i="218"/>
  <c r="I23" i="418"/>
  <c r="G23" i="418"/>
  <c r="I30" i="434"/>
  <c r="G30" i="434"/>
  <c r="I23" i="91"/>
  <c r="G23" i="91"/>
  <c r="G35" i="31"/>
  <c r="I35" i="31"/>
  <c r="G44" i="58"/>
  <c r="I44" i="58"/>
  <c r="G30" i="321"/>
  <c r="I30" i="321"/>
  <c r="I42" i="364"/>
  <c r="G42" i="364"/>
  <c r="G43" i="23"/>
  <c r="I43" i="23"/>
  <c r="I18" i="198"/>
  <c r="G18" i="198"/>
  <c r="I16" i="37"/>
  <c r="G16" i="37"/>
  <c r="I34" i="1"/>
  <c r="I40" i="1" s="1"/>
  <c r="F40" i="1" s="1"/>
  <c r="G40" i="1" s="1"/>
  <c r="G34" i="1"/>
  <c r="I42" i="424"/>
  <c r="G42" i="424"/>
  <c r="I48" i="187"/>
  <c r="G39" i="275"/>
  <c r="I39" i="275"/>
  <c r="I36" i="470"/>
  <c r="G36" i="470"/>
  <c r="I15" i="470"/>
  <c r="G15" i="470"/>
  <c r="I39" i="295"/>
  <c r="G39" i="295"/>
  <c r="I43" i="295"/>
  <c r="G43" i="295"/>
  <c r="I38" i="64"/>
  <c r="G38" i="64"/>
  <c r="G17" i="64"/>
  <c r="I17" i="64"/>
  <c r="I30" i="405"/>
  <c r="G30" i="405"/>
  <c r="I42" i="405"/>
  <c r="G42" i="405"/>
  <c r="G36" i="123"/>
  <c r="I36" i="123"/>
  <c r="I38" i="123"/>
  <c r="G38" i="123"/>
  <c r="I19" i="154"/>
  <c r="F19" i="154" s="1"/>
  <c r="G19" i="154" s="1"/>
  <c r="I31" i="355"/>
  <c r="G31" i="355"/>
  <c r="I26" i="8"/>
  <c r="G26" i="8"/>
  <c r="G27" i="8"/>
  <c r="I27" i="8"/>
  <c r="I44" i="437"/>
  <c r="G44" i="437"/>
  <c r="I36" i="437"/>
  <c r="G36" i="437"/>
  <c r="I24" i="126"/>
  <c r="F24" i="126" s="1"/>
  <c r="G24" i="126" s="1"/>
  <c r="I19" i="248"/>
  <c r="F19" i="248" s="1"/>
  <c r="G19" i="248" s="1"/>
  <c r="I40" i="234"/>
  <c r="F40" i="234" s="1"/>
  <c r="G40" i="234" s="1"/>
  <c r="I36" i="49"/>
  <c r="G36" i="49"/>
  <c r="G42" i="49"/>
  <c r="I42" i="49"/>
  <c r="I27" i="180"/>
  <c r="G27" i="180"/>
  <c r="I15" i="180"/>
  <c r="G15" i="180"/>
  <c r="I16" i="230"/>
  <c r="G16" i="230"/>
  <c r="I36" i="230"/>
  <c r="G36" i="230"/>
  <c r="G22" i="349"/>
  <c r="I22" i="349"/>
  <c r="I37" i="349"/>
  <c r="G37" i="349"/>
  <c r="G27" i="13"/>
  <c r="I27" i="13"/>
  <c r="I22" i="13"/>
  <c r="G22" i="13"/>
  <c r="I18" i="361"/>
  <c r="G18" i="361"/>
  <c r="G15" i="361"/>
  <c r="I15" i="361"/>
  <c r="G39" i="54"/>
  <c r="I39" i="54"/>
  <c r="I22" i="54"/>
  <c r="G22" i="54"/>
  <c r="G43" i="417"/>
  <c r="I43" i="417"/>
  <c r="I11" i="417"/>
  <c r="G11" i="417"/>
  <c r="G27" i="218"/>
  <c r="I27" i="218"/>
  <c r="I46" i="176"/>
  <c r="F46" i="176" s="1"/>
  <c r="G46" i="176" s="1"/>
  <c r="I24" i="204"/>
  <c r="F24" i="204" s="1"/>
  <c r="G24" i="204" s="1"/>
  <c r="I43" i="462"/>
  <c r="G43" i="462"/>
  <c r="I31" i="462"/>
  <c r="G31" i="462"/>
  <c r="I26" i="67"/>
  <c r="G26" i="67"/>
  <c r="I30" i="67"/>
  <c r="G30" i="67"/>
  <c r="I37" i="196"/>
  <c r="G37" i="196"/>
  <c r="I43" i="196"/>
  <c r="G43" i="196"/>
  <c r="G13" i="370"/>
  <c r="I13" i="370"/>
  <c r="G17" i="461"/>
  <c r="I17" i="461"/>
  <c r="I14" i="461"/>
  <c r="G14" i="461"/>
  <c r="I32" i="376"/>
  <c r="F32" i="376" s="1"/>
  <c r="G32" i="376" s="1"/>
  <c r="I27" i="60"/>
  <c r="G27" i="60"/>
  <c r="I29" i="60"/>
  <c r="G29" i="60"/>
  <c r="I43" i="117"/>
  <c r="G43" i="117"/>
  <c r="I23" i="400"/>
  <c r="G23" i="400"/>
  <c r="G28" i="453"/>
  <c r="I28" i="453"/>
  <c r="I22" i="453"/>
  <c r="G22" i="453"/>
  <c r="I35" i="373"/>
  <c r="G35" i="373"/>
  <c r="I24" i="171"/>
  <c r="F24" i="171" s="1"/>
  <c r="G24" i="171" s="1"/>
  <c r="I13" i="16"/>
  <c r="G13" i="16"/>
  <c r="I18" i="16"/>
  <c r="G18" i="16"/>
  <c r="G15" i="451"/>
  <c r="I15" i="451"/>
  <c r="G13" i="451"/>
  <c r="I13" i="451"/>
  <c r="I26" i="38"/>
  <c r="G26" i="38"/>
  <c r="I36" i="418"/>
  <c r="G36" i="418"/>
  <c r="I39" i="418"/>
  <c r="G39" i="418"/>
  <c r="I22" i="39"/>
  <c r="G22" i="39"/>
  <c r="G42" i="39"/>
  <c r="I42" i="39"/>
  <c r="I46" i="39" s="1"/>
  <c r="F46" i="39" s="1"/>
  <c r="G46" i="39" s="1"/>
  <c r="G38" i="120"/>
  <c r="I38" i="120"/>
  <c r="I30" i="120"/>
  <c r="G30" i="120"/>
  <c r="G22" i="366"/>
  <c r="I22" i="366"/>
  <c r="I16" i="366"/>
  <c r="G16" i="366"/>
  <c r="I16" i="92"/>
  <c r="G16" i="92"/>
  <c r="G37" i="92"/>
  <c r="I37" i="92"/>
  <c r="I12" i="434"/>
  <c r="G12" i="434"/>
  <c r="I22" i="434"/>
  <c r="G22" i="434"/>
  <c r="I30" i="61"/>
  <c r="G30" i="61"/>
  <c r="I36" i="61"/>
  <c r="G36" i="61"/>
  <c r="I42" i="14"/>
  <c r="G42" i="14"/>
  <c r="I19" i="126"/>
  <c r="F19" i="126" s="1"/>
  <c r="G19" i="126" s="1"/>
  <c r="I14" i="91"/>
  <c r="G14" i="91"/>
  <c r="G13" i="91"/>
  <c r="I13" i="91"/>
  <c r="I43" i="415"/>
  <c r="G43" i="415"/>
  <c r="I15" i="415"/>
  <c r="G15" i="415"/>
  <c r="I42" i="75"/>
  <c r="G42" i="75"/>
  <c r="I17" i="75"/>
  <c r="G17" i="75"/>
  <c r="G15" i="430"/>
  <c r="I15" i="430"/>
  <c r="I13" i="31"/>
  <c r="G13" i="31"/>
  <c r="G18" i="31"/>
  <c r="I18" i="31"/>
  <c r="I12" i="181"/>
  <c r="G12" i="181"/>
  <c r="G10" i="181"/>
  <c r="I10" i="181"/>
  <c r="I11" i="262"/>
  <c r="G11" i="262"/>
  <c r="I42" i="262"/>
  <c r="G42" i="262"/>
  <c r="I37" i="78"/>
  <c r="G37" i="78"/>
  <c r="I13" i="78"/>
  <c r="G13" i="78"/>
  <c r="G10" i="267"/>
  <c r="I10" i="267"/>
  <c r="G22" i="19"/>
  <c r="I22" i="19"/>
  <c r="G34" i="58"/>
  <c r="I34" i="58"/>
  <c r="I38" i="58"/>
  <c r="G38" i="58"/>
  <c r="I22" i="32"/>
  <c r="G22" i="32"/>
  <c r="G26" i="32"/>
  <c r="I26" i="32"/>
  <c r="E24" i="477"/>
  <c r="E36" i="477"/>
  <c r="E37" i="477"/>
  <c r="E29" i="477"/>
  <c r="E35" i="477"/>
  <c r="E38" i="477"/>
  <c r="E28" i="477"/>
  <c r="E39" i="477"/>
  <c r="E23" i="477"/>
  <c r="E27" i="477"/>
  <c r="E21" i="477"/>
  <c r="E43" i="477"/>
  <c r="E22" i="477"/>
  <c r="E44" i="477"/>
  <c r="E45" i="477"/>
  <c r="E30" i="477"/>
  <c r="E31" i="477"/>
  <c r="E42" i="477"/>
  <c r="E34" i="477"/>
  <c r="E26" i="477"/>
  <c r="I44" i="24"/>
  <c r="G44" i="24"/>
  <c r="G23" i="321"/>
  <c r="I23" i="321"/>
  <c r="G29" i="315"/>
  <c r="I29" i="315"/>
  <c r="I35" i="72"/>
  <c r="G35" i="72"/>
  <c r="G27" i="17"/>
  <c r="I27" i="17"/>
  <c r="I42" i="17"/>
  <c r="G42" i="17"/>
  <c r="I28" i="436"/>
  <c r="G28" i="436"/>
  <c r="I22" i="436"/>
  <c r="G22" i="436"/>
  <c r="I17" i="364"/>
  <c r="G17" i="364"/>
  <c r="I12" i="360"/>
  <c r="G12" i="360"/>
  <c r="G44" i="360"/>
  <c r="I44" i="360"/>
  <c r="I15" i="35"/>
  <c r="G15" i="35"/>
  <c r="G11" i="35"/>
  <c r="I11" i="35"/>
  <c r="I21" i="27"/>
  <c r="G21" i="27"/>
  <c r="I13" i="27"/>
  <c r="G13" i="27"/>
  <c r="I34" i="96"/>
  <c r="G34" i="96"/>
  <c r="I29" i="96"/>
  <c r="G29" i="96"/>
  <c r="I48" i="178"/>
  <c r="I34" i="246"/>
  <c r="G34" i="246"/>
  <c r="I36" i="246"/>
  <c r="G36" i="246"/>
  <c r="I30" i="10"/>
  <c r="G30" i="10"/>
  <c r="I39" i="10"/>
  <c r="G39" i="10"/>
  <c r="I28" i="429"/>
  <c r="G28" i="429"/>
  <c r="I42" i="429"/>
  <c r="G42" i="429"/>
  <c r="G17" i="119"/>
  <c r="I17" i="119"/>
  <c r="I22" i="119"/>
  <c r="G22" i="119"/>
  <c r="G16" i="158"/>
  <c r="I16" i="158"/>
  <c r="I38" i="157"/>
  <c r="G38" i="157"/>
  <c r="I13" i="406"/>
  <c r="G13" i="406"/>
  <c r="I26" i="276"/>
  <c r="G26" i="276"/>
  <c r="I31" i="276"/>
  <c r="G31" i="276"/>
  <c r="I34" i="407"/>
  <c r="G34" i="407"/>
  <c r="I28" i="407"/>
  <c r="G28" i="407"/>
  <c r="G38" i="26"/>
  <c r="I38" i="26"/>
  <c r="G39" i="332"/>
  <c r="I39" i="332"/>
  <c r="G38" i="332"/>
  <c r="I38" i="332"/>
  <c r="I13" i="294"/>
  <c r="G13" i="294"/>
  <c r="I28" i="36"/>
  <c r="G28" i="36"/>
  <c r="G34" i="36"/>
  <c r="I34" i="36"/>
  <c r="I44" i="210"/>
  <c r="G44" i="210"/>
  <c r="I29" i="210"/>
  <c r="G29" i="210"/>
  <c r="I38" i="191"/>
  <c r="G38" i="191"/>
  <c r="I26" i="41"/>
  <c r="I32" i="41" s="1"/>
  <c r="F32" i="41" s="1"/>
  <c r="G32" i="41" s="1"/>
  <c r="G26" i="41"/>
  <c r="G28" i="41"/>
  <c r="I28" i="41"/>
  <c r="I22" i="385"/>
  <c r="G22" i="385"/>
  <c r="G31" i="388"/>
  <c r="I31" i="388"/>
  <c r="I18" i="388"/>
  <c r="G18" i="388"/>
  <c r="G28" i="216"/>
  <c r="I28" i="216"/>
  <c r="G29" i="216"/>
  <c r="I29" i="216"/>
  <c r="G29" i="250"/>
  <c r="I29" i="250"/>
  <c r="I22" i="250"/>
  <c r="G22" i="250"/>
  <c r="I24" i="443"/>
  <c r="F24" i="443" s="1"/>
  <c r="G24" i="443" s="1"/>
  <c r="E40" i="476"/>
  <c r="G28" i="289"/>
  <c r="I28" i="289"/>
  <c r="G39" i="289"/>
  <c r="I39" i="289"/>
  <c r="I16" i="25"/>
  <c r="G16" i="25"/>
  <c r="I12" i="25"/>
  <c r="G12" i="25"/>
  <c r="G35" i="323"/>
  <c r="I35" i="323"/>
  <c r="E48" i="68"/>
  <c r="I34" i="465"/>
  <c r="G34" i="465"/>
  <c r="I39" i="465"/>
  <c r="G39" i="465"/>
  <c r="I16" i="199"/>
  <c r="G16" i="199"/>
  <c r="G27" i="337"/>
  <c r="I27" i="337"/>
  <c r="G22" i="337"/>
  <c r="I22" i="337"/>
  <c r="I28" i="427"/>
  <c r="G28" i="427"/>
  <c r="G42" i="297"/>
  <c r="I42" i="297"/>
  <c r="G43" i="247"/>
  <c r="I43" i="247"/>
  <c r="I23" i="247"/>
  <c r="G23" i="247"/>
  <c r="I35" i="198"/>
  <c r="G35" i="198"/>
  <c r="G12" i="198"/>
  <c r="I12" i="198"/>
  <c r="I38" i="416"/>
  <c r="G38" i="416"/>
  <c r="I19" i="365"/>
  <c r="F19" i="365" s="1"/>
  <c r="G19" i="365" s="1"/>
  <c r="I35" i="197"/>
  <c r="G35" i="197"/>
  <c r="G39" i="195"/>
  <c r="I39" i="195"/>
  <c r="G23" i="195"/>
  <c r="I23" i="195"/>
  <c r="I42" i="37"/>
  <c r="G42" i="37"/>
  <c r="G11" i="1"/>
  <c r="I11" i="1"/>
  <c r="G16" i="424"/>
  <c r="I16" i="424"/>
  <c r="G11" i="424"/>
  <c r="I11" i="424"/>
  <c r="I15" i="446"/>
  <c r="G15" i="446"/>
  <c r="I26" i="446"/>
  <c r="G26" i="446"/>
  <c r="G22" i="398"/>
  <c r="I22" i="398"/>
  <c r="I30" i="398"/>
  <c r="G30" i="398"/>
  <c r="I10" i="433"/>
  <c r="G10" i="433"/>
  <c r="I29" i="433"/>
  <c r="G29" i="433"/>
  <c r="I27" i="423"/>
  <c r="G27" i="423"/>
  <c r="I34" i="423"/>
  <c r="G34" i="423"/>
  <c r="I18" i="64"/>
  <c r="G18" i="64"/>
  <c r="G36" i="180"/>
  <c r="I36" i="180"/>
  <c r="I31" i="453"/>
  <c r="G31" i="453"/>
  <c r="I17" i="53"/>
  <c r="G17" i="53"/>
  <c r="G31" i="262"/>
  <c r="I31" i="262"/>
  <c r="I13" i="58"/>
  <c r="G13" i="58"/>
  <c r="I38" i="72"/>
  <c r="G38" i="72"/>
  <c r="G10" i="27"/>
  <c r="I10" i="27"/>
  <c r="I15" i="406"/>
  <c r="G15" i="406"/>
  <c r="G29" i="26"/>
  <c r="I29" i="26"/>
  <c r="I17" i="294"/>
  <c r="G17" i="294"/>
  <c r="I27" i="210"/>
  <c r="G27" i="210"/>
  <c r="I21" i="41"/>
  <c r="G21" i="41"/>
  <c r="I15" i="23"/>
  <c r="G15" i="23"/>
  <c r="I35" i="25"/>
  <c r="G35" i="25"/>
  <c r="G16" i="337"/>
  <c r="I16" i="337"/>
  <c r="G29" i="297"/>
  <c r="I29" i="297"/>
  <c r="I12" i="197"/>
  <c r="G12" i="197"/>
  <c r="I30" i="195"/>
  <c r="G30" i="195"/>
  <c r="G39" i="37"/>
  <c r="I39" i="37"/>
  <c r="I27" i="424"/>
  <c r="G27" i="424"/>
  <c r="G21" i="275"/>
  <c r="I21" i="275"/>
  <c r="I24" i="371"/>
  <c r="F24" i="371" s="1"/>
  <c r="G24" i="371" s="1"/>
  <c r="I32" i="211"/>
  <c r="F32" i="211" s="1"/>
  <c r="G32" i="211" s="1"/>
  <c r="E48" i="437"/>
  <c r="G35" i="470"/>
  <c r="I35" i="470"/>
  <c r="G18" i="470"/>
  <c r="I18" i="470"/>
  <c r="I38" i="295"/>
  <c r="G38" i="295"/>
  <c r="I12" i="295"/>
  <c r="G12" i="295"/>
  <c r="I16" i="64"/>
  <c r="G16" i="64"/>
  <c r="I44" i="64"/>
  <c r="G44" i="64"/>
  <c r="I37" i="405"/>
  <c r="G37" i="405"/>
  <c r="I19" i="376"/>
  <c r="F19" i="376" s="1"/>
  <c r="G19" i="376" s="1"/>
  <c r="G37" i="123"/>
  <c r="I37" i="123"/>
  <c r="I24" i="154"/>
  <c r="F24" i="154" s="1"/>
  <c r="G24" i="154" s="1"/>
  <c r="I11" i="355"/>
  <c r="G11" i="355"/>
  <c r="G15" i="8"/>
  <c r="I15" i="8"/>
  <c r="I27" i="437"/>
  <c r="G27" i="437"/>
  <c r="I15" i="437"/>
  <c r="G15" i="437"/>
  <c r="G26" i="49"/>
  <c r="I26" i="49"/>
  <c r="G21" i="49"/>
  <c r="I21" i="49"/>
  <c r="I46" i="287"/>
  <c r="F46" i="287" s="1"/>
  <c r="G46" i="287" s="1"/>
  <c r="I42" i="180"/>
  <c r="G42" i="180"/>
  <c r="I11" i="180"/>
  <c r="G11" i="180"/>
  <c r="I28" i="230"/>
  <c r="G28" i="230"/>
  <c r="I35" i="230"/>
  <c r="G35" i="230"/>
  <c r="G17" i="349"/>
  <c r="I17" i="349"/>
  <c r="I10" i="349"/>
  <c r="G10" i="349"/>
  <c r="I39" i="13"/>
  <c r="G39" i="13"/>
  <c r="I29" i="361"/>
  <c r="G29" i="361"/>
  <c r="G27" i="361"/>
  <c r="I27" i="361"/>
  <c r="I23" i="54"/>
  <c r="G23" i="54"/>
  <c r="I43" i="54"/>
  <c r="G43" i="54"/>
  <c r="G21" i="417"/>
  <c r="I21" i="417"/>
  <c r="I39" i="417"/>
  <c r="G39" i="417"/>
  <c r="G28" i="218"/>
  <c r="I28" i="218"/>
  <c r="I28" i="462"/>
  <c r="G28" i="462"/>
  <c r="G30" i="462"/>
  <c r="I30" i="462"/>
  <c r="I28" i="67"/>
  <c r="G28" i="67"/>
  <c r="I22" i="67"/>
  <c r="G22" i="67"/>
  <c r="I29" i="196"/>
  <c r="G29" i="196"/>
  <c r="G30" i="370"/>
  <c r="I30" i="370"/>
  <c r="I35" i="370"/>
  <c r="G35" i="370"/>
  <c r="G37" i="461"/>
  <c r="I37" i="461"/>
  <c r="G26" i="461"/>
  <c r="I26" i="461"/>
  <c r="I17" i="60"/>
  <c r="G17" i="60"/>
  <c r="I31" i="117"/>
  <c r="G31" i="117"/>
  <c r="G18" i="400"/>
  <c r="I18" i="400"/>
  <c r="I27" i="453"/>
  <c r="G27" i="453"/>
  <c r="I17" i="373"/>
  <c r="G17" i="373"/>
  <c r="G12" i="373"/>
  <c r="I12" i="373"/>
  <c r="I24" i="346"/>
  <c r="F24" i="346" s="1"/>
  <c r="G24" i="346" s="1"/>
  <c r="I16" i="16"/>
  <c r="G16" i="16"/>
  <c r="I42" i="451"/>
  <c r="G42" i="451"/>
  <c r="I44" i="451"/>
  <c r="G44" i="451"/>
  <c r="I44" i="38"/>
  <c r="G44" i="38"/>
  <c r="I24" i="305"/>
  <c r="F24" i="305" s="1"/>
  <c r="G24" i="305" s="1"/>
  <c r="G22" i="418"/>
  <c r="I22" i="418"/>
  <c r="G38" i="418"/>
  <c r="I38" i="418"/>
  <c r="I38" i="39"/>
  <c r="G38" i="39"/>
  <c r="I16" i="120"/>
  <c r="G16" i="120"/>
  <c r="I44" i="120"/>
  <c r="G44" i="120"/>
  <c r="I36" i="366"/>
  <c r="G36" i="366"/>
  <c r="I34" i="366"/>
  <c r="G34" i="366"/>
  <c r="G14" i="92"/>
  <c r="I14" i="92"/>
  <c r="G21" i="53"/>
  <c r="I21" i="53"/>
  <c r="I38" i="434"/>
  <c r="G38" i="434"/>
  <c r="I43" i="434"/>
  <c r="G43" i="434"/>
  <c r="E48" i="310"/>
  <c r="I13" i="61"/>
  <c r="G13" i="61"/>
  <c r="I12" i="61"/>
  <c r="G12" i="61"/>
  <c r="G43" i="14"/>
  <c r="I43" i="14"/>
  <c r="I18" i="91"/>
  <c r="G18" i="91"/>
  <c r="I36" i="91"/>
  <c r="G36" i="91"/>
  <c r="I28" i="415"/>
  <c r="G28" i="415"/>
  <c r="I38" i="415"/>
  <c r="G38" i="415"/>
  <c r="G12" i="75"/>
  <c r="I12" i="75"/>
  <c r="I10" i="75"/>
  <c r="G10" i="75"/>
  <c r="I27" i="430"/>
  <c r="G27" i="430"/>
  <c r="I34" i="31"/>
  <c r="G34" i="31"/>
  <c r="I10" i="31"/>
  <c r="G10" i="31"/>
  <c r="G44" i="181"/>
  <c r="I44" i="181"/>
  <c r="I36" i="181"/>
  <c r="G36" i="181"/>
  <c r="G28" i="262"/>
  <c r="I28" i="262"/>
  <c r="I35" i="262"/>
  <c r="G35" i="262"/>
  <c r="G27" i="78"/>
  <c r="I27" i="78"/>
  <c r="G26" i="267"/>
  <c r="I26" i="267"/>
  <c r="G23" i="267"/>
  <c r="I23" i="267"/>
  <c r="I27" i="19"/>
  <c r="G27" i="19"/>
  <c r="G22" i="58"/>
  <c r="I22" i="58"/>
  <c r="I46" i="166"/>
  <c r="F46" i="166" s="1"/>
  <c r="G46" i="166" s="1"/>
  <c r="I16" i="32"/>
  <c r="G16" i="32"/>
  <c r="G15" i="32"/>
  <c r="I15" i="32"/>
  <c r="I14" i="24"/>
  <c r="G14" i="24"/>
  <c r="I10" i="24"/>
  <c r="G10" i="24"/>
  <c r="G10" i="321"/>
  <c r="I10" i="321"/>
  <c r="G16" i="315"/>
  <c r="I16" i="315"/>
  <c r="I24" i="426"/>
  <c r="F24" i="426" s="1"/>
  <c r="G24" i="426" s="1"/>
  <c r="I16" i="72"/>
  <c r="G16" i="72"/>
  <c r="I44" i="17"/>
  <c r="G44" i="17"/>
  <c r="G37" i="17"/>
  <c r="I37" i="17"/>
  <c r="I38" i="436"/>
  <c r="G38" i="436"/>
  <c r="I26" i="364"/>
  <c r="G26" i="364"/>
  <c r="G21" i="360"/>
  <c r="I21" i="360"/>
  <c r="I26" i="360"/>
  <c r="G26" i="360"/>
  <c r="G35" i="35"/>
  <c r="I35" i="35"/>
  <c r="I17" i="27"/>
  <c r="G17" i="27"/>
  <c r="I28" i="27"/>
  <c r="G28" i="27"/>
  <c r="G38" i="96"/>
  <c r="I38" i="96"/>
  <c r="I27" i="96"/>
  <c r="G27" i="96"/>
  <c r="G35" i="246"/>
  <c r="I35" i="246"/>
  <c r="I40" i="126"/>
  <c r="F40" i="126" s="1"/>
  <c r="G40" i="126" s="1"/>
  <c r="I12" i="10"/>
  <c r="G12" i="10"/>
  <c r="I11" i="10"/>
  <c r="G11" i="10"/>
  <c r="I36" i="429"/>
  <c r="G36" i="429"/>
  <c r="I44" i="429"/>
  <c r="G44" i="429"/>
  <c r="I11" i="119"/>
  <c r="G11" i="119"/>
  <c r="I13" i="119"/>
  <c r="G13" i="119"/>
  <c r="I21" i="158"/>
  <c r="G21" i="158"/>
  <c r="I30" i="157"/>
  <c r="G30" i="157"/>
  <c r="I43" i="406"/>
  <c r="G43" i="406"/>
  <c r="I42" i="276"/>
  <c r="G42" i="276"/>
  <c r="G10" i="276"/>
  <c r="I10" i="276"/>
  <c r="I12" i="407"/>
  <c r="G12" i="407"/>
  <c r="I37" i="407"/>
  <c r="G37" i="407"/>
  <c r="G39" i="26"/>
  <c r="I39" i="26"/>
  <c r="G22" i="332"/>
  <c r="I22" i="332"/>
  <c r="I37" i="294"/>
  <c r="G37" i="294"/>
  <c r="I39" i="294"/>
  <c r="G39" i="294"/>
  <c r="G37" i="36"/>
  <c r="I37" i="36"/>
  <c r="G30" i="36"/>
  <c r="I30" i="36"/>
  <c r="I12" i="210"/>
  <c r="G12" i="210"/>
  <c r="I16" i="210"/>
  <c r="G16" i="210"/>
  <c r="I17" i="191"/>
  <c r="G17" i="191"/>
  <c r="I27" i="41"/>
  <c r="G27" i="41"/>
  <c r="G12" i="385"/>
  <c r="I12" i="385"/>
  <c r="I15" i="385"/>
  <c r="G15" i="385"/>
  <c r="I11" i="388"/>
  <c r="G11" i="388"/>
  <c r="I44" i="388"/>
  <c r="G44" i="388"/>
  <c r="I16" i="216"/>
  <c r="G16" i="216"/>
  <c r="G42" i="216"/>
  <c r="I42" i="216"/>
  <c r="I32" i="121"/>
  <c r="F32" i="121" s="1"/>
  <c r="G32" i="121" s="1"/>
  <c r="I27" i="250"/>
  <c r="G27" i="250"/>
  <c r="I21" i="250"/>
  <c r="G21" i="250"/>
  <c r="I44" i="23"/>
  <c r="G44" i="23"/>
  <c r="I11" i="289"/>
  <c r="G11" i="289"/>
  <c r="I34" i="289"/>
  <c r="G34" i="289"/>
  <c r="G43" i="25"/>
  <c r="I43" i="25"/>
  <c r="G37" i="25"/>
  <c r="I37" i="25"/>
  <c r="I29" i="323"/>
  <c r="G29" i="323"/>
  <c r="I16" i="323"/>
  <c r="G16" i="323"/>
  <c r="I43" i="465"/>
  <c r="G43" i="465"/>
  <c r="I38" i="465"/>
  <c r="G38" i="465"/>
  <c r="I46" i="21"/>
  <c r="F46" i="21" s="1"/>
  <c r="G46" i="21" s="1"/>
  <c r="I14" i="199"/>
  <c r="G14" i="199"/>
  <c r="G42" i="337"/>
  <c r="I42" i="337"/>
  <c r="I38" i="337"/>
  <c r="G38" i="337"/>
  <c r="G12" i="427"/>
  <c r="I12" i="427"/>
  <c r="G11" i="427"/>
  <c r="I11" i="427"/>
  <c r="I10" i="297"/>
  <c r="G10" i="297"/>
  <c r="I37" i="247"/>
  <c r="G37" i="247"/>
  <c r="I34" i="247"/>
  <c r="G34" i="247"/>
  <c r="I37" i="198"/>
  <c r="G37" i="198"/>
  <c r="G34" i="198"/>
  <c r="I34" i="198"/>
  <c r="I27" i="416"/>
  <c r="G27" i="416"/>
  <c r="G42" i="197"/>
  <c r="I42" i="197"/>
  <c r="I38" i="195"/>
  <c r="G38" i="195"/>
  <c r="I37" i="37"/>
  <c r="G37" i="37"/>
  <c r="I36" i="37"/>
  <c r="G36" i="37"/>
  <c r="G27" i="1"/>
  <c r="I27" i="1"/>
  <c r="I31" i="424"/>
  <c r="G31" i="424"/>
  <c r="I28" i="446"/>
  <c r="G28" i="446"/>
  <c r="I35" i="446"/>
  <c r="G35" i="446"/>
  <c r="I42" i="398"/>
  <c r="G42" i="398"/>
  <c r="I21" i="398"/>
  <c r="G21" i="398"/>
  <c r="I44" i="433"/>
  <c r="G44" i="433"/>
  <c r="I16" i="433"/>
  <c r="G16" i="433"/>
  <c r="I26" i="423"/>
  <c r="G26" i="423"/>
  <c r="I44" i="470"/>
  <c r="G44" i="470"/>
  <c r="I14" i="349"/>
  <c r="G14" i="349"/>
  <c r="I13" i="417"/>
  <c r="G13" i="417"/>
  <c r="E48" i="203"/>
  <c r="I36" i="400"/>
  <c r="G36" i="400"/>
  <c r="I43" i="53"/>
  <c r="G43" i="53"/>
  <c r="I17" i="430"/>
  <c r="G17" i="430"/>
  <c r="G21" i="72"/>
  <c r="I21" i="72"/>
  <c r="I23" i="406"/>
  <c r="G23" i="406"/>
  <c r="I39" i="210"/>
  <c r="G39" i="210"/>
  <c r="G13" i="41"/>
  <c r="I13" i="41"/>
  <c r="I27" i="289"/>
  <c r="G27" i="289"/>
  <c r="I35" i="465"/>
  <c r="G35" i="465"/>
  <c r="G30" i="446"/>
  <c r="I30" i="446"/>
  <c r="I36" i="275"/>
  <c r="G36" i="275"/>
  <c r="I26" i="470"/>
  <c r="G26" i="470"/>
  <c r="G10" i="470"/>
  <c r="I10" i="470"/>
  <c r="G17" i="295"/>
  <c r="I17" i="295"/>
  <c r="G15" i="295"/>
  <c r="I15" i="295"/>
  <c r="I34" i="64"/>
  <c r="G34" i="64"/>
  <c r="I26" i="64"/>
  <c r="G26" i="64"/>
  <c r="G28" i="405"/>
  <c r="I28" i="405"/>
  <c r="I10" i="405"/>
  <c r="G10" i="405"/>
  <c r="I43" i="123"/>
  <c r="G43" i="123"/>
  <c r="E46" i="476"/>
  <c r="A52" i="476" s="1"/>
  <c r="G21" i="355"/>
  <c r="I21" i="355"/>
  <c r="I16" i="8"/>
  <c r="G16" i="8"/>
  <c r="I17" i="437"/>
  <c r="G17" i="437"/>
  <c r="I28" i="437"/>
  <c r="G28" i="437"/>
  <c r="I13" i="49"/>
  <c r="G13" i="49"/>
  <c r="I23" i="49"/>
  <c r="G23" i="49"/>
  <c r="G12" i="180"/>
  <c r="I12" i="180"/>
  <c r="I39" i="230"/>
  <c r="G39" i="230"/>
  <c r="G34" i="230"/>
  <c r="I34" i="230"/>
  <c r="I43" i="349"/>
  <c r="G43" i="349"/>
  <c r="G34" i="349"/>
  <c r="I34" i="349"/>
  <c r="G17" i="13"/>
  <c r="I17" i="13"/>
  <c r="I38" i="13"/>
  <c r="G38" i="13"/>
  <c r="I28" i="361"/>
  <c r="G28" i="361"/>
  <c r="G42" i="361"/>
  <c r="I42" i="361"/>
  <c r="I36" i="54"/>
  <c r="G36" i="54"/>
  <c r="G12" i="54"/>
  <c r="I12" i="54"/>
  <c r="G12" i="417"/>
  <c r="I12" i="417"/>
  <c r="I24" i="428"/>
  <c r="F24" i="428" s="1"/>
  <c r="G24" i="428" s="1"/>
  <c r="G35" i="218"/>
  <c r="I35" i="218"/>
  <c r="I44" i="462"/>
  <c r="G44" i="462"/>
  <c r="I14" i="462"/>
  <c r="G14" i="462"/>
  <c r="I38" i="67"/>
  <c r="G38" i="67"/>
  <c r="I44" i="196"/>
  <c r="G44" i="196"/>
  <c r="I42" i="370"/>
  <c r="G42" i="370"/>
  <c r="I10" i="370"/>
  <c r="G10" i="370"/>
  <c r="G43" i="461"/>
  <c r="I43" i="461"/>
  <c r="G10" i="461"/>
  <c r="I10" i="461"/>
  <c r="I40" i="225"/>
  <c r="F40" i="225" s="1"/>
  <c r="G40" i="225" s="1"/>
  <c r="I21" i="60"/>
  <c r="G21" i="60"/>
  <c r="I22" i="117"/>
  <c r="G22" i="117"/>
  <c r="I39" i="400"/>
  <c r="G39" i="400"/>
  <c r="G14" i="400"/>
  <c r="I14" i="400"/>
  <c r="I38" i="453"/>
  <c r="G38" i="453"/>
  <c r="G11" i="373"/>
  <c r="I11" i="373"/>
  <c r="I13" i="373"/>
  <c r="G13" i="373"/>
  <c r="G10" i="16"/>
  <c r="I10" i="16"/>
  <c r="I46" i="376"/>
  <c r="F46" i="376" s="1"/>
  <c r="G46" i="376" s="1"/>
  <c r="I37" i="451"/>
  <c r="G37" i="451"/>
  <c r="I12" i="451"/>
  <c r="G12" i="451"/>
  <c r="I21" i="38"/>
  <c r="G21" i="38"/>
  <c r="I13" i="38"/>
  <c r="G13" i="38"/>
  <c r="E48" i="158"/>
  <c r="G35" i="418"/>
  <c r="I35" i="418"/>
  <c r="I17" i="418"/>
  <c r="G17" i="418"/>
  <c r="I23" i="39"/>
  <c r="G23" i="39"/>
  <c r="I18" i="120"/>
  <c r="G18" i="120"/>
  <c r="G37" i="366"/>
  <c r="I37" i="366"/>
  <c r="G15" i="366"/>
  <c r="I15" i="366"/>
  <c r="G30" i="92"/>
  <c r="I30" i="92"/>
  <c r="G35" i="92"/>
  <c r="I35" i="92"/>
  <c r="G10" i="53"/>
  <c r="I10" i="53"/>
  <c r="I11" i="434"/>
  <c r="G11" i="434"/>
  <c r="I31" i="434"/>
  <c r="G31" i="434"/>
  <c r="G31" i="61"/>
  <c r="I31" i="61"/>
  <c r="I27" i="61"/>
  <c r="G27" i="61"/>
  <c r="G29" i="14"/>
  <c r="I29" i="14"/>
  <c r="I21" i="91"/>
  <c r="G21" i="91"/>
  <c r="I42" i="91"/>
  <c r="G42" i="91"/>
  <c r="I37" i="415"/>
  <c r="G37" i="415"/>
  <c r="G22" i="75"/>
  <c r="I22" i="75"/>
  <c r="G29" i="75"/>
  <c r="I29" i="75"/>
  <c r="I36" i="430"/>
  <c r="G36" i="430"/>
  <c r="G23" i="31"/>
  <c r="I23" i="31"/>
  <c r="I36" i="31"/>
  <c r="G36" i="31"/>
  <c r="I35" i="181"/>
  <c r="G35" i="181"/>
  <c r="G11" i="181"/>
  <c r="I11" i="181"/>
  <c r="G29" i="262"/>
  <c r="I29" i="262"/>
  <c r="G18" i="262"/>
  <c r="I18" i="262"/>
  <c r="I43" i="78"/>
  <c r="G43" i="78"/>
  <c r="G14" i="78"/>
  <c r="I14" i="78"/>
  <c r="G27" i="267"/>
  <c r="I27" i="267"/>
  <c r="I36" i="267"/>
  <c r="G36" i="267"/>
  <c r="I38" i="19"/>
  <c r="G38" i="19"/>
  <c r="I43" i="58"/>
  <c r="G43" i="58"/>
  <c r="I28" i="58"/>
  <c r="G28" i="58"/>
  <c r="I27" i="32"/>
  <c r="G27" i="32"/>
  <c r="G18" i="32"/>
  <c r="I18" i="32"/>
  <c r="I37" i="24"/>
  <c r="G37" i="24"/>
  <c r="G34" i="24"/>
  <c r="I34" i="24"/>
  <c r="I36" i="321"/>
  <c r="G36" i="321"/>
  <c r="G22" i="321"/>
  <c r="I22" i="321"/>
  <c r="I14" i="315"/>
  <c r="G14" i="315"/>
  <c r="I26" i="315"/>
  <c r="G26" i="315"/>
  <c r="G13" i="72"/>
  <c r="I13" i="72"/>
  <c r="G18" i="17"/>
  <c r="I18" i="17"/>
  <c r="I14" i="17"/>
  <c r="G14" i="17"/>
  <c r="I27" i="436"/>
  <c r="G27" i="436"/>
  <c r="I43" i="364"/>
  <c r="G43" i="364"/>
  <c r="G29" i="360"/>
  <c r="I29" i="360"/>
  <c r="I34" i="360"/>
  <c r="G34" i="360"/>
  <c r="I19" i="368"/>
  <c r="F19" i="368" s="1"/>
  <c r="G19" i="368" s="1"/>
  <c r="I43" i="35"/>
  <c r="G43" i="35"/>
  <c r="I16" i="27"/>
  <c r="G16" i="27"/>
  <c r="I27" i="27"/>
  <c r="G27" i="27"/>
  <c r="I16" i="96"/>
  <c r="G16" i="96"/>
  <c r="I17" i="96"/>
  <c r="G17" i="96"/>
  <c r="G18" i="246"/>
  <c r="I18" i="246"/>
  <c r="I12" i="246"/>
  <c r="G12" i="246"/>
  <c r="G37" i="10"/>
  <c r="I37" i="10"/>
  <c r="I23" i="10"/>
  <c r="G23" i="10"/>
  <c r="I27" i="429"/>
  <c r="G27" i="429"/>
  <c r="I39" i="429"/>
  <c r="G39" i="429"/>
  <c r="G26" i="119"/>
  <c r="I26" i="119"/>
  <c r="I36" i="119"/>
  <c r="G36" i="119"/>
  <c r="G23" i="158"/>
  <c r="I23" i="158"/>
  <c r="I19" i="204"/>
  <c r="F19" i="204" s="1"/>
  <c r="G19" i="204" s="1"/>
  <c r="I29" i="157"/>
  <c r="G29" i="157"/>
  <c r="I16" i="157"/>
  <c r="G16" i="157"/>
  <c r="G17" i="406"/>
  <c r="I17" i="406"/>
  <c r="G31" i="406"/>
  <c r="I31" i="406"/>
  <c r="G39" i="276"/>
  <c r="I39" i="276"/>
  <c r="I34" i="276"/>
  <c r="G34" i="276"/>
  <c r="I22" i="407"/>
  <c r="G22" i="407"/>
  <c r="G14" i="26"/>
  <c r="I14" i="26"/>
  <c r="I13" i="332"/>
  <c r="G13" i="332"/>
  <c r="G16" i="294"/>
  <c r="I16" i="294"/>
  <c r="I38" i="294"/>
  <c r="G38" i="294"/>
  <c r="I43" i="36"/>
  <c r="G43" i="36"/>
  <c r="I39" i="36"/>
  <c r="G39" i="36"/>
  <c r="I34" i="210"/>
  <c r="G34" i="210"/>
  <c r="I21" i="210"/>
  <c r="G21" i="210"/>
  <c r="I43" i="191"/>
  <c r="G43" i="191"/>
  <c r="G44" i="41"/>
  <c r="I44" i="41"/>
  <c r="I43" i="385"/>
  <c r="G43" i="385"/>
  <c r="I23" i="385"/>
  <c r="G23" i="385"/>
  <c r="I30" i="388"/>
  <c r="G30" i="388"/>
  <c r="I14" i="388"/>
  <c r="G14" i="388"/>
  <c r="G36" i="216"/>
  <c r="I36" i="216"/>
  <c r="I43" i="216"/>
  <c r="G43" i="216"/>
  <c r="I26" i="250"/>
  <c r="G26" i="250"/>
  <c r="I13" i="250"/>
  <c r="G13" i="250"/>
  <c r="I18" i="23"/>
  <c r="G18" i="23"/>
  <c r="I30" i="23"/>
  <c r="G30" i="23"/>
  <c r="I46" i="316"/>
  <c r="F46" i="316" s="1"/>
  <c r="G46" i="316" s="1"/>
  <c r="G35" i="289"/>
  <c r="I35" i="289"/>
  <c r="G17" i="289"/>
  <c r="I17" i="289"/>
  <c r="I32" i="368"/>
  <c r="F32" i="368" s="1"/>
  <c r="G32" i="368" s="1"/>
  <c r="G14" i="25"/>
  <c r="I14" i="25"/>
  <c r="G36" i="25"/>
  <c r="I36" i="25"/>
  <c r="I43" i="323"/>
  <c r="G43" i="323"/>
  <c r="I22" i="323"/>
  <c r="G22" i="323"/>
  <c r="I17" i="465"/>
  <c r="G17" i="465"/>
  <c r="I21" i="199"/>
  <c r="G21" i="199"/>
  <c r="G15" i="337"/>
  <c r="I15" i="337"/>
  <c r="G26" i="337"/>
  <c r="I26" i="337"/>
  <c r="I21" i="427"/>
  <c r="G21" i="427"/>
  <c r="I13" i="427"/>
  <c r="G13" i="427"/>
  <c r="I28" i="297"/>
  <c r="G28" i="297"/>
  <c r="G10" i="247"/>
  <c r="I10" i="247"/>
  <c r="I44" i="247"/>
  <c r="G44" i="247"/>
  <c r="I21" i="198"/>
  <c r="G21" i="198"/>
  <c r="I17" i="198"/>
  <c r="G17" i="198"/>
  <c r="I24" i="21"/>
  <c r="F24" i="21" s="1"/>
  <c r="G24" i="21" s="1"/>
  <c r="I37" i="416"/>
  <c r="G37" i="416"/>
  <c r="I39" i="197"/>
  <c r="G39" i="197"/>
  <c r="I37" i="195"/>
  <c r="G37" i="195"/>
  <c r="G21" i="37"/>
  <c r="I21" i="37"/>
  <c r="G14" i="37"/>
  <c r="I14" i="37"/>
  <c r="G26" i="1"/>
  <c r="I26" i="1"/>
  <c r="I32" i="1" s="1"/>
  <c r="F32" i="1" s="1"/>
  <c r="G32" i="1" s="1"/>
  <c r="I24" i="166"/>
  <c r="F24" i="166" s="1"/>
  <c r="G24" i="166" s="1"/>
  <c r="I24" i="224"/>
  <c r="F24" i="224" s="1"/>
  <c r="G24" i="224" s="1"/>
  <c r="I15" i="424"/>
  <c r="G15" i="424"/>
  <c r="I37" i="424"/>
  <c r="G37" i="424"/>
  <c r="G42" i="446"/>
  <c r="I42" i="446"/>
  <c r="G36" i="398"/>
  <c r="I36" i="398"/>
  <c r="I10" i="398"/>
  <c r="G10" i="398"/>
  <c r="G36" i="433"/>
  <c r="I36" i="433"/>
  <c r="I21" i="423"/>
  <c r="G21" i="423"/>
  <c r="I40" i="431"/>
  <c r="F40" i="431" s="1"/>
  <c r="G40" i="431" s="1"/>
  <c r="G27" i="196"/>
  <c r="I27" i="196"/>
  <c r="G34" i="17"/>
  <c r="I34" i="17"/>
  <c r="I35" i="158"/>
  <c r="G35" i="158"/>
  <c r="I40" i="473"/>
  <c r="F40" i="473" s="1"/>
  <c r="G40" i="473" s="1"/>
  <c r="F18" i="489"/>
  <c r="F42" i="489"/>
  <c r="F16" i="489"/>
  <c r="F17" i="489"/>
  <c r="F21" i="489"/>
  <c r="F43" i="489"/>
  <c r="F39" i="489"/>
  <c r="F22" i="489"/>
  <c r="F44" i="489"/>
  <c r="F23" i="489"/>
  <c r="F45" i="489"/>
  <c r="G45" i="489" s="1"/>
  <c r="F26" i="489"/>
  <c r="F36" i="489"/>
  <c r="F27" i="489"/>
  <c r="F28" i="489"/>
  <c r="F29" i="489"/>
  <c r="F38" i="489"/>
  <c r="F10" i="489"/>
  <c r="F30" i="489"/>
  <c r="F11" i="489"/>
  <c r="F31" i="489"/>
  <c r="F12" i="489"/>
  <c r="F34" i="489"/>
  <c r="F13" i="489"/>
  <c r="F35" i="489"/>
  <c r="F14" i="489"/>
  <c r="F15" i="489"/>
  <c r="F37" i="489"/>
  <c r="I46" i="255"/>
  <c r="F46" i="255" s="1"/>
  <c r="G46" i="255" s="1"/>
  <c r="I30" i="275"/>
  <c r="G30" i="275"/>
  <c r="G18" i="275"/>
  <c r="I18" i="275"/>
  <c r="I46" i="322"/>
  <c r="F46" i="322" s="1"/>
  <c r="G46" i="322" s="1"/>
  <c r="I42" i="470"/>
  <c r="G42" i="470"/>
  <c r="I37" i="470"/>
  <c r="G37" i="470"/>
  <c r="I44" i="295"/>
  <c r="G44" i="295"/>
  <c r="I29" i="295"/>
  <c r="G29" i="295"/>
  <c r="G11" i="64"/>
  <c r="I11" i="64"/>
  <c r="I39" i="64"/>
  <c r="G39" i="64"/>
  <c r="G15" i="405"/>
  <c r="I15" i="405"/>
  <c r="G12" i="405"/>
  <c r="I12" i="405"/>
  <c r="G22" i="123"/>
  <c r="I22" i="123"/>
  <c r="I46" i="80"/>
  <c r="F46" i="80" s="1"/>
  <c r="G46" i="80" s="1"/>
  <c r="I29" i="355"/>
  <c r="G29" i="355"/>
  <c r="I15" i="355"/>
  <c r="G15" i="355"/>
  <c r="G12" i="8"/>
  <c r="I12" i="8"/>
  <c r="G37" i="437"/>
  <c r="I37" i="437"/>
  <c r="I29" i="437"/>
  <c r="G29" i="437"/>
  <c r="I34" i="49"/>
  <c r="G34" i="49"/>
  <c r="G10" i="49"/>
  <c r="I10" i="49"/>
  <c r="G30" i="180"/>
  <c r="I30" i="180"/>
  <c r="G44" i="230"/>
  <c r="I44" i="230"/>
  <c r="I13" i="230"/>
  <c r="G13" i="230"/>
  <c r="I21" i="349"/>
  <c r="G21" i="349"/>
  <c r="G27" i="349"/>
  <c r="I27" i="349"/>
  <c r="I40" i="409"/>
  <c r="F40" i="409" s="1"/>
  <c r="G40" i="409" s="1"/>
  <c r="G21" i="13"/>
  <c r="I21" i="13"/>
  <c r="I15" i="13"/>
  <c r="G15" i="13"/>
  <c r="I23" i="361"/>
  <c r="G23" i="361"/>
  <c r="I37" i="361"/>
  <c r="G37" i="361"/>
  <c r="G27" i="54"/>
  <c r="I27" i="54"/>
  <c r="I37" i="54"/>
  <c r="G37" i="54"/>
  <c r="G38" i="417"/>
  <c r="I38" i="417"/>
  <c r="I10" i="417"/>
  <c r="G10" i="417"/>
  <c r="G12" i="218"/>
  <c r="I12" i="218"/>
  <c r="I35" i="462"/>
  <c r="G35" i="462"/>
  <c r="G15" i="462"/>
  <c r="I15" i="462"/>
  <c r="I29" i="67"/>
  <c r="G29" i="67"/>
  <c r="I11" i="196"/>
  <c r="G11" i="196"/>
  <c r="I17" i="370"/>
  <c r="G17" i="370"/>
  <c r="I11" i="370"/>
  <c r="G11" i="370"/>
  <c r="G11" i="461"/>
  <c r="I11" i="461"/>
  <c r="G36" i="461"/>
  <c r="I36" i="461"/>
  <c r="I15" i="60"/>
  <c r="G15" i="60"/>
  <c r="I40" i="259"/>
  <c r="F40" i="259" s="1"/>
  <c r="G40" i="259" s="1"/>
  <c r="I35" i="117"/>
  <c r="G35" i="117"/>
  <c r="I22" i="400"/>
  <c r="G22" i="400"/>
  <c r="G42" i="400"/>
  <c r="I42" i="400"/>
  <c r="I23" i="453"/>
  <c r="G23" i="453"/>
  <c r="I42" i="373"/>
  <c r="G42" i="373"/>
  <c r="I29" i="373"/>
  <c r="G29" i="373"/>
  <c r="G23" i="16"/>
  <c r="I23" i="16"/>
  <c r="I18" i="451"/>
  <c r="G18" i="451"/>
  <c r="G22" i="451"/>
  <c r="I22" i="451"/>
  <c r="I15" i="38"/>
  <c r="G15" i="38"/>
  <c r="I37" i="38"/>
  <c r="G37" i="38"/>
  <c r="I21" i="418"/>
  <c r="G21" i="418"/>
  <c r="I11" i="418"/>
  <c r="G11" i="418"/>
  <c r="G17" i="39"/>
  <c r="I17" i="39"/>
  <c r="I39" i="120"/>
  <c r="G39" i="120"/>
  <c r="G23" i="366"/>
  <c r="I23" i="366"/>
  <c r="I28" i="366"/>
  <c r="G28" i="366"/>
  <c r="G17" i="92"/>
  <c r="I17" i="92"/>
  <c r="G22" i="92"/>
  <c r="I22" i="92"/>
  <c r="I44" i="53"/>
  <c r="G44" i="53"/>
  <c r="I16" i="53"/>
  <c r="G16" i="53"/>
  <c r="I16" i="434"/>
  <c r="G16" i="434"/>
  <c r="I21" i="434"/>
  <c r="G21" i="434"/>
  <c r="I21" i="61"/>
  <c r="G21" i="61"/>
  <c r="G43" i="61"/>
  <c r="I43" i="61"/>
  <c r="I35" i="14"/>
  <c r="G35" i="14"/>
  <c r="I28" i="91"/>
  <c r="G28" i="91"/>
  <c r="I12" i="91"/>
  <c r="G12" i="91"/>
  <c r="I27" i="415"/>
  <c r="G27" i="415"/>
  <c r="I21" i="75"/>
  <c r="G21" i="75"/>
  <c r="G36" i="75"/>
  <c r="I36" i="75"/>
  <c r="I29" i="430"/>
  <c r="G29" i="430"/>
  <c r="I43" i="430"/>
  <c r="G43" i="430"/>
  <c r="I42" i="31"/>
  <c r="G42" i="31"/>
  <c r="G30" i="31"/>
  <c r="I30" i="31"/>
  <c r="I26" i="181"/>
  <c r="G26" i="181"/>
  <c r="I39" i="181"/>
  <c r="G39" i="181"/>
  <c r="G26" i="262"/>
  <c r="I26" i="262"/>
  <c r="I34" i="262"/>
  <c r="G34" i="262"/>
  <c r="I40" i="171"/>
  <c r="F40" i="171" s="1"/>
  <c r="G40" i="171" s="1"/>
  <c r="I39" i="78"/>
  <c r="G39" i="78"/>
  <c r="I10" i="78"/>
  <c r="G10" i="78"/>
  <c r="I16" i="267"/>
  <c r="G16" i="267"/>
  <c r="I17" i="267"/>
  <c r="G17" i="267"/>
  <c r="I26" i="19"/>
  <c r="G26" i="19"/>
  <c r="I16" i="58"/>
  <c r="G16" i="58"/>
  <c r="G42" i="58"/>
  <c r="I42" i="58"/>
  <c r="G34" i="32"/>
  <c r="I34" i="32"/>
  <c r="G28" i="32"/>
  <c r="I28" i="32"/>
  <c r="G36" i="24"/>
  <c r="I36" i="24"/>
  <c r="I14" i="321"/>
  <c r="G14" i="321"/>
  <c r="G17" i="321"/>
  <c r="I17" i="321"/>
  <c r="G12" i="315"/>
  <c r="I12" i="315"/>
  <c r="G18" i="315"/>
  <c r="I18" i="315"/>
  <c r="I44" i="72"/>
  <c r="G44" i="72"/>
  <c r="I29" i="17"/>
  <c r="G29" i="17"/>
  <c r="I38" i="17"/>
  <c r="G38" i="17"/>
  <c r="I16" i="436"/>
  <c r="G16" i="436"/>
  <c r="I35" i="364"/>
  <c r="G35" i="364"/>
  <c r="I13" i="360"/>
  <c r="G13" i="360"/>
  <c r="I23" i="360"/>
  <c r="G23" i="360"/>
  <c r="I24" i="145"/>
  <c r="F24" i="145" s="1"/>
  <c r="G24" i="145" s="1"/>
  <c r="I16" i="35"/>
  <c r="G16" i="35"/>
  <c r="G38" i="27"/>
  <c r="I38" i="27"/>
  <c r="I30" i="27"/>
  <c r="G30" i="27"/>
  <c r="I36" i="96"/>
  <c r="G36" i="96"/>
  <c r="I42" i="96"/>
  <c r="G42" i="96"/>
  <c r="I37" i="246"/>
  <c r="G37" i="246"/>
  <c r="G14" i="246"/>
  <c r="I14" i="246"/>
  <c r="G26" i="10"/>
  <c r="I26" i="10"/>
  <c r="I24" i="431"/>
  <c r="F24" i="431" s="1"/>
  <c r="G24" i="431" s="1"/>
  <c r="I35" i="429"/>
  <c r="G35" i="429"/>
  <c r="I22" i="429"/>
  <c r="G22" i="429"/>
  <c r="I35" i="119"/>
  <c r="G35" i="119"/>
  <c r="G37" i="119"/>
  <c r="I37" i="119"/>
  <c r="G12" i="158"/>
  <c r="I12" i="158"/>
  <c r="I28" i="157"/>
  <c r="G28" i="157"/>
  <c r="G10" i="157"/>
  <c r="I10" i="157"/>
  <c r="G14" i="406"/>
  <c r="I14" i="406"/>
  <c r="I42" i="406"/>
  <c r="G42" i="406"/>
  <c r="G38" i="276"/>
  <c r="I38" i="276"/>
  <c r="I30" i="276"/>
  <c r="G30" i="276"/>
  <c r="I14" i="407"/>
  <c r="G14" i="407"/>
  <c r="I46" i="300"/>
  <c r="F46" i="300" s="1"/>
  <c r="G46" i="300" s="1"/>
  <c r="I32" i="335"/>
  <c r="F32" i="335" s="1"/>
  <c r="G32" i="335" s="1"/>
  <c r="G42" i="26"/>
  <c r="I42" i="26"/>
  <c r="G12" i="332"/>
  <c r="I12" i="332"/>
  <c r="I43" i="294"/>
  <c r="G43" i="294"/>
  <c r="G35" i="294"/>
  <c r="I35" i="294"/>
  <c r="I36" i="36"/>
  <c r="G36" i="36"/>
  <c r="I29" i="36"/>
  <c r="G29" i="36"/>
  <c r="G18" i="210"/>
  <c r="I18" i="210"/>
  <c r="I37" i="210"/>
  <c r="G37" i="210"/>
  <c r="G35" i="191"/>
  <c r="I35" i="191"/>
  <c r="I37" i="191"/>
  <c r="G37" i="191"/>
  <c r="G29" i="41"/>
  <c r="I29" i="41"/>
  <c r="G31" i="385"/>
  <c r="I31" i="385"/>
  <c r="G36" i="385"/>
  <c r="I36" i="385"/>
  <c r="I10" i="388"/>
  <c r="G10" i="388"/>
  <c r="I39" i="388"/>
  <c r="G39" i="388"/>
  <c r="I39" i="216"/>
  <c r="G39" i="216"/>
  <c r="G44" i="216"/>
  <c r="I44" i="216"/>
  <c r="I43" i="250"/>
  <c r="G43" i="250"/>
  <c r="G21" i="23"/>
  <c r="I21" i="23"/>
  <c r="I11" i="23"/>
  <c r="G11" i="23"/>
  <c r="G26" i="289"/>
  <c r="I26" i="289"/>
  <c r="G12" i="289"/>
  <c r="I12" i="289"/>
  <c r="I19" i="391"/>
  <c r="F19" i="391" s="1"/>
  <c r="G19" i="391" s="1"/>
  <c r="G27" i="25"/>
  <c r="I27" i="25"/>
  <c r="I18" i="25"/>
  <c r="G18" i="25"/>
  <c r="I30" i="323"/>
  <c r="G30" i="323"/>
  <c r="G15" i="323"/>
  <c r="I15" i="323"/>
  <c r="I30" i="465"/>
  <c r="G30" i="465"/>
  <c r="G37" i="199"/>
  <c r="I37" i="199"/>
  <c r="G36" i="199"/>
  <c r="I36" i="199"/>
  <c r="G11" i="337"/>
  <c r="I11" i="337"/>
  <c r="I21" i="337"/>
  <c r="G21" i="337"/>
  <c r="I43" i="427"/>
  <c r="G43" i="427"/>
  <c r="I30" i="427"/>
  <c r="G30" i="427"/>
  <c r="I46" i="426"/>
  <c r="F46" i="426" s="1"/>
  <c r="G46" i="426" s="1"/>
  <c r="G35" i="297"/>
  <c r="I35" i="297"/>
  <c r="G35" i="247"/>
  <c r="I35" i="247"/>
  <c r="G42" i="198"/>
  <c r="I42" i="198"/>
  <c r="I30" i="198"/>
  <c r="G30" i="198"/>
  <c r="I23" i="416"/>
  <c r="G23" i="416"/>
  <c r="I10" i="197"/>
  <c r="G10" i="197"/>
  <c r="I22" i="197"/>
  <c r="G22" i="197"/>
  <c r="I14" i="195"/>
  <c r="G14" i="195"/>
  <c r="G28" i="37"/>
  <c r="I28" i="37"/>
  <c r="I38" i="37"/>
  <c r="G38" i="37"/>
  <c r="G22" i="1"/>
  <c r="I22" i="1"/>
  <c r="I44" i="1"/>
  <c r="G44" i="1"/>
  <c r="I40" i="211"/>
  <c r="F40" i="211" s="1"/>
  <c r="G40" i="211" s="1"/>
  <c r="I23" i="424"/>
  <c r="G23" i="424"/>
  <c r="G30" i="424"/>
  <c r="I30" i="424"/>
  <c r="G18" i="446"/>
  <c r="I18" i="446"/>
  <c r="G36" i="446"/>
  <c r="I36" i="446"/>
  <c r="G35" i="398"/>
  <c r="I35" i="398"/>
  <c r="I18" i="398"/>
  <c r="G18" i="398"/>
  <c r="I22" i="433"/>
  <c r="G22" i="433"/>
  <c r="I44" i="361"/>
  <c r="G44" i="361"/>
  <c r="I26" i="60"/>
  <c r="G26" i="60"/>
  <c r="G37" i="75"/>
  <c r="I37" i="75"/>
  <c r="F23" i="269"/>
  <c r="F12" i="269"/>
  <c r="F26" i="269"/>
  <c r="F43" i="269"/>
  <c r="F34" i="269"/>
  <c r="F14" i="269"/>
  <c r="F18" i="269"/>
  <c r="F36" i="269"/>
  <c r="F31" i="269"/>
  <c r="F10" i="269"/>
  <c r="F22" i="269"/>
  <c r="F28" i="269"/>
  <c r="F16" i="269"/>
  <c r="F17" i="269"/>
  <c r="F11" i="269"/>
  <c r="F45" i="269"/>
  <c r="G45" i="269" s="1"/>
  <c r="F37" i="269"/>
  <c r="F44" i="269"/>
  <c r="F27" i="269"/>
  <c r="F29" i="269"/>
  <c r="F38" i="269"/>
  <c r="F42" i="269"/>
  <c r="F35" i="269"/>
  <c r="F13" i="269"/>
  <c r="F21" i="269"/>
  <c r="F39" i="269"/>
  <c r="F30" i="269"/>
  <c r="F15" i="269"/>
  <c r="I35" i="275"/>
  <c r="G35" i="275"/>
  <c r="G29" i="275"/>
  <c r="I29" i="275"/>
  <c r="I13" i="470"/>
  <c r="G13" i="470"/>
  <c r="G27" i="470"/>
  <c r="I27" i="470"/>
  <c r="G22" i="295"/>
  <c r="I22" i="295"/>
  <c r="G16" i="295"/>
  <c r="I16" i="295"/>
  <c r="I21" i="64"/>
  <c r="G21" i="64"/>
  <c r="G30" i="64"/>
  <c r="I30" i="64"/>
  <c r="I27" i="405"/>
  <c r="G27" i="405"/>
  <c r="I38" i="405"/>
  <c r="G38" i="405"/>
  <c r="I15" i="123"/>
  <c r="G15" i="123"/>
  <c r="I17" i="355"/>
  <c r="G17" i="355"/>
  <c r="G13" i="355"/>
  <c r="I13" i="355"/>
  <c r="I13" i="8"/>
  <c r="G13" i="8"/>
  <c r="I35" i="437"/>
  <c r="G35" i="437"/>
  <c r="I30" i="437"/>
  <c r="G30" i="437"/>
  <c r="G18" i="49"/>
  <c r="I18" i="49"/>
  <c r="I37" i="49"/>
  <c r="G37" i="49"/>
  <c r="I24" i="176"/>
  <c r="F24" i="176" s="1"/>
  <c r="G24" i="176" s="1"/>
  <c r="I26" i="180"/>
  <c r="G26" i="180"/>
  <c r="I17" i="230"/>
  <c r="G17" i="230"/>
  <c r="G27" i="230"/>
  <c r="I27" i="230"/>
  <c r="I42" i="349"/>
  <c r="G42" i="349"/>
  <c r="G38" i="349"/>
  <c r="I38" i="349"/>
  <c r="I32" i="409"/>
  <c r="F32" i="409" s="1"/>
  <c r="G32" i="409" s="1"/>
  <c r="I37" i="13"/>
  <c r="G37" i="13"/>
  <c r="I34" i="13"/>
  <c r="G34" i="13"/>
  <c r="I35" i="361"/>
  <c r="G35" i="361"/>
  <c r="G43" i="361"/>
  <c r="I43" i="361"/>
  <c r="I35" i="54"/>
  <c r="G35" i="54"/>
  <c r="I13" i="54"/>
  <c r="G13" i="54"/>
  <c r="G30" i="417"/>
  <c r="I30" i="417"/>
  <c r="I15" i="417"/>
  <c r="G15" i="417"/>
  <c r="I22" i="218"/>
  <c r="G22" i="218"/>
  <c r="I40" i="443"/>
  <c r="F40" i="443" s="1"/>
  <c r="G40" i="443" s="1"/>
  <c r="I24" i="457"/>
  <c r="F24" i="457" s="1"/>
  <c r="G24" i="457" s="1"/>
  <c r="I18" i="462"/>
  <c r="G18" i="462"/>
  <c r="I11" i="462"/>
  <c r="G11" i="462"/>
  <c r="G18" i="67"/>
  <c r="I18" i="67"/>
  <c r="I21" i="196"/>
  <c r="G21" i="196"/>
  <c r="G39" i="370"/>
  <c r="I39" i="370"/>
  <c r="I28" i="370"/>
  <c r="G28" i="370"/>
  <c r="G18" i="461"/>
  <c r="I18" i="461"/>
  <c r="G13" i="461"/>
  <c r="I13" i="461"/>
  <c r="I32" i="166"/>
  <c r="F32" i="166" s="1"/>
  <c r="G32" i="166" s="1"/>
  <c r="I18" i="60"/>
  <c r="G18" i="60"/>
  <c r="G13" i="117"/>
  <c r="I13" i="117"/>
  <c r="I10" i="400"/>
  <c r="G10" i="400"/>
  <c r="I15" i="400"/>
  <c r="G15" i="400"/>
  <c r="G14" i="453"/>
  <c r="I14" i="453"/>
  <c r="I16" i="373"/>
  <c r="G16" i="373"/>
  <c r="I26" i="373"/>
  <c r="G26" i="373"/>
  <c r="I37" i="16"/>
  <c r="G37" i="16"/>
  <c r="I36" i="451"/>
  <c r="G36" i="451"/>
  <c r="G34" i="451"/>
  <c r="I34" i="451"/>
  <c r="I43" i="38"/>
  <c r="G43" i="38"/>
  <c r="I36" i="38"/>
  <c r="G36" i="38"/>
  <c r="G37" i="418"/>
  <c r="I37" i="418"/>
  <c r="I10" i="418"/>
  <c r="G10" i="418"/>
  <c r="G12" i="39"/>
  <c r="I12" i="39"/>
  <c r="I19" i="142"/>
  <c r="F19" i="142" s="1"/>
  <c r="G19" i="142" s="1"/>
  <c r="I46" i="346"/>
  <c r="F46" i="346" s="1"/>
  <c r="G46" i="346" s="1"/>
  <c r="G15" i="120"/>
  <c r="I15" i="120"/>
  <c r="I46" i="380"/>
  <c r="F46" i="380" s="1"/>
  <c r="G46" i="380" s="1"/>
  <c r="I30" i="366"/>
  <c r="G30" i="366"/>
  <c r="G14" i="366"/>
  <c r="I14" i="366"/>
  <c r="I12" i="92"/>
  <c r="G12" i="92"/>
  <c r="G44" i="92"/>
  <c r="I44" i="92"/>
  <c r="G31" i="53"/>
  <c r="I31" i="53"/>
  <c r="G30" i="53"/>
  <c r="I30" i="53"/>
  <c r="I10" i="434"/>
  <c r="G10" i="434"/>
  <c r="I35" i="61"/>
  <c r="G35" i="61"/>
  <c r="G22" i="61"/>
  <c r="I22" i="61"/>
  <c r="G38" i="14"/>
  <c r="I38" i="14"/>
  <c r="G30" i="14"/>
  <c r="I30" i="14"/>
  <c r="I37" i="91"/>
  <c r="G37" i="91"/>
  <c r="G44" i="91"/>
  <c r="I44" i="91"/>
  <c r="I13" i="415"/>
  <c r="G13" i="415"/>
  <c r="G28" i="75"/>
  <c r="I28" i="75"/>
  <c r="I26" i="75"/>
  <c r="G26" i="75"/>
  <c r="I18" i="430"/>
  <c r="G18" i="430"/>
  <c r="I14" i="430"/>
  <c r="G14" i="430"/>
  <c r="I17" i="31"/>
  <c r="G17" i="31"/>
  <c r="G37" i="31"/>
  <c r="I37" i="31"/>
  <c r="I34" i="181"/>
  <c r="G34" i="181"/>
  <c r="I14" i="181"/>
  <c r="G14" i="181"/>
  <c r="I15" i="262"/>
  <c r="G15" i="262"/>
  <c r="I39" i="262"/>
  <c r="G39" i="262"/>
  <c r="I38" i="78"/>
  <c r="G38" i="78"/>
  <c r="I42" i="78"/>
  <c r="G42" i="78"/>
  <c r="G44" i="267"/>
  <c r="I44" i="267"/>
  <c r="G13" i="267"/>
  <c r="I13" i="267"/>
  <c r="G11" i="19"/>
  <c r="I11" i="19"/>
  <c r="I37" i="19"/>
  <c r="G37" i="19"/>
  <c r="I19" i="409"/>
  <c r="F19" i="409" s="1"/>
  <c r="G19" i="409" s="1"/>
  <c r="I36" i="58"/>
  <c r="G36" i="58"/>
  <c r="I35" i="58"/>
  <c r="G35" i="58"/>
  <c r="G42" i="32"/>
  <c r="I42" i="32"/>
  <c r="G35" i="32"/>
  <c r="I35" i="32"/>
  <c r="G28" i="24"/>
  <c r="I28" i="24"/>
  <c r="G34" i="321"/>
  <c r="I34" i="321"/>
  <c r="I12" i="321"/>
  <c r="G12" i="321"/>
  <c r="G28" i="315"/>
  <c r="I28" i="315"/>
  <c r="I34" i="315"/>
  <c r="G34" i="315"/>
  <c r="I18" i="72"/>
  <c r="G18" i="72"/>
  <c r="G42" i="72"/>
  <c r="I42" i="72"/>
  <c r="I31" i="17"/>
  <c r="G31" i="17"/>
  <c r="I11" i="436"/>
  <c r="G11" i="436"/>
  <c r="I30" i="364"/>
  <c r="G30" i="364"/>
  <c r="I38" i="360"/>
  <c r="G38" i="360"/>
  <c r="I35" i="360"/>
  <c r="G35" i="360"/>
  <c r="I34" i="35"/>
  <c r="G34" i="35"/>
  <c r="I44" i="27"/>
  <c r="G44" i="27"/>
  <c r="I11" i="27"/>
  <c r="G11" i="27"/>
  <c r="G11" i="96"/>
  <c r="I11" i="96"/>
  <c r="G10" i="246"/>
  <c r="I10" i="246"/>
  <c r="G31" i="246"/>
  <c r="I31" i="246"/>
  <c r="I35" i="10"/>
  <c r="G35" i="10"/>
  <c r="I26" i="429"/>
  <c r="G26" i="429"/>
  <c r="I32" i="259"/>
  <c r="F32" i="259" s="1"/>
  <c r="G32" i="259" s="1"/>
  <c r="G23" i="119"/>
  <c r="I23" i="119"/>
  <c r="I14" i="119"/>
  <c r="G14" i="119"/>
  <c r="I17" i="158"/>
  <c r="G17" i="158"/>
  <c r="I14" i="158"/>
  <c r="G14" i="158"/>
  <c r="G34" i="157"/>
  <c r="I34" i="157"/>
  <c r="G37" i="406"/>
  <c r="I37" i="406"/>
  <c r="G11" i="406"/>
  <c r="I11" i="406"/>
  <c r="I29" i="276"/>
  <c r="G29" i="276"/>
  <c r="G18" i="276"/>
  <c r="I18" i="276"/>
  <c r="G29" i="407"/>
  <c r="I29" i="407"/>
  <c r="I31" i="26"/>
  <c r="G31" i="26"/>
  <c r="G37" i="332"/>
  <c r="I37" i="332"/>
  <c r="I28" i="294"/>
  <c r="G28" i="294"/>
  <c r="G22" i="294"/>
  <c r="I22" i="294"/>
  <c r="G22" i="36"/>
  <c r="I22" i="36"/>
  <c r="I11" i="36"/>
  <c r="G11" i="36"/>
  <c r="I35" i="210"/>
  <c r="G35" i="210"/>
  <c r="G38" i="210"/>
  <c r="I38" i="210"/>
  <c r="G27" i="191"/>
  <c r="I27" i="191"/>
  <c r="I16" i="191"/>
  <c r="G16" i="191"/>
  <c r="I38" i="41"/>
  <c r="G38" i="41"/>
  <c r="G21" i="385"/>
  <c r="I21" i="385"/>
  <c r="I28" i="385"/>
  <c r="G28" i="385"/>
  <c r="I26" i="388"/>
  <c r="G26" i="388"/>
  <c r="I13" i="388"/>
  <c r="G13" i="388"/>
  <c r="I10" i="216"/>
  <c r="G10" i="216"/>
  <c r="G11" i="216"/>
  <c r="I11" i="216"/>
  <c r="I38" i="250"/>
  <c r="G38" i="250"/>
  <c r="G30" i="250"/>
  <c r="I30" i="250"/>
  <c r="G10" i="23"/>
  <c r="I10" i="23"/>
  <c r="I19" i="23" s="1"/>
  <c r="F19" i="23" s="1"/>
  <c r="G19" i="23" s="1"/>
  <c r="G28" i="23"/>
  <c r="I28" i="23"/>
  <c r="I19" i="316"/>
  <c r="F19" i="316" s="1"/>
  <c r="G19" i="316" s="1"/>
  <c r="I36" i="289"/>
  <c r="G36" i="289"/>
  <c r="I18" i="289"/>
  <c r="G18" i="289"/>
  <c r="G42" i="25"/>
  <c r="I42" i="25"/>
  <c r="I17" i="25"/>
  <c r="G17" i="25"/>
  <c r="G23" i="323"/>
  <c r="I23" i="323"/>
  <c r="I34" i="323"/>
  <c r="G34" i="323"/>
  <c r="I44" i="465"/>
  <c r="G44" i="465"/>
  <c r="G17" i="199"/>
  <c r="I17" i="199"/>
  <c r="I31" i="199"/>
  <c r="G31" i="199"/>
  <c r="I46" i="234"/>
  <c r="F46" i="234" s="1"/>
  <c r="G46" i="234" s="1"/>
  <c r="I37" i="337"/>
  <c r="G37" i="337"/>
  <c r="G31" i="337"/>
  <c r="I31" i="337"/>
  <c r="G18" i="427"/>
  <c r="I18" i="427"/>
  <c r="I17" i="427"/>
  <c r="G17" i="427"/>
  <c r="G39" i="297"/>
  <c r="I39" i="297"/>
  <c r="I31" i="297"/>
  <c r="G31" i="297"/>
  <c r="I15" i="247"/>
  <c r="G15" i="247"/>
  <c r="G29" i="247"/>
  <c r="I29" i="247"/>
  <c r="I23" i="198"/>
  <c r="G23" i="198"/>
  <c r="G28" i="198"/>
  <c r="I28" i="198"/>
  <c r="I44" i="416"/>
  <c r="G44" i="416"/>
  <c r="G35" i="416"/>
  <c r="I35" i="416"/>
  <c r="I13" i="197"/>
  <c r="G13" i="197"/>
  <c r="I27" i="197"/>
  <c r="G27" i="197"/>
  <c r="I17" i="195"/>
  <c r="G17" i="195"/>
  <c r="I44" i="37"/>
  <c r="G44" i="37"/>
  <c r="G43" i="37"/>
  <c r="I43" i="37"/>
  <c r="F37" i="468"/>
  <c r="F38" i="468"/>
  <c r="F21" i="468"/>
  <c r="F43" i="468"/>
  <c r="F15" i="468"/>
  <c r="F10" i="468"/>
  <c r="F18" i="468"/>
  <c r="F23" i="468"/>
  <c r="F27" i="468"/>
  <c r="F34" i="468"/>
  <c r="F36" i="468"/>
  <c r="F44" i="468"/>
  <c r="F14" i="468"/>
  <c r="F12" i="468"/>
  <c r="F26" i="468"/>
  <c r="F22" i="468"/>
  <c r="F30" i="468"/>
  <c r="F42" i="468"/>
  <c r="F28" i="468"/>
  <c r="F29" i="468"/>
  <c r="F13" i="468"/>
  <c r="F16" i="468"/>
  <c r="F35" i="468"/>
  <c r="F31" i="468"/>
  <c r="F11" i="468"/>
  <c r="F45" i="468"/>
  <c r="G45" i="468" s="1"/>
  <c r="F17" i="468"/>
  <c r="F39" i="468"/>
  <c r="I21" i="1"/>
  <c r="G21" i="1"/>
  <c r="G13" i="1"/>
  <c r="I13" i="1"/>
  <c r="I43" i="424"/>
  <c r="G43" i="424"/>
  <c r="I10" i="424"/>
  <c r="G10" i="424"/>
  <c r="I17" i="446"/>
  <c r="G17" i="446"/>
  <c r="G23" i="446"/>
  <c r="I23" i="446"/>
  <c r="I34" i="398"/>
  <c r="G34" i="398"/>
  <c r="G28" i="398"/>
  <c r="I28" i="398"/>
  <c r="I35" i="433"/>
  <c r="G35" i="433"/>
  <c r="I46" i="165"/>
  <c r="F46" i="165" s="1"/>
  <c r="G46" i="165" s="1"/>
  <c r="I44" i="423"/>
  <c r="G44" i="423"/>
  <c r="I31" i="13"/>
  <c r="G31" i="13"/>
  <c r="I15" i="453"/>
  <c r="G15" i="453"/>
  <c r="G35" i="39"/>
  <c r="I35" i="39"/>
  <c r="I42" i="61"/>
  <c r="G42" i="61"/>
  <c r="I13" i="430"/>
  <c r="G13" i="430"/>
  <c r="I28" i="267"/>
  <c r="G28" i="267"/>
  <c r="I22" i="315"/>
  <c r="G22" i="315"/>
  <c r="G17" i="216"/>
  <c r="I17" i="216"/>
  <c r="I32" i="142"/>
  <c r="F32" i="142" s="1"/>
  <c r="G32" i="142" s="1"/>
  <c r="I10" i="275"/>
  <c r="G10" i="275"/>
  <c r="G14" i="275"/>
  <c r="I14" i="275"/>
  <c r="I39" i="470"/>
  <c r="G39" i="470"/>
  <c r="I21" i="470"/>
  <c r="G21" i="470"/>
  <c r="I34" i="295"/>
  <c r="G34" i="295"/>
  <c r="G36" i="295"/>
  <c r="I36" i="295"/>
  <c r="I32" i="362"/>
  <c r="F32" i="362" s="1"/>
  <c r="G32" i="362" s="1"/>
  <c r="I29" i="64"/>
  <c r="G29" i="64"/>
  <c r="I42" i="64"/>
  <c r="G42" i="64"/>
  <c r="I36" i="405"/>
  <c r="G36" i="405"/>
  <c r="G44" i="405"/>
  <c r="I44" i="405"/>
  <c r="I10" i="123"/>
  <c r="G10" i="123"/>
  <c r="I16" i="123"/>
  <c r="G16" i="123"/>
  <c r="I12" i="355"/>
  <c r="G12" i="355"/>
  <c r="I30" i="355"/>
  <c r="G30" i="355"/>
  <c r="G39" i="8"/>
  <c r="I39" i="8"/>
  <c r="I10" i="8"/>
  <c r="G10" i="8"/>
  <c r="I10" i="437"/>
  <c r="G10" i="437"/>
  <c r="I30" i="49"/>
  <c r="G30" i="49"/>
  <c r="I31" i="49"/>
  <c r="G31" i="49"/>
  <c r="I37" i="180"/>
  <c r="G37" i="180"/>
  <c r="I40" i="142"/>
  <c r="F40" i="142" s="1"/>
  <c r="G40" i="142" s="1"/>
  <c r="I18" i="230"/>
  <c r="G18" i="230"/>
  <c r="I26" i="230"/>
  <c r="G26" i="230"/>
  <c r="I35" i="349"/>
  <c r="G35" i="349"/>
  <c r="G36" i="349"/>
  <c r="I36" i="349"/>
  <c r="I30" i="13"/>
  <c r="G30" i="13"/>
  <c r="G10" i="13"/>
  <c r="I10" i="13"/>
  <c r="I34" i="361"/>
  <c r="G34" i="361"/>
  <c r="G30" i="54"/>
  <c r="I30" i="54"/>
  <c r="G28" i="54"/>
  <c r="I28" i="54"/>
  <c r="I29" i="417"/>
  <c r="G29" i="417"/>
  <c r="I37" i="417"/>
  <c r="G37" i="417"/>
  <c r="I31" i="218"/>
  <c r="G31" i="218"/>
  <c r="G16" i="218"/>
  <c r="I16" i="218"/>
  <c r="F14" i="122"/>
  <c r="F37" i="122"/>
  <c r="F22" i="122"/>
  <c r="F21" i="122"/>
  <c r="F45" i="122"/>
  <c r="G45" i="122" s="1"/>
  <c r="F23" i="122"/>
  <c r="F42" i="122"/>
  <c r="F43" i="122"/>
  <c r="F30" i="122"/>
  <c r="F15" i="122"/>
  <c r="F31" i="122"/>
  <c r="F44" i="122"/>
  <c r="F29" i="122"/>
  <c r="F36" i="122"/>
  <c r="F28" i="122"/>
  <c r="F13" i="122"/>
  <c r="F11" i="122"/>
  <c r="F10" i="122"/>
  <c r="F38" i="122"/>
  <c r="F35" i="122"/>
  <c r="F17" i="122"/>
  <c r="F26" i="122"/>
  <c r="F12" i="122"/>
  <c r="F18" i="122"/>
  <c r="F16" i="122"/>
  <c r="F27" i="122"/>
  <c r="F39" i="122"/>
  <c r="F34" i="122"/>
  <c r="G27" i="462"/>
  <c r="I27" i="462"/>
  <c r="G36" i="462"/>
  <c r="I36" i="462"/>
  <c r="I13" i="67"/>
  <c r="G13" i="67"/>
  <c r="I34" i="196"/>
  <c r="G34" i="196"/>
  <c r="I26" i="196"/>
  <c r="G26" i="196"/>
  <c r="I15" i="370"/>
  <c r="G15" i="370"/>
  <c r="G27" i="370"/>
  <c r="I27" i="370"/>
  <c r="I30" i="461"/>
  <c r="G30" i="461"/>
  <c r="I42" i="461"/>
  <c r="G42" i="461"/>
  <c r="G22" i="60"/>
  <c r="I22" i="60"/>
  <c r="I34" i="60"/>
  <c r="G34" i="60"/>
  <c r="I12" i="117"/>
  <c r="G12" i="117"/>
  <c r="I16" i="117"/>
  <c r="G16" i="117"/>
  <c r="G13" i="400"/>
  <c r="I13" i="400"/>
  <c r="I29" i="453"/>
  <c r="G29" i="453"/>
  <c r="I39" i="453"/>
  <c r="G39" i="453"/>
  <c r="I31" i="373"/>
  <c r="G31" i="373"/>
  <c r="G10" i="373"/>
  <c r="I10" i="373"/>
  <c r="I22" i="16"/>
  <c r="G22" i="16"/>
  <c r="G28" i="16"/>
  <c r="I28" i="16"/>
  <c r="I38" i="451"/>
  <c r="G38" i="451"/>
  <c r="G39" i="451"/>
  <c r="I39" i="451"/>
  <c r="I39" i="38"/>
  <c r="G39" i="38"/>
  <c r="I14" i="38"/>
  <c r="G14" i="38"/>
  <c r="I32" i="176"/>
  <c r="F32" i="176" s="1"/>
  <c r="G32" i="176" s="1"/>
  <c r="G18" i="418"/>
  <c r="I18" i="418"/>
  <c r="G21" i="39"/>
  <c r="I21" i="39"/>
  <c r="I15" i="39"/>
  <c r="G15" i="39"/>
  <c r="E24" i="478"/>
  <c r="E28" i="478"/>
  <c r="E29" i="478"/>
  <c r="E30" i="478"/>
  <c r="E38" i="478"/>
  <c r="E35" i="478"/>
  <c r="E39" i="478"/>
  <c r="E36" i="478"/>
  <c r="E21" i="478"/>
  <c r="E44" i="478"/>
  <c r="E37" i="478"/>
  <c r="E22" i="478"/>
  <c r="E23" i="478"/>
  <c r="E45" i="478"/>
  <c r="E27" i="478"/>
  <c r="E42" i="478"/>
  <c r="E43" i="478"/>
  <c r="E34" i="478"/>
  <c r="E26" i="478"/>
  <c r="E31" i="478"/>
  <c r="I19" i="21"/>
  <c r="F19" i="21" s="1"/>
  <c r="G19" i="21" s="1"/>
  <c r="G29" i="120"/>
  <c r="I29" i="120"/>
  <c r="I18" i="366"/>
  <c r="G18" i="366"/>
  <c r="I21" i="366"/>
  <c r="G21" i="366"/>
  <c r="I15" i="92"/>
  <c r="G15" i="92"/>
  <c r="G42" i="92"/>
  <c r="I42" i="92"/>
  <c r="I12" i="53"/>
  <c r="G12" i="53"/>
  <c r="G14" i="53"/>
  <c r="I14" i="53"/>
  <c r="I37" i="434"/>
  <c r="G37" i="434"/>
  <c r="I28" i="61"/>
  <c r="G28" i="61"/>
  <c r="I34" i="61"/>
  <c r="G34" i="61"/>
  <c r="G44" i="14"/>
  <c r="I44" i="14"/>
  <c r="G34" i="14"/>
  <c r="I34" i="14"/>
  <c r="G26" i="91"/>
  <c r="I26" i="91"/>
  <c r="I38" i="91"/>
  <c r="G38" i="91"/>
  <c r="G10" i="415"/>
  <c r="I10" i="415"/>
  <c r="I19" i="224"/>
  <c r="F19" i="224" s="1"/>
  <c r="G19" i="224" s="1"/>
  <c r="G38" i="75"/>
  <c r="I38" i="75"/>
  <c r="I43" i="75"/>
  <c r="G43" i="75"/>
  <c r="I28" i="430"/>
  <c r="G28" i="430"/>
  <c r="G44" i="430"/>
  <c r="I44" i="430"/>
  <c r="I15" i="31"/>
  <c r="G15" i="31"/>
  <c r="I11" i="31"/>
  <c r="G11" i="31"/>
  <c r="I42" i="181"/>
  <c r="G42" i="181"/>
  <c r="I43" i="181"/>
  <c r="G43" i="181"/>
  <c r="I12" i="262"/>
  <c r="G12" i="262"/>
  <c r="I22" i="262"/>
  <c r="G22" i="262"/>
  <c r="G35" i="78"/>
  <c r="I35" i="78"/>
  <c r="G22" i="78"/>
  <c r="I22" i="78"/>
  <c r="G43" i="267"/>
  <c r="I43" i="267"/>
  <c r="I14" i="267"/>
  <c r="G14" i="267"/>
  <c r="I23" i="19"/>
  <c r="G23" i="19"/>
  <c r="I12" i="19"/>
  <c r="G12" i="19"/>
  <c r="I21" i="58"/>
  <c r="G21" i="58"/>
  <c r="G17" i="58"/>
  <c r="I17" i="58"/>
  <c r="I12" i="32"/>
  <c r="G12" i="32"/>
  <c r="I31" i="24"/>
  <c r="G31" i="24"/>
  <c r="G42" i="321"/>
  <c r="I42" i="321"/>
  <c r="G43" i="315"/>
  <c r="I43" i="315"/>
  <c r="G31" i="315"/>
  <c r="I31" i="315"/>
  <c r="G10" i="72"/>
  <c r="I10" i="72"/>
  <c r="I31" i="72"/>
  <c r="G31" i="72"/>
  <c r="G10" i="17"/>
  <c r="I10" i="17"/>
  <c r="G43" i="436"/>
  <c r="I43" i="436"/>
  <c r="I37" i="436"/>
  <c r="G37" i="436"/>
  <c r="I21" i="364"/>
  <c r="G21" i="364"/>
  <c r="G23" i="364"/>
  <c r="I23" i="364"/>
  <c r="I39" i="360"/>
  <c r="G39" i="360"/>
  <c r="I39" i="35"/>
  <c r="G39" i="35"/>
  <c r="I37" i="27"/>
  <c r="G37" i="27"/>
  <c r="I10" i="96"/>
  <c r="G10" i="96"/>
  <c r="I17" i="246"/>
  <c r="G17" i="246"/>
  <c r="G28" i="246"/>
  <c r="I28" i="246"/>
  <c r="I14" i="10"/>
  <c r="G14" i="10"/>
  <c r="I18" i="429"/>
  <c r="G18" i="429"/>
  <c r="I24" i="318"/>
  <c r="F24" i="318" s="1"/>
  <c r="G24" i="318" s="1"/>
  <c r="I38" i="119"/>
  <c r="G38" i="119"/>
  <c r="G28" i="119"/>
  <c r="I28" i="119"/>
  <c r="G34" i="158"/>
  <c r="I34" i="158"/>
  <c r="I10" i="158"/>
  <c r="G10" i="158"/>
  <c r="I22" i="157"/>
  <c r="G22" i="157"/>
  <c r="G15" i="157"/>
  <c r="I15" i="157"/>
  <c r="I22" i="406"/>
  <c r="G22" i="406"/>
  <c r="G38" i="406"/>
  <c r="I38" i="406"/>
  <c r="I21" i="276"/>
  <c r="G21" i="276"/>
  <c r="I36" i="276"/>
  <c r="G36" i="276"/>
  <c r="I44" i="407"/>
  <c r="G44" i="407"/>
  <c r="I23" i="26"/>
  <c r="G23" i="26"/>
  <c r="I26" i="26"/>
  <c r="G26" i="26"/>
  <c r="I23" i="332"/>
  <c r="G23" i="332"/>
  <c r="I15" i="332"/>
  <c r="G15" i="332"/>
  <c r="G27" i="294"/>
  <c r="I27" i="294"/>
  <c r="I23" i="294"/>
  <c r="G23" i="294"/>
  <c r="I14" i="36"/>
  <c r="G14" i="36"/>
  <c r="G18" i="36"/>
  <c r="I18" i="36"/>
  <c r="G10" i="210"/>
  <c r="I10" i="210"/>
  <c r="G42" i="210"/>
  <c r="I42" i="210"/>
  <c r="I26" i="191"/>
  <c r="G26" i="191"/>
  <c r="G14" i="41"/>
  <c r="I14" i="41"/>
  <c r="I30" i="41"/>
  <c r="G30" i="41"/>
  <c r="I11" i="385"/>
  <c r="G11" i="385"/>
  <c r="I14" i="385"/>
  <c r="G14" i="385"/>
  <c r="I40" i="335"/>
  <c r="F40" i="335" s="1"/>
  <c r="G40" i="335" s="1"/>
  <c r="I35" i="388"/>
  <c r="G35" i="388"/>
  <c r="G38" i="388"/>
  <c r="I38" i="388"/>
  <c r="G30" i="216"/>
  <c r="I30" i="216"/>
  <c r="G23" i="216"/>
  <c r="I23" i="216"/>
  <c r="I46" i="215"/>
  <c r="F46" i="215" s="1"/>
  <c r="G46" i="215" s="1"/>
  <c r="I36" i="250"/>
  <c r="G36" i="250"/>
  <c r="I12" i="250"/>
  <c r="G12" i="250"/>
  <c r="I27" i="23"/>
  <c r="G27" i="23"/>
  <c r="G39" i="23"/>
  <c r="I39" i="23"/>
  <c r="G22" i="289"/>
  <c r="I22" i="289"/>
  <c r="G44" i="25"/>
  <c r="I44" i="25"/>
  <c r="I34" i="25"/>
  <c r="G34" i="25"/>
  <c r="G12" i="323"/>
  <c r="I12" i="323"/>
  <c r="I28" i="323"/>
  <c r="G28" i="323"/>
  <c r="G37" i="465"/>
  <c r="I37" i="465"/>
  <c r="I40" i="166"/>
  <c r="F40" i="166" s="1"/>
  <c r="G40" i="166" s="1"/>
  <c r="I12" i="199"/>
  <c r="G12" i="199"/>
  <c r="I42" i="199"/>
  <c r="G42" i="199"/>
  <c r="I34" i="337"/>
  <c r="G34" i="337"/>
  <c r="I18" i="337"/>
  <c r="G18" i="337"/>
  <c r="I44" i="427"/>
  <c r="G44" i="427"/>
  <c r="G10" i="427"/>
  <c r="I10" i="427"/>
  <c r="I30" i="297"/>
  <c r="G30" i="297"/>
  <c r="G27" i="297"/>
  <c r="I27" i="297"/>
  <c r="I21" i="247"/>
  <c r="G21" i="247"/>
  <c r="G13" i="247"/>
  <c r="I13" i="247"/>
  <c r="I44" i="198"/>
  <c r="G44" i="198"/>
  <c r="I43" i="198"/>
  <c r="G43" i="198"/>
  <c r="I31" i="416"/>
  <c r="G31" i="416"/>
  <c r="G22" i="416"/>
  <c r="I22" i="416"/>
  <c r="I40" i="204"/>
  <c r="F40" i="204" s="1"/>
  <c r="G40" i="204" s="1"/>
  <c r="I43" i="197"/>
  <c r="G43" i="197"/>
  <c r="G21" i="197"/>
  <c r="I21" i="197"/>
  <c r="G28" i="195"/>
  <c r="I28" i="195"/>
  <c r="I31" i="37"/>
  <c r="G31" i="37"/>
  <c r="I11" i="37"/>
  <c r="G11" i="37"/>
  <c r="G15" i="1"/>
  <c r="I15" i="1"/>
  <c r="I17" i="1"/>
  <c r="G17" i="1"/>
  <c r="I44" i="424"/>
  <c r="G44" i="424"/>
  <c r="I29" i="424"/>
  <c r="G29" i="424"/>
  <c r="I38" i="446"/>
  <c r="G38" i="446"/>
  <c r="I34" i="446"/>
  <c r="G34" i="446"/>
  <c r="I40" i="215"/>
  <c r="F40" i="215" s="1"/>
  <c r="G40" i="215" s="1"/>
  <c r="G12" i="398"/>
  <c r="I12" i="398"/>
  <c r="G39" i="398"/>
  <c r="I39" i="398"/>
  <c r="E40" i="472"/>
  <c r="I43" i="433"/>
  <c r="G43" i="433"/>
  <c r="I40" i="316"/>
  <c r="F40" i="316" s="1"/>
  <c r="G40" i="316" s="1"/>
  <c r="I16" i="423"/>
  <c r="G16" i="423"/>
  <c r="I10" i="423"/>
  <c r="G10" i="423"/>
  <c r="G23" i="275"/>
  <c r="I23" i="275"/>
  <c r="G10" i="295"/>
  <c r="I10" i="295"/>
  <c r="I19" i="295" s="1"/>
  <c r="F19" i="295" s="1"/>
  <c r="G19" i="295" s="1"/>
  <c r="G37" i="8"/>
  <c r="I37" i="8"/>
  <c r="G22" i="49"/>
  <c r="I22" i="49"/>
  <c r="I43" i="218"/>
  <c r="G43" i="218"/>
  <c r="I31" i="370"/>
  <c r="G31" i="370"/>
  <c r="I28" i="400"/>
  <c r="G28" i="400"/>
  <c r="I43" i="366"/>
  <c r="G43" i="366"/>
  <c r="I15" i="14"/>
  <c r="G15" i="14"/>
  <c r="G14" i="35"/>
  <c r="I14" i="35"/>
  <c r="G17" i="429"/>
  <c r="I17" i="429"/>
  <c r="I30" i="433"/>
  <c r="G30" i="433"/>
  <c r="G42" i="275"/>
  <c r="I42" i="275"/>
  <c r="I23" i="470"/>
  <c r="G23" i="470"/>
  <c r="I12" i="470"/>
  <c r="G12" i="470"/>
  <c r="G21" i="295"/>
  <c r="I21" i="295"/>
  <c r="G42" i="295"/>
  <c r="I42" i="295"/>
  <c r="E48" i="423"/>
  <c r="G12" i="64"/>
  <c r="I12" i="64"/>
  <c r="I26" i="405"/>
  <c r="G26" i="405"/>
  <c r="I35" i="405"/>
  <c r="G35" i="405"/>
  <c r="G42" i="123"/>
  <c r="I42" i="123"/>
  <c r="I19" i="346"/>
  <c r="F19" i="346" s="1"/>
  <c r="G19" i="346" s="1"/>
  <c r="G26" i="355"/>
  <c r="I26" i="355"/>
  <c r="I17" i="8"/>
  <c r="G17" i="8"/>
  <c r="I23" i="8"/>
  <c r="G23" i="8"/>
  <c r="I39" i="437"/>
  <c r="G39" i="437"/>
  <c r="I21" i="437"/>
  <c r="G21" i="437"/>
  <c r="I19" i="145"/>
  <c r="F19" i="145" s="1"/>
  <c r="G19" i="145" s="1"/>
  <c r="G16" i="49"/>
  <c r="I16" i="49"/>
  <c r="I12" i="49"/>
  <c r="G12" i="49"/>
  <c r="I44" i="180"/>
  <c r="G44" i="180"/>
  <c r="I48" i="164"/>
  <c r="I43" i="230"/>
  <c r="G43" i="230"/>
  <c r="I39" i="349"/>
  <c r="G39" i="349"/>
  <c r="G11" i="13"/>
  <c r="I11" i="13"/>
  <c r="G44" i="13"/>
  <c r="I44" i="13"/>
  <c r="I10" i="361"/>
  <c r="G10" i="361"/>
  <c r="I44" i="54"/>
  <c r="G44" i="54"/>
  <c r="I26" i="417"/>
  <c r="G26" i="417"/>
  <c r="I42" i="417"/>
  <c r="G42" i="417"/>
  <c r="I24" i="234"/>
  <c r="F24" i="234" s="1"/>
  <c r="G24" i="234" s="1"/>
  <c r="I17" i="218"/>
  <c r="G17" i="218"/>
  <c r="I37" i="218"/>
  <c r="G37" i="218"/>
  <c r="I19" i="443"/>
  <c r="F19" i="443" s="1"/>
  <c r="G19" i="443" s="1"/>
  <c r="E48" i="218"/>
  <c r="I26" i="462"/>
  <c r="G26" i="462"/>
  <c r="I16" i="67"/>
  <c r="G16" i="67"/>
  <c r="I34" i="67"/>
  <c r="G34" i="67"/>
  <c r="I36" i="196"/>
  <c r="G36" i="196"/>
  <c r="I37" i="370"/>
  <c r="G37" i="370"/>
  <c r="I31" i="461"/>
  <c r="G31" i="461"/>
  <c r="I42" i="60"/>
  <c r="G42" i="60"/>
  <c r="I39" i="117"/>
  <c r="G39" i="117"/>
  <c r="G15" i="117"/>
  <c r="I15" i="117"/>
  <c r="G35" i="400"/>
  <c r="I35" i="400"/>
  <c r="I21" i="400"/>
  <c r="G21" i="400"/>
  <c r="G35" i="453"/>
  <c r="I35" i="453"/>
  <c r="G42" i="453"/>
  <c r="I42" i="453"/>
  <c r="I46" i="453" s="1"/>
  <c r="F46" i="453" s="1"/>
  <c r="G46" i="453" s="1"/>
  <c r="I44" i="373"/>
  <c r="G44" i="373"/>
  <c r="I38" i="373"/>
  <c r="G38" i="373"/>
  <c r="F18" i="478"/>
  <c r="F42" i="478"/>
  <c r="F30" i="478"/>
  <c r="F34" i="478"/>
  <c r="F21" i="478"/>
  <c r="F43" i="478"/>
  <c r="F16" i="478"/>
  <c r="F22" i="478"/>
  <c r="F44" i="478"/>
  <c r="F12" i="478"/>
  <c r="F39" i="478"/>
  <c r="F23" i="478"/>
  <c r="F45" i="478"/>
  <c r="G45" i="478" s="1"/>
  <c r="F26" i="478"/>
  <c r="F38" i="478"/>
  <c r="F27" i="478"/>
  <c r="F36" i="478"/>
  <c r="F28" i="478"/>
  <c r="F17" i="478"/>
  <c r="F29" i="478"/>
  <c r="F10" i="478"/>
  <c r="F14" i="478"/>
  <c r="F11" i="478"/>
  <c r="F31" i="478"/>
  <c r="F13" i="478"/>
  <c r="F35" i="478"/>
  <c r="F15" i="478"/>
  <c r="F37" i="478"/>
  <c r="G14" i="16"/>
  <c r="I14" i="16"/>
  <c r="I31" i="16"/>
  <c r="G31" i="16"/>
  <c r="G35" i="451"/>
  <c r="I35" i="451"/>
  <c r="I31" i="451"/>
  <c r="G31" i="451"/>
  <c r="I16" i="38"/>
  <c r="G16" i="38"/>
  <c r="I35" i="38"/>
  <c r="G35" i="38"/>
  <c r="I32" i="316"/>
  <c r="F32" i="316" s="1"/>
  <c r="G32" i="316" s="1"/>
  <c r="G31" i="418"/>
  <c r="I31" i="418"/>
  <c r="I29" i="39"/>
  <c r="G29" i="39"/>
  <c r="I27" i="39"/>
  <c r="G27" i="39"/>
  <c r="G35" i="120"/>
  <c r="I35" i="120"/>
  <c r="I34" i="120"/>
  <c r="G34" i="120"/>
  <c r="I13" i="366"/>
  <c r="G13" i="366"/>
  <c r="I10" i="366"/>
  <c r="G10" i="366"/>
  <c r="G39" i="92"/>
  <c r="I39" i="92"/>
  <c r="I21" i="92"/>
  <c r="G21" i="92"/>
  <c r="G23" i="53"/>
  <c r="I23" i="53"/>
  <c r="I35" i="53"/>
  <c r="G35" i="53"/>
  <c r="I27" i="434"/>
  <c r="G27" i="434"/>
  <c r="I11" i="61"/>
  <c r="G11" i="61"/>
  <c r="I26" i="14"/>
  <c r="G26" i="14"/>
  <c r="I31" i="14"/>
  <c r="G31" i="14"/>
  <c r="G35" i="91"/>
  <c r="I35" i="91"/>
  <c r="I44" i="415"/>
  <c r="G44" i="415"/>
  <c r="I35" i="430"/>
  <c r="G35" i="430"/>
  <c r="G26" i="31"/>
  <c r="I26" i="31"/>
  <c r="I27" i="31"/>
  <c r="G27" i="31"/>
  <c r="G23" i="181"/>
  <c r="I23" i="181"/>
  <c r="I27" i="181"/>
  <c r="G27" i="181"/>
  <c r="G43" i="262"/>
  <c r="I43" i="262"/>
  <c r="I10" i="262"/>
  <c r="G10" i="262"/>
  <c r="I34" i="78"/>
  <c r="G34" i="78"/>
  <c r="G39" i="267"/>
  <c r="I39" i="267"/>
  <c r="I30" i="267"/>
  <c r="G30" i="267"/>
  <c r="I16" i="19"/>
  <c r="G16" i="19"/>
  <c r="G17" i="19"/>
  <c r="I17" i="19"/>
  <c r="G11" i="58"/>
  <c r="I11" i="58"/>
  <c r="I26" i="58"/>
  <c r="G26" i="58"/>
  <c r="I10" i="32"/>
  <c r="G10" i="32"/>
  <c r="I24" i="380"/>
  <c r="F24" i="380" s="1"/>
  <c r="G24" i="380" s="1"/>
  <c r="I26" i="24"/>
  <c r="G26" i="24"/>
  <c r="I21" i="321"/>
  <c r="G21" i="321"/>
  <c r="I35" i="321"/>
  <c r="G35" i="321"/>
  <c r="I30" i="315"/>
  <c r="G30" i="315"/>
  <c r="I15" i="315"/>
  <c r="G15" i="315"/>
  <c r="I34" i="72"/>
  <c r="G34" i="72"/>
  <c r="G39" i="72"/>
  <c r="I39" i="72"/>
  <c r="G30" i="17"/>
  <c r="I30" i="17"/>
  <c r="I13" i="436"/>
  <c r="G13" i="436"/>
  <c r="I10" i="436"/>
  <c r="G10" i="436"/>
  <c r="G10" i="364"/>
  <c r="I10" i="364"/>
  <c r="G16" i="364"/>
  <c r="I16" i="364"/>
  <c r="I28" i="360"/>
  <c r="G28" i="360"/>
  <c r="G44" i="35"/>
  <c r="I44" i="35"/>
  <c r="I22" i="35"/>
  <c r="G22" i="35"/>
  <c r="G22" i="27"/>
  <c r="I22" i="27"/>
  <c r="I44" i="246"/>
  <c r="G44" i="246"/>
  <c r="I16" i="246"/>
  <c r="G16" i="246"/>
  <c r="I18" i="10"/>
  <c r="G18" i="10"/>
  <c r="I24" i="287"/>
  <c r="F24" i="287" s="1"/>
  <c r="G24" i="287" s="1"/>
  <c r="I37" i="429"/>
  <c r="G37" i="429"/>
  <c r="G27" i="119"/>
  <c r="I27" i="119"/>
  <c r="I29" i="119"/>
  <c r="G29" i="119"/>
  <c r="G26" i="158"/>
  <c r="I26" i="158"/>
  <c r="I42" i="157"/>
  <c r="G42" i="157"/>
  <c r="G27" i="157"/>
  <c r="I27" i="157"/>
  <c r="I46" i="248"/>
  <c r="F46" i="248" s="1"/>
  <c r="G46" i="248" s="1"/>
  <c r="I16" i="406"/>
  <c r="G16" i="406"/>
  <c r="I30" i="406"/>
  <c r="G30" i="406"/>
  <c r="G17" i="276"/>
  <c r="I17" i="276"/>
  <c r="G28" i="276"/>
  <c r="I28" i="276"/>
  <c r="I42" i="407"/>
  <c r="I46" i="407" s="1"/>
  <c r="F46" i="407" s="1"/>
  <c r="G46" i="407" s="1"/>
  <c r="G42" i="407"/>
  <c r="I27" i="407"/>
  <c r="G27" i="407"/>
  <c r="I27" i="26"/>
  <c r="G27" i="26"/>
  <c r="G11" i="26"/>
  <c r="I11" i="26"/>
  <c r="I30" i="332"/>
  <c r="G30" i="332"/>
  <c r="I34" i="332"/>
  <c r="G34" i="332"/>
  <c r="I18" i="294"/>
  <c r="G18" i="294"/>
  <c r="I34" i="294"/>
  <c r="G34" i="294"/>
  <c r="G21" i="36"/>
  <c r="I21" i="36"/>
  <c r="I15" i="210"/>
  <c r="G15" i="210"/>
  <c r="I23" i="210"/>
  <c r="G23" i="210"/>
  <c r="I21" i="191"/>
  <c r="G21" i="191"/>
  <c r="G23" i="191"/>
  <c r="I23" i="191"/>
  <c r="G22" i="41"/>
  <c r="I22" i="41"/>
  <c r="I31" i="41"/>
  <c r="G31" i="41"/>
  <c r="I42" i="385"/>
  <c r="I46" i="385" s="1"/>
  <c r="F46" i="385" s="1"/>
  <c r="G46" i="385" s="1"/>
  <c r="G42" i="385"/>
  <c r="I27" i="385"/>
  <c r="G27" i="385"/>
  <c r="I22" i="388"/>
  <c r="G22" i="388"/>
  <c r="I28" i="388"/>
  <c r="G28" i="388"/>
  <c r="I15" i="216"/>
  <c r="G15" i="216"/>
  <c r="I39" i="250"/>
  <c r="G39" i="250"/>
  <c r="I14" i="250"/>
  <c r="G14" i="250"/>
  <c r="I16" i="23"/>
  <c r="G16" i="23"/>
  <c r="I26" i="23"/>
  <c r="I32" i="23" s="1"/>
  <c r="F32" i="23" s="1"/>
  <c r="G32" i="23" s="1"/>
  <c r="G26" i="23"/>
  <c r="I14" i="289"/>
  <c r="G14" i="289"/>
  <c r="G31" i="25"/>
  <c r="I31" i="25"/>
  <c r="I26" i="25"/>
  <c r="G26" i="25"/>
  <c r="G14" i="323"/>
  <c r="I14" i="323"/>
  <c r="I42" i="323"/>
  <c r="G42" i="323"/>
  <c r="I15" i="465"/>
  <c r="G15" i="465"/>
  <c r="I30" i="199"/>
  <c r="G30" i="199"/>
  <c r="I15" i="199"/>
  <c r="G15" i="199"/>
  <c r="I12" i="337"/>
  <c r="G12" i="337"/>
  <c r="G10" i="337"/>
  <c r="I10" i="337"/>
  <c r="I16" i="427"/>
  <c r="G16" i="427"/>
  <c r="I42" i="427"/>
  <c r="G42" i="427"/>
  <c r="I11" i="297"/>
  <c r="G11" i="297"/>
  <c r="I34" i="297"/>
  <c r="G34" i="297"/>
  <c r="G14" i="247"/>
  <c r="I14" i="247"/>
  <c r="I17" i="247"/>
  <c r="G17" i="247"/>
  <c r="I38" i="198"/>
  <c r="G38" i="198"/>
  <c r="I29" i="198"/>
  <c r="G29" i="198"/>
  <c r="I13" i="416"/>
  <c r="G13" i="416"/>
  <c r="I34" i="416"/>
  <c r="G34" i="416"/>
  <c r="I23" i="197"/>
  <c r="G23" i="197"/>
  <c r="I18" i="197"/>
  <c r="G18" i="197"/>
  <c r="I11" i="195"/>
  <c r="G11" i="195"/>
  <c r="I36" i="195"/>
  <c r="G36" i="195"/>
  <c r="I23" i="37"/>
  <c r="G23" i="37"/>
  <c r="I17" i="37"/>
  <c r="G17" i="37"/>
  <c r="I36" i="1"/>
  <c r="G36" i="1"/>
  <c r="I38" i="1"/>
  <c r="G38" i="1"/>
  <c r="I32" i="431"/>
  <c r="F32" i="431" s="1"/>
  <c r="G32" i="431" s="1"/>
  <c r="F38" i="384"/>
  <c r="F30" i="384"/>
  <c r="F17" i="384"/>
  <c r="F27" i="384"/>
  <c r="F39" i="384"/>
  <c r="F18" i="384"/>
  <c r="F42" i="384"/>
  <c r="F11" i="384"/>
  <c r="F21" i="384"/>
  <c r="F31" i="384"/>
  <c r="F43" i="384"/>
  <c r="F12" i="384"/>
  <c r="F22" i="384"/>
  <c r="F34" i="384"/>
  <c r="F44" i="384"/>
  <c r="F36" i="384"/>
  <c r="F26" i="384"/>
  <c r="F15" i="384"/>
  <c r="F28" i="384"/>
  <c r="F13" i="384"/>
  <c r="F35" i="384"/>
  <c r="F14" i="384"/>
  <c r="F37" i="384"/>
  <c r="F16" i="384"/>
  <c r="F23" i="384"/>
  <c r="F45" i="384"/>
  <c r="G45" i="384" s="1"/>
  <c r="F29" i="384"/>
  <c r="F10" i="384"/>
  <c r="I14" i="424"/>
  <c r="G14" i="424"/>
  <c r="G28" i="424"/>
  <c r="I28" i="424"/>
  <c r="I16" i="446"/>
  <c r="G16" i="446"/>
  <c r="G22" i="446"/>
  <c r="I22" i="446"/>
  <c r="I19" i="322"/>
  <c r="F19" i="322" s="1"/>
  <c r="G19" i="322" s="1"/>
  <c r="I31" i="398"/>
  <c r="G31" i="398"/>
  <c r="I17" i="398"/>
  <c r="G17" i="398"/>
  <c r="I31" i="433"/>
  <c r="G31" i="433"/>
  <c r="I34" i="433"/>
  <c r="G34" i="433"/>
  <c r="I15" i="423"/>
  <c r="G15" i="423"/>
  <c r="I28" i="423"/>
  <c r="G28" i="423"/>
  <c r="I22" i="230"/>
  <c r="G22" i="230"/>
  <c r="G17" i="196"/>
  <c r="I17" i="196"/>
  <c r="I39" i="60"/>
  <c r="G39" i="60"/>
  <c r="I34" i="373"/>
  <c r="G34" i="373"/>
  <c r="I42" i="38"/>
  <c r="I46" i="38" s="1"/>
  <c r="F46" i="38" s="1"/>
  <c r="G46" i="38" s="1"/>
  <c r="G42" i="38"/>
  <c r="I16" i="91"/>
  <c r="G16" i="91"/>
  <c r="I38" i="267"/>
  <c r="G38" i="267"/>
  <c r="I16" i="24"/>
  <c r="G16" i="24"/>
  <c r="I14" i="436"/>
  <c r="G14" i="436"/>
  <c r="G23" i="35"/>
  <c r="I23" i="35"/>
  <c r="I43" i="96"/>
  <c r="G43" i="96"/>
  <c r="G21" i="10"/>
  <c r="I21" i="10"/>
  <c r="G28" i="158"/>
  <c r="I28" i="158"/>
  <c r="I21" i="446"/>
  <c r="G21" i="446"/>
  <c r="F37" i="463"/>
  <c r="F28" i="463"/>
  <c r="F11" i="463"/>
  <c r="F39" i="463"/>
  <c r="F43" i="463"/>
  <c r="F15" i="463"/>
  <c r="F23" i="463"/>
  <c r="F36" i="463"/>
  <c r="F27" i="463"/>
  <c r="F10" i="463"/>
  <c r="F18" i="463"/>
  <c r="F14" i="463"/>
  <c r="F45" i="463"/>
  <c r="G45" i="463" s="1"/>
  <c r="F38" i="463"/>
  <c r="F22" i="463"/>
  <c r="F35" i="463"/>
  <c r="F17" i="463"/>
  <c r="F29" i="463"/>
  <c r="F16" i="463"/>
  <c r="F44" i="463"/>
  <c r="F26" i="463"/>
  <c r="F13" i="463"/>
  <c r="F42" i="463"/>
  <c r="F30" i="463"/>
  <c r="F31" i="463"/>
  <c r="F12" i="463"/>
  <c r="F21" i="463"/>
  <c r="F34" i="463"/>
  <c r="G17" i="275"/>
  <c r="I17" i="275"/>
  <c r="I32" i="473"/>
  <c r="F32" i="473" s="1"/>
  <c r="G32" i="473" s="1"/>
  <c r="I32" i="165"/>
  <c r="F32" i="165" s="1"/>
  <c r="G32" i="165" s="1"/>
  <c r="I31" i="275"/>
  <c r="G31" i="275"/>
  <c r="G37" i="275"/>
  <c r="I37" i="275"/>
  <c r="I24" i="335"/>
  <c r="F24" i="335" s="1"/>
  <c r="G24" i="335" s="1"/>
  <c r="G14" i="470"/>
  <c r="I14" i="470"/>
  <c r="G29" i="470"/>
  <c r="I29" i="470"/>
  <c r="G35" i="295"/>
  <c r="I35" i="295"/>
  <c r="I24" i="65"/>
  <c r="F24" i="65" s="1"/>
  <c r="G24" i="65" s="1"/>
  <c r="I35" i="64"/>
  <c r="G35" i="64"/>
  <c r="I14" i="405"/>
  <c r="G14" i="405"/>
  <c r="G22" i="405"/>
  <c r="I22" i="405"/>
  <c r="G35" i="123"/>
  <c r="I35" i="123"/>
  <c r="I21" i="123"/>
  <c r="G21" i="123"/>
  <c r="I48" i="447"/>
  <c r="I28" i="355"/>
  <c r="G28" i="355"/>
  <c r="I38" i="355"/>
  <c r="G38" i="355"/>
  <c r="I31" i="8"/>
  <c r="G31" i="8"/>
  <c r="I34" i="8"/>
  <c r="G34" i="8"/>
  <c r="G26" i="437"/>
  <c r="I26" i="437"/>
  <c r="G42" i="437"/>
  <c r="I42" i="437"/>
  <c r="G27" i="49"/>
  <c r="I27" i="49"/>
  <c r="G22" i="180"/>
  <c r="I22" i="180"/>
  <c r="I29" i="180"/>
  <c r="G29" i="180"/>
  <c r="I32" i="171"/>
  <c r="F32" i="171" s="1"/>
  <c r="G32" i="171" s="1"/>
  <c r="I30" i="230"/>
  <c r="G30" i="230"/>
  <c r="G23" i="230"/>
  <c r="I23" i="230"/>
  <c r="I46" i="88"/>
  <c r="F46" i="88" s="1"/>
  <c r="G46" i="88" s="1"/>
  <c r="I31" i="349"/>
  <c r="G31" i="349"/>
  <c r="G36" i="13"/>
  <c r="I36" i="13"/>
  <c r="G12" i="13"/>
  <c r="I12" i="13"/>
  <c r="I22" i="361"/>
  <c r="G22" i="361"/>
  <c r="G42" i="54"/>
  <c r="I42" i="54"/>
  <c r="I23" i="417"/>
  <c r="G23" i="417"/>
  <c r="G35" i="417"/>
  <c r="I35" i="417"/>
  <c r="I29" i="218"/>
  <c r="G29" i="218"/>
  <c r="I42" i="218"/>
  <c r="G42" i="218"/>
  <c r="I17" i="462"/>
  <c r="G17" i="462"/>
  <c r="G12" i="67"/>
  <c r="I12" i="67"/>
  <c r="G43" i="67"/>
  <c r="I43" i="67"/>
  <c r="I46" i="368"/>
  <c r="F46" i="368" s="1"/>
  <c r="G46" i="368" s="1"/>
  <c r="G23" i="196"/>
  <c r="I23" i="196"/>
  <c r="G22" i="196"/>
  <c r="I22" i="196"/>
  <c r="I23" i="370"/>
  <c r="G23" i="370"/>
  <c r="I34" i="370"/>
  <c r="G34" i="370"/>
  <c r="I24" i="409"/>
  <c r="F24" i="409" s="1"/>
  <c r="G24" i="409" s="1"/>
  <c r="G27" i="461"/>
  <c r="I27" i="461"/>
  <c r="I24" i="300"/>
  <c r="F24" i="300" s="1"/>
  <c r="G24" i="300" s="1"/>
  <c r="I16" i="60"/>
  <c r="G16" i="60"/>
  <c r="I23" i="60"/>
  <c r="G23" i="60"/>
  <c r="I40" i="176"/>
  <c r="F40" i="176" s="1"/>
  <c r="G40" i="176" s="1"/>
  <c r="G23" i="117"/>
  <c r="I23" i="117"/>
  <c r="I36" i="117"/>
  <c r="G36" i="117"/>
  <c r="I11" i="400"/>
  <c r="G11" i="400"/>
  <c r="I30" i="400"/>
  <c r="G30" i="400"/>
  <c r="I18" i="453"/>
  <c r="G18" i="453"/>
  <c r="I34" i="453"/>
  <c r="G34" i="453"/>
  <c r="G18" i="373"/>
  <c r="I18" i="373"/>
  <c r="G27" i="373"/>
  <c r="I27" i="373"/>
  <c r="I32" i="255"/>
  <c r="F32" i="255" s="1"/>
  <c r="G32" i="255" s="1"/>
  <c r="C48" i="478"/>
  <c r="I44" i="16"/>
  <c r="G44" i="16"/>
  <c r="I30" i="451"/>
  <c r="G30" i="451"/>
  <c r="I17" i="451"/>
  <c r="G17" i="451"/>
  <c r="I31" i="38"/>
  <c r="G31" i="38"/>
  <c r="I27" i="38"/>
  <c r="G27" i="38"/>
  <c r="I19" i="426"/>
  <c r="F19" i="426" s="1"/>
  <c r="G19" i="426" s="1"/>
  <c r="I44" i="418"/>
  <c r="G44" i="418"/>
  <c r="G11" i="39"/>
  <c r="I11" i="39"/>
  <c r="G26" i="39"/>
  <c r="I26" i="39"/>
  <c r="I36" i="120"/>
  <c r="G36" i="120"/>
  <c r="I28" i="120"/>
  <c r="G28" i="120"/>
  <c r="G26" i="366"/>
  <c r="I26" i="366"/>
  <c r="G28" i="92"/>
  <c r="I28" i="92"/>
  <c r="I18" i="92"/>
  <c r="G18" i="92"/>
  <c r="G13" i="53"/>
  <c r="I13" i="53"/>
  <c r="G42" i="53"/>
  <c r="I42" i="53"/>
  <c r="I15" i="434"/>
  <c r="G15" i="434"/>
  <c r="G26" i="61"/>
  <c r="I26" i="61"/>
  <c r="I28" i="14"/>
  <c r="G28" i="14"/>
  <c r="I22" i="14"/>
  <c r="G22" i="14"/>
  <c r="I27" i="91"/>
  <c r="G27" i="91"/>
  <c r="I43" i="91"/>
  <c r="G43" i="91"/>
  <c r="I14" i="415"/>
  <c r="G14" i="415"/>
  <c r="I31" i="415"/>
  <c r="G31" i="415"/>
  <c r="I39" i="75"/>
  <c r="G39" i="75"/>
  <c r="I39" i="430"/>
  <c r="G39" i="430"/>
  <c r="I26" i="430"/>
  <c r="G26" i="430"/>
  <c r="I43" i="31"/>
  <c r="G43" i="31"/>
  <c r="I38" i="31"/>
  <c r="G38" i="31"/>
  <c r="G29" i="181"/>
  <c r="I29" i="181"/>
  <c r="I31" i="181"/>
  <c r="G31" i="181"/>
  <c r="I21" i="262"/>
  <c r="G21" i="262"/>
  <c r="I13" i="262"/>
  <c r="G13" i="262"/>
  <c r="I15" i="78"/>
  <c r="G15" i="78"/>
  <c r="I22" i="267"/>
  <c r="G22" i="267"/>
  <c r="G29" i="267"/>
  <c r="I29" i="267"/>
  <c r="G28" i="19"/>
  <c r="I28" i="19"/>
  <c r="I30" i="19"/>
  <c r="G30" i="19"/>
  <c r="G39" i="58"/>
  <c r="I39" i="58"/>
  <c r="G18" i="58"/>
  <c r="I18" i="58"/>
  <c r="G38" i="32"/>
  <c r="I38" i="32"/>
  <c r="I42" i="24"/>
  <c r="G42" i="24"/>
  <c r="I17" i="24"/>
  <c r="G17" i="24"/>
  <c r="G16" i="321"/>
  <c r="I16" i="321"/>
  <c r="I29" i="321"/>
  <c r="G29" i="321"/>
  <c r="I39" i="315"/>
  <c r="G39" i="315"/>
  <c r="I37" i="315"/>
  <c r="G37" i="315"/>
  <c r="G43" i="72"/>
  <c r="I43" i="72"/>
  <c r="I23" i="72"/>
  <c r="G23" i="72"/>
  <c r="I32" i="443"/>
  <c r="F32" i="443" s="1"/>
  <c r="G32" i="443" s="1"/>
  <c r="I39" i="17"/>
  <c r="G39" i="17"/>
  <c r="I21" i="436"/>
  <c r="G21" i="436"/>
  <c r="G15" i="436"/>
  <c r="I15" i="436"/>
  <c r="I37" i="364"/>
  <c r="G37" i="364"/>
  <c r="I31" i="364"/>
  <c r="G31" i="364"/>
  <c r="I38" i="35"/>
  <c r="G38" i="35"/>
  <c r="G12" i="35"/>
  <c r="I12" i="35"/>
  <c r="I18" i="27"/>
  <c r="G18" i="27"/>
  <c r="I35" i="96"/>
  <c r="G35" i="96"/>
  <c r="I21" i="246"/>
  <c r="G21" i="246"/>
  <c r="G38" i="246"/>
  <c r="I38" i="246"/>
  <c r="I24" i="80"/>
  <c r="F24" i="80" s="1"/>
  <c r="G24" i="80" s="1"/>
  <c r="G22" i="10"/>
  <c r="I22" i="10"/>
  <c r="I13" i="10"/>
  <c r="G13" i="10"/>
  <c r="I43" i="429"/>
  <c r="G43" i="429"/>
  <c r="I15" i="119"/>
  <c r="G15" i="119"/>
  <c r="G21" i="119"/>
  <c r="I21" i="119"/>
  <c r="I43" i="158"/>
  <c r="G43" i="158"/>
  <c r="I27" i="158"/>
  <c r="G27" i="158"/>
  <c r="I32" i="80"/>
  <c r="F32" i="80" s="1"/>
  <c r="G32" i="80" s="1"/>
  <c r="I35" i="157"/>
  <c r="G35" i="157"/>
  <c r="I11" i="157"/>
  <c r="G11" i="157"/>
  <c r="G10" i="406"/>
  <c r="I10" i="406"/>
  <c r="G34" i="406"/>
  <c r="I34" i="406"/>
  <c r="I16" i="276"/>
  <c r="G16" i="276"/>
  <c r="G23" i="276"/>
  <c r="I23" i="276"/>
  <c r="G36" i="407"/>
  <c r="I36" i="407"/>
  <c r="I12" i="26"/>
  <c r="G12" i="26"/>
  <c r="I21" i="26"/>
  <c r="G21" i="26"/>
  <c r="I18" i="332"/>
  <c r="G18" i="332"/>
  <c r="I27" i="332"/>
  <c r="G27" i="332"/>
  <c r="G26" i="294"/>
  <c r="I26" i="294"/>
  <c r="I14" i="294"/>
  <c r="G14" i="294"/>
  <c r="G17" i="36"/>
  <c r="I17" i="36"/>
  <c r="G26" i="210"/>
  <c r="I26" i="210"/>
  <c r="G36" i="210"/>
  <c r="I36" i="210"/>
  <c r="I46" i="365"/>
  <c r="F46" i="365" s="1"/>
  <c r="G46" i="365" s="1"/>
  <c r="I31" i="191"/>
  <c r="G31" i="191"/>
  <c r="I14" i="191"/>
  <c r="G14" i="191"/>
  <c r="I12" i="41"/>
  <c r="G12" i="41"/>
  <c r="I30" i="385"/>
  <c r="G30" i="385"/>
  <c r="I35" i="385"/>
  <c r="G35" i="385"/>
  <c r="I46" i="335"/>
  <c r="F46" i="335" s="1"/>
  <c r="G46" i="335" s="1"/>
  <c r="I27" i="388"/>
  <c r="G27" i="388"/>
  <c r="I36" i="388"/>
  <c r="G36" i="388"/>
  <c r="I35" i="216"/>
  <c r="G35" i="216"/>
  <c r="G28" i="250"/>
  <c r="I28" i="250"/>
  <c r="I10" i="250"/>
  <c r="G10" i="250"/>
  <c r="I36" i="23"/>
  <c r="G36" i="23"/>
  <c r="I12" i="23"/>
  <c r="G12" i="23"/>
  <c r="I23" i="289"/>
  <c r="G23" i="289"/>
  <c r="I11" i="25"/>
  <c r="G11" i="25"/>
  <c r="I28" i="25"/>
  <c r="G28" i="25"/>
  <c r="G21" i="323"/>
  <c r="I21" i="323"/>
  <c r="I39" i="323"/>
  <c r="G39" i="323"/>
  <c r="I23" i="465"/>
  <c r="G23" i="465"/>
  <c r="I36" i="465"/>
  <c r="G36" i="465"/>
  <c r="I18" i="199"/>
  <c r="G18" i="199"/>
  <c r="I39" i="199"/>
  <c r="G39" i="199"/>
  <c r="I43" i="337"/>
  <c r="G43" i="337"/>
  <c r="G36" i="337"/>
  <c r="I36" i="337"/>
  <c r="G22" i="427"/>
  <c r="I22" i="427"/>
  <c r="I29" i="427"/>
  <c r="G29" i="427"/>
  <c r="G26" i="297"/>
  <c r="I26" i="297"/>
  <c r="I12" i="297"/>
  <c r="G12" i="297"/>
  <c r="I30" i="247"/>
  <c r="G30" i="247"/>
  <c r="I27" i="247"/>
  <c r="G27" i="247"/>
  <c r="G22" i="198"/>
  <c r="I22" i="198"/>
  <c r="G31" i="198"/>
  <c r="I31" i="198"/>
  <c r="I11" i="416"/>
  <c r="G11" i="416"/>
  <c r="I21" i="416"/>
  <c r="G21" i="416"/>
  <c r="I44" i="197"/>
  <c r="G44" i="197"/>
  <c r="I15" i="197"/>
  <c r="G15" i="197"/>
  <c r="G10" i="195"/>
  <c r="I10" i="195"/>
  <c r="I18" i="195"/>
  <c r="G18" i="195"/>
  <c r="I30" i="37"/>
  <c r="G30" i="37"/>
  <c r="G34" i="37"/>
  <c r="I34" i="37"/>
  <c r="I40" i="165"/>
  <c r="F40" i="165" s="1"/>
  <c r="G40" i="165" s="1"/>
  <c r="I12" i="1"/>
  <c r="G12" i="1"/>
  <c r="G14" i="1"/>
  <c r="I14" i="1"/>
  <c r="F37" i="466"/>
  <c r="F38" i="466"/>
  <c r="F30" i="466"/>
  <c r="F13" i="466"/>
  <c r="F21" i="466"/>
  <c r="F43" i="466"/>
  <c r="F15" i="466"/>
  <c r="F23" i="466"/>
  <c r="F27" i="466"/>
  <c r="F34" i="466"/>
  <c r="F36" i="466"/>
  <c r="F10" i="466"/>
  <c r="F18" i="466"/>
  <c r="F12" i="466"/>
  <c r="F29" i="466"/>
  <c r="F39" i="466"/>
  <c r="F14" i="466"/>
  <c r="F22" i="466"/>
  <c r="F42" i="466"/>
  <c r="F31" i="466"/>
  <c r="F17" i="466"/>
  <c r="F28" i="466"/>
  <c r="F45" i="466"/>
  <c r="G45" i="466" s="1"/>
  <c r="F16" i="466"/>
  <c r="F26" i="466"/>
  <c r="F44" i="466"/>
  <c r="F11" i="466"/>
  <c r="F35" i="466"/>
  <c r="G22" i="424"/>
  <c r="I22" i="424"/>
  <c r="G21" i="424"/>
  <c r="I21" i="424"/>
  <c r="I44" i="446"/>
  <c r="G44" i="446"/>
  <c r="I31" i="446"/>
  <c r="G31" i="446"/>
  <c r="I29" i="398"/>
  <c r="G29" i="398"/>
  <c r="I38" i="398"/>
  <c r="G38" i="398"/>
  <c r="I28" i="433"/>
  <c r="G28" i="433"/>
  <c r="I21" i="433"/>
  <c r="G21" i="433"/>
  <c r="I43" i="423"/>
  <c r="G43" i="423"/>
  <c r="G12" i="423"/>
  <c r="I12" i="423"/>
  <c r="F24" i="475"/>
  <c r="G24" i="475" s="1"/>
  <c r="I48" i="475"/>
  <c r="F24" i="474"/>
  <c r="G24" i="474" s="1"/>
  <c r="I48" i="474"/>
  <c r="I24" i="473"/>
  <c r="I44" i="471"/>
  <c r="G44" i="471"/>
  <c r="I43" i="471"/>
  <c r="G43" i="471"/>
  <c r="I42" i="471"/>
  <c r="G42" i="471"/>
  <c r="I39" i="471"/>
  <c r="G39" i="471"/>
  <c r="I38" i="471"/>
  <c r="G38" i="471"/>
  <c r="I37" i="471"/>
  <c r="G37" i="471"/>
  <c r="I36" i="471"/>
  <c r="G36" i="471"/>
  <c r="I35" i="471"/>
  <c r="G35" i="471"/>
  <c r="I34" i="471"/>
  <c r="G34" i="471"/>
  <c r="I31" i="471"/>
  <c r="G31" i="471"/>
  <c r="I30" i="471"/>
  <c r="G30" i="471"/>
  <c r="I29" i="471"/>
  <c r="G29" i="471"/>
  <c r="I28" i="471"/>
  <c r="G28" i="471"/>
  <c r="I27" i="471"/>
  <c r="G27" i="471"/>
  <c r="I26" i="471"/>
  <c r="G26" i="471"/>
  <c r="I23" i="471"/>
  <c r="G23" i="471"/>
  <c r="I22" i="471"/>
  <c r="G22" i="471"/>
  <c r="I21" i="471"/>
  <c r="G21" i="471"/>
  <c r="I18" i="471"/>
  <c r="G18" i="471"/>
  <c r="I17" i="471"/>
  <c r="G17" i="471"/>
  <c r="I16" i="471"/>
  <c r="G16" i="471"/>
  <c r="I15" i="471"/>
  <c r="G15" i="471"/>
  <c r="I14" i="471"/>
  <c r="G14" i="471"/>
  <c r="I13" i="471"/>
  <c r="G13" i="471"/>
  <c r="I12" i="471"/>
  <c r="G12" i="471"/>
  <c r="I11" i="471"/>
  <c r="G11" i="471"/>
  <c r="I10" i="471"/>
  <c r="G10" i="471"/>
  <c r="I19" i="439" l="1"/>
  <c r="F19" i="439" s="1"/>
  <c r="G19" i="439" s="1"/>
  <c r="I46" i="412"/>
  <c r="F46" i="412" s="1"/>
  <c r="G46" i="412" s="1"/>
  <c r="I19" i="209"/>
  <c r="F19" i="209" s="1"/>
  <c r="G19" i="209" s="1"/>
  <c r="I46" i="153"/>
  <c r="F46" i="153" s="1"/>
  <c r="G46" i="153" s="1"/>
  <c r="I46" i="399"/>
  <c r="F46" i="399" s="1"/>
  <c r="G46" i="399" s="1"/>
  <c r="I46" i="349"/>
  <c r="F46" i="349" s="1"/>
  <c r="G46" i="349" s="1"/>
  <c r="I46" i="400"/>
  <c r="F46" i="400" s="1"/>
  <c r="G46" i="400" s="1"/>
  <c r="I48" i="356"/>
  <c r="I46" i="152"/>
  <c r="F46" i="152" s="1"/>
  <c r="G46" i="152" s="1"/>
  <c r="I46" i="301"/>
  <c r="F46" i="301" s="1"/>
  <c r="G46" i="301" s="1"/>
  <c r="I32" i="298"/>
  <c r="F32" i="298" s="1"/>
  <c r="G32" i="298" s="1"/>
  <c r="I32" i="235"/>
  <c r="F32" i="235" s="1"/>
  <c r="G32" i="235" s="1"/>
  <c r="I24" i="438"/>
  <c r="F24" i="438" s="1"/>
  <c r="G24" i="438" s="1"/>
  <c r="I48" i="288"/>
  <c r="I24" i="209"/>
  <c r="I43" i="386"/>
  <c r="G43" i="386"/>
  <c r="G21" i="386"/>
  <c r="I21" i="386"/>
  <c r="G31" i="386"/>
  <c r="I31" i="386"/>
  <c r="I35" i="386"/>
  <c r="G35" i="386"/>
  <c r="I39" i="386"/>
  <c r="G39" i="386"/>
  <c r="I12" i="386"/>
  <c r="G12" i="386"/>
  <c r="I40" i="222"/>
  <c r="F40" i="222" s="1"/>
  <c r="G40" i="222" s="1"/>
  <c r="I40" i="412"/>
  <c r="F40" i="412" s="1"/>
  <c r="G40" i="412" s="1"/>
  <c r="G17" i="386"/>
  <c r="I17" i="386"/>
  <c r="I16" i="386"/>
  <c r="G16" i="386"/>
  <c r="I10" i="386"/>
  <c r="G10" i="386"/>
  <c r="I11" i="386"/>
  <c r="G11" i="386"/>
  <c r="G23" i="386"/>
  <c r="I23" i="386"/>
  <c r="I38" i="386"/>
  <c r="G38" i="386"/>
  <c r="G22" i="386"/>
  <c r="I22" i="386"/>
  <c r="I32" i="210"/>
  <c r="F32" i="210" s="1"/>
  <c r="G32" i="210" s="1"/>
  <c r="I46" i="192"/>
  <c r="F46" i="192" s="1"/>
  <c r="G46" i="192" s="1"/>
  <c r="I32" i="339"/>
  <c r="F32" i="339" s="1"/>
  <c r="G32" i="339" s="1"/>
  <c r="I46" i="169"/>
  <c r="F46" i="169" s="1"/>
  <c r="G46" i="169" s="1"/>
  <c r="I24" i="101"/>
  <c r="F24" i="101" s="1"/>
  <c r="G24" i="101" s="1"/>
  <c r="I46" i="156"/>
  <c r="F46" i="156" s="1"/>
  <c r="G46" i="156" s="1"/>
  <c r="I34" i="307"/>
  <c r="I24" i="271"/>
  <c r="F24" i="271" s="1"/>
  <c r="G24" i="271" s="1"/>
  <c r="I40" i="293"/>
  <c r="F40" i="293" s="1"/>
  <c r="G40" i="293" s="1"/>
  <c r="I24" i="136"/>
  <c r="F24" i="136" s="1"/>
  <c r="G24" i="136" s="1"/>
  <c r="I40" i="110"/>
  <c r="F40" i="110" s="1"/>
  <c r="G40" i="110" s="1"/>
  <c r="I40" i="103"/>
  <c r="F40" i="103" s="1"/>
  <c r="G40" i="103" s="1"/>
  <c r="I46" i="148"/>
  <c r="F46" i="148" s="1"/>
  <c r="G46" i="148" s="1"/>
  <c r="G18" i="399"/>
  <c r="G35" i="399"/>
  <c r="I46" i="115"/>
  <c r="F46" i="115" s="1"/>
  <c r="G46" i="115" s="1"/>
  <c r="I32" i="129"/>
  <c r="F32" i="129" s="1"/>
  <c r="G32" i="129" s="1"/>
  <c r="I46" i="129"/>
  <c r="F46" i="129" s="1"/>
  <c r="G46" i="129" s="1"/>
  <c r="I32" i="184"/>
  <c r="F32" i="184" s="1"/>
  <c r="G32" i="184" s="1"/>
  <c r="I32" i="113"/>
  <c r="F32" i="113" s="1"/>
  <c r="G32" i="113" s="1"/>
  <c r="I40" i="214"/>
  <c r="F40" i="214" s="1"/>
  <c r="G40" i="214" s="1"/>
  <c r="I24" i="412"/>
  <c r="F24" i="412" s="1"/>
  <c r="G24" i="412" s="1"/>
  <c r="I19" i="412"/>
  <c r="F19" i="412" s="1"/>
  <c r="G19" i="412" s="1"/>
  <c r="I36" i="386"/>
  <c r="G36" i="386"/>
  <c r="G15" i="386"/>
  <c r="I15" i="386"/>
  <c r="G34" i="386"/>
  <c r="I34" i="386"/>
  <c r="G28" i="386"/>
  <c r="I28" i="386"/>
  <c r="I18" i="386"/>
  <c r="G18" i="386"/>
  <c r="I37" i="386"/>
  <c r="G37" i="386"/>
  <c r="I42" i="386"/>
  <c r="G42" i="386"/>
  <c r="I46" i="355"/>
  <c r="F46" i="355" s="1"/>
  <c r="G46" i="355" s="1"/>
  <c r="I40" i="15"/>
  <c r="F40" i="15" s="1"/>
  <c r="G40" i="15" s="1"/>
  <c r="I40" i="79"/>
  <c r="F40" i="79" s="1"/>
  <c r="G40" i="79" s="1"/>
  <c r="I46" i="101"/>
  <c r="F46" i="101" s="1"/>
  <c r="G46" i="101" s="1"/>
  <c r="I32" i="110"/>
  <c r="I32" i="85"/>
  <c r="F32" i="85" s="1"/>
  <c r="G32" i="85" s="1"/>
  <c r="I48" i="296"/>
  <c r="F48" i="296" s="1"/>
  <c r="I40" i="112"/>
  <c r="F40" i="112" s="1"/>
  <c r="G40" i="112" s="1"/>
  <c r="I46" i="28"/>
  <c r="F46" i="28" s="1"/>
  <c r="G46" i="28" s="1"/>
  <c r="I24" i="358"/>
  <c r="F24" i="358" s="1"/>
  <c r="G24" i="358" s="1"/>
  <c r="I46" i="268"/>
  <c r="F46" i="268" s="1"/>
  <c r="G46" i="268" s="1"/>
  <c r="I44" i="386"/>
  <c r="G44" i="386"/>
  <c r="G14" i="386"/>
  <c r="I14" i="386"/>
  <c r="I27" i="386"/>
  <c r="G27" i="386"/>
  <c r="I26" i="386"/>
  <c r="G26" i="386"/>
  <c r="I30" i="386"/>
  <c r="G30" i="386"/>
  <c r="I13" i="386"/>
  <c r="G13" i="386"/>
  <c r="I29" i="386"/>
  <c r="G29" i="386"/>
  <c r="I19" i="106"/>
  <c r="F19" i="106" s="1"/>
  <c r="G19" i="106" s="1"/>
  <c r="I19" i="579"/>
  <c r="F19" i="579" s="1"/>
  <c r="G19" i="579" s="1"/>
  <c r="I24" i="244"/>
  <c r="F24" i="244" s="1"/>
  <c r="G24" i="244" s="1"/>
  <c r="I46" i="292"/>
  <c r="F46" i="292" s="1"/>
  <c r="G46" i="292" s="1"/>
  <c r="I32" i="28"/>
  <c r="F32" i="28" s="1"/>
  <c r="G32" i="28" s="1"/>
  <c r="I40" i="327"/>
  <c r="F40" i="327" s="1"/>
  <c r="G40" i="327" s="1"/>
  <c r="I32" i="151"/>
  <c r="F32" i="151" s="1"/>
  <c r="G32" i="151" s="1"/>
  <c r="I19" i="48"/>
  <c r="F19" i="48" s="1"/>
  <c r="G19" i="48" s="1"/>
  <c r="I19" i="381"/>
  <c r="F19" i="381" s="1"/>
  <c r="G19" i="381" s="1"/>
  <c r="I24" i="200"/>
  <c r="F24" i="200" s="1"/>
  <c r="G24" i="200" s="1"/>
  <c r="I19" i="222"/>
  <c r="F19" i="222" s="1"/>
  <c r="G19" i="222" s="1"/>
  <c r="I32" i="200"/>
  <c r="F32" i="200" s="1"/>
  <c r="G32" i="200" s="1"/>
  <c r="I32" i="149"/>
  <c r="F32" i="149" s="1"/>
  <c r="G32" i="149" s="1"/>
  <c r="I24" i="222"/>
  <c r="F24" i="222" s="1"/>
  <c r="G24" i="222" s="1"/>
  <c r="G30" i="185"/>
  <c r="I30" i="185"/>
  <c r="I13" i="185"/>
  <c r="G13" i="185"/>
  <c r="I44" i="185"/>
  <c r="G44" i="185"/>
  <c r="I10" i="185"/>
  <c r="G10" i="185"/>
  <c r="I21" i="185"/>
  <c r="G21" i="185"/>
  <c r="G22" i="185"/>
  <c r="I22" i="185"/>
  <c r="G38" i="185"/>
  <c r="I38" i="185"/>
  <c r="I40" i="48"/>
  <c r="F40" i="48" s="1"/>
  <c r="G40" i="48" s="1"/>
  <c r="I40" i="381"/>
  <c r="F40" i="381" s="1"/>
  <c r="G40" i="381" s="1"/>
  <c r="I24" i="268"/>
  <c r="F24" i="268" s="1"/>
  <c r="G24" i="268" s="1"/>
  <c r="I19" i="214"/>
  <c r="F19" i="214" s="1"/>
  <c r="G19" i="214" s="1"/>
  <c r="I15" i="242"/>
  <c r="G15" i="242"/>
  <c r="G29" i="242"/>
  <c r="I29" i="242"/>
  <c r="I22" i="242"/>
  <c r="G22" i="242"/>
  <c r="I16" i="242"/>
  <c r="G16" i="242"/>
  <c r="I11" i="242"/>
  <c r="G11" i="242"/>
  <c r="I28" i="242"/>
  <c r="G28" i="242"/>
  <c r="I10" i="242"/>
  <c r="G10" i="242"/>
  <c r="I30" i="77"/>
  <c r="G30" i="77"/>
  <c r="I34" i="77"/>
  <c r="G34" i="77"/>
  <c r="I13" i="77"/>
  <c r="G13" i="77"/>
  <c r="I38" i="77"/>
  <c r="G38" i="77"/>
  <c r="G27" i="77"/>
  <c r="I27" i="77"/>
  <c r="I36" i="77"/>
  <c r="G36" i="77"/>
  <c r="I10" i="77"/>
  <c r="G10" i="77"/>
  <c r="I24" i="381"/>
  <c r="I40" i="200"/>
  <c r="F40" i="200" s="1"/>
  <c r="G40" i="200" s="1"/>
  <c r="I24" i="149"/>
  <c r="I32" i="222"/>
  <c r="F32" i="222" s="1"/>
  <c r="G32" i="222" s="1"/>
  <c r="I40" i="8"/>
  <c r="F40" i="8" s="1"/>
  <c r="G40" i="8" s="1"/>
  <c r="I46" i="323"/>
  <c r="F46" i="323" s="1"/>
  <c r="G46" i="323" s="1"/>
  <c r="I46" i="398"/>
  <c r="F46" i="398" s="1"/>
  <c r="G46" i="398" s="1"/>
  <c r="I46" i="297"/>
  <c r="F46" i="297" s="1"/>
  <c r="G46" i="297" s="1"/>
  <c r="I46" i="195"/>
  <c r="F46" i="195" s="1"/>
  <c r="G46" i="195" s="1"/>
  <c r="F22" i="477"/>
  <c r="F39" i="477"/>
  <c r="F31" i="477"/>
  <c r="F10" i="477"/>
  <c r="F13" i="477"/>
  <c r="F26" i="477"/>
  <c r="F23" i="477"/>
  <c r="I19" i="86"/>
  <c r="F19" i="86" s="1"/>
  <c r="G19" i="86" s="1"/>
  <c r="I46" i="194"/>
  <c r="F46" i="194" s="1"/>
  <c r="G46" i="194" s="1"/>
  <c r="I40" i="213"/>
  <c r="F40" i="213" s="1"/>
  <c r="G40" i="213" s="1"/>
  <c r="I32" i="448"/>
  <c r="F32" i="448" s="1"/>
  <c r="G32" i="448" s="1"/>
  <c r="I19" i="79"/>
  <c r="F19" i="79" s="1"/>
  <c r="G19" i="79" s="1"/>
  <c r="I46" i="256"/>
  <c r="F46" i="256" s="1"/>
  <c r="G46" i="256" s="1"/>
  <c r="I40" i="87"/>
  <c r="F40" i="87" s="1"/>
  <c r="G40" i="87" s="1"/>
  <c r="I40" i="460"/>
  <c r="F40" i="460" s="1"/>
  <c r="G40" i="460" s="1"/>
  <c r="I24" i="83"/>
  <c r="F24" i="83" s="1"/>
  <c r="G24" i="83" s="1"/>
  <c r="I46" i="338"/>
  <c r="F46" i="338" s="1"/>
  <c r="G46" i="338" s="1"/>
  <c r="I32" i="283"/>
  <c r="F32" i="283" s="1"/>
  <c r="G32" i="283" s="1"/>
  <c r="I19" i="244"/>
  <c r="F19" i="244" s="1"/>
  <c r="G19" i="244" s="1"/>
  <c r="I19" i="130"/>
  <c r="F19" i="130" s="1"/>
  <c r="G19" i="130" s="1"/>
  <c r="I40" i="440"/>
  <c r="F40" i="440" s="1"/>
  <c r="G40" i="440" s="1"/>
  <c r="I48" i="59"/>
  <c r="I50" i="59" s="1"/>
  <c r="I19" i="46"/>
  <c r="F19" i="46" s="1"/>
  <c r="G19" i="46" s="1"/>
  <c r="I46" i="456"/>
  <c r="F46" i="456" s="1"/>
  <c r="G46" i="456" s="1"/>
  <c r="I40" i="268"/>
  <c r="F40" i="268" s="1"/>
  <c r="G40" i="268" s="1"/>
  <c r="I32" i="214"/>
  <c r="F32" i="214" s="1"/>
  <c r="G32" i="214" s="1"/>
  <c r="I37" i="185"/>
  <c r="G37" i="185"/>
  <c r="I14" i="185"/>
  <c r="G14" i="185"/>
  <c r="G43" i="185"/>
  <c r="I43" i="185"/>
  <c r="G17" i="185"/>
  <c r="I17" i="185"/>
  <c r="I11" i="185"/>
  <c r="G11" i="185"/>
  <c r="G34" i="185"/>
  <c r="I34" i="185"/>
  <c r="I29" i="185"/>
  <c r="G29" i="185"/>
  <c r="I32" i="268"/>
  <c r="F32" i="268" s="1"/>
  <c r="G32" i="268" s="1"/>
  <c r="I19" i="149"/>
  <c r="F19" i="149" s="1"/>
  <c r="G19" i="149" s="1"/>
  <c r="I44" i="242"/>
  <c r="G44" i="242"/>
  <c r="I12" i="242"/>
  <c r="G12" i="242"/>
  <c r="I13" i="242"/>
  <c r="G13" i="242"/>
  <c r="G39" i="242"/>
  <c r="I39" i="242"/>
  <c r="I27" i="242"/>
  <c r="G27" i="242"/>
  <c r="G43" i="242"/>
  <c r="I43" i="242"/>
  <c r="G36" i="242"/>
  <c r="I36" i="242"/>
  <c r="I21" i="77"/>
  <c r="G21" i="77"/>
  <c r="I18" i="77"/>
  <c r="G18" i="77"/>
  <c r="I12" i="77"/>
  <c r="G12" i="77"/>
  <c r="I11" i="77"/>
  <c r="G11" i="77"/>
  <c r="I39" i="77"/>
  <c r="G39" i="77"/>
  <c r="G14" i="77"/>
  <c r="I14" i="77"/>
  <c r="I40" i="149"/>
  <c r="F40" i="149" s="1"/>
  <c r="G40" i="149" s="1"/>
  <c r="E48" i="77"/>
  <c r="I24" i="214"/>
  <c r="F24" i="214" s="1"/>
  <c r="G24" i="214" s="1"/>
  <c r="I46" i="210"/>
  <c r="F46" i="210" s="1"/>
  <c r="G46" i="210" s="1"/>
  <c r="F21" i="477"/>
  <c r="F36" i="477"/>
  <c r="F16" i="477"/>
  <c r="F11" i="477"/>
  <c r="F29" i="477"/>
  <c r="F27" i="477"/>
  <c r="F17" i="477"/>
  <c r="I19" i="93"/>
  <c r="F19" i="93" s="1"/>
  <c r="G19" i="93" s="1"/>
  <c r="I32" i="369"/>
  <c r="F32" i="369" s="1"/>
  <c r="G32" i="369" s="1"/>
  <c r="I46" i="329"/>
  <c r="F46" i="329" s="1"/>
  <c r="G46" i="329" s="1"/>
  <c r="I19" i="56"/>
  <c r="F19" i="56" s="1"/>
  <c r="G19" i="56" s="1"/>
  <c r="I32" i="205"/>
  <c r="F32" i="205" s="1"/>
  <c r="G32" i="205" s="1"/>
  <c r="I32" i="208"/>
  <c r="F32" i="208" s="1"/>
  <c r="G32" i="208" s="1"/>
  <c r="I46" i="243"/>
  <c r="F46" i="243" s="1"/>
  <c r="G46" i="243" s="1"/>
  <c r="I46" i="392"/>
  <c r="F46" i="392" s="1"/>
  <c r="G46" i="392" s="1"/>
  <c r="E48" i="53"/>
  <c r="I19" i="268"/>
  <c r="F19" i="268" s="1"/>
  <c r="G19" i="268" s="1"/>
  <c r="I32" i="153"/>
  <c r="I36" i="185"/>
  <c r="G36" i="185"/>
  <c r="G26" i="185"/>
  <c r="I26" i="185"/>
  <c r="G39" i="185"/>
  <c r="I39" i="185"/>
  <c r="G12" i="185"/>
  <c r="I12" i="185"/>
  <c r="I27" i="185"/>
  <c r="G27" i="185"/>
  <c r="G31" i="185"/>
  <c r="I31" i="185"/>
  <c r="I32" i="48"/>
  <c r="F32" i="48" s="1"/>
  <c r="G32" i="48" s="1"/>
  <c r="I24" i="48"/>
  <c r="F24" i="48" s="1"/>
  <c r="G24" i="48" s="1"/>
  <c r="I46" i="200"/>
  <c r="F46" i="200" s="1"/>
  <c r="G46" i="200" s="1"/>
  <c r="I46" i="214"/>
  <c r="F46" i="214" s="1"/>
  <c r="G46" i="214" s="1"/>
  <c r="G35" i="242"/>
  <c r="I35" i="242"/>
  <c r="I31" i="242"/>
  <c r="G31" i="242"/>
  <c r="G38" i="242"/>
  <c r="I38" i="242"/>
  <c r="I23" i="242"/>
  <c r="G23" i="242"/>
  <c r="I37" i="242"/>
  <c r="G37" i="242"/>
  <c r="I21" i="242"/>
  <c r="G21" i="242"/>
  <c r="G15" i="77"/>
  <c r="I15" i="77"/>
  <c r="G44" i="77"/>
  <c r="I44" i="77"/>
  <c r="G22" i="77"/>
  <c r="I22" i="77"/>
  <c r="G28" i="77"/>
  <c r="I28" i="77"/>
  <c r="I35" i="77"/>
  <c r="G35" i="77"/>
  <c r="G42" i="77"/>
  <c r="I42" i="77"/>
  <c r="I26" i="77"/>
  <c r="G26" i="77"/>
  <c r="I46" i="149"/>
  <c r="F46" i="149" s="1"/>
  <c r="G46" i="149" s="1"/>
  <c r="I46" i="222"/>
  <c r="F46" i="222" s="1"/>
  <c r="G46" i="222" s="1"/>
  <c r="I46" i="218"/>
  <c r="F46" i="218" s="1"/>
  <c r="G46" i="218" s="1"/>
  <c r="I48" i="371"/>
  <c r="I40" i="78"/>
  <c r="F40" i="78" s="1"/>
  <c r="G40" i="78" s="1"/>
  <c r="I46" i="60"/>
  <c r="F46" i="60" s="1"/>
  <c r="G46" i="60" s="1"/>
  <c r="F42" i="477"/>
  <c r="F14" i="477"/>
  <c r="F34" i="477"/>
  <c r="F37" i="477"/>
  <c r="F35" i="477"/>
  <c r="F43" i="477"/>
  <c r="I40" i="226"/>
  <c r="F40" i="226" s="1"/>
  <c r="G40" i="226" s="1"/>
  <c r="I46" i="168"/>
  <c r="F46" i="168" s="1"/>
  <c r="G46" i="168" s="1"/>
  <c r="I42" i="185"/>
  <c r="G42" i="185"/>
  <c r="I28" i="185"/>
  <c r="G28" i="185"/>
  <c r="I23" i="185"/>
  <c r="G23" i="185"/>
  <c r="G35" i="185"/>
  <c r="I35" i="185"/>
  <c r="I16" i="185"/>
  <c r="G16" i="185"/>
  <c r="I15" i="185"/>
  <c r="G15" i="185"/>
  <c r="G18" i="185"/>
  <c r="I18" i="185"/>
  <c r="I19" i="200"/>
  <c r="F19" i="200" s="1"/>
  <c r="G19" i="200" s="1"/>
  <c r="G18" i="242"/>
  <c r="I18" i="242"/>
  <c r="I26" i="242"/>
  <c r="G26" i="242"/>
  <c r="G34" i="242"/>
  <c r="I34" i="242"/>
  <c r="I42" i="242"/>
  <c r="G42" i="242"/>
  <c r="I30" i="242"/>
  <c r="G30" i="242"/>
  <c r="I14" i="242"/>
  <c r="G14" i="242"/>
  <c r="G17" i="242"/>
  <c r="I17" i="242"/>
  <c r="I43" i="77"/>
  <c r="G43" i="77"/>
  <c r="G29" i="77"/>
  <c r="I29" i="77"/>
  <c r="I31" i="77"/>
  <c r="G31" i="77"/>
  <c r="G17" i="77"/>
  <c r="I17" i="77"/>
  <c r="G23" i="77"/>
  <c r="I23" i="77"/>
  <c r="G16" i="77"/>
  <c r="I16" i="77"/>
  <c r="G37" i="77"/>
  <c r="I37" i="77"/>
  <c r="I48" i="125"/>
  <c r="I48" i="375"/>
  <c r="I40" i="184"/>
  <c r="F40" i="184" s="1"/>
  <c r="G40" i="184" s="1"/>
  <c r="I32" i="358"/>
  <c r="F32" i="358" s="1"/>
  <c r="G32" i="358" s="1"/>
  <c r="I48" i="303"/>
  <c r="I48" i="449"/>
  <c r="G14" i="231"/>
  <c r="I14" i="231"/>
  <c r="G35" i="231"/>
  <c r="I35" i="231"/>
  <c r="I31" i="231"/>
  <c r="G31" i="231"/>
  <c r="G11" i="231"/>
  <c r="I11" i="231"/>
  <c r="G37" i="231"/>
  <c r="I37" i="231"/>
  <c r="G30" i="231"/>
  <c r="I30" i="231"/>
  <c r="G44" i="231"/>
  <c r="I44" i="231"/>
  <c r="I29" i="363"/>
  <c r="G29" i="363"/>
  <c r="G10" i="363"/>
  <c r="I10" i="363"/>
  <c r="G44" i="363"/>
  <c r="I44" i="363"/>
  <c r="I34" i="363"/>
  <c r="G34" i="363"/>
  <c r="G42" i="363"/>
  <c r="I42" i="363"/>
  <c r="I30" i="363"/>
  <c r="G30" i="363"/>
  <c r="I40" i="260"/>
  <c r="F40" i="260" s="1"/>
  <c r="G40" i="260" s="1"/>
  <c r="I46" i="123"/>
  <c r="F46" i="123" s="1"/>
  <c r="G46" i="123" s="1"/>
  <c r="I46" i="199"/>
  <c r="F46" i="199" s="1"/>
  <c r="G46" i="199" s="1"/>
  <c r="I46" i="92"/>
  <c r="F46" i="92" s="1"/>
  <c r="G46" i="92" s="1"/>
  <c r="I46" i="370"/>
  <c r="F46" i="370" s="1"/>
  <c r="G46" i="370" s="1"/>
  <c r="I38" i="231"/>
  <c r="G38" i="231"/>
  <c r="I27" i="231"/>
  <c r="G27" i="231"/>
  <c r="G22" i="231"/>
  <c r="I22" i="231"/>
  <c r="I29" i="231"/>
  <c r="G29" i="231"/>
  <c r="I43" i="231"/>
  <c r="G43" i="231"/>
  <c r="G26" i="231"/>
  <c r="I26" i="231"/>
  <c r="I17" i="231"/>
  <c r="G17" i="231"/>
  <c r="I46" i="184"/>
  <c r="F46" i="184" s="1"/>
  <c r="G46" i="184" s="1"/>
  <c r="I22" i="363"/>
  <c r="G22" i="363"/>
  <c r="G14" i="363"/>
  <c r="I14" i="363"/>
  <c r="I11" i="363"/>
  <c r="G11" i="363"/>
  <c r="G17" i="363"/>
  <c r="I17" i="363"/>
  <c r="G37" i="363"/>
  <c r="I37" i="363"/>
  <c r="G13" i="363"/>
  <c r="I13" i="363"/>
  <c r="G18" i="363"/>
  <c r="I18" i="363"/>
  <c r="I40" i="151"/>
  <c r="F40" i="151" s="1"/>
  <c r="G40" i="151" s="1"/>
  <c r="I19" i="151"/>
  <c r="F19" i="151" s="1"/>
  <c r="G19" i="151" s="1"/>
  <c r="I46" i="358"/>
  <c r="F46" i="358" s="1"/>
  <c r="G46" i="358" s="1"/>
  <c r="I19" i="361"/>
  <c r="F19" i="361" s="1"/>
  <c r="G19" i="361" s="1"/>
  <c r="I32" i="294"/>
  <c r="F32" i="294" s="1"/>
  <c r="G32" i="294" s="1"/>
  <c r="I40" i="416"/>
  <c r="F40" i="416" s="1"/>
  <c r="G40" i="416" s="1"/>
  <c r="I46" i="157"/>
  <c r="F46" i="157" s="1"/>
  <c r="G46" i="157" s="1"/>
  <c r="I32" i="58"/>
  <c r="F32" i="58" s="1"/>
  <c r="G32" i="58" s="1"/>
  <c r="I46" i="295"/>
  <c r="F46" i="295" s="1"/>
  <c r="G46" i="295" s="1"/>
  <c r="I46" i="275"/>
  <c r="F46" i="275" s="1"/>
  <c r="G46" i="275" s="1"/>
  <c r="I46" i="321"/>
  <c r="F46" i="321" s="1"/>
  <c r="G46" i="321" s="1"/>
  <c r="I46" i="276"/>
  <c r="F46" i="276" s="1"/>
  <c r="G46" i="276" s="1"/>
  <c r="I40" i="233"/>
  <c r="F40" i="233" s="1"/>
  <c r="G40" i="233" s="1"/>
  <c r="I24" i="333"/>
  <c r="F24" i="333" s="1"/>
  <c r="G24" i="333" s="1"/>
  <c r="I48" i="414"/>
  <c r="I48" i="336"/>
  <c r="I48" i="410"/>
  <c r="I19" i="184"/>
  <c r="F19" i="184" s="1"/>
  <c r="G19" i="184" s="1"/>
  <c r="G5" i="328"/>
  <c r="G6" i="328"/>
  <c r="A54" i="328"/>
  <c r="I51" i="328"/>
  <c r="F50" i="328"/>
  <c r="I19" i="260"/>
  <c r="F19" i="260" s="1"/>
  <c r="G19" i="260" s="1"/>
  <c r="I48" i="444"/>
  <c r="I13" i="231"/>
  <c r="G13" i="231"/>
  <c r="I42" i="231"/>
  <c r="G42" i="231"/>
  <c r="I15" i="231"/>
  <c r="G15" i="231"/>
  <c r="I16" i="231"/>
  <c r="G16" i="231"/>
  <c r="I10" i="231"/>
  <c r="G10" i="231"/>
  <c r="G23" i="231"/>
  <c r="I23" i="231"/>
  <c r="I46" i="151"/>
  <c r="F46" i="151" s="1"/>
  <c r="G46" i="151" s="1"/>
  <c r="I32" i="260"/>
  <c r="I48" i="411"/>
  <c r="I19" i="358"/>
  <c r="F19" i="358" s="1"/>
  <c r="G19" i="358" s="1"/>
  <c r="G28" i="363"/>
  <c r="I28" i="363"/>
  <c r="G36" i="363"/>
  <c r="I36" i="363"/>
  <c r="G16" i="363"/>
  <c r="I16" i="363"/>
  <c r="G35" i="363"/>
  <c r="I35" i="363"/>
  <c r="I31" i="363"/>
  <c r="G31" i="363"/>
  <c r="I39" i="363"/>
  <c r="G39" i="363"/>
  <c r="G27" i="363"/>
  <c r="I27" i="363"/>
  <c r="I50" i="282"/>
  <c r="F48" i="282"/>
  <c r="I32" i="39"/>
  <c r="F32" i="39" s="1"/>
  <c r="G32" i="39" s="1"/>
  <c r="I48" i="428"/>
  <c r="I50" i="428" s="1"/>
  <c r="I46" i="53"/>
  <c r="F46" i="53" s="1"/>
  <c r="G46" i="53" s="1"/>
  <c r="I32" i="366"/>
  <c r="F32" i="366" s="1"/>
  <c r="G32" i="366" s="1"/>
  <c r="I46" i="437"/>
  <c r="F46" i="437" s="1"/>
  <c r="G46" i="437" s="1"/>
  <c r="I40" i="373"/>
  <c r="F40" i="373" s="1"/>
  <c r="G40" i="373" s="1"/>
  <c r="I46" i="417"/>
  <c r="F46" i="417" s="1"/>
  <c r="G46" i="417" s="1"/>
  <c r="I46" i="181"/>
  <c r="F46" i="181" s="1"/>
  <c r="G46" i="181" s="1"/>
  <c r="I46" i="64"/>
  <c r="F46" i="64" s="1"/>
  <c r="G46" i="64" s="1"/>
  <c r="I32" i="289"/>
  <c r="F32" i="289" s="1"/>
  <c r="G32" i="289" s="1"/>
  <c r="I46" i="26"/>
  <c r="F46" i="26" s="1"/>
  <c r="G46" i="26" s="1"/>
  <c r="I48" i="224"/>
  <c r="I32" i="175"/>
  <c r="F32" i="175" s="1"/>
  <c r="G32" i="175" s="1"/>
  <c r="I40" i="281"/>
  <c r="F40" i="281" s="1"/>
  <c r="G40" i="281" s="1"/>
  <c r="I46" i="71"/>
  <c r="F46" i="71" s="1"/>
  <c r="G46" i="71" s="1"/>
  <c r="I32" i="15"/>
  <c r="F32" i="15" s="1"/>
  <c r="G32" i="15" s="1"/>
  <c r="I46" i="34"/>
  <c r="F46" i="34" s="1"/>
  <c r="G46" i="34" s="1"/>
  <c r="I46" i="79"/>
  <c r="F46" i="79" s="1"/>
  <c r="G46" i="79" s="1"/>
  <c r="I46" i="432"/>
  <c r="F46" i="432" s="1"/>
  <c r="G46" i="432" s="1"/>
  <c r="I46" i="257"/>
  <c r="F46" i="257" s="1"/>
  <c r="G46" i="257" s="1"/>
  <c r="I32" i="379"/>
  <c r="F32" i="379" s="1"/>
  <c r="G32" i="379" s="1"/>
  <c r="I46" i="141"/>
  <c r="F46" i="141" s="1"/>
  <c r="G46" i="141" s="1"/>
  <c r="I40" i="162"/>
  <c r="F40" i="162" s="1"/>
  <c r="G40" i="162" s="1"/>
  <c r="I24" i="151"/>
  <c r="F24" i="151" s="1"/>
  <c r="G24" i="151" s="1"/>
  <c r="I48" i="394"/>
  <c r="I48" i="439"/>
  <c r="G12" i="231"/>
  <c r="I12" i="231"/>
  <c r="I34" i="231"/>
  <c r="G34" i="231"/>
  <c r="I39" i="231"/>
  <c r="G39" i="231"/>
  <c r="I21" i="231"/>
  <c r="G21" i="231"/>
  <c r="G18" i="231"/>
  <c r="I18" i="231"/>
  <c r="G36" i="231"/>
  <c r="I36" i="231"/>
  <c r="I28" i="231"/>
  <c r="G28" i="231"/>
  <c r="I24" i="184"/>
  <c r="I40" i="358"/>
  <c r="F40" i="358" s="1"/>
  <c r="G40" i="358" s="1"/>
  <c r="I26" i="363"/>
  <c r="G26" i="363"/>
  <c r="I23" i="363"/>
  <c r="G23" i="363"/>
  <c r="I15" i="363"/>
  <c r="G15" i="363"/>
  <c r="I12" i="363"/>
  <c r="G12" i="363"/>
  <c r="I43" i="363"/>
  <c r="G43" i="363"/>
  <c r="I21" i="363"/>
  <c r="G21" i="363"/>
  <c r="G38" i="363"/>
  <c r="I38" i="363"/>
  <c r="I48" i="134"/>
  <c r="I50" i="134" s="1"/>
  <c r="I24" i="304"/>
  <c r="F24" i="304" s="1"/>
  <c r="G24" i="304" s="1"/>
  <c r="I40" i="167"/>
  <c r="F40" i="167" s="1"/>
  <c r="G40" i="167" s="1"/>
  <c r="I46" i="359"/>
  <c r="F46" i="359" s="1"/>
  <c r="G46" i="359" s="1"/>
  <c r="I24" i="359"/>
  <c r="F24" i="359" s="1"/>
  <c r="G24" i="359" s="1"/>
  <c r="I32" i="167"/>
  <c r="I50" i="125"/>
  <c r="F48" i="125"/>
  <c r="I40" i="129"/>
  <c r="F40" i="129" s="1"/>
  <c r="G40" i="129" s="1"/>
  <c r="I40" i="304"/>
  <c r="F40" i="304" s="1"/>
  <c r="G40" i="304" s="1"/>
  <c r="I48" i="402"/>
  <c r="I50" i="402" s="1"/>
  <c r="I32" i="330"/>
  <c r="F32" i="330" s="1"/>
  <c r="G32" i="330" s="1"/>
  <c r="I19" i="183"/>
  <c r="F19" i="183" s="1"/>
  <c r="G19" i="183" s="1"/>
  <c r="I19" i="359"/>
  <c r="F19" i="359" s="1"/>
  <c r="G19" i="359" s="1"/>
  <c r="I19" i="304"/>
  <c r="F19" i="304" s="1"/>
  <c r="G19" i="304" s="1"/>
  <c r="I19" i="129"/>
  <c r="F19" i="129" s="1"/>
  <c r="G19" i="129" s="1"/>
  <c r="I32" i="359"/>
  <c r="F32" i="359" s="1"/>
  <c r="G32" i="359" s="1"/>
  <c r="I40" i="359"/>
  <c r="F40" i="359" s="1"/>
  <c r="G40" i="359" s="1"/>
  <c r="I32" i="304"/>
  <c r="F32" i="304" s="1"/>
  <c r="G32" i="304" s="1"/>
  <c r="I19" i="167"/>
  <c r="F19" i="167" s="1"/>
  <c r="G19" i="167" s="1"/>
  <c r="I48" i="450"/>
  <c r="I50" i="450" s="1"/>
  <c r="I48" i="236"/>
  <c r="I24" i="129"/>
  <c r="I24" i="106"/>
  <c r="F24" i="106" s="1"/>
  <c r="G24" i="106" s="1"/>
  <c r="I19" i="98"/>
  <c r="F19" i="98" s="1"/>
  <c r="G19" i="98" s="1"/>
  <c r="I24" i="43"/>
  <c r="F24" i="43" s="1"/>
  <c r="G24" i="43" s="1"/>
  <c r="I19" i="438"/>
  <c r="F19" i="438" s="1"/>
  <c r="G19" i="438" s="1"/>
  <c r="I48" i="127"/>
  <c r="I24" i="399"/>
  <c r="F24" i="399" s="1"/>
  <c r="G24" i="399" s="1"/>
  <c r="I40" i="177"/>
  <c r="F40" i="177" s="1"/>
  <c r="G40" i="177" s="1"/>
  <c r="I24" i="327"/>
  <c r="I19" i="330"/>
  <c r="F19" i="330" s="1"/>
  <c r="G19" i="330" s="1"/>
  <c r="I32" i="177"/>
  <c r="F32" i="177" s="1"/>
  <c r="G32" i="177" s="1"/>
  <c r="I24" i="330"/>
  <c r="F24" i="330" s="1"/>
  <c r="G24" i="330" s="1"/>
  <c r="I40" i="183"/>
  <c r="F40" i="183" s="1"/>
  <c r="G40" i="183" s="1"/>
  <c r="I46" i="401"/>
  <c r="F46" i="401" s="1"/>
  <c r="G46" i="401" s="1"/>
  <c r="I48" i="42"/>
  <c r="F48" i="42" s="1"/>
  <c r="I19" i="177"/>
  <c r="F19" i="177" s="1"/>
  <c r="G19" i="177" s="1"/>
  <c r="F48" i="402"/>
  <c r="I32" i="401"/>
  <c r="F32" i="401" s="1"/>
  <c r="G32" i="401" s="1"/>
  <c r="I19" i="327"/>
  <c r="F19" i="327" s="1"/>
  <c r="G19" i="327" s="1"/>
  <c r="I48" i="270"/>
  <c r="I40" i="330"/>
  <c r="F40" i="330" s="1"/>
  <c r="G40" i="330" s="1"/>
  <c r="I32" i="183"/>
  <c r="F32" i="183" s="1"/>
  <c r="G32" i="183" s="1"/>
  <c r="I48" i="137"/>
  <c r="I50" i="137" s="1"/>
  <c r="I46" i="183"/>
  <c r="F46" i="183" s="1"/>
  <c r="G46" i="183" s="1"/>
  <c r="I24" i="183"/>
  <c r="F24" i="183" s="1"/>
  <c r="G24" i="183" s="1"/>
  <c r="I40" i="401"/>
  <c r="F40" i="401" s="1"/>
  <c r="G40" i="401" s="1"/>
  <c r="I24" i="177"/>
  <c r="I32" i="341"/>
  <c r="F32" i="341" s="1"/>
  <c r="G32" i="341" s="1"/>
  <c r="I19" i="148"/>
  <c r="F19" i="148" s="1"/>
  <c r="G19" i="148" s="1"/>
  <c r="I46" i="327"/>
  <c r="F46" i="327" s="1"/>
  <c r="G46" i="327" s="1"/>
  <c r="I32" i="327"/>
  <c r="F32" i="327" s="1"/>
  <c r="G32" i="327" s="1"/>
  <c r="I24" i="401"/>
  <c r="F24" i="401" s="1"/>
  <c r="G24" i="401" s="1"/>
  <c r="I46" i="330"/>
  <c r="F46" i="330" s="1"/>
  <c r="G46" i="330" s="1"/>
  <c r="I19" i="401"/>
  <c r="F19" i="401" s="1"/>
  <c r="G19" i="401" s="1"/>
  <c r="I46" i="177"/>
  <c r="F46" i="177" s="1"/>
  <c r="G46" i="177" s="1"/>
  <c r="I48" i="264"/>
  <c r="F48" i="450"/>
  <c r="I19" i="186"/>
  <c r="F19" i="186" s="1"/>
  <c r="G19" i="186" s="1"/>
  <c r="I24" i="186"/>
  <c r="I19" i="399"/>
  <c r="F19" i="399" s="1"/>
  <c r="G19" i="399" s="1"/>
  <c r="I24" i="131"/>
  <c r="F24" i="131" s="1"/>
  <c r="G24" i="131" s="1"/>
  <c r="I46" i="30"/>
  <c r="F46" i="30" s="1"/>
  <c r="G46" i="30" s="1"/>
  <c r="I32" i="162"/>
  <c r="F32" i="162" s="1"/>
  <c r="G32" i="162" s="1"/>
  <c r="I24" i="97"/>
  <c r="F24" i="97" s="1"/>
  <c r="G24" i="97" s="1"/>
  <c r="I24" i="46"/>
  <c r="F24" i="46" s="1"/>
  <c r="G24" i="46" s="1"/>
  <c r="I32" i="459"/>
  <c r="F32" i="459" s="1"/>
  <c r="G32" i="459" s="1"/>
  <c r="I19" i="162"/>
  <c r="F19" i="162" s="1"/>
  <c r="G19" i="162" s="1"/>
  <c r="I48" i="238"/>
  <c r="I32" i="278"/>
  <c r="F32" i="278" s="1"/>
  <c r="G32" i="278" s="1"/>
  <c r="I24" i="278"/>
  <c r="I24" i="456"/>
  <c r="F24" i="456" s="1"/>
  <c r="G24" i="456" s="1"/>
  <c r="I19" i="30"/>
  <c r="F19" i="30" s="1"/>
  <c r="G19" i="30" s="1"/>
  <c r="I46" i="334"/>
  <c r="F46" i="334" s="1"/>
  <c r="G46" i="334" s="1"/>
  <c r="I32" i="334"/>
  <c r="F32" i="334" s="1"/>
  <c r="G32" i="334" s="1"/>
  <c r="I46" i="258"/>
  <c r="F46" i="258" s="1"/>
  <c r="G46" i="258" s="1"/>
  <c r="I32" i="258"/>
  <c r="F32" i="258" s="1"/>
  <c r="G32" i="258" s="1"/>
  <c r="I40" i="459"/>
  <c r="F40" i="459" s="1"/>
  <c r="G40" i="459" s="1"/>
  <c r="I24" i="162"/>
  <c r="F24" i="162" s="1"/>
  <c r="G24" i="162" s="1"/>
  <c r="I48" i="387"/>
  <c r="I50" i="387" s="1"/>
  <c r="I19" i="232"/>
  <c r="F19" i="232" s="1"/>
  <c r="G19" i="232" s="1"/>
  <c r="I24" i="55"/>
  <c r="F24" i="55" s="1"/>
  <c r="G24" i="55" s="1"/>
  <c r="I24" i="408"/>
  <c r="F24" i="408" s="1"/>
  <c r="G24" i="408" s="1"/>
  <c r="I32" i="30"/>
  <c r="F32" i="30" s="1"/>
  <c r="G32" i="30" s="1"/>
  <c r="I32" i="55"/>
  <c r="F32" i="55" s="1"/>
  <c r="G32" i="55" s="1"/>
  <c r="I32" i="97"/>
  <c r="F32" i="97" s="1"/>
  <c r="G32" i="97" s="1"/>
  <c r="I40" i="265"/>
  <c r="F40" i="265" s="1"/>
  <c r="G40" i="265" s="1"/>
  <c r="I40" i="278"/>
  <c r="F40" i="278" s="1"/>
  <c r="G40" i="278" s="1"/>
  <c r="I24" i="334"/>
  <c r="F24" i="334" s="1"/>
  <c r="G24" i="334" s="1"/>
  <c r="I46" i="459"/>
  <c r="F46" i="459" s="1"/>
  <c r="G46" i="459" s="1"/>
  <c r="I48" i="317"/>
  <c r="I46" i="186"/>
  <c r="F46" i="186" s="1"/>
  <c r="G46" i="186" s="1"/>
  <c r="I32" i="186"/>
  <c r="F32" i="186" s="1"/>
  <c r="G32" i="186" s="1"/>
  <c r="I24" i="115"/>
  <c r="F24" i="115" s="1"/>
  <c r="G24" i="115" s="1"/>
  <c r="I32" i="408"/>
  <c r="F32" i="408" s="1"/>
  <c r="G32" i="408" s="1"/>
  <c r="I46" i="408"/>
  <c r="F46" i="408" s="1"/>
  <c r="G46" i="408" s="1"/>
  <c r="I19" i="459"/>
  <c r="F19" i="459" s="1"/>
  <c r="G19" i="459" s="1"/>
  <c r="I46" i="162"/>
  <c r="F46" i="162" s="1"/>
  <c r="G46" i="162" s="1"/>
  <c r="I40" i="97"/>
  <c r="F40" i="97" s="1"/>
  <c r="G40" i="97" s="1"/>
  <c r="I32" i="174"/>
  <c r="F32" i="174" s="1"/>
  <c r="G32" i="174" s="1"/>
  <c r="I32" i="265"/>
  <c r="F32" i="265" s="1"/>
  <c r="G32" i="265" s="1"/>
  <c r="I40" i="399"/>
  <c r="F40" i="399" s="1"/>
  <c r="G40" i="399" s="1"/>
  <c r="I48" i="81"/>
  <c r="I40" i="46"/>
  <c r="F40" i="46" s="1"/>
  <c r="G40" i="46" s="1"/>
  <c r="I32" i="456"/>
  <c r="F32" i="456" s="1"/>
  <c r="G32" i="456" s="1"/>
  <c r="I48" i="348"/>
  <c r="I19" i="265"/>
  <c r="F19" i="265" s="1"/>
  <c r="G19" i="265" s="1"/>
  <c r="I32" i="399"/>
  <c r="I19" i="115"/>
  <c r="F19" i="115" s="1"/>
  <c r="G19" i="115" s="1"/>
  <c r="I19" i="55"/>
  <c r="F19" i="55" s="1"/>
  <c r="G19" i="55" s="1"/>
  <c r="I19" i="258"/>
  <c r="F19" i="258" s="1"/>
  <c r="G19" i="258" s="1"/>
  <c r="I40" i="186"/>
  <c r="F40" i="186" s="1"/>
  <c r="G40" i="186" s="1"/>
  <c r="I32" i="115"/>
  <c r="F32" i="115" s="1"/>
  <c r="G32" i="115" s="1"/>
  <c r="I40" i="456"/>
  <c r="F40" i="456" s="1"/>
  <c r="G40" i="456" s="1"/>
  <c r="I24" i="30"/>
  <c r="F24" i="30" s="1"/>
  <c r="G24" i="30" s="1"/>
  <c r="I24" i="459"/>
  <c r="F24" i="459" s="1"/>
  <c r="G24" i="459" s="1"/>
  <c r="I46" i="97"/>
  <c r="F46" i="97" s="1"/>
  <c r="G46" i="97" s="1"/>
  <c r="I46" i="265"/>
  <c r="F46" i="265" s="1"/>
  <c r="G46" i="265" s="1"/>
  <c r="I19" i="278"/>
  <c r="F19" i="278" s="1"/>
  <c r="G19" i="278" s="1"/>
  <c r="I48" i="100"/>
  <c r="I40" i="30"/>
  <c r="F40" i="30" s="1"/>
  <c r="G40" i="30" s="1"/>
  <c r="I19" i="334"/>
  <c r="F19" i="334" s="1"/>
  <c r="G19" i="334" s="1"/>
  <c r="I40" i="258"/>
  <c r="F40" i="258" s="1"/>
  <c r="G40" i="258" s="1"/>
  <c r="I19" i="408"/>
  <c r="F19" i="408" s="1"/>
  <c r="G19" i="408" s="1"/>
  <c r="I32" i="46"/>
  <c r="F32" i="46" s="1"/>
  <c r="G32" i="46" s="1"/>
  <c r="I40" i="334"/>
  <c r="F40" i="334" s="1"/>
  <c r="G40" i="334" s="1"/>
  <c r="I40" i="55"/>
  <c r="F40" i="55" s="1"/>
  <c r="G40" i="55" s="1"/>
  <c r="I24" i="258"/>
  <c r="F24" i="258" s="1"/>
  <c r="G24" i="258" s="1"/>
  <c r="I48" i="189"/>
  <c r="I19" i="456"/>
  <c r="F19" i="456" s="1"/>
  <c r="G19" i="456" s="1"/>
  <c r="I40" i="408"/>
  <c r="F40" i="408" s="1"/>
  <c r="G40" i="408" s="1"/>
  <c r="I19" i="97"/>
  <c r="F19" i="97" s="1"/>
  <c r="G19" i="97" s="1"/>
  <c r="I40" i="115"/>
  <c r="F40" i="115" s="1"/>
  <c r="G40" i="115" s="1"/>
  <c r="I19" i="131"/>
  <c r="F19" i="131" s="1"/>
  <c r="G19" i="131" s="1"/>
  <c r="I40" i="131"/>
  <c r="F40" i="131" s="1"/>
  <c r="G40" i="131" s="1"/>
  <c r="I24" i="265"/>
  <c r="F24" i="265" s="1"/>
  <c r="G24" i="265" s="1"/>
  <c r="I32" i="131"/>
  <c r="F32" i="131" s="1"/>
  <c r="G32" i="131" s="1"/>
  <c r="I46" i="51"/>
  <c r="F46" i="51" s="1"/>
  <c r="G46" i="51" s="1"/>
  <c r="I46" i="130"/>
  <c r="F46" i="130" s="1"/>
  <c r="G46" i="130" s="1"/>
  <c r="I19" i="110"/>
  <c r="F19" i="110" s="1"/>
  <c r="G19" i="110" s="1"/>
  <c r="I48" i="266"/>
  <c r="F48" i="266" s="1"/>
  <c r="I24" i="28"/>
  <c r="F24" i="28" s="1"/>
  <c r="G24" i="28" s="1"/>
  <c r="I24" i="112"/>
  <c r="F24" i="112" s="1"/>
  <c r="G24" i="112" s="1"/>
  <c r="I24" i="140"/>
  <c r="F24" i="140" s="1"/>
  <c r="G24" i="140" s="1"/>
  <c r="I46" i="390"/>
  <c r="F46" i="390" s="1"/>
  <c r="G46" i="390" s="1"/>
  <c r="I19" i="421"/>
  <c r="F19" i="421" s="1"/>
  <c r="G19" i="421" s="1"/>
  <c r="I40" i="421"/>
  <c r="F40" i="421" s="1"/>
  <c r="G40" i="421" s="1"/>
  <c r="I32" i="440"/>
  <c r="F32" i="440" s="1"/>
  <c r="G32" i="440" s="1"/>
  <c r="I19" i="390"/>
  <c r="F19" i="390" s="1"/>
  <c r="G19" i="390" s="1"/>
  <c r="I46" i="112"/>
  <c r="F46" i="112" s="1"/>
  <c r="G46" i="112" s="1"/>
  <c r="I24" i="435"/>
  <c r="F24" i="435" s="1"/>
  <c r="G24" i="435" s="1"/>
  <c r="I19" i="364"/>
  <c r="F19" i="364" s="1"/>
  <c r="G19" i="364" s="1"/>
  <c r="I32" i="76"/>
  <c r="F32" i="76" s="1"/>
  <c r="G32" i="76" s="1"/>
  <c r="I24" i="440"/>
  <c r="F24" i="440" s="1"/>
  <c r="G24" i="440" s="1"/>
  <c r="I32" i="112"/>
  <c r="F32" i="112" s="1"/>
  <c r="G32" i="112" s="1"/>
  <c r="I24" i="421"/>
  <c r="F24" i="421" s="1"/>
  <c r="G24" i="421" s="1"/>
  <c r="I19" i="435"/>
  <c r="F19" i="435" s="1"/>
  <c r="G19" i="435" s="1"/>
  <c r="I40" i="232"/>
  <c r="F40" i="232" s="1"/>
  <c r="G40" i="232" s="1"/>
  <c r="I32" i="148"/>
  <c r="F32" i="148" s="1"/>
  <c r="G32" i="148" s="1"/>
  <c r="I40" i="28"/>
  <c r="F40" i="28" s="1"/>
  <c r="G40" i="28" s="1"/>
  <c r="I46" i="232"/>
  <c r="F46" i="232" s="1"/>
  <c r="G46" i="232" s="1"/>
  <c r="I40" i="148"/>
  <c r="F40" i="148" s="1"/>
  <c r="G40" i="148" s="1"/>
  <c r="I46" i="324"/>
  <c r="F46" i="324" s="1"/>
  <c r="G46" i="324" s="1"/>
  <c r="I32" i="254"/>
  <c r="F32" i="254" s="1"/>
  <c r="G32" i="254" s="1"/>
  <c r="I32" i="232"/>
  <c r="F32" i="232" s="1"/>
  <c r="G32" i="232" s="1"/>
  <c r="I19" i="140"/>
  <c r="F19" i="140" s="1"/>
  <c r="G19" i="140" s="1"/>
  <c r="I32" i="435"/>
  <c r="F32" i="435" s="1"/>
  <c r="G32" i="435" s="1"/>
  <c r="I19" i="440"/>
  <c r="F19" i="440" s="1"/>
  <c r="G19" i="440" s="1"/>
  <c r="I24" i="390"/>
  <c r="F48" i="127"/>
  <c r="I50" i="127"/>
  <c r="I19" i="112"/>
  <c r="F19" i="112" s="1"/>
  <c r="G19" i="112" s="1"/>
  <c r="I46" i="435"/>
  <c r="F46" i="435" s="1"/>
  <c r="G46" i="435" s="1"/>
  <c r="I24" i="232"/>
  <c r="I24" i="148"/>
  <c r="F24" i="148" s="1"/>
  <c r="G24" i="148" s="1"/>
  <c r="I48" i="146"/>
  <c r="I32" i="390"/>
  <c r="F32" i="390" s="1"/>
  <c r="G32" i="390" s="1"/>
  <c r="I46" i="140"/>
  <c r="F46" i="140" s="1"/>
  <c r="G46" i="140" s="1"/>
  <c r="I40" i="435"/>
  <c r="F40" i="435" s="1"/>
  <c r="G40" i="435" s="1"/>
  <c r="I40" i="390"/>
  <c r="F40" i="390" s="1"/>
  <c r="G40" i="390" s="1"/>
  <c r="I40" i="140"/>
  <c r="F40" i="140" s="1"/>
  <c r="G40" i="140" s="1"/>
  <c r="I32" i="140"/>
  <c r="F32" i="140" s="1"/>
  <c r="G32" i="140" s="1"/>
  <c r="I46" i="421"/>
  <c r="F46" i="421" s="1"/>
  <c r="G46" i="421" s="1"/>
  <c r="I19" i="28"/>
  <c r="F19" i="28" s="1"/>
  <c r="G19" i="28" s="1"/>
  <c r="I32" i="421"/>
  <c r="F32" i="421" s="1"/>
  <c r="G32" i="421" s="1"/>
  <c r="F32" i="110"/>
  <c r="G32" i="110" s="1"/>
  <c r="I48" i="110"/>
  <c r="E48" i="351"/>
  <c r="I40" i="314"/>
  <c r="F40" i="314" s="1"/>
  <c r="G40" i="314" s="1"/>
  <c r="I46" i="420"/>
  <c r="F46" i="420" s="1"/>
  <c r="G46" i="420" s="1"/>
  <c r="I46" i="138"/>
  <c r="F46" i="138" s="1"/>
  <c r="G46" i="138" s="1"/>
  <c r="I48" i="66"/>
  <c r="I50" i="66" s="1"/>
  <c r="I32" i="212"/>
  <c r="F32" i="212" s="1"/>
  <c r="G32" i="212" s="1"/>
  <c r="I46" i="309"/>
  <c r="F46" i="309" s="1"/>
  <c r="G46" i="309" s="1"/>
  <c r="I46" i="298"/>
  <c r="F46" i="298" s="1"/>
  <c r="G46" i="298" s="1"/>
  <c r="I40" i="175"/>
  <c r="F40" i="175" s="1"/>
  <c r="G40" i="175" s="1"/>
  <c r="I24" i="9"/>
  <c r="F24" i="9" s="1"/>
  <c r="G24" i="9" s="1"/>
  <c r="I40" i="249"/>
  <c r="F40" i="249" s="1"/>
  <c r="G40" i="249" s="1"/>
  <c r="I19" i="347"/>
  <c r="F19" i="347" s="1"/>
  <c r="G19" i="347" s="1"/>
  <c r="I19" i="84"/>
  <c r="F19" i="84" s="1"/>
  <c r="G19" i="84" s="1"/>
  <c r="I19" i="310"/>
  <c r="F19" i="310" s="1"/>
  <c r="G19" i="310" s="1"/>
  <c r="I24" i="319"/>
  <c r="F24" i="319" s="1"/>
  <c r="G24" i="319" s="1"/>
  <c r="F32" i="253"/>
  <c r="G32" i="253" s="1"/>
  <c r="I48" i="253"/>
  <c r="I19" i="43"/>
  <c r="F19" i="43" s="1"/>
  <c r="G19" i="43" s="1"/>
  <c r="I40" i="292"/>
  <c r="F40" i="292" s="1"/>
  <c r="G40" i="292" s="1"/>
  <c r="I40" i="159"/>
  <c r="F40" i="159" s="1"/>
  <c r="G40" i="159" s="1"/>
  <c r="I48" i="306"/>
  <c r="I19" i="44"/>
  <c r="F19" i="44" s="1"/>
  <c r="G19" i="44" s="1"/>
  <c r="I24" i="98"/>
  <c r="F24" i="98" s="1"/>
  <c r="G24" i="98" s="1"/>
  <c r="I19" i="76"/>
  <c r="F19" i="76" s="1"/>
  <c r="G19" i="76" s="1"/>
  <c r="I24" i="76"/>
  <c r="F24" i="76" s="1"/>
  <c r="G24" i="76" s="1"/>
  <c r="I32" i="277"/>
  <c r="F32" i="277" s="1"/>
  <c r="G32" i="277" s="1"/>
  <c r="I19" i="136"/>
  <c r="F19" i="136" s="1"/>
  <c r="G19" i="136" s="1"/>
  <c r="I32" i="292"/>
  <c r="F32" i="292" s="1"/>
  <c r="G32" i="292" s="1"/>
  <c r="I19" i="159"/>
  <c r="F19" i="159" s="1"/>
  <c r="G19" i="159" s="1"/>
  <c r="I24" i="111"/>
  <c r="F24" i="111" s="1"/>
  <c r="G24" i="111" s="1"/>
  <c r="I46" i="44"/>
  <c r="F46" i="44" s="1"/>
  <c r="G46" i="44" s="1"/>
  <c r="I46" i="310"/>
  <c r="F46" i="310" s="1"/>
  <c r="G46" i="310" s="1"/>
  <c r="I50" i="296"/>
  <c r="I40" i="283"/>
  <c r="F40" i="283" s="1"/>
  <c r="G40" i="283" s="1"/>
  <c r="I40" i="76"/>
  <c r="F40" i="76" s="1"/>
  <c r="G40" i="76" s="1"/>
  <c r="I46" i="244"/>
  <c r="F46" i="244" s="1"/>
  <c r="G46" i="244" s="1"/>
  <c r="I40" i="85"/>
  <c r="F40" i="85" s="1"/>
  <c r="G40" i="85" s="1"/>
  <c r="I24" i="341"/>
  <c r="F24" i="341" s="1"/>
  <c r="G24" i="341" s="1"/>
  <c r="I46" i="340"/>
  <c r="F46" i="340" s="1"/>
  <c r="G46" i="340" s="1"/>
  <c r="I32" i="108"/>
  <c r="F32" i="108" s="1"/>
  <c r="G32" i="108" s="1"/>
  <c r="I40" i="310"/>
  <c r="F40" i="310" s="1"/>
  <c r="G40" i="310" s="1"/>
  <c r="I32" i="150"/>
  <c r="F32" i="150" s="1"/>
  <c r="G32" i="150" s="1"/>
  <c r="I19" i="150"/>
  <c r="F19" i="150" s="1"/>
  <c r="G19" i="150" s="1"/>
  <c r="I19" i="221"/>
  <c r="F19" i="221" s="1"/>
  <c r="G19" i="221" s="1"/>
  <c r="I32" i="319"/>
  <c r="F32" i="319" s="1"/>
  <c r="G32" i="319" s="1"/>
  <c r="I48" i="170"/>
  <c r="I46" i="277"/>
  <c r="F46" i="277" s="1"/>
  <c r="G46" i="277" s="1"/>
  <c r="I32" i="252"/>
  <c r="I32" i="438"/>
  <c r="F32" i="438" s="1"/>
  <c r="G32" i="438" s="1"/>
  <c r="I32" i="25"/>
  <c r="F32" i="25" s="1"/>
  <c r="G32" i="25" s="1"/>
  <c r="I46" i="139"/>
  <c r="F46" i="139" s="1"/>
  <c r="G46" i="139" s="1"/>
  <c r="I19" i="29"/>
  <c r="F19" i="29" s="1"/>
  <c r="G19" i="29" s="1"/>
  <c r="I32" i="403"/>
  <c r="F32" i="403" s="1"/>
  <c r="G32" i="403" s="1"/>
  <c r="I46" i="95"/>
  <c r="F46" i="95" s="1"/>
  <c r="G46" i="95" s="1"/>
  <c r="I40" i="52"/>
  <c r="F40" i="52" s="1"/>
  <c r="G40" i="52" s="1"/>
  <c r="I46" i="460"/>
  <c r="F46" i="460" s="1"/>
  <c r="G46" i="460" s="1"/>
  <c r="I19" i="6"/>
  <c r="F19" i="6" s="1"/>
  <c r="G19" i="6" s="1"/>
  <c r="I40" i="325"/>
  <c r="F40" i="325" s="1"/>
  <c r="G40" i="325" s="1"/>
  <c r="I46" i="174"/>
  <c r="F46" i="174" s="1"/>
  <c r="G46" i="174" s="1"/>
  <c r="I40" i="152"/>
  <c r="F40" i="152" s="1"/>
  <c r="G40" i="152" s="1"/>
  <c r="I32" i="95"/>
  <c r="F32" i="95" s="1"/>
  <c r="G32" i="95" s="1"/>
  <c r="I32" i="309"/>
  <c r="F32" i="309" s="1"/>
  <c r="G32" i="309" s="1"/>
  <c r="I24" i="458"/>
  <c r="I24" i="263"/>
  <c r="F24" i="263" s="1"/>
  <c r="G24" i="263" s="1"/>
  <c r="I46" i="452"/>
  <c r="F46" i="452" s="1"/>
  <c r="G46" i="452" s="1"/>
  <c r="I19" i="352"/>
  <c r="F19" i="352" s="1"/>
  <c r="G19" i="352" s="1"/>
  <c r="I24" i="155"/>
  <c r="F24" i="155" s="1"/>
  <c r="G24" i="155" s="1"/>
  <c r="I40" i="136"/>
  <c r="F40" i="136" s="1"/>
  <c r="G40" i="136" s="1"/>
  <c r="I24" i="44"/>
  <c r="F24" i="44" s="1"/>
  <c r="G24" i="44" s="1"/>
  <c r="I32" i="221"/>
  <c r="F32" i="221" s="1"/>
  <c r="G32" i="221" s="1"/>
  <c r="I40" i="106"/>
  <c r="F40" i="106" s="1"/>
  <c r="G40" i="106" s="1"/>
  <c r="I46" i="319"/>
  <c r="F46" i="319" s="1"/>
  <c r="G46" i="319" s="1"/>
  <c r="I24" i="85"/>
  <c r="I48" i="353"/>
  <c r="I46" i="159"/>
  <c r="F46" i="159" s="1"/>
  <c r="G46" i="159" s="1"/>
  <c r="I46" i="341"/>
  <c r="F46" i="341" s="1"/>
  <c r="G46" i="341" s="1"/>
  <c r="I46" i="272"/>
  <c r="F46" i="272" s="1"/>
  <c r="G46" i="272" s="1"/>
  <c r="I40" i="541"/>
  <c r="F40" i="541" s="1"/>
  <c r="G40" i="541" s="1"/>
  <c r="I46" i="541"/>
  <c r="F46" i="541" s="1"/>
  <c r="G46" i="541" s="1"/>
  <c r="I19" i="155"/>
  <c r="F19" i="155" s="1"/>
  <c r="G19" i="155" s="1"/>
  <c r="I40" i="155"/>
  <c r="F40" i="155" s="1"/>
  <c r="G40" i="155" s="1"/>
  <c r="I32" i="271"/>
  <c r="I40" i="579"/>
  <c r="F40" i="579" s="1"/>
  <c r="G40" i="579" s="1"/>
  <c r="F48" i="137"/>
  <c r="I40" i="277"/>
  <c r="F40" i="277" s="1"/>
  <c r="G40" i="277" s="1"/>
  <c r="I40" i="45"/>
  <c r="F40" i="45" s="1"/>
  <c r="G40" i="45" s="1"/>
  <c r="I19" i="45"/>
  <c r="F19" i="45" s="1"/>
  <c r="G19" i="45" s="1"/>
  <c r="I40" i="252"/>
  <c r="F40" i="252" s="1"/>
  <c r="G40" i="252" s="1"/>
  <c r="I46" i="252"/>
  <c r="F46" i="252" s="1"/>
  <c r="G46" i="252" s="1"/>
  <c r="I24" i="159"/>
  <c r="F24" i="159" s="1"/>
  <c r="G24" i="159" s="1"/>
  <c r="I24" i="340"/>
  <c r="F24" i="340" s="1"/>
  <c r="G24" i="340" s="1"/>
  <c r="I32" i="310"/>
  <c r="F32" i="310" s="1"/>
  <c r="G32" i="310" s="1"/>
  <c r="I24" i="150"/>
  <c r="I46" i="221"/>
  <c r="F46" i="221" s="1"/>
  <c r="G46" i="221" s="1"/>
  <c r="I46" i="106"/>
  <c r="F46" i="106" s="1"/>
  <c r="G46" i="106" s="1"/>
  <c r="I32" i="445"/>
  <c r="I24" i="293"/>
  <c r="F24" i="293" s="1"/>
  <c r="G24" i="293" s="1"/>
  <c r="I32" i="45"/>
  <c r="F32" i="45" s="1"/>
  <c r="G32" i="45" s="1"/>
  <c r="I32" i="136"/>
  <c r="I46" i="85"/>
  <c r="F46" i="85" s="1"/>
  <c r="G46" i="85" s="1"/>
  <c r="I24" i="272"/>
  <c r="F24" i="272" s="1"/>
  <c r="G24" i="272" s="1"/>
  <c r="I32" i="272"/>
  <c r="F32" i="272" s="1"/>
  <c r="G32" i="272" s="1"/>
  <c r="I46" i="103"/>
  <c r="F46" i="103" s="1"/>
  <c r="G46" i="103" s="1"/>
  <c r="I46" i="438"/>
  <c r="F46" i="438" s="1"/>
  <c r="G46" i="438" s="1"/>
  <c r="I40" i="108"/>
  <c r="F40" i="108" s="1"/>
  <c r="G40" i="108" s="1"/>
  <c r="I48" i="107"/>
  <c r="I40" i="342"/>
  <c r="F40" i="342" s="1"/>
  <c r="G40" i="342" s="1"/>
  <c r="I40" i="261"/>
  <c r="F40" i="261" s="1"/>
  <c r="G40" i="261" s="1"/>
  <c r="I19" i="454"/>
  <c r="F19" i="454" s="1"/>
  <c r="G19" i="454" s="1"/>
  <c r="I40" i="95"/>
  <c r="F40" i="95" s="1"/>
  <c r="G40" i="95" s="1"/>
  <c r="I32" i="273"/>
  <c r="F32" i="273" s="1"/>
  <c r="G32" i="273" s="1"/>
  <c r="I40" i="172"/>
  <c r="F40" i="172" s="1"/>
  <c r="G40" i="172" s="1"/>
  <c r="I24" i="221"/>
  <c r="F24" i="221" s="1"/>
  <c r="G24" i="221" s="1"/>
  <c r="I32" i="51"/>
  <c r="F32" i="51" s="1"/>
  <c r="G32" i="51" s="1"/>
  <c r="I40" i="445"/>
  <c r="F40" i="445" s="1"/>
  <c r="G40" i="445" s="1"/>
  <c r="I40" i="271"/>
  <c r="F40" i="271" s="1"/>
  <c r="G40" i="271" s="1"/>
  <c r="I46" i="43"/>
  <c r="F46" i="43" s="1"/>
  <c r="G46" i="43" s="1"/>
  <c r="I32" i="244"/>
  <c r="I32" i="111"/>
  <c r="F32" i="111" s="1"/>
  <c r="G32" i="111" s="1"/>
  <c r="I19" i="340"/>
  <c r="F19" i="340" s="1"/>
  <c r="G19" i="340" s="1"/>
  <c r="I24" i="82"/>
  <c r="F24" i="82" s="1"/>
  <c r="G24" i="82" s="1"/>
  <c r="I24" i="310"/>
  <c r="F24" i="310" s="1"/>
  <c r="G24" i="310" s="1"/>
  <c r="I40" i="319"/>
  <c r="F40" i="319" s="1"/>
  <c r="G40" i="319" s="1"/>
  <c r="I19" i="445"/>
  <c r="F19" i="445" s="1"/>
  <c r="G19" i="445" s="1"/>
  <c r="I24" i="579"/>
  <c r="F24" i="579" s="1"/>
  <c r="G24" i="579" s="1"/>
  <c r="I48" i="320"/>
  <c r="I46" i="293"/>
  <c r="F46" i="293" s="1"/>
  <c r="G46" i="293" s="1"/>
  <c r="I24" i="277"/>
  <c r="F24" i="277" s="1"/>
  <c r="G24" i="277" s="1"/>
  <c r="I24" i="292"/>
  <c r="F24" i="292" s="1"/>
  <c r="G24" i="292" s="1"/>
  <c r="I19" i="85"/>
  <c r="F19" i="85" s="1"/>
  <c r="G19" i="85" s="1"/>
  <c r="I19" i="272"/>
  <c r="F19" i="272" s="1"/>
  <c r="G19" i="272" s="1"/>
  <c r="I19" i="111"/>
  <c r="F19" i="111" s="1"/>
  <c r="G19" i="111" s="1"/>
  <c r="I46" i="82"/>
  <c r="F46" i="82" s="1"/>
  <c r="G46" i="82" s="1"/>
  <c r="I32" i="98"/>
  <c r="F32" i="98" s="1"/>
  <c r="G32" i="98" s="1"/>
  <c r="I19" i="51"/>
  <c r="F19" i="51" s="1"/>
  <c r="G19" i="51" s="1"/>
  <c r="I40" i="43"/>
  <c r="I19" i="277"/>
  <c r="F19" i="277" s="1"/>
  <c r="G19" i="277" s="1"/>
  <c r="I24" i="45"/>
  <c r="F24" i="45" s="1"/>
  <c r="G24" i="45" s="1"/>
  <c r="I46" i="136"/>
  <c r="F46" i="136" s="1"/>
  <c r="G46" i="136" s="1"/>
  <c r="I40" i="341"/>
  <c r="F40" i="341" s="1"/>
  <c r="G40" i="341" s="1"/>
  <c r="I32" i="541"/>
  <c r="F32" i="541" s="1"/>
  <c r="G32" i="541" s="1"/>
  <c r="I46" i="108"/>
  <c r="F46" i="108" s="1"/>
  <c r="G46" i="108" s="1"/>
  <c r="I19" i="108"/>
  <c r="F19" i="108" s="1"/>
  <c r="G19" i="108" s="1"/>
  <c r="I40" i="221"/>
  <c r="F40" i="221" s="1"/>
  <c r="G40" i="221" s="1"/>
  <c r="I24" i="283"/>
  <c r="F24" i="283" s="1"/>
  <c r="G24" i="283" s="1"/>
  <c r="I46" i="98"/>
  <c r="F46" i="98" s="1"/>
  <c r="G46" i="98" s="1"/>
  <c r="I24" i="51"/>
  <c r="F24" i="51" s="1"/>
  <c r="G24" i="51" s="1"/>
  <c r="I32" i="579"/>
  <c r="F32" i="579" s="1"/>
  <c r="G32" i="579" s="1"/>
  <c r="I32" i="293"/>
  <c r="F32" i="293" s="1"/>
  <c r="G32" i="293" s="1"/>
  <c r="I46" i="45"/>
  <c r="F46" i="45" s="1"/>
  <c r="G46" i="45" s="1"/>
  <c r="I40" i="244"/>
  <c r="F40" i="244" s="1"/>
  <c r="G40" i="244" s="1"/>
  <c r="I32" i="159"/>
  <c r="F32" i="159" s="1"/>
  <c r="G32" i="159" s="1"/>
  <c r="I40" i="272"/>
  <c r="F40" i="272" s="1"/>
  <c r="G40" i="272" s="1"/>
  <c r="I24" i="103"/>
  <c r="E48" i="41"/>
  <c r="I32" i="82"/>
  <c r="F32" i="82" s="1"/>
  <c r="G32" i="82" s="1"/>
  <c r="I40" i="44"/>
  <c r="F40" i="44" s="1"/>
  <c r="G40" i="44" s="1"/>
  <c r="I32" i="44"/>
  <c r="F32" i="44" s="1"/>
  <c r="G32" i="44" s="1"/>
  <c r="I48" i="380"/>
  <c r="I48" i="305"/>
  <c r="I46" i="442"/>
  <c r="I32" i="71"/>
  <c r="F32" i="71" s="1"/>
  <c r="G32" i="71" s="1"/>
  <c r="I19" i="47"/>
  <c r="F19" i="47" s="1"/>
  <c r="G19" i="47" s="1"/>
  <c r="I24" i="213"/>
  <c r="F24" i="213" s="1"/>
  <c r="G24" i="213" s="1"/>
  <c r="I40" i="432"/>
  <c r="F40" i="432" s="1"/>
  <c r="G40" i="432" s="1"/>
  <c r="I19" i="101"/>
  <c r="F19" i="101" s="1"/>
  <c r="G19" i="101" s="1"/>
  <c r="I24" i="169"/>
  <c r="I40" i="403"/>
  <c r="F40" i="403" s="1"/>
  <c r="G40" i="403" s="1"/>
  <c r="I19" i="203"/>
  <c r="F19" i="203" s="1"/>
  <c r="G19" i="203" s="1"/>
  <c r="I24" i="163"/>
  <c r="F24" i="163" s="1"/>
  <c r="G24" i="163" s="1"/>
  <c r="I32" i="454"/>
  <c r="F32" i="454" s="1"/>
  <c r="G32" i="454" s="1"/>
  <c r="I48" i="378"/>
  <c r="I24" i="432"/>
  <c r="I40" i="313"/>
  <c r="F40" i="313" s="1"/>
  <c r="G40" i="313" s="1"/>
  <c r="I40" i="101"/>
  <c r="F40" i="101" s="1"/>
  <c r="G40" i="101" s="1"/>
  <c r="I40" i="9"/>
  <c r="F40" i="9" s="1"/>
  <c r="G40" i="9" s="1"/>
  <c r="I32" i="86"/>
  <c r="F32" i="86" s="1"/>
  <c r="G32" i="86" s="1"/>
  <c r="I32" i="326"/>
  <c r="F32" i="326" s="1"/>
  <c r="G32" i="326" s="1"/>
  <c r="I19" i="283"/>
  <c r="F19" i="283" s="1"/>
  <c r="G19" i="283" s="1"/>
  <c r="I19" i="293"/>
  <c r="F19" i="293" s="1"/>
  <c r="G19" i="293" s="1"/>
  <c r="I24" i="541"/>
  <c r="F24" i="541" s="1"/>
  <c r="G24" i="541" s="1"/>
  <c r="I32" i="130"/>
  <c r="F32" i="130" s="1"/>
  <c r="G32" i="130" s="1"/>
  <c r="I19" i="82"/>
  <c r="F19" i="82" s="1"/>
  <c r="G19" i="82" s="1"/>
  <c r="I40" i="150"/>
  <c r="F40" i="150" s="1"/>
  <c r="G40" i="150" s="1"/>
  <c r="I46" i="283"/>
  <c r="F46" i="283" s="1"/>
  <c r="G46" i="283" s="1"/>
  <c r="I46" i="445"/>
  <c r="F46" i="445" s="1"/>
  <c r="G46" i="445" s="1"/>
  <c r="I19" i="341"/>
  <c r="F19" i="341" s="1"/>
  <c r="G19" i="341" s="1"/>
  <c r="I40" i="111"/>
  <c r="F40" i="111" s="1"/>
  <c r="G40" i="111" s="1"/>
  <c r="I40" i="340"/>
  <c r="F40" i="340" s="1"/>
  <c r="G40" i="340" s="1"/>
  <c r="I32" i="103"/>
  <c r="F32" i="103" s="1"/>
  <c r="G32" i="103" s="1"/>
  <c r="I46" i="150"/>
  <c r="F46" i="150" s="1"/>
  <c r="G46" i="150" s="1"/>
  <c r="I32" i="106"/>
  <c r="I19" i="319"/>
  <c r="F19" i="319" s="1"/>
  <c r="G19" i="319" s="1"/>
  <c r="I32" i="155"/>
  <c r="F32" i="155" s="1"/>
  <c r="G32" i="155" s="1"/>
  <c r="I40" i="51"/>
  <c r="F40" i="51" s="1"/>
  <c r="G40" i="51" s="1"/>
  <c r="I46" i="579"/>
  <c r="F46" i="579" s="1"/>
  <c r="G46" i="579" s="1"/>
  <c r="I46" i="76"/>
  <c r="F46" i="76" s="1"/>
  <c r="G46" i="76" s="1"/>
  <c r="I19" i="292"/>
  <c r="F19" i="292" s="1"/>
  <c r="G19" i="292" s="1"/>
  <c r="I19" i="252"/>
  <c r="F19" i="252" s="1"/>
  <c r="G19" i="252" s="1"/>
  <c r="I40" i="130"/>
  <c r="F40" i="130" s="1"/>
  <c r="G40" i="130" s="1"/>
  <c r="I19" i="103"/>
  <c r="F19" i="103" s="1"/>
  <c r="G19" i="103" s="1"/>
  <c r="I46" i="155"/>
  <c r="F46" i="155" s="1"/>
  <c r="G46" i="155" s="1"/>
  <c r="I40" i="98"/>
  <c r="F40" i="98" s="1"/>
  <c r="G40" i="98" s="1"/>
  <c r="I19" i="271"/>
  <c r="F19" i="271" s="1"/>
  <c r="G19" i="271" s="1"/>
  <c r="I48" i="132"/>
  <c r="I32" i="340"/>
  <c r="F32" i="340" s="1"/>
  <c r="G32" i="340" s="1"/>
  <c r="I19" i="541"/>
  <c r="F19" i="541" s="1"/>
  <c r="G19" i="541" s="1"/>
  <c r="I24" i="130"/>
  <c r="F24" i="130" s="1"/>
  <c r="G24" i="130" s="1"/>
  <c r="I40" i="82"/>
  <c r="F40" i="82" s="1"/>
  <c r="G40" i="82" s="1"/>
  <c r="I24" i="108"/>
  <c r="F24" i="108" s="1"/>
  <c r="G24" i="108" s="1"/>
  <c r="I39" i="118"/>
  <c r="G39" i="118"/>
  <c r="G13" i="89"/>
  <c r="I13" i="89"/>
  <c r="I24" i="223"/>
  <c r="F24" i="223" s="1"/>
  <c r="G24" i="223" s="1"/>
  <c r="I19" i="152"/>
  <c r="F19" i="152" s="1"/>
  <c r="G19" i="152" s="1"/>
  <c r="G18" i="291"/>
  <c r="I18" i="291"/>
  <c r="G15" i="89"/>
  <c r="I15" i="89"/>
  <c r="I44" i="351"/>
  <c r="G44" i="351"/>
  <c r="I19" i="326"/>
  <c r="F19" i="326" s="1"/>
  <c r="G19" i="326" s="1"/>
  <c r="I40" i="392"/>
  <c r="F40" i="392" s="1"/>
  <c r="G40" i="392" s="1"/>
  <c r="G39" i="286"/>
  <c r="I39" i="286"/>
  <c r="I24" i="325"/>
  <c r="F24" i="325" s="1"/>
  <c r="G24" i="325" s="1"/>
  <c r="I11" i="285"/>
  <c r="G11" i="285"/>
  <c r="I32" i="263"/>
  <c r="I24" i="243"/>
  <c r="F24" i="243" s="1"/>
  <c r="G24" i="243" s="1"/>
  <c r="I35" i="135"/>
  <c r="G35" i="135"/>
  <c r="I46" i="427"/>
  <c r="F46" i="427" s="1"/>
  <c r="G46" i="427" s="1"/>
  <c r="I32" i="31"/>
  <c r="F32" i="31" s="1"/>
  <c r="G32" i="31" s="1"/>
  <c r="I40" i="67"/>
  <c r="F40" i="67" s="1"/>
  <c r="G40" i="67" s="1"/>
  <c r="I32" i="417"/>
  <c r="F32" i="417" s="1"/>
  <c r="G32" i="417" s="1"/>
  <c r="I19" i="158"/>
  <c r="F19" i="158" s="1"/>
  <c r="G19" i="158" s="1"/>
  <c r="I40" i="14"/>
  <c r="F40" i="14" s="1"/>
  <c r="G40" i="14" s="1"/>
  <c r="I32" i="196"/>
  <c r="F32" i="196" s="1"/>
  <c r="G32" i="196" s="1"/>
  <c r="I40" i="295"/>
  <c r="F40" i="295" s="1"/>
  <c r="G40" i="295" s="1"/>
  <c r="I40" i="35"/>
  <c r="F40" i="35" s="1"/>
  <c r="G40" i="35" s="1"/>
  <c r="I40" i="315"/>
  <c r="F40" i="315" s="1"/>
  <c r="G40" i="315" s="1"/>
  <c r="I46" i="32"/>
  <c r="F46" i="32" s="1"/>
  <c r="G46" i="32" s="1"/>
  <c r="I46" i="78"/>
  <c r="F46" i="78" s="1"/>
  <c r="G46" i="78" s="1"/>
  <c r="I32" i="99"/>
  <c r="F32" i="99" s="1"/>
  <c r="G32" i="99" s="1"/>
  <c r="I48" i="331"/>
  <c r="I48" i="57"/>
  <c r="G22" i="118"/>
  <c r="I22" i="118"/>
  <c r="I18" i="118"/>
  <c r="G18" i="118"/>
  <c r="I44" i="291"/>
  <c r="G44" i="291"/>
  <c r="I42" i="291"/>
  <c r="G42" i="291"/>
  <c r="I19" i="243"/>
  <c r="F19" i="243" s="1"/>
  <c r="G19" i="243" s="1"/>
  <c r="I32" i="460"/>
  <c r="F32" i="460" s="1"/>
  <c r="G32" i="460" s="1"/>
  <c r="I46" i="235"/>
  <c r="F46" i="235" s="1"/>
  <c r="G46" i="235" s="1"/>
  <c r="I24" i="240"/>
  <c r="F24" i="240" s="1"/>
  <c r="G24" i="240" s="1"/>
  <c r="I37" i="89"/>
  <c r="G37" i="89"/>
  <c r="I48" i="219"/>
  <c r="I32" i="377"/>
  <c r="F32" i="377" s="1"/>
  <c r="G32" i="377" s="1"/>
  <c r="I15" i="351"/>
  <c r="G15" i="351"/>
  <c r="I40" i="377"/>
  <c r="F40" i="377" s="1"/>
  <c r="G40" i="377" s="1"/>
  <c r="I24" i="299"/>
  <c r="F24" i="299" s="1"/>
  <c r="G24" i="299" s="1"/>
  <c r="I32" i="455"/>
  <c r="F32" i="455" s="1"/>
  <c r="G32" i="455" s="1"/>
  <c r="I24" i="202"/>
  <c r="F24" i="202" s="1"/>
  <c r="G24" i="202" s="1"/>
  <c r="I19" i="109"/>
  <c r="F19" i="109" s="1"/>
  <c r="G19" i="109" s="1"/>
  <c r="I32" i="372"/>
  <c r="F32" i="372" s="1"/>
  <c r="G32" i="372" s="1"/>
  <c r="I15" i="286"/>
  <c r="G15" i="286"/>
  <c r="G30" i="286"/>
  <c r="I30" i="286"/>
  <c r="I40" i="173"/>
  <c r="F40" i="173" s="1"/>
  <c r="G40" i="173" s="1"/>
  <c r="I46" i="240"/>
  <c r="F46" i="240" s="1"/>
  <c r="G46" i="240" s="1"/>
  <c r="I32" i="396"/>
  <c r="F32" i="396" s="1"/>
  <c r="G32" i="396" s="1"/>
  <c r="I19" i="95"/>
  <c r="F19" i="95" s="1"/>
  <c r="G19" i="95" s="1"/>
  <c r="I46" i="263"/>
  <c r="F46" i="263" s="1"/>
  <c r="G46" i="263" s="1"/>
  <c r="I24" i="352"/>
  <c r="F24" i="352" s="1"/>
  <c r="G24" i="352" s="1"/>
  <c r="I24" i="396"/>
  <c r="F24" i="396" s="1"/>
  <c r="G24" i="396" s="1"/>
  <c r="G13" i="285"/>
  <c r="I13" i="285"/>
  <c r="I46" i="377"/>
  <c r="F46" i="377" s="1"/>
  <c r="G46" i="377" s="1"/>
  <c r="I48" i="161"/>
  <c r="I19" i="194"/>
  <c r="F19" i="194" s="1"/>
  <c r="G19" i="194" s="1"/>
  <c r="I46" i="419"/>
  <c r="F46" i="419" s="1"/>
  <c r="G46" i="419" s="1"/>
  <c r="I19" i="69"/>
  <c r="F19" i="69" s="1"/>
  <c r="G19" i="69" s="1"/>
  <c r="I16" i="62"/>
  <c r="G16" i="62"/>
  <c r="I37" i="62"/>
  <c r="G37" i="62"/>
  <c r="I40" i="12"/>
  <c r="I46" i="109"/>
  <c r="F46" i="109" s="1"/>
  <c r="G46" i="109" s="1"/>
  <c r="I46" i="93"/>
  <c r="F46" i="93" s="1"/>
  <c r="G46" i="93" s="1"/>
  <c r="I28" i="135"/>
  <c r="G28" i="135"/>
  <c r="I32" i="343"/>
  <c r="F32" i="343" s="1"/>
  <c r="G32" i="343" s="1"/>
  <c r="I16" i="354"/>
  <c r="G16" i="354"/>
  <c r="I43" i="354"/>
  <c r="G43" i="354"/>
  <c r="I32" i="452"/>
  <c r="F32" i="452" s="1"/>
  <c r="G32" i="452" s="1"/>
  <c r="I24" i="12"/>
  <c r="F24" i="12" s="1"/>
  <c r="G24" i="12" s="1"/>
  <c r="I40" i="229"/>
  <c r="F40" i="229" s="1"/>
  <c r="G40" i="229" s="1"/>
  <c r="G10" i="291"/>
  <c r="I10" i="291"/>
  <c r="I34" i="89"/>
  <c r="G34" i="89"/>
  <c r="I19" i="240"/>
  <c r="F19" i="240" s="1"/>
  <c r="G19" i="240" s="1"/>
  <c r="I15" i="118"/>
  <c r="G15" i="118"/>
  <c r="I40" i="369"/>
  <c r="F40" i="369" s="1"/>
  <c r="G40" i="369" s="1"/>
  <c r="I19" i="338"/>
  <c r="F19" i="338" s="1"/>
  <c r="G19" i="338" s="1"/>
  <c r="I24" i="404"/>
  <c r="F24" i="404" s="1"/>
  <c r="G24" i="404" s="1"/>
  <c r="I24" i="379"/>
  <c r="F24" i="379" s="1"/>
  <c r="G24" i="379" s="1"/>
  <c r="I24" i="326"/>
  <c r="F24" i="326" s="1"/>
  <c r="G24" i="326" s="1"/>
  <c r="I15" i="285"/>
  <c r="G15" i="285"/>
  <c r="I32" i="404"/>
  <c r="F32" i="404" s="1"/>
  <c r="G32" i="404" s="1"/>
  <c r="I24" i="314"/>
  <c r="F24" i="314" s="1"/>
  <c r="G24" i="314" s="1"/>
  <c r="E48" i="23"/>
  <c r="G14" i="354"/>
  <c r="I14" i="354"/>
  <c r="I19" i="436"/>
  <c r="F19" i="436" s="1"/>
  <c r="G19" i="436" s="1"/>
  <c r="I40" i="158"/>
  <c r="F40" i="158" s="1"/>
  <c r="G40" i="158" s="1"/>
  <c r="I19" i="96"/>
  <c r="F19" i="96" s="1"/>
  <c r="G19" i="96" s="1"/>
  <c r="I19" i="220"/>
  <c r="F19" i="220" s="1"/>
  <c r="G19" i="220" s="1"/>
  <c r="I24" i="257"/>
  <c r="F24" i="257" s="1"/>
  <c r="G24" i="257" s="1"/>
  <c r="I32" i="338"/>
  <c r="F32" i="338" s="1"/>
  <c r="G32" i="338" s="1"/>
  <c r="I11" i="118"/>
  <c r="G11" i="118"/>
  <c r="I10" i="118"/>
  <c r="G10" i="118"/>
  <c r="I22" i="291"/>
  <c r="G22" i="291"/>
  <c r="I29" i="291"/>
  <c r="G29" i="291"/>
  <c r="I24" i="168"/>
  <c r="F24" i="168" s="1"/>
  <c r="G24" i="168" s="1"/>
  <c r="I46" i="313"/>
  <c r="F46" i="313" s="1"/>
  <c r="G46" i="313" s="1"/>
  <c r="I32" i="47"/>
  <c r="F32" i="47" s="1"/>
  <c r="G32" i="47" s="1"/>
  <c r="I43" i="89"/>
  <c r="G43" i="89"/>
  <c r="G44" i="89"/>
  <c r="I44" i="89"/>
  <c r="I17" i="389"/>
  <c r="G17" i="389"/>
  <c r="I46" i="223"/>
  <c r="F46" i="223" s="1"/>
  <c r="G46" i="223" s="1"/>
  <c r="I24" i="249"/>
  <c r="F24" i="249" s="1"/>
  <c r="G24" i="249" s="1"/>
  <c r="I19" i="448"/>
  <c r="F19" i="448" s="1"/>
  <c r="G19" i="448" s="1"/>
  <c r="I34" i="351"/>
  <c r="G34" i="351"/>
  <c r="I40" i="420"/>
  <c r="F40" i="420" s="1"/>
  <c r="G40" i="420" s="1"/>
  <c r="I24" i="11"/>
  <c r="F24" i="11" s="1"/>
  <c r="G24" i="11" s="1"/>
  <c r="I46" i="86"/>
  <c r="F46" i="86" s="1"/>
  <c r="G46" i="86" s="1"/>
  <c r="I32" i="442"/>
  <c r="F32" i="442" s="1"/>
  <c r="G32" i="442" s="1"/>
  <c r="I24" i="152"/>
  <c r="F24" i="152" s="1"/>
  <c r="G24" i="152" s="1"/>
  <c r="I24" i="68"/>
  <c r="I19" i="144"/>
  <c r="F19" i="144" s="1"/>
  <c r="G19" i="144" s="1"/>
  <c r="I48" i="217"/>
  <c r="I19" i="299"/>
  <c r="F19" i="299" s="1"/>
  <c r="G19" i="299" s="1"/>
  <c r="I40" i="240"/>
  <c r="F40" i="240" s="1"/>
  <c r="G40" i="240" s="1"/>
  <c r="I40" i="174"/>
  <c r="F40" i="174" s="1"/>
  <c r="G40" i="174" s="1"/>
  <c r="I24" i="208"/>
  <c r="I14" i="286"/>
  <c r="G14" i="286"/>
  <c r="I17" i="286"/>
  <c r="G17" i="286"/>
  <c r="I35" i="285"/>
  <c r="G35" i="285"/>
  <c r="I40" i="156"/>
  <c r="F40" i="156" s="1"/>
  <c r="G40" i="156" s="1"/>
  <c r="I19" i="396"/>
  <c r="F19" i="396" s="1"/>
  <c r="G19" i="396" s="1"/>
  <c r="I40" i="419"/>
  <c r="F40" i="419" s="1"/>
  <c r="G40" i="419" s="1"/>
  <c r="I19" i="173"/>
  <c r="F19" i="173" s="1"/>
  <c r="G19" i="173" s="1"/>
  <c r="I46" i="339"/>
  <c r="F46" i="339" s="1"/>
  <c r="G46" i="339" s="1"/>
  <c r="I40" i="396"/>
  <c r="F40" i="396" s="1"/>
  <c r="G40" i="396" s="1"/>
  <c r="I40" i="367"/>
  <c r="F40" i="367" s="1"/>
  <c r="G40" i="367" s="1"/>
  <c r="I19" i="12"/>
  <c r="F19" i="12" s="1"/>
  <c r="G19" i="12" s="1"/>
  <c r="I18" i="62"/>
  <c r="G18" i="62"/>
  <c r="I24" i="93"/>
  <c r="F24" i="93" s="1"/>
  <c r="G24" i="93" s="1"/>
  <c r="G29" i="135"/>
  <c r="I29" i="135"/>
  <c r="I40" i="18"/>
  <c r="F40" i="18" s="1"/>
  <c r="G40" i="18" s="1"/>
  <c r="I19" i="263"/>
  <c r="F19" i="263" s="1"/>
  <c r="G19" i="263" s="1"/>
  <c r="I30" i="354"/>
  <c r="G30" i="354"/>
  <c r="G34" i="354"/>
  <c r="I34" i="354"/>
  <c r="I24" i="227"/>
  <c r="I32" i="324"/>
  <c r="F32" i="324" s="1"/>
  <c r="G32" i="324" s="1"/>
  <c r="I24" i="139"/>
  <c r="F24" i="139" s="1"/>
  <c r="G24" i="139" s="1"/>
  <c r="I19" i="124"/>
  <c r="F19" i="124" s="1"/>
  <c r="G19" i="124" s="1"/>
  <c r="I24" i="422"/>
  <c r="F24" i="422" s="1"/>
  <c r="G24" i="422" s="1"/>
  <c r="I46" i="357"/>
  <c r="F46" i="357" s="1"/>
  <c r="G46" i="357" s="1"/>
  <c r="I19" i="419"/>
  <c r="F19" i="419" s="1"/>
  <c r="G19" i="419" s="1"/>
  <c r="I21" i="389"/>
  <c r="G21" i="389"/>
  <c r="I46" i="40"/>
  <c r="F46" i="40" s="1"/>
  <c r="G46" i="40" s="1"/>
  <c r="G29" i="286"/>
  <c r="I29" i="286"/>
  <c r="I48" i="73"/>
  <c r="I39" i="62"/>
  <c r="G39" i="62"/>
  <c r="I24" i="173"/>
  <c r="F24" i="173" s="1"/>
  <c r="G24" i="173" s="1"/>
  <c r="I32" i="227"/>
  <c r="F32" i="227" s="1"/>
  <c r="G32" i="227" s="1"/>
  <c r="G31" i="118"/>
  <c r="I31" i="118"/>
  <c r="I44" i="118"/>
  <c r="G44" i="118"/>
  <c r="I30" i="291"/>
  <c r="G30" i="291"/>
  <c r="I17" i="291"/>
  <c r="G17" i="291"/>
  <c r="I24" i="156"/>
  <c r="F24" i="156" s="1"/>
  <c r="G24" i="156" s="1"/>
  <c r="G30" i="89"/>
  <c r="I30" i="89"/>
  <c r="I28" i="89"/>
  <c r="G28" i="89"/>
  <c r="I46" i="9"/>
  <c r="I12" i="389"/>
  <c r="G12" i="389"/>
  <c r="G13" i="389"/>
  <c r="I13" i="389"/>
  <c r="I32" i="109"/>
  <c r="F32" i="109" s="1"/>
  <c r="G32" i="109" s="1"/>
  <c r="I24" i="448"/>
  <c r="F24" i="448" s="1"/>
  <c r="G24" i="448" s="1"/>
  <c r="G28" i="351"/>
  <c r="I28" i="351"/>
  <c r="G10" i="351"/>
  <c r="I10" i="351"/>
  <c r="I48" i="114"/>
  <c r="I40" i="448"/>
  <c r="F40" i="448" s="1"/>
  <c r="G40" i="448" s="1"/>
  <c r="I24" i="279"/>
  <c r="F24" i="279" s="1"/>
  <c r="G24" i="279" s="1"/>
  <c r="I40" i="139"/>
  <c r="F40" i="139" s="1"/>
  <c r="G40" i="139" s="1"/>
  <c r="I32" i="79"/>
  <c r="F32" i="79" s="1"/>
  <c r="G32" i="79" s="1"/>
  <c r="I19" i="208"/>
  <c r="F19" i="208" s="1"/>
  <c r="G19" i="208" s="1"/>
  <c r="I32" i="357"/>
  <c r="F32" i="357" s="1"/>
  <c r="G32" i="357" s="1"/>
  <c r="I19" i="15"/>
  <c r="F19" i="15" s="1"/>
  <c r="G19" i="15" s="1"/>
  <c r="I40" i="379"/>
  <c r="F40" i="379" s="1"/>
  <c r="G40" i="379" s="1"/>
  <c r="I44" i="286"/>
  <c r="G44" i="286"/>
  <c r="G35" i="286"/>
  <c r="I35" i="286"/>
  <c r="I19" i="329"/>
  <c r="F19" i="329" s="1"/>
  <c r="G19" i="329" s="1"/>
  <c r="I19" i="313"/>
  <c r="F19" i="313" s="1"/>
  <c r="G19" i="313" s="1"/>
  <c r="I32" i="202"/>
  <c r="F32" i="202" s="1"/>
  <c r="G32" i="202" s="1"/>
  <c r="I19" i="99"/>
  <c r="F19" i="99" s="1"/>
  <c r="G19" i="99" s="1"/>
  <c r="I24" i="298"/>
  <c r="F24" i="298" s="1"/>
  <c r="G24" i="298" s="1"/>
  <c r="I40" i="22"/>
  <c r="I19" i="202"/>
  <c r="F19" i="202" s="1"/>
  <c r="G19" i="202" s="1"/>
  <c r="I36" i="285"/>
  <c r="G36" i="285"/>
  <c r="I19" i="458"/>
  <c r="F19" i="458" s="1"/>
  <c r="G19" i="458" s="1"/>
  <c r="I40" i="208"/>
  <c r="F40" i="208" s="1"/>
  <c r="G40" i="208" s="1"/>
  <c r="I19" i="367"/>
  <c r="F19" i="367" s="1"/>
  <c r="G19" i="367" s="1"/>
  <c r="I32" i="299"/>
  <c r="F32" i="299" s="1"/>
  <c r="G32" i="299" s="1"/>
  <c r="I32" i="124"/>
  <c r="F32" i="124" s="1"/>
  <c r="G32" i="124" s="1"/>
  <c r="I24" i="203"/>
  <c r="F24" i="203" s="1"/>
  <c r="G24" i="203" s="1"/>
  <c r="I19" i="172"/>
  <c r="F19" i="172" s="1"/>
  <c r="G19" i="172" s="1"/>
  <c r="I32" i="223"/>
  <c r="F32" i="223" s="1"/>
  <c r="G32" i="223" s="1"/>
  <c r="G43" i="62"/>
  <c r="I43" i="62"/>
  <c r="I32" i="233"/>
  <c r="F32" i="233" s="1"/>
  <c r="G32" i="233" s="1"/>
  <c r="I24" i="52"/>
  <c r="F24" i="52" s="1"/>
  <c r="G24" i="52" s="1"/>
  <c r="I46" i="274"/>
  <c r="F46" i="274" s="1"/>
  <c r="G46" i="274" s="1"/>
  <c r="I23" i="135"/>
  <c r="G23" i="135"/>
  <c r="I39" i="135"/>
  <c r="G39" i="135"/>
  <c r="I24" i="237"/>
  <c r="I46" i="239"/>
  <c r="F46" i="239" s="1"/>
  <c r="G46" i="239" s="1"/>
  <c r="I32" i="301"/>
  <c r="F32" i="301" s="1"/>
  <c r="G32" i="301" s="1"/>
  <c r="I26" i="354"/>
  <c r="G26" i="354"/>
  <c r="G17" i="354"/>
  <c r="I17" i="354"/>
  <c r="I32" i="201"/>
  <c r="F32" i="201" s="1"/>
  <c r="G32" i="201" s="1"/>
  <c r="I46" i="369"/>
  <c r="F46" i="369" s="1"/>
  <c r="G46" i="369" s="1"/>
  <c r="I48" i="70"/>
  <c r="I32" i="12"/>
  <c r="F32" i="12" s="1"/>
  <c r="G32" i="12" s="1"/>
  <c r="I24" i="420"/>
  <c r="F24" i="420" s="1"/>
  <c r="G24" i="420" s="1"/>
  <c r="I40" i="357"/>
  <c r="F40" i="357" s="1"/>
  <c r="G40" i="357" s="1"/>
  <c r="I23" i="389"/>
  <c r="G23" i="389"/>
  <c r="I28" i="285"/>
  <c r="G28" i="285"/>
  <c r="I46" i="54"/>
  <c r="F46" i="54" s="1"/>
  <c r="G46" i="54" s="1"/>
  <c r="G36" i="291"/>
  <c r="I36" i="291"/>
  <c r="I29" i="89"/>
  <c r="G29" i="89"/>
  <c r="F24" i="458"/>
  <c r="G24" i="458" s="1"/>
  <c r="I19" i="138"/>
  <c r="F19" i="138" s="1"/>
  <c r="G19" i="138" s="1"/>
  <c r="G29" i="62"/>
  <c r="I29" i="62"/>
  <c r="I32" i="261"/>
  <c r="F32" i="261" s="1"/>
  <c r="G32" i="261" s="1"/>
  <c r="I21" i="354"/>
  <c r="G21" i="354"/>
  <c r="I48" i="300"/>
  <c r="I19" i="123"/>
  <c r="F19" i="123" s="1"/>
  <c r="G19" i="123" s="1"/>
  <c r="I46" i="61"/>
  <c r="F46" i="61" s="1"/>
  <c r="G46" i="61" s="1"/>
  <c r="I40" i="49"/>
  <c r="F40" i="49" s="1"/>
  <c r="G40" i="49" s="1"/>
  <c r="I40" i="423"/>
  <c r="F40" i="423" s="1"/>
  <c r="G40" i="423" s="1"/>
  <c r="I46" i="8"/>
  <c r="F46" i="8" s="1"/>
  <c r="G46" i="8" s="1"/>
  <c r="I19" i="298"/>
  <c r="F19" i="298" s="1"/>
  <c r="G19" i="298" s="1"/>
  <c r="I24" i="95"/>
  <c r="F24" i="95" s="1"/>
  <c r="G24" i="95" s="1"/>
  <c r="I19" i="404"/>
  <c r="F19" i="404" s="1"/>
  <c r="G19" i="404" s="1"/>
  <c r="I13" i="118"/>
  <c r="G13" i="118"/>
  <c r="I28" i="118"/>
  <c r="G28" i="118"/>
  <c r="I27" i="291"/>
  <c r="G27" i="291"/>
  <c r="I24" i="47"/>
  <c r="F24" i="47" s="1"/>
  <c r="G24" i="47" s="1"/>
  <c r="I32" i="307"/>
  <c r="F32" i="307" s="1"/>
  <c r="G32" i="307" s="1"/>
  <c r="I32" i="18"/>
  <c r="F32" i="18" s="1"/>
  <c r="G32" i="18" s="1"/>
  <c r="I36" i="89"/>
  <c r="G36" i="89"/>
  <c r="G35" i="89"/>
  <c r="I35" i="89"/>
  <c r="I26" i="389"/>
  <c r="G26" i="389"/>
  <c r="I14" i="389"/>
  <c r="G14" i="389"/>
  <c r="I24" i="124"/>
  <c r="F24" i="124" s="1"/>
  <c r="G24" i="124" s="1"/>
  <c r="I19" i="235"/>
  <c r="F19" i="235" s="1"/>
  <c r="G19" i="235" s="1"/>
  <c r="I40" i="220"/>
  <c r="F40" i="220" s="1"/>
  <c r="G40" i="220" s="1"/>
  <c r="I32" i="90"/>
  <c r="F32" i="90" s="1"/>
  <c r="G32" i="90" s="1"/>
  <c r="I32" i="22"/>
  <c r="F32" i="22" s="1"/>
  <c r="G32" i="22" s="1"/>
  <c r="I18" i="351"/>
  <c r="G18" i="351"/>
  <c r="I23" i="351"/>
  <c r="G23" i="351"/>
  <c r="I32" i="352"/>
  <c r="F32" i="352" s="1"/>
  <c r="G32" i="352" s="1"/>
  <c r="I19" i="357"/>
  <c r="F19" i="357" s="1"/>
  <c r="G19" i="357" s="1"/>
  <c r="I40" i="34"/>
  <c r="F40" i="34" s="1"/>
  <c r="G40" i="34" s="1"/>
  <c r="F24" i="169"/>
  <c r="G24" i="169" s="1"/>
  <c r="I32" i="257"/>
  <c r="F32" i="257" s="1"/>
  <c r="G32" i="257" s="1"/>
  <c r="I32" i="128"/>
  <c r="F32" i="128" s="1"/>
  <c r="G32" i="128" s="1"/>
  <c r="I40" i="56"/>
  <c r="F40" i="56" s="1"/>
  <c r="G40" i="56" s="1"/>
  <c r="I40" i="40"/>
  <c r="F40" i="40" s="1"/>
  <c r="G40" i="40" s="1"/>
  <c r="I40" i="372"/>
  <c r="F40" i="372" s="1"/>
  <c r="G40" i="372" s="1"/>
  <c r="I40" i="69"/>
  <c r="F40" i="69" s="1"/>
  <c r="G40" i="69" s="1"/>
  <c r="I18" i="286"/>
  <c r="G18" i="286"/>
  <c r="G16" i="286"/>
  <c r="I16" i="286"/>
  <c r="I19" i="245"/>
  <c r="F19" i="245" s="1"/>
  <c r="G19" i="245" s="1"/>
  <c r="I40" i="83"/>
  <c r="I19" i="201"/>
  <c r="F19" i="201" s="1"/>
  <c r="G19" i="201" s="1"/>
  <c r="I19" i="301"/>
  <c r="F19" i="301" s="1"/>
  <c r="G19" i="301" s="1"/>
  <c r="I40" i="128"/>
  <c r="F40" i="128" s="1"/>
  <c r="G40" i="128" s="1"/>
  <c r="I32" i="329"/>
  <c r="F32" i="329" s="1"/>
  <c r="G32" i="329" s="1"/>
  <c r="I32" i="313"/>
  <c r="F32" i="313" s="1"/>
  <c r="G32" i="313" s="1"/>
  <c r="I16" i="285"/>
  <c r="G16" i="285"/>
  <c r="I40" i="235"/>
  <c r="F40" i="235" s="1"/>
  <c r="G40" i="235" s="1"/>
  <c r="I19" i="11"/>
  <c r="F19" i="11" s="1"/>
  <c r="G19" i="11" s="1"/>
  <c r="I48" i="395"/>
  <c r="I32" i="420"/>
  <c r="F32" i="420" s="1"/>
  <c r="G32" i="420" s="1"/>
  <c r="I40" i="301"/>
  <c r="F40" i="301" s="1"/>
  <c r="G40" i="301" s="1"/>
  <c r="I34" i="62"/>
  <c r="G34" i="62"/>
  <c r="I46" i="87"/>
  <c r="F46" i="87" s="1"/>
  <c r="G46" i="87" s="1"/>
  <c r="G36" i="135"/>
  <c r="I36" i="135"/>
  <c r="I10" i="135"/>
  <c r="G10" i="135"/>
  <c r="I19" i="237"/>
  <c r="F19" i="237" s="1"/>
  <c r="G19" i="237" s="1"/>
  <c r="I11" i="354"/>
  <c r="G11" i="354"/>
  <c r="G13" i="354"/>
  <c r="I13" i="354"/>
  <c r="I46" i="6"/>
  <c r="F46" i="6" s="1"/>
  <c r="G46" i="6" s="1"/>
  <c r="I24" i="116"/>
  <c r="F24" i="116" s="1"/>
  <c r="G24" i="116" s="1"/>
  <c r="I24" i="71"/>
  <c r="F24" i="71" s="1"/>
  <c r="G24" i="71" s="1"/>
  <c r="I46" i="163"/>
  <c r="F46" i="163" s="1"/>
  <c r="G46" i="163" s="1"/>
  <c r="I38" i="118"/>
  <c r="G38" i="118"/>
  <c r="I43" i="118"/>
  <c r="G43" i="118"/>
  <c r="G12" i="291"/>
  <c r="I12" i="291"/>
  <c r="I15" i="291"/>
  <c r="G15" i="291"/>
  <c r="I19" i="393"/>
  <c r="F19" i="393" s="1"/>
  <c r="G19" i="393" s="1"/>
  <c r="I32" i="138"/>
  <c r="F32" i="138" s="1"/>
  <c r="G32" i="138" s="1"/>
  <c r="I32" i="163"/>
  <c r="F32" i="163" s="1"/>
  <c r="G32" i="163" s="1"/>
  <c r="G26" i="89"/>
  <c r="I26" i="89"/>
  <c r="G12" i="89"/>
  <c r="I12" i="89"/>
  <c r="I32" i="281"/>
  <c r="F32" i="281" s="1"/>
  <c r="G32" i="281" s="1"/>
  <c r="I19" i="403"/>
  <c r="F19" i="403" s="1"/>
  <c r="G19" i="403" s="1"/>
  <c r="I35" i="389"/>
  <c r="G35" i="389"/>
  <c r="I43" i="389"/>
  <c r="G43" i="389"/>
  <c r="I24" i="233"/>
  <c r="I32" i="203"/>
  <c r="F32" i="203" s="1"/>
  <c r="G32" i="203" s="1"/>
  <c r="I32" i="274"/>
  <c r="F32" i="274" s="1"/>
  <c r="G32" i="274" s="1"/>
  <c r="I32" i="11"/>
  <c r="F32" i="11" s="1"/>
  <c r="G32" i="11" s="1"/>
  <c r="I27" i="351"/>
  <c r="G27" i="351"/>
  <c r="I29" i="351"/>
  <c r="G29" i="351"/>
  <c r="I40" i="194"/>
  <c r="F40" i="194" s="1"/>
  <c r="G40" i="194" s="1"/>
  <c r="I19" i="229"/>
  <c r="F19" i="229" s="1"/>
  <c r="G19" i="229" s="1"/>
  <c r="I32" i="367"/>
  <c r="F32" i="367" s="1"/>
  <c r="G32" i="367" s="1"/>
  <c r="I19" i="160"/>
  <c r="F19" i="160" s="1"/>
  <c r="G19" i="160" s="1"/>
  <c r="I24" i="369"/>
  <c r="F24" i="369" s="1"/>
  <c r="G24" i="369" s="1"/>
  <c r="I40" i="309"/>
  <c r="F40" i="309" s="1"/>
  <c r="G40" i="309" s="1"/>
  <c r="I40" i="251"/>
  <c r="F40" i="251" s="1"/>
  <c r="G40" i="251" s="1"/>
  <c r="I40" i="102"/>
  <c r="F40" i="102" s="1"/>
  <c r="G40" i="102" s="1"/>
  <c r="I32" i="87"/>
  <c r="F32" i="87" s="1"/>
  <c r="G32" i="87" s="1"/>
  <c r="I40" i="99"/>
  <c r="F40" i="99" s="1"/>
  <c r="G40" i="99" s="1"/>
  <c r="I48" i="206"/>
  <c r="I32" i="229"/>
  <c r="F32" i="229" s="1"/>
  <c r="G32" i="229" s="1"/>
  <c r="I40" i="144"/>
  <c r="F40" i="144" s="1"/>
  <c r="G40" i="144" s="1"/>
  <c r="I24" i="172"/>
  <c r="I24" i="87"/>
  <c r="F24" i="87" s="1"/>
  <c r="G24" i="87" s="1"/>
  <c r="I32" i="20"/>
  <c r="F32" i="20" s="1"/>
  <c r="G32" i="20" s="1"/>
  <c r="I40" i="193"/>
  <c r="F40" i="193" s="1"/>
  <c r="G40" i="193" s="1"/>
  <c r="I40" i="256"/>
  <c r="F40" i="256" s="1"/>
  <c r="G40" i="256" s="1"/>
  <c r="I40" i="455"/>
  <c r="F40" i="455" s="1"/>
  <c r="G40" i="455" s="1"/>
  <c r="G27" i="286"/>
  <c r="I27" i="286"/>
  <c r="G43" i="286"/>
  <c r="I43" i="286"/>
  <c r="I19" i="392"/>
  <c r="F19" i="392" s="1"/>
  <c r="G19" i="392" s="1"/>
  <c r="I42" i="285"/>
  <c r="G42" i="285"/>
  <c r="I12" i="285"/>
  <c r="G12" i="285"/>
  <c r="I24" i="307"/>
  <c r="I32" i="33"/>
  <c r="F32" i="33" s="1"/>
  <c r="G32" i="33" s="1"/>
  <c r="I32" i="245"/>
  <c r="F32" i="245" s="1"/>
  <c r="G32" i="245" s="1"/>
  <c r="I24" i="342"/>
  <c r="F24" i="342" s="1"/>
  <c r="G24" i="342" s="1"/>
  <c r="I19" i="163"/>
  <c r="F19" i="163" s="1"/>
  <c r="G19" i="163" s="1"/>
  <c r="I19" i="223"/>
  <c r="F19" i="223" s="1"/>
  <c r="G19" i="223" s="1"/>
  <c r="I19" i="168"/>
  <c r="F19" i="168" s="1"/>
  <c r="G19" i="168" s="1"/>
  <c r="I40" i="324"/>
  <c r="F40" i="324" s="1"/>
  <c r="G40" i="324" s="1"/>
  <c r="I42" i="62"/>
  <c r="G42" i="62"/>
  <c r="I40" i="347"/>
  <c r="F40" i="347" s="1"/>
  <c r="G40" i="347" s="1"/>
  <c r="I32" i="169"/>
  <c r="F32" i="169" s="1"/>
  <c r="G32" i="169" s="1"/>
  <c r="G12" i="135"/>
  <c r="I12" i="135"/>
  <c r="G27" i="135"/>
  <c r="I27" i="135"/>
  <c r="I27" i="354"/>
  <c r="G27" i="354"/>
  <c r="I36" i="354"/>
  <c r="G36" i="354"/>
  <c r="I19" i="169"/>
  <c r="F19" i="169" s="1"/>
  <c r="G19" i="169" s="1"/>
  <c r="I48" i="228"/>
  <c r="F48" i="228" s="1"/>
  <c r="I32" i="471"/>
  <c r="F32" i="471" s="1"/>
  <c r="G32" i="471" s="1"/>
  <c r="I19" i="17"/>
  <c r="F19" i="17" s="1"/>
  <c r="G19" i="17" s="1"/>
  <c r="I46" i="19"/>
  <c r="F46" i="19" s="1"/>
  <c r="G46" i="19" s="1"/>
  <c r="I32" i="68"/>
  <c r="F32" i="68" s="1"/>
  <c r="G32" i="68" s="1"/>
  <c r="I37" i="118"/>
  <c r="G37" i="118"/>
  <c r="G36" i="118"/>
  <c r="I36" i="118"/>
  <c r="I31" i="291"/>
  <c r="G31" i="291"/>
  <c r="I13" i="291"/>
  <c r="G13" i="291"/>
  <c r="I46" i="396"/>
  <c r="F46" i="396" s="1"/>
  <c r="G46" i="396" s="1"/>
  <c r="I19" i="22"/>
  <c r="F19" i="22" s="1"/>
  <c r="G19" i="22" s="1"/>
  <c r="I14" i="89"/>
  <c r="G14" i="89"/>
  <c r="I38" i="89"/>
  <c r="G38" i="89"/>
  <c r="G30" i="389"/>
  <c r="I30" i="389"/>
  <c r="I44" i="389"/>
  <c r="G44" i="389"/>
  <c r="I46" i="448"/>
  <c r="F46" i="448" s="1"/>
  <c r="G46" i="448" s="1"/>
  <c r="I46" i="233"/>
  <c r="F46" i="233" s="1"/>
  <c r="G46" i="233" s="1"/>
  <c r="I40" i="160"/>
  <c r="F40" i="160" s="1"/>
  <c r="G40" i="160" s="1"/>
  <c r="I32" i="93"/>
  <c r="F32" i="93" s="1"/>
  <c r="G32" i="93" s="1"/>
  <c r="I24" i="309"/>
  <c r="F24" i="309" s="1"/>
  <c r="G24" i="309" s="1"/>
  <c r="I21" i="351"/>
  <c r="G21" i="351"/>
  <c r="G14" i="351"/>
  <c r="I14" i="351"/>
  <c r="I19" i="374"/>
  <c r="F19" i="374" s="1"/>
  <c r="G19" i="374" s="1"/>
  <c r="I32" i="190"/>
  <c r="F32" i="190" s="1"/>
  <c r="G32" i="190" s="1"/>
  <c r="I40" i="90"/>
  <c r="F40" i="90" s="1"/>
  <c r="G40" i="90" s="1"/>
  <c r="I19" i="325"/>
  <c r="F19" i="325" s="1"/>
  <c r="G19" i="325" s="1"/>
  <c r="I19" i="83"/>
  <c r="F19" i="83" s="1"/>
  <c r="G19" i="83" s="1"/>
  <c r="I40" i="168"/>
  <c r="F40" i="168" s="1"/>
  <c r="G40" i="168" s="1"/>
  <c r="I46" i="372"/>
  <c r="F46" i="372" s="1"/>
  <c r="G46" i="372" s="1"/>
  <c r="I46" i="47"/>
  <c r="F46" i="47" s="1"/>
  <c r="G46" i="47" s="1"/>
  <c r="I24" i="128"/>
  <c r="F24" i="128" s="1"/>
  <c r="G24" i="128" s="1"/>
  <c r="I24" i="324"/>
  <c r="F24" i="324" s="1"/>
  <c r="G24" i="324" s="1"/>
  <c r="I32" i="141"/>
  <c r="F32" i="141" s="1"/>
  <c r="G32" i="141" s="1"/>
  <c r="I40" i="338"/>
  <c r="F40" i="338" s="1"/>
  <c r="G40" i="338" s="1"/>
  <c r="I48" i="113"/>
  <c r="G11" i="286"/>
  <c r="I11" i="286"/>
  <c r="I12" i="286"/>
  <c r="G12" i="286"/>
  <c r="I24" i="190"/>
  <c r="F24" i="190" s="1"/>
  <c r="G24" i="190" s="1"/>
  <c r="I40" i="47"/>
  <c r="F40" i="47" s="1"/>
  <c r="G40" i="47" s="1"/>
  <c r="I40" i="201"/>
  <c r="F40" i="201" s="1"/>
  <c r="G40" i="201" s="1"/>
  <c r="I24" i="460"/>
  <c r="I32" i="194"/>
  <c r="F32" i="194" s="1"/>
  <c r="G32" i="194" s="1"/>
  <c r="I32" i="392"/>
  <c r="F32" i="392" s="1"/>
  <c r="G32" i="392" s="1"/>
  <c r="I40" i="104"/>
  <c r="F40" i="104" s="1"/>
  <c r="G40" i="104" s="1"/>
  <c r="I40" i="93"/>
  <c r="F40" i="93" s="1"/>
  <c r="G40" i="93" s="1"/>
  <c r="I19" i="190"/>
  <c r="F19" i="190" s="1"/>
  <c r="G19" i="190" s="1"/>
  <c r="I19" i="116"/>
  <c r="F19" i="116" s="1"/>
  <c r="G19" i="116" s="1"/>
  <c r="I44" i="285"/>
  <c r="G44" i="285"/>
  <c r="G22" i="285"/>
  <c r="I22" i="285"/>
  <c r="I46" i="379"/>
  <c r="F46" i="379" s="1"/>
  <c r="G46" i="379" s="1"/>
  <c r="I40" i="329"/>
  <c r="F40" i="329" s="1"/>
  <c r="G40" i="329" s="1"/>
  <c r="I19" i="9"/>
  <c r="F19" i="9" s="1"/>
  <c r="G19" i="9" s="1"/>
  <c r="I24" i="99"/>
  <c r="F24" i="99" s="1"/>
  <c r="G24" i="99" s="1"/>
  <c r="I24" i="313"/>
  <c r="F24" i="313" s="1"/>
  <c r="G24" i="313" s="1"/>
  <c r="I19" i="452"/>
  <c r="F19" i="452" s="1"/>
  <c r="G19" i="452" s="1"/>
  <c r="I32" i="29"/>
  <c r="F32" i="29" s="1"/>
  <c r="G32" i="29" s="1"/>
  <c r="I32" i="101"/>
  <c r="F32" i="101" s="1"/>
  <c r="G32" i="101" s="1"/>
  <c r="I38" i="62"/>
  <c r="G38" i="62"/>
  <c r="I26" i="62"/>
  <c r="G26" i="62"/>
  <c r="I40" i="124"/>
  <c r="F40" i="124" s="1"/>
  <c r="G40" i="124" s="1"/>
  <c r="I46" i="160"/>
  <c r="F46" i="160" s="1"/>
  <c r="G46" i="160" s="1"/>
  <c r="I24" i="235"/>
  <c r="F24" i="235" s="1"/>
  <c r="G24" i="235" s="1"/>
  <c r="I19" i="226"/>
  <c r="F19" i="226" s="1"/>
  <c r="G19" i="226" s="1"/>
  <c r="I19" i="133"/>
  <c r="F19" i="133" s="1"/>
  <c r="G19" i="133" s="1"/>
  <c r="I32" i="34"/>
  <c r="F32" i="34" s="1"/>
  <c r="G32" i="34" s="1"/>
  <c r="I40" i="169"/>
  <c r="F40" i="169" s="1"/>
  <c r="G40" i="169" s="1"/>
  <c r="I26" i="135"/>
  <c r="G26" i="135"/>
  <c r="G14" i="135"/>
  <c r="I14" i="135"/>
  <c r="I24" i="212"/>
  <c r="F24" i="212" s="1"/>
  <c r="G24" i="212" s="1"/>
  <c r="I29" i="354"/>
  <c r="G29" i="354"/>
  <c r="I39" i="354"/>
  <c r="G39" i="354"/>
  <c r="I40" i="205"/>
  <c r="F40" i="205" s="1"/>
  <c r="G40" i="205" s="1"/>
  <c r="I46" i="68"/>
  <c r="F46" i="68" s="1"/>
  <c r="G46" i="68" s="1"/>
  <c r="I24" i="22"/>
  <c r="F24" i="22" s="1"/>
  <c r="G24" i="22" s="1"/>
  <c r="I19" i="239"/>
  <c r="F19" i="239" s="1"/>
  <c r="G19" i="239" s="1"/>
  <c r="I32" i="374"/>
  <c r="F32" i="374" s="1"/>
  <c r="G32" i="374" s="1"/>
  <c r="I19" i="75"/>
  <c r="F19" i="75" s="1"/>
  <c r="G19" i="75" s="1"/>
  <c r="I24" i="273"/>
  <c r="F24" i="273" s="1"/>
  <c r="G24" i="273" s="1"/>
  <c r="I12" i="118"/>
  <c r="G12" i="118"/>
  <c r="F46" i="442"/>
  <c r="G46" i="442" s="1"/>
  <c r="G35" i="291"/>
  <c r="I35" i="291"/>
  <c r="G14" i="291"/>
  <c r="I14" i="291"/>
  <c r="I46" i="175"/>
  <c r="F46" i="175" s="1"/>
  <c r="G46" i="175" s="1"/>
  <c r="I32" i="152"/>
  <c r="F32" i="152" s="1"/>
  <c r="G32" i="152" s="1"/>
  <c r="G27" i="89"/>
  <c r="I27" i="89"/>
  <c r="I31" i="89"/>
  <c r="G31" i="89"/>
  <c r="I24" i="220"/>
  <c r="F24" i="220" s="1"/>
  <c r="G24" i="220" s="1"/>
  <c r="G27" i="389"/>
  <c r="I27" i="389"/>
  <c r="I39" i="389"/>
  <c r="G39" i="389"/>
  <c r="I24" i="15"/>
  <c r="F24" i="15" s="1"/>
  <c r="G24" i="15" s="1"/>
  <c r="I24" i="393"/>
  <c r="F24" i="393" s="1"/>
  <c r="G24" i="393" s="1"/>
  <c r="I19" i="40"/>
  <c r="F19" i="40" s="1"/>
  <c r="G19" i="40" s="1"/>
  <c r="I17" i="351"/>
  <c r="G17" i="351"/>
  <c r="I30" i="351"/>
  <c r="G30" i="351"/>
  <c r="I19" i="104"/>
  <c r="F19" i="104" s="1"/>
  <c r="G19" i="104" s="1"/>
  <c r="I40" i="339"/>
  <c r="F40" i="339" s="1"/>
  <c r="G40" i="339" s="1"/>
  <c r="I46" i="249"/>
  <c r="F46" i="249" s="1"/>
  <c r="G46" i="249" s="1"/>
  <c r="I32" i="193"/>
  <c r="F32" i="193" s="1"/>
  <c r="G32" i="193" s="1"/>
  <c r="I19" i="256"/>
  <c r="F19" i="256" s="1"/>
  <c r="G19" i="256" s="1"/>
  <c r="I24" i="392"/>
  <c r="F24" i="392" s="1"/>
  <c r="G24" i="392" s="1"/>
  <c r="I48" i="3"/>
  <c r="I24" i="3"/>
  <c r="F24" i="3" s="1"/>
  <c r="G24" i="3" s="1"/>
  <c r="I46" i="124"/>
  <c r="F46" i="124" s="1"/>
  <c r="G46" i="124" s="1"/>
  <c r="I21" i="286"/>
  <c r="G21" i="286"/>
  <c r="I19" i="314"/>
  <c r="F19" i="314" s="1"/>
  <c r="G19" i="314" s="1"/>
  <c r="I40" i="190"/>
  <c r="F40" i="190" s="1"/>
  <c r="G40" i="190" s="1"/>
  <c r="G43" i="285"/>
  <c r="I43" i="285"/>
  <c r="G30" i="285"/>
  <c r="I30" i="285"/>
  <c r="I24" i="245"/>
  <c r="F24" i="245" s="1"/>
  <c r="G24" i="245" s="1"/>
  <c r="I19" i="273"/>
  <c r="F19" i="273" s="1"/>
  <c r="G19" i="273" s="1"/>
  <c r="I40" i="245"/>
  <c r="F40" i="245" s="1"/>
  <c r="G40" i="245" s="1"/>
  <c r="I48" i="280"/>
  <c r="I19" i="33"/>
  <c r="F19" i="33" s="1"/>
  <c r="G19" i="33" s="1"/>
  <c r="I19" i="372"/>
  <c r="F19" i="372" s="1"/>
  <c r="G19" i="372" s="1"/>
  <c r="I32" i="284"/>
  <c r="F32" i="284" s="1"/>
  <c r="G32" i="284" s="1"/>
  <c r="I24" i="261"/>
  <c r="F24" i="261" s="1"/>
  <c r="G24" i="261" s="1"/>
  <c r="G23" i="62"/>
  <c r="I23" i="62"/>
  <c r="G28" i="62"/>
  <c r="I28" i="62"/>
  <c r="I46" i="299"/>
  <c r="F46" i="299" s="1"/>
  <c r="G46" i="299" s="1"/>
  <c r="I32" i="419"/>
  <c r="F32" i="419" s="1"/>
  <c r="G32" i="419" s="1"/>
  <c r="I48" i="345"/>
  <c r="I16" i="135"/>
  <c r="G16" i="135"/>
  <c r="I13" i="135"/>
  <c r="G13" i="135"/>
  <c r="I28" i="354"/>
  <c r="G28" i="354"/>
  <c r="I19" i="68"/>
  <c r="F19" i="68" s="1"/>
  <c r="G19" i="68" s="1"/>
  <c r="G21" i="118"/>
  <c r="I21" i="118"/>
  <c r="I26" i="291"/>
  <c r="G26" i="291"/>
  <c r="I24" i="339"/>
  <c r="F24" i="339" s="1"/>
  <c r="G24" i="339" s="1"/>
  <c r="G43" i="135"/>
  <c r="I43" i="135"/>
  <c r="I31" i="354"/>
  <c r="G31" i="354"/>
  <c r="I32" i="430"/>
  <c r="F32" i="430" s="1"/>
  <c r="G32" i="430" s="1"/>
  <c r="I48" i="409"/>
  <c r="F48" i="409" s="1"/>
  <c r="I40" i="246"/>
  <c r="F40" i="246" s="1"/>
  <c r="G40" i="246" s="1"/>
  <c r="I48" i="171"/>
  <c r="I50" i="171" s="1"/>
  <c r="I35" i="118"/>
  <c r="G35" i="118"/>
  <c r="G38" i="291"/>
  <c r="I38" i="291"/>
  <c r="G34" i="291"/>
  <c r="I34" i="291"/>
  <c r="I24" i="403"/>
  <c r="F24" i="403" s="1"/>
  <c r="G24" i="403" s="1"/>
  <c r="I48" i="105"/>
  <c r="I40" i="6"/>
  <c r="F40" i="6" s="1"/>
  <c r="G40" i="6" s="1"/>
  <c r="G16" i="89"/>
  <c r="I16" i="89"/>
  <c r="I22" i="389"/>
  <c r="G22" i="389"/>
  <c r="I42" i="389"/>
  <c r="G42" i="389"/>
  <c r="I19" i="309"/>
  <c r="F19" i="309" s="1"/>
  <c r="G19" i="309" s="1"/>
  <c r="G26" i="351"/>
  <c r="I26" i="351"/>
  <c r="I42" i="351"/>
  <c r="G42" i="351"/>
  <c r="I19" i="284"/>
  <c r="F19" i="284" s="1"/>
  <c r="G19" i="284" s="1"/>
  <c r="I32" i="172"/>
  <c r="F32" i="172" s="1"/>
  <c r="G32" i="172" s="1"/>
  <c r="I40" i="116"/>
  <c r="F40" i="116" s="1"/>
  <c r="G40" i="116" s="1"/>
  <c r="I19" i="460"/>
  <c r="F19" i="460" s="1"/>
  <c r="G19" i="460" s="1"/>
  <c r="I40" i="352"/>
  <c r="F40" i="352" s="1"/>
  <c r="G40" i="352" s="1"/>
  <c r="I46" i="18"/>
  <c r="F46" i="18" s="1"/>
  <c r="G46" i="18" s="1"/>
  <c r="I24" i="226"/>
  <c r="I32" i="139"/>
  <c r="F32" i="139" s="1"/>
  <c r="G32" i="139" s="1"/>
  <c r="I40" i="29"/>
  <c r="F40" i="29" s="1"/>
  <c r="G40" i="29" s="1"/>
  <c r="I13" i="286"/>
  <c r="G13" i="286"/>
  <c r="I29" i="285"/>
  <c r="G29" i="285"/>
  <c r="I32" i="397"/>
  <c r="F32" i="397" s="1"/>
  <c r="G32" i="397" s="1"/>
  <c r="I40" i="263"/>
  <c r="F40" i="263" s="1"/>
  <c r="G40" i="263" s="1"/>
  <c r="I46" i="12"/>
  <c r="F46" i="12" s="1"/>
  <c r="G46" i="12" s="1"/>
  <c r="I32" i="102"/>
  <c r="F32" i="102" s="1"/>
  <c r="G32" i="102" s="1"/>
  <c r="I24" i="454"/>
  <c r="F24" i="454" s="1"/>
  <c r="G24" i="454" s="1"/>
  <c r="I24" i="84"/>
  <c r="F24" i="84" s="1"/>
  <c r="G24" i="84" s="1"/>
  <c r="I40" i="227"/>
  <c r="F40" i="227" s="1"/>
  <c r="G40" i="227" s="1"/>
  <c r="I46" i="403"/>
  <c r="F46" i="403" s="1"/>
  <c r="G46" i="403" s="1"/>
  <c r="I19" i="128"/>
  <c r="F19" i="128" s="1"/>
  <c r="G19" i="128" s="1"/>
  <c r="G13" i="62"/>
  <c r="I13" i="62"/>
  <c r="I30" i="62"/>
  <c r="G30" i="62"/>
  <c r="I46" i="342"/>
  <c r="F46" i="342" s="1"/>
  <c r="G46" i="342" s="1"/>
  <c r="I46" i="133"/>
  <c r="F46" i="133" s="1"/>
  <c r="G46" i="133" s="1"/>
  <c r="I24" i="56"/>
  <c r="F24" i="56" s="1"/>
  <c r="G24" i="56" s="1"/>
  <c r="I32" i="6"/>
  <c r="F32" i="6" s="1"/>
  <c r="G32" i="6" s="1"/>
  <c r="I46" i="190"/>
  <c r="F46" i="190" s="1"/>
  <c r="G46" i="190" s="1"/>
  <c r="I46" i="213"/>
  <c r="F46" i="213" s="1"/>
  <c r="G46" i="213" s="1"/>
  <c r="I15" i="135"/>
  <c r="G15" i="135"/>
  <c r="G37" i="135"/>
  <c r="I37" i="135"/>
  <c r="I46" i="212"/>
  <c r="F46" i="212" s="1"/>
  <c r="G46" i="212" s="1"/>
  <c r="I24" i="374"/>
  <c r="F24" i="374" s="1"/>
  <c r="G24" i="374" s="1"/>
  <c r="G12" i="354"/>
  <c r="I12" i="354"/>
  <c r="I40" i="192"/>
  <c r="F40" i="192" s="1"/>
  <c r="G40" i="192" s="1"/>
  <c r="E48" i="118"/>
  <c r="I40" i="212"/>
  <c r="F40" i="212" s="1"/>
  <c r="G40" i="212" s="1"/>
  <c r="I32" i="297"/>
  <c r="F32" i="297" s="1"/>
  <c r="G32" i="297" s="1"/>
  <c r="I46" i="24"/>
  <c r="F46" i="24" s="1"/>
  <c r="G46" i="24" s="1"/>
  <c r="I32" i="61"/>
  <c r="F32" i="61" s="1"/>
  <c r="G32" i="61" s="1"/>
  <c r="I32" i="437"/>
  <c r="F32" i="437" s="1"/>
  <c r="G32" i="437" s="1"/>
  <c r="I46" i="461"/>
  <c r="F46" i="461" s="1"/>
  <c r="G46" i="461" s="1"/>
  <c r="I48" i="21"/>
  <c r="I40" i="465"/>
  <c r="F40" i="465" s="1"/>
  <c r="G40" i="465" s="1"/>
  <c r="G30" i="118"/>
  <c r="I30" i="118"/>
  <c r="G11" i="291"/>
  <c r="I11" i="291"/>
  <c r="G43" i="291"/>
  <c r="I43" i="291"/>
  <c r="I46" i="193"/>
  <c r="F46" i="193" s="1"/>
  <c r="G46" i="193" s="1"/>
  <c r="I40" i="33"/>
  <c r="F40" i="33" s="1"/>
  <c r="G40" i="33" s="1"/>
  <c r="G10" i="89"/>
  <c r="I10" i="89"/>
  <c r="I38" i="389"/>
  <c r="G38" i="389"/>
  <c r="I11" i="389"/>
  <c r="G11" i="389"/>
  <c r="I32" i="133"/>
  <c r="F32" i="133" s="1"/>
  <c r="G32" i="133" s="1"/>
  <c r="I43" i="351"/>
  <c r="G43" i="351"/>
  <c r="G13" i="351"/>
  <c r="I13" i="351"/>
  <c r="I19" i="18"/>
  <c r="F19" i="18" s="1"/>
  <c r="G19" i="18" s="1"/>
  <c r="I46" i="205"/>
  <c r="F46" i="205" s="1"/>
  <c r="G46" i="205" s="1"/>
  <c r="I24" i="133"/>
  <c r="F24" i="133" s="1"/>
  <c r="G24" i="133" s="1"/>
  <c r="I46" i="90"/>
  <c r="F46" i="90" s="1"/>
  <c r="G46" i="90" s="1"/>
  <c r="I19" i="379"/>
  <c r="F19" i="379" s="1"/>
  <c r="G19" i="379" s="1"/>
  <c r="I19" i="52"/>
  <c r="F19" i="52" s="1"/>
  <c r="G19" i="52" s="1"/>
  <c r="I19" i="156"/>
  <c r="F19" i="156" s="1"/>
  <c r="G19" i="156" s="1"/>
  <c r="I24" i="33"/>
  <c r="F24" i="33" s="1"/>
  <c r="G24" i="33" s="1"/>
  <c r="I46" i="393"/>
  <c r="F46" i="393" s="1"/>
  <c r="G46" i="393" s="1"/>
  <c r="I24" i="455"/>
  <c r="F24" i="455" s="1"/>
  <c r="G24" i="455" s="1"/>
  <c r="I34" i="286"/>
  <c r="G34" i="286"/>
  <c r="I46" i="347"/>
  <c r="F46" i="347" s="1"/>
  <c r="G46" i="347" s="1"/>
  <c r="I40" i="454"/>
  <c r="F40" i="454" s="1"/>
  <c r="G40" i="454" s="1"/>
  <c r="I24" i="194"/>
  <c r="F24" i="194" s="1"/>
  <c r="G24" i="194" s="1"/>
  <c r="I21" i="285"/>
  <c r="G21" i="285"/>
  <c r="G18" i="285"/>
  <c r="I18" i="285"/>
  <c r="I46" i="343"/>
  <c r="F46" i="343" s="1"/>
  <c r="G46" i="343" s="1"/>
  <c r="I19" i="274"/>
  <c r="F19" i="274" s="1"/>
  <c r="G19" i="274" s="1"/>
  <c r="I40" i="397"/>
  <c r="F40" i="397" s="1"/>
  <c r="G40" i="397" s="1"/>
  <c r="I46" i="29"/>
  <c r="F46" i="29" s="1"/>
  <c r="G46" i="29" s="1"/>
  <c r="I40" i="20"/>
  <c r="F40" i="20" s="1"/>
  <c r="G40" i="20" s="1"/>
  <c r="I19" i="34"/>
  <c r="F19" i="34" s="1"/>
  <c r="G19" i="34" s="1"/>
  <c r="I48" i="241"/>
  <c r="I40" i="284"/>
  <c r="F40" i="284" s="1"/>
  <c r="G40" i="284" s="1"/>
  <c r="I32" i="347"/>
  <c r="F32" i="347" s="1"/>
  <c r="G32" i="347" s="1"/>
  <c r="G21" i="62"/>
  <c r="I21" i="62"/>
  <c r="G35" i="62"/>
  <c r="I35" i="62"/>
  <c r="I19" i="455"/>
  <c r="F19" i="455" s="1"/>
  <c r="G19" i="455" s="1"/>
  <c r="I24" i="442"/>
  <c r="F24" i="442" s="1"/>
  <c r="G24" i="442" s="1"/>
  <c r="I11" i="135"/>
  <c r="G11" i="135"/>
  <c r="I18" i="135"/>
  <c r="G18" i="135"/>
  <c r="I24" i="138"/>
  <c r="F24" i="138" s="1"/>
  <c r="G24" i="138" s="1"/>
  <c r="G18" i="354"/>
  <c r="I18" i="354"/>
  <c r="I40" i="163"/>
  <c r="F40" i="163" s="1"/>
  <c r="G40" i="163" s="1"/>
  <c r="I40" i="243"/>
  <c r="F40" i="243" s="1"/>
  <c r="G40" i="243" s="1"/>
  <c r="I19" i="175"/>
  <c r="F19" i="175" s="1"/>
  <c r="G19" i="175" s="1"/>
  <c r="I48" i="383"/>
  <c r="I19" i="406"/>
  <c r="F19" i="406" s="1"/>
  <c r="G19" i="406" s="1"/>
  <c r="I40" i="370"/>
  <c r="F40" i="370" s="1"/>
  <c r="G40" i="370" s="1"/>
  <c r="I40" i="294"/>
  <c r="F40" i="294" s="1"/>
  <c r="G40" i="294" s="1"/>
  <c r="I19" i="72"/>
  <c r="F19" i="72" s="1"/>
  <c r="G19" i="72" s="1"/>
  <c r="I32" i="213"/>
  <c r="F32" i="213" s="1"/>
  <c r="G32" i="213" s="1"/>
  <c r="I46" i="202"/>
  <c r="F46" i="202" s="1"/>
  <c r="G46" i="202" s="1"/>
  <c r="I19" i="141"/>
  <c r="F19" i="141" s="1"/>
  <c r="G19" i="141" s="1"/>
  <c r="I40" i="273"/>
  <c r="F40" i="273" s="1"/>
  <c r="G40" i="273" s="1"/>
  <c r="G27" i="118"/>
  <c r="I27" i="118"/>
  <c r="I19" i="193"/>
  <c r="F19" i="193" s="1"/>
  <c r="G19" i="193" s="1"/>
  <c r="I23" i="291"/>
  <c r="G23" i="291"/>
  <c r="I32" i="69"/>
  <c r="F32" i="69" s="1"/>
  <c r="G32" i="69" s="1"/>
  <c r="I24" i="329"/>
  <c r="F24" i="329" s="1"/>
  <c r="G24" i="329" s="1"/>
  <c r="I40" i="84"/>
  <c r="F40" i="84" s="1"/>
  <c r="G40" i="84" s="1"/>
  <c r="G23" i="89"/>
  <c r="I23" i="89"/>
  <c r="I15" i="389"/>
  <c r="G15" i="389"/>
  <c r="G18" i="389"/>
  <c r="I18" i="389"/>
  <c r="I32" i="393"/>
  <c r="F32" i="393" s="1"/>
  <c r="G32" i="393" s="1"/>
  <c r="G37" i="351"/>
  <c r="I37" i="351"/>
  <c r="G31" i="351"/>
  <c r="I31" i="351"/>
  <c r="I40" i="109"/>
  <c r="F40" i="109" s="1"/>
  <c r="G40" i="109" s="1"/>
  <c r="I24" i="377"/>
  <c r="F24" i="377" s="1"/>
  <c r="G24" i="377" s="1"/>
  <c r="I32" i="458"/>
  <c r="F32" i="458" s="1"/>
  <c r="G32" i="458" s="1"/>
  <c r="I46" i="458"/>
  <c r="F46" i="458" s="1"/>
  <c r="G46" i="458" s="1"/>
  <c r="I46" i="173"/>
  <c r="F46" i="173" s="1"/>
  <c r="G46" i="173" s="1"/>
  <c r="I46" i="245"/>
  <c r="F46" i="245" s="1"/>
  <c r="G46" i="245" s="1"/>
  <c r="I46" i="201"/>
  <c r="F46" i="201" s="1"/>
  <c r="G46" i="201" s="1"/>
  <c r="I40" i="203"/>
  <c r="F40" i="203" s="1"/>
  <c r="G40" i="203" s="1"/>
  <c r="I19" i="343"/>
  <c r="F19" i="343" s="1"/>
  <c r="G19" i="343" s="1"/>
  <c r="I36" i="286"/>
  <c r="G36" i="286"/>
  <c r="I19" i="205"/>
  <c r="F19" i="205" s="1"/>
  <c r="G19" i="205" s="1"/>
  <c r="I46" i="326"/>
  <c r="F46" i="326" s="1"/>
  <c r="G46" i="326" s="1"/>
  <c r="I24" i="29"/>
  <c r="F24" i="29" s="1"/>
  <c r="G24" i="29" s="1"/>
  <c r="G10" i="285"/>
  <c r="I10" i="285"/>
  <c r="G14" i="285"/>
  <c r="I14" i="285"/>
  <c r="I32" i="40"/>
  <c r="F32" i="40" s="1"/>
  <c r="G32" i="40" s="1"/>
  <c r="F24" i="50"/>
  <c r="G24" i="50" s="1"/>
  <c r="I48" i="50"/>
  <c r="I19" i="432"/>
  <c r="F19" i="432" s="1"/>
  <c r="G19" i="432" s="1"/>
  <c r="I46" i="227"/>
  <c r="F46" i="227" s="1"/>
  <c r="G46" i="227" s="1"/>
  <c r="I46" i="314"/>
  <c r="F46" i="314" s="1"/>
  <c r="G46" i="314" s="1"/>
  <c r="I46" i="397"/>
  <c r="F46" i="397" s="1"/>
  <c r="G46" i="397" s="1"/>
  <c r="I40" i="326"/>
  <c r="F40" i="326" s="1"/>
  <c r="G40" i="326" s="1"/>
  <c r="I40" i="279"/>
  <c r="F40" i="279" s="1"/>
  <c r="G40" i="279" s="1"/>
  <c r="I32" i="432"/>
  <c r="F32" i="432" s="1"/>
  <c r="G32" i="432" s="1"/>
  <c r="I15" i="62"/>
  <c r="G15" i="62"/>
  <c r="I24" i="86"/>
  <c r="F24" i="86" s="1"/>
  <c r="G24" i="86" s="1"/>
  <c r="I46" i="273"/>
  <c r="F46" i="273" s="1"/>
  <c r="G46" i="273" s="1"/>
  <c r="I40" i="442"/>
  <c r="F40" i="442" s="1"/>
  <c r="G40" i="442" s="1"/>
  <c r="I24" i="452"/>
  <c r="F24" i="452" s="1"/>
  <c r="G24" i="452" s="1"/>
  <c r="I40" i="202"/>
  <c r="F40" i="202" s="1"/>
  <c r="G40" i="202" s="1"/>
  <c r="I46" i="99"/>
  <c r="F46" i="99" s="1"/>
  <c r="G46" i="99" s="1"/>
  <c r="I31" i="135"/>
  <c r="G31" i="135"/>
  <c r="I42" i="135"/>
  <c r="G42" i="135"/>
  <c r="I35" i="354"/>
  <c r="G35" i="354"/>
  <c r="I24" i="201"/>
  <c r="I24" i="40"/>
  <c r="F24" i="40" s="1"/>
  <c r="G24" i="40" s="1"/>
  <c r="I24" i="18"/>
  <c r="F24" i="18" s="1"/>
  <c r="G24" i="18" s="1"/>
  <c r="I24" i="90"/>
  <c r="F24" i="90" s="1"/>
  <c r="G24" i="90" s="1"/>
  <c r="I28" i="286"/>
  <c r="G28" i="286"/>
  <c r="F48" i="66"/>
  <c r="I17" i="62"/>
  <c r="G17" i="62"/>
  <c r="I40" i="181"/>
  <c r="F40" i="181" s="1"/>
  <c r="G40" i="181" s="1"/>
  <c r="I46" i="406"/>
  <c r="F46" i="406" s="1"/>
  <c r="G46" i="406" s="1"/>
  <c r="I34" i="118"/>
  <c r="G34" i="118"/>
  <c r="G26" i="118"/>
  <c r="I26" i="118"/>
  <c r="I21" i="291"/>
  <c r="G21" i="291"/>
  <c r="I19" i="279"/>
  <c r="F19" i="279" s="1"/>
  <c r="G19" i="279" s="1"/>
  <c r="I40" i="257"/>
  <c r="F40" i="257" s="1"/>
  <c r="G40" i="257" s="1"/>
  <c r="I32" i="168"/>
  <c r="F32" i="168" s="1"/>
  <c r="G32" i="168" s="1"/>
  <c r="I21" i="89"/>
  <c r="G21" i="89"/>
  <c r="G36" i="389"/>
  <c r="I36" i="389"/>
  <c r="G34" i="389"/>
  <c r="I34" i="389"/>
  <c r="I19" i="139"/>
  <c r="F19" i="139" s="1"/>
  <c r="G19" i="139" s="1"/>
  <c r="I22" i="351"/>
  <c r="G22" i="351"/>
  <c r="I32" i="83"/>
  <c r="F32" i="83" s="1"/>
  <c r="G32" i="83" s="1"/>
  <c r="I40" i="71"/>
  <c r="F40" i="71" s="1"/>
  <c r="G40" i="71" s="1"/>
  <c r="I19" i="281"/>
  <c r="F19" i="281" s="1"/>
  <c r="G19" i="281" s="1"/>
  <c r="I24" i="141"/>
  <c r="F24" i="141" s="1"/>
  <c r="G24" i="141" s="1"/>
  <c r="I46" i="237"/>
  <c r="F46" i="237" s="1"/>
  <c r="G46" i="237" s="1"/>
  <c r="I32" i="422"/>
  <c r="F32" i="422" s="1"/>
  <c r="G32" i="422" s="1"/>
  <c r="I32" i="239"/>
  <c r="F32" i="239" s="1"/>
  <c r="G32" i="239" s="1"/>
  <c r="I24" i="419"/>
  <c r="F24" i="419" s="1"/>
  <c r="G24" i="419" s="1"/>
  <c r="I46" i="84"/>
  <c r="F46" i="84" s="1"/>
  <c r="G46" i="84" s="1"/>
  <c r="I32" i="116"/>
  <c r="F32" i="116" s="1"/>
  <c r="G32" i="116" s="1"/>
  <c r="I19" i="87"/>
  <c r="F19" i="87" s="1"/>
  <c r="G19" i="87" s="1"/>
  <c r="I19" i="339"/>
  <c r="F19" i="339" s="1"/>
  <c r="G19" i="339" s="1"/>
  <c r="I40" i="223"/>
  <c r="F40" i="223" s="1"/>
  <c r="G40" i="223" s="1"/>
  <c r="I19" i="249"/>
  <c r="F19" i="249" s="1"/>
  <c r="G19" i="249" s="1"/>
  <c r="G23" i="286"/>
  <c r="I23" i="286"/>
  <c r="G10" i="286"/>
  <c r="I10" i="286"/>
  <c r="I46" i="281"/>
  <c r="F46" i="281" s="1"/>
  <c r="G46" i="281" s="1"/>
  <c r="I40" i="393"/>
  <c r="F40" i="393" s="1"/>
  <c r="G40" i="393" s="1"/>
  <c r="I40" i="452"/>
  <c r="F40" i="452" s="1"/>
  <c r="G40" i="452" s="1"/>
  <c r="I34" i="285"/>
  <c r="G34" i="285"/>
  <c r="I39" i="285"/>
  <c r="G39" i="285"/>
  <c r="I32" i="56"/>
  <c r="F32" i="56" s="1"/>
  <c r="G32" i="56" s="1"/>
  <c r="I40" i="11"/>
  <c r="F40" i="11" s="1"/>
  <c r="G40" i="11" s="1"/>
  <c r="I40" i="404"/>
  <c r="F40" i="404" s="1"/>
  <c r="G40" i="404" s="1"/>
  <c r="I19" i="369"/>
  <c r="F19" i="369" s="1"/>
  <c r="G19" i="369" s="1"/>
  <c r="I32" i="84"/>
  <c r="F32" i="84" s="1"/>
  <c r="G32" i="84" s="1"/>
  <c r="I46" i="203"/>
  <c r="F46" i="203" s="1"/>
  <c r="G46" i="203" s="1"/>
  <c r="I24" i="347"/>
  <c r="F24" i="347" s="1"/>
  <c r="G24" i="347" s="1"/>
  <c r="I40" i="333"/>
  <c r="F40" i="333" s="1"/>
  <c r="G40" i="333" s="1"/>
  <c r="G22" i="62"/>
  <c r="I22" i="62"/>
  <c r="I14" i="62"/>
  <c r="G14" i="62"/>
  <c r="I32" i="156"/>
  <c r="F32" i="156" s="1"/>
  <c r="G32" i="156" s="1"/>
  <c r="G44" i="135"/>
  <c r="I44" i="135"/>
  <c r="I38" i="135"/>
  <c r="G38" i="135"/>
  <c r="I19" i="342"/>
  <c r="F19" i="342" s="1"/>
  <c r="G19" i="342" s="1"/>
  <c r="I24" i="160"/>
  <c r="F24" i="160" s="1"/>
  <c r="G24" i="160" s="1"/>
  <c r="I15" i="354"/>
  <c r="G15" i="354"/>
  <c r="I32" i="173"/>
  <c r="F32" i="173" s="1"/>
  <c r="G32" i="173" s="1"/>
  <c r="I24" i="175"/>
  <c r="F24" i="175" s="1"/>
  <c r="G24" i="175" s="1"/>
  <c r="I24" i="357"/>
  <c r="F24" i="357" s="1"/>
  <c r="G24" i="357" s="1"/>
  <c r="I24" i="102"/>
  <c r="F24" i="102" s="1"/>
  <c r="G24" i="102" s="1"/>
  <c r="I24" i="144"/>
  <c r="F24" i="144" s="1"/>
  <c r="G24" i="144" s="1"/>
  <c r="I46" i="455"/>
  <c r="F46" i="455" s="1"/>
  <c r="G46" i="455" s="1"/>
  <c r="I32" i="52"/>
  <c r="F32" i="52" s="1"/>
  <c r="G32" i="52" s="1"/>
  <c r="G31" i="62"/>
  <c r="I31" i="62"/>
  <c r="G44" i="354"/>
  <c r="I44" i="354"/>
  <c r="I48" i="234"/>
  <c r="F48" i="234" s="1"/>
  <c r="I46" i="58"/>
  <c r="F46" i="58" s="1"/>
  <c r="G46" i="58" s="1"/>
  <c r="I19" i="261"/>
  <c r="F19" i="261" s="1"/>
  <c r="G19" i="261" s="1"/>
  <c r="G17" i="118"/>
  <c r="I17" i="118"/>
  <c r="G23" i="118"/>
  <c r="I23" i="118"/>
  <c r="I24" i="192"/>
  <c r="F24" i="192" s="1"/>
  <c r="G24" i="192" s="1"/>
  <c r="I16" i="291"/>
  <c r="G16" i="291"/>
  <c r="I32" i="314"/>
  <c r="F32" i="314" s="1"/>
  <c r="G32" i="314" s="1"/>
  <c r="I19" i="90"/>
  <c r="F19" i="90" s="1"/>
  <c r="G19" i="90" s="1"/>
  <c r="I32" i="144"/>
  <c r="F32" i="144" s="1"/>
  <c r="G32" i="144" s="1"/>
  <c r="I24" i="239"/>
  <c r="F24" i="239" s="1"/>
  <c r="G24" i="239" s="1"/>
  <c r="I24" i="301"/>
  <c r="F24" i="301" s="1"/>
  <c r="G24" i="301" s="1"/>
  <c r="I19" i="192"/>
  <c r="F19" i="192" s="1"/>
  <c r="G19" i="192" s="1"/>
  <c r="I46" i="279"/>
  <c r="F46" i="279" s="1"/>
  <c r="G46" i="279" s="1"/>
  <c r="G42" i="89"/>
  <c r="I42" i="89"/>
  <c r="G22" i="89"/>
  <c r="I22" i="89"/>
  <c r="I29" i="389"/>
  <c r="G29" i="389"/>
  <c r="G16" i="389"/>
  <c r="I16" i="389"/>
  <c r="I19" i="20"/>
  <c r="F19" i="20" s="1"/>
  <c r="G19" i="20" s="1"/>
  <c r="I46" i="325"/>
  <c r="F46" i="325" s="1"/>
  <c r="G46" i="325" s="1"/>
  <c r="I46" i="15"/>
  <c r="F46" i="15" s="1"/>
  <c r="G46" i="15" s="1"/>
  <c r="I36" i="351"/>
  <c r="G36" i="351"/>
  <c r="G12" i="351"/>
  <c r="I12" i="351"/>
  <c r="I19" i="307"/>
  <c r="F19" i="307" s="1"/>
  <c r="G19" i="307" s="1"/>
  <c r="I32" i="243"/>
  <c r="F32" i="243" s="1"/>
  <c r="G32" i="243" s="1"/>
  <c r="I48" i="311"/>
  <c r="I40" i="458"/>
  <c r="F40" i="458" s="1"/>
  <c r="G40" i="458" s="1"/>
  <c r="I19" i="420"/>
  <c r="F19" i="420" s="1"/>
  <c r="G19" i="420" s="1"/>
  <c r="I19" i="397"/>
  <c r="F19" i="397" s="1"/>
  <c r="G19" i="397" s="1"/>
  <c r="I19" i="102"/>
  <c r="F19" i="102" s="1"/>
  <c r="G19" i="102" s="1"/>
  <c r="I40" i="374"/>
  <c r="F40" i="374" s="1"/>
  <c r="G40" i="374" s="1"/>
  <c r="I24" i="343"/>
  <c r="F24" i="343" s="1"/>
  <c r="G24" i="343" s="1"/>
  <c r="I26" i="286"/>
  <c r="G26" i="286"/>
  <c r="I46" i="454"/>
  <c r="F46" i="454" s="1"/>
  <c r="G46" i="454" s="1"/>
  <c r="I19" i="257"/>
  <c r="F19" i="257" s="1"/>
  <c r="G19" i="257" s="1"/>
  <c r="I32" i="342"/>
  <c r="F32" i="342" s="1"/>
  <c r="G32" i="342" s="1"/>
  <c r="I46" i="404"/>
  <c r="F46" i="404" s="1"/>
  <c r="G46" i="404" s="1"/>
  <c r="I19" i="442"/>
  <c r="F19" i="442" s="1"/>
  <c r="G19" i="442" s="1"/>
  <c r="I24" i="281"/>
  <c r="F24" i="281" s="1"/>
  <c r="G24" i="281" s="1"/>
  <c r="I23" i="285"/>
  <c r="G23" i="285"/>
  <c r="I17" i="285"/>
  <c r="G17" i="285"/>
  <c r="I24" i="20"/>
  <c r="F24" i="20" s="1"/>
  <c r="G24" i="20" s="1"/>
  <c r="I40" i="68"/>
  <c r="F40" i="68" s="1"/>
  <c r="G40" i="68" s="1"/>
  <c r="I40" i="133"/>
  <c r="F40" i="133" s="1"/>
  <c r="G40" i="133" s="1"/>
  <c r="I46" i="251"/>
  <c r="F46" i="251" s="1"/>
  <c r="G46" i="251" s="1"/>
  <c r="I40" i="86"/>
  <c r="F40" i="86" s="1"/>
  <c r="G40" i="86" s="1"/>
  <c r="I40" i="299"/>
  <c r="F40" i="299" s="1"/>
  <c r="G40" i="299" s="1"/>
  <c r="I24" i="34"/>
  <c r="F24" i="34" s="1"/>
  <c r="G24" i="34" s="1"/>
  <c r="G44" i="62"/>
  <c r="I44" i="62"/>
  <c r="G36" i="62"/>
  <c r="I36" i="62"/>
  <c r="I46" i="307"/>
  <c r="F46" i="307" s="1"/>
  <c r="G46" i="307" s="1"/>
  <c r="I24" i="69"/>
  <c r="F24" i="69" s="1"/>
  <c r="G24" i="69" s="1"/>
  <c r="I32" i="192"/>
  <c r="F32" i="192" s="1"/>
  <c r="G32" i="192" s="1"/>
  <c r="G17" i="135"/>
  <c r="I17" i="135"/>
  <c r="I24" i="79"/>
  <c r="F24" i="79" s="1"/>
  <c r="G24" i="79" s="1"/>
  <c r="I40" i="422"/>
  <c r="F40" i="422" s="1"/>
  <c r="G40" i="422" s="1"/>
  <c r="I10" i="354"/>
  <c r="G10" i="354"/>
  <c r="I42" i="354"/>
  <c r="G42" i="354"/>
  <c r="I19" i="251"/>
  <c r="F19" i="251" s="1"/>
  <c r="G19" i="251" s="1"/>
  <c r="I24" i="338"/>
  <c r="F24" i="338" s="1"/>
  <c r="G24" i="338" s="1"/>
  <c r="I19" i="174"/>
  <c r="F19" i="174" s="1"/>
  <c r="G19" i="174" s="1"/>
  <c r="I40" i="138"/>
  <c r="F40" i="138" s="1"/>
  <c r="G40" i="138" s="1"/>
  <c r="I48" i="182"/>
  <c r="I35" i="351"/>
  <c r="G35" i="351"/>
  <c r="G31" i="286"/>
  <c r="I31" i="286"/>
  <c r="I26" i="285"/>
  <c r="G26" i="285"/>
  <c r="F48" i="378"/>
  <c r="I50" i="378"/>
  <c r="F24" i="432"/>
  <c r="G24" i="432" s="1"/>
  <c r="F48" i="107"/>
  <c r="I50" i="107"/>
  <c r="I40" i="406"/>
  <c r="F40" i="406" s="1"/>
  <c r="G40" i="406" s="1"/>
  <c r="I40" i="37"/>
  <c r="F40" i="37" s="1"/>
  <c r="G40" i="37" s="1"/>
  <c r="I40" i="297"/>
  <c r="F40" i="297" s="1"/>
  <c r="G40" i="297" s="1"/>
  <c r="I46" i="49"/>
  <c r="F46" i="49" s="1"/>
  <c r="G46" i="49" s="1"/>
  <c r="I46" i="33"/>
  <c r="F46" i="33" s="1"/>
  <c r="G46" i="33" s="1"/>
  <c r="I29" i="118"/>
  <c r="G29" i="118"/>
  <c r="G42" i="118"/>
  <c r="I42" i="118"/>
  <c r="I37" i="291"/>
  <c r="G37" i="291"/>
  <c r="I24" i="251"/>
  <c r="F24" i="251" s="1"/>
  <c r="G24" i="251" s="1"/>
  <c r="I19" i="233"/>
  <c r="F19" i="233" s="1"/>
  <c r="G19" i="233" s="1"/>
  <c r="I32" i="249"/>
  <c r="F32" i="249" s="1"/>
  <c r="G32" i="249" s="1"/>
  <c r="I46" i="333"/>
  <c r="F46" i="333" s="1"/>
  <c r="G46" i="333" s="1"/>
  <c r="G11" i="89"/>
  <c r="I11" i="89"/>
  <c r="G39" i="89"/>
  <c r="I39" i="89"/>
  <c r="I28" i="389"/>
  <c r="G28" i="389"/>
  <c r="I31" i="389"/>
  <c r="G31" i="389"/>
  <c r="I40" i="141"/>
  <c r="F40" i="141" s="1"/>
  <c r="G40" i="141" s="1"/>
  <c r="I46" i="69"/>
  <c r="F46" i="69" s="1"/>
  <c r="G46" i="69" s="1"/>
  <c r="I46" i="208"/>
  <c r="F46" i="208" s="1"/>
  <c r="G46" i="208" s="1"/>
  <c r="I48" i="312"/>
  <c r="G11" i="351"/>
  <c r="I11" i="351"/>
  <c r="G38" i="351"/>
  <c r="I38" i="351"/>
  <c r="I46" i="116"/>
  <c r="F46" i="116" s="1"/>
  <c r="G46" i="116" s="1"/>
  <c r="I46" i="128"/>
  <c r="F46" i="128" s="1"/>
  <c r="G46" i="128" s="1"/>
  <c r="I32" i="237"/>
  <c r="F32" i="237" s="1"/>
  <c r="G32" i="237" s="1"/>
  <c r="I19" i="212"/>
  <c r="F19" i="212" s="1"/>
  <c r="G19" i="212" s="1"/>
  <c r="I46" i="52"/>
  <c r="F46" i="52" s="1"/>
  <c r="G46" i="52" s="1"/>
  <c r="I48" i="74"/>
  <c r="I32" i="251"/>
  <c r="F32" i="251" s="1"/>
  <c r="G32" i="251" s="1"/>
  <c r="I40" i="237"/>
  <c r="F40" i="237" s="1"/>
  <c r="G40" i="237" s="1"/>
  <c r="I46" i="22"/>
  <c r="F46" i="22" s="1"/>
  <c r="G46" i="22" s="1"/>
  <c r="I46" i="261"/>
  <c r="F46" i="261" s="1"/>
  <c r="G46" i="261" s="1"/>
  <c r="G37" i="286"/>
  <c r="I37" i="286"/>
  <c r="G22" i="286"/>
  <c r="I22" i="286"/>
  <c r="I32" i="220"/>
  <c r="F32" i="220" s="1"/>
  <c r="G32" i="220" s="1"/>
  <c r="I46" i="422"/>
  <c r="F46" i="422" s="1"/>
  <c r="G46" i="422" s="1"/>
  <c r="I48" i="63"/>
  <c r="I40" i="274"/>
  <c r="F40" i="274" s="1"/>
  <c r="G40" i="274" s="1"/>
  <c r="I19" i="377"/>
  <c r="F19" i="377" s="1"/>
  <c r="G19" i="377" s="1"/>
  <c r="I46" i="172"/>
  <c r="F46" i="172" s="1"/>
  <c r="G46" i="172" s="1"/>
  <c r="G27" i="285"/>
  <c r="I27" i="285"/>
  <c r="I31" i="285"/>
  <c r="G31" i="285"/>
  <c r="I19" i="71"/>
  <c r="F19" i="71" s="1"/>
  <c r="G19" i="71" s="1"/>
  <c r="I40" i="239"/>
  <c r="F40" i="239" s="1"/>
  <c r="G40" i="239" s="1"/>
  <c r="I40" i="298"/>
  <c r="F40" i="298" s="1"/>
  <c r="G40" i="298" s="1"/>
  <c r="I19" i="333"/>
  <c r="F19" i="333" s="1"/>
  <c r="G19" i="333" s="1"/>
  <c r="I32" i="279"/>
  <c r="F32" i="279" s="1"/>
  <c r="G32" i="279" s="1"/>
  <c r="I19" i="227"/>
  <c r="F19" i="227" s="1"/>
  <c r="G19" i="227" s="1"/>
  <c r="I48" i="94"/>
  <c r="I24" i="6"/>
  <c r="F24" i="6" s="1"/>
  <c r="G24" i="6" s="1"/>
  <c r="I10" i="62"/>
  <c r="G10" i="62"/>
  <c r="G27" i="62"/>
  <c r="I27" i="62"/>
  <c r="I24" i="174"/>
  <c r="F24" i="174" s="1"/>
  <c r="G24" i="174" s="1"/>
  <c r="I46" i="229"/>
  <c r="F46" i="229" s="1"/>
  <c r="G46" i="229" s="1"/>
  <c r="I32" i="9"/>
  <c r="F32" i="9" s="1"/>
  <c r="G32" i="9" s="1"/>
  <c r="G34" i="135"/>
  <c r="I34" i="135"/>
  <c r="I21" i="135"/>
  <c r="G21" i="135"/>
  <c r="I46" i="20"/>
  <c r="F46" i="20" s="1"/>
  <c r="G46" i="20" s="1"/>
  <c r="G22" i="354"/>
  <c r="I22" i="354"/>
  <c r="G23" i="354"/>
  <c r="I23" i="354"/>
  <c r="I46" i="102"/>
  <c r="F46" i="102" s="1"/>
  <c r="G46" i="102" s="1"/>
  <c r="I32" i="226"/>
  <c r="F32" i="226" s="1"/>
  <c r="G32" i="226" s="1"/>
  <c r="I40" i="332"/>
  <c r="F40" i="332" s="1"/>
  <c r="G40" i="332" s="1"/>
  <c r="I40" i="446"/>
  <c r="F40" i="446" s="1"/>
  <c r="G40" i="446" s="1"/>
  <c r="I32" i="429"/>
  <c r="F32" i="429" s="1"/>
  <c r="G32" i="429" s="1"/>
  <c r="I48" i="145"/>
  <c r="I50" i="145" s="1"/>
  <c r="I32" i="17"/>
  <c r="F32" i="17" s="1"/>
  <c r="G32" i="17" s="1"/>
  <c r="I46" i="415"/>
  <c r="F46" i="415" s="1"/>
  <c r="G46" i="415" s="1"/>
  <c r="I24" i="205"/>
  <c r="F24" i="205" s="1"/>
  <c r="G24" i="205" s="1"/>
  <c r="I32" i="256"/>
  <c r="F32" i="256" s="1"/>
  <c r="G32" i="256" s="1"/>
  <c r="G16" i="118"/>
  <c r="I16" i="118"/>
  <c r="G14" i="118"/>
  <c r="I14" i="118"/>
  <c r="I32" i="333"/>
  <c r="I28" i="291"/>
  <c r="G28" i="291"/>
  <c r="I39" i="291"/>
  <c r="G39" i="291"/>
  <c r="I24" i="256"/>
  <c r="F24" i="256" s="1"/>
  <c r="G24" i="256" s="1"/>
  <c r="I24" i="284"/>
  <c r="F24" i="284" s="1"/>
  <c r="G24" i="284" s="1"/>
  <c r="I32" i="104"/>
  <c r="F32" i="104" s="1"/>
  <c r="G32" i="104" s="1"/>
  <c r="I32" i="325"/>
  <c r="F32" i="325" s="1"/>
  <c r="G32" i="325" s="1"/>
  <c r="I18" i="89"/>
  <c r="G18" i="89"/>
  <c r="I17" i="89"/>
  <c r="G17" i="89"/>
  <c r="G10" i="389"/>
  <c r="I10" i="389"/>
  <c r="G37" i="389"/>
  <c r="I37" i="389"/>
  <c r="I48" i="147"/>
  <c r="I16" i="351"/>
  <c r="G16" i="351"/>
  <c r="I39" i="351"/>
  <c r="G39" i="351"/>
  <c r="I24" i="193"/>
  <c r="F24" i="193" s="1"/>
  <c r="G24" i="193" s="1"/>
  <c r="I19" i="213"/>
  <c r="F19" i="213" s="1"/>
  <c r="G19" i="213" s="1"/>
  <c r="I46" i="284"/>
  <c r="F46" i="284" s="1"/>
  <c r="G46" i="284" s="1"/>
  <c r="I24" i="372"/>
  <c r="F24" i="372" s="1"/>
  <c r="G24" i="372" s="1"/>
  <c r="I24" i="274"/>
  <c r="F24" i="274" s="1"/>
  <c r="G24" i="274" s="1"/>
  <c r="I32" i="160"/>
  <c r="F32" i="160" s="1"/>
  <c r="G32" i="160" s="1"/>
  <c r="I24" i="104"/>
  <c r="I38" i="286"/>
  <c r="G38" i="286"/>
  <c r="I42" i="286"/>
  <c r="I46" i="286" s="1"/>
  <c r="F46" i="286" s="1"/>
  <c r="G46" i="286" s="1"/>
  <c r="G42" i="286"/>
  <c r="I19" i="324"/>
  <c r="F19" i="324" s="1"/>
  <c r="G19" i="324" s="1"/>
  <c r="G37" i="285"/>
  <c r="I37" i="285"/>
  <c r="I38" i="285"/>
  <c r="G38" i="285"/>
  <c r="I24" i="229"/>
  <c r="I46" i="226"/>
  <c r="F46" i="226" s="1"/>
  <c r="G46" i="226" s="1"/>
  <c r="I46" i="352"/>
  <c r="F46" i="352" s="1"/>
  <c r="G46" i="352" s="1"/>
  <c r="I32" i="240"/>
  <c r="F32" i="240" s="1"/>
  <c r="G32" i="240" s="1"/>
  <c r="I48" i="290"/>
  <c r="I19" i="422"/>
  <c r="F19" i="422" s="1"/>
  <c r="G19" i="422" s="1"/>
  <c r="I40" i="307"/>
  <c r="F40" i="307" s="1"/>
  <c r="G40" i="307" s="1"/>
  <c r="I11" i="62"/>
  <c r="G11" i="62"/>
  <c r="I12" i="62"/>
  <c r="G12" i="62"/>
  <c r="I24" i="109"/>
  <c r="F24" i="109" s="1"/>
  <c r="G24" i="109" s="1"/>
  <c r="I24" i="5"/>
  <c r="F24" i="5" s="1"/>
  <c r="G24" i="5" s="1"/>
  <c r="I48" i="5"/>
  <c r="G30" i="135"/>
  <c r="I30" i="135"/>
  <c r="G22" i="135"/>
  <c r="I22" i="135"/>
  <c r="G37" i="354"/>
  <c r="I37" i="354"/>
  <c r="G38" i="354"/>
  <c r="I38" i="354"/>
  <c r="I40" i="343"/>
  <c r="F40" i="343" s="1"/>
  <c r="G40" i="343" s="1"/>
  <c r="I24" i="75"/>
  <c r="F24" i="75" s="1"/>
  <c r="G24" i="75" s="1"/>
  <c r="G43" i="489"/>
  <c r="I43" i="489"/>
  <c r="I24" i="38"/>
  <c r="F24" i="38" s="1"/>
  <c r="G24" i="38" s="1"/>
  <c r="I19" i="470"/>
  <c r="F19" i="470" s="1"/>
  <c r="G19" i="470" s="1"/>
  <c r="I48" i="376"/>
  <c r="I32" i="433"/>
  <c r="F32" i="433" s="1"/>
  <c r="G32" i="433" s="1"/>
  <c r="I26" i="179"/>
  <c r="G26" i="179"/>
  <c r="I37" i="179"/>
  <c r="G37" i="179"/>
  <c r="I24" i="8"/>
  <c r="F24" i="8" s="1"/>
  <c r="G24" i="8" s="1"/>
  <c r="I23" i="467"/>
  <c r="G23" i="467"/>
  <c r="G14" i="467"/>
  <c r="I14" i="467"/>
  <c r="I30" i="477"/>
  <c r="G30" i="477"/>
  <c r="I17" i="413"/>
  <c r="G17" i="413"/>
  <c r="I39" i="413"/>
  <c r="G39" i="413"/>
  <c r="I32" i="321"/>
  <c r="F32" i="321" s="1"/>
  <c r="G32" i="321" s="1"/>
  <c r="I31" i="469"/>
  <c r="G31" i="469"/>
  <c r="G36" i="469"/>
  <c r="I36" i="469"/>
  <c r="I32" i="72"/>
  <c r="F32" i="72" s="1"/>
  <c r="G32" i="72" s="1"/>
  <c r="I24" i="16"/>
  <c r="F24" i="16" s="1"/>
  <c r="G24" i="16" s="1"/>
  <c r="G16" i="464"/>
  <c r="I16" i="464"/>
  <c r="G10" i="464"/>
  <c r="I10" i="464"/>
  <c r="I19" i="323"/>
  <c r="F19" i="323" s="1"/>
  <c r="G19" i="323" s="1"/>
  <c r="I40" i="418"/>
  <c r="F40" i="418" s="1"/>
  <c r="G40" i="418" s="1"/>
  <c r="I32" i="54"/>
  <c r="F32" i="54" s="1"/>
  <c r="G32" i="54" s="1"/>
  <c r="I19" i="26"/>
  <c r="F19" i="26" s="1"/>
  <c r="G19" i="26" s="1"/>
  <c r="I40" i="10"/>
  <c r="F40" i="10" s="1"/>
  <c r="G40" i="10" s="1"/>
  <c r="G21" i="302"/>
  <c r="I21" i="302"/>
  <c r="I16" i="302"/>
  <c r="G16" i="302"/>
  <c r="I32" i="27"/>
  <c r="F32" i="27" s="1"/>
  <c r="G32" i="27" s="1"/>
  <c r="I19" i="19"/>
  <c r="F19" i="19" s="1"/>
  <c r="G19" i="19" s="1"/>
  <c r="I30" i="463"/>
  <c r="G30" i="463"/>
  <c r="I24" i="424"/>
  <c r="F24" i="424" s="1"/>
  <c r="G24" i="424" s="1"/>
  <c r="I39" i="466"/>
  <c r="G39" i="466"/>
  <c r="I19" i="250"/>
  <c r="F19" i="250" s="1"/>
  <c r="G19" i="250" s="1"/>
  <c r="I24" i="123"/>
  <c r="F24" i="123" s="1"/>
  <c r="G24" i="123" s="1"/>
  <c r="I42" i="463"/>
  <c r="G42" i="463"/>
  <c r="I23" i="463"/>
  <c r="G23" i="463"/>
  <c r="I14" i="384"/>
  <c r="G14" i="384"/>
  <c r="G18" i="384"/>
  <c r="I18" i="384"/>
  <c r="I19" i="337"/>
  <c r="F19" i="337" s="1"/>
  <c r="G19" i="337" s="1"/>
  <c r="I38" i="478"/>
  <c r="G38" i="478"/>
  <c r="I35" i="122"/>
  <c r="G35" i="122"/>
  <c r="I21" i="122"/>
  <c r="G21" i="122"/>
  <c r="I39" i="468"/>
  <c r="G39" i="468"/>
  <c r="I44" i="468"/>
  <c r="G44" i="468"/>
  <c r="I46" i="25"/>
  <c r="F46" i="25" s="1"/>
  <c r="G46" i="25" s="1"/>
  <c r="I40" i="157"/>
  <c r="F40" i="157" s="1"/>
  <c r="G40" i="157" s="1"/>
  <c r="I24" i="196"/>
  <c r="F24" i="196" s="1"/>
  <c r="G24" i="196" s="1"/>
  <c r="I17" i="269"/>
  <c r="G17" i="269"/>
  <c r="G31" i="489"/>
  <c r="I31" i="489"/>
  <c r="G21" i="489"/>
  <c r="I21" i="489"/>
  <c r="I24" i="198"/>
  <c r="F24" i="198" s="1"/>
  <c r="G24" i="198" s="1"/>
  <c r="I24" i="199"/>
  <c r="F24" i="199" s="1"/>
  <c r="G24" i="199" s="1"/>
  <c r="I46" i="361"/>
  <c r="F46" i="361" s="1"/>
  <c r="G46" i="361" s="1"/>
  <c r="I48" i="41"/>
  <c r="I24" i="41"/>
  <c r="F24" i="41" s="1"/>
  <c r="G24" i="41" s="1"/>
  <c r="I19" i="433"/>
  <c r="F19" i="433" s="1"/>
  <c r="G19" i="433" s="1"/>
  <c r="I46" i="37"/>
  <c r="F46" i="37" s="1"/>
  <c r="G46" i="37" s="1"/>
  <c r="F48" i="178"/>
  <c r="I50" i="178"/>
  <c r="I19" i="181"/>
  <c r="F19" i="181" s="1"/>
  <c r="G19" i="181" s="1"/>
  <c r="I32" i="13"/>
  <c r="F32" i="13" s="1"/>
  <c r="G32" i="13" s="1"/>
  <c r="I24" i="117"/>
  <c r="F24" i="117" s="1"/>
  <c r="G24" i="117" s="1"/>
  <c r="I19" i="416"/>
  <c r="F19" i="416" s="1"/>
  <c r="G19" i="416" s="1"/>
  <c r="I24" i="230"/>
  <c r="F24" i="230" s="1"/>
  <c r="G24" i="230" s="1"/>
  <c r="G34" i="179"/>
  <c r="I34" i="179"/>
  <c r="I14" i="179"/>
  <c r="G14" i="179"/>
  <c r="I15" i="467"/>
  <c r="G15" i="467"/>
  <c r="G42" i="467"/>
  <c r="I42" i="467"/>
  <c r="I10" i="477"/>
  <c r="G10" i="477"/>
  <c r="I31" i="413"/>
  <c r="G31" i="413"/>
  <c r="I40" i="216"/>
  <c r="F40" i="216" s="1"/>
  <c r="G40" i="216" s="1"/>
  <c r="I40" i="191"/>
  <c r="F40" i="191" s="1"/>
  <c r="G40" i="191" s="1"/>
  <c r="I24" i="453"/>
  <c r="F24" i="453" s="1"/>
  <c r="G24" i="453" s="1"/>
  <c r="I14" i="469"/>
  <c r="G14" i="469"/>
  <c r="I34" i="469"/>
  <c r="G34" i="469"/>
  <c r="I46" i="366"/>
  <c r="F46" i="366" s="1"/>
  <c r="G46" i="366" s="1"/>
  <c r="I19" i="332"/>
  <c r="F19" i="332" s="1"/>
  <c r="G19" i="332" s="1"/>
  <c r="I19" i="360"/>
  <c r="F19" i="360" s="1"/>
  <c r="G19" i="360" s="1"/>
  <c r="G22" i="464"/>
  <c r="I22" i="464"/>
  <c r="I24" i="297"/>
  <c r="F24" i="297" s="1"/>
  <c r="G24" i="297" s="1"/>
  <c r="I48" i="248"/>
  <c r="I40" i="430"/>
  <c r="F40" i="430" s="1"/>
  <c r="G40" i="430" s="1"/>
  <c r="I24" i="67"/>
  <c r="F24" i="67" s="1"/>
  <c r="G24" i="67" s="1"/>
  <c r="I19" i="25"/>
  <c r="F19" i="25" s="1"/>
  <c r="G19" i="25" s="1"/>
  <c r="I24" i="216"/>
  <c r="F24" i="216" s="1"/>
  <c r="G24" i="216" s="1"/>
  <c r="I24" i="157"/>
  <c r="F24" i="157" s="1"/>
  <c r="G24" i="157" s="1"/>
  <c r="I30" i="302"/>
  <c r="G30" i="302"/>
  <c r="I39" i="302"/>
  <c r="G39" i="302"/>
  <c r="I32" i="218"/>
  <c r="F32" i="218" s="1"/>
  <c r="G32" i="218" s="1"/>
  <c r="G36" i="463"/>
  <c r="I36" i="463"/>
  <c r="G12" i="489"/>
  <c r="I12" i="489"/>
  <c r="G29" i="466"/>
  <c r="I29" i="466"/>
  <c r="I13" i="463"/>
  <c r="G13" i="463"/>
  <c r="I15" i="463"/>
  <c r="G15" i="463"/>
  <c r="I35" i="384"/>
  <c r="G35" i="384"/>
  <c r="I39" i="384"/>
  <c r="G39" i="384"/>
  <c r="I32" i="24"/>
  <c r="F32" i="24" s="1"/>
  <c r="G32" i="24" s="1"/>
  <c r="I26" i="478"/>
  <c r="G26" i="478"/>
  <c r="I19" i="427"/>
  <c r="F19" i="427" s="1"/>
  <c r="G19" i="427" s="1"/>
  <c r="I40" i="196"/>
  <c r="F40" i="196" s="1"/>
  <c r="G40" i="196" s="1"/>
  <c r="I38" i="122"/>
  <c r="G38" i="122"/>
  <c r="I22" i="122"/>
  <c r="G22" i="122"/>
  <c r="I40" i="361"/>
  <c r="F40" i="361" s="1"/>
  <c r="G40" i="361" s="1"/>
  <c r="I24" i="470"/>
  <c r="F24" i="470" s="1"/>
  <c r="G24" i="470" s="1"/>
  <c r="I17" i="468"/>
  <c r="G17" i="468"/>
  <c r="G36" i="468"/>
  <c r="I36" i="468"/>
  <c r="I19" i="246"/>
  <c r="F19" i="246" s="1"/>
  <c r="G19" i="246" s="1"/>
  <c r="I19" i="400"/>
  <c r="F19" i="400" s="1"/>
  <c r="G19" i="400" s="1"/>
  <c r="G16" i="269"/>
  <c r="I16" i="269"/>
  <c r="I32" i="60"/>
  <c r="F32" i="60" s="1"/>
  <c r="G32" i="60" s="1"/>
  <c r="G11" i="489"/>
  <c r="I11" i="489"/>
  <c r="I17" i="489"/>
  <c r="G17" i="489"/>
  <c r="I40" i="276"/>
  <c r="F40" i="276" s="1"/>
  <c r="G40" i="276" s="1"/>
  <c r="I40" i="24"/>
  <c r="F40" i="24" s="1"/>
  <c r="G40" i="24" s="1"/>
  <c r="I24" i="72"/>
  <c r="F24" i="72" s="1"/>
  <c r="G24" i="72" s="1"/>
  <c r="I32" i="423"/>
  <c r="F32" i="423" s="1"/>
  <c r="G32" i="423" s="1"/>
  <c r="I40" i="247"/>
  <c r="F40" i="247" s="1"/>
  <c r="G40" i="247" s="1"/>
  <c r="I19" i="276"/>
  <c r="F19" i="276" s="1"/>
  <c r="G19" i="276" s="1"/>
  <c r="I24" i="53"/>
  <c r="F24" i="53" s="1"/>
  <c r="G24" i="53" s="1"/>
  <c r="I24" i="417"/>
  <c r="F24" i="417" s="1"/>
  <c r="G24" i="417" s="1"/>
  <c r="E48" i="477"/>
  <c r="I46" i="424"/>
  <c r="F46" i="424" s="1"/>
  <c r="G46" i="424" s="1"/>
  <c r="I24" i="54"/>
  <c r="F24" i="54" s="1"/>
  <c r="G24" i="54" s="1"/>
  <c r="I19" i="54"/>
  <c r="F19" i="54" s="1"/>
  <c r="G19" i="54" s="1"/>
  <c r="G15" i="179"/>
  <c r="I15" i="179"/>
  <c r="I48" i="121"/>
  <c r="I24" i="25"/>
  <c r="F24" i="25" s="1"/>
  <c r="G24" i="25" s="1"/>
  <c r="I32" i="117"/>
  <c r="F32" i="117" s="1"/>
  <c r="G32" i="117" s="1"/>
  <c r="I27" i="467"/>
  <c r="G27" i="467"/>
  <c r="I31" i="467"/>
  <c r="G31" i="467"/>
  <c r="I21" i="477"/>
  <c r="G21" i="477"/>
  <c r="I29" i="477"/>
  <c r="G29" i="477"/>
  <c r="G23" i="413"/>
  <c r="I23" i="413"/>
  <c r="I16" i="413"/>
  <c r="G16" i="413"/>
  <c r="I46" i="120"/>
  <c r="F46" i="120" s="1"/>
  <c r="G46" i="120" s="1"/>
  <c r="I40" i="461"/>
  <c r="F40" i="461" s="1"/>
  <c r="G40" i="461" s="1"/>
  <c r="I19" i="462"/>
  <c r="F19" i="462" s="1"/>
  <c r="G19" i="462" s="1"/>
  <c r="I39" i="469"/>
  <c r="G39" i="469"/>
  <c r="I27" i="469"/>
  <c r="G27" i="469"/>
  <c r="I40" i="424"/>
  <c r="F40" i="424" s="1"/>
  <c r="G40" i="424" s="1"/>
  <c r="I40" i="415"/>
  <c r="F40" i="415" s="1"/>
  <c r="G40" i="415" s="1"/>
  <c r="I48" i="391"/>
  <c r="G43" i="464"/>
  <c r="I43" i="464"/>
  <c r="G17" i="302"/>
  <c r="I17" i="302"/>
  <c r="G26" i="302"/>
  <c r="I26" i="302"/>
  <c r="I46" i="119"/>
  <c r="F46" i="119" s="1"/>
  <c r="G46" i="119" s="1"/>
  <c r="G37" i="384"/>
  <c r="I37" i="384"/>
  <c r="I12" i="466"/>
  <c r="G12" i="466"/>
  <c r="I24" i="416"/>
  <c r="F24" i="416" s="1"/>
  <c r="G24" i="416" s="1"/>
  <c r="I48" i="335"/>
  <c r="I26" i="463"/>
  <c r="G26" i="463"/>
  <c r="I43" i="463"/>
  <c r="G43" i="463"/>
  <c r="I13" i="384"/>
  <c r="G13" i="384"/>
  <c r="I27" i="384"/>
  <c r="G27" i="384"/>
  <c r="I32" i="158"/>
  <c r="F32" i="158" s="1"/>
  <c r="G32" i="158" s="1"/>
  <c r="I50" i="380"/>
  <c r="F48" i="380"/>
  <c r="I32" i="462"/>
  <c r="F32" i="462" s="1"/>
  <c r="G32" i="462" s="1"/>
  <c r="I24" i="366"/>
  <c r="F24" i="366" s="1"/>
  <c r="G24" i="366" s="1"/>
  <c r="G10" i="122"/>
  <c r="I10" i="122"/>
  <c r="I37" i="122"/>
  <c r="G37" i="122"/>
  <c r="I19" i="13"/>
  <c r="F19" i="13" s="1"/>
  <c r="G19" i="13" s="1"/>
  <c r="I34" i="468"/>
  <c r="G34" i="468"/>
  <c r="I19" i="216"/>
  <c r="F19" i="216" s="1"/>
  <c r="G19" i="216" s="1"/>
  <c r="I40" i="451"/>
  <c r="F40" i="451" s="1"/>
  <c r="G40" i="451" s="1"/>
  <c r="G15" i="269"/>
  <c r="I15" i="269"/>
  <c r="I28" i="269"/>
  <c r="G28" i="269"/>
  <c r="I19" i="197"/>
  <c r="F19" i="197" s="1"/>
  <c r="G19" i="197" s="1"/>
  <c r="I32" i="19"/>
  <c r="F32" i="19" s="1"/>
  <c r="G32" i="19" s="1"/>
  <c r="I19" i="49"/>
  <c r="F19" i="49" s="1"/>
  <c r="G19" i="49" s="1"/>
  <c r="I46" i="470"/>
  <c r="F46" i="470" s="1"/>
  <c r="G46" i="470" s="1"/>
  <c r="I30" i="489"/>
  <c r="G30" i="489"/>
  <c r="I16" i="489"/>
  <c r="G16" i="489"/>
  <c r="I19" i="398"/>
  <c r="F19" i="398" s="1"/>
  <c r="G19" i="398" s="1"/>
  <c r="I32" i="119"/>
  <c r="F32" i="119" s="1"/>
  <c r="G32" i="119" s="1"/>
  <c r="I19" i="405"/>
  <c r="F19" i="405" s="1"/>
  <c r="G19" i="405" s="1"/>
  <c r="I32" i="470"/>
  <c r="F32" i="470" s="1"/>
  <c r="G32" i="470" s="1"/>
  <c r="I40" i="58"/>
  <c r="F40" i="58" s="1"/>
  <c r="G40" i="58" s="1"/>
  <c r="I48" i="204"/>
  <c r="I19" i="39"/>
  <c r="F19" i="39" s="1"/>
  <c r="G19" i="39" s="1"/>
  <c r="I48" i="142"/>
  <c r="G35" i="179"/>
  <c r="I35" i="179"/>
  <c r="I40" i="355"/>
  <c r="F40" i="355" s="1"/>
  <c r="G40" i="355" s="1"/>
  <c r="I10" i="467"/>
  <c r="G10" i="467"/>
  <c r="I39" i="467"/>
  <c r="G39" i="467"/>
  <c r="I42" i="477"/>
  <c r="G42" i="477"/>
  <c r="I35" i="477"/>
  <c r="G35" i="477"/>
  <c r="I19" i="355"/>
  <c r="F19" i="355" s="1"/>
  <c r="G19" i="355" s="1"/>
  <c r="G36" i="413"/>
  <c r="I36" i="413"/>
  <c r="G30" i="413"/>
  <c r="I30" i="413"/>
  <c r="I21" i="469"/>
  <c r="G21" i="469"/>
  <c r="I23" i="469"/>
  <c r="G23" i="469"/>
  <c r="I32" i="275"/>
  <c r="F32" i="275" s="1"/>
  <c r="G32" i="275" s="1"/>
  <c r="I32" i="323"/>
  <c r="F32" i="323" s="1"/>
  <c r="G32" i="323" s="1"/>
  <c r="I19" i="191"/>
  <c r="F19" i="191" s="1"/>
  <c r="G19" i="191" s="1"/>
  <c r="I40" i="91"/>
  <c r="F40" i="91" s="1"/>
  <c r="G40" i="91" s="1"/>
  <c r="I32" i="16"/>
  <c r="F32" i="16" s="1"/>
  <c r="G32" i="16" s="1"/>
  <c r="G15" i="464"/>
  <c r="I15" i="464"/>
  <c r="I48" i="425"/>
  <c r="G37" i="302"/>
  <c r="I37" i="302"/>
  <c r="G36" i="302"/>
  <c r="I36" i="302"/>
  <c r="I32" i="120"/>
  <c r="F32" i="120" s="1"/>
  <c r="G32" i="120" s="1"/>
  <c r="I40" i="417"/>
  <c r="F40" i="417" s="1"/>
  <c r="G40" i="417" s="1"/>
  <c r="I24" i="323"/>
  <c r="F24" i="323" s="1"/>
  <c r="G24" i="323" s="1"/>
  <c r="I44" i="463"/>
  <c r="G44" i="463"/>
  <c r="I39" i="463"/>
  <c r="G39" i="463"/>
  <c r="I28" i="384"/>
  <c r="G28" i="384"/>
  <c r="I17" i="384"/>
  <c r="G17" i="384"/>
  <c r="I24" i="36"/>
  <c r="F24" i="36" s="1"/>
  <c r="G24" i="36" s="1"/>
  <c r="I24" i="92"/>
  <c r="F24" i="92" s="1"/>
  <c r="G24" i="92" s="1"/>
  <c r="I37" i="478"/>
  <c r="G37" i="478"/>
  <c r="I23" i="478"/>
  <c r="G23" i="478"/>
  <c r="E48" i="478"/>
  <c r="I40" i="60"/>
  <c r="F40" i="60" s="1"/>
  <c r="G40" i="60" s="1"/>
  <c r="I11" i="122"/>
  <c r="G11" i="122"/>
  <c r="I14" i="122"/>
  <c r="G14" i="122"/>
  <c r="I40" i="398"/>
  <c r="F40" i="398" s="1"/>
  <c r="G40" i="398" s="1"/>
  <c r="I11" i="468"/>
  <c r="G11" i="468"/>
  <c r="I27" i="468"/>
  <c r="G27" i="468"/>
  <c r="I32" i="75"/>
  <c r="F32" i="75" s="1"/>
  <c r="G32" i="75" s="1"/>
  <c r="I24" i="64"/>
  <c r="F24" i="64" s="1"/>
  <c r="G24" i="64" s="1"/>
  <c r="I30" i="269"/>
  <c r="G30" i="269"/>
  <c r="I22" i="269"/>
  <c r="G22" i="269"/>
  <c r="I24" i="337"/>
  <c r="F24" i="337" s="1"/>
  <c r="G24" i="337" s="1"/>
  <c r="I32" i="181"/>
  <c r="F32" i="181" s="1"/>
  <c r="G32" i="181" s="1"/>
  <c r="I10" i="489"/>
  <c r="G10" i="489"/>
  <c r="I42" i="489"/>
  <c r="G42" i="489"/>
  <c r="I24" i="37"/>
  <c r="F24" i="37" s="1"/>
  <c r="G24" i="37" s="1"/>
  <c r="I19" i="247"/>
  <c r="F19" i="247" s="1"/>
  <c r="G19" i="247" s="1"/>
  <c r="I48" i="426"/>
  <c r="F48" i="305"/>
  <c r="I50" i="305"/>
  <c r="I40" i="16"/>
  <c r="F40" i="16" s="1"/>
  <c r="G40" i="16" s="1"/>
  <c r="I19" i="119"/>
  <c r="F19" i="119" s="1"/>
  <c r="G19" i="119" s="1"/>
  <c r="I24" i="361"/>
  <c r="F24" i="361" s="1"/>
  <c r="G24" i="361" s="1"/>
  <c r="I38" i="179"/>
  <c r="G38" i="179"/>
  <c r="I40" i="54"/>
  <c r="F40" i="54" s="1"/>
  <c r="G40" i="54" s="1"/>
  <c r="I34" i="467"/>
  <c r="G34" i="467"/>
  <c r="G29" i="467"/>
  <c r="I29" i="467"/>
  <c r="I18" i="477"/>
  <c r="G18" i="477"/>
  <c r="I28" i="477"/>
  <c r="G28" i="477"/>
  <c r="I44" i="413"/>
  <c r="G44" i="413"/>
  <c r="I38" i="413"/>
  <c r="G38" i="413"/>
  <c r="I24" i="78"/>
  <c r="F24" i="78" s="1"/>
  <c r="G24" i="78" s="1"/>
  <c r="I40" i="400"/>
  <c r="F40" i="400" s="1"/>
  <c r="G40" i="400" s="1"/>
  <c r="I46" i="13"/>
  <c r="F46" i="13" s="1"/>
  <c r="G46" i="13" s="1"/>
  <c r="I13" i="469"/>
  <c r="G13" i="469"/>
  <c r="I18" i="469"/>
  <c r="G18" i="469"/>
  <c r="I46" i="332"/>
  <c r="F46" i="332" s="1"/>
  <c r="G46" i="332" s="1"/>
  <c r="I46" i="315"/>
  <c r="F46" i="315" s="1"/>
  <c r="G46" i="315" s="1"/>
  <c r="G31" i="464"/>
  <c r="I31" i="464"/>
  <c r="I40" i="75"/>
  <c r="F40" i="75" s="1"/>
  <c r="G40" i="75" s="1"/>
  <c r="I32" i="361"/>
  <c r="F32" i="361" s="1"/>
  <c r="G32" i="361" s="1"/>
  <c r="I24" i="465"/>
  <c r="F24" i="465" s="1"/>
  <c r="G24" i="465" s="1"/>
  <c r="I32" i="416"/>
  <c r="F32" i="416" s="1"/>
  <c r="G32" i="416" s="1"/>
  <c r="I28" i="302"/>
  <c r="G28" i="302"/>
  <c r="I35" i="302"/>
  <c r="G35" i="302"/>
  <c r="I46" i="436"/>
  <c r="F46" i="436" s="1"/>
  <c r="G46" i="436" s="1"/>
  <c r="I19" i="14"/>
  <c r="F19" i="14" s="1"/>
  <c r="G19" i="14" s="1"/>
  <c r="I32" i="370"/>
  <c r="F32" i="370" s="1"/>
  <c r="G32" i="370" s="1"/>
  <c r="I40" i="462"/>
  <c r="F40" i="462" s="1"/>
  <c r="G40" i="462" s="1"/>
  <c r="G17" i="122"/>
  <c r="I17" i="122"/>
  <c r="I18" i="466"/>
  <c r="G18" i="466"/>
  <c r="I35" i="466"/>
  <c r="G35" i="466"/>
  <c r="I10" i="466"/>
  <c r="G10" i="466"/>
  <c r="I24" i="26"/>
  <c r="F24" i="26" s="1"/>
  <c r="G24" i="26" s="1"/>
  <c r="I16" i="463"/>
  <c r="G16" i="463"/>
  <c r="I11" i="463"/>
  <c r="G11" i="463"/>
  <c r="I15" i="384"/>
  <c r="G15" i="384"/>
  <c r="G30" i="384"/>
  <c r="I30" i="384"/>
  <c r="I15" i="478"/>
  <c r="G15" i="478"/>
  <c r="I39" i="478"/>
  <c r="G39" i="478"/>
  <c r="I24" i="276"/>
  <c r="F24" i="276" s="1"/>
  <c r="G24" i="276" s="1"/>
  <c r="I40" i="61"/>
  <c r="F40" i="61" s="1"/>
  <c r="G40" i="61" s="1"/>
  <c r="I19" i="373"/>
  <c r="F19" i="373" s="1"/>
  <c r="G19" i="373" s="1"/>
  <c r="I13" i="122"/>
  <c r="G13" i="122"/>
  <c r="I31" i="468"/>
  <c r="G31" i="468"/>
  <c r="I23" i="468"/>
  <c r="G23" i="468"/>
  <c r="I40" i="321"/>
  <c r="F40" i="321" s="1"/>
  <c r="G40" i="321" s="1"/>
  <c r="I39" i="269"/>
  <c r="G39" i="269"/>
  <c r="I10" i="269"/>
  <c r="G10" i="269"/>
  <c r="I24" i="418"/>
  <c r="F24" i="418" s="1"/>
  <c r="G24" i="418" s="1"/>
  <c r="I24" i="13"/>
  <c r="F24" i="13" s="1"/>
  <c r="G24" i="13" s="1"/>
  <c r="I38" i="489"/>
  <c r="G38" i="489"/>
  <c r="I18" i="489"/>
  <c r="G18" i="489"/>
  <c r="I24" i="60"/>
  <c r="F24" i="60" s="1"/>
  <c r="G24" i="60" s="1"/>
  <c r="I24" i="250"/>
  <c r="F24" i="250" s="1"/>
  <c r="G24" i="250" s="1"/>
  <c r="I40" i="96"/>
  <c r="F40" i="96" s="1"/>
  <c r="G40" i="96" s="1"/>
  <c r="I32" i="8"/>
  <c r="F32" i="8" s="1"/>
  <c r="G32" i="8" s="1"/>
  <c r="I40" i="53"/>
  <c r="F40" i="53" s="1"/>
  <c r="G40" i="53" s="1"/>
  <c r="I19" i="67"/>
  <c r="F19" i="67" s="1"/>
  <c r="G19" i="67" s="1"/>
  <c r="I32" i="398"/>
  <c r="F32" i="398" s="1"/>
  <c r="G32" i="398" s="1"/>
  <c r="I46" i="388"/>
  <c r="F46" i="388" s="1"/>
  <c r="G46" i="388" s="1"/>
  <c r="I19" i="407"/>
  <c r="F19" i="407" s="1"/>
  <c r="G19" i="407" s="1"/>
  <c r="I19" i="91"/>
  <c r="F19" i="91" s="1"/>
  <c r="G19" i="91" s="1"/>
  <c r="G13" i="179"/>
  <c r="I13" i="179"/>
  <c r="I40" i="427"/>
  <c r="F40" i="427" s="1"/>
  <c r="G40" i="427" s="1"/>
  <c r="I24" i="373"/>
  <c r="F24" i="373" s="1"/>
  <c r="G24" i="373" s="1"/>
  <c r="I17" i="467"/>
  <c r="G17" i="467"/>
  <c r="I38" i="467"/>
  <c r="G38" i="467"/>
  <c r="I40" i="275"/>
  <c r="F40" i="275" s="1"/>
  <c r="G40" i="275" s="1"/>
  <c r="I22" i="477"/>
  <c r="G22" i="477"/>
  <c r="I13" i="477"/>
  <c r="G13" i="477"/>
  <c r="I32" i="427"/>
  <c r="F32" i="427" s="1"/>
  <c r="G32" i="427" s="1"/>
  <c r="I13" i="413"/>
  <c r="G13" i="413"/>
  <c r="I29" i="413"/>
  <c r="G29" i="413"/>
  <c r="I24" i="388"/>
  <c r="F24" i="388" s="1"/>
  <c r="G24" i="388" s="1"/>
  <c r="I32" i="349"/>
  <c r="F32" i="349" s="1"/>
  <c r="G32" i="349" s="1"/>
  <c r="I11" i="469"/>
  <c r="G11" i="469"/>
  <c r="I15" i="469"/>
  <c r="G15" i="469"/>
  <c r="I46" i="416"/>
  <c r="F46" i="416" s="1"/>
  <c r="G46" i="416" s="1"/>
  <c r="I32" i="92"/>
  <c r="F32" i="92" s="1"/>
  <c r="G32" i="92" s="1"/>
  <c r="G21" i="464"/>
  <c r="I21" i="464"/>
  <c r="E48" i="472"/>
  <c r="I40" i="250"/>
  <c r="F40" i="250" s="1"/>
  <c r="G40" i="250" s="1"/>
  <c r="I50" i="110"/>
  <c r="F48" i="110"/>
  <c r="G11" i="302"/>
  <c r="I11" i="302"/>
  <c r="I42" i="302"/>
  <c r="G42" i="302"/>
  <c r="I19" i="430"/>
  <c r="F19" i="430" s="1"/>
  <c r="G19" i="430" s="1"/>
  <c r="I24" i="120"/>
  <c r="F24" i="120" s="1"/>
  <c r="G24" i="120" s="1"/>
  <c r="I32" i="400"/>
  <c r="F32" i="400" s="1"/>
  <c r="G32" i="400" s="1"/>
  <c r="I37" i="466"/>
  <c r="G37" i="466"/>
  <c r="I28" i="463"/>
  <c r="G28" i="463"/>
  <c r="I26" i="384"/>
  <c r="G26" i="384"/>
  <c r="I38" i="384"/>
  <c r="G38" i="384"/>
  <c r="I19" i="32"/>
  <c r="F19" i="32" s="1"/>
  <c r="G19" i="32" s="1"/>
  <c r="I19" i="262"/>
  <c r="F19" i="262" s="1"/>
  <c r="G19" i="262" s="1"/>
  <c r="I35" i="478"/>
  <c r="G35" i="478"/>
  <c r="I12" i="478"/>
  <c r="G12" i="478"/>
  <c r="I32" i="405"/>
  <c r="F32" i="405" s="1"/>
  <c r="G32" i="405" s="1"/>
  <c r="I40" i="25"/>
  <c r="F40" i="25" s="1"/>
  <c r="G40" i="25" s="1"/>
  <c r="I32" i="191"/>
  <c r="F32" i="191" s="1"/>
  <c r="G32" i="191" s="1"/>
  <c r="G28" i="122"/>
  <c r="I28" i="122"/>
  <c r="I35" i="468"/>
  <c r="G35" i="468"/>
  <c r="I18" i="468"/>
  <c r="G18" i="468"/>
  <c r="G21" i="269"/>
  <c r="I21" i="269"/>
  <c r="G31" i="269"/>
  <c r="I31" i="269"/>
  <c r="I29" i="489"/>
  <c r="G29" i="489"/>
  <c r="I46" i="446"/>
  <c r="F46" i="446" s="1"/>
  <c r="G46" i="446" s="1"/>
  <c r="I19" i="16"/>
  <c r="F19" i="16" s="1"/>
  <c r="G19" i="16" s="1"/>
  <c r="I19" i="297"/>
  <c r="F19" i="297" s="1"/>
  <c r="G19" i="297" s="1"/>
  <c r="I19" i="31"/>
  <c r="F19" i="31" s="1"/>
  <c r="G19" i="31" s="1"/>
  <c r="I40" i="407"/>
  <c r="F40" i="407" s="1"/>
  <c r="G40" i="407" s="1"/>
  <c r="I46" i="429"/>
  <c r="F46" i="429" s="1"/>
  <c r="G46" i="429" s="1"/>
  <c r="G42" i="179"/>
  <c r="I42" i="179"/>
  <c r="I39" i="179"/>
  <c r="G39" i="179"/>
  <c r="I40" i="119"/>
  <c r="F40" i="119" s="1"/>
  <c r="G40" i="119" s="1"/>
  <c r="I24" i="462"/>
  <c r="F24" i="462" s="1"/>
  <c r="G24" i="462" s="1"/>
  <c r="I18" i="467"/>
  <c r="G18" i="467"/>
  <c r="I36" i="477"/>
  <c r="G36" i="477"/>
  <c r="I27" i="477"/>
  <c r="G27" i="477"/>
  <c r="I22" i="413"/>
  <c r="G22" i="413"/>
  <c r="I15" i="413"/>
  <c r="G15" i="413"/>
  <c r="I24" i="370"/>
  <c r="F24" i="370" s="1"/>
  <c r="G24" i="370" s="1"/>
  <c r="I30" i="469"/>
  <c r="G30" i="469"/>
  <c r="I43" i="469"/>
  <c r="G43" i="469"/>
  <c r="I48" i="368"/>
  <c r="I23" i="464"/>
  <c r="G23" i="464"/>
  <c r="G42" i="464"/>
  <c r="I42" i="464"/>
  <c r="I46" i="246"/>
  <c r="F46" i="246" s="1"/>
  <c r="G46" i="246" s="1"/>
  <c r="I46" i="423"/>
  <c r="F46" i="423" s="1"/>
  <c r="G46" i="423" s="1"/>
  <c r="I19" i="37"/>
  <c r="F19" i="37" s="1"/>
  <c r="G19" i="37" s="1"/>
  <c r="I19" i="385"/>
  <c r="F19" i="385" s="1"/>
  <c r="G19" i="385" s="1"/>
  <c r="I27" i="302"/>
  <c r="G27" i="302"/>
  <c r="I10" i="302"/>
  <c r="G10" i="302"/>
  <c r="I32" i="35"/>
  <c r="F32" i="35" s="1"/>
  <c r="G32" i="35" s="1"/>
  <c r="I46" i="196"/>
  <c r="F46" i="196" s="1"/>
  <c r="G46" i="196" s="1"/>
  <c r="I27" i="478"/>
  <c r="G27" i="478"/>
  <c r="I11" i="466"/>
  <c r="G11" i="466"/>
  <c r="I44" i="466"/>
  <c r="G44" i="466"/>
  <c r="I34" i="466"/>
  <c r="G34" i="466"/>
  <c r="I17" i="463"/>
  <c r="G17" i="463"/>
  <c r="I37" i="463"/>
  <c r="G37" i="463"/>
  <c r="I36" i="384"/>
  <c r="G36" i="384"/>
  <c r="I13" i="478"/>
  <c r="G13" i="478"/>
  <c r="I44" i="478"/>
  <c r="G44" i="478"/>
  <c r="I24" i="437"/>
  <c r="F24" i="437" s="1"/>
  <c r="G24" i="437" s="1"/>
  <c r="I48" i="318"/>
  <c r="I36" i="122"/>
  <c r="G36" i="122"/>
  <c r="I19" i="437"/>
  <c r="F19" i="437" s="1"/>
  <c r="G19" i="437" s="1"/>
  <c r="I16" i="468"/>
  <c r="G16" i="468"/>
  <c r="I10" i="468"/>
  <c r="G10" i="468"/>
  <c r="I32" i="388"/>
  <c r="F32" i="388" s="1"/>
  <c r="G32" i="388" s="1"/>
  <c r="I19" i="434"/>
  <c r="F19" i="434" s="1"/>
  <c r="G19" i="434" s="1"/>
  <c r="I13" i="269"/>
  <c r="G13" i="269"/>
  <c r="G36" i="269"/>
  <c r="I36" i="269"/>
  <c r="I19" i="388"/>
  <c r="F19" i="388" s="1"/>
  <c r="G19" i="388" s="1"/>
  <c r="I46" i="96"/>
  <c r="F46" i="96" s="1"/>
  <c r="G46" i="96" s="1"/>
  <c r="I28" i="489"/>
  <c r="G28" i="489"/>
  <c r="I19" i="461"/>
  <c r="F19" i="461" s="1"/>
  <c r="G19" i="461" s="1"/>
  <c r="I32" i="64"/>
  <c r="F32" i="64" s="1"/>
  <c r="G32" i="64" s="1"/>
  <c r="I32" i="360"/>
  <c r="F32" i="360" s="1"/>
  <c r="G32" i="360" s="1"/>
  <c r="I40" i="366"/>
  <c r="F40" i="366" s="1"/>
  <c r="G40" i="366" s="1"/>
  <c r="I32" i="446"/>
  <c r="F32" i="446" s="1"/>
  <c r="G32" i="446" s="1"/>
  <c r="I40" i="36"/>
  <c r="F40" i="36" s="1"/>
  <c r="G40" i="36" s="1"/>
  <c r="I19" i="267"/>
  <c r="F19" i="267" s="1"/>
  <c r="G19" i="267" s="1"/>
  <c r="I32" i="38"/>
  <c r="F32" i="38" s="1"/>
  <c r="G32" i="38" s="1"/>
  <c r="I40" i="364"/>
  <c r="F40" i="364" s="1"/>
  <c r="G40" i="364" s="1"/>
  <c r="I19" i="315"/>
  <c r="F19" i="315" s="1"/>
  <c r="G19" i="315" s="1"/>
  <c r="I24" i="289"/>
  <c r="F24" i="289" s="1"/>
  <c r="G24" i="289" s="1"/>
  <c r="I40" i="388"/>
  <c r="F40" i="388" s="1"/>
  <c r="G40" i="388" s="1"/>
  <c r="I46" i="360"/>
  <c r="F46" i="360" s="1"/>
  <c r="G46" i="360" s="1"/>
  <c r="I32" i="418"/>
  <c r="F32" i="418" s="1"/>
  <c r="G32" i="418" s="1"/>
  <c r="I24" i="461"/>
  <c r="F24" i="461" s="1"/>
  <c r="G24" i="461" s="1"/>
  <c r="I36" i="179"/>
  <c r="G36" i="179"/>
  <c r="I18" i="179"/>
  <c r="G18" i="179"/>
  <c r="I12" i="467"/>
  <c r="G12" i="467"/>
  <c r="I14" i="477"/>
  <c r="G14" i="477"/>
  <c r="I43" i="477"/>
  <c r="G43" i="477"/>
  <c r="I35" i="413"/>
  <c r="G35" i="413"/>
  <c r="I40" i="434"/>
  <c r="F40" i="434" s="1"/>
  <c r="G40" i="434" s="1"/>
  <c r="I17" i="469"/>
  <c r="G17" i="469"/>
  <c r="G29" i="469"/>
  <c r="I29" i="469"/>
  <c r="I32" i="36"/>
  <c r="F32" i="36" s="1"/>
  <c r="G32" i="36" s="1"/>
  <c r="I48" i="322"/>
  <c r="I32" i="295"/>
  <c r="F32" i="295" s="1"/>
  <c r="G32" i="295" s="1"/>
  <c r="I18" i="464"/>
  <c r="G18" i="464"/>
  <c r="G14" i="464"/>
  <c r="I14" i="464"/>
  <c r="I48" i="255"/>
  <c r="I44" i="302"/>
  <c r="G44" i="302"/>
  <c r="G31" i="302"/>
  <c r="I31" i="302"/>
  <c r="I46" i="434"/>
  <c r="F46" i="434" s="1"/>
  <c r="G46" i="434" s="1"/>
  <c r="I42" i="384"/>
  <c r="G42" i="384"/>
  <c r="I24" i="321"/>
  <c r="F24" i="321" s="1"/>
  <c r="G24" i="321" s="1"/>
  <c r="I24" i="364"/>
  <c r="F24" i="364" s="1"/>
  <c r="G24" i="364" s="1"/>
  <c r="I11" i="269"/>
  <c r="G11" i="269"/>
  <c r="I48" i="80"/>
  <c r="I19" i="471"/>
  <c r="F19" i="471" s="1"/>
  <c r="G19" i="471" s="1"/>
  <c r="I46" i="471"/>
  <c r="F46" i="471" s="1"/>
  <c r="G46" i="471" s="1"/>
  <c r="I26" i="466"/>
  <c r="G26" i="466"/>
  <c r="I27" i="466"/>
  <c r="G27" i="466"/>
  <c r="I24" i="262"/>
  <c r="F24" i="262" s="1"/>
  <c r="G24" i="262" s="1"/>
  <c r="I35" i="463"/>
  <c r="G35" i="463"/>
  <c r="I44" i="384"/>
  <c r="G44" i="384"/>
  <c r="I40" i="72"/>
  <c r="F40" i="72" s="1"/>
  <c r="G40" i="72" s="1"/>
  <c r="I19" i="366"/>
  <c r="F19" i="366" s="1"/>
  <c r="G19" i="366" s="1"/>
  <c r="I31" i="478"/>
  <c r="G31" i="478"/>
  <c r="I22" i="478"/>
  <c r="G22" i="478"/>
  <c r="I32" i="26"/>
  <c r="F32" i="26" s="1"/>
  <c r="G32" i="26" s="1"/>
  <c r="I24" i="58"/>
  <c r="F24" i="58" s="1"/>
  <c r="G24" i="58" s="1"/>
  <c r="G29" i="122"/>
  <c r="I29" i="122"/>
  <c r="I19" i="275"/>
  <c r="F19" i="275" s="1"/>
  <c r="G19" i="275" s="1"/>
  <c r="I13" i="468"/>
  <c r="G13" i="468"/>
  <c r="I15" i="468"/>
  <c r="G15" i="468"/>
  <c r="I48" i="457"/>
  <c r="G35" i="269"/>
  <c r="I35" i="269"/>
  <c r="G18" i="269"/>
  <c r="I18" i="269"/>
  <c r="I46" i="198"/>
  <c r="F46" i="198" s="1"/>
  <c r="G46" i="198" s="1"/>
  <c r="I46" i="31"/>
  <c r="F46" i="31" s="1"/>
  <c r="G46" i="31" s="1"/>
  <c r="I46" i="373"/>
  <c r="F46" i="373" s="1"/>
  <c r="G46" i="373" s="1"/>
  <c r="I19" i="417"/>
  <c r="F19" i="417" s="1"/>
  <c r="G19" i="417" s="1"/>
  <c r="I27" i="489"/>
  <c r="G27" i="489"/>
  <c r="I24" i="398"/>
  <c r="F24" i="398" s="1"/>
  <c r="G24" i="398" s="1"/>
  <c r="I24" i="360"/>
  <c r="F24" i="360" s="1"/>
  <c r="G24" i="360" s="1"/>
  <c r="I19" i="321"/>
  <c r="F19" i="321" s="1"/>
  <c r="G19" i="321" s="1"/>
  <c r="I40" i="31"/>
  <c r="F40" i="31" s="1"/>
  <c r="G40" i="31" s="1"/>
  <c r="I48" i="154"/>
  <c r="I40" i="385"/>
  <c r="F40" i="385" s="1"/>
  <c r="G40" i="385" s="1"/>
  <c r="I46" i="465"/>
  <c r="F46" i="465" s="1"/>
  <c r="G46" i="465" s="1"/>
  <c r="I32" i="96"/>
  <c r="F32" i="96" s="1"/>
  <c r="G32" i="96" s="1"/>
  <c r="I19" i="92"/>
  <c r="F19" i="92" s="1"/>
  <c r="G19" i="92" s="1"/>
  <c r="G21" i="179"/>
  <c r="I21" i="179"/>
  <c r="G43" i="179"/>
  <c r="I43" i="179"/>
  <c r="I32" i="407"/>
  <c r="F32" i="407" s="1"/>
  <c r="G32" i="407" s="1"/>
  <c r="I19" i="289"/>
  <c r="F19" i="289" s="1"/>
  <c r="G19" i="289" s="1"/>
  <c r="I35" i="467"/>
  <c r="G35" i="467"/>
  <c r="I46" i="191"/>
  <c r="F46" i="191" s="1"/>
  <c r="G46" i="191" s="1"/>
  <c r="I44" i="477"/>
  <c r="G44" i="477"/>
  <c r="I15" i="477"/>
  <c r="G15" i="477"/>
  <c r="I43" i="413"/>
  <c r="G43" i="413"/>
  <c r="I46" i="289"/>
  <c r="F46" i="289" s="1"/>
  <c r="G46" i="289" s="1"/>
  <c r="I46" i="158"/>
  <c r="F46" i="158" s="1"/>
  <c r="G46" i="158" s="1"/>
  <c r="I32" i="415"/>
  <c r="F32" i="415" s="1"/>
  <c r="G32" i="415" s="1"/>
  <c r="I12" i="469"/>
  <c r="G12" i="469"/>
  <c r="I38" i="469"/>
  <c r="G38" i="469"/>
  <c r="I36" i="464"/>
  <c r="G36" i="464"/>
  <c r="G30" i="464"/>
  <c r="I30" i="464"/>
  <c r="I32" i="199"/>
  <c r="F32" i="199" s="1"/>
  <c r="G32" i="199" s="1"/>
  <c r="F28" i="476"/>
  <c r="F36" i="476"/>
  <c r="F29" i="476"/>
  <c r="F16" i="476"/>
  <c r="F10" i="476"/>
  <c r="F30" i="476"/>
  <c r="F11" i="476"/>
  <c r="F31" i="476"/>
  <c r="F34" i="476"/>
  <c r="F12" i="476"/>
  <c r="F13" i="476"/>
  <c r="F35" i="476"/>
  <c r="F38" i="476"/>
  <c r="F21" i="476"/>
  <c r="F14" i="476"/>
  <c r="F18" i="476"/>
  <c r="F15" i="476"/>
  <c r="F37" i="476"/>
  <c r="F17" i="476"/>
  <c r="F42" i="476"/>
  <c r="F45" i="476"/>
  <c r="G45" i="476" s="1"/>
  <c r="F39" i="476"/>
  <c r="F22" i="476"/>
  <c r="F26" i="476"/>
  <c r="F43" i="476"/>
  <c r="F27" i="476"/>
  <c r="F44" i="476"/>
  <c r="F23" i="476"/>
  <c r="G18" i="302"/>
  <c r="I18" i="302"/>
  <c r="G29" i="302"/>
  <c r="I29" i="302"/>
  <c r="I24" i="32"/>
  <c r="F24" i="32" s="1"/>
  <c r="G24" i="32" s="1"/>
  <c r="I14" i="468"/>
  <c r="G14" i="468"/>
  <c r="I24" i="433"/>
  <c r="F24" i="433" s="1"/>
  <c r="G24" i="433" s="1"/>
  <c r="G29" i="463"/>
  <c r="I29" i="463"/>
  <c r="I16" i="466"/>
  <c r="G16" i="466"/>
  <c r="I23" i="466"/>
  <c r="G23" i="466"/>
  <c r="I22" i="463"/>
  <c r="G22" i="463"/>
  <c r="I24" i="446"/>
  <c r="F24" i="446" s="1"/>
  <c r="G24" i="446" s="1"/>
  <c r="I34" i="384"/>
  <c r="G34" i="384"/>
  <c r="I11" i="478"/>
  <c r="G11" i="478"/>
  <c r="I16" i="478"/>
  <c r="G16" i="478"/>
  <c r="I24" i="400"/>
  <c r="F24" i="400" s="1"/>
  <c r="G24" i="400" s="1"/>
  <c r="I40" i="337"/>
  <c r="F40" i="337" s="1"/>
  <c r="G40" i="337" s="1"/>
  <c r="I19" i="210"/>
  <c r="F19" i="210" s="1"/>
  <c r="G19" i="210" s="1"/>
  <c r="I34" i="122"/>
  <c r="G34" i="122"/>
  <c r="I44" i="122"/>
  <c r="G44" i="122"/>
  <c r="I19" i="8"/>
  <c r="F19" i="8" s="1"/>
  <c r="G19" i="8" s="1"/>
  <c r="G29" i="468"/>
  <c r="I29" i="468"/>
  <c r="I43" i="468"/>
  <c r="G43" i="468"/>
  <c r="I32" i="180"/>
  <c r="F32" i="180" s="1"/>
  <c r="G32" i="180" s="1"/>
  <c r="G42" i="269"/>
  <c r="I42" i="269"/>
  <c r="G14" i="269"/>
  <c r="I14" i="269"/>
  <c r="I19" i="78"/>
  <c r="F19" i="78" s="1"/>
  <c r="G19" i="78" s="1"/>
  <c r="I36" i="489"/>
  <c r="G36" i="489"/>
  <c r="I40" i="17"/>
  <c r="F40" i="17" s="1"/>
  <c r="G40" i="17" s="1"/>
  <c r="I32" i="250"/>
  <c r="F32" i="250" s="1"/>
  <c r="G32" i="250" s="1"/>
  <c r="I40" i="349"/>
  <c r="F40" i="349" s="1"/>
  <c r="G40" i="349" s="1"/>
  <c r="I40" i="64"/>
  <c r="F40" i="64" s="1"/>
  <c r="G40" i="64" s="1"/>
  <c r="I46" i="197"/>
  <c r="F46" i="197" s="1"/>
  <c r="G46" i="197" s="1"/>
  <c r="I46" i="216"/>
  <c r="F46" i="216" s="1"/>
  <c r="G46" i="216" s="1"/>
  <c r="I32" i="267"/>
  <c r="F32" i="267" s="1"/>
  <c r="G32" i="267" s="1"/>
  <c r="I46" i="180"/>
  <c r="F46" i="180" s="1"/>
  <c r="G46" i="180" s="1"/>
  <c r="I46" i="14"/>
  <c r="F46" i="14" s="1"/>
  <c r="G46" i="14" s="1"/>
  <c r="I46" i="27"/>
  <c r="F46" i="27" s="1"/>
  <c r="G46" i="27" s="1"/>
  <c r="I19" i="446"/>
  <c r="F19" i="446" s="1"/>
  <c r="G19" i="446" s="1"/>
  <c r="I19" i="429"/>
  <c r="F19" i="429" s="1"/>
  <c r="G19" i="429" s="1"/>
  <c r="F48" i="356"/>
  <c r="I50" i="356"/>
  <c r="I30" i="179"/>
  <c r="G30" i="179"/>
  <c r="I10" i="179"/>
  <c r="G10" i="179"/>
  <c r="I19" i="198"/>
  <c r="F19" i="198" s="1"/>
  <c r="G19" i="198" s="1"/>
  <c r="I28" i="467"/>
  <c r="G28" i="467"/>
  <c r="I39" i="477"/>
  <c r="G39" i="477"/>
  <c r="I26" i="477"/>
  <c r="G26" i="477"/>
  <c r="I12" i="413"/>
  <c r="G12" i="413"/>
  <c r="I48" i="165"/>
  <c r="I26" i="469"/>
  <c r="G26" i="469"/>
  <c r="I28" i="469"/>
  <c r="G28" i="469"/>
  <c r="I46" i="247"/>
  <c r="F46" i="247" s="1"/>
  <c r="G46" i="247" s="1"/>
  <c r="I19" i="36"/>
  <c r="F19" i="36" s="1"/>
  <c r="G19" i="36" s="1"/>
  <c r="I32" i="453"/>
  <c r="F32" i="453" s="1"/>
  <c r="G32" i="453" s="1"/>
  <c r="I19" i="199"/>
  <c r="F19" i="199" s="1"/>
  <c r="G19" i="199" s="1"/>
  <c r="I17" i="464"/>
  <c r="G17" i="464"/>
  <c r="I39" i="464"/>
  <c r="G39" i="464"/>
  <c r="I46" i="433"/>
  <c r="F46" i="433" s="1"/>
  <c r="G46" i="433" s="1"/>
  <c r="I12" i="302"/>
  <c r="G12" i="302"/>
  <c r="I13" i="302"/>
  <c r="G13" i="302"/>
  <c r="I32" i="123"/>
  <c r="F32" i="123" s="1"/>
  <c r="G32" i="123" s="1"/>
  <c r="I14" i="466"/>
  <c r="G14" i="466"/>
  <c r="I24" i="436"/>
  <c r="F24" i="436" s="1"/>
  <c r="G24" i="436" s="1"/>
  <c r="G36" i="466"/>
  <c r="I36" i="466"/>
  <c r="I15" i="466"/>
  <c r="G15" i="466"/>
  <c r="I48" i="65"/>
  <c r="I38" i="463"/>
  <c r="G38" i="463"/>
  <c r="I40" i="433"/>
  <c r="F40" i="433" s="1"/>
  <c r="G40" i="433" s="1"/>
  <c r="G22" i="384"/>
  <c r="I22" i="384"/>
  <c r="I32" i="14"/>
  <c r="F32" i="14" s="1"/>
  <c r="G32" i="14" s="1"/>
  <c r="I14" i="478"/>
  <c r="G14" i="478"/>
  <c r="I43" i="478"/>
  <c r="G43" i="478"/>
  <c r="I19" i="415"/>
  <c r="F19" i="415" s="1"/>
  <c r="G19" i="415" s="1"/>
  <c r="I39" i="122"/>
  <c r="G39" i="122"/>
  <c r="I31" i="122"/>
  <c r="G31" i="122"/>
  <c r="I19" i="424"/>
  <c r="F19" i="424" s="1"/>
  <c r="G19" i="424" s="1"/>
  <c r="I28" i="468"/>
  <c r="G28" i="468"/>
  <c r="I21" i="468"/>
  <c r="G21" i="468"/>
  <c r="I24" i="385"/>
  <c r="F24" i="385" s="1"/>
  <c r="G24" i="385" s="1"/>
  <c r="I32" i="373"/>
  <c r="F32" i="373" s="1"/>
  <c r="G32" i="373" s="1"/>
  <c r="I40" i="13"/>
  <c r="F40" i="13" s="1"/>
  <c r="G40" i="13" s="1"/>
  <c r="I48" i="176"/>
  <c r="I38" i="269"/>
  <c r="G38" i="269"/>
  <c r="G34" i="269"/>
  <c r="I34" i="269"/>
  <c r="I37" i="489"/>
  <c r="G37" i="489"/>
  <c r="I26" i="489"/>
  <c r="G26" i="489"/>
  <c r="I19" i="53"/>
  <c r="F19" i="53" s="1"/>
  <c r="G19" i="53" s="1"/>
  <c r="F48" i="428"/>
  <c r="I19" i="27"/>
  <c r="F19" i="27" s="1"/>
  <c r="G19" i="27" s="1"/>
  <c r="I32" i="276"/>
  <c r="F32" i="276" s="1"/>
  <c r="G32" i="276" s="1"/>
  <c r="I32" i="198"/>
  <c r="F32" i="198" s="1"/>
  <c r="G32" i="198" s="1"/>
  <c r="I48" i="211"/>
  <c r="E48" i="476"/>
  <c r="G22" i="179"/>
  <c r="I22" i="179"/>
  <c r="I27" i="179"/>
  <c r="G27" i="179"/>
  <c r="I32" i="406"/>
  <c r="F32" i="406" s="1"/>
  <c r="G32" i="406" s="1"/>
  <c r="I24" i="181"/>
  <c r="F24" i="181" s="1"/>
  <c r="G24" i="181" s="1"/>
  <c r="I46" i="418"/>
  <c r="F46" i="418" s="1"/>
  <c r="G46" i="418" s="1"/>
  <c r="I19" i="218"/>
  <c r="F19" i="218" s="1"/>
  <c r="G19" i="218" s="1"/>
  <c r="I21" i="467"/>
  <c r="G21" i="467"/>
  <c r="I16" i="477"/>
  <c r="G16" i="477"/>
  <c r="I17" i="477"/>
  <c r="G17" i="477"/>
  <c r="I21" i="413"/>
  <c r="G21" i="413"/>
  <c r="I24" i="315"/>
  <c r="F24" i="315" s="1"/>
  <c r="G24" i="315" s="1"/>
  <c r="I24" i="31"/>
  <c r="F24" i="31" s="1"/>
  <c r="G24" i="31" s="1"/>
  <c r="I19" i="230"/>
  <c r="F19" i="230" s="1"/>
  <c r="G19" i="230" s="1"/>
  <c r="I37" i="469"/>
  <c r="G37" i="469"/>
  <c r="I24" i="180"/>
  <c r="F24" i="180" s="1"/>
  <c r="G24" i="180" s="1"/>
  <c r="I35" i="464"/>
  <c r="G35" i="464"/>
  <c r="G29" i="464"/>
  <c r="I29" i="464"/>
  <c r="I46" i="16"/>
  <c r="F46" i="16" s="1"/>
  <c r="G46" i="16" s="1"/>
  <c r="I40" i="470"/>
  <c r="F40" i="470" s="1"/>
  <c r="G40" i="470" s="1"/>
  <c r="G23" i="302"/>
  <c r="I23" i="302"/>
  <c r="I34" i="302"/>
  <c r="G34" i="302"/>
  <c r="I48" i="1"/>
  <c r="I24" i="1"/>
  <c r="F24" i="1" s="1"/>
  <c r="G24" i="1" s="1"/>
  <c r="I43" i="466"/>
  <c r="G43" i="466"/>
  <c r="I24" i="246"/>
  <c r="F24" i="246" s="1"/>
  <c r="G24" i="246" s="1"/>
  <c r="G10" i="384"/>
  <c r="I10" i="384"/>
  <c r="I12" i="384"/>
  <c r="G12" i="384"/>
  <c r="I48" i="287"/>
  <c r="I10" i="478"/>
  <c r="G10" i="478"/>
  <c r="I21" i="478"/>
  <c r="G21" i="478"/>
  <c r="G27" i="122"/>
  <c r="I27" i="122"/>
  <c r="I15" i="122"/>
  <c r="G15" i="122"/>
  <c r="I42" i="468"/>
  <c r="G42" i="468"/>
  <c r="I38" i="468"/>
  <c r="G38" i="468"/>
  <c r="I46" i="72"/>
  <c r="F46" i="72" s="1"/>
  <c r="G46" i="72" s="1"/>
  <c r="I29" i="269"/>
  <c r="G29" i="269"/>
  <c r="G43" i="269"/>
  <c r="I43" i="269"/>
  <c r="I24" i="349"/>
  <c r="F24" i="349" s="1"/>
  <c r="G24" i="349" s="1"/>
  <c r="I15" i="489"/>
  <c r="G15" i="489"/>
  <c r="I24" i="427"/>
  <c r="F24" i="427" s="1"/>
  <c r="G24" i="427" s="1"/>
  <c r="I24" i="210"/>
  <c r="F24" i="210" s="1"/>
  <c r="G24" i="210" s="1"/>
  <c r="I32" i="315"/>
  <c r="F32" i="315" s="1"/>
  <c r="G32" i="315" s="1"/>
  <c r="I24" i="158"/>
  <c r="F24" i="158" s="1"/>
  <c r="G24" i="158" s="1"/>
  <c r="I32" i="364"/>
  <c r="F32" i="364" s="1"/>
  <c r="G32" i="364" s="1"/>
  <c r="I19" i="24"/>
  <c r="F19" i="24" s="1"/>
  <c r="G19" i="24" s="1"/>
  <c r="I46" i="451"/>
  <c r="F46" i="451" s="1"/>
  <c r="G46" i="451" s="1"/>
  <c r="I24" i="49"/>
  <c r="F24" i="49" s="1"/>
  <c r="G24" i="49" s="1"/>
  <c r="I24" i="195"/>
  <c r="F24" i="195" s="1"/>
  <c r="G24" i="195" s="1"/>
  <c r="I32" i="332"/>
  <c r="F32" i="332" s="1"/>
  <c r="G32" i="332" s="1"/>
  <c r="I32" i="434"/>
  <c r="F32" i="434" s="1"/>
  <c r="G32" i="434" s="1"/>
  <c r="I24" i="267"/>
  <c r="F24" i="267" s="1"/>
  <c r="G24" i="267" s="1"/>
  <c r="I16" i="179"/>
  <c r="G16" i="179"/>
  <c r="I31" i="179"/>
  <c r="G31" i="179"/>
  <c r="I24" i="294"/>
  <c r="F24" i="294" s="1"/>
  <c r="G24" i="294" s="1"/>
  <c r="I26" i="467"/>
  <c r="G26" i="467"/>
  <c r="I11" i="467"/>
  <c r="G11" i="467"/>
  <c r="I32" i="157"/>
  <c r="F32" i="157" s="1"/>
  <c r="G32" i="157" s="1"/>
  <c r="G34" i="477"/>
  <c r="I34" i="477"/>
  <c r="I38" i="477"/>
  <c r="G38" i="477"/>
  <c r="I32" i="37"/>
  <c r="F32" i="37" s="1"/>
  <c r="G32" i="37" s="1"/>
  <c r="I37" i="413"/>
  <c r="G37" i="413"/>
  <c r="G34" i="413"/>
  <c r="I34" i="413"/>
  <c r="I24" i="96"/>
  <c r="F24" i="96" s="1"/>
  <c r="G24" i="96" s="1"/>
  <c r="I44" i="469"/>
  <c r="G44" i="469"/>
  <c r="I48" i="259"/>
  <c r="I24" i="407"/>
  <c r="F24" i="407" s="1"/>
  <c r="G24" i="407" s="1"/>
  <c r="I19" i="38"/>
  <c r="F19" i="38" s="1"/>
  <c r="G19" i="38" s="1"/>
  <c r="I19" i="453"/>
  <c r="F19" i="453" s="1"/>
  <c r="G19" i="453" s="1"/>
  <c r="I40" i="405"/>
  <c r="F40" i="405" s="1"/>
  <c r="G40" i="405" s="1"/>
  <c r="I38" i="464"/>
  <c r="G38" i="464"/>
  <c r="I28" i="464"/>
  <c r="G28" i="464"/>
  <c r="I46" i="267"/>
  <c r="F46" i="267" s="1"/>
  <c r="G46" i="267" s="1"/>
  <c r="I32" i="436"/>
  <c r="F32" i="436" s="1"/>
  <c r="G32" i="436" s="1"/>
  <c r="I22" i="302"/>
  <c r="G22" i="302"/>
  <c r="I40" i="19"/>
  <c r="F40" i="19" s="1"/>
  <c r="G40" i="19" s="1"/>
  <c r="F48" i="187"/>
  <c r="I50" i="187"/>
  <c r="I17" i="466"/>
  <c r="G17" i="466"/>
  <c r="I19" i="195"/>
  <c r="F19" i="195" s="1"/>
  <c r="G19" i="195" s="1"/>
  <c r="I24" i="119"/>
  <c r="F24" i="119" s="1"/>
  <c r="G24" i="119" s="1"/>
  <c r="I34" i="463"/>
  <c r="G34" i="463"/>
  <c r="I14" i="463"/>
  <c r="G14" i="463"/>
  <c r="I24" i="10"/>
  <c r="F24" i="10" s="1"/>
  <c r="G24" i="10" s="1"/>
  <c r="I29" i="384"/>
  <c r="G29" i="384"/>
  <c r="I43" i="384"/>
  <c r="G43" i="384"/>
  <c r="I40" i="120"/>
  <c r="F40" i="120" s="1"/>
  <c r="G40" i="120" s="1"/>
  <c r="I29" i="478"/>
  <c r="G29" i="478"/>
  <c r="I34" i="478"/>
  <c r="G34" i="478"/>
  <c r="F48" i="164"/>
  <c r="I50" i="164"/>
  <c r="I16" i="122"/>
  <c r="G16" i="122"/>
  <c r="I30" i="122"/>
  <c r="G30" i="122"/>
  <c r="I32" i="230"/>
  <c r="F32" i="230" s="1"/>
  <c r="G32" i="230" s="1"/>
  <c r="I30" i="468"/>
  <c r="G30" i="468"/>
  <c r="I37" i="468"/>
  <c r="G37" i="468"/>
  <c r="I40" i="323"/>
  <c r="F40" i="323" s="1"/>
  <c r="G40" i="323" s="1"/>
  <c r="I19" i="418"/>
  <c r="F19" i="418" s="1"/>
  <c r="G19" i="418" s="1"/>
  <c r="I27" i="269"/>
  <c r="G27" i="269"/>
  <c r="I26" i="269"/>
  <c r="G26" i="269"/>
  <c r="I48" i="23"/>
  <c r="I24" i="23"/>
  <c r="F24" i="23" s="1"/>
  <c r="G24" i="23" s="1"/>
  <c r="I40" i="32"/>
  <c r="F40" i="32" s="1"/>
  <c r="G40" i="32" s="1"/>
  <c r="I24" i="61"/>
  <c r="F24" i="61" s="1"/>
  <c r="G24" i="61" s="1"/>
  <c r="I14" i="489"/>
  <c r="G14" i="489"/>
  <c r="I23" i="489"/>
  <c r="G23" i="489"/>
  <c r="F48" i="224"/>
  <c r="I50" i="224"/>
  <c r="F48" i="21"/>
  <c r="I50" i="21"/>
  <c r="I32" i="337"/>
  <c r="F32" i="337" s="1"/>
  <c r="G32" i="337" s="1"/>
  <c r="I19" i="370"/>
  <c r="F19" i="370" s="1"/>
  <c r="G19" i="370" s="1"/>
  <c r="I32" i="461"/>
  <c r="F32" i="461" s="1"/>
  <c r="G32" i="461" s="1"/>
  <c r="F48" i="371"/>
  <c r="I50" i="371"/>
  <c r="I48" i="126"/>
  <c r="I46" i="364"/>
  <c r="F46" i="364" s="1"/>
  <c r="G46" i="364" s="1"/>
  <c r="I46" i="117"/>
  <c r="F46" i="117" s="1"/>
  <c r="G46" i="117" s="1"/>
  <c r="I46" i="10"/>
  <c r="F46" i="10" s="1"/>
  <c r="G46" i="10" s="1"/>
  <c r="I24" i="218"/>
  <c r="F24" i="218" s="1"/>
  <c r="G24" i="218" s="1"/>
  <c r="I44" i="179"/>
  <c r="G44" i="179"/>
  <c r="I40" i="437"/>
  <c r="F40" i="437" s="1"/>
  <c r="G40" i="437" s="1"/>
  <c r="I40" i="195"/>
  <c r="F40" i="195" s="1"/>
  <c r="G40" i="195" s="1"/>
  <c r="I32" i="247"/>
  <c r="F32" i="247" s="1"/>
  <c r="G32" i="247" s="1"/>
  <c r="I19" i="10"/>
  <c r="F19" i="10" s="1"/>
  <c r="G19" i="10" s="1"/>
  <c r="I36" i="467"/>
  <c r="G36" i="467"/>
  <c r="G37" i="467"/>
  <c r="I37" i="467"/>
  <c r="I12" i="477"/>
  <c r="G12" i="477"/>
  <c r="I28" i="413"/>
  <c r="G28" i="413"/>
  <c r="G42" i="413"/>
  <c r="I42" i="413"/>
  <c r="I32" i="385"/>
  <c r="F32" i="385" s="1"/>
  <c r="G32" i="385" s="1"/>
  <c r="I19" i="180"/>
  <c r="F19" i="180" s="1"/>
  <c r="G19" i="180" s="1"/>
  <c r="I16" i="469"/>
  <c r="G16" i="469"/>
  <c r="I32" i="195"/>
  <c r="F32" i="195" s="1"/>
  <c r="G32" i="195" s="1"/>
  <c r="I40" i="267"/>
  <c r="F40" i="267" s="1"/>
  <c r="G40" i="267" s="1"/>
  <c r="I19" i="61"/>
  <c r="F19" i="61" s="1"/>
  <c r="G19" i="61" s="1"/>
  <c r="I19" i="120"/>
  <c r="F19" i="120" s="1"/>
  <c r="G19" i="120" s="1"/>
  <c r="I13" i="464"/>
  <c r="G13" i="464"/>
  <c r="I12" i="464"/>
  <c r="G12" i="464"/>
  <c r="I40" i="39"/>
  <c r="F40" i="39" s="1"/>
  <c r="G40" i="39" s="1"/>
  <c r="I40" i="123"/>
  <c r="F40" i="123" s="1"/>
  <c r="G40" i="123" s="1"/>
  <c r="G14" i="302"/>
  <c r="I14" i="302"/>
  <c r="I46" i="36"/>
  <c r="F46" i="36" s="1"/>
  <c r="G46" i="36" s="1"/>
  <c r="I28" i="466"/>
  <c r="G28" i="466"/>
  <c r="I40" i="471"/>
  <c r="F40" i="471" s="1"/>
  <c r="G40" i="471" s="1"/>
  <c r="I21" i="466"/>
  <c r="G21" i="466"/>
  <c r="I31" i="466"/>
  <c r="G31" i="466"/>
  <c r="I13" i="466"/>
  <c r="G13" i="466"/>
  <c r="I40" i="453"/>
  <c r="F40" i="453" s="1"/>
  <c r="G40" i="453" s="1"/>
  <c r="I21" i="463"/>
  <c r="G21" i="463"/>
  <c r="I18" i="463"/>
  <c r="G18" i="463"/>
  <c r="I31" i="384"/>
  <c r="G31" i="384"/>
  <c r="I17" i="478"/>
  <c r="G17" i="478"/>
  <c r="I30" i="478"/>
  <c r="G30" i="478"/>
  <c r="I24" i="295"/>
  <c r="F24" i="295" s="1"/>
  <c r="G24" i="295" s="1"/>
  <c r="I24" i="197"/>
  <c r="F24" i="197" s="1"/>
  <c r="G24" i="197" s="1"/>
  <c r="I24" i="247"/>
  <c r="F24" i="247" s="1"/>
  <c r="G24" i="247" s="1"/>
  <c r="G18" i="122"/>
  <c r="I18" i="122"/>
  <c r="I43" i="122"/>
  <c r="G43" i="122"/>
  <c r="I22" i="468"/>
  <c r="G22" i="468"/>
  <c r="G44" i="269"/>
  <c r="I44" i="269"/>
  <c r="G12" i="269"/>
  <c r="I12" i="269"/>
  <c r="I35" i="489"/>
  <c r="G35" i="489"/>
  <c r="G44" i="489"/>
  <c r="I44" i="489"/>
  <c r="I40" i="210"/>
  <c r="F40" i="210" s="1"/>
  <c r="G40" i="210" s="1"/>
  <c r="I40" i="360"/>
  <c r="F40" i="360" s="1"/>
  <c r="G40" i="360" s="1"/>
  <c r="I46" i="91"/>
  <c r="F46" i="91" s="1"/>
  <c r="G46" i="91" s="1"/>
  <c r="I40" i="230"/>
  <c r="F40" i="230" s="1"/>
  <c r="G40" i="230" s="1"/>
  <c r="I24" i="355"/>
  <c r="F24" i="355" s="1"/>
  <c r="G24" i="355" s="1"/>
  <c r="I40" i="198"/>
  <c r="F40" i="198" s="1"/>
  <c r="G40" i="198" s="1"/>
  <c r="I46" i="337"/>
  <c r="F46" i="337" s="1"/>
  <c r="G46" i="337" s="1"/>
  <c r="I32" i="49"/>
  <c r="F32" i="49" s="1"/>
  <c r="G32" i="49" s="1"/>
  <c r="I48" i="443"/>
  <c r="I32" i="32"/>
  <c r="F32" i="32" s="1"/>
  <c r="G32" i="32" s="1"/>
  <c r="F48" i="188"/>
  <c r="I50" i="188"/>
  <c r="I24" i="35"/>
  <c r="F24" i="35" s="1"/>
  <c r="G24" i="35" s="1"/>
  <c r="I46" i="430"/>
  <c r="F46" i="430" s="1"/>
  <c r="G46" i="430" s="1"/>
  <c r="I32" i="424"/>
  <c r="F32" i="424" s="1"/>
  <c r="G32" i="424" s="1"/>
  <c r="I46" i="250"/>
  <c r="F46" i="250" s="1"/>
  <c r="G46" i="250" s="1"/>
  <c r="I40" i="27"/>
  <c r="F40" i="27" s="1"/>
  <c r="G40" i="27" s="1"/>
  <c r="I19" i="196"/>
  <c r="F19" i="196" s="1"/>
  <c r="G19" i="196" s="1"/>
  <c r="G11" i="179"/>
  <c r="I11" i="179"/>
  <c r="G28" i="179"/>
  <c r="I28" i="179"/>
  <c r="I19" i="35"/>
  <c r="F19" i="35" s="1"/>
  <c r="G19" i="35" s="1"/>
  <c r="I48" i="350"/>
  <c r="I30" i="467"/>
  <c r="G30" i="467"/>
  <c r="I16" i="467"/>
  <c r="G16" i="467"/>
  <c r="I31" i="477"/>
  <c r="G31" i="477"/>
  <c r="I23" i="477"/>
  <c r="G23" i="477"/>
  <c r="I27" i="413"/>
  <c r="G27" i="413"/>
  <c r="I11" i="413"/>
  <c r="G11" i="413"/>
  <c r="I40" i="180"/>
  <c r="F40" i="180" s="1"/>
  <c r="G40" i="180" s="1"/>
  <c r="I35" i="469"/>
  <c r="G35" i="469"/>
  <c r="I19" i="294"/>
  <c r="F19" i="294" s="1"/>
  <c r="G19" i="294" s="1"/>
  <c r="I26" i="464"/>
  <c r="G26" i="464"/>
  <c r="I11" i="464"/>
  <c r="G11" i="464"/>
  <c r="I24" i="332"/>
  <c r="F24" i="332" s="1"/>
  <c r="G24" i="332" s="1"/>
  <c r="I24" i="406"/>
  <c r="F24" i="406" s="1"/>
  <c r="G24" i="406" s="1"/>
  <c r="I24" i="429"/>
  <c r="F24" i="429" s="1"/>
  <c r="G24" i="429" s="1"/>
  <c r="I43" i="302"/>
  <c r="G43" i="302"/>
  <c r="I46" i="462"/>
  <c r="F46" i="462" s="1"/>
  <c r="G46" i="462" s="1"/>
  <c r="I42" i="466"/>
  <c r="G42" i="466"/>
  <c r="I30" i="466"/>
  <c r="G30" i="466"/>
  <c r="I50" i="300"/>
  <c r="F48" i="300"/>
  <c r="I48" i="215"/>
  <c r="I12" i="463"/>
  <c r="G12" i="463"/>
  <c r="I10" i="463"/>
  <c r="G10" i="463"/>
  <c r="I23" i="384"/>
  <c r="G23" i="384"/>
  <c r="I21" i="384"/>
  <c r="G21" i="384"/>
  <c r="I28" i="478"/>
  <c r="G28" i="478"/>
  <c r="I42" i="478"/>
  <c r="G42" i="478"/>
  <c r="I32" i="355"/>
  <c r="F32" i="355" s="1"/>
  <c r="G32" i="355" s="1"/>
  <c r="I32" i="91"/>
  <c r="F32" i="91" s="1"/>
  <c r="G32" i="91" s="1"/>
  <c r="I12" i="122"/>
  <c r="G12" i="122"/>
  <c r="G42" i="122"/>
  <c r="I42" i="122"/>
  <c r="I26" i="468"/>
  <c r="G26" i="468"/>
  <c r="I37" i="269"/>
  <c r="G37" i="269"/>
  <c r="G23" i="269"/>
  <c r="I23" i="269"/>
  <c r="I48" i="431"/>
  <c r="I40" i="262"/>
  <c r="F40" i="262" s="1"/>
  <c r="G40" i="262" s="1"/>
  <c r="I24" i="434"/>
  <c r="F24" i="434" s="1"/>
  <c r="G24" i="434" s="1"/>
  <c r="I13" i="489"/>
  <c r="G13" i="489"/>
  <c r="G22" i="489"/>
  <c r="I22" i="489"/>
  <c r="I48" i="166"/>
  <c r="I48" i="346"/>
  <c r="I24" i="275"/>
  <c r="F24" i="275" s="1"/>
  <c r="G24" i="275" s="1"/>
  <c r="I24" i="27"/>
  <c r="F24" i="27" s="1"/>
  <c r="G24" i="27" s="1"/>
  <c r="I46" i="17"/>
  <c r="F46" i="17" s="1"/>
  <c r="G46" i="17" s="1"/>
  <c r="I46" i="262"/>
  <c r="F46" i="262" s="1"/>
  <c r="G46" i="262" s="1"/>
  <c r="I46" i="75"/>
  <c r="F46" i="75" s="1"/>
  <c r="G46" i="75" s="1"/>
  <c r="I32" i="67"/>
  <c r="F32" i="67" s="1"/>
  <c r="G32" i="67" s="1"/>
  <c r="I46" i="405"/>
  <c r="F46" i="405" s="1"/>
  <c r="G46" i="405" s="1"/>
  <c r="I32" i="465"/>
  <c r="F32" i="465" s="1"/>
  <c r="G32" i="465" s="1"/>
  <c r="I32" i="216"/>
  <c r="F32" i="216" s="1"/>
  <c r="G32" i="216" s="1"/>
  <c r="I48" i="365"/>
  <c r="I32" i="197"/>
  <c r="F32" i="197" s="1"/>
  <c r="G32" i="197" s="1"/>
  <c r="I40" i="26"/>
  <c r="F40" i="26" s="1"/>
  <c r="G40" i="26" s="1"/>
  <c r="I19" i="451"/>
  <c r="F19" i="451" s="1"/>
  <c r="G19" i="451" s="1"/>
  <c r="G29" i="179"/>
  <c r="I29" i="179"/>
  <c r="I23" i="179"/>
  <c r="G23" i="179"/>
  <c r="I24" i="430"/>
  <c r="F24" i="430" s="1"/>
  <c r="G24" i="430" s="1"/>
  <c r="I13" i="467"/>
  <c r="G13" i="467"/>
  <c r="I44" i="467"/>
  <c r="G44" i="467"/>
  <c r="I11" i="477"/>
  <c r="G11" i="477"/>
  <c r="G14" i="413"/>
  <c r="I14" i="413"/>
  <c r="I18" i="413"/>
  <c r="G18" i="413"/>
  <c r="I46" i="294"/>
  <c r="F46" i="294" s="1"/>
  <c r="G46" i="294" s="1"/>
  <c r="I24" i="19"/>
  <c r="F24" i="19" s="1"/>
  <c r="G24" i="19" s="1"/>
  <c r="I24" i="14"/>
  <c r="F24" i="14" s="1"/>
  <c r="G24" i="14" s="1"/>
  <c r="I40" i="92"/>
  <c r="F40" i="92" s="1"/>
  <c r="G40" i="92" s="1"/>
  <c r="I46" i="67"/>
  <c r="F46" i="67" s="1"/>
  <c r="G46" i="67" s="1"/>
  <c r="I22" i="469"/>
  <c r="G22" i="469"/>
  <c r="I44" i="464"/>
  <c r="G44" i="464"/>
  <c r="I37" i="464"/>
  <c r="G37" i="464"/>
  <c r="I48" i="225"/>
  <c r="I32" i="53"/>
  <c r="F32" i="53" s="1"/>
  <c r="G32" i="53" s="1"/>
  <c r="I19" i="60"/>
  <c r="F19" i="60" s="1"/>
  <c r="G19" i="60" s="1"/>
  <c r="I24" i="405"/>
  <c r="F24" i="405" s="1"/>
  <c r="G24" i="405" s="1"/>
  <c r="I40" i="197"/>
  <c r="F40" i="197" s="1"/>
  <c r="G40" i="197" s="1"/>
  <c r="I38" i="302"/>
  <c r="G38" i="302"/>
  <c r="I19" i="58"/>
  <c r="F19" i="58" s="1"/>
  <c r="G19" i="58" s="1"/>
  <c r="I22" i="466"/>
  <c r="G22" i="466"/>
  <c r="I38" i="466"/>
  <c r="G38" i="466"/>
  <c r="F48" i="447"/>
  <c r="I50" i="447"/>
  <c r="I31" i="463"/>
  <c r="G31" i="463"/>
  <c r="I27" i="463"/>
  <c r="G27" i="463"/>
  <c r="I16" i="384"/>
  <c r="G16" i="384"/>
  <c r="I11" i="384"/>
  <c r="G11" i="384"/>
  <c r="I24" i="191"/>
  <c r="F24" i="191" s="1"/>
  <c r="G24" i="191" s="1"/>
  <c r="I36" i="478"/>
  <c r="G36" i="478"/>
  <c r="I18" i="478"/>
  <c r="G18" i="478"/>
  <c r="I19" i="423"/>
  <c r="F19" i="423" s="1"/>
  <c r="G19" i="423" s="1"/>
  <c r="I24" i="39"/>
  <c r="F24" i="39" s="1"/>
  <c r="G24" i="39" s="1"/>
  <c r="I26" i="122"/>
  <c r="G26" i="122"/>
  <c r="I23" i="122"/>
  <c r="G23" i="122"/>
  <c r="I12" i="468"/>
  <c r="G12" i="468"/>
  <c r="I19" i="157"/>
  <c r="F19" i="157" s="1"/>
  <c r="G19" i="157" s="1"/>
  <c r="I32" i="10"/>
  <c r="F32" i="10" s="1"/>
  <c r="G32" i="10" s="1"/>
  <c r="I32" i="262"/>
  <c r="F32" i="262" s="1"/>
  <c r="G32" i="262" s="1"/>
  <c r="G34" i="489"/>
  <c r="I34" i="489"/>
  <c r="I39" i="489"/>
  <c r="G39" i="489"/>
  <c r="I24" i="423"/>
  <c r="F24" i="423" s="1"/>
  <c r="G24" i="423" s="1"/>
  <c r="I24" i="91"/>
  <c r="F24" i="91" s="1"/>
  <c r="G24" i="91" s="1"/>
  <c r="I40" i="289"/>
  <c r="F40" i="289" s="1"/>
  <c r="G40" i="289" s="1"/>
  <c r="I19" i="349"/>
  <c r="F19" i="349" s="1"/>
  <c r="G19" i="349" s="1"/>
  <c r="I32" i="246"/>
  <c r="F32" i="246" s="1"/>
  <c r="G32" i="246" s="1"/>
  <c r="I24" i="451"/>
  <c r="F24" i="451" s="1"/>
  <c r="G24" i="451" s="1"/>
  <c r="I48" i="316"/>
  <c r="I46" i="230"/>
  <c r="F46" i="230" s="1"/>
  <c r="G46" i="230" s="1"/>
  <c r="I48" i="362"/>
  <c r="I48" i="88"/>
  <c r="I32" i="78"/>
  <c r="F32" i="78" s="1"/>
  <c r="G32" i="78" s="1"/>
  <c r="I19" i="117"/>
  <c r="F19" i="117" s="1"/>
  <c r="G19" i="117" s="1"/>
  <c r="G17" i="179"/>
  <c r="I17" i="179"/>
  <c r="I12" i="179"/>
  <c r="G12" i="179"/>
  <c r="I40" i="117"/>
  <c r="F40" i="117" s="1"/>
  <c r="G40" i="117" s="1"/>
  <c r="I43" i="467"/>
  <c r="G43" i="467"/>
  <c r="I22" i="467"/>
  <c r="G22" i="467"/>
  <c r="I24" i="24"/>
  <c r="F24" i="24" s="1"/>
  <c r="G24" i="24" s="1"/>
  <c r="I37" i="477"/>
  <c r="G37" i="477"/>
  <c r="I40" i="199"/>
  <c r="F40" i="199" s="1"/>
  <c r="G40" i="199" s="1"/>
  <c r="G26" i="413"/>
  <c r="I26" i="413"/>
  <c r="I10" i="413"/>
  <c r="G10" i="413"/>
  <c r="I40" i="436"/>
  <c r="F40" i="436" s="1"/>
  <c r="G40" i="436" s="1"/>
  <c r="I40" i="38"/>
  <c r="F40" i="38" s="1"/>
  <c r="G40" i="38" s="1"/>
  <c r="I42" i="469"/>
  <c r="G42" i="469"/>
  <c r="I10" i="469"/>
  <c r="G10" i="469"/>
  <c r="I19" i="64"/>
  <c r="F19" i="64" s="1"/>
  <c r="G19" i="64" s="1"/>
  <c r="I24" i="415"/>
  <c r="F24" i="415" s="1"/>
  <c r="G24" i="415" s="1"/>
  <c r="I19" i="465"/>
  <c r="F19" i="465" s="1"/>
  <c r="G19" i="465" s="1"/>
  <c r="I32" i="451"/>
  <c r="F32" i="451" s="1"/>
  <c r="G32" i="451" s="1"/>
  <c r="I40" i="218"/>
  <c r="F40" i="218" s="1"/>
  <c r="G40" i="218" s="1"/>
  <c r="I34" i="464"/>
  <c r="G34" i="464"/>
  <c r="G27" i="464"/>
  <c r="I27" i="464"/>
  <c r="I46" i="35"/>
  <c r="F46" i="35" s="1"/>
  <c r="G46" i="35" s="1"/>
  <c r="I24" i="17"/>
  <c r="F24" i="17" s="1"/>
  <c r="G24" i="17" s="1"/>
  <c r="I40" i="429"/>
  <c r="F40" i="429" s="1"/>
  <c r="G40" i="429" s="1"/>
  <c r="G15" i="302"/>
  <c r="I15" i="302"/>
  <c r="I50" i="475"/>
  <c r="F48" i="475"/>
  <c r="I50" i="474"/>
  <c r="F48" i="474"/>
  <c r="F24" i="473"/>
  <c r="G24" i="473" s="1"/>
  <c r="I48" i="473"/>
  <c r="I24" i="471"/>
  <c r="I40" i="386" l="1"/>
  <c r="F40" i="386" s="1"/>
  <c r="G40" i="386" s="1"/>
  <c r="I46" i="389"/>
  <c r="F46" i="389" s="1"/>
  <c r="G46" i="389" s="1"/>
  <c r="I46" i="242"/>
  <c r="F46" i="242" s="1"/>
  <c r="G46" i="242" s="1"/>
  <c r="I48" i="268"/>
  <c r="I46" i="386"/>
  <c r="F46" i="386" s="1"/>
  <c r="G46" i="386" s="1"/>
  <c r="I46" i="469"/>
  <c r="F46" i="469" s="1"/>
  <c r="G46" i="469" s="1"/>
  <c r="F48" i="145"/>
  <c r="I48" i="254"/>
  <c r="F48" i="387"/>
  <c r="F48" i="59"/>
  <c r="I48" i="183"/>
  <c r="I24" i="363"/>
  <c r="F24" i="363" s="1"/>
  <c r="G24" i="363" s="1"/>
  <c r="I24" i="231"/>
  <c r="F24" i="231" s="1"/>
  <c r="G24" i="231" s="1"/>
  <c r="I46" i="185"/>
  <c r="F46" i="185" s="1"/>
  <c r="G46" i="185" s="1"/>
  <c r="I32" i="386"/>
  <c r="F32" i="386" s="1"/>
  <c r="G32" i="386" s="1"/>
  <c r="I24" i="386"/>
  <c r="F24" i="209"/>
  <c r="G24" i="209" s="1"/>
  <c r="I48" i="209"/>
  <c r="I50" i="228"/>
  <c r="I46" i="89"/>
  <c r="F46" i="89" s="1"/>
  <c r="G46" i="89" s="1"/>
  <c r="I48" i="412"/>
  <c r="I19" i="386"/>
  <c r="F19" i="386" s="1"/>
  <c r="G19" i="386" s="1"/>
  <c r="F48" i="288"/>
  <c r="I50" i="288"/>
  <c r="I46" i="77"/>
  <c r="F46" i="77" s="1"/>
  <c r="G46" i="77" s="1"/>
  <c r="I48" i="214"/>
  <c r="F48" i="268"/>
  <c r="I50" i="268"/>
  <c r="I24" i="77"/>
  <c r="I48" i="222"/>
  <c r="I24" i="242"/>
  <c r="F24" i="242" s="1"/>
  <c r="G24" i="242" s="1"/>
  <c r="I32" i="185"/>
  <c r="F32" i="185" s="1"/>
  <c r="G32" i="185" s="1"/>
  <c r="F32" i="153"/>
  <c r="G32" i="153" s="1"/>
  <c r="I48" i="153"/>
  <c r="F24" i="381"/>
  <c r="G24" i="381" s="1"/>
  <c r="I48" i="381"/>
  <c r="I40" i="77"/>
  <c r="F40" i="77" s="1"/>
  <c r="G40" i="77" s="1"/>
  <c r="I19" i="242"/>
  <c r="F19" i="242" s="1"/>
  <c r="G19" i="242" s="1"/>
  <c r="I19" i="185"/>
  <c r="F19" i="185" s="1"/>
  <c r="G19" i="185" s="1"/>
  <c r="I48" i="200"/>
  <c r="I48" i="130"/>
  <c r="F48" i="130" s="1"/>
  <c r="I40" i="231"/>
  <c r="F40" i="231" s="1"/>
  <c r="G40" i="231" s="1"/>
  <c r="I32" i="242"/>
  <c r="F32" i="242" s="1"/>
  <c r="G32" i="242" s="1"/>
  <c r="I40" i="242"/>
  <c r="F40" i="242" s="1"/>
  <c r="G40" i="242" s="1"/>
  <c r="I48" i="48"/>
  <c r="I48" i="151"/>
  <c r="I32" i="77"/>
  <c r="F32" i="77" s="1"/>
  <c r="G32" i="77" s="1"/>
  <c r="I40" i="185"/>
  <c r="F40" i="185" s="1"/>
  <c r="G40" i="185" s="1"/>
  <c r="F24" i="149"/>
  <c r="G24" i="149" s="1"/>
  <c r="I48" i="149"/>
  <c r="I19" i="77"/>
  <c r="F19" i="77" s="1"/>
  <c r="G19" i="77" s="1"/>
  <c r="I24" i="185"/>
  <c r="I50" i="414"/>
  <c r="F48" i="414"/>
  <c r="I48" i="163"/>
  <c r="F48" i="134"/>
  <c r="F48" i="151"/>
  <c r="I50" i="151"/>
  <c r="I19" i="231"/>
  <c r="F19" i="231" s="1"/>
  <c r="G19" i="231" s="1"/>
  <c r="I40" i="363"/>
  <c r="F40" i="363" s="1"/>
  <c r="G40" i="363" s="1"/>
  <c r="F24" i="184"/>
  <c r="G24" i="184" s="1"/>
  <c r="I48" i="184"/>
  <c r="I19" i="363"/>
  <c r="F19" i="363" s="1"/>
  <c r="G19" i="363" s="1"/>
  <c r="I50" i="42"/>
  <c r="F50" i="42" s="1"/>
  <c r="I32" i="363"/>
  <c r="F32" i="363" s="1"/>
  <c r="G32" i="363" s="1"/>
  <c r="F48" i="444"/>
  <c r="I50" i="444"/>
  <c r="I50" i="410"/>
  <c r="F48" i="410"/>
  <c r="I32" i="231"/>
  <c r="F32" i="231" s="1"/>
  <c r="G32" i="231" s="1"/>
  <c r="I48" i="358"/>
  <c r="I46" i="363"/>
  <c r="F46" i="363" s="1"/>
  <c r="G46" i="363" s="1"/>
  <c r="F48" i="449"/>
  <c r="I50" i="449"/>
  <c r="I50" i="375"/>
  <c r="F48" i="375"/>
  <c r="F48" i="394"/>
  <c r="I50" i="394"/>
  <c r="F32" i="260"/>
  <c r="G32" i="260" s="1"/>
  <c r="I48" i="260"/>
  <c r="I48" i="297"/>
  <c r="I50" i="266"/>
  <c r="I50" i="439"/>
  <c r="F48" i="439"/>
  <c r="F50" i="282"/>
  <c r="G5" i="282"/>
  <c r="G6" i="282"/>
  <c r="A54" i="282"/>
  <c r="I51" i="282"/>
  <c r="F48" i="411"/>
  <c r="I50" i="411"/>
  <c r="I46" i="231"/>
  <c r="F46" i="231" s="1"/>
  <c r="G46" i="231" s="1"/>
  <c r="I50" i="336"/>
  <c r="F48" i="336"/>
  <c r="I50" i="303"/>
  <c r="F48" i="303"/>
  <c r="I50" i="236"/>
  <c r="F48" i="236"/>
  <c r="F32" i="167"/>
  <c r="G32" i="167" s="1"/>
  <c r="I48" i="167"/>
  <c r="I19" i="469"/>
  <c r="F19" i="469" s="1"/>
  <c r="G19" i="469" s="1"/>
  <c r="F48" i="171"/>
  <c r="I48" i="265"/>
  <c r="I50" i="265" s="1"/>
  <c r="I48" i="359"/>
  <c r="I48" i="304"/>
  <c r="I46" i="466"/>
  <c r="F46" i="466" s="1"/>
  <c r="G46" i="466" s="1"/>
  <c r="I48" i="58"/>
  <c r="I50" i="58" s="1"/>
  <c r="F24" i="129"/>
  <c r="G24" i="129" s="1"/>
  <c r="I48" i="129"/>
  <c r="F50" i="125"/>
  <c r="G6" i="125"/>
  <c r="I51" i="125"/>
  <c r="A54" i="125"/>
  <c r="G5" i="125"/>
  <c r="I48" i="115"/>
  <c r="F48" i="115" s="1"/>
  <c r="I48" i="401"/>
  <c r="I48" i="330"/>
  <c r="F24" i="327"/>
  <c r="G24" i="327" s="1"/>
  <c r="I48" i="327"/>
  <c r="I48" i="459"/>
  <c r="I50" i="264"/>
  <c r="F48" i="264"/>
  <c r="F48" i="183"/>
  <c r="I50" i="183"/>
  <c r="F24" i="177"/>
  <c r="G24" i="177" s="1"/>
  <c r="I48" i="177"/>
  <c r="I51" i="402"/>
  <c r="G6" i="402"/>
  <c r="A54" i="402"/>
  <c r="F50" i="402"/>
  <c r="G5" i="402"/>
  <c r="F48" i="270"/>
  <c r="I50" i="270"/>
  <c r="I50" i="100"/>
  <c r="F48" i="100"/>
  <c r="I50" i="459"/>
  <c r="F48" i="459"/>
  <c r="I50" i="348"/>
  <c r="F48" i="348"/>
  <c r="I50" i="317"/>
  <c r="F48" i="317"/>
  <c r="F24" i="278"/>
  <c r="G24" i="278" s="1"/>
  <c r="I48" i="278"/>
  <c r="F24" i="186"/>
  <c r="G24" i="186" s="1"/>
  <c r="I48" i="186"/>
  <c r="F48" i="189"/>
  <c r="I50" i="189"/>
  <c r="I48" i="408"/>
  <c r="I48" i="46"/>
  <c r="I48" i="97"/>
  <c r="I48" i="131"/>
  <c r="I48" i="541"/>
  <c r="I48" i="310"/>
  <c r="I50" i="310" s="1"/>
  <c r="I48" i="258"/>
  <c r="I48" i="30"/>
  <c r="F32" i="399"/>
  <c r="G32" i="399" s="1"/>
  <c r="I48" i="399"/>
  <c r="I48" i="334"/>
  <c r="I50" i="238"/>
  <c r="F48" i="238"/>
  <c r="A54" i="450"/>
  <c r="I51" i="450"/>
  <c r="G5" i="450"/>
  <c r="G6" i="450"/>
  <c r="F50" i="450"/>
  <c r="I48" i="174"/>
  <c r="I19" i="354"/>
  <c r="F19" i="354" s="1"/>
  <c r="G19" i="354" s="1"/>
  <c r="I48" i="34"/>
  <c r="I48" i="148"/>
  <c r="I50" i="148" s="1"/>
  <c r="I48" i="456"/>
  <c r="I50" i="81"/>
  <c r="F48" i="81"/>
  <c r="I48" i="55"/>
  <c r="I48" i="162"/>
  <c r="I48" i="438"/>
  <c r="F48" i="438" s="1"/>
  <c r="I50" i="146"/>
  <c r="F48" i="146"/>
  <c r="F24" i="390"/>
  <c r="G24" i="390" s="1"/>
  <c r="I48" i="390"/>
  <c r="I48" i="435"/>
  <c r="I48" i="140"/>
  <c r="I48" i="421"/>
  <c r="I48" i="440"/>
  <c r="G6" i="134"/>
  <c r="G5" i="134"/>
  <c r="F50" i="134"/>
  <c r="I51" i="134"/>
  <c r="A54" i="134"/>
  <c r="I48" i="90"/>
  <c r="A54" i="59"/>
  <c r="G5" i="59"/>
  <c r="I51" i="59"/>
  <c r="F50" i="59"/>
  <c r="G6" i="59"/>
  <c r="G5" i="127"/>
  <c r="F50" i="127"/>
  <c r="G6" i="127"/>
  <c r="A54" i="127"/>
  <c r="I51" i="127"/>
  <c r="I48" i="112"/>
  <c r="I48" i="235"/>
  <c r="F24" i="232"/>
  <c r="G24" i="232" s="1"/>
  <c r="I48" i="232"/>
  <c r="I48" i="28"/>
  <c r="I48" i="91"/>
  <c r="I48" i="430"/>
  <c r="I48" i="361"/>
  <c r="I50" i="361" s="1"/>
  <c r="I48" i="357"/>
  <c r="I48" i="40"/>
  <c r="I48" i="220"/>
  <c r="I48" i="273"/>
  <c r="I50" i="273" s="1"/>
  <c r="I48" i="212"/>
  <c r="I48" i="324"/>
  <c r="I48" i="173"/>
  <c r="I19" i="291"/>
  <c r="F19" i="291" s="1"/>
  <c r="G19" i="291" s="1"/>
  <c r="I50" i="132"/>
  <c r="F48" i="132"/>
  <c r="I50" i="541"/>
  <c r="F48" i="541"/>
  <c r="F24" i="103"/>
  <c r="G24" i="103" s="1"/>
  <c r="I48" i="103"/>
  <c r="I48" i="292"/>
  <c r="I48" i="82"/>
  <c r="F32" i="244"/>
  <c r="G32" i="244" s="1"/>
  <c r="I48" i="244"/>
  <c r="I48" i="272"/>
  <c r="I48" i="340"/>
  <c r="F32" i="271"/>
  <c r="G32" i="271" s="1"/>
  <c r="I48" i="271"/>
  <c r="I50" i="353"/>
  <c r="F48" i="353"/>
  <c r="F32" i="252"/>
  <c r="G32" i="252" s="1"/>
  <c r="I48" i="252"/>
  <c r="A54" i="296"/>
  <c r="G6" i="296"/>
  <c r="G5" i="296"/>
  <c r="I51" i="296"/>
  <c r="F50" i="296"/>
  <c r="I48" i="111"/>
  <c r="I50" i="306"/>
  <c r="F48" i="306"/>
  <c r="I50" i="253"/>
  <c r="F48" i="253"/>
  <c r="I48" i="239"/>
  <c r="I40" i="285"/>
  <c r="F40" i="285" s="1"/>
  <c r="G40" i="285" s="1"/>
  <c r="I32" i="118"/>
  <c r="F32" i="118" s="1"/>
  <c r="G32" i="118" s="1"/>
  <c r="I48" i="442"/>
  <c r="I32" i="135"/>
  <c r="F32" i="135" s="1"/>
  <c r="G32" i="135" s="1"/>
  <c r="I48" i="313"/>
  <c r="I50" i="313" s="1"/>
  <c r="I48" i="342"/>
  <c r="I48" i="124"/>
  <c r="I48" i="298"/>
  <c r="I48" i="279"/>
  <c r="F48" i="279" s="1"/>
  <c r="I48" i="314"/>
  <c r="I48" i="108"/>
  <c r="F32" i="106"/>
  <c r="G32" i="106" s="1"/>
  <c r="I48" i="106"/>
  <c r="F40" i="43"/>
  <c r="G40" i="43" s="1"/>
  <c r="I48" i="43"/>
  <c r="F48" i="320"/>
  <c r="I50" i="320"/>
  <c r="I48" i="221"/>
  <c r="I48" i="293"/>
  <c r="F24" i="85"/>
  <c r="G24" i="85" s="1"/>
  <c r="I48" i="85"/>
  <c r="I48" i="44"/>
  <c r="I48" i="155"/>
  <c r="I48" i="98"/>
  <c r="I19" i="62"/>
  <c r="F19" i="62" s="1"/>
  <c r="G19" i="62" s="1"/>
  <c r="I48" i="160"/>
  <c r="I46" i="135"/>
  <c r="F46" i="135" s="1"/>
  <c r="G46" i="135" s="1"/>
  <c r="I40" i="286"/>
  <c r="F40" i="286" s="1"/>
  <c r="G40" i="286" s="1"/>
  <c r="I48" i="33"/>
  <c r="I48" i="139"/>
  <c r="I48" i="152"/>
  <c r="F48" i="152" s="1"/>
  <c r="A54" i="266"/>
  <c r="F50" i="266"/>
  <c r="G6" i="266"/>
  <c r="G5" i="266"/>
  <c r="I51" i="266"/>
  <c r="I48" i="283"/>
  <c r="I48" i="45"/>
  <c r="I48" i="579"/>
  <c r="F24" i="150"/>
  <c r="G24" i="150" s="1"/>
  <c r="I48" i="150"/>
  <c r="I48" i="159"/>
  <c r="I51" i="137"/>
  <c r="F50" i="137"/>
  <c r="A54" i="137"/>
  <c r="G5" i="137"/>
  <c r="G6" i="137"/>
  <c r="I50" i="170"/>
  <c r="F48" i="170"/>
  <c r="I48" i="341"/>
  <c r="I48" i="76"/>
  <c r="I48" i="319"/>
  <c r="I48" i="451"/>
  <c r="I50" i="451" s="1"/>
  <c r="I48" i="205"/>
  <c r="I48" i="79"/>
  <c r="I50" i="79" s="1"/>
  <c r="I48" i="455"/>
  <c r="I48" i="261"/>
  <c r="F48" i="261" s="1"/>
  <c r="I48" i="309"/>
  <c r="I19" i="118"/>
  <c r="F19" i="118" s="1"/>
  <c r="G19" i="118" s="1"/>
  <c r="I48" i="51"/>
  <c r="I48" i="277"/>
  <c r="F32" i="136"/>
  <c r="G32" i="136" s="1"/>
  <c r="I48" i="136"/>
  <c r="F32" i="445"/>
  <c r="G32" i="445" s="1"/>
  <c r="I48" i="445"/>
  <c r="I48" i="9"/>
  <c r="F46" i="9"/>
  <c r="G46" i="9" s="1"/>
  <c r="I50" i="173"/>
  <c r="F48" i="173"/>
  <c r="F48" i="217"/>
  <c r="I50" i="217"/>
  <c r="I50" i="74"/>
  <c r="F48" i="74"/>
  <c r="I32" i="286"/>
  <c r="F32" i="286" s="1"/>
  <c r="G32" i="286" s="1"/>
  <c r="F48" i="345"/>
  <c r="I50" i="345"/>
  <c r="I50" i="220"/>
  <c r="F48" i="220"/>
  <c r="I48" i="87"/>
  <c r="I40" i="89"/>
  <c r="F40" i="89" s="1"/>
  <c r="G40" i="89" s="1"/>
  <c r="I50" i="114"/>
  <c r="F48" i="114"/>
  <c r="I48" i="227"/>
  <c r="F24" i="227"/>
  <c r="G24" i="227" s="1"/>
  <c r="I40" i="464"/>
  <c r="F40" i="464" s="1"/>
  <c r="G40" i="464" s="1"/>
  <c r="I48" i="19"/>
  <c r="I48" i="427"/>
  <c r="F48" i="427" s="1"/>
  <c r="I48" i="437"/>
  <c r="I19" i="389"/>
  <c r="F19" i="389" s="1"/>
  <c r="G19" i="389" s="1"/>
  <c r="I48" i="333"/>
  <c r="F32" i="333"/>
  <c r="G32" i="333" s="1"/>
  <c r="I48" i="343"/>
  <c r="I48" i="138"/>
  <c r="I48" i="367"/>
  <c r="I48" i="84"/>
  <c r="I48" i="128"/>
  <c r="I48" i="71"/>
  <c r="I40" i="62"/>
  <c r="F40" i="62" s="1"/>
  <c r="G40" i="62" s="1"/>
  <c r="I19" i="351"/>
  <c r="F19" i="351" s="1"/>
  <c r="G19" i="351" s="1"/>
  <c r="I40" i="354"/>
  <c r="F40" i="354" s="1"/>
  <c r="G40" i="354" s="1"/>
  <c r="F24" i="68"/>
  <c r="G24" i="68" s="1"/>
  <c r="I48" i="68"/>
  <c r="I50" i="174"/>
  <c r="F48" i="174"/>
  <c r="F48" i="254"/>
  <c r="I50" i="254"/>
  <c r="I50" i="152"/>
  <c r="I48" i="250"/>
  <c r="F48" i="250" s="1"/>
  <c r="I48" i="274"/>
  <c r="I48" i="202"/>
  <c r="F48" i="33"/>
  <c r="I50" i="33"/>
  <c r="I48" i="454"/>
  <c r="I48" i="403"/>
  <c r="I48" i="339"/>
  <c r="I48" i="460"/>
  <c r="F24" i="460"/>
  <c r="G24" i="460" s="1"/>
  <c r="I32" i="89"/>
  <c r="F32" i="89" s="1"/>
  <c r="G32" i="89" s="1"/>
  <c r="I48" i="116"/>
  <c r="I48" i="47"/>
  <c r="I48" i="156"/>
  <c r="F48" i="219"/>
  <c r="I50" i="219"/>
  <c r="F48" i="57"/>
  <c r="I50" i="57"/>
  <c r="I32" i="354"/>
  <c r="F32" i="354" s="1"/>
  <c r="G32" i="354" s="1"/>
  <c r="I48" i="326"/>
  <c r="I48" i="332"/>
  <c r="F48" i="332" s="1"/>
  <c r="I50" i="234"/>
  <c r="I48" i="405"/>
  <c r="F48" i="405" s="1"/>
  <c r="I32" i="468"/>
  <c r="F32" i="468" s="1"/>
  <c r="G32" i="468" s="1"/>
  <c r="I48" i="372"/>
  <c r="I48" i="6"/>
  <c r="F48" i="182"/>
  <c r="I50" i="182"/>
  <c r="I48" i="69"/>
  <c r="I48" i="144"/>
  <c r="I48" i="99"/>
  <c r="F48" i="395"/>
  <c r="I50" i="395"/>
  <c r="I48" i="257"/>
  <c r="I48" i="379"/>
  <c r="F48" i="331"/>
  <c r="I50" i="331"/>
  <c r="I48" i="243"/>
  <c r="I50" i="40"/>
  <c r="F48" i="40"/>
  <c r="I50" i="442"/>
  <c r="F48" i="442"/>
  <c r="I50" i="147"/>
  <c r="F48" i="147"/>
  <c r="I48" i="29"/>
  <c r="F48" i="342"/>
  <c r="I50" i="342"/>
  <c r="I50" i="105"/>
  <c r="F48" i="105"/>
  <c r="F24" i="172"/>
  <c r="G24" i="172" s="1"/>
  <c r="I48" i="172"/>
  <c r="F48" i="94"/>
  <c r="I50" i="94"/>
  <c r="F48" i="63"/>
  <c r="I50" i="63"/>
  <c r="I48" i="192"/>
  <c r="I48" i="419"/>
  <c r="G5" i="66"/>
  <c r="G6" i="66"/>
  <c r="F50" i="66"/>
  <c r="I51" i="66"/>
  <c r="A54" i="66"/>
  <c r="I40" i="291"/>
  <c r="F40" i="291" s="1"/>
  <c r="G40" i="291" s="1"/>
  <c r="I50" i="206"/>
  <c r="F48" i="206"/>
  <c r="F24" i="237"/>
  <c r="G24" i="237" s="1"/>
  <c r="I48" i="237"/>
  <c r="I48" i="448"/>
  <c r="F48" i="309"/>
  <c r="I50" i="309"/>
  <c r="I19" i="413"/>
  <c r="F19" i="413" s="1"/>
  <c r="G19" i="413" s="1"/>
  <c r="F24" i="229"/>
  <c r="G24" i="229" s="1"/>
  <c r="I48" i="229"/>
  <c r="I40" i="351"/>
  <c r="F40" i="351" s="1"/>
  <c r="G40" i="351" s="1"/>
  <c r="G6" i="107"/>
  <c r="A54" i="107"/>
  <c r="G5" i="107"/>
  <c r="I51" i="107"/>
  <c r="F50" i="107"/>
  <c r="I48" i="102"/>
  <c r="I19" i="89"/>
  <c r="F19" i="89" s="1"/>
  <c r="G19" i="89" s="1"/>
  <c r="I48" i="56"/>
  <c r="I48" i="190"/>
  <c r="I46" i="285"/>
  <c r="F46" i="285" s="1"/>
  <c r="G46" i="285" s="1"/>
  <c r="I24" i="354"/>
  <c r="F24" i="354" s="1"/>
  <c r="G24" i="354" s="1"/>
  <c r="I48" i="11"/>
  <c r="I48" i="404"/>
  <c r="F48" i="161"/>
  <c r="I50" i="161"/>
  <c r="I48" i="240"/>
  <c r="F32" i="263"/>
  <c r="G32" i="263" s="1"/>
  <c r="I48" i="263"/>
  <c r="I48" i="223"/>
  <c r="F48" i="298"/>
  <c r="I50" i="298"/>
  <c r="I48" i="12"/>
  <c r="F40" i="12"/>
  <c r="G40" i="12" s="1"/>
  <c r="F48" i="455"/>
  <c r="I50" i="455"/>
  <c r="I48" i="245"/>
  <c r="F24" i="104"/>
  <c r="G24" i="104" s="1"/>
  <c r="I48" i="104"/>
  <c r="I40" i="389"/>
  <c r="F40" i="389" s="1"/>
  <c r="G40" i="389" s="1"/>
  <c r="F48" i="73"/>
  <c r="I50" i="73"/>
  <c r="I50" i="205"/>
  <c r="F48" i="205"/>
  <c r="I48" i="338"/>
  <c r="I24" i="89"/>
  <c r="F24" i="89" s="1"/>
  <c r="G24" i="89" s="1"/>
  <c r="F48" i="50"/>
  <c r="I50" i="50"/>
  <c r="I46" i="351"/>
  <c r="F46" i="351" s="1"/>
  <c r="G46" i="351" s="1"/>
  <c r="I24" i="118"/>
  <c r="F24" i="118" s="1"/>
  <c r="G24" i="118" s="1"/>
  <c r="I50" i="261"/>
  <c r="F48" i="235"/>
  <c r="I50" i="235"/>
  <c r="F48" i="124"/>
  <c r="I50" i="124"/>
  <c r="I24" i="389"/>
  <c r="F24" i="389" s="1"/>
  <c r="G24" i="389" s="1"/>
  <c r="I48" i="168"/>
  <c r="I48" i="299"/>
  <c r="F48" i="239"/>
  <c r="I50" i="239"/>
  <c r="I48" i="191"/>
  <c r="I50" i="191" s="1"/>
  <c r="I32" i="285"/>
  <c r="F32" i="285" s="1"/>
  <c r="G32" i="285" s="1"/>
  <c r="F48" i="160"/>
  <c r="I50" i="160"/>
  <c r="I40" i="118"/>
  <c r="F40" i="118" s="1"/>
  <c r="G40" i="118" s="1"/>
  <c r="I50" i="290"/>
  <c r="F48" i="290"/>
  <c r="I48" i="20"/>
  <c r="I32" i="413"/>
  <c r="F32" i="413" s="1"/>
  <c r="G32" i="413" s="1"/>
  <c r="I32" i="122"/>
  <c r="F32" i="122" s="1"/>
  <c r="G32" i="122" s="1"/>
  <c r="F48" i="5"/>
  <c r="I50" i="5"/>
  <c r="I48" i="193"/>
  <c r="I24" i="135"/>
  <c r="F24" i="135" s="1"/>
  <c r="G24" i="135" s="1"/>
  <c r="I48" i="281"/>
  <c r="I50" i="311"/>
  <c r="F48" i="311"/>
  <c r="F48" i="357"/>
  <c r="I50" i="357"/>
  <c r="I48" i="452"/>
  <c r="I24" i="285"/>
  <c r="F24" i="285" s="1"/>
  <c r="G24" i="285" s="1"/>
  <c r="I32" i="351"/>
  <c r="F32" i="351" s="1"/>
  <c r="G32" i="351" s="1"/>
  <c r="I24" i="286"/>
  <c r="F24" i="286" s="1"/>
  <c r="G24" i="286" s="1"/>
  <c r="I48" i="213"/>
  <c r="A54" i="42"/>
  <c r="I46" i="118"/>
  <c r="F46" i="118" s="1"/>
  <c r="G46" i="118" s="1"/>
  <c r="F48" i="314"/>
  <c r="I50" i="314"/>
  <c r="I50" i="241"/>
  <c r="F48" i="241"/>
  <c r="F24" i="226"/>
  <c r="G24" i="226" s="1"/>
  <c r="I48" i="226"/>
  <c r="I46" i="413"/>
  <c r="F46" i="413" s="1"/>
  <c r="G46" i="413" s="1"/>
  <c r="I48" i="96"/>
  <c r="I40" i="135"/>
  <c r="F40" i="135" s="1"/>
  <c r="G40" i="135" s="1"/>
  <c r="I48" i="251"/>
  <c r="I48" i="432"/>
  <c r="F48" i="90"/>
  <c r="I50" i="90"/>
  <c r="I48" i="194"/>
  <c r="I48" i="133"/>
  <c r="I48" i="393"/>
  <c r="I46" i="62"/>
  <c r="F46" i="62" s="1"/>
  <c r="G46" i="62" s="1"/>
  <c r="I51" i="387"/>
  <c r="G6" i="387"/>
  <c r="G5" i="387"/>
  <c r="F50" i="387"/>
  <c r="A54" i="387"/>
  <c r="I48" i="420"/>
  <c r="I48" i="93"/>
  <c r="I48" i="325"/>
  <c r="F48" i="79"/>
  <c r="F48" i="324"/>
  <c r="I50" i="324"/>
  <c r="I48" i="397"/>
  <c r="I48" i="203"/>
  <c r="I40" i="122"/>
  <c r="F40" i="122" s="1"/>
  <c r="G40" i="122" s="1"/>
  <c r="I48" i="109"/>
  <c r="I48" i="284"/>
  <c r="I50" i="312"/>
  <c r="F48" i="312"/>
  <c r="G5" i="378"/>
  <c r="I51" i="378"/>
  <c r="F50" i="378"/>
  <c r="G6" i="378"/>
  <c r="A54" i="378"/>
  <c r="I48" i="175"/>
  <c r="I48" i="141"/>
  <c r="I48" i="329"/>
  <c r="F48" i="383"/>
  <c r="I50" i="383"/>
  <c r="I24" i="62"/>
  <c r="F24" i="62" s="1"/>
  <c r="G24" i="62" s="1"/>
  <c r="I48" i="15"/>
  <c r="I48" i="233"/>
  <c r="F24" i="233"/>
  <c r="G24" i="233" s="1"/>
  <c r="I48" i="422"/>
  <c r="I32" i="291"/>
  <c r="F32" i="291" s="1"/>
  <c r="G32" i="291" s="1"/>
  <c r="F48" i="163"/>
  <c r="I50" i="163"/>
  <c r="F48" i="212"/>
  <c r="I50" i="212"/>
  <c r="F48" i="139"/>
  <c r="I50" i="139"/>
  <c r="I24" i="351"/>
  <c r="F24" i="351" s="1"/>
  <c r="G24" i="351" s="1"/>
  <c r="F24" i="201"/>
  <c r="G24" i="201" s="1"/>
  <c r="I48" i="201"/>
  <c r="F24" i="307"/>
  <c r="G24" i="307" s="1"/>
  <c r="I48" i="307"/>
  <c r="I48" i="247"/>
  <c r="I50" i="247" s="1"/>
  <c r="I48" i="61"/>
  <c r="I50" i="409"/>
  <c r="F50" i="409" s="1"/>
  <c r="I46" i="354"/>
  <c r="F46" i="354" s="1"/>
  <c r="G46" i="354" s="1"/>
  <c r="I50" i="34"/>
  <c r="F48" i="34"/>
  <c r="I19" i="286"/>
  <c r="F19" i="286" s="1"/>
  <c r="G19" i="286" s="1"/>
  <c r="I48" i="18"/>
  <c r="I48" i="377"/>
  <c r="I50" i="3"/>
  <c r="F48" i="3"/>
  <c r="I48" i="369"/>
  <c r="I48" i="169"/>
  <c r="I48" i="52"/>
  <c r="F24" i="208"/>
  <c r="G24" i="208" s="1"/>
  <c r="I48" i="208"/>
  <c r="I48" i="101"/>
  <c r="I48" i="396"/>
  <c r="I48" i="83"/>
  <c r="F40" i="83"/>
  <c r="G40" i="83" s="1"/>
  <c r="I48" i="415"/>
  <c r="I48" i="24"/>
  <c r="I46" i="478"/>
  <c r="F46" i="478" s="1"/>
  <c r="G46" i="478" s="1"/>
  <c r="I40" i="467"/>
  <c r="F40" i="467" s="1"/>
  <c r="G40" i="467" s="1"/>
  <c r="I48" i="301"/>
  <c r="I48" i="347"/>
  <c r="I24" i="291"/>
  <c r="F24" i="291" s="1"/>
  <c r="G24" i="291" s="1"/>
  <c r="I48" i="86"/>
  <c r="I19" i="285"/>
  <c r="F19" i="285" s="1"/>
  <c r="G19" i="285" s="1"/>
  <c r="I48" i="374"/>
  <c r="F48" i="280"/>
  <c r="I50" i="280"/>
  <c r="I48" i="392"/>
  <c r="I32" i="62"/>
  <c r="F32" i="62" s="1"/>
  <c r="G32" i="62" s="1"/>
  <c r="I50" i="113"/>
  <c r="F48" i="113"/>
  <c r="I19" i="135"/>
  <c r="F19" i="135" s="1"/>
  <c r="G19" i="135" s="1"/>
  <c r="I32" i="389"/>
  <c r="F32" i="389" s="1"/>
  <c r="G32" i="389" s="1"/>
  <c r="I48" i="95"/>
  <c r="I48" i="458"/>
  <c r="I50" i="70"/>
  <c r="F48" i="70"/>
  <c r="I48" i="22"/>
  <c r="F40" i="22"/>
  <c r="G40" i="22" s="1"/>
  <c r="I48" i="249"/>
  <c r="I48" i="352"/>
  <c r="I46" i="291"/>
  <c r="F46" i="291" s="1"/>
  <c r="G46" i="291" s="1"/>
  <c r="I48" i="256"/>
  <c r="I48" i="14"/>
  <c r="I48" i="27"/>
  <c r="G5" i="188"/>
  <c r="F50" i="188"/>
  <c r="G6" i="188"/>
  <c r="A54" i="188"/>
  <c r="I51" i="188"/>
  <c r="I51" i="187"/>
  <c r="G6" i="187"/>
  <c r="F50" i="187"/>
  <c r="G5" i="187"/>
  <c r="A54" i="187"/>
  <c r="I48" i="407"/>
  <c r="I48" i="267"/>
  <c r="I48" i="158"/>
  <c r="I48" i="436"/>
  <c r="I17" i="476"/>
  <c r="G17" i="476"/>
  <c r="I29" i="476"/>
  <c r="G29" i="476"/>
  <c r="I50" i="322"/>
  <c r="F48" i="322"/>
  <c r="I48" i="373"/>
  <c r="I48" i="78"/>
  <c r="I48" i="64"/>
  <c r="I48" i="323"/>
  <c r="I19" i="467"/>
  <c r="F19" i="467" s="1"/>
  <c r="G19" i="467" s="1"/>
  <c r="I48" i="453"/>
  <c r="I48" i="424"/>
  <c r="F48" i="376"/>
  <c r="I50" i="376"/>
  <c r="A54" i="305"/>
  <c r="G5" i="305"/>
  <c r="F50" i="305"/>
  <c r="I51" i="305"/>
  <c r="G6" i="305"/>
  <c r="I48" i="218"/>
  <c r="I19" i="384"/>
  <c r="F19" i="384" s="1"/>
  <c r="G19" i="384" s="1"/>
  <c r="I48" i="385"/>
  <c r="I19" i="179"/>
  <c r="F19" i="179" s="1"/>
  <c r="G19" i="179" s="1"/>
  <c r="I48" i="32"/>
  <c r="I37" i="476"/>
  <c r="G37" i="476"/>
  <c r="I36" i="476"/>
  <c r="G36" i="476"/>
  <c r="I24" i="179"/>
  <c r="F24" i="179" s="1"/>
  <c r="G24" i="179" s="1"/>
  <c r="I19" i="468"/>
  <c r="F19" i="468" s="1"/>
  <c r="G19" i="468" s="1"/>
  <c r="I19" i="302"/>
  <c r="F19" i="302" s="1"/>
  <c r="G19" i="302" s="1"/>
  <c r="I48" i="370"/>
  <c r="I48" i="388"/>
  <c r="I48" i="60"/>
  <c r="I50" i="426"/>
  <c r="F48" i="426"/>
  <c r="F48" i="248"/>
  <c r="I50" i="248"/>
  <c r="I48" i="230"/>
  <c r="F48" i="41"/>
  <c r="I50" i="41"/>
  <c r="I48" i="364"/>
  <c r="I48" i="275"/>
  <c r="F48" i="259"/>
  <c r="I50" i="259"/>
  <c r="I40" i="384"/>
  <c r="F40" i="384" s="1"/>
  <c r="G40" i="384" s="1"/>
  <c r="I15" i="476"/>
  <c r="G15" i="476"/>
  <c r="I28" i="476"/>
  <c r="G28" i="476"/>
  <c r="I48" i="321"/>
  <c r="I46" i="179"/>
  <c r="F46" i="179" s="1"/>
  <c r="G46" i="179" s="1"/>
  <c r="I32" i="384"/>
  <c r="F32" i="384" s="1"/>
  <c r="G32" i="384" s="1"/>
  <c r="A54" i="110"/>
  <c r="G5" i="110"/>
  <c r="G6" i="110"/>
  <c r="F50" i="110"/>
  <c r="I51" i="110"/>
  <c r="I48" i="92"/>
  <c r="I48" i="25"/>
  <c r="I32" i="478"/>
  <c r="F32" i="478" s="1"/>
  <c r="G32" i="478" s="1"/>
  <c r="I50" i="297"/>
  <c r="F48" i="297"/>
  <c r="I48" i="16"/>
  <c r="G5" i="171"/>
  <c r="I51" i="171"/>
  <c r="F50" i="171"/>
  <c r="A54" i="171"/>
  <c r="G6" i="171"/>
  <c r="F48" i="204"/>
  <c r="I50" i="204"/>
  <c r="I50" i="19"/>
  <c r="F48" i="19"/>
  <c r="F48" i="350"/>
  <c r="I50" i="350"/>
  <c r="I24" i="463"/>
  <c r="F24" i="463" s="1"/>
  <c r="G24" i="463" s="1"/>
  <c r="I40" i="477"/>
  <c r="F40" i="477" s="1"/>
  <c r="G40" i="477" s="1"/>
  <c r="I48" i="210"/>
  <c r="I48" i="246"/>
  <c r="I48" i="180"/>
  <c r="I24" i="467"/>
  <c r="F24" i="467" s="1"/>
  <c r="G24" i="467" s="1"/>
  <c r="I48" i="446"/>
  <c r="I18" i="476"/>
  <c r="G18" i="476"/>
  <c r="I48" i="461"/>
  <c r="F48" i="361"/>
  <c r="I48" i="37"/>
  <c r="I24" i="469"/>
  <c r="F24" i="469" s="1"/>
  <c r="G24" i="469" s="1"/>
  <c r="A54" i="380"/>
  <c r="F50" i="380"/>
  <c r="I51" i="380"/>
  <c r="G6" i="380"/>
  <c r="G5" i="380"/>
  <c r="I48" i="72"/>
  <c r="I48" i="117"/>
  <c r="I48" i="199"/>
  <c r="I48" i="196"/>
  <c r="I50" i="405"/>
  <c r="F48" i="346"/>
  <c r="I50" i="346"/>
  <c r="I24" i="384"/>
  <c r="F24" i="384" s="1"/>
  <c r="G24" i="384" s="1"/>
  <c r="I48" i="197"/>
  <c r="A54" i="428"/>
  <c r="I51" i="428"/>
  <c r="F50" i="428"/>
  <c r="G6" i="428"/>
  <c r="G5" i="428"/>
  <c r="I24" i="468"/>
  <c r="F24" i="468" s="1"/>
  <c r="G24" i="468" s="1"/>
  <c r="F50" i="356"/>
  <c r="G6" i="356"/>
  <c r="A54" i="356"/>
  <c r="G5" i="356"/>
  <c r="I51" i="356"/>
  <c r="I14" i="476"/>
  <c r="G14" i="476"/>
  <c r="I48" i="262"/>
  <c r="I46" i="384"/>
  <c r="F46" i="384" s="1"/>
  <c r="G46" i="384" s="1"/>
  <c r="I48" i="36"/>
  <c r="I40" i="468"/>
  <c r="F40" i="468" s="1"/>
  <c r="G40" i="468" s="1"/>
  <c r="I50" i="121"/>
  <c r="F48" i="121"/>
  <c r="I48" i="38"/>
  <c r="I50" i="430"/>
  <c r="F48" i="430"/>
  <c r="I50" i="166"/>
  <c r="F48" i="166"/>
  <c r="I48" i="429"/>
  <c r="I48" i="10"/>
  <c r="I50" i="96"/>
  <c r="F48" i="96"/>
  <c r="I46" i="468"/>
  <c r="F46" i="468" s="1"/>
  <c r="G46" i="468" s="1"/>
  <c r="I32" i="469"/>
  <c r="F32" i="469" s="1"/>
  <c r="G32" i="469" s="1"/>
  <c r="I21" i="476"/>
  <c r="G21" i="476"/>
  <c r="G6" i="145"/>
  <c r="G5" i="145"/>
  <c r="F50" i="145"/>
  <c r="I51" i="145"/>
  <c r="A54" i="145"/>
  <c r="I24" i="464"/>
  <c r="F24" i="464" s="1"/>
  <c r="G24" i="464" s="1"/>
  <c r="I32" i="302"/>
  <c r="F32" i="302" s="1"/>
  <c r="G32" i="302" s="1"/>
  <c r="I48" i="198"/>
  <c r="F48" i="126"/>
  <c r="I50" i="126"/>
  <c r="I50" i="61"/>
  <c r="F48" i="61"/>
  <c r="I50" i="165"/>
  <c r="F48" i="165"/>
  <c r="I38" i="476"/>
  <c r="G38" i="476"/>
  <c r="I48" i="26"/>
  <c r="I46" i="489"/>
  <c r="F46" i="489" s="1"/>
  <c r="G46" i="489" s="1"/>
  <c r="I42" i="476"/>
  <c r="G42" i="476"/>
  <c r="I48" i="423"/>
  <c r="F48" i="225"/>
  <c r="I50" i="225"/>
  <c r="I48" i="406"/>
  <c r="I51" i="371"/>
  <c r="G6" i="371"/>
  <c r="F50" i="371"/>
  <c r="A54" i="371"/>
  <c r="G5" i="371"/>
  <c r="I48" i="181"/>
  <c r="I32" i="489"/>
  <c r="F32" i="489" s="1"/>
  <c r="G32" i="489" s="1"/>
  <c r="I23" i="476"/>
  <c r="G23" i="476"/>
  <c r="I35" i="476"/>
  <c r="G35" i="476"/>
  <c r="I50" i="154"/>
  <c r="F48" i="154"/>
  <c r="F48" i="318"/>
  <c r="I50" i="318"/>
  <c r="I40" i="466"/>
  <c r="F40" i="466" s="1"/>
  <c r="G40" i="466" s="1"/>
  <c r="I19" i="477"/>
  <c r="F19" i="477" s="1"/>
  <c r="G19" i="477" s="1"/>
  <c r="I24" i="489"/>
  <c r="F24" i="489" s="1"/>
  <c r="G24" i="489" s="1"/>
  <c r="I24" i="302"/>
  <c r="F24" i="302" s="1"/>
  <c r="G24" i="302" s="1"/>
  <c r="I50" i="365"/>
  <c r="F48" i="365"/>
  <c r="I48" i="295"/>
  <c r="F48" i="1"/>
  <c r="I50" i="1"/>
  <c r="I44" i="476"/>
  <c r="G44" i="476"/>
  <c r="I13" i="476"/>
  <c r="G13" i="476"/>
  <c r="F48" i="457"/>
  <c r="I50" i="457"/>
  <c r="I48" i="289"/>
  <c r="F48" i="437"/>
  <c r="I50" i="437"/>
  <c r="I46" i="464"/>
  <c r="F46" i="464" s="1"/>
  <c r="G46" i="464" s="1"/>
  <c r="I48" i="13"/>
  <c r="I48" i="276"/>
  <c r="I19" i="489"/>
  <c r="F19" i="489" s="1"/>
  <c r="G19" i="489" s="1"/>
  <c r="I50" i="425"/>
  <c r="F48" i="425"/>
  <c r="I19" i="122"/>
  <c r="F19" i="122" s="1"/>
  <c r="G19" i="122" s="1"/>
  <c r="I48" i="54"/>
  <c r="I48" i="470"/>
  <c r="I46" i="467"/>
  <c r="F46" i="467" s="1"/>
  <c r="G46" i="467" s="1"/>
  <c r="I48" i="75"/>
  <c r="I50" i="316"/>
  <c r="F48" i="316"/>
  <c r="F48" i="91"/>
  <c r="I50" i="91"/>
  <c r="I46" i="122"/>
  <c r="F46" i="122" s="1"/>
  <c r="G46" i="122" s="1"/>
  <c r="I32" i="467"/>
  <c r="F32" i="467" s="1"/>
  <c r="G32" i="467" s="1"/>
  <c r="I48" i="195"/>
  <c r="I48" i="349"/>
  <c r="I48" i="31"/>
  <c r="F48" i="65"/>
  <c r="I50" i="65"/>
  <c r="I46" i="269"/>
  <c r="F46" i="269" s="1"/>
  <c r="G46" i="269" s="1"/>
  <c r="I27" i="476"/>
  <c r="G27" i="476"/>
  <c r="I12" i="476"/>
  <c r="G12" i="476"/>
  <c r="I32" i="466"/>
  <c r="F32" i="466" s="1"/>
  <c r="G32" i="466" s="1"/>
  <c r="I48" i="418"/>
  <c r="I19" i="466"/>
  <c r="F19" i="466" s="1"/>
  <c r="G19" i="466" s="1"/>
  <c r="I48" i="465"/>
  <c r="I46" i="463"/>
  <c r="F46" i="463" s="1"/>
  <c r="G46" i="463" s="1"/>
  <c r="I48" i="8"/>
  <c r="F48" i="24"/>
  <c r="I50" i="24"/>
  <c r="I48" i="434"/>
  <c r="F48" i="443"/>
  <c r="I50" i="443"/>
  <c r="I24" i="466"/>
  <c r="F24" i="466" s="1"/>
  <c r="G24" i="466" s="1"/>
  <c r="F48" i="23"/>
  <c r="I50" i="23"/>
  <c r="G6" i="164"/>
  <c r="G5" i="164"/>
  <c r="I51" i="164"/>
  <c r="F50" i="164"/>
  <c r="A54" i="164"/>
  <c r="I40" i="463"/>
  <c r="F40" i="463" s="1"/>
  <c r="G40" i="463" s="1"/>
  <c r="I48" i="294"/>
  <c r="I40" i="302"/>
  <c r="F40" i="302" s="1"/>
  <c r="G40" i="302" s="1"/>
  <c r="I48" i="315"/>
  <c r="I40" i="269"/>
  <c r="F40" i="269" s="1"/>
  <c r="G40" i="269" s="1"/>
  <c r="I32" i="477"/>
  <c r="F32" i="477" s="1"/>
  <c r="G32" i="477" s="1"/>
  <c r="I43" i="476"/>
  <c r="G43" i="476"/>
  <c r="I34" i="476"/>
  <c r="G34" i="476"/>
  <c r="I48" i="360"/>
  <c r="F48" i="255"/>
  <c r="I50" i="255"/>
  <c r="I48" i="337"/>
  <c r="I48" i="366"/>
  <c r="I48" i="157"/>
  <c r="I48" i="123"/>
  <c r="I19" i="463"/>
  <c r="F19" i="463" s="1"/>
  <c r="G19" i="463" s="1"/>
  <c r="I40" i="489"/>
  <c r="F40" i="489" s="1"/>
  <c r="G40" i="489" s="1"/>
  <c r="I50" i="215"/>
  <c r="F48" i="215"/>
  <c r="I48" i="49"/>
  <c r="I24" i="478"/>
  <c r="F24" i="478" s="1"/>
  <c r="G24" i="478" s="1"/>
  <c r="I48" i="400"/>
  <c r="I26" i="476"/>
  <c r="G26" i="476"/>
  <c r="I31" i="476"/>
  <c r="G31" i="476"/>
  <c r="I48" i="120"/>
  <c r="F48" i="142"/>
  <c r="I50" i="142"/>
  <c r="F48" i="391"/>
  <c r="I50" i="391"/>
  <c r="I48" i="216"/>
  <c r="I16" i="476"/>
  <c r="G16" i="476"/>
  <c r="I50" i="88"/>
  <c r="F48" i="88"/>
  <c r="F50" i="21"/>
  <c r="I51" i="21"/>
  <c r="G5" i="21"/>
  <c r="G6" i="21"/>
  <c r="A54" i="21"/>
  <c r="I32" i="269"/>
  <c r="F32" i="269" s="1"/>
  <c r="G32" i="269" s="1"/>
  <c r="I48" i="119"/>
  <c r="I40" i="413"/>
  <c r="F40" i="413" s="1"/>
  <c r="G40" i="413" s="1"/>
  <c r="I22" i="476"/>
  <c r="G22" i="476"/>
  <c r="I11" i="476"/>
  <c r="G11" i="476"/>
  <c r="I48" i="398"/>
  <c r="I50" i="80"/>
  <c r="F48" i="80"/>
  <c r="F48" i="368"/>
  <c r="I50" i="368"/>
  <c r="I19" i="269"/>
  <c r="F19" i="269" s="1"/>
  <c r="G19" i="269" s="1"/>
  <c r="I46" i="477"/>
  <c r="F46" i="477" s="1"/>
  <c r="G46" i="477" s="1"/>
  <c r="I32" i="463"/>
  <c r="F32" i="463" s="1"/>
  <c r="G32" i="463" s="1"/>
  <c r="I24" i="477"/>
  <c r="F24" i="477" s="1"/>
  <c r="G24" i="477" s="1"/>
  <c r="I40" i="469"/>
  <c r="F40" i="469" s="1"/>
  <c r="G40" i="469" s="1"/>
  <c r="I51" i="178"/>
  <c r="F50" i="178"/>
  <c r="A54" i="178"/>
  <c r="G6" i="178"/>
  <c r="G5" i="178"/>
  <c r="I24" i="122"/>
  <c r="F24" i="122" s="1"/>
  <c r="G24" i="122" s="1"/>
  <c r="I51" i="447"/>
  <c r="A54" i="447"/>
  <c r="F50" i="447"/>
  <c r="G6" i="447"/>
  <c r="G5" i="447"/>
  <c r="I50" i="415"/>
  <c r="F48" i="415"/>
  <c r="F48" i="431"/>
  <c r="I50" i="431"/>
  <c r="G6" i="300"/>
  <c r="F50" i="300"/>
  <c r="G5" i="300"/>
  <c r="I51" i="300"/>
  <c r="A54" i="300"/>
  <c r="I40" i="478"/>
  <c r="F40" i="478" s="1"/>
  <c r="G40" i="478" s="1"/>
  <c r="I19" i="478"/>
  <c r="F19" i="478" s="1"/>
  <c r="G19" i="478" s="1"/>
  <c r="I24" i="413"/>
  <c r="F24" i="413" s="1"/>
  <c r="G24" i="413" s="1"/>
  <c r="I48" i="433"/>
  <c r="I39" i="476"/>
  <c r="G39" i="476"/>
  <c r="I30" i="476"/>
  <c r="G30" i="476"/>
  <c r="I48" i="462"/>
  <c r="A54" i="228"/>
  <c r="I51" i="228"/>
  <c r="G5" i="228"/>
  <c r="F50" i="228"/>
  <c r="G6" i="228"/>
  <c r="I50" i="335"/>
  <c r="F48" i="335"/>
  <c r="I48" i="417"/>
  <c r="I48" i="39"/>
  <c r="I48" i="17"/>
  <c r="F48" i="362"/>
  <c r="I50" i="362"/>
  <c r="I32" i="464"/>
  <c r="F32" i="464" s="1"/>
  <c r="G32" i="464" s="1"/>
  <c r="I48" i="35"/>
  <c r="I48" i="355"/>
  <c r="I51" i="224"/>
  <c r="G6" i="224"/>
  <c r="A54" i="224"/>
  <c r="G5" i="224"/>
  <c r="F50" i="224"/>
  <c r="I50" i="287"/>
  <c r="F48" i="287"/>
  <c r="I50" i="211"/>
  <c r="F48" i="211"/>
  <c r="F48" i="176"/>
  <c r="I50" i="176"/>
  <c r="I51" i="234"/>
  <c r="G5" i="234"/>
  <c r="F50" i="234"/>
  <c r="G6" i="234"/>
  <c r="A54" i="234"/>
  <c r="I10" i="476"/>
  <c r="G10" i="476"/>
  <c r="I24" i="269"/>
  <c r="F24" i="269" s="1"/>
  <c r="G24" i="269" s="1"/>
  <c r="I46" i="302"/>
  <c r="F46" i="302" s="1"/>
  <c r="G46" i="302" s="1"/>
  <c r="I48" i="416"/>
  <c r="I48" i="53"/>
  <c r="I48" i="67"/>
  <c r="I40" i="179"/>
  <c r="F40" i="179" s="1"/>
  <c r="G40" i="179" s="1"/>
  <c r="I19" i="464"/>
  <c r="F19" i="464" s="1"/>
  <c r="G19" i="464" s="1"/>
  <c r="I32" i="179"/>
  <c r="F32" i="179" s="1"/>
  <c r="G32" i="179" s="1"/>
  <c r="A54" i="475"/>
  <c r="I51" i="475"/>
  <c r="F50" i="475"/>
  <c r="G6" i="475"/>
  <c r="G5" i="475"/>
  <c r="A54" i="474"/>
  <c r="I51" i="474"/>
  <c r="F50" i="474"/>
  <c r="G6" i="474"/>
  <c r="G5" i="474"/>
  <c r="I50" i="473"/>
  <c r="F48" i="473"/>
  <c r="F24" i="471"/>
  <c r="G24" i="471" s="1"/>
  <c r="I48" i="471"/>
  <c r="I51" i="409" l="1"/>
  <c r="I50" i="438"/>
  <c r="F50" i="288"/>
  <c r="I51" i="288"/>
  <c r="G5" i="288"/>
  <c r="G6" i="288"/>
  <c r="A54" i="288"/>
  <c r="F24" i="386"/>
  <c r="G24" i="386" s="1"/>
  <c r="I48" i="386"/>
  <c r="F48" i="58"/>
  <c r="I50" i="130"/>
  <c r="F48" i="265"/>
  <c r="I50" i="115"/>
  <c r="I48" i="363"/>
  <c r="I50" i="363" s="1"/>
  <c r="F48" i="412"/>
  <c r="I50" i="412"/>
  <c r="I50" i="279"/>
  <c r="I50" i="209"/>
  <c r="F48" i="209"/>
  <c r="I48" i="242"/>
  <c r="G5" i="268"/>
  <c r="I51" i="268"/>
  <c r="A54" i="268"/>
  <c r="G6" i="268"/>
  <c r="F50" i="268"/>
  <c r="F48" i="149"/>
  <c r="I50" i="149"/>
  <c r="I50" i="153"/>
  <c r="F48" i="153"/>
  <c r="F48" i="48"/>
  <c r="I50" i="48"/>
  <c r="F48" i="222"/>
  <c r="I50" i="222"/>
  <c r="I50" i="214"/>
  <c r="F48" i="214"/>
  <c r="F24" i="185"/>
  <c r="G24" i="185" s="1"/>
  <c r="I48" i="185"/>
  <c r="I50" i="200"/>
  <c r="F48" i="200"/>
  <c r="F48" i="381"/>
  <c r="I50" i="381"/>
  <c r="F24" i="77"/>
  <c r="G24" i="77" s="1"/>
  <c r="I48" i="77"/>
  <c r="A54" i="336"/>
  <c r="G6" i="336"/>
  <c r="F50" i="336"/>
  <c r="G5" i="336"/>
  <c r="I51" i="336"/>
  <c r="G6" i="375"/>
  <c r="F50" i="375"/>
  <c r="A54" i="375"/>
  <c r="I51" i="375"/>
  <c r="G5" i="375"/>
  <c r="I50" i="358"/>
  <c r="F48" i="358"/>
  <c r="I51" i="410"/>
  <c r="A54" i="410"/>
  <c r="G6" i="410"/>
  <c r="F50" i="410"/>
  <c r="G5" i="410"/>
  <c r="F48" i="191"/>
  <c r="G6" i="409"/>
  <c r="I50" i="332"/>
  <c r="G5" i="332" s="1"/>
  <c r="I50" i="427"/>
  <c r="F50" i="427" s="1"/>
  <c r="G6" i="42"/>
  <c r="F48" i="363"/>
  <c r="F48" i="273"/>
  <c r="I51" i="394"/>
  <c r="F50" i="394"/>
  <c r="A54" i="394"/>
  <c r="G5" i="394"/>
  <c r="G6" i="394"/>
  <c r="G6" i="449"/>
  <c r="I51" i="449"/>
  <c r="A54" i="449"/>
  <c r="G5" i="449"/>
  <c r="F50" i="449"/>
  <c r="I51" i="444"/>
  <c r="A54" i="444"/>
  <c r="G6" i="444"/>
  <c r="F50" i="444"/>
  <c r="G5" i="444"/>
  <c r="F48" i="451"/>
  <c r="G5" i="42"/>
  <c r="F48" i="313"/>
  <c r="F48" i="310"/>
  <c r="F48" i="148"/>
  <c r="A54" i="303"/>
  <c r="G5" i="303"/>
  <c r="F50" i="303"/>
  <c r="G6" i="303"/>
  <c r="I51" i="303"/>
  <c r="F50" i="411"/>
  <c r="G6" i="411"/>
  <c r="A54" i="411"/>
  <c r="I51" i="411"/>
  <c r="G5" i="411"/>
  <c r="G6" i="439"/>
  <c r="G5" i="439"/>
  <c r="A54" i="439"/>
  <c r="F50" i="439"/>
  <c r="I51" i="439"/>
  <c r="I48" i="231"/>
  <c r="F48" i="184"/>
  <c r="I50" i="184"/>
  <c r="F50" i="151"/>
  <c r="G5" i="151"/>
  <c r="A54" i="151"/>
  <c r="I51" i="151"/>
  <c r="G6" i="151"/>
  <c r="G5" i="409"/>
  <c r="A54" i="409"/>
  <c r="I51" i="42"/>
  <c r="I48" i="285"/>
  <c r="F48" i="260"/>
  <c r="I50" i="260"/>
  <c r="A54" i="414"/>
  <c r="G5" i="414"/>
  <c r="F50" i="414"/>
  <c r="I51" i="414"/>
  <c r="G6" i="414"/>
  <c r="F48" i="359"/>
  <c r="I50" i="359"/>
  <c r="F48" i="167"/>
  <c r="I50" i="167"/>
  <c r="F48" i="129"/>
  <c r="I50" i="129"/>
  <c r="I50" i="304"/>
  <c r="F48" i="304"/>
  <c r="I51" i="236"/>
  <c r="G5" i="236"/>
  <c r="G6" i="236"/>
  <c r="F50" i="236"/>
  <c r="A54" i="236"/>
  <c r="F48" i="177"/>
  <c r="I50" i="177"/>
  <c r="F50" i="270"/>
  <c r="A54" i="270"/>
  <c r="I51" i="270"/>
  <c r="G5" i="270"/>
  <c r="G6" i="270"/>
  <c r="A54" i="264"/>
  <c r="G6" i="264"/>
  <c r="G5" i="264"/>
  <c r="F50" i="264"/>
  <c r="I51" i="264"/>
  <c r="I50" i="330"/>
  <c r="F48" i="330"/>
  <c r="G5" i="183"/>
  <c r="A54" i="183"/>
  <c r="I51" i="183"/>
  <c r="F50" i="183"/>
  <c r="G6" i="183"/>
  <c r="F48" i="401"/>
  <c r="I50" i="401"/>
  <c r="F48" i="327"/>
  <c r="I50" i="327"/>
  <c r="I50" i="55"/>
  <c r="F48" i="55"/>
  <c r="I50" i="399"/>
  <c r="F48" i="399"/>
  <c r="F48" i="46"/>
  <c r="I50" i="46"/>
  <c r="F48" i="278"/>
  <c r="I50" i="278"/>
  <c r="I51" i="115"/>
  <c r="G6" i="115"/>
  <c r="G5" i="115"/>
  <c r="F50" i="115"/>
  <c r="A54" i="115"/>
  <c r="F48" i="408"/>
  <c r="I50" i="408"/>
  <c r="A54" i="265"/>
  <c r="F50" i="265"/>
  <c r="G5" i="265"/>
  <c r="G6" i="265"/>
  <c r="I51" i="265"/>
  <c r="A54" i="459"/>
  <c r="I51" i="459"/>
  <c r="G6" i="459"/>
  <c r="F50" i="459"/>
  <c r="G5" i="459"/>
  <c r="G6" i="81"/>
  <c r="A54" i="81"/>
  <c r="G5" i="81"/>
  <c r="F50" i="81"/>
  <c r="I51" i="81"/>
  <c r="G6" i="238"/>
  <c r="F50" i="238"/>
  <c r="I51" i="238"/>
  <c r="A54" i="238"/>
  <c r="G5" i="238"/>
  <c r="F48" i="30"/>
  <c r="I50" i="30"/>
  <c r="I50" i="131"/>
  <c r="F48" i="131"/>
  <c r="G6" i="189"/>
  <c r="A54" i="189"/>
  <c r="I51" i="189"/>
  <c r="G5" i="189"/>
  <c r="F50" i="189"/>
  <c r="F48" i="186"/>
  <c r="I50" i="186"/>
  <c r="I50" i="162"/>
  <c r="F48" i="162"/>
  <c r="F48" i="456"/>
  <c r="I50" i="456"/>
  <c r="I50" i="334"/>
  <c r="F48" i="334"/>
  <c r="F48" i="258"/>
  <c r="I50" i="258"/>
  <c r="F48" i="97"/>
  <c r="I50" i="97"/>
  <c r="A54" i="317"/>
  <c r="G5" i="317"/>
  <c r="I51" i="317"/>
  <c r="F50" i="317"/>
  <c r="G6" i="317"/>
  <c r="G6" i="348"/>
  <c r="A54" i="348"/>
  <c r="F50" i="348"/>
  <c r="I51" i="348"/>
  <c r="G5" i="348"/>
  <c r="A54" i="100"/>
  <c r="G6" i="100"/>
  <c r="F50" i="100"/>
  <c r="G5" i="100"/>
  <c r="I51" i="100"/>
  <c r="I50" i="28"/>
  <c r="F48" i="28"/>
  <c r="F48" i="112"/>
  <c r="I50" i="112"/>
  <c r="F50" i="148"/>
  <c r="A54" i="148"/>
  <c r="G6" i="148"/>
  <c r="I51" i="148"/>
  <c r="G5" i="148"/>
  <c r="I50" i="232"/>
  <c r="F48" i="232"/>
  <c r="I50" i="440"/>
  <c r="F48" i="440"/>
  <c r="I50" i="140"/>
  <c r="F48" i="140"/>
  <c r="F48" i="421"/>
  <c r="I50" i="421"/>
  <c r="I50" i="435"/>
  <c r="F48" i="435"/>
  <c r="G6" i="146"/>
  <c r="I51" i="146"/>
  <c r="G5" i="146"/>
  <c r="A54" i="146"/>
  <c r="F50" i="146"/>
  <c r="F48" i="390"/>
  <c r="I50" i="390"/>
  <c r="I48" i="354"/>
  <c r="F48" i="354" s="1"/>
  <c r="I50" i="445"/>
  <c r="F48" i="445"/>
  <c r="F48" i="277"/>
  <c r="I50" i="277"/>
  <c r="F48" i="150"/>
  <c r="I50" i="150"/>
  <c r="F48" i="579"/>
  <c r="I50" i="579"/>
  <c r="I50" i="155"/>
  <c r="F48" i="155"/>
  <c r="I50" i="293"/>
  <c r="F48" i="293"/>
  <c r="I51" i="320"/>
  <c r="G6" i="320"/>
  <c r="F50" i="320"/>
  <c r="G5" i="320"/>
  <c r="A54" i="320"/>
  <c r="F48" i="106"/>
  <c r="I50" i="106"/>
  <c r="I50" i="252"/>
  <c r="F48" i="252"/>
  <c r="I50" i="271"/>
  <c r="F48" i="271"/>
  <c r="F48" i="244"/>
  <c r="I50" i="244"/>
  <c r="F48" i="103"/>
  <c r="I50" i="103"/>
  <c r="F48" i="51"/>
  <c r="I50" i="51"/>
  <c r="F48" i="319"/>
  <c r="I50" i="319"/>
  <c r="A54" i="170"/>
  <c r="G5" i="170"/>
  <c r="F50" i="170"/>
  <c r="G6" i="170"/>
  <c r="I51" i="170"/>
  <c r="I50" i="45"/>
  <c r="F48" i="45"/>
  <c r="I50" i="44"/>
  <c r="F48" i="44"/>
  <c r="A54" i="438"/>
  <c r="F50" i="438"/>
  <c r="G5" i="438"/>
  <c r="G6" i="438"/>
  <c r="I51" i="438"/>
  <c r="G5" i="306"/>
  <c r="G6" i="306"/>
  <c r="A54" i="306"/>
  <c r="I51" i="306"/>
  <c r="F50" i="306"/>
  <c r="I48" i="291"/>
  <c r="F48" i="136"/>
  <c r="I50" i="136"/>
  <c r="I50" i="76"/>
  <c r="F48" i="76"/>
  <c r="F48" i="283"/>
  <c r="I50" i="283"/>
  <c r="I50" i="85"/>
  <c r="F48" i="85"/>
  <c r="F48" i="43"/>
  <c r="I50" i="43"/>
  <c r="F48" i="108"/>
  <c r="I50" i="108"/>
  <c r="F48" i="111"/>
  <c r="I50" i="111"/>
  <c r="F48" i="340"/>
  <c r="I50" i="340"/>
  <c r="I50" i="82"/>
  <c r="F48" i="82"/>
  <c r="G5" i="132"/>
  <c r="A54" i="132"/>
  <c r="G6" i="132"/>
  <c r="I51" i="132"/>
  <c r="F50" i="132"/>
  <c r="I48" i="62"/>
  <c r="F48" i="341"/>
  <c r="I50" i="341"/>
  <c r="I50" i="159"/>
  <c r="F48" i="159"/>
  <c r="A54" i="310"/>
  <c r="G5" i="310"/>
  <c r="G6" i="310"/>
  <c r="F50" i="310"/>
  <c r="I51" i="310"/>
  <c r="F48" i="98"/>
  <c r="I50" i="98"/>
  <c r="F48" i="221"/>
  <c r="I50" i="221"/>
  <c r="I51" i="253"/>
  <c r="F50" i="253"/>
  <c r="G5" i="253"/>
  <c r="G6" i="253"/>
  <c r="A54" i="253"/>
  <c r="F50" i="353"/>
  <c r="A54" i="353"/>
  <c r="I51" i="353"/>
  <c r="G6" i="353"/>
  <c r="G5" i="353"/>
  <c r="I50" i="272"/>
  <c r="F48" i="272"/>
  <c r="F48" i="292"/>
  <c r="I50" i="292"/>
  <c r="F50" i="541"/>
  <c r="G6" i="541"/>
  <c r="A54" i="541"/>
  <c r="G5" i="541"/>
  <c r="I51" i="541"/>
  <c r="I51" i="130"/>
  <c r="A54" i="130"/>
  <c r="F50" i="130"/>
  <c r="G6" i="130"/>
  <c r="G5" i="130"/>
  <c r="F50" i="73"/>
  <c r="I51" i="73"/>
  <c r="A54" i="73"/>
  <c r="G6" i="73"/>
  <c r="G5" i="73"/>
  <c r="F48" i="226"/>
  <c r="I50" i="226"/>
  <c r="I50" i="62"/>
  <c r="F48" i="62"/>
  <c r="F48" i="452"/>
  <c r="I50" i="452"/>
  <c r="I50" i="144"/>
  <c r="F48" i="144"/>
  <c r="F50" i="220"/>
  <c r="G6" i="220"/>
  <c r="G5" i="220"/>
  <c r="I51" i="220"/>
  <c r="A54" i="220"/>
  <c r="F48" i="329"/>
  <c r="I50" i="329"/>
  <c r="I48" i="118"/>
  <c r="G5" i="455"/>
  <c r="A54" i="455"/>
  <c r="G6" i="455"/>
  <c r="I51" i="455"/>
  <c r="F50" i="455"/>
  <c r="I50" i="448"/>
  <c r="F48" i="448"/>
  <c r="F48" i="243"/>
  <c r="I50" i="243"/>
  <c r="I50" i="291"/>
  <c r="F48" i="291"/>
  <c r="I50" i="15"/>
  <c r="F48" i="15"/>
  <c r="I51" i="147"/>
  <c r="F50" i="147"/>
  <c r="G6" i="147"/>
  <c r="G5" i="147"/>
  <c r="A54" i="147"/>
  <c r="G5" i="235"/>
  <c r="G6" i="235"/>
  <c r="I51" i="235"/>
  <c r="F50" i="235"/>
  <c r="A54" i="235"/>
  <c r="I50" i="203"/>
  <c r="F48" i="203"/>
  <c r="G5" i="63"/>
  <c r="F50" i="63"/>
  <c r="G6" i="63"/>
  <c r="A54" i="63"/>
  <c r="I51" i="63"/>
  <c r="I50" i="397"/>
  <c r="F48" i="397"/>
  <c r="I50" i="69"/>
  <c r="F48" i="69"/>
  <c r="G5" i="40"/>
  <c r="F50" i="40"/>
  <c r="A54" i="40"/>
  <c r="I51" i="40"/>
  <c r="G6" i="40"/>
  <c r="G5" i="3"/>
  <c r="G6" i="3"/>
  <c r="I51" i="3"/>
  <c r="A54" i="3"/>
  <c r="F50" i="3"/>
  <c r="F50" i="139"/>
  <c r="G5" i="139"/>
  <c r="A54" i="139"/>
  <c r="I51" i="139"/>
  <c r="G6" i="139"/>
  <c r="F48" i="141"/>
  <c r="I50" i="141"/>
  <c r="G6" i="79"/>
  <c r="F50" i="79"/>
  <c r="I51" i="79"/>
  <c r="A54" i="79"/>
  <c r="G5" i="79"/>
  <c r="I50" i="393"/>
  <c r="F48" i="393"/>
  <c r="G5" i="311"/>
  <c r="A54" i="311"/>
  <c r="I51" i="311"/>
  <c r="F50" i="311"/>
  <c r="G6" i="311"/>
  <c r="I50" i="190"/>
  <c r="F48" i="190"/>
  <c r="F48" i="237"/>
  <c r="I50" i="237"/>
  <c r="F48" i="172"/>
  <c r="I50" i="172"/>
  <c r="G6" i="331"/>
  <c r="F50" i="331"/>
  <c r="G5" i="331"/>
  <c r="A54" i="331"/>
  <c r="I51" i="331"/>
  <c r="F48" i="6"/>
  <c r="I50" i="6"/>
  <c r="I50" i="420"/>
  <c r="F48" i="420"/>
  <c r="F50" i="395"/>
  <c r="I51" i="395"/>
  <c r="G6" i="395"/>
  <c r="G5" i="395"/>
  <c r="A54" i="395"/>
  <c r="I50" i="285"/>
  <c r="F48" i="285"/>
  <c r="F48" i="347"/>
  <c r="I50" i="347"/>
  <c r="G6" i="290"/>
  <c r="A54" i="290"/>
  <c r="I51" i="290"/>
  <c r="F50" i="290"/>
  <c r="G5" i="290"/>
  <c r="I50" i="99"/>
  <c r="F48" i="99"/>
  <c r="G5" i="383"/>
  <c r="A54" i="383"/>
  <c r="I51" i="383"/>
  <c r="G6" i="383"/>
  <c r="F50" i="383"/>
  <c r="G5" i="261"/>
  <c r="F50" i="261"/>
  <c r="G6" i="261"/>
  <c r="A54" i="261"/>
  <c r="I51" i="261"/>
  <c r="F50" i="309"/>
  <c r="I51" i="309"/>
  <c r="G5" i="309"/>
  <c r="G6" i="309"/>
  <c r="A54" i="309"/>
  <c r="G5" i="345"/>
  <c r="I51" i="345"/>
  <c r="F50" i="345"/>
  <c r="A54" i="345"/>
  <c r="G6" i="345"/>
  <c r="I50" i="250"/>
  <c r="G5" i="250" s="1"/>
  <c r="G5" i="113"/>
  <c r="A54" i="113"/>
  <c r="F50" i="113"/>
  <c r="I51" i="113"/>
  <c r="G6" i="113"/>
  <c r="F48" i="377"/>
  <c r="I50" i="377"/>
  <c r="I50" i="175"/>
  <c r="F48" i="175"/>
  <c r="F48" i="133"/>
  <c r="I50" i="133"/>
  <c r="F48" i="281"/>
  <c r="I50" i="281"/>
  <c r="A54" i="239"/>
  <c r="I51" i="239"/>
  <c r="F50" i="239"/>
  <c r="G6" i="239"/>
  <c r="G5" i="239"/>
  <c r="F48" i="56"/>
  <c r="I50" i="56"/>
  <c r="I50" i="372"/>
  <c r="F48" i="372"/>
  <c r="I50" i="460"/>
  <c r="F48" i="460"/>
  <c r="A54" i="174"/>
  <c r="G6" i="174"/>
  <c r="I51" i="174"/>
  <c r="F50" i="174"/>
  <c r="G5" i="174"/>
  <c r="I50" i="22"/>
  <c r="F48" i="22"/>
  <c r="G6" i="273"/>
  <c r="I51" i="273"/>
  <c r="G5" i="273"/>
  <c r="F50" i="273"/>
  <c r="A54" i="273"/>
  <c r="F48" i="458"/>
  <c r="I50" i="458"/>
  <c r="F48" i="104"/>
  <c r="I50" i="104"/>
  <c r="G5" i="182"/>
  <c r="A54" i="182"/>
  <c r="I51" i="182"/>
  <c r="G6" i="182"/>
  <c r="F50" i="182"/>
  <c r="F48" i="18"/>
  <c r="I50" i="18"/>
  <c r="I51" i="212"/>
  <c r="F50" i="212"/>
  <c r="G5" i="212"/>
  <c r="A54" i="212"/>
  <c r="G6" i="212"/>
  <c r="F48" i="325"/>
  <c r="I50" i="325"/>
  <c r="F48" i="194"/>
  <c r="I50" i="194"/>
  <c r="I48" i="135"/>
  <c r="G5" i="50"/>
  <c r="A54" i="50"/>
  <c r="I51" i="50"/>
  <c r="F50" i="50"/>
  <c r="G6" i="50"/>
  <c r="I50" i="12"/>
  <c r="F48" i="12"/>
  <c r="I50" i="379"/>
  <c r="F48" i="379"/>
  <c r="I50" i="339"/>
  <c r="F48" i="339"/>
  <c r="I50" i="68"/>
  <c r="F48" i="68"/>
  <c r="F50" i="74"/>
  <c r="I51" i="74"/>
  <c r="G5" i="74"/>
  <c r="A54" i="74"/>
  <c r="G6" i="74"/>
  <c r="F48" i="20"/>
  <c r="I50" i="20"/>
  <c r="G6" i="161"/>
  <c r="G5" i="161"/>
  <c r="A54" i="161"/>
  <c r="I51" i="161"/>
  <c r="F50" i="161"/>
  <c r="F48" i="109"/>
  <c r="I50" i="109"/>
  <c r="F48" i="301"/>
  <c r="I50" i="301"/>
  <c r="A54" i="152"/>
  <c r="G5" i="152"/>
  <c r="I51" i="152"/>
  <c r="G6" i="152"/>
  <c r="F50" i="152"/>
  <c r="I48" i="351"/>
  <c r="I51" i="324"/>
  <c r="F50" i="324"/>
  <c r="G6" i="324"/>
  <c r="A54" i="324"/>
  <c r="G5" i="324"/>
  <c r="I50" i="392"/>
  <c r="F48" i="392"/>
  <c r="I51" i="90"/>
  <c r="G6" i="90"/>
  <c r="A54" i="90"/>
  <c r="G5" i="90"/>
  <c r="F50" i="90"/>
  <c r="F48" i="299"/>
  <c r="I50" i="299"/>
  <c r="F50" i="298"/>
  <c r="G5" i="298"/>
  <c r="I51" i="298"/>
  <c r="G6" i="298"/>
  <c r="A54" i="298"/>
  <c r="I50" i="102"/>
  <c r="F48" i="102"/>
  <c r="A54" i="206"/>
  <c r="I51" i="206"/>
  <c r="F50" i="206"/>
  <c r="G5" i="206"/>
  <c r="G6" i="206"/>
  <c r="F50" i="313"/>
  <c r="A54" i="313"/>
  <c r="G5" i="313"/>
  <c r="I51" i="313"/>
  <c r="G6" i="313"/>
  <c r="F48" i="257"/>
  <c r="I50" i="257"/>
  <c r="F48" i="403"/>
  <c r="I50" i="403"/>
  <c r="G6" i="217"/>
  <c r="I51" i="217"/>
  <c r="F50" i="217"/>
  <c r="A54" i="217"/>
  <c r="G5" i="217"/>
  <c r="F48" i="233"/>
  <c r="I50" i="233"/>
  <c r="A54" i="124"/>
  <c r="F50" i="124"/>
  <c r="G6" i="124"/>
  <c r="G5" i="124"/>
  <c r="I51" i="124"/>
  <c r="F48" i="367"/>
  <c r="I50" i="367"/>
  <c r="G6" i="70"/>
  <c r="G5" i="70"/>
  <c r="A54" i="70"/>
  <c r="F50" i="70"/>
  <c r="I51" i="70"/>
  <c r="F48" i="369"/>
  <c r="I50" i="369"/>
  <c r="I51" i="314"/>
  <c r="F50" i="314"/>
  <c r="A54" i="314"/>
  <c r="G6" i="314"/>
  <c r="G5" i="314"/>
  <c r="F48" i="245"/>
  <c r="I50" i="245"/>
  <c r="I50" i="256"/>
  <c r="F48" i="256"/>
  <c r="A54" i="280"/>
  <c r="G5" i="280"/>
  <c r="F50" i="280"/>
  <c r="G6" i="280"/>
  <c r="I51" i="280"/>
  <c r="G5" i="163"/>
  <c r="F50" i="163"/>
  <c r="A54" i="163"/>
  <c r="G6" i="163"/>
  <c r="I51" i="163"/>
  <c r="F48" i="193"/>
  <c r="I50" i="193"/>
  <c r="A54" i="279"/>
  <c r="G6" i="279"/>
  <c r="F50" i="279"/>
  <c r="I51" i="279"/>
  <c r="G5" i="279"/>
  <c r="I48" i="89"/>
  <c r="I50" i="454"/>
  <c r="F48" i="454"/>
  <c r="F48" i="307"/>
  <c r="I50" i="307"/>
  <c r="G6" i="219"/>
  <c r="F50" i="219"/>
  <c r="A54" i="219"/>
  <c r="G5" i="219"/>
  <c r="I51" i="219"/>
  <c r="F48" i="404"/>
  <c r="I50" i="404"/>
  <c r="I50" i="201"/>
  <c r="F48" i="201"/>
  <c r="F48" i="343"/>
  <c r="I50" i="343"/>
  <c r="G5" i="241"/>
  <c r="G6" i="241"/>
  <c r="F50" i="241"/>
  <c r="A54" i="241"/>
  <c r="I51" i="241"/>
  <c r="I50" i="354"/>
  <c r="F48" i="333"/>
  <c r="I50" i="333"/>
  <c r="I19" i="476"/>
  <c r="F19" i="476" s="1"/>
  <c r="G19" i="476" s="1"/>
  <c r="A54" i="34"/>
  <c r="G6" i="34"/>
  <c r="G5" i="34"/>
  <c r="I51" i="34"/>
  <c r="F50" i="34"/>
  <c r="I50" i="432"/>
  <c r="F48" i="432"/>
  <c r="F50" i="5"/>
  <c r="G5" i="5"/>
  <c r="G6" i="5"/>
  <c r="A54" i="5"/>
  <c r="I50" i="223"/>
  <c r="F48" i="223"/>
  <c r="G5" i="105"/>
  <c r="F50" i="105"/>
  <c r="G6" i="105"/>
  <c r="I51" i="105"/>
  <c r="A54" i="105"/>
  <c r="A54" i="33"/>
  <c r="G5" i="33"/>
  <c r="I51" i="33"/>
  <c r="F50" i="33"/>
  <c r="G6" i="33"/>
  <c r="F48" i="227"/>
  <c r="I50" i="227"/>
  <c r="F48" i="101"/>
  <c r="I50" i="101"/>
  <c r="F48" i="87"/>
  <c r="I50" i="87"/>
  <c r="F48" i="208"/>
  <c r="I50" i="208"/>
  <c r="I50" i="419"/>
  <c r="F48" i="419"/>
  <c r="I50" i="138"/>
  <c r="F48" i="138"/>
  <c r="I50" i="52"/>
  <c r="F48" i="52"/>
  <c r="I50" i="11"/>
  <c r="F48" i="11"/>
  <c r="F50" i="160"/>
  <c r="G6" i="160"/>
  <c r="G5" i="160"/>
  <c r="I51" i="160"/>
  <c r="A54" i="160"/>
  <c r="I50" i="47"/>
  <c r="F48" i="47"/>
  <c r="F50" i="254"/>
  <c r="I51" i="254"/>
  <c r="G6" i="254"/>
  <c r="A54" i="254"/>
  <c r="G5" i="254"/>
  <c r="I48" i="269"/>
  <c r="F48" i="269" s="1"/>
  <c r="I50" i="352"/>
  <c r="F48" i="352"/>
  <c r="F48" i="374"/>
  <c r="I50" i="374"/>
  <c r="F48" i="251"/>
  <c r="I50" i="251"/>
  <c r="I50" i="213"/>
  <c r="F48" i="213"/>
  <c r="I50" i="168"/>
  <c r="F48" i="168"/>
  <c r="I50" i="338"/>
  <c r="F48" i="338"/>
  <c r="F48" i="263"/>
  <c r="I50" i="263"/>
  <c r="I51" i="342"/>
  <c r="F50" i="342"/>
  <c r="G6" i="342"/>
  <c r="A54" i="342"/>
  <c r="G5" i="342"/>
  <c r="I50" i="326"/>
  <c r="F48" i="326"/>
  <c r="G5" i="173"/>
  <c r="A54" i="173"/>
  <c r="I51" i="173"/>
  <c r="G6" i="173"/>
  <c r="F50" i="173"/>
  <c r="F48" i="84"/>
  <c r="I50" i="84"/>
  <c r="F48" i="192"/>
  <c r="I50" i="192"/>
  <c r="G6" i="442"/>
  <c r="I51" i="442"/>
  <c r="A54" i="442"/>
  <c r="F50" i="442"/>
  <c r="G5" i="442"/>
  <c r="I50" i="169"/>
  <c r="F48" i="169"/>
  <c r="F50" i="94"/>
  <c r="G5" i="94"/>
  <c r="I51" i="94"/>
  <c r="G6" i="94"/>
  <c r="A54" i="94"/>
  <c r="F48" i="247"/>
  <c r="F48" i="249"/>
  <c r="I50" i="249"/>
  <c r="F48" i="83"/>
  <c r="I50" i="83"/>
  <c r="F48" i="422"/>
  <c r="I50" i="422"/>
  <c r="I48" i="286"/>
  <c r="I48" i="389"/>
  <c r="F48" i="202"/>
  <c r="I50" i="202"/>
  <c r="I50" i="71"/>
  <c r="F48" i="71"/>
  <c r="G6" i="114"/>
  <c r="G5" i="114"/>
  <c r="A54" i="114"/>
  <c r="F50" i="114"/>
  <c r="I51" i="114"/>
  <c r="F48" i="284"/>
  <c r="I50" i="284"/>
  <c r="F48" i="229"/>
  <c r="I50" i="229"/>
  <c r="I51" i="363"/>
  <c r="F50" i="363"/>
  <c r="A54" i="363"/>
  <c r="G6" i="363"/>
  <c r="G5" i="363"/>
  <c r="I50" i="156"/>
  <c r="F48" i="156"/>
  <c r="F48" i="95"/>
  <c r="I50" i="95"/>
  <c r="G6" i="357"/>
  <c r="A54" i="357"/>
  <c r="F50" i="357"/>
  <c r="G5" i="357"/>
  <c r="I51" i="357"/>
  <c r="F48" i="116"/>
  <c r="I50" i="116"/>
  <c r="I48" i="477"/>
  <c r="I48" i="467"/>
  <c r="I50" i="467" s="1"/>
  <c r="F48" i="86"/>
  <c r="I50" i="86"/>
  <c r="I50" i="396"/>
  <c r="F48" i="396"/>
  <c r="F50" i="312"/>
  <c r="G6" i="312"/>
  <c r="A54" i="312"/>
  <c r="I51" i="312"/>
  <c r="G5" i="312"/>
  <c r="I50" i="93"/>
  <c r="F48" i="93"/>
  <c r="F50" i="205"/>
  <c r="G6" i="205"/>
  <c r="G5" i="205"/>
  <c r="A54" i="205"/>
  <c r="I51" i="205"/>
  <c r="F48" i="240"/>
  <c r="I50" i="240"/>
  <c r="F48" i="29"/>
  <c r="I50" i="29"/>
  <c r="A54" i="57"/>
  <c r="G6" i="57"/>
  <c r="G5" i="57"/>
  <c r="I51" i="57"/>
  <c r="F50" i="57"/>
  <c r="F48" i="274"/>
  <c r="I50" i="274"/>
  <c r="F48" i="128"/>
  <c r="I50" i="128"/>
  <c r="I50" i="9"/>
  <c r="F48" i="9"/>
  <c r="A54" i="415"/>
  <c r="G5" i="415"/>
  <c r="I51" i="415"/>
  <c r="F50" i="415"/>
  <c r="G6" i="415"/>
  <c r="I50" i="54"/>
  <c r="F48" i="54"/>
  <c r="G6" i="154"/>
  <c r="G5" i="154"/>
  <c r="I51" i="154"/>
  <c r="F50" i="154"/>
  <c r="A54" i="154"/>
  <c r="I24" i="476"/>
  <c r="F24" i="476" s="1"/>
  <c r="G24" i="476" s="1"/>
  <c r="I48" i="468"/>
  <c r="F48" i="117"/>
  <c r="I50" i="117"/>
  <c r="A54" i="19"/>
  <c r="G5" i="19"/>
  <c r="I51" i="19"/>
  <c r="F50" i="19"/>
  <c r="G6" i="19"/>
  <c r="F48" i="157"/>
  <c r="I50" i="157"/>
  <c r="I50" i="434"/>
  <c r="F48" i="434"/>
  <c r="F48" i="289"/>
  <c r="I50" i="289"/>
  <c r="G6" i="365"/>
  <c r="F50" i="365"/>
  <c r="G5" i="365"/>
  <c r="I51" i="365"/>
  <c r="A54" i="365"/>
  <c r="I46" i="476"/>
  <c r="F46" i="476" s="1"/>
  <c r="G46" i="476" s="1"/>
  <c r="I48" i="464"/>
  <c r="A54" i="430"/>
  <c r="I51" i="430"/>
  <c r="G5" i="430"/>
  <c r="F50" i="430"/>
  <c r="G6" i="430"/>
  <c r="I50" i="72"/>
  <c r="F48" i="72"/>
  <c r="G6" i="204"/>
  <c r="F50" i="204"/>
  <c r="G5" i="204"/>
  <c r="A54" i="204"/>
  <c r="I51" i="204"/>
  <c r="I51" i="426"/>
  <c r="A54" i="426"/>
  <c r="G5" i="426"/>
  <c r="F50" i="426"/>
  <c r="G6" i="426"/>
  <c r="I50" i="423"/>
  <c r="F48" i="423"/>
  <c r="I50" i="366"/>
  <c r="F48" i="366"/>
  <c r="I50" i="315"/>
  <c r="F48" i="315"/>
  <c r="F50" i="24"/>
  <c r="G6" i="24"/>
  <c r="A54" i="24"/>
  <c r="I51" i="24"/>
  <c r="G5" i="24"/>
  <c r="I51" i="91"/>
  <c r="F50" i="91"/>
  <c r="G6" i="91"/>
  <c r="A54" i="91"/>
  <c r="G5" i="91"/>
  <c r="I51" i="457"/>
  <c r="F50" i="457"/>
  <c r="A54" i="457"/>
  <c r="G6" i="457"/>
  <c r="G5" i="457"/>
  <c r="I48" i="302"/>
  <c r="F48" i="38"/>
  <c r="I50" i="38"/>
  <c r="F48" i="180"/>
  <c r="I50" i="180"/>
  <c r="I50" i="32"/>
  <c r="F48" i="32"/>
  <c r="I50" i="416"/>
  <c r="F48" i="416"/>
  <c r="A54" i="437"/>
  <c r="I51" i="437"/>
  <c r="F50" i="437"/>
  <c r="G6" i="437"/>
  <c r="G5" i="437"/>
  <c r="F48" i="446"/>
  <c r="I50" i="446"/>
  <c r="I50" i="119"/>
  <c r="F48" i="119"/>
  <c r="F48" i="216"/>
  <c r="I50" i="216"/>
  <c r="F50" i="425"/>
  <c r="A54" i="425"/>
  <c r="I51" i="425"/>
  <c r="G6" i="425"/>
  <c r="G5" i="425"/>
  <c r="F48" i="26"/>
  <c r="I50" i="26"/>
  <c r="I51" i="427"/>
  <c r="G5" i="427"/>
  <c r="F48" i="246"/>
  <c r="I50" i="246"/>
  <c r="F48" i="470"/>
  <c r="I50" i="470"/>
  <c r="F50" i="126"/>
  <c r="I51" i="126"/>
  <c r="G5" i="126"/>
  <c r="G6" i="126"/>
  <c r="A54" i="126"/>
  <c r="F48" i="49"/>
  <c r="I50" i="49"/>
  <c r="I50" i="294"/>
  <c r="F48" i="294"/>
  <c r="I48" i="489"/>
  <c r="I51" i="121"/>
  <c r="F50" i="121"/>
  <c r="G5" i="121"/>
  <c r="G6" i="121"/>
  <c r="A54" i="121"/>
  <c r="I50" i="210"/>
  <c r="F48" i="210"/>
  <c r="F48" i="385"/>
  <c r="I50" i="385"/>
  <c r="I50" i="453"/>
  <c r="F48" i="453"/>
  <c r="F48" i="477"/>
  <c r="I50" i="477"/>
  <c r="I50" i="321"/>
  <c r="F48" i="321"/>
  <c r="I50" i="364"/>
  <c r="F48" i="364"/>
  <c r="I50" i="417"/>
  <c r="F48" i="417"/>
  <c r="G5" i="215"/>
  <c r="G6" i="215"/>
  <c r="I51" i="215"/>
  <c r="F50" i="215"/>
  <c r="A54" i="215"/>
  <c r="F48" i="181"/>
  <c r="I50" i="181"/>
  <c r="A54" i="250"/>
  <c r="I51" i="96"/>
  <c r="F50" i="96"/>
  <c r="A54" i="96"/>
  <c r="G6" i="96"/>
  <c r="G5" i="96"/>
  <c r="I50" i="36"/>
  <c r="F48" i="36"/>
  <c r="I51" i="41"/>
  <c r="G6" i="41"/>
  <c r="G5" i="41"/>
  <c r="A54" i="41"/>
  <c r="F50" i="41"/>
  <c r="I50" i="218"/>
  <c r="F48" i="218"/>
  <c r="I50" i="323"/>
  <c r="F48" i="323"/>
  <c r="G6" i="332"/>
  <c r="I51" i="332"/>
  <c r="F50" i="166"/>
  <c r="I51" i="166"/>
  <c r="G6" i="166"/>
  <c r="A54" i="166"/>
  <c r="G5" i="166"/>
  <c r="I51" i="191"/>
  <c r="G5" i="191"/>
  <c r="A54" i="191"/>
  <c r="G6" i="191"/>
  <c r="F50" i="191"/>
  <c r="F48" i="276"/>
  <c r="I50" i="276"/>
  <c r="G5" i="165"/>
  <c r="G6" i="165"/>
  <c r="F50" i="165"/>
  <c r="I51" i="165"/>
  <c r="A54" i="165"/>
  <c r="F48" i="10"/>
  <c r="I50" i="10"/>
  <c r="I50" i="197"/>
  <c r="F48" i="197"/>
  <c r="I48" i="469"/>
  <c r="I50" i="60"/>
  <c r="F48" i="60"/>
  <c r="I50" i="64"/>
  <c r="F48" i="64"/>
  <c r="I50" i="275"/>
  <c r="F48" i="275"/>
  <c r="G5" i="335"/>
  <c r="I51" i="335"/>
  <c r="G6" i="335"/>
  <c r="A54" i="335"/>
  <c r="F50" i="335"/>
  <c r="I50" i="398"/>
  <c r="F48" i="398"/>
  <c r="F48" i="337"/>
  <c r="I50" i="337"/>
  <c r="F48" i="13"/>
  <c r="I50" i="13"/>
  <c r="G6" i="1"/>
  <c r="I51" i="1"/>
  <c r="A54" i="1"/>
  <c r="F50" i="1"/>
  <c r="G5" i="1"/>
  <c r="F48" i="198"/>
  <c r="I50" i="198"/>
  <c r="F48" i="262"/>
  <c r="I50" i="262"/>
  <c r="I48" i="384"/>
  <c r="F48" i="16"/>
  <c r="I50" i="16"/>
  <c r="F48" i="230"/>
  <c r="I50" i="230"/>
  <c r="F48" i="388"/>
  <c r="I50" i="388"/>
  <c r="I50" i="78"/>
  <c r="F48" i="78"/>
  <c r="G5" i="443"/>
  <c r="A54" i="443"/>
  <c r="I51" i="443"/>
  <c r="F50" i="443"/>
  <c r="G6" i="443"/>
  <c r="F48" i="199"/>
  <c r="I50" i="199"/>
  <c r="I48" i="413"/>
  <c r="I48" i="122"/>
  <c r="A54" i="391"/>
  <c r="F50" i="391"/>
  <c r="I51" i="391"/>
  <c r="G6" i="391"/>
  <c r="G5" i="391"/>
  <c r="I51" i="255"/>
  <c r="F50" i="255"/>
  <c r="G6" i="255"/>
  <c r="A54" i="255"/>
  <c r="G5" i="255"/>
  <c r="F48" i="8"/>
  <c r="I50" i="8"/>
  <c r="F50" i="65"/>
  <c r="G6" i="65"/>
  <c r="A54" i="65"/>
  <c r="I51" i="65"/>
  <c r="G5" i="65"/>
  <c r="I50" i="37"/>
  <c r="F48" i="37"/>
  <c r="F50" i="248"/>
  <c r="G6" i="248"/>
  <c r="G5" i="248"/>
  <c r="A54" i="248"/>
  <c r="I51" i="248"/>
  <c r="F48" i="370"/>
  <c r="I50" i="370"/>
  <c r="F48" i="373"/>
  <c r="I50" i="373"/>
  <c r="I50" i="120"/>
  <c r="F48" i="120"/>
  <c r="I50" i="355"/>
  <c r="F48" i="355"/>
  <c r="I32" i="476"/>
  <c r="F32" i="476" s="1"/>
  <c r="G32" i="476" s="1"/>
  <c r="F50" i="80"/>
  <c r="A54" i="80"/>
  <c r="I51" i="80"/>
  <c r="G5" i="80"/>
  <c r="G6" i="80"/>
  <c r="A54" i="176"/>
  <c r="I51" i="176"/>
  <c r="F50" i="176"/>
  <c r="G6" i="176"/>
  <c r="G5" i="176"/>
  <c r="F48" i="17"/>
  <c r="I50" i="17"/>
  <c r="F50" i="247"/>
  <c r="G6" i="247"/>
  <c r="A54" i="247"/>
  <c r="I51" i="247"/>
  <c r="G5" i="247"/>
  <c r="A54" i="451"/>
  <c r="I51" i="451"/>
  <c r="F50" i="451"/>
  <c r="G6" i="451"/>
  <c r="G5" i="451"/>
  <c r="F48" i="295"/>
  <c r="I50" i="295"/>
  <c r="A54" i="346"/>
  <c r="F50" i="346"/>
  <c r="G6" i="346"/>
  <c r="I51" i="346"/>
  <c r="G5" i="346"/>
  <c r="F50" i="361"/>
  <c r="I51" i="361"/>
  <c r="A54" i="361"/>
  <c r="G6" i="361"/>
  <c r="G5" i="361"/>
  <c r="G6" i="297"/>
  <c r="I51" i="297"/>
  <c r="G5" i="297"/>
  <c r="F50" i="297"/>
  <c r="A54" i="297"/>
  <c r="I50" i="436"/>
  <c r="F48" i="436"/>
  <c r="A54" i="368"/>
  <c r="F50" i="368"/>
  <c r="G5" i="368"/>
  <c r="G6" i="368"/>
  <c r="I51" i="368"/>
  <c r="I50" i="433"/>
  <c r="F48" i="433"/>
  <c r="F48" i="35"/>
  <c r="I50" i="35"/>
  <c r="F48" i="39"/>
  <c r="I50" i="39"/>
  <c r="G5" i="88"/>
  <c r="G6" i="88"/>
  <c r="I51" i="88"/>
  <c r="F50" i="88"/>
  <c r="A54" i="88"/>
  <c r="A54" i="142"/>
  <c r="I51" i="142"/>
  <c r="G5" i="142"/>
  <c r="G6" i="142"/>
  <c r="F50" i="142"/>
  <c r="F48" i="123"/>
  <c r="I50" i="123"/>
  <c r="F48" i="360"/>
  <c r="I50" i="360"/>
  <c r="F50" i="23"/>
  <c r="G6" i="23"/>
  <c r="A54" i="23"/>
  <c r="G5" i="23"/>
  <c r="I51" i="23"/>
  <c r="I50" i="465"/>
  <c r="F48" i="465"/>
  <c r="F48" i="31"/>
  <c r="I50" i="31"/>
  <c r="I48" i="463"/>
  <c r="F50" i="322"/>
  <c r="G6" i="322"/>
  <c r="A54" i="322"/>
  <c r="G5" i="322"/>
  <c r="I51" i="322"/>
  <c r="F48" i="158"/>
  <c r="I50" i="158"/>
  <c r="I51" i="287"/>
  <c r="F50" i="287"/>
  <c r="G6" i="287"/>
  <c r="G5" i="287"/>
  <c r="A54" i="287"/>
  <c r="I50" i="400"/>
  <c r="F48" i="400"/>
  <c r="I50" i="349"/>
  <c r="F48" i="349"/>
  <c r="I51" i="316"/>
  <c r="F50" i="316"/>
  <c r="G6" i="316"/>
  <c r="A54" i="316"/>
  <c r="G5" i="316"/>
  <c r="I50" i="406"/>
  <c r="F48" i="406"/>
  <c r="I51" i="405"/>
  <c r="F50" i="405"/>
  <c r="G6" i="405"/>
  <c r="A54" i="405"/>
  <c r="G5" i="405"/>
  <c r="F48" i="461"/>
  <c r="I50" i="461"/>
  <c r="I50" i="25"/>
  <c r="F48" i="25"/>
  <c r="I48" i="179"/>
  <c r="I51" i="376"/>
  <c r="F50" i="376"/>
  <c r="G6" i="376"/>
  <c r="A54" i="376"/>
  <c r="G5" i="376"/>
  <c r="I50" i="267"/>
  <c r="F48" i="267"/>
  <c r="F48" i="67"/>
  <c r="I50" i="67"/>
  <c r="A54" i="211"/>
  <c r="I51" i="211"/>
  <c r="F50" i="211"/>
  <c r="G6" i="211"/>
  <c r="G5" i="211"/>
  <c r="G5" i="431"/>
  <c r="I51" i="431"/>
  <c r="F50" i="431"/>
  <c r="A54" i="431"/>
  <c r="G6" i="431"/>
  <c r="I48" i="478"/>
  <c r="I40" i="476"/>
  <c r="F40" i="476" s="1"/>
  <c r="G40" i="476" s="1"/>
  <c r="I48" i="466"/>
  <c r="F48" i="418"/>
  <c r="I50" i="418"/>
  <c r="F48" i="195"/>
  <c r="I50" i="195"/>
  <c r="I50" i="75"/>
  <c r="F48" i="75"/>
  <c r="I51" i="318"/>
  <c r="G5" i="318"/>
  <c r="A54" i="318"/>
  <c r="G6" i="318"/>
  <c r="F50" i="318"/>
  <c r="F50" i="225"/>
  <c r="I51" i="225"/>
  <c r="G5" i="225"/>
  <c r="A54" i="225"/>
  <c r="G6" i="225"/>
  <c r="I50" i="429"/>
  <c r="F48" i="429"/>
  <c r="G6" i="350"/>
  <c r="I51" i="350"/>
  <c r="F50" i="350"/>
  <c r="G5" i="350"/>
  <c r="A54" i="350"/>
  <c r="F48" i="92"/>
  <c r="I50" i="92"/>
  <c r="I51" i="259"/>
  <c r="F50" i="259"/>
  <c r="G6" i="259"/>
  <c r="G5" i="259"/>
  <c r="A54" i="259"/>
  <c r="F48" i="407"/>
  <c r="I50" i="407"/>
  <c r="I50" i="27"/>
  <c r="F48" i="27"/>
  <c r="I50" i="269"/>
  <c r="G6" i="362"/>
  <c r="A54" i="362"/>
  <c r="G5" i="362"/>
  <c r="I51" i="362"/>
  <c r="F50" i="362"/>
  <c r="F48" i="53"/>
  <c r="I50" i="53"/>
  <c r="I50" i="462"/>
  <c r="F48" i="462"/>
  <c r="G6" i="61"/>
  <c r="I51" i="61"/>
  <c r="F50" i="61"/>
  <c r="G5" i="61"/>
  <c r="A54" i="61"/>
  <c r="G6" i="58"/>
  <c r="G5" i="58"/>
  <c r="A54" i="58"/>
  <c r="F50" i="58"/>
  <c r="I51" i="58"/>
  <c r="F48" i="196"/>
  <c r="I50" i="196"/>
  <c r="I50" i="424"/>
  <c r="F48" i="424"/>
  <c r="I50" i="14"/>
  <c r="F48" i="14"/>
  <c r="A54" i="473"/>
  <c r="I51" i="473"/>
  <c r="F50" i="473"/>
  <c r="G6" i="473"/>
  <c r="G5" i="473"/>
  <c r="I50" i="471"/>
  <c r="F48" i="471"/>
  <c r="F50" i="412" l="1"/>
  <c r="I51" i="412"/>
  <c r="G6" i="412"/>
  <c r="G5" i="412"/>
  <c r="A54" i="412"/>
  <c r="G6" i="427"/>
  <c r="A54" i="427"/>
  <c r="A54" i="209"/>
  <c r="F50" i="209"/>
  <c r="G5" i="209"/>
  <c r="I51" i="209"/>
  <c r="G6" i="209"/>
  <c r="F48" i="386"/>
  <c r="I50" i="386"/>
  <c r="I50" i="77"/>
  <c r="F48" i="77"/>
  <c r="A54" i="48"/>
  <c r="G6" i="48"/>
  <c r="G5" i="48"/>
  <c r="I51" i="48"/>
  <c r="F50" i="48"/>
  <c r="F50" i="149"/>
  <c r="G5" i="149"/>
  <c r="I51" i="149"/>
  <c r="G6" i="149"/>
  <c r="A54" i="149"/>
  <c r="A54" i="200"/>
  <c r="G6" i="200"/>
  <c r="I51" i="200"/>
  <c r="F50" i="200"/>
  <c r="G5" i="200"/>
  <c r="G5" i="214"/>
  <c r="A54" i="214"/>
  <c r="I51" i="214"/>
  <c r="F50" i="214"/>
  <c r="G6" i="214"/>
  <c r="A54" i="381"/>
  <c r="I51" i="381"/>
  <c r="G6" i="381"/>
  <c r="G5" i="381"/>
  <c r="F50" i="381"/>
  <c r="I50" i="185"/>
  <c r="F48" i="185"/>
  <c r="I51" i="222"/>
  <c r="G6" i="222"/>
  <c r="G5" i="222"/>
  <c r="F50" i="222"/>
  <c r="A54" i="222"/>
  <c r="I51" i="153"/>
  <c r="A54" i="153"/>
  <c r="F50" i="153"/>
  <c r="G6" i="153"/>
  <c r="G5" i="153"/>
  <c r="I50" i="242"/>
  <c r="F48" i="242"/>
  <c r="A54" i="332"/>
  <c r="F50" i="250"/>
  <c r="I51" i="250"/>
  <c r="F50" i="358"/>
  <c r="I51" i="358"/>
  <c r="A54" i="358"/>
  <c r="G6" i="358"/>
  <c r="G5" i="358"/>
  <c r="F50" i="332"/>
  <c r="G6" i="250"/>
  <c r="A54" i="184"/>
  <c r="F50" i="184"/>
  <c r="I51" i="184"/>
  <c r="G6" i="184"/>
  <c r="G5" i="184"/>
  <c r="F48" i="231"/>
  <c r="I50" i="231"/>
  <c r="A54" i="260"/>
  <c r="G6" i="260"/>
  <c r="G5" i="260"/>
  <c r="I51" i="260"/>
  <c r="F50" i="260"/>
  <c r="A54" i="167"/>
  <c r="G6" i="167"/>
  <c r="I51" i="167"/>
  <c r="G5" i="167"/>
  <c r="F50" i="167"/>
  <c r="I51" i="304"/>
  <c r="G6" i="304"/>
  <c r="G5" i="304"/>
  <c r="F50" i="304"/>
  <c r="A54" i="304"/>
  <c r="F48" i="467"/>
  <c r="F50" i="129"/>
  <c r="G5" i="129"/>
  <c r="I51" i="129"/>
  <c r="A54" i="129"/>
  <c r="G6" i="129"/>
  <c r="A54" i="359"/>
  <c r="G5" i="359"/>
  <c r="G6" i="359"/>
  <c r="I51" i="359"/>
  <c r="F50" i="359"/>
  <c r="F50" i="327"/>
  <c r="G6" i="327"/>
  <c r="A54" i="327"/>
  <c r="G5" i="327"/>
  <c r="I51" i="327"/>
  <c r="I51" i="177"/>
  <c r="F50" i="177"/>
  <c r="G6" i="177"/>
  <c r="A54" i="177"/>
  <c r="G5" i="177"/>
  <c r="G5" i="401"/>
  <c r="G6" i="401"/>
  <c r="A54" i="401"/>
  <c r="I51" i="401"/>
  <c r="F50" i="401"/>
  <c r="I51" i="330"/>
  <c r="A54" i="330"/>
  <c r="G6" i="330"/>
  <c r="F50" i="330"/>
  <c r="G5" i="330"/>
  <c r="F50" i="97"/>
  <c r="G5" i="97"/>
  <c r="G6" i="97"/>
  <c r="I51" i="97"/>
  <c r="A54" i="97"/>
  <c r="G5" i="278"/>
  <c r="G6" i="278"/>
  <c r="I51" i="278"/>
  <c r="A54" i="278"/>
  <c r="F50" i="278"/>
  <c r="G5" i="334"/>
  <c r="I51" i="334"/>
  <c r="A54" i="334"/>
  <c r="F50" i="334"/>
  <c r="G6" i="334"/>
  <c r="A54" i="162"/>
  <c r="G6" i="162"/>
  <c r="G5" i="162"/>
  <c r="I51" i="162"/>
  <c r="F50" i="162"/>
  <c r="A54" i="408"/>
  <c r="G6" i="408"/>
  <c r="F50" i="408"/>
  <c r="I51" i="408"/>
  <c r="G5" i="408"/>
  <c r="F50" i="399"/>
  <c r="A54" i="399"/>
  <c r="G6" i="399"/>
  <c r="G5" i="399"/>
  <c r="I51" i="399"/>
  <c r="A54" i="258"/>
  <c r="F50" i="258"/>
  <c r="G5" i="258"/>
  <c r="I51" i="258"/>
  <c r="G6" i="258"/>
  <c r="I51" i="456"/>
  <c r="G5" i="456"/>
  <c r="G6" i="456"/>
  <c r="F50" i="456"/>
  <c r="A54" i="456"/>
  <c r="G5" i="186"/>
  <c r="I51" i="186"/>
  <c r="F50" i="186"/>
  <c r="A54" i="186"/>
  <c r="G6" i="186"/>
  <c r="G6" i="131"/>
  <c r="G5" i="131"/>
  <c r="I51" i="131"/>
  <c r="F50" i="131"/>
  <c r="A54" i="131"/>
  <c r="A54" i="46"/>
  <c r="F50" i="46"/>
  <c r="G5" i="46"/>
  <c r="I51" i="46"/>
  <c r="G6" i="46"/>
  <c r="I51" i="30"/>
  <c r="G6" i="30"/>
  <c r="G5" i="30"/>
  <c r="A54" i="30"/>
  <c r="F50" i="30"/>
  <c r="I51" i="55"/>
  <c r="F50" i="55"/>
  <c r="G6" i="55"/>
  <c r="A54" i="55"/>
  <c r="G5" i="55"/>
  <c r="G5" i="440"/>
  <c r="F50" i="440"/>
  <c r="A54" i="440"/>
  <c r="I51" i="440"/>
  <c r="G6" i="440"/>
  <c r="G5" i="112"/>
  <c r="A54" i="112"/>
  <c r="I51" i="112"/>
  <c r="F50" i="112"/>
  <c r="G6" i="112"/>
  <c r="A54" i="390"/>
  <c r="G6" i="390"/>
  <c r="I51" i="390"/>
  <c r="G5" i="390"/>
  <c r="F50" i="390"/>
  <c r="A54" i="435"/>
  <c r="F50" i="435"/>
  <c r="I51" i="435"/>
  <c r="G6" i="435"/>
  <c r="G5" i="435"/>
  <c r="G5" i="140"/>
  <c r="G6" i="140"/>
  <c r="I51" i="140"/>
  <c r="A54" i="140"/>
  <c r="F50" i="140"/>
  <c r="I51" i="232"/>
  <c r="G5" i="232"/>
  <c r="A54" i="232"/>
  <c r="F50" i="232"/>
  <c r="G6" i="232"/>
  <c r="F50" i="421"/>
  <c r="G6" i="421"/>
  <c r="A54" i="421"/>
  <c r="G5" i="421"/>
  <c r="I51" i="421"/>
  <c r="A54" i="28"/>
  <c r="G5" i="28"/>
  <c r="I51" i="28"/>
  <c r="F50" i="28"/>
  <c r="G6" i="28"/>
  <c r="G6" i="272"/>
  <c r="G5" i="272"/>
  <c r="F50" i="272"/>
  <c r="I51" i="272"/>
  <c r="A54" i="272"/>
  <c r="I51" i="340"/>
  <c r="F50" i="340"/>
  <c r="G6" i="340"/>
  <c r="A54" i="340"/>
  <c r="G5" i="340"/>
  <c r="A54" i="108"/>
  <c r="I51" i="108"/>
  <c r="F50" i="108"/>
  <c r="G6" i="108"/>
  <c r="G5" i="108"/>
  <c r="I51" i="44"/>
  <c r="G5" i="44"/>
  <c r="G6" i="44"/>
  <c r="F50" i="44"/>
  <c r="A54" i="44"/>
  <c r="G5" i="319"/>
  <c r="I51" i="319"/>
  <c r="G6" i="319"/>
  <c r="F50" i="319"/>
  <c r="A54" i="319"/>
  <c r="G6" i="103"/>
  <c r="G5" i="103"/>
  <c r="A54" i="103"/>
  <c r="I51" i="103"/>
  <c r="F50" i="103"/>
  <c r="G6" i="106"/>
  <c r="A54" i="106"/>
  <c r="I51" i="106"/>
  <c r="G5" i="106"/>
  <c r="F50" i="106"/>
  <c r="G6" i="293"/>
  <c r="G5" i="293"/>
  <c r="I51" i="293"/>
  <c r="F50" i="293"/>
  <c r="A54" i="293"/>
  <c r="A54" i="292"/>
  <c r="F50" i="292"/>
  <c r="G6" i="292"/>
  <c r="I51" i="292"/>
  <c r="G5" i="292"/>
  <c r="G5" i="98"/>
  <c r="A54" i="98"/>
  <c r="I51" i="98"/>
  <c r="F50" i="98"/>
  <c r="G6" i="98"/>
  <c r="G5" i="159"/>
  <c r="I51" i="159"/>
  <c r="A54" i="159"/>
  <c r="G6" i="159"/>
  <c r="F50" i="159"/>
  <c r="A54" i="85"/>
  <c r="F50" i="85"/>
  <c r="I51" i="85"/>
  <c r="G6" i="85"/>
  <c r="G5" i="85"/>
  <c r="I51" i="76"/>
  <c r="F50" i="76"/>
  <c r="G5" i="76"/>
  <c r="G6" i="76"/>
  <c r="A54" i="76"/>
  <c r="G5" i="271"/>
  <c r="G6" i="271"/>
  <c r="I51" i="271"/>
  <c r="F50" i="271"/>
  <c r="A54" i="271"/>
  <c r="A54" i="150"/>
  <c r="G6" i="150"/>
  <c r="F50" i="150"/>
  <c r="I51" i="150"/>
  <c r="G5" i="150"/>
  <c r="G5" i="341"/>
  <c r="F50" i="341"/>
  <c r="I51" i="341"/>
  <c r="G6" i="341"/>
  <c r="A54" i="341"/>
  <c r="G5" i="111"/>
  <c r="F50" i="111"/>
  <c r="A54" i="111"/>
  <c r="I51" i="111"/>
  <c r="G6" i="111"/>
  <c r="F50" i="43"/>
  <c r="A54" i="43"/>
  <c r="G6" i="43"/>
  <c r="G5" i="43"/>
  <c r="I51" i="43"/>
  <c r="F50" i="283"/>
  <c r="I51" i="283"/>
  <c r="G6" i="283"/>
  <c r="G5" i="283"/>
  <c r="A54" i="283"/>
  <c r="A54" i="136"/>
  <c r="F50" i="136"/>
  <c r="I51" i="136"/>
  <c r="G6" i="136"/>
  <c r="G5" i="136"/>
  <c r="G6" i="45"/>
  <c r="I51" i="45"/>
  <c r="G5" i="45"/>
  <c r="A54" i="45"/>
  <c r="F50" i="45"/>
  <c r="G5" i="51"/>
  <c r="A54" i="51"/>
  <c r="G6" i="51"/>
  <c r="F50" i="51"/>
  <c r="I51" i="51"/>
  <c r="I51" i="244"/>
  <c r="G5" i="244"/>
  <c r="G6" i="244"/>
  <c r="F50" i="244"/>
  <c r="A54" i="244"/>
  <c r="G6" i="155"/>
  <c r="I51" i="155"/>
  <c r="F50" i="155"/>
  <c r="G5" i="155"/>
  <c r="A54" i="155"/>
  <c r="A54" i="445"/>
  <c r="F50" i="445"/>
  <c r="G6" i="445"/>
  <c r="I51" i="445"/>
  <c r="G5" i="445"/>
  <c r="G6" i="221"/>
  <c r="A54" i="221"/>
  <c r="I51" i="221"/>
  <c r="G5" i="221"/>
  <c r="F50" i="221"/>
  <c r="A54" i="82"/>
  <c r="G5" i="82"/>
  <c r="G6" i="82"/>
  <c r="F50" i="82"/>
  <c r="I51" i="82"/>
  <c r="G5" i="252"/>
  <c r="A54" i="252"/>
  <c r="F50" i="252"/>
  <c r="G6" i="252"/>
  <c r="I51" i="252"/>
  <c r="F50" i="579"/>
  <c r="G6" i="579"/>
  <c r="A54" i="579"/>
  <c r="G5" i="579"/>
  <c r="I51" i="579"/>
  <c r="G5" i="277"/>
  <c r="F50" i="277"/>
  <c r="I51" i="277"/>
  <c r="A54" i="277"/>
  <c r="G6" i="277"/>
  <c r="A54" i="29"/>
  <c r="G5" i="29"/>
  <c r="F50" i="29"/>
  <c r="I51" i="29"/>
  <c r="G6" i="29"/>
  <c r="G6" i="156"/>
  <c r="A54" i="156"/>
  <c r="I51" i="156"/>
  <c r="G5" i="156"/>
  <c r="F50" i="156"/>
  <c r="G5" i="71"/>
  <c r="A54" i="71"/>
  <c r="F50" i="71"/>
  <c r="I51" i="71"/>
  <c r="G6" i="71"/>
  <c r="I51" i="251"/>
  <c r="A54" i="251"/>
  <c r="F50" i="251"/>
  <c r="G6" i="251"/>
  <c r="G5" i="251"/>
  <c r="G5" i="392"/>
  <c r="I51" i="392"/>
  <c r="F50" i="392"/>
  <c r="G6" i="392"/>
  <c r="A54" i="392"/>
  <c r="F50" i="172"/>
  <c r="G5" i="172"/>
  <c r="G6" i="172"/>
  <c r="I51" i="172"/>
  <c r="A54" i="172"/>
  <c r="F50" i="208"/>
  <c r="A54" i="208"/>
  <c r="G6" i="208"/>
  <c r="I51" i="208"/>
  <c r="G5" i="208"/>
  <c r="A54" i="377"/>
  <c r="G5" i="377"/>
  <c r="I51" i="377"/>
  <c r="G6" i="377"/>
  <c r="F50" i="377"/>
  <c r="I51" i="301"/>
  <c r="F50" i="301"/>
  <c r="G5" i="301"/>
  <c r="G6" i="301"/>
  <c r="A54" i="301"/>
  <c r="F50" i="243"/>
  <c r="G5" i="243"/>
  <c r="G6" i="243"/>
  <c r="A54" i="243"/>
  <c r="I51" i="243"/>
  <c r="G6" i="56"/>
  <c r="I51" i="56"/>
  <c r="A54" i="56"/>
  <c r="F50" i="56"/>
  <c r="G5" i="56"/>
  <c r="G6" i="347"/>
  <c r="A54" i="347"/>
  <c r="G5" i="347"/>
  <c r="F50" i="347"/>
  <c r="I51" i="347"/>
  <c r="I51" i="448"/>
  <c r="A54" i="448"/>
  <c r="F50" i="448"/>
  <c r="G5" i="448"/>
  <c r="G6" i="448"/>
  <c r="G6" i="396"/>
  <c r="F50" i="396"/>
  <c r="G5" i="396"/>
  <c r="A54" i="396"/>
  <c r="I51" i="396"/>
  <c r="I51" i="202"/>
  <c r="F50" i="202"/>
  <c r="G5" i="202"/>
  <c r="A54" i="202"/>
  <c r="G6" i="202"/>
  <c r="F50" i="227"/>
  <c r="A54" i="227"/>
  <c r="I51" i="227"/>
  <c r="G5" i="227"/>
  <c r="G6" i="227"/>
  <c r="A54" i="379"/>
  <c r="I51" i="379"/>
  <c r="F50" i="379"/>
  <c r="G6" i="379"/>
  <c r="G5" i="379"/>
  <c r="G5" i="285"/>
  <c r="I51" i="285"/>
  <c r="F50" i="285"/>
  <c r="G6" i="285"/>
  <c r="A54" i="285"/>
  <c r="I51" i="93"/>
  <c r="G6" i="93"/>
  <c r="G5" i="93"/>
  <c r="A54" i="93"/>
  <c r="F50" i="93"/>
  <c r="A54" i="419"/>
  <c r="I51" i="419"/>
  <c r="F50" i="419"/>
  <c r="G6" i="419"/>
  <c r="G5" i="419"/>
  <c r="I51" i="87"/>
  <c r="F50" i="87"/>
  <c r="G5" i="87"/>
  <c r="G6" i="87"/>
  <c r="A54" i="87"/>
  <c r="A54" i="223"/>
  <c r="I51" i="223"/>
  <c r="F50" i="223"/>
  <c r="G6" i="223"/>
  <c r="G5" i="223"/>
  <c r="I51" i="213"/>
  <c r="F50" i="213"/>
  <c r="A54" i="213"/>
  <c r="G6" i="213"/>
  <c r="G5" i="213"/>
  <c r="G5" i="307"/>
  <c r="F50" i="307"/>
  <c r="G6" i="307"/>
  <c r="A54" i="307"/>
  <c r="I51" i="307"/>
  <c r="G5" i="339"/>
  <c r="F50" i="339"/>
  <c r="G6" i="339"/>
  <c r="I51" i="339"/>
  <c r="A54" i="339"/>
  <c r="G6" i="240"/>
  <c r="I51" i="240"/>
  <c r="F50" i="240"/>
  <c r="G5" i="240"/>
  <c r="A54" i="240"/>
  <c r="F50" i="86"/>
  <c r="I51" i="86"/>
  <c r="G5" i="86"/>
  <c r="A54" i="86"/>
  <c r="G6" i="86"/>
  <c r="I51" i="169"/>
  <c r="F50" i="169"/>
  <c r="G6" i="169"/>
  <c r="G5" i="169"/>
  <c r="A54" i="169"/>
  <c r="I51" i="326"/>
  <c r="F50" i="326"/>
  <c r="G6" i="326"/>
  <c r="A54" i="326"/>
  <c r="G5" i="326"/>
  <c r="I51" i="374"/>
  <c r="F50" i="374"/>
  <c r="G6" i="374"/>
  <c r="A54" i="374"/>
  <c r="G5" i="374"/>
  <c r="A54" i="454"/>
  <c r="G5" i="454"/>
  <c r="F50" i="454"/>
  <c r="I51" i="454"/>
  <c r="G6" i="454"/>
  <c r="F50" i="102"/>
  <c r="A54" i="102"/>
  <c r="G6" i="102"/>
  <c r="G5" i="102"/>
  <c r="I51" i="102"/>
  <c r="G6" i="237"/>
  <c r="A54" i="237"/>
  <c r="I51" i="237"/>
  <c r="G5" i="237"/>
  <c r="F50" i="237"/>
  <c r="A54" i="141"/>
  <c r="I51" i="141"/>
  <c r="F50" i="141"/>
  <c r="G6" i="141"/>
  <c r="G5" i="141"/>
  <c r="I51" i="62"/>
  <c r="F50" i="62"/>
  <c r="G6" i="62"/>
  <c r="G5" i="62"/>
  <c r="A54" i="62"/>
  <c r="I51" i="333"/>
  <c r="G6" i="333"/>
  <c r="A54" i="333"/>
  <c r="G5" i="333"/>
  <c r="F50" i="333"/>
  <c r="G6" i="203"/>
  <c r="A54" i="203"/>
  <c r="G5" i="203"/>
  <c r="I51" i="203"/>
  <c r="F50" i="203"/>
  <c r="F50" i="109"/>
  <c r="I51" i="109"/>
  <c r="A54" i="109"/>
  <c r="G5" i="109"/>
  <c r="G6" i="109"/>
  <c r="G5" i="101"/>
  <c r="F50" i="101"/>
  <c r="I51" i="101"/>
  <c r="A54" i="101"/>
  <c r="G6" i="101"/>
  <c r="I51" i="452"/>
  <c r="F50" i="452"/>
  <c r="G5" i="452"/>
  <c r="G6" i="452"/>
  <c r="A54" i="452"/>
  <c r="I50" i="389"/>
  <c r="F48" i="389"/>
  <c r="F48" i="89"/>
  <c r="I50" i="89"/>
  <c r="G5" i="403"/>
  <c r="G6" i="403"/>
  <c r="F50" i="403"/>
  <c r="I51" i="403"/>
  <c r="A54" i="403"/>
  <c r="I51" i="12"/>
  <c r="G6" i="12"/>
  <c r="F50" i="12"/>
  <c r="A54" i="12"/>
  <c r="G5" i="12"/>
  <c r="I51" i="18"/>
  <c r="G5" i="18"/>
  <c r="A54" i="18"/>
  <c r="G6" i="18"/>
  <c r="F50" i="18"/>
  <c r="G5" i="226"/>
  <c r="I51" i="226"/>
  <c r="F50" i="226"/>
  <c r="G6" i="226"/>
  <c r="A54" i="226"/>
  <c r="G5" i="291"/>
  <c r="A54" i="291"/>
  <c r="I51" i="291"/>
  <c r="G6" i="291"/>
  <c r="F50" i="291"/>
  <c r="G5" i="325"/>
  <c r="A54" i="325"/>
  <c r="F50" i="325"/>
  <c r="G6" i="325"/>
  <c r="I51" i="325"/>
  <c r="F50" i="95"/>
  <c r="G6" i="95"/>
  <c r="G5" i="95"/>
  <c r="A54" i="95"/>
  <c r="I51" i="95"/>
  <c r="I51" i="369"/>
  <c r="G6" i="369"/>
  <c r="G5" i="369"/>
  <c r="F50" i="369"/>
  <c r="A54" i="369"/>
  <c r="F48" i="286"/>
  <c r="I50" i="286"/>
  <c r="G6" i="11"/>
  <c r="I51" i="11"/>
  <c r="F50" i="11"/>
  <c r="G5" i="11"/>
  <c r="A54" i="11"/>
  <c r="G5" i="343"/>
  <c r="A54" i="343"/>
  <c r="G6" i="343"/>
  <c r="F50" i="343"/>
  <c r="I51" i="343"/>
  <c r="G5" i="422"/>
  <c r="A54" i="422"/>
  <c r="G6" i="422"/>
  <c r="I51" i="422"/>
  <c r="F50" i="422"/>
  <c r="A54" i="352"/>
  <c r="F50" i="352"/>
  <c r="G6" i="352"/>
  <c r="I51" i="352"/>
  <c r="G5" i="352"/>
  <c r="G6" i="367"/>
  <c r="I51" i="367"/>
  <c r="A54" i="367"/>
  <c r="G5" i="367"/>
  <c r="F50" i="367"/>
  <c r="F50" i="257"/>
  <c r="I51" i="257"/>
  <c r="G6" i="257"/>
  <c r="G5" i="257"/>
  <c r="A54" i="257"/>
  <c r="I51" i="20"/>
  <c r="G6" i="20"/>
  <c r="A54" i="20"/>
  <c r="F50" i="20"/>
  <c r="G5" i="20"/>
  <c r="G6" i="281"/>
  <c r="F50" i="281"/>
  <c r="I51" i="281"/>
  <c r="A54" i="281"/>
  <c r="G5" i="281"/>
  <c r="F50" i="190"/>
  <c r="A54" i="190"/>
  <c r="G6" i="190"/>
  <c r="I51" i="190"/>
  <c r="G5" i="190"/>
  <c r="F48" i="118"/>
  <c r="I50" i="118"/>
  <c r="G5" i="84"/>
  <c r="I51" i="84"/>
  <c r="F50" i="84"/>
  <c r="A54" i="84"/>
  <c r="G6" i="84"/>
  <c r="I51" i="104"/>
  <c r="A54" i="104"/>
  <c r="G6" i="104"/>
  <c r="G5" i="104"/>
  <c r="F50" i="104"/>
  <c r="F50" i="338"/>
  <c r="A54" i="338"/>
  <c r="I51" i="338"/>
  <c r="G5" i="338"/>
  <c r="G6" i="338"/>
  <c r="A54" i="460"/>
  <c r="I51" i="460"/>
  <c r="G5" i="460"/>
  <c r="F50" i="460"/>
  <c r="G6" i="460"/>
  <c r="F50" i="233"/>
  <c r="G5" i="233"/>
  <c r="I51" i="233"/>
  <c r="G6" i="233"/>
  <c r="A54" i="233"/>
  <c r="A54" i="168"/>
  <c r="G6" i="168"/>
  <c r="G5" i="168"/>
  <c r="I51" i="168"/>
  <c r="F50" i="168"/>
  <c r="F50" i="68"/>
  <c r="G5" i="68"/>
  <c r="A54" i="68"/>
  <c r="G6" i="68"/>
  <c r="I51" i="68"/>
  <c r="F50" i="9"/>
  <c r="I51" i="9"/>
  <c r="A54" i="9"/>
  <c r="G6" i="9"/>
  <c r="G5" i="9"/>
  <c r="G6" i="116"/>
  <c r="F50" i="116"/>
  <c r="A54" i="116"/>
  <c r="I51" i="116"/>
  <c r="G5" i="116"/>
  <c r="F50" i="229"/>
  <c r="G6" i="229"/>
  <c r="A54" i="229"/>
  <c r="I51" i="229"/>
  <c r="G5" i="229"/>
  <c r="A54" i="52"/>
  <c r="F50" i="52"/>
  <c r="I51" i="52"/>
  <c r="G5" i="52"/>
  <c r="G6" i="52"/>
  <c r="G5" i="256"/>
  <c r="F50" i="256"/>
  <c r="G6" i="256"/>
  <c r="A54" i="256"/>
  <c r="I51" i="256"/>
  <c r="I50" i="351"/>
  <c r="F48" i="351"/>
  <c r="A54" i="397"/>
  <c r="F50" i="397"/>
  <c r="G5" i="397"/>
  <c r="I51" i="397"/>
  <c r="G6" i="397"/>
  <c r="A54" i="329"/>
  <c r="I51" i="329"/>
  <c r="F50" i="329"/>
  <c r="G6" i="329"/>
  <c r="G5" i="329"/>
  <c r="F50" i="175"/>
  <c r="G6" i="175"/>
  <c r="G5" i="175"/>
  <c r="I51" i="175"/>
  <c r="A54" i="175"/>
  <c r="I51" i="458"/>
  <c r="G5" i="458"/>
  <c r="A54" i="458"/>
  <c r="G6" i="458"/>
  <c r="F50" i="458"/>
  <c r="A54" i="432"/>
  <c r="G5" i="432"/>
  <c r="F50" i="432"/>
  <c r="G6" i="432"/>
  <c r="I51" i="432"/>
  <c r="I51" i="69"/>
  <c r="F50" i="69"/>
  <c r="G6" i="69"/>
  <c r="A54" i="69"/>
  <c r="G5" i="69"/>
  <c r="A54" i="128"/>
  <c r="I51" i="128"/>
  <c r="G5" i="128"/>
  <c r="F50" i="128"/>
  <c r="G6" i="128"/>
  <c r="F50" i="83"/>
  <c r="G6" i="83"/>
  <c r="G5" i="83"/>
  <c r="I51" i="83"/>
  <c r="A54" i="83"/>
  <c r="I51" i="201"/>
  <c r="A54" i="201"/>
  <c r="G5" i="201"/>
  <c r="G6" i="201"/>
  <c r="F50" i="201"/>
  <c r="G6" i="245"/>
  <c r="I51" i="245"/>
  <c r="A54" i="245"/>
  <c r="G5" i="245"/>
  <c r="F50" i="245"/>
  <c r="G5" i="133"/>
  <c r="A54" i="133"/>
  <c r="I51" i="133"/>
  <c r="G6" i="133"/>
  <c r="F50" i="133"/>
  <c r="I51" i="194"/>
  <c r="A54" i="194"/>
  <c r="F50" i="194"/>
  <c r="G5" i="194"/>
  <c r="G6" i="194"/>
  <c r="F50" i="393"/>
  <c r="I51" i="393"/>
  <c r="G5" i="393"/>
  <c r="G6" i="393"/>
  <c r="A54" i="393"/>
  <c r="I51" i="47"/>
  <c r="G6" i="47"/>
  <c r="A54" i="47"/>
  <c r="F50" i="47"/>
  <c r="G5" i="47"/>
  <c r="G6" i="372"/>
  <c r="A54" i="372"/>
  <c r="G5" i="372"/>
  <c r="I51" i="372"/>
  <c r="F50" i="372"/>
  <c r="F50" i="144"/>
  <c r="G6" i="144"/>
  <c r="I51" i="144"/>
  <c r="G5" i="144"/>
  <c r="A54" i="144"/>
  <c r="A54" i="22"/>
  <c r="G5" i="22"/>
  <c r="I51" i="22"/>
  <c r="G6" i="22"/>
  <c r="F50" i="22"/>
  <c r="G6" i="284"/>
  <c r="A54" i="284"/>
  <c r="G5" i="284"/>
  <c r="I51" i="284"/>
  <c r="F50" i="284"/>
  <c r="A54" i="192"/>
  <c r="F50" i="192"/>
  <c r="G6" i="192"/>
  <c r="I51" i="192"/>
  <c r="G5" i="192"/>
  <c r="I51" i="263"/>
  <c r="G5" i="263"/>
  <c r="G6" i="263"/>
  <c r="F50" i="263"/>
  <c r="A54" i="263"/>
  <c r="G6" i="138"/>
  <c r="G5" i="138"/>
  <c r="A54" i="138"/>
  <c r="F50" i="138"/>
  <c r="I51" i="138"/>
  <c r="A54" i="404"/>
  <c r="F50" i="404"/>
  <c r="I51" i="404"/>
  <c r="G5" i="404"/>
  <c r="G6" i="404"/>
  <c r="A54" i="299"/>
  <c r="I51" i="299"/>
  <c r="G5" i="299"/>
  <c r="G6" i="299"/>
  <c r="F50" i="299"/>
  <c r="A54" i="99"/>
  <c r="F50" i="99"/>
  <c r="G6" i="99"/>
  <c r="G5" i="99"/>
  <c r="I51" i="99"/>
  <c r="I51" i="420"/>
  <c r="G6" i="420"/>
  <c r="F50" i="420"/>
  <c r="G5" i="420"/>
  <c r="A54" i="420"/>
  <c r="A54" i="354"/>
  <c r="I51" i="354"/>
  <c r="G6" i="354"/>
  <c r="G5" i="354"/>
  <c r="F50" i="354"/>
  <c r="F50" i="274"/>
  <c r="A54" i="274"/>
  <c r="G6" i="274"/>
  <c r="I51" i="274"/>
  <c r="G5" i="274"/>
  <c r="A54" i="249"/>
  <c r="I51" i="249"/>
  <c r="G5" i="249"/>
  <c r="G6" i="249"/>
  <c r="F50" i="249"/>
  <c r="F50" i="193"/>
  <c r="G5" i="193"/>
  <c r="A54" i="193"/>
  <c r="G6" i="193"/>
  <c r="I51" i="193"/>
  <c r="F48" i="135"/>
  <c r="I50" i="135"/>
  <c r="G6" i="6"/>
  <c r="I51" i="6"/>
  <c r="F50" i="6"/>
  <c r="A54" i="6"/>
  <c r="G5" i="6"/>
  <c r="G6" i="15"/>
  <c r="G5" i="15"/>
  <c r="A54" i="15"/>
  <c r="F50" i="15"/>
  <c r="I51" i="15"/>
  <c r="A54" i="373"/>
  <c r="I51" i="373"/>
  <c r="G6" i="373"/>
  <c r="F50" i="373"/>
  <c r="G5" i="373"/>
  <c r="A54" i="210"/>
  <c r="G6" i="210"/>
  <c r="I51" i="210"/>
  <c r="F50" i="210"/>
  <c r="G5" i="210"/>
  <c r="G6" i="470"/>
  <c r="A54" i="470"/>
  <c r="G5" i="470"/>
  <c r="I51" i="470"/>
  <c r="F50" i="470"/>
  <c r="F50" i="216"/>
  <c r="G6" i="216"/>
  <c r="G5" i="216"/>
  <c r="A54" i="216"/>
  <c r="I51" i="216"/>
  <c r="F48" i="468"/>
  <c r="I50" i="468"/>
  <c r="F50" i="370"/>
  <c r="I51" i="370"/>
  <c r="G6" i="370"/>
  <c r="A54" i="370"/>
  <c r="G5" i="370"/>
  <c r="I51" i="276"/>
  <c r="F50" i="276"/>
  <c r="A54" i="276"/>
  <c r="G6" i="276"/>
  <c r="G5" i="276"/>
  <c r="I51" i="38"/>
  <c r="G6" i="38"/>
  <c r="A54" i="38"/>
  <c r="F50" i="38"/>
  <c r="G5" i="38"/>
  <c r="I48" i="476"/>
  <c r="I51" i="198"/>
  <c r="A54" i="198"/>
  <c r="F50" i="198"/>
  <c r="G6" i="198"/>
  <c r="G5" i="198"/>
  <c r="F50" i="295"/>
  <c r="I51" i="295"/>
  <c r="G6" i="295"/>
  <c r="G5" i="295"/>
  <c r="A54" i="295"/>
  <c r="F50" i="275"/>
  <c r="G6" i="275"/>
  <c r="G5" i="275"/>
  <c r="A54" i="275"/>
  <c r="I51" i="275"/>
  <c r="A54" i="246"/>
  <c r="I51" i="246"/>
  <c r="F50" i="246"/>
  <c r="G6" i="246"/>
  <c r="G5" i="246"/>
  <c r="A54" i="360"/>
  <c r="G5" i="360"/>
  <c r="I51" i="360"/>
  <c r="F50" i="360"/>
  <c r="G6" i="360"/>
  <c r="F50" i="35"/>
  <c r="G6" i="35"/>
  <c r="A54" i="35"/>
  <c r="G5" i="35"/>
  <c r="I51" i="35"/>
  <c r="G6" i="323"/>
  <c r="I51" i="323"/>
  <c r="F50" i="323"/>
  <c r="A54" i="323"/>
  <c r="G5" i="323"/>
  <c r="G5" i="119"/>
  <c r="A54" i="119"/>
  <c r="F50" i="119"/>
  <c r="G6" i="119"/>
  <c r="I51" i="119"/>
  <c r="I50" i="302"/>
  <c r="F48" i="302"/>
  <c r="G6" i="289"/>
  <c r="G5" i="289"/>
  <c r="A54" i="289"/>
  <c r="I51" i="289"/>
  <c r="F50" i="289"/>
  <c r="G5" i="196"/>
  <c r="F50" i="196"/>
  <c r="I51" i="196"/>
  <c r="A54" i="196"/>
  <c r="G6" i="196"/>
  <c r="A54" i="64"/>
  <c r="F50" i="64"/>
  <c r="G5" i="64"/>
  <c r="G6" i="64"/>
  <c r="I51" i="64"/>
  <c r="F50" i="417"/>
  <c r="G6" i="417"/>
  <c r="A54" i="417"/>
  <c r="I51" i="417"/>
  <c r="G5" i="417"/>
  <c r="A54" i="446"/>
  <c r="I51" i="446"/>
  <c r="F50" i="446"/>
  <c r="G6" i="446"/>
  <c r="G5" i="446"/>
  <c r="G5" i="315"/>
  <c r="I51" i="315"/>
  <c r="G6" i="315"/>
  <c r="F50" i="315"/>
  <c r="A54" i="315"/>
  <c r="G6" i="467"/>
  <c r="A54" i="467"/>
  <c r="G5" i="467"/>
  <c r="I51" i="467"/>
  <c r="F50" i="467"/>
  <c r="I51" i="462"/>
  <c r="A54" i="462"/>
  <c r="F50" i="462"/>
  <c r="G6" i="462"/>
  <c r="G5" i="462"/>
  <c r="I51" i="25"/>
  <c r="G5" i="25"/>
  <c r="A54" i="25"/>
  <c r="F50" i="25"/>
  <c r="G6" i="25"/>
  <c r="A54" i="123"/>
  <c r="F50" i="123"/>
  <c r="I51" i="123"/>
  <c r="G6" i="123"/>
  <c r="G5" i="123"/>
  <c r="A54" i="78"/>
  <c r="I51" i="78"/>
  <c r="G6" i="78"/>
  <c r="F50" i="78"/>
  <c r="G5" i="78"/>
  <c r="I51" i="218"/>
  <c r="F50" i="218"/>
  <c r="G6" i="218"/>
  <c r="G5" i="218"/>
  <c r="A54" i="218"/>
  <c r="I50" i="478"/>
  <c r="F48" i="478"/>
  <c r="G6" i="8"/>
  <c r="I51" i="8"/>
  <c r="F50" i="8"/>
  <c r="A54" i="8"/>
  <c r="G5" i="8"/>
  <c r="F48" i="179"/>
  <c r="I50" i="179"/>
  <c r="G6" i="461"/>
  <c r="G5" i="461"/>
  <c r="A54" i="461"/>
  <c r="I51" i="461"/>
  <c r="F50" i="461"/>
  <c r="G5" i="433"/>
  <c r="G6" i="433"/>
  <c r="F50" i="433"/>
  <c r="A54" i="433"/>
  <c r="I51" i="433"/>
  <c r="A54" i="388"/>
  <c r="I51" i="388"/>
  <c r="F50" i="388"/>
  <c r="G6" i="388"/>
  <c r="G5" i="388"/>
  <c r="I51" i="13"/>
  <c r="F50" i="13"/>
  <c r="G6" i="13"/>
  <c r="G5" i="13"/>
  <c r="A54" i="13"/>
  <c r="G5" i="60"/>
  <c r="A54" i="60"/>
  <c r="I51" i="60"/>
  <c r="F50" i="60"/>
  <c r="G6" i="60"/>
  <c r="I51" i="364"/>
  <c r="A54" i="364"/>
  <c r="G6" i="364"/>
  <c r="G5" i="364"/>
  <c r="F50" i="364"/>
  <c r="I50" i="489"/>
  <c r="F48" i="489"/>
  <c r="G5" i="366"/>
  <c r="I51" i="366"/>
  <c r="F50" i="366"/>
  <c r="A54" i="366"/>
  <c r="G6" i="366"/>
  <c r="F50" i="72"/>
  <c r="G5" i="72"/>
  <c r="I51" i="72"/>
  <c r="G6" i="72"/>
  <c r="A54" i="72"/>
  <c r="A54" i="434"/>
  <c r="I51" i="434"/>
  <c r="F50" i="434"/>
  <c r="G6" i="434"/>
  <c r="G5" i="434"/>
  <c r="F50" i="424"/>
  <c r="A54" i="424"/>
  <c r="I51" i="424"/>
  <c r="G6" i="424"/>
  <c r="G5" i="424"/>
  <c r="A54" i="400"/>
  <c r="F50" i="400"/>
  <c r="G5" i="400"/>
  <c r="I51" i="400"/>
  <c r="G6" i="400"/>
  <c r="F48" i="469"/>
  <c r="I50" i="469"/>
  <c r="A54" i="181"/>
  <c r="G5" i="181"/>
  <c r="F50" i="181"/>
  <c r="G6" i="181"/>
  <c r="I51" i="181"/>
  <c r="F50" i="157"/>
  <c r="A54" i="157"/>
  <c r="G6" i="157"/>
  <c r="G5" i="157"/>
  <c r="I51" i="157"/>
  <c r="F50" i="75"/>
  <c r="G5" i="75"/>
  <c r="A54" i="75"/>
  <c r="I51" i="75"/>
  <c r="G6" i="75"/>
  <c r="F50" i="230"/>
  <c r="G6" i="230"/>
  <c r="I51" i="230"/>
  <c r="A54" i="230"/>
  <c r="G5" i="230"/>
  <c r="G5" i="337"/>
  <c r="F50" i="337"/>
  <c r="I51" i="337"/>
  <c r="G6" i="337"/>
  <c r="A54" i="337"/>
  <c r="A54" i="321"/>
  <c r="I51" i="321"/>
  <c r="F50" i="321"/>
  <c r="G6" i="321"/>
  <c r="G5" i="321"/>
  <c r="G6" i="294"/>
  <c r="I51" i="294"/>
  <c r="F50" i="294"/>
  <c r="G5" i="294"/>
  <c r="A54" i="294"/>
  <c r="A54" i="423"/>
  <c r="I51" i="423"/>
  <c r="F50" i="423"/>
  <c r="G6" i="423"/>
  <c r="G5" i="423"/>
  <c r="F48" i="463"/>
  <c r="I50" i="463"/>
  <c r="G5" i="37"/>
  <c r="G6" i="37"/>
  <c r="A54" i="37"/>
  <c r="I51" i="37"/>
  <c r="F50" i="37"/>
  <c r="I51" i="197"/>
  <c r="F50" i="197"/>
  <c r="A54" i="197"/>
  <c r="G6" i="197"/>
  <c r="G5" i="197"/>
  <c r="A54" i="477"/>
  <c r="I51" i="477"/>
  <c r="F50" i="477"/>
  <c r="G6" i="477"/>
  <c r="G5" i="477"/>
  <c r="G6" i="49"/>
  <c r="F50" i="49"/>
  <c r="A54" i="49"/>
  <c r="I51" i="49"/>
  <c r="G5" i="49"/>
  <c r="I51" i="26"/>
  <c r="A54" i="26"/>
  <c r="G6" i="26"/>
  <c r="F50" i="26"/>
  <c r="G5" i="26"/>
  <c r="F50" i="54"/>
  <c r="I51" i="54"/>
  <c r="G6" i="54"/>
  <c r="G5" i="54"/>
  <c r="A54" i="54"/>
  <c r="A54" i="67"/>
  <c r="G5" i="67"/>
  <c r="F50" i="67"/>
  <c r="G6" i="67"/>
  <c r="I51" i="67"/>
  <c r="G5" i="31"/>
  <c r="I51" i="31"/>
  <c r="F50" i="31"/>
  <c r="A54" i="31"/>
  <c r="G6" i="31"/>
  <c r="G6" i="16"/>
  <c r="I51" i="16"/>
  <c r="F50" i="16"/>
  <c r="A54" i="16"/>
  <c r="G5" i="16"/>
  <c r="G5" i="10"/>
  <c r="A54" i="10"/>
  <c r="I51" i="10"/>
  <c r="G6" i="10"/>
  <c r="F50" i="10"/>
  <c r="I51" i="180"/>
  <c r="F50" i="180"/>
  <c r="G6" i="180"/>
  <c r="A54" i="180"/>
  <c r="G5" i="180"/>
  <c r="A54" i="418"/>
  <c r="I51" i="418"/>
  <c r="F50" i="418"/>
  <c r="G6" i="418"/>
  <c r="G5" i="418"/>
  <c r="F48" i="122"/>
  <c r="I50" i="122"/>
  <c r="G6" i="398"/>
  <c r="A54" i="398"/>
  <c r="G5" i="398"/>
  <c r="F50" i="398"/>
  <c r="I51" i="398"/>
  <c r="A54" i="39"/>
  <c r="G6" i="39"/>
  <c r="I51" i="39"/>
  <c r="F50" i="39"/>
  <c r="G5" i="39"/>
  <c r="I51" i="349"/>
  <c r="F50" i="349"/>
  <c r="G5" i="349"/>
  <c r="A54" i="349"/>
  <c r="G6" i="349"/>
  <c r="G6" i="269"/>
  <c r="F50" i="269"/>
  <c r="I51" i="269"/>
  <c r="G5" i="269"/>
  <c r="A54" i="269"/>
  <c r="G6" i="27"/>
  <c r="G5" i="27"/>
  <c r="I51" i="27"/>
  <c r="A54" i="27"/>
  <c r="F50" i="27"/>
  <c r="F50" i="429"/>
  <c r="A54" i="429"/>
  <c r="I51" i="429"/>
  <c r="G5" i="429"/>
  <c r="G6" i="429"/>
  <c r="G6" i="355"/>
  <c r="A54" i="355"/>
  <c r="I51" i="355"/>
  <c r="F50" i="355"/>
  <c r="G5" i="355"/>
  <c r="I50" i="413"/>
  <c r="F48" i="413"/>
  <c r="I50" i="384"/>
  <c r="F48" i="384"/>
  <c r="I51" i="36"/>
  <c r="F50" i="36"/>
  <c r="G6" i="36"/>
  <c r="G5" i="36"/>
  <c r="A54" i="36"/>
  <c r="I51" i="453"/>
  <c r="G6" i="453"/>
  <c r="F50" i="453"/>
  <c r="G5" i="453"/>
  <c r="A54" i="453"/>
  <c r="A54" i="416"/>
  <c r="I51" i="416"/>
  <c r="F50" i="416"/>
  <c r="G6" i="416"/>
  <c r="G5" i="416"/>
  <c r="I50" i="464"/>
  <c r="F48" i="464"/>
  <c r="G5" i="14"/>
  <c r="I51" i="14"/>
  <c r="F50" i="14"/>
  <c r="G6" i="14"/>
  <c r="A54" i="14"/>
  <c r="F50" i="53"/>
  <c r="G6" i="53"/>
  <c r="G5" i="53"/>
  <c r="A54" i="53"/>
  <c r="I51" i="53"/>
  <c r="I51" i="195"/>
  <c r="G5" i="195"/>
  <c r="F50" i="195"/>
  <c r="G6" i="195"/>
  <c r="A54" i="195"/>
  <c r="I51" i="407"/>
  <c r="F50" i="407"/>
  <c r="G6" i="407"/>
  <c r="G5" i="407"/>
  <c r="A54" i="407"/>
  <c r="F48" i="466"/>
  <c r="I50" i="466"/>
  <c r="G6" i="267"/>
  <c r="I51" i="267"/>
  <c r="F50" i="267"/>
  <c r="A54" i="267"/>
  <c r="G5" i="267"/>
  <c r="I51" i="158"/>
  <c r="A54" i="158"/>
  <c r="G6" i="158"/>
  <c r="G5" i="158"/>
  <c r="F50" i="158"/>
  <c r="G6" i="465"/>
  <c r="A54" i="465"/>
  <c r="G5" i="465"/>
  <c r="I51" i="465"/>
  <c r="F50" i="465"/>
  <c r="A54" i="436"/>
  <c r="G5" i="436"/>
  <c r="I51" i="436"/>
  <c r="F50" i="436"/>
  <c r="G6" i="436"/>
  <c r="G6" i="199"/>
  <c r="G5" i="199"/>
  <c r="F50" i="199"/>
  <c r="A54" i="199"/>
  <c r="I51" i="199"/>
  <c r="G5" i="262"/>
  <c r="G6" i="262"/>
  <c r="I51" i="262"/>
  <c r="F50" i="262"/>
  <c r="A54" i="262"/>
  <c r="G6" i="385"/>
  <c r="G5" i="385"/>
  <c r="A54" i="385"/>
  <c r="I51" i="385"/>
  <c r="F50" i="385"/>
  <c r="G6" i="92"/>
  <c r="I51" i="92"/>
  <c r="A54" i="92"/>
  <c r="G5" i="92"/>
  <c r="F50" i="92"/>
  <c r="F50" i="406"/>
  <c r="A54" i="406"/>
  <c r="G5" i="406"/>
  <c r="I51" i="406"/>
  <c r="G6" i="406"/>
  <c r="G6" i="17"/>
  <c r="A54" i="17"/>
  <c r="G5" i="17"/>
  <c r="I51" i="17"/>
  <c r="F50" i="17"/>
  <c r="F50" i="120"/>
  <c r="G5" i="120"/>
  <c r="A54" i="120"/>
  <c r="G6" i="120"/>
  <c r="I51" i="120"/>
  <c r="G5" i="32"/>
  <c r="A54" i="32"/>
  <c r="G6" i="32"/>
  <c r="I51" i="32"/>
  <c r="F50" i="32"/>
  <c r="G6" i="117"/>
  <c r="I51" i="117"/>
  <c r="F50" i="117"/>
  <c r="G5" i="117"/>
  <c r="A54" i="117"/>
  <c r="A54" i="471"/>
  <c r="I51" i="471"/>
  <c r="F50" i="471"/>
  <c r="G6" i="471"/>
  <c r="G5" i="471"/>
  <c r="H10" i="472"/>
  <c r="H19" i="472" s="1"/>
  <c r="H50" i="472" s="1"/>
  <c r="E6" i="472" s="1"/>
  <c r="D19" i="472"/>
  <c r="E10" i="472" s="1"/>
  <c r="G6" i="386" l="1"/>
  <c r="G5" i="386"/>
  <c r="A54" i="386"/>
  <c r="I51" i="386"/>
  <c r="F50" i="386"/>
  <c r="F50" i="242"/>
  <c r="G6" i="242"/>
  <c r="I51" i="242"/>
  <c r="A54" i="242"/>
  <c r="G5" i="242"/>
  <c r="A54" i="185"/>
  <c r="G5" i="185"/>
  <c r="G6" i="185"/>
  <c r="F50" i="185"/>
  <c r="I51" i="185"/>
  <c r="G6" i="77"/>
  <c r="A54" i="77"/>
  <c r="G5" i="77"/>
  <c r="I51" i="77"/>
  <c r="F50" i="77"/>
  <c r="A54" i="231"/>
  <c r="G6" i="231"/>
  <c r="I51" i="231"/>
  <c r="G5" i="231"/>
  <c r="F50" i="231"/>
  <c r="E11" i="472"/>
  <c r="I51" i="389"/>
  <c r="F50" i="389"/>
  <c r="G6" i="389"/>
  <c r="G5" i="389"/>
  <c r="A54" i="389"/>
  <c r="G6" i="135"/>
  <c r="G5" i="135"/>
  <c r="A54" i="135"/>
  <c r="I51" i="135"/>
  <c r="F50" i="135"/>
  <c r="I51" i="286"/>
  <c r="G6" i="286"/>
  <c r="A54" i="286"/>
  <c r="F50" i="286"/>
  <c r="G5" i="286"/>
  <c r="G5" i="89"/>
  <c r="A54" i="89"/>
  <c r="I51" i="89"/>
  <c r="G6" i="89"/>
  <c r="F50" i="89"/>
  <c r="A54" i="118"/>
  <c r="F50" i="118"/>
  <c r="I51" i="118"/>
  <c r="G5" i="118"/>
  <c r="G6" i="118"/>
  <c r="G5" i="351"/>
  <c r="F50" i="351"/>
  <c r="G6" i="351"/>
  <c r="A54" i="351"/>
  <c r="I51" i="351"/>
  <c r="F50" i="464"/>
  <c r="G6" i="464"/>
  <c r="G5" i="464"/>
  <c r="A54" i="464"/>
  <c r="I51" i="464"/>
  <c r="G6" i="302"/>
  <c r="A54" i="302"/>
  <c r="I51" i="302"/>
  <c r="F50" i="302"/>
  <c r="G5" i="302"/>
  <c r="F50" i="384"/>
  <c r="G6" i="384"/>
  <c r="G5" i="384"/>
  <c r="A54" i="384"/>
  <c r="I51" i="384"/>
  <c r="I51" i="478"/>
  <c r="F50" i="478"/>
  <c r="G6" i="478"/>
  <c r="G5" i="478"/>
  <c r="A54" i="478"/>
  <c r="I51" i="413"/>
  <c r="F50" i="413"/>
  <c r="G6" i="413"/>
  <c r="G5" i="413"/>
  <c r="A54" i="413"/>
  <c r="G6" i="463"/>
  <c r="A54" i="463"/>
  <c r="I51" i="463"/>
  <c r="F50" i="463"/>
  <c r="G5" i="463"/>
  <c r="G6" i="469"/>
  <c r="A54" i="469"/>
  <c r="G5" i="469"/>
  <c r="I51" i="469"/>
  <c r="F50" i="469"/>
  <c r="G5" i="122"/>
  <c r="A54" i="122"/>
  <c r="G6" i="122"/>
  <c r="I51" i="122"/>
  <c r="F50" i="122"/>
  <c r="G6" i="466"/>
  <c r="A54" i="466"/>
  <c r="G5" i="466"/>
  <c r="I51" i="466"/>
  <c r="F50" i="466"/>
  <c r="I50" i="476"/>
  <c r="F48" i="476"/>
  <c r="G6" i="468"/>
  <c r="A54" i="468"/>
  <c r="G5" i="468"/>
  <c r="I51" i="468"/>
  <c r="F50" i="468"/>
  <c r="A54" i="179"/>
  <c r="F50" i="179"/>
  <c r="G6" i="179"/>
  <c r="I51" i="179"/>
  <c r="G5" i="179"/>
  <c r="A54" i="489"/>
  <c r="I51" i="489"/>
  <c r="F50" i="489"/>
  <c r="G6" i="489"/>
  <c r="G5" i="489"/>
  <c r="C19" i="472"/>
  <c r="D50" i="472"/>
  <c r="E19" i="472"/>
  <c r="E18" i="472"/>
  <c r="E17" i="472"/>
  <c r="E16" i="472"/>
  <c r="E15" i="472"/>
  <c r="E14" i="472"/>
  <c r="E13" i="472"/>
  <c r="E12" i="472"/>
  <c r="F10" i="472"/>
  <c r="F11" i="472"/>
  <c r="F12" i="472"/>
  <c r="F13" i="472"/>
  <c r="F14" i="472"/>
  <c r="F15" i="472"/>
  <c r="F16" i="472"/>
  <c r="F17" i="472"/>
  <c r="F18" i="472"/>
  <c r="F21" i="472"/>
  <c r="F22" i="472"/>
  <c r="F23" i="472"/>
  <c r="F26" i="472"/>
  <c r="F27" i="472"/>
  <c r="F28" i="472"/>
  <c r="F29" i="472"/>
  <c r="F30" i="472"/>
  <c r="F31" i="472"/>
  <c r="F34" i="472"/>
  <c r="F35" i="472"/>
  <c r="F36" i="472"/>
  <c r="F37" i="472"/>
  <c r="F38" i="472"/>
  <c r="F39" i="472"/>
  <c r="F42" i="472"/>
  <c r="F43" i="472"/>
  <c r="F44" i="472"/>
  <c r="F45" i="472"/>
  <c r="G45" i="472" s="1"/>
  <c r="A54" i="476" l="1"/>
  <c r="I51" i="476"/>
  <c r="F50" i="476"/>
  <c r="G6" i="476"/>
  <c r="G5" i="476"/>
  <c r="G44" i="472"/>
  <c r="I44" i="472"/>
  <c r="G43" i="472"/>
  <c r="I43" i="472"/>
  <c r="G42" i="472"/>
  <c r="I42" i="472"/>
  <c r="G39" i="472"/>
  <c r="I39" i="472"/>
  <c r="G38" i="472"/>
  <c r="I38" i="472"/>
  <c r="G37" i="472"/>
  <c r="I37" i="472"/>
  <c r="G36" i="472"/>
  <c r="I36" i="472"/>
  <c r="G35" i="472"/>
  <c r="I35" i="472"/>
  <c r="G34" i="472"/>
  <c r="I34" i="472"/>
  <c r="G31" i="472"/>
  <c r="I31" i="472"/>
  <c r="G30" i="472"/>
  <c r="I30" i="472"/>
  <c r="G29" i="472"/>
  <c r="I29" i="472"/>
  <c r="G28" i="472"/>
  <c r="I28" i="472"/>
  <c r="G27" i="472"/>
  <c r="I27" i="472"/>
  <c r="G26" i="472"/>
  <c r="I26" i="472"/>
  <c r="G23" i="472"/>
  <c r="I23" i="472"/>
  <c r="G22" i="472"/>
  <c r="I22" i="472"/>
  <c r="I21" i="472"/>
  <c r="G21" i="472"/>
  <c r="G18" i="472"/>
  <c r="I18" i="472"/>
  <c r="G17" i="472"/>
  <c r="I17" i="472"/>
  <c r="G16" i="472"/>
  <c r="I16" i="472"/>
  <c r="G15" i="472"/>
  <c r="I15" i="472"/>
  <c r="G14" i="472"/>
  <c r="I14" i="472"/>
  <c r="G13" i="472"/>
  <c r="I13" i="472"/>
  <c r="G12" i="472"/>
  <c r="I12" i="472"/>
  <c r="G11" i="472"/>
  <c r="I11" i="472"/>
  <c r="G10" i="472"/>
  <c r="I10" i="472"/>
  <c r="E50" i="472"/>
  <c r="J50" i="472"/>
  <c r="I46" i="472" l="1"/>
  <c r="F46" i="472" s="1"/>
  <c r="G46" i="472" s="1"/>
  <c r="I19" i="472"/>
  <c r="F19" i="472" s="1"/>
  <c r="G19" i="472" s="1"/>
  <c r="I32" i="472"/>
  <c r="F32" i="472" s="1"/>
  <c r="G32" i="472" s="1"/>
  <c r="I40" i="472"/>
  <c r="F40" i="472" s="1"/>
  <c r="G40" i="472" s="1"/>
  <c r="I24" i="472"/>
  <c r="F24" i="472" l="1"/>
  <c r="G24" i="472" s="1"/>
  <c r="I48" i="472"/>
  <c r="I50" i="472" s="1"/>
  <c r="F48" i="472" l="1"/>
  <c r="G5" i="472"/>
  <c r="G6" i="472"/>
  <c r="F50" i="472"/>
  <c r="I51" i="472"/>
  <c r="A54" i="47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Konuk Kullanıcı</author>
  </authors>
  <commentList>
    <comment ref="D12" authorId="0" shapeId="0" xr:uid="{00000000-0006-0000-1A00-000001000000}">
      <text>
        <r>
          <rPr>
            <sz val="11"/>
            <color theme="1"/>
            <rFont val="Calibri"/>
            <family val="2"/>
            <charset val="162"/>
            <scheme val="minor"/>
          </rPr>
          <t>fsm de satış 1659.8 gözükmektedir fakat metro bunun 719.7 kg ını iade etmiştir. sistemden düşüşü yapılamadı.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Konuk Kullanıcı</author>
  </authors>
  <commentList>
    <comment ref="D15" authorId="0" shapeId="0" xr:uid="{00000000-0006-0000-1D00-000001000000}">
      <text>
        <r>
          <rPr>
            <sz val="11"/>
            <color theme="1"/>
            <rFont val="Calibri"/>
            <family val="2"/>
            <charset val="162"/>
            <scheme val="minor"/>
          </rPr>
          <t>Kaburga değil ossobuko olarak satışı yapıldı.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tc={C2245CB3-B37D-4062-BAB9-F2E2746C573B}</author>
  </authors>
  <commentList>
    <comment ref="D15" authorId="0" shapeId="0" xr:uid="{00000000-0006-0000-3C00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22.6 KG DANA OSSBUCO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tc={B9DB0C57-5103-442C-AFAA-7FD0FF511DE9}</author>
  </authors>
  <commentList>
    <comment ref="D15" authorId="0" shapeId="0" xr:uid="{00000000-0006-0000-6E00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4.1 KG OSSOBUCO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tc={B71FF797-8160-49E8-B92F-87F542FC23FF}</author>
  </authors>
  <commentList>
    <comment ref="D14" authorId="0" shapeId="0" xr:uid="{00000000-0006-0000-A600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10 KG OSSOBUCO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tc={6F618FA3-66C0-4FE0-942E-19F56914935C}</author>
  </authors>
  <commentList>
    <comment ref="D15" authorId="0" shapeId="0" xr:uid="{00000000-0006-0000-B700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31.9 KG OSSOBUCO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tc={20793F2E-15BA-4D33-AF08-F72AB24ADB40}</author>
  </authors>
  <commentList>
    <comment ref="D15" authorId="0" shapeId="0" xr:uid="{00000000-0006-0000-B900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47.8 KG OSSOBUCO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tc={A22CF503-24CA-4BAA-8511-B9AE8D74D2BC}</author>
  </authors>
  <commentList>
    <comment ref="D15" authorId="0" shapeId="0" xr:uid="{00000000-0006-0000-F300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13 kg ossobuco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tc={47D30B54-DFD5-406F-A82A-6131053D1E7C}</author>
  </authors>
  <commentList>
    <comment ref="D15" authorId="0" shapeId="0" xr:uid="{00000000-0006-0000-3201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3.1 KG OSSOBOCO 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tc={B57F2965-36E2-4B28-BC9C-C6973CF0625A}</author>
  </authors>
  <commentList>
    <comment ref="D17" authorId="0" shapeId="0" xr:uid="{00000000-0006-0000-7C01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205 KG DANA OSSOBUCO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tc={8E9D6F52-7D2A-4D37-A37A-24E22DF4C932}</author>
  </authors>
  <commentList>
    <comment ref="D15" authorId="0" shapeId="0" xr:uid="{00000000-0006-0000-9201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31.4 kg ossobuco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tc={6ECABA21-9F19-43E6-9DEF-F9B682FDF903}</author>
  </authors>
  <commentList>
    <comment ref="D15" authorId="0" shapeId="0" xr:uid="{00000000-0006-0000-2102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21KG OSSOBUCO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tc={A9FCB426-C046-4DD5-8114-F51312F64E02}</author>
  </authors>
  <commentList>
    <comment ref="D15" authorId="0" shapeId="0" xr:uid="{00000000-0006-0000-3302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40.9 KG OSSOBUCO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tc={E2546C04-7724-4B27-9927-5EAD1D27633D}</author>
  </authors>
  <commentList>
    <comment ref="D15" authorId="0" shapeId="0" xr:uid="{00000000-0006-0000-4202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34.9 KG OSSOBUCO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tc={CC9A1AEE-2629-4426-96F3-1CC0EBD9568C}</author>
  </authors>
  <commentList>
    <comment ref="D15" authorId="0" shapeId="0" xr:uid="{00000000-0006-0000-4A02-000001000000}">
      <text>
        <r>
          <rPr>
            <sz val="11"/>
            <color theme="1"/>
            <rFont val="Calibri"/>
            <family val="2"/>
            <charset val="16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26 KG OSSOBUCO
</t>
        </r>
      </text>
    </comment>
  </commentList>
</comments>
</file>

<file path=xl/sharedStrings.xml><?xml version="1.0" encoding="utf-8"?>
<sst xmlns="http://schemas.openxmlformats.org/spreadsheetml/2006/main" count="41352" uniqueCount="994">
  <si>
    <t>MAL KABUL TARİH</t>
  </si>
  <si>
    <t>FİRMA ÜNVANI</t>
  </si>
  <si>
    <t>PARÇ. BİTİŞ TARİHİ</t>
  </si>
  <si>
    <t>CİNSİ</t>
  </si>
  <si>
    <t>DANA</t>
  </si>
  <si>
    <t>KG</t>
  </si>
  <si>
    <t>MALIN MENŞEİ</t>
  </si>
  <si>
    <t>PARÇA ADET</t>
  </si>
  <si>
    <t>FİYATI TL/KG</t>
  </si>
  <si>
    <t>VADE (GÜN)</t>
  </si>
  <si>
    <t>yeni</t>
  </si>
  <si>
    <t>PARÇA ORT. KG/ADET</t>
  </si>
  <si>
    <t>TUTARI</t>
  </si>
  <si>
    <t>KONTROL</t>
  </si>
  <si>
    <t>REFERANS BAZ MALİYET PEŞİN/VADE</t>
  </si>
  <si>
    <t xml:space="preserve">REFERANS/MALİYET KATSAYI </t>
  </si>
  <si>
    <t>KEMİKSİZ MALİYET TL/KG</t>
  </si>
  <si>
    <t>REFERANS BAZ MALİYET VADELİ</t>
  </si>
  <si>
    <t>KATSAYI</t>
  </si>
  <si>
    <t>PEŞİN REF. TL/KG</t>
  </si>
  <si>
    <t>%</t>
  </si>
  <si>
    <t>MALİYET TL/KG</t>
  </si>
  <si>
    <t>REFERANS TUTAR</t>
  </si>
  <si>
    <t>FİİLİ MALİYET TUTAR</t>
  </si>
  <si>
    <t>KEMİKLİ ETLER</t>
  </si>
  <si>
    <t>TAKIM</t>
  </si>
  <si>
    <t>BUT</t>
  </si>
  <si>
    <t>KOL</t>
  </si>
  <si>
    <t>KISA BUT KEMİKLİ</t>
  </si>
  <si>
    <t>BUT ORTA KEMİKLİ</t>
  </si>
  <si>
    <t>KABURGA KEMİKLİ</t>
  </si>
  <si>
    <t>FİLETO KEMİKLİ</t>
  </si>
  <si>
    <t>PİRZOLA KEMİKLİ</t>
  </si>
  <si>
    <t>T-BONE STEAK KEMİKLİ</t>
  </si>
  <si>
    <t>TOPLAM</t>
  </si>
  <si>
    <t>DEĞERLİ ETLER</t>
  </si>
  <si>
    <t>BONFİLE</t>
  </si>
  <si>
    <t>ANTREKOT</t>
  </si>
  <si>
    <t>KONTRAFİLE</t>
  </si>
  <si>
    <t>KEMİKSİZ ETLER</t>
  </si>
  <si>
    <t>5 Lİ SET</t>
  </si>
  <si>
    <t>KÜREK</t>
  </si>
  <si>
    <t>GERDAN</t>
  </si>
  <si>
    <t>DÖŞ</t>
  </si>
  <si>
    <t>PANÇETA</t>
  </si>
  <si>
    <t>İNCİK/PULİ</t>
  </si>
  <si>
    <t>KIYMALIK ETLER</t>
  </si>
  <si>
    <t>KIRINTI %20</t>
  </si>
  <si>
    <t>KIRINTI %35</t>
  </si>
  <si>
    <t>KIRINTI %60</t>
  </si>
  <si>
    <t>BUT TRİM PARÇA</t>
  </si>
  <si>
    <t>KOL TRİM PARÇA</t>
  </si>
  <si>
    <t>DEĞERLİ ET TRİM PARÇA</t>
  </si>
  <si>
    <t>FİRE</t>
  </si>
  <si>
    <t>KEMİK</t>
  </si>
  <si>
    <t>SİNİR</t>
  </si>
  <si>
    <t>DOLAP FİRESİ</t>
  </si>
  <si>
    <t>PARÇALAMA FİRESİ</t>
  </si>
  <si>
    <t>TOPLAM PARÇALAMA</t>
  </si>
  <si>
    <t>GENEL TOPLAM</t>
  </si>
  <si>
    <t>M</t>
  </si>
  <si>
    <t xml:space="preserve">DANA KOL </t>
  </si>
  <si>
    <t>M 11</t>
  </si>
  <si>
    <t>İP 1805 0102-K</t>
  </si>
  <si>
    <t>DÜVE</t>
  </si>
  <si>
    <t xml:space="preserve">M </t>
  </si>
  <si>
    <t>KESİM TARİH</t>
  </si>
  <si>
    <t>SIĞIR</t>
  </si>
  <si>
    <t>01,10,2018</t>
  </si>
  <si>
    <t>ÖZ ATLAS</t>
  </si>
  <si>
    <t>03,10,2019</t>
  </si>
  <si>
    <t>DANA YERLİ</t>
  </si>
  <si>
    <t>ANKARA</t>
  </si>
  <si>
    <t>ÖA18103001</t>
  </si>
  <si>
    <t>04,10,2018</t>
  </si>
  <si>
    <t>BOZZO</t>
  </si>
  <si>
    <t>04,10,2019</t>
  </si>
  <si>
    <t>KONYA</t>
  </si>
  <si>
    <t>BO18103001</t>
  </si>
  <si>
    <t>08,10,2018</t>
  </si>
  <si>
    <t>08,10,2019</t>
  </si>
  <si>
    <t>BO18100608</t>
  </si>
  <si>
    <t>10,10,2018</t>
  </si>
  <si>
    <t>ÖZATLAS</t>
  </si>
  <si>
    <t>10,10,2019</t>
  </si>
  <si>
    <t>ÖA18100910</t>
  </si>
  <si>
    <t>11,10,2018</t>
  </si>
  <si>
    <t>12,10,2019</t>
  </si>
  <si>
    <t>BO18101010</t>
  </si>
  <si>
    <t>15,10,2018</t>
  </si>
  <si>
    <t>BO18101315</t>
  </si>
  <si>
    <t>16,10,2018</t>
  </si>
  <si>
    <t>BO18101215</t>
  </si>
  <si>
    <t>17,10,2018</t>
  </si>
  <si>
    <t>18,10,2018</t>
  </si>
  <si>
    <t>ÖA18101617</t>
  </si>
  <si>
    <t>22,10,2018</t>
  </si>
  <si>
    <t>MOLU ET</t>
  </si>
  <si>
    <t>KAYSERİ</t>
  </si>
  <si>
    <t>MOL18102022</t>
  </si>
  <si>
    <t>23,10,2018</t>
  </si>
  <si>
    <t>ÖA18102022</t>
  </si>
  <si>
    <t>25,10,2018</t>
  </si>
  <si>
    <t>ÖVÜN ET</t>
  </si>
  <si>
    <t>BURSA</t>
  </si>
  <si>
    <t>ÖV18102425</t>
  </si>
  <si>
    <t>26,10,2018</t>
  </si>
  <si>
    <t>DÜVE YERLİ</t>
  </si>
  <si>
    <t>BO18102325-D</t>
  </si>
  <si>
    <t>29,10,2018</t>
  </si>
  <si>
    <t>ÖA18102829-1</t>
  </si>
  <si>
    <t>30,10,2018</t>
  </si>
  <si>
    <t>SIĞIR YERLİ</t>
  </si>
  <si>
    <t>ÖA18102829-S</t>
  </si>
  <si>
    <t>YERLİ GENEL TOPLAM</t>
  </si>
  <si>
    <t>01,11,2018</t>
  </si>
  <si>
    <t>BO18102729</t>
  </si>
  <si>
    <t>ÖA18113101</t>
  </si>
  <si>
    <t>05,11,2018</t>
  </si>
  <si>
    <t>ÖA18113101-1</t>
  </si>
  <si>
    <t>ÖA18113101-S</t>
  </si>
  <si>
    <t>ÖA18110405</t>
  </si>
  <si>
    <t>07,11,2018</t>
  </si>
  <si>
    <t>ÖA18110405-1</t>
  </si>
  <si>
    <t>08,11,2018</t>
  </si>
  <si>
    <t>BO18110608</t>
  </si>
  <si>
    <t>ÖA18110607</t>
  </si>
  <si>
    <t>09,11,2018</t>
  </si>
  <si>
    <t>ANKARA </t>
  </si>
  <si>
    <t>ÖA18110607-1</t>
  </si>
  <si>
    <t>12,11,2018</t>
  </si>
  <si>
    <t>MOLLO</t>
  </si>
  <si>
    <t>MOL18111112</t>
  </si>
  <si>
    <t>15,11,2018</t>
  </si>
  <si>
    <t>MOL18111415</t>
  </si>
  <si>
    <t>14,11,2018</t>
  </si>
  <si>
    <t>GÖKTAŞLAR</t>
  </si>
  <si>
    <t>16,11,2018</t>
  </si>
  <si>
    <t>ANTEP</t>
  </si>
  <si>
    <t>G18111314</t>
  </si>
  <si>
    <t>19,11,2018</t>
  </si>
  <si>
    <t>MOLLO ET</t>
  </si>
  <si>
    <t>MOL18111719</t>
  </si>
  <si>
    <t>21,11,2018</t>
  </si>
  <si>
    <t>22,11,2018</t>
  </si>
  <si>
    <t>ÖA18112021</t>
  </si>
  <si>
    <t>ÖA18112021-1</t>
  </si>
  <si>
    <t>26,11,2018</t>
  </si>
  <si>
    <t>MOLLU ET</t>
  </si>
  <si>
    <t>MOL18112426</t>
  </si>
  <si>
    <t>29,11,2018</t>
  </si>
  <si>
    <t>MOL18112829</t>
  </si>
  <si>
    <t>03,12,2018</t>
  </si>
  <si>
    <t>ÖA18120203</t>
  </si>
  <si>
    <t>06,12,2018</t>
  </si>
  <si>
    <t>ÜNLÜ ET</t>
  </si>
  <si>
    <t>ÜN18120506</t>
  </si>
  <si>
    <t>BOZZO ET</t>
  </si>
  <si>
    <t>BO18120406</t>
  </si>
  <si>
    <t>08,12,2018</t>
  </si>
  <si>
    <t>10,12,2018</t>
  </si>
  <si>
    <t>MOL18120810</t>
  </si>
  <si>
    <t>12,12,2018</t>
  </si>
  <si>
    <t>13,12,2018</t>
  </si>
  <si>
    <t>MOL18121213</t>
  </si>
  <si>
    <t>16,12,2018</t>
  </si>
  <si>
    <t>YILMAZLAR ET</t>
  </si>
  <si>
    <t>17,12,2018</t>
  </si>
  <si>
    <t>AKSARAY</t>
  </si>
  <si>
    <t>YIL18121617</t>
  </si>
  <si>
    <t>19,12,2018</t>
  </si>
  <si>
    <t>20,12,2018</t>
  </si>
  <si>
    <t>YIL18121920</t>
  </si>
  <si>
    <t>24,12,2018</t>
  </si>
  <si>
    <t>ÖA18122324</t>
  </si>
  <si>
    <t>ÖA18122324-1</t>
  </si>
  <si>
    <t>27,12,2018</t>
  </si>
  <si>
    <t>28,12,2018</t>
  </si>
  <si>
    <t>BO18122627</t>
  </si>
  <si>
    <t>BO18122728</t>
  </si>
  <si>
    <t>03,01,2019</t>
  </si>
  <si>
    <t>YIL19010203</t>
  </si>
  <si>
    <t>21,01,2019</t>
  </si>
  <si>
    <t>MOL19011921</t>
  </si>
  <si>
    <t>19,01,2019</t>
  </si>
  <si>
    <t>POSTACIOĞLU</t>
  </si>
  <si>
    <t>23,01,2019</t>
  </si>
  <si>
    <t>AFYON</t>
  </si>
  <si>
    <t>PO19011819-S</t>
  </si>
  <si>
    <t>24.01.2019</t>
  </si>
  <si>
    <t>24,01,2019</t>
  </si>
  <si>
    <t>MOL19012324</t>
  </si>
  <si>
    <t>23.01.2019</t>
  </si>
  <si>
    <t>FATİH ET</t>
  </si>
  <si>
    <t>KIRKLARELİ</t>
  </si>
  <si>
    <t>FA19012223-S</t>
  </si>
  <si>
    <t>AYGÜN ET</t>
  </si>
  <si>
    <t>AY19012324-S</t>
  </si>
  <si>
    <t>AY19012324</t>
  </si>
  <si>
    <t>ÖZBAKAN</t>
  </si>
  <si>
    <t>25.01.2019</t>
  </si>
  <si>
    <t>ÖB19012324-S</t>
  </si>
  <si>
    <t>3 EFE</t>
  </si>
  <si>
    <t>3E19012425-S</t>
  </si>
  <si>
    <t>26.01.2019</t>
  </si>
  <si>
    <t>DANAYERLİ</t>
  </si>
  <si>
    <t>GAZİANTEP</t>
  </si>
  <si>
    <t>G19012223</t>
  </si>
  <si>
    <t>28.01.2019</t>
  </si>
  <si>
    <t>ÖV19012728</t>
  </si>
  <si>
    <t>G19012628-1</t>
  </si>
  <si>
    <t>G19012628</t>
  </si>
  <si>
    <t>AY19012728</t>
  </si>
  <si>
    <t>AY19012728-S</t>
  </si>
  <si>
    <t>29.01.2019</t>
  </si>
  <si>
    <t>3E19012728-S</t>
  </si>
  <si>
    <t>ÜN19012829-S</t>
  </si>
  <si>
    <t>30.01.2019</t>
  </si>
  <si>
    <t>ATAK ET</t>
  </si>
  <si>
    <t>AK19012930-S</t>
  </si>
  <si>
    <t>ÖZKESİCİLER</t>
  </si>
  <si>
    <t>MALKARA</t>
  </si>
  <si>
    <t>ÖZ19012830-S</t>
  </si>
  <si>
    <t>NEVŞEHİR</t>
  </si>
  <si>
    <t>FA19012930-S</t>
  </si>
  <si>
    <t>31.01.2019</t>
  </si>
  <si>
    <t>ÖA19013031</t>
  </si>
  <si>
    <t>İPEK ET</t>
  </si>
  <si>
    <t xml:space="preserve">AFYON </t>
  </si>
  <si>
    <t>İP19013031-S</t>
  </si>
  <si>
    <t>AY19013031-S</t>
  </si>
  <si>
    <t>01.02.2019</t>
  </si>
  <si>
    <t>ÖA19013031-1</t>
  </si>
  <si>
    <t>SAMET ET</t>
  </si>
  <si>
    <t>KEŞAN</t>
  </si>
  <si>
    <t>SA19012931</t>
  </si>
  <si>
    <t xml:space="preserve">3 EFE </t>
  </si>
  <si>
    <t>3E19023001-S</t>
  </si>
  <si>
    <t>02.02.2019</t>
  </si>
  <si>
    <t>ÖA19020102</t>
  </si>
  <si>
    <t>MY-AR ET</t>
  </si>
  <si>
    <t>BALIKESİR</t>
  </si>
  <si>
    <t>MY19020102-S</t>
  </si>
  <si>
    <t>04.02.2019</t>
  </si>
  <si>
    <t xml:space="preserve">ANKARA </t>
  </si>
  <si>
    <t>G19020204</t>
  </si>
  <si>
    <t>G19020204-1</t>
  </si>
  <si>
    <t>AY19013031</t>
  </si>
  <si>
    <t>SA19020204-S</t>
  </si>
  <si>
    <t>ATK19020304</t>
  </si>
  <si>
    <t>ATK19020304-S</t>
  </si>
  <si>
    <t>AY19020304-S</t>
  </si>
  <si>
    <t>05.02.2019</t>
  </si>
  <si>
    <t>YÜKSEL ET</t>
  </si>
  <si>
    <t>YÜK19023005-S</t>
  </si>
  <si>
    <t>ÜN19020405-S</t>
  </si>
  <si>
    <t>G19020405</t>
  </si>
  <si>
    <t>06.02.2019</t>
  </si>
  <si>
    <t>FA19020506-S</t>
  </si>
  <si>
    <t>3 EFE ET</t>
  </si>
  <si>
    <t>3E19020506-S</t>
  </si>
  <si>
    <t>G19020506</t>
  </si>
  <si>
    <t>07.02.2019</t>
  </si>
  <si>
    <t>BABET ET</t>
  </si>
  <si>
    <t>BA19020607</t>
  </si>
  <si>
    <t>İP19020607-S</t>
  </si>
  <si>
    <t>G19020607</t>
  </si>
  <si>
    <t>10.02.2019</t>
  </si>
  <si>
    <t>AT19020810-S</t>
  </si>
  <si>
    <t>ÜN19020810-S</t>
  </si>
  <si>
    <t>11.02.2019</t>
  </si>
  <si>
    <t>ÖZ19021011</t>
  </si>
  <si>
    <t>08.02.2019</t>
  </si>
  <si>
    <t xml:space="preserve">BABET </t>
  </si>
  <si>
    <t>BA19020708</t>
  </si>
  <si>
    <t>13.02.2019</t>
  </si>
  <si>
    <t>ÖZ19020911</t>
  </si>
  <si>
    <t>14.02.2019</t>
  </si>
  <si>
    <t>ÖB19021314-1</t>
  </si>
  <si>
    <t>BO19021214</t>
  </si>
  <si>
    <t>18.02.2019</t>
  </si>
  <si>
    <t>YIL19021718</t>
  </si>
  <si>
    <t>ÖB19021314</t>
  </si>
  <si>
    <t>15.02.2019</t>
  </si>
  <si>
    <t>BA19021415</t>
  </si>
  <si>
    <t>21.02.2019</t>
  </si>
  <si>
    <t>YIL19022021</t>
  </si>
  <si>
    <t>22.02.2019</t>
  </si>
  <si>
    <t xml:space="preserve">KONYA </t>
  </si>
  <si>
    <t>BO19021618</t>
  </si>
  <si>
    <t>AYG19021718</t>
  </si>
  <si>
    <t>25.02.2019</t>
  </si>
  <si>
    <t>YIL19022425</t>
  </si>
  <si>
    <t>23.02.2019</t>
  </si>
  <si>
    <t>ALKAN ET</t>
  </si>
  <si>
    <t>26.02.2019</t>
  </si>
  <si>
    <t>AL19022223</t>
  </si>
  <si>
    <t>BA19022425</t>
  </si>
  <si>
    <t>27.02.2019</t>
  </si>
  <si>
    <t>AYG19022425</t>
  </si>
  <si>
    <t>ÖA19022627</t>
  </si>
  <si>
    <t>28.02.2019</t>
  </si>
  <si>
    <t>YIL19022728</t>
  </si>
  <si>
    <t>01.03.2019</t>
  </si>
  <si>
    <t>ÖZBAKAN ET</t>
  </si>
  <si>
    <t>03.03.2019</t>
  </si>
  <si>
    <t>ÖB19032701</t>
  </si>
  <si>
    <t>04.03.2019</t>
  </si>
  <si>
    <t>ÖA19030304</t>
  </si>
  <si>
    <t>05.03.2019</t>
  </si>
  <si>
    <t>ÖA19030304-1</t>
  </si>
  <si>
    <t>G19030204</t>
  </si>
  <si>
    <t>BA19030305</t>
  </si>
  <si>
    <t>06.03.2019</t>
  </si>
  <si>
    <t>GÖKTAŞALAR</t>
  </si>
  <si>
    <t>G19030506</t>
  </si>
  <si>
    <t>07.03.2019</t>
  </si>
  <si>
    <t>,</t>
  </si>
  <si>
    <t>G19030607</t>
  </si>
  <si>
    <t>08.03.2019</t>
  </si>
  <si>
    <t>G19030607-1</t>
  </si>
  <si>
    <t>ÖA19030607</t>
  </si>
  <si>
    <t>09.03.2019</t>
  </si>
  <si>
    <t>G19030708</t>
  </si>
  <si>
    <t>11.03.2019</t>
  </si>
  <si>
    <t>G19030911</t>
  </si>
  <si>
    <t>AY19031011-S</t>
  </si>
  <si>
    <t>LANSE ET</t>
  </si>
  <si>
    <t>LA19030911-S</t>
  </si>
  <si>
    <t>12.03.2019</t>
  </si>
  <si>
    <t>G19030911-1</t>
  </si>
  <si>
    <t>BA19031011</t>
  </si>
  <si>
    <t>G19031112</t>
  </si>
  <si>
    <t>13.03.2019</t>
  </si>
  <si>
    <t>EDİRNE</t>
  </si>
  <si>
    <t>FA19031213-S</t>
  </si>
  <si>
    <t>ÜN19031213-S</t>
  </si>
  <si>
    <t>BA19031213-S</t>
  </si>
  <si>
    <t>3EFE</t>
  </si>
  <si>
    <t>3E19031213-S</t>
  </si>
  <si>
    <t>14.03.2019</t>
  </si>
  <si>
    <t>G19031314</t>
  </si>
  <si>
    <t>G19031314-1</t>
  </si>
  <si>
    <t>BA19031213</t>
  </si>
  <si>
    <t>3E19031213</t>
  </si>
  <si>
    <t>15.03.2019</t>
  </si>
  <si>
    <t>G19031315</t>
  </si>
  <si>
    <t>16.03.2019</t>
  </si>
  <si>
    <t>EMİR ET</t>
  </si>
  <si>
    <t>ESKİŞEHİR</t>
  </si>
  <si>
    <t>EM19031516-S</t>
  </si>
  <si>
    <t>BA19031415</t>
  </si>
  <si>
    <t>18.03.2019</t>
  </si>
  <si>
    <t>G19031718</t>
  </si>
  <si>
    <t>G19031718-1</t>
  </si>
  <si>
    <t>İP19031618-S</t>
  </si>
  <si>
    <t>AY19031718-S</t>
  </si>
  <si>
    <t>19.03.2019</t>
  </si>
  <si>
    <t>3E19031718-S</t>
  </si>
  <si>
    <t>BA19031819-S</t>
  </si>
  <si>
    <t>DANA KOL YERLİ</t>
  </si>
  <si>
    <t>ÖA19031718</t>
  </si>
  <si>
    <t>DANA  YERLİ</t>
  </si>
  <si>
    <t>ÖA19031819</t>
  </si>
  <si>
    <t>20.03.2019</t>
  </si>
  <si>
    <t>G19031819-1</t>
  </si>
  <si>
    <t>FA19031920-S</t>
  </si>
  <si>
    <t>ÜN19031920-S</t>
  </si>
  <si>
    <t>21.03.2019</t>
  </si>
  <si>
    <t>G19032021</t>
  </si>
  <si>
    <t>G19032021-1</t>
  </si>
  <si>
    <t>AYTAÇ</t>
  </si>
  <si>
    <t>22.03.2019</t>
  </si>
  <si>
    <t>AT19032121-S</t>
  </si>
  <si>
    <t>ÖA19032021</t>
  </si>
  <si>
    <t>25.03.2019</t>
  </si>
  <si>
    <t>MO19032325</t>
  </si>
  <si>
    <t>EM19032223-S</t>
  </si>
  <si>
    <t>24.03.2019</t>
  </si>
  <si>
    <t>ÖA19032425</t>
  </si>
  <si>
    <t>AY19032425-S</t>
  </si>
  <si>
    <t>26.03.2019</t>
  </si>
  <si>
    <t>SA19032325-S</t>
  </si>
  <si>
    <t>BA19032526</t>
  </si>
  <si>
    <t>ÖB19032426-S</t>
  </si>
  <si>
    <t>BA19032526-S</t>
  </si>
  <si>
    <t>ÖB19032426</t>
  </si>
  <si>
    <t>27.03.2019</t>
  </si>
  <si>
    <t>G19032526</t>
  </si>
  <si>
    <t>ÜN19032627-S</t>
  </si>
  <si>
    <t>28.03.2019</t>
  </si>
  <si>
    <t>G19032728</t>
  </si>
  <si>
    <t>G19032728-1</t>
  </si>
  <si>
    <t>FA19032627-S</t>
  </si>
  <si>
    <t>ÖA19032728</t>
  </si>
  <si>
    <t>29.03.2019</t>
  </si>
  <si>
    <t>EM19032629-S</t>
  </si>
  <si>
    <t>ÖA19032829</t>
  </si>
  <si>
    <t>MART TOPLAM</t>
  </si>
  <si>
    <t>01.04.2019</t>
  </si>
  <si>
    <t>G19043001</t>
  </si>
  <si>
    <t>G19043001-1</t>
  </si>
  <si>
    <t>AY19043101-S</t>
  </si>
  <si>
    <t>AY19043101</t>
  </si>
  <si>
    <t>02.04.2019</t>
  </si>
  <si>
    <t>BA19043101-S</t>
  </si>
  <si>
    <t>ÖA19043101</t>
  </si>
  <si>
    <t>G19040102</t>
  </si>
  <si>
    <t>03.04.2019</t>
  </si>
  <si>
    <t>ÜN1900203-S</t>
  </si>
  <si>
    <t>G19040203</t>
  </si>
  <si>
    <t>04.04.2019</t>
  </si>
  <si>
    <t>G19040304</t>
  </si>
  <si>
    <t>ÖA19040304</t>
  </si>
  <si>
    <t>05.04.2019</t>
  </si>
  <si>
    <t>G19040304-1</t>
  </si>
  <si>
    <t>EM19040405-S</t>
  </si>
  <si>
    <t>ÖA19040405</t>
  </si>
  <si>
    <t>06.04.2019</t>
  </si>
  <si>
    <t>ÖB19040405</t>
  </si>
  <si>
    <t>ÖB19040506-S</t>
  </si>
  <si>
    <t>JET OĞULLARI</t>
  </si>
  <si>
    <t>08.04.2019</t>
  </si>
  <si>
    <t>ELAZIĞ</t>
  </si>
  <si>
    <t>JT19040607</t>
  </si>
  <si>
    <t>ÖA19040708</t>
  </si>
  <si>
    <t>ÖB19040506</t>
  </si>
  <si>
    <t>09.04.2019</t>
  </si>
  <si>
    <t>ÖA19040708-1</t>
  </si>
  <si>
    <t>JT19040608</t>
  </si>
  <si>
    <t>JT19040608-1</t>
  </si>
  <si>
    <t>SIĞIR  YERLİ</t>
  </si>
  <si>
    <t>JT19040608-S</t>
  </si>
  <si>
    <t>DÜVE  YERLİ</t>
  </si>
  <si>
    <t>JT19040608-D</t>
  </si>
  <si>
    <t>AT19040808</t>
  </si>
  <si>
    <t>BA19040709-S</t>
  </si>
  <si>
    <t>BA19040709</t>
  </si>
  <si>
    <t>ÖA19040809</t>
  </si>
  <si>
    <t>10.04.2019</t>
  </si>
  <si>
    <t>ÜN19040910-S</t>
  </si>
  <si>
    <t>11.04.2019</t>
  </si>
  <si>
    <t>BA19040910-S</t>
  </si>
  <si>
    <t>MOL19041011</t>
  </si>
  <si>
    <t>BA19040910</t>
  </si>
  <si>
    <t>ALPTÜRK ET</t>
  </si>
  <si>
    <t>ALP19040910</t>
  </si>
  <si>
    <t>12.04.2019</t>
  </si>
  <si>
    <t>JT19040911-D</t>
  </si>
  <si>
    <t>JT19040911</t>
  </si>
  <si>
    <t>JT19040911-S</t>
  </si>
  <si>
    <t>BAYRAKTARLAR ET</t>
  </si>
  <si>
    <t>İZMİR</t>
  </si>
  <si>
    <t>BA19041112-S</t>
  </si>
  <si>
    <t>EM19040912-S</t>
  </si>
  <si>
    <t>13.04.2019</t>
  </si>
  <si>
    <t>ÖA19041112</t>
  </si>
  <si>
    <t>15.04.2019</t>
  </si>
  <si>
    <t>ÖA19041415</t>
  </si>
  <si>
    <t>ÖA19041415-1</t>
  </si>
  <si>
    <t>FA19041213-S</t>
  </si>
  <si>
    <t>ÖA19041011</t>
  </si>
  <si>
    <t>AY19041415-S</t>
  </si>
  <si>
    <t>EM19041115-S</t>
  </si>
  <si>
    <t>EBİŞOĞLU ET</t>
  </si>
  <si>
    <t>EB19041415-S</t>
  </si>
  <si>
    <t>16.04.2019</t>
  </si>
  <si>
    <t>ÖB19041416</t>
  </si>
  <si>
    <t>DANA KOL YERLİ</t>
  </si>
  <si>
    <t>ÖB19041416-K</t>
  </si>
  <si>
    <t>17.04.2019</t>
  </si>
  <si>
    <t>G19041315</t>
  </si>
  <si>
    <t>ÜN19041617-S</t>
  </si>
  <si>
    <t>ALP19041617-S</t>
  </si>
  <si>
    <t>EMMİOĞLU ET</t>
  </si>
  <si>
    <t>EMM19041617-S</t>
  </si>
  <si>
    <t>18.04.2019</t>
  </si>
  <si>
    <t>JT19041617</t>
  </si>
  <si>
    <t>G19041516</t>
  </si>
  <si>
    <t>BA19041618</t>
  </si>
  <si>
    <t>19.04.2019</t>
  </si>
  <si>
    <t>EMM19041617</t>
  </si>
  <si>
    <t>BA19041618-S</t>
  </si>
  <si>
    <t>JT19041718</t>
  </si>
  <si>
    <t>YIL ET</t>
  </si>
  <si>
    <t>YI19041819-S</t>
  </si>
  <si>
    <t>20.04.2019</t>
  </si>
  <si>
    <t>BA19041718</t>
  </si>
  <si>
    <t>22.04.2019</t>
  </si>
  <si>
    <t>G19042022</t>
  </si>
  <si>
    <t>G19042022-1</t>
  </si>
  <si>
    <t>EM19041619-S</t>
  </si>
  <si>
    <t>AY19042122-S</t>
  </si>
  <si>
    <t>BA19042222-S</t>
  </si>
  <si>
    <t>.</t>
  </si>
  <si>
    <t>ÖA19042122</t>
  </si>
  <si>
    <t>24.04.2019</t>
  </si>
  <si>
    <t>ÖB19042122</t>
  </si>
  <si>
    <t>ÖB19042122-S</t>
  </si>
  <si>
    <t>ÖB19042122-D</t>
  </si>
  <si>
    <t>BO19042022</t>
  </si>
  <si>
    <t>BO19042022-S</t>
  </si>
  <si>
    <t>ÜN19042324-S</t>
  </si>
  <si>
    <t>YI19042324-S</t>
  </si>
  <si>
    <t>25.04.2019</t>
  </si>
  <si>
    <t>G19042325</t>
  </si>
  <si>
    <t>G19042325-1</t>
  </si>
  <si>
    <t>ÖA19042425</t>
  </si>
  <si>
    <t>26.04.2019</t>
  </si>
  <si>
    <t>ÖB19042425</t>
  </si>
  <si>
    <t>ÖB19042425-S</t>
  </si>
  <si>
    <t>AY19042425-S</t>
  </si>
  <si>
    <t>EM19042426-S</t>
  </si>
  <si>
    <t>29.04.2019</t>
  </si>
  <si>
    <t>G19042629</t>
  </si>
  <si>
    <t>G19042629-1</t>
  </si>
  <si>
    <t>AY19042829-S</t>
  </si>
  <si>
    <t>ÖA19042829</t>
  </si>
  <si>
    <t>30.04.2019</t>
  </si>
  <si>
    <t>G19042930</t>
  </si>
  <si>
    <t>EB19042830-S</t>
  </si>
  <si>
    <t>BA19042729-S</t>
  </si>
  <si>
    <t>NİSAN TOPLAM</t>
  </si>
  <si>
    <t>DANA, DÜVE, SIĞIR ORTALAMA MALİYET</t>
  </si>
  <si>
    <t>01.05.2019</t>
  </si>
  <si>
    <t>02.05.2019</t>
  </si>
  <si>
    <t>BA19053001</t>
  </si>
  <si>
    <t>ÜN19053001-S</t>
  </si>
  <si>
    <t>G19053002</t>
  </si>
  <si>
    <t>G19053002-1</t>
  </si>
  <si>
    <t>03.05.2019</t>
  </si>
  <si>
    <t>YI19053001-S</t>
  </si>
  <si>
    <t>ÖB19050102</t>
  </si>
  <si>
    <t>BA19053001-S</t>
  </si>
  <si>
    <t>ÖA19050203</t>
  </si>
  <si>
    <t>04.05.2019</t>
  </si>
  <si>
    <t>ÖB19050102-S</t>
  </si>
  <si>
    <t>Ü</t>
  </si>
  <si>
    <t>G19050203</t>
  </si>
  <si>
    <t>ANKA ET</t>
  </si>
  <si>
    <t>ANK19050102-S</t>
  </si>
  <si>
    <t>06.05.2019</t>
  </si>
  <si>
    <t>ÖB19050102-D</t>
  </si>
  <si>
    <t>MOL19050406</t>
  </si>
  <si>
    <t>BEŞYOL ET</t>
  </si>
  <si>
    <t>BEŞ19050204-S</t>
  </si>
  <si>
    <t>BEŞ19050204-D</t>
  </si>
  <si>
    <t>G19050406</t>
  </si>
  <si>
    <t>07.05.2019</t>
  </si>
  <si>
    <t>BO19050406</t>
  </si>
  <si>
    <t>BO19050406-S</t>
  </si>
  <si>
    <t>AY19050506-S</t>
  </si>
  <si>
    <t>EM19050406-S</t>
  </si>
  <si>
    <t>MİRZA SAKATAT </t>
  </si>
  <si>
    <t>MİR19050305-S</t>
  </si>
  <si>
    <t>ÖB19050506</t>
  </si>
  <si>
    <t>ÖB19050506-S</t>
  </si>
  <si>
    <t>08.05.2019</t>
  </si>
  <si>
    <t>ÖB19050506-D</t>
  </si>
  <si>
    <t>ÖA19050607</t>
  </si>
  <si>
    <t>G19050708</t>
  </si>
  <si>
    <t>09.05.2019</t>
  </si>
  <si>
    <t>G19050709</t>
  </si>
  <si>
    <t>G19050709-1</t>
  </si>
  <si>
    <t>10.05.2019</t>
  </si>
  <si>
    <t>ÖB19050810</t>
  </si>
  <si>
    <t>YI19050708-S</t>
  </si>
  <si>
    <t>ÖA19050809</t>
  </si>
  <si>
    <t>ÜN19050708-S</t>
  </si>
  <si>
    <t>11.05.2019</t>
  </si>
  <si>
    <t>ÖB19050810-D</t>
  </si>
  <si>
    <t>BEŞ19050910-D</t>
  </si>
  <si>
    <t>BEŞ19050910-S</t>
  </si>
  <si>
    <t>MİR19050910-S</t>
  </si>
  <si>
    <t>G19050910</t>
  </si>
  <si>
    <t>13.05.2019</t>
  </si>
  <si>
    <t>YIL19051213</t>
  </si>
  <si>
    <t>BAY19050910-S</t>
  </si>
  <si>
    <t>ÖB19050810-S</t>
  </si>
  <si>
    <t>BO19051113</t>
  </si>
  <si>
    <t>14.05.2019</t>
  </si>
  <si>
    <t>ÖB19050810-K</t>
  </si>
  <si>
    <t>BAY19050910-D</t>
  </si>
  <si>
    <t>EB19051213-S</t>
  </si>
  <si>
    <t>EM19050610-S</t>
  </si>
  <si>
    <t>BO19051113-S</t>
  </si>
  <si>
    <t>AYG19051213-S</t>
  </si>
  <si>
    <t>15.05.2019</t>
  </si>
  <si>
    <t>ÖB19051214-D</t>
  </si>
  <si>
    <t>ÖB19051214-S</t>
  </si>
  <si>
    <t>EMM19051315</t>
  </si>
  <si>
    <t>G19051014</t>
  </si>
  <si>
    <t>16.05.2019</t>
  </si>
  <si>
    <t>YIL190511516</t>
  </si>
  <si>
    <t>ÜN19051415-S</t>
  </si>
  <si>
    <t>17.05.2019</t>
  </si>
  <si>
    <t>ÖA19051516</t>
  </si>
  <si>
    <t>AYG19051517-S</t>
  </si>
  <si>
    <t>ASA KAHRAMANLAR ET</t>
  </si>
  <si>
    <t>SK19051213-S</t>
  </si>
  <si>
    <t>EMM19051315-S</t>
  </si>
  <si>
    <t>18.05.2019</t>
  </si>
  <si>
    <t>BEŞ19051617-S</t>
  </si>
  <si>
    <t>20.05.2019</t>
  </si>
  <si>
    <t>G19051820</t>
  </si>
  <si>
    <t>ÖA19051920</t>
  </si>
  <si>
    <t>21.05.2019</t>
  </si>
  <si>
    <t>G19051820-1</t>
  </si>
  <si>
    <t>BO19051820</t>
  </si>
  <si>
    <t>ÖB19051517-S</t>
  </si>
  <si>
    <t>EMR19051617-S</t>
  </si>
  <si>
    <t>AYG19051920-S</t>
  </si>
  <si>
    <t>MRZ19051718-S-S</t>
  </si>
  <si>
    <t>22.05.2019</t>
  </si>
  <si>
    <t>BEŞ19051617-D</t>
  </si>
  <si>
    <t>ÖB19051517-D</t>
  </si>
  <si>
    <t>23.05.2019</t>
  </si>
  <si>
    <t>EMM19052122</t>
  </si>
  <si>
    <t>ÜN19052122-S</t>
  </si>
  <si>
    <t>G19052123</t>
  </si>
  <si>
    <t>24.05.2019</t>
  </si>
  <si>
    <t>BEŞ19052324-D</t>
  </si>
  <si>
    <t>BEŞ19052324-S</t>
  </si>
  <si>
    <t>27.05.2019</t>
  </si>
  <si>
    <t>YIL19052527</t>
  </si>
  <si>
    <t>28.05.2019</t>
  </si>
  <si>
    <t>EM19052728-S</t>
  </si>
  <si>
    <t>29.05.2019</t>
  </si>
  <si>
    <t>ÜN19052829-S</t>
  </si>
  <si>
    <t>30.05.2019</t>
  </si>
  <si>
    <t>YIL19052930</t>
  </si>
  <si>
    <t>MİR19052930-S</t>
  </si>
  <si>
    <t>31.05.2019</t>
  </si>
  <si>
    <t>MİR19052530-S</t>
  </si>
  <si>
    <t>26.05.2019</t>
  </si>
  <si>
    <t>BO19052527</t>
  </si>
  <si>
    <t>MAYIS TOPLAM</t>
  </si>
  <si>
    <t>07.06.2019</t>
  </si>
  <si>
    <t>EM19060607-S</t>
  </si>
  <si>
    <t>G19060307</t>
  </si>
  <si>
    <t>G19060307-1</t>
  </si>
  <si>
    <t>10.06.2019</t>
  </si>
  <si>
    <t>G19060710</t>
  </si>
  <si>
    <t>G19060710-1</t>
  </si>
  <si>
    <t>AYG19060910-S</t>
  </si>
  <si>
    <t>11.06.2019</t>
  </si>
  <si>
    <t>G19061011</t>
  </si>
  <si>
    <t>12.06.2019</t>
  </si>
  <si>
    <t>EMM19061112</t>
  </si>
  <si>
    <t>EMM19061112-S</t>
  </si>
  <si>
    <t>ÜN19061112-S</t>
  </si>
  <si>
    <t>MİR19061112-S</t>
  </si>
  <si>
    <t>13.06.2019</t>
  </si>
  <si>
    <t>G19061213</t>
  </si>
  <si>
    <t>ANK19061113-S</t>
  </si>
  <si>
    <t>14.06.2019</t>
  </si>
  <si>
    <t>ANK19061113</t>
  </si>
  <si>
    <t>G19061213-1</t>
  </si>
  <si>
    <t>G19061214</t>
  </si>
  <si>
    <t xml:space="preserve"> </t>
  </si>
  <si>
    <t>3E19061213-S</t>
  </si>
  <si>
    <t>KAZDAĞI ET</t>
  </si>
  <si>
    <t>EZİNE</t>
  </si>
  <si>
    <t>KAZ19061213-S</t>
  </si>
  <si>
    <t>15.06.2019</t>
  </si>
  <si>
    <t>EM19061314-S</t>
  </si>
  <si>
    <t>MİR19061415-S</t>
  </si>
  <si>
    <t>17.06.2019</t>
  </si>
  <si>
    <t>YIL19061617</t>
  </si>
  <si>
    <t>G19061517</t>
  </si>
  <si>
    <t>18.06.2019</t>
  </si>
  <si>
    <t>AYG19061617-S</t>
  </si>
  <si>
    <t>AYG19061617</t>
  </si>
  <si>
    <t>KAZ19061517-S</t>
  </si>
  <si>
    <t>TARIM ET</t>
  </si>
  <si>
    <t>TRM19061617-S</t>
  </si>
  <si>
    <t>G19061718</t>
  </si>
  <si>
    <t>19.06.2019</t>
  </si>
  <si>
    <t>BA19061718-S</t>
  </si>
  <si>
    <t>BA19061718</t>
  </si>
  <si>
    <t>ÇEKMECE ET</t>
  </si>
  <si>
    <t xml:space="preserve">KIRKLARELİ </t>
  </si>
  <si>
    <t>ÇE19061718-S</t>
  </si>
  <si>
    <t>EMM19061719-S</t>
  </si>
  <si>
    <t>20.06.2019</t>
  </si>
  <si>
    <t>YIL19061920</t>
  </si>
  <si>
    <t>21.06.2019</t>
  </si>
  <si>
    <t>G19061819</t>
  </si>
  <si>
    <t>KAZ19061820-S</t>
  </si>
  <si>
    <t>MİR19061819</t>
  </si>
  <si>
    <t>ÖLMEZLER GIDA</t>
  </si>
  <si>
    <t>22.06.2019</t>
  </si>
  <si>
    <t>ÖL19061920-S</t>
  </si>
  <si>
    <t>AYG19061920-S</t>
  </si>
  <si>
    <t>ÜN19061819-S</t>
  </si>
  <si>
    <t>MİR19061819-S</t>
  </si>
  <si>
    <t>BO19061820-S</t>
  </si>
  <si>
    <t>24.06.2019</t>
  </si>
  <si>
    <t>MİR19061819-D</t>
  </si>
  <si>
    <t>BO19061820</t>
  </si>
  <si>
    <t>G19062224</t>
  </si>
  <si>
    <t>25.06.2019</t>
  </si>
  <si>
    <t>G19062224-1</t>
  </si>
  <si>
    <t>ANK19061921-S</t>
  </si>
  <si>
    <t>26.06.2019</t>
  </si>
  <si>
    <t>G19062425</t>
  </si>
  <si>
    <t>BEYDAĞ ET</t>
  </si>
  <si>
    <t>MALATYA</t>
  </si>
  <si>
    <t>BEY19062224-S</t>
  </si>
  <si>
    <t>BEY19062224-D</t>
  </si>
  <si>
    <t>27.06.2019</t>
  </si>
  <si>
    <t>G19062627</t>
  </si>
  <si>
    <t>G19062627-1</t>
  </si>
  <si>
    <t>ÖA19062526</t>
  </si>
  <si>
    <t>28.06.2019</t>
  </si>
  <si>
    <t>BO19062627</t>
  </si>
  <si>
    <t>HAZİRAN TOPLAM</t>
  </si>
  <si>
    <t>01.07.2019</t>
  </si>
  <si>
    <t>ÖA19073001</t>
  </si>
  <si>
    <t>ÖA19073001-1</t>
  </si>
  <si>
    <t>ÖB19073001-K</t>
  </si>
  <si>
    <t>03.07.2019</t>
  </si>
  <si>
    <t>04.07.2019</t>
  </si>
  <si>
    <t>ÖA19070203</t>
  </si>
  <si>
    <t>DANA  KOL YERLİ</t>
  </si>
  <si>
    <t>ÖA19070203-K</t>
  </si>
  <si>
    <t>ÖA19070304</t>
  </si>
  <si>
    <t>ÖA19070304-1</t>
  </si>
  <si>
    <t>05.07.2019</t>
  </si>
  <si>
    <t>BO19070304</t>
  </si>
  <si>
    <t>08.07.2019</t>
  </si>
  <si>
    <t>YIL19070608</t>
  </si>
  <si>
    <t>EBİŞOĞLU</t>
  </si>
  <si>
    <t>EB19070708-S</t>
  </si>
  <si>
    <t>BA19070708</t>
  </si>
  <si>
    <t>09.07.2019</t>
  </si>
  <si>
    <t>BO19070608-S</t>
  </si>
  <si>
    <t>BA19070708-S</t>
  </si>
  <si>
    <t>G19070809</t>
  </si>
  <si>
    <t>BO19070608-D</t>
  </si>
  <si>
    <t>9.07.2019</t>
  </si>
  <si>
    <t>10.07.2019</t>
  </si>
  <si>
    <t>BEY19070809-S</t>
  </si>
  <si>
    <t>KAZ19070910-S</t>
  </si>
  <si>
    <t>BEY19070809-D</t>
  </si>
  <si>
    <t>MİR19070810-S</t>
  </si>
  <si>
    <t>11.07.2019</t>
  </si>
  <si>
    <t>MOL19071011</t>
  </si>
  <si>
    <t>ÖB19071011-K</t>
  </si>
  <si>
    <t>12.07.2019</t>
  </si>
  <si>
    <t>ALPTÜRK</t>
  </si>
  <si>
    <t>ALP19071112-D</t>
  </si>
  <si>
    <t>ÖB19071011-S</t>
  </si>
  <si>
    <t>15.07.2019</t>
  </si>
  <si>
    <t>KAZ19071415-S</t>
  </si>
  <si>
    <t>EB19071415-S</t>
  </si>
  <si>
    <t>13.07.2019</t>
  </si>
  <si>
    <t>EM19071113-S</t>
  </si>
  <si>
    <t>MİR19071315-S</t>
  </si>
  <si>
    <t>16.07.2019</t>
  </si>
  <si>
    <t>ÖB19071416-K</t>
  </si>
  <si>
    <t>ÖB19071416-S</t>
  </si>
  <si>
    <t>G19071516</t>
  </si>
  <si>
    <t>17.07.2019</t>
  </si>
  <si>
    <t>ANK19071415-S</t>
  </si>
  <si>
    <t>BA19071617</t>
  </si>
  <si>
    <t>ÜN19071516-S</t>
  </si>
  <si>
    <t>G19071516-1</t>
  </si>
  <si>
    <t>18.07.2019</t>
  </si>
  <si>
    <t>G19071617</t>
  </si>
  <si>
    <t>G19071617-1</t>
  </si>
  <si>
    <t>G19071718</t>
  </si>
  <si>
    <t>19.07.2019</t>
  </si>
  <si>
    <t>BA19071617-S</t>
  </si>
  <si>
    <t>ÖB19071718-D</t>
  </si>
  <si>
    <t>MEMDUH ÖZKOK</t>
  </si>
  <si>
    <t>MEM19071718-S</t>
  </si>
  <si>
    <t>ÖB19071718-S</t>
  </si>
  <si>
    <t>20.07.2019</t>
  </si>
  <si>
    <t>DANA KOL</t>
  </si>
  <si>
    <t>ÖB19071718-K</t>
  </si>
  <si>
    <t>22.07.2019</t>
  </si>
  <si>
    <t>MOL19072022</t>
  </si>
  <si>
    <t>23.07.2019</t>
  </si>
  <si>
    <t>AYG19072122-S</t>
  </si>
  <si>
    <t>MİR19071718-D</t>
  </si>
  <si>
    <t>MİR19071718-S</t>
  </si>
  <si>
    <t>EB19072122-S</t>
  </si>
  <si>
    <t>24.07.2019</t>
  </si>
  <si>
    <t>İP19071820-S</t>
  </si>
  <si>
    <t>ÖB19072122-K</t>
  </si>
  <si>
    <t>G19072123</t>
  </si>
  <si>
    <t>25.07.2019</t>
  </si>
  <si>
    <t>BA19072223-S</t>
  </si>
  <si>
    <t>YIL19072425</t>
  </si>
  <si>
    <t>EMM19072324-S</t>
  </si>
  <si>
    <t>26.07.2019</t>
  </si>
  <si>
    <t>MİR19072425-S</t>
  </si>
  <si>
    <t>MEM19072425-S</t>
  </si>
  <si>
    <t>29.07.2019</t>
  </si>
  <si>
    <t>G19072729</t>
  </si>
  <si>
    <t>EMM19072324</t>
  </si>
  <si>
    <t>ÜN19072425-S</t>
  </si>
  <si>
    <t>30.07.2019</t>
  </si>
  <si>
    <t>EB19072930-S</t>
  </si>
  <si>
    <t>AYG19072829-S</t>
  </si>
  <si>
    <t>ÖB19072830-K</t>
  </si>
  <si>
    <t>G19072325</t>
  </si>
  <si>
    <t>31.07.2019</t>
  </si>
  <si>
    <t>G19072729-1</t>
  </si>
  <si>
    <t>ALP19072930-D</t>
  </si>
  <si>
    <t>BEY190703031-S</t>
  </si>
  <si>
    <t>BEY19073031-D</t>
  </si>
  <si>
    <t>TEMMUZ TOPLAM</t>
  </si>
  <si>
    <t>SIĞIR ORTALAMA MALİYET</t>
  </si>
  <si>
    <t>DANA TAKIM-DANA KOL ORTALAMA MALİYET</t>
  </si>
  <si>
    <t>DÜVE ORTALAMA MALİYET</t>
  </si>
  <si>
    <t>TEMMUZ PLATFORM TOPLAM</t>
  </si>
  <si>
    <t>PLATFORM PARÇALAMA</t>
  </si>
  <si>
    <t>01.08.2019</t>
  </si>
  <si>
    <t>G19083001</t>
  </si>
  <si>
    <t>ÇEKİCİLER GIDA</t>
  </si>
  <si>
    <t>HATAY</t>
  </si>
  <si>
    <t>ÇEK19083101-S</t>
  </si>
  <si>
    <t>KAZ19083001-S</t>
  </si>
  <si>
    <t>02.08.2019</t>
  </si>
  <si>
    <t>G19073031</t>
  </si>
  <si>
    <t>02.07.2019</t>
  </si>
  <si>
    <t>BA19083101-S</t>
  </si>
  <si>
    <t>MİR19080102-S</t>
  </si>
  <si>
    <t>EMR19083102-S</t>
  </si>
  <si>
    <t>05.08.2019</t>
  </si>
  <si>
    <t>ALP19082930</t>
  </si>
  <si>
    <t>ÖB19080405</t>
  </si>
  <si>
    <t>06.08.2019</t>
  </si>
  <si>
    <t>ÖB19080405-1</t>
  </si>
  <si>
    <t>G19083001-1</t>
  </si>
  <si>
    <t>ALP19080506-2</t>
  </si>
  <si>
    <t>G19080305</t>
  </si>
  <si>
    <t>07.08.2019</t>
  </si>
  <si>
    <t>MEM19080607-S</t>
  </si>
  <si>
    <t>ALP19080506-D</t>
  </si>
  <si>
    <t>08.08.2019</t>
  </si>
  <si>
    <t>ALP19080506-1</t>
  </si>
  <si>
    <t>ALP19080506</t>
  </si>
  <si>
    <t>G19080608</t>
  </si>
  <si>
    <t>ÖB19080607</t>
  </si>
  <si>
    <t>MALKABUL GÖKTAŞLAR OLARAK ALINDI METROYA VERİLDİ.</t>
  </si>
  <si>
    <t>09.08.2019</t>
  </si>
  <si>
    <t>ÖB19080607-1</t>
  </si>
  <si>
    <t>MALKABUL GÖKTAŞLAR OLARAK ALINDI.</t>
  </si>
  <si>
    <t>G19080608-1</t>
  </si>
  <si>
    <t>EMR19080607-S</t>
  </si>
  <si>
    <t>ÇEK19080708-S</t>
  </si>
  <si>
    <t>15.08.2019</t>
  </si>
  <si>
    <t>G19081315</t>
  </si>
  <si>
    <t>ÖB19081115-D</t>
  </si>
  <si>
    <t xml:space="preserve">  </t>
  </si>
  <si>
    <t>16.08.2019</t>
  </si>
  <si>
    <t>ÖB19081516-D</t>
  </si>
  <si>
    <t>G19081315-1</t>
  </si>
  <si>
    <t>19.08.2019</t>
  </si>
  <si>
    <t>G19081819</t>
  </si>
  <si>
    <t>G19081819-1</t>
  </si>
  <si>
    <t>20.08.2019</t>
  </si>
  <si>
    <t>KAZ19081719-S</t>
  </si>
  <si>
    <t>ÇEK19081719-S</t>
  </si>
  <si>
    <t>ÇEK19081719-D</t>
  </si>
  <si>
    <t>G19081719</t>
  </si>
  <si>
    <t>EB19081920-S</t>
  </si>
  <si>
    <t>21.08.2019</t>
  </si>
  <si>
    <t>BA19081921-S</t>
  </si>
  <si>
    <t>BA19081921</t>
  </si>
  <si>
    <t>22.08.2019</t>
  </si>
  <si>
    <t>G19082022</t>
  </si>
  <si>
    <t>G19082022-1</t>
  </si>
  <si>
    <t>23.08.2019</t>
  </si>
  <si>
    <t>MEM19082021-S</t>
  </si>
  <si>
    <t>EMR19082122-S</t>
  </si>
  <si>
    <t>24.08.2019</t>
  </si>
  <si>
    <t>BO19082122</t>
  </si>
  <si>
    <t>G19082122</t>
  </si>
  <si>
    <t>26.08.2019</t>
  </si>
  <si>
    <t>AYG19082526-S</t>
  </si>
  <si>
    <t>G19082426</t>
  </si>
  <si>
    <t>27.08.2019</t>
  </si>
  <si>
    <t>BO19082426</t>
  </si>
  <si>
    <t>ÇEK19082426-S</t>
  </si>
  <si>
    <t>28.08.2019</t>
  </si>
  <si>
    <t>AYDIN</t>
  </si>
  <si>
    <t>BAY19082627-S</t>
  </si>
  <si>
    <t>MEM19082728-S</t>
  </si>
  <si>
    <t>G19082728</t>
  </si>
  <si>
    <t>KAZ19082627-S</t>
  </si>
  <si>
    <t>G19082426-1</t>
  </si>
  <si>
    <t>KAZ19082627-D</t>
  </si>
  <si>
    <t>29.08.2019</t>
  </si>
  <si>
    <t>G19082829</t>
  </si>
  <si>
    <t>G19082829-1</t>
  </si>
  <si>
    <t>AYG19082829-S</t>
  </si>
  <si>
    <t>BA19082829-S</t>
  </si>
  <si>
    <t>30.08.2019</t>
  </si>
  <si>
    <t>BA19082829</t>
  </si>
  <si>
    <t>İSTANBUL</t>
  </si>
  <si>
    <t>FA19082728-S</t>
  </si>
  <si>
    <t>EMR19082728-S</t>
  </si>
  <si>
    <t>AĞUSTOS TOPLAM</t>
  </si>
  <si>
    <t>DANA ORTALAMA MALİYET</t>
  </si>
  <si>
    <t>02.09.2019</t>
  </si>
  <si>
    <t>BO19082729</t>
  </si>
  <si>
    <t>ÖL19082829-S</t>
  </si>
  <si>
    <t>ÖL19082829-S-1</t>
  </si>
  <si>
    <t>G19093002</t>
  </si>
  <si>
    <t>G19093002-1</t>
  </si>
  <si>
    <t>03.09.2019</t>
  </si>
  <si>
    <t>KAZ19093102-S</t>
  </si>
  <si>
    <t>ÇEK19093103-S</t>
  </si>
  <si>
    <t>TRM19090203-S</t>
  </si>
  <si>
    <t>04.09.2019</t>
  </si>
  <si>
    <t>BAY19090203-S</t>
  </si>
  <si>
    <t>SAYILIR ET</t>
  </si>
  <si>
    <t>SAY19090203-S</t>
  </si>
  <si>
    <t>BO19093102</t>
  </si>
  <si>
    <t>05.09.2019</t>
  </si>
  <si>
    <t>MEM19090304-s</t>
  </si>
  <si>
    <t>G19090305</t>
  </si>
  <si>
    <t>06.09.2019</t>
  </si>
  <si>
    <t>BO19093102-1</t>
  </si>
  <si>
    <t>G19090305-1</t>
  </si>
  <si>
    <t>BO19090305</t>
  </si>
  <si>
    <t>09.09.2019</t>
  </si>
  <si>
    <t>G19090609</t>
  </si>
  <si>
    <t>G19090609-1</t>
  </si>
  <si>
    <t>10.09.2019</t>
  </si>
  <si>
    <t>BA19090709-S</t>
  </si>
  <si>
    <t>KAZ19090709-S</t>
  </si>
  <si>
    <t>11.09.2019</t>
  </si>
  <si>
    <t>BA19090709</t>
  </si>
  <si>
    <t>ÇEK19090710-S</t>
  </si>
  <si>
    <t>12.09.2019</t>
  </si>
  <si>
    <t>BA19091011</t>
  </si>
  <si>
    <t>BA19091011-S</t>
  </si>
  <si>
    <t>BO19090305-1</t>
  </si>
  <si>
    <t>G19091012</t>
  </si>
  <si>
    <t>13.09.2019</t>
  </si>
  <si>
    <t>BO19090709</t>
  </si>
  <si>
    <t>G19091012-1</t>
  </si>
  <si>
    <t>BO19091112</t>
  </si>
  <si>
    <t>16.09.2019</t>
  </si>
  <si>
    <t>ÖA19091516</t>
  </si>
  <si>
    <t>ÖA19091516-1</t>
  </si>
  <si>
    <t>G19091316</t>
  </si>
  <si>
    <t>17.09.2019</t>
  </si>
  <si>
    <t>KAZ19091416-S</t>
  </si>
  <si>
    <t>ÇEK19091417-S</t>
  </si>
  <si>
    <t>18.09.2019</t>
  </si>
  <si>
    <t>MEM19091718-S</t>
  </si>
  <si>
    <t>19.09.2019</t>
  </si>
  <si>
    <t>BO19091416</t>
  </si>
  <si>
    <t>ÇAĞLAYANLAR ET</t>
  </si>
  <si>
    <t>20.09.2019</t>
  </si>
  <si>
    <t>KIRŞEHİR</t>
  </si>
  <si>
    <t>ÇA19091819-D</t>
  </si>
  <si>
    <t>ÇA19091718</t>
  </si>
  <si>
    <t>23.09.2019</t>
  </si>
  <si>
    <t>G19092123</t>
  </si>
  <si>
    <t>G19092123-1</t>
  </si>
  <si>
    <t>24.09.2019</t>
  </si>
  <si>
    <t>KAZ19092123-S</t>
  </si>
  <si>
    <t>ÇEK19092124-S</t>
  </si>
  <si>
    <t>BO19092123</t>
  </si>
  <si>
    <t>25.09.2019</t>
  </si>
  <si>
    <t>ÖB19092224-D</t>
  </si>
  <si>
    <t>ÖB19092224-S</t>
  </si>
  <si>
    <t>BAY19092324-S</t>
  </si>
  <si>
    <t>26.09.2019</t>
  </si>
  <si>
    <t>ÖB19092224</t>
  </si>
  <si>
    <t>G19092426</t>
  </si>
  <si>
    <t>27.09.2019</t>
  </si>
  <si>
    <t>ÖB19092224-1</t>
  </si>
  <si>
    <t>G19092426-1</t>
  </si>
  <si>
    <t>G19092325</t>
  </si>
  <si>
    <t>MİR19092526-S</t>
  </si>
  <si>
    <t>28.09.2019</t>
  </si>
  <si>
    <t>G19092627</t>
  </si>
  <si>
    <t>30.09.2019</t>
  </si>
  <si>
    <t>BO19092426</t>
  </si>
  <si>
    <t>G19092830</t>
  </si>
  <si>
    <t>G19092830-1</t>
  </si>
  <si>
    <t>EYLÜL TOPLAM</t>
  </si>
  <si>
    <t>BO19092830</t>
  </si>
  <si>
    <t>ÇEK19102801-S</t>
  </si>
  <si>
    <t>KAZ19092830-S</t>
  </si>
  <si>
    <t>G19100407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</si>
</sst>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_-* #,##0.00\ _T_L_-;\-* #,##0.00\ _T_L_-;_-* &quot;-&quot;??\ _T_L_-;_-@_-"/>
  </numFmts>
  <fonts count="35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  <font>
      <b/>
      <sz val="18"/>
      <color theme="1"/>
      <name val="Calibri"/>
      <family val="2"/>
      <charset val="162"/>
      <scheme val="minor"/>
    </font>
    <font>
      <b/>
      <sz val="14"/>
      <color theme="0"/>
      <name val="Calibri"/>
      <family val="2"/>
      <charset val="162"/>
      <scheme val="minor"/>
    </font>
    <font>
      <sz val="18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b/>
      <sz val="10"/>
      <color theme="1"/>
      <name val="Calibri"/>
      <family val="2"/>
      <charset val="162"/>
      <scheme val="minor"/>
    </font>
    <font>
      <sz val="11"/>
      <color theme="1" tint="0.34998626667073579"/>
      <name val="Calibri"/>
      <family val="2"/>
      <charset val="162"/>
      <scheme val="minor"/>
    </font>
    <font>
      <b/>
      <i/>
      <sz val="11"/>
      <color theme="1"/>
      <name val="Calibri"/>
      <family val="2"/>
      <charset val="162"/>
      <scheme val="minor"/>
    </font>
    <font>
      <sz val="10"/>
      <color theme="1" tint="0.34998626667073579"/>
      <name val="Calibri"/>
      <family val="2"/>
      <charset val="162"/>
      <scheme val="minor"/>
    </font>
    <font>
      <b/>
      <sz val="9"/>
      <color theme="1" tint="0.14999847407452621"/>
      <name val="Calibri"/>
      <family val="2"/>
      <charset val="162"/>
      <scheme val="minor"/>
    </font>
    <font>
      <sz val="9"/>
      <color theme="1" tint="0.34998626667073579"/>
      <name val="Calibri"/>
      <family val="2"/>
      <charset val="162"/>
      <scheme val="minor"/>
    </font>
    <font>
      <b/>
      <i/>
      <u/>
      <sz val="9"/>
      <color theme="1" tint="0.14999847407452621"/>
      <name val="Calibri"/>
      <family val="2"/>
      <charset val="162"/>
      <scheme val="minor"/>
    </font>
    <font>
      <b/>
      <sz val="8"/>
      <color theme="1" tint="0.14999847407452621"/>
      <name val="Calibri"/>
      <family val="2"/>
      <charset val="162"/>
      <scheme val="minor"/>
    </font>
    <font>
      <sz val="8"/>
      <color theme="1"/>
      <name val="Calibri"/>
      <family val="2"/>
      <charset val="162"/>
      <scheme val="minor"/>
    </font>
    <font>
      <b/>
      <sz val="18"/>
      <color theme="0"/>
      <name val="Calibri"/>
      <family val="2"/>
      <charset val="162"/>
      <scheme val="minor"/>
    </font>
    <font>
      <b/>
      <sz val="9"/>
      <color theme="0"/>
      <name val="Calibri"/>
      <family val="2"/>
      <charset val="162"/>
      <scheme val="minor"/>
    </font>
    <font>
      <b/>
      <sz val="8"/>
      <color theme="0"/>
      <name val="Calibri"/>
      <family val="2"/>
      <charset val="162"/>
      <scheme val="minor"/>
    </font>
    <font>
      <i/>
      <sz val="8"/>
      <color theme="1"/>
      <name val="Calibri"/>
      <family val="2"/>
      <charset val="162"/>
      <scheme val="minor"/>
    </font>
    <font>
      <b/>
      <sz val="9"/>
      <color theme="1"/>
      <name val="Calibri"/>
      <family val="2"/>
      <charset val="162"/>
      <scheme val="minor"/>
    </font>
    <font>
      <b/>
      <sz val="16"/>
      <color theme="1"/>
      <name val="Calibri"/>
      <family val="2"/>
      <charset val="162"/>
      <scheme val="minor"/>
    </font>
    <font>
      <b/>
      <sz val="10"/>
      <color rgb="FFFF000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b/>
      <sz val="8"/>
      <color rgb="FFFF0000"/>
      <name val="Calibri"/>
      <family val="2"/>
      <charset val="162"/>
      <scheme val="minor"/>
    </font>
    <font>
      <b/>
      <sz val="14"/>
      <color rgb="FFFF0000"/>
      <name val="Calibri"/>
      <family val="2"/>
      <charset val="162"/>
      <scheme val="minor"/>
    </font>
    <font>
      <b/>
      <sz val="9"/>
      <color rgb="FFFF0000"/>
      <name val="Calibri"/>
      <family val="2"/>
      <charset val="162"/>
      <scheme val="minor"/>
    </font>
    <font>
      <b/>
      <sz val="18"/>
      <color rgb="FFFF0000"/>
      <name val="Calibri"/>
      <family val="2"/>
      <charset val="162"/>
      <scheme val="minor"/>
    </font>
    <font>
      <sz val="8"/>
      <color rgb="FFFF0000"/>
      <name val="Calibri"/>
      <family val="2"/>
      <charset val="162"/>
      <scheme val="minor"/>
    </font>
    <font>
      <b/>
      <sz val="12"/>
      <color rgb="FFFF0000"/>
      <name val="Calibri"/>
      <family val="2"/>
      <charset val="162"/>
      <scheme val="minor"/>
    </font>
    <font>
      <sz val="9"/>
      <color rgb="FFFF0000"/>
      <name val="Calibri"/>
      <family val="2"/>
      <charset val="162"/>
      <scheme val="minor"/>
    </font>
    <font>
      <b/>
      <sz val="11"/>
      <color rgb="FFFF0000"/>
      <name val="Calibri"/>
      <family val="2"/>
      <charset val="162"/>
      <scheme val="minor"/>
    </font>
    <font>
      <b/>
      <i/>
      <sz val="11"/>
      <color rgb="FFFF0000"/>
      <name val="Calibri"/>
      <family val="2"/>
      <charset val="162"/>
      <scheme val="minor"/>
    </font>
    <font>
      <sz val="10"/>
      <color rgb="FFFF0000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30">
    <border>
      <left/>
      <right/>
      <top/>
      <bottom/>
      <diagonal/>
    </border>
    <border>
      <left/>
      <right style="medium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/>
      <right/>
      <top style="medium">
        <color theme="5" tint="-0.24994659260841701"/>
      </top>
      <bottom style="thin">
        <color theme="5" tint="-0.24994659260841701"/>
      </bottom>
      <diagonal/>
    </border>
    <border>
      <left style="thin">
        <color theme="5" tint="-0.24994659260841701"/>
      </left>
      <right/>
      <top style="medium">
        <color theme="5" tint="-0.24994659260841701"/>
      </top>
      <bottom style="thin">
        <color theme="5" tint="-0.24994659260841701"/>
      </bottom>
      <diagonal/>
    </border>
    <border>
      <left/>
      <right/>
      <top style="medium">
        <color theme="5" tint="-0.24994659260841701"/>
      </top>
      <bottom style="medium">
        <color theme="5" tint="-0.24994659260841701"/>
      </bottom>
      <diagonal/>
    </border>
    <border>
      <left/>
      <right/>
      <top style="double">
        <color theme="5" tint="-0.24994659260841701"/>
      </top>
      <bottom style="double">
        <color theme="5" tint="-0.24994659260841701"/>
      </bottom>
      <diagonal/>
    </border>
    <border>
      <left style="medium">
        <color theme="0" tint="-4.9989318521683403E-2"/>
      </left>
      <right/>
      <top/>
      <bottom/>
      <diagonal/>
    </border>
    <border>
      <left style="medium">
        <color theme="0" tint="-4.9989318521683403E-2"/>
      </left>
      <right style="medium">
        <color theme="0" tint="-4.9989318521683403E-2"/>
      </right>
      <top/>
      <bottom/>
      <diagonal/>
    </border>
    <border>
      <left/>
      <right style="medium">
        <color theme="0" tint="-4.9989318521683403E-2"/>
      </right>
      <top/>
      <bottom/>
      <diagonal/>
    </border>
    <border>
      <left style="thin">
        <color theme="5" tint="-0.24994659260841701"/>
      </left>
      <right style="medium">
        <color theme="5" tint="-0.24994659260841701"/>
      </right>
      <top style="thin">
        <color theme="5" tint="-0.24994659260841701"/>
      </top>
      <bottom style="medium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24994659260841701"/>
      </top>
      <bottom style="medium">
        <color theme="5" tint="-0.24994659260841701"/>
      </bottom>
      <diagonal/>
    </border>
    <border>
      <left/>
      <right style="thin">
        <color theme="5" tint="-0.24994659260841701"/>
      </right>
      <top style="thin">
        <color theme="5" tint="-0.24994659260841701"/>
      </top>
      <bottom style="medium">
        <color theme="5" tint="-0.24994659260841701"/>
      </bottom>
      <diagonal/>
    </border>
    <border>
      <left style="medium">
        <color theme="5" tint="-0.24994659260841701"/>
      </left>
      <right style="thin">
        <color theme="5" tint="-0.24994659260841701"/>
      </right>
      <top style="thin">
        <color theme="5" tint="-0.24994659260841701"/>
      </top>
      <bottom style="medium">
        <color theme="5" tint="-0.24994659260841701"/>
      </bottom>
      <diagonal/>
    </border>
    <border>
      <left style="thin">
        <color theme="5" tint="-0.24994659260841701"/>
      </left>
      <right style="medium">
        <color theme="5" tint="-0.24994659260841701"/>
      </right>
      <top style="thin">
        <color theme="5" tint="-0.24994659260841701"/>
      </top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24994659260841701"/>
      </top>
      <bottom style="thin">
        <color theme="5" tint="-0.24994659260841701"/>
      </bottom>
      <diagonal/>
    </border>
    <border>
      <left/>
      <right style="thin">
        <color theme="5" tint="-0.24994659260841701"/>
      </right>
      <top style="thin">
        <color theme="5" tint="-0.24994659260841701"/>
      </top>
      <bottom style="thin">
        <color theme="5" tint="-0.24994659260841701"/>
      </bottom>
      <diagonal/>
    </border>
    <border>
      <left style="medium">
        <color theme="5" tint="-0.24994659260841701"/>
      </left>
      <right style="thin">
        <color theme="5" tint="-0.24994659260841701"/>
      </right>
      <top style="thin">
        <color theme="5" tint="-0.24994659260841701"/>
      </top>
      <bottom style="thin">
        <color theme="5" tint="-0.24994659260841701"/>
      </bottom>
      <diagonal/>
    </border>
    <border>
      <left style="thin">
        <color theme="5" tint="-0.24994659260841701"/>
      </left>
      <right style="medium">
        <color theme="5" tint="-0.24994659260841701"/>
      </right>
      <top/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/>
      <bottom style="thin">
        <color theme="5" tint="-0.24994659260841701"/>
      </bottom>
      <diagonal/>
    </border>
    <border>
      <left/>
      <right style="thin">
        <color theme="5" tint="-0.24994659260841701"/>
      </right>
      <top/>
      <bottom style="thin">
        <color theme="5" tint="-0.24994659260841701"/>
      </bottom>
      <diagonal/>
    </border>
    <border>
      <left style="medium">
        <color theme="5" tint="-0.24994659260841701"/>
      </left>
      <right style="thin">
        <color theme="5" tint="-0.24994659260841701"/>
      </right>
      <top/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/>
      <right style="thin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medium">
        <color theme="5" tint="-0.24994659260841701"/>
      </left>
      <right style="thin">
        <color theme="5" tint="-0.24994659260841701"/>
      </right>
      <top style="medium">
        <color theme="5" tint="-0.24994659260841701"/>
      </top>
      <bottom style="thin">
        <color theme="5" tint="-0.2499465926084170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5" tint="-0.24994659260841701"/>
      </left>
      <right/>
      <top/>
      <bottom style="thin">
        <color theme="5" tint="-0.24994659260841701"/>
      </bottom>
      <diagonal/>
    </border>
    <border>
      <left style="thin">
        <color theme="5" tint="-0.24994659260841701"/>
      </left>
      <right/>
      <top style="thin">
        <color theme="5" tint="-0.24994659260841701"/>
      </top>
      <bottom style="thin">
        <color theme="5" tint="-0.24994659260841701"/>
      </bottom>
      <diagonal/>
    </border>
    <border>
      <left/>
      <right style="medium">
        <color theme="5" tint="-0.24994659260841701"/>
      </right>
      <top style="medium">
        <color theme="5" tint="-0.24994659260841701"/>
      </top>
      <bottom/>
      <diagonal/>
    </border>
    <border>
      <left style="thin">
        <color theme="5" tint="-0.24994659260841701"/>
      </left>
      <right style="medium">
        <color theme="5" tint="-0.24994659260841701"/>
      </right>
      <top/>
      <bottom style="medium">
        <color theme="5" tint="-0.2499465926084170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6">
    <xf numFmtId="0" fontId="0" fillId="0" borderId="0" xfId="0"/>
    <xf numFmtId="0" fontId="3" fillId="0" borderId="0" xfId="0" applyFont="1"/>
    <xf numFmtId="3" fontId="3" fillId="0" borderId="0" xfId="0" applyNumberFormat="1" applyFont="1"/>
    <xf numFmtId="0" fontId="3" fillId="0" borderId="0" xfId="0" applyFont="1" applyAlignment="1">
      <alignment horizontal="center"/>
    </xf>
    <xf numFmtId="9" fontId="3" fillId="0" borderId="0" xfId="1" applyFont="1"/>
    <xf numFmtId="0" fontId="4" fillId="0" borderId="0" xfId="0" applyFont="1"/>
    <xf numFmtId="4" fontId="3" fillId="0" borderId="0" xfId="0" applyNumberFormat="1" applyFont="1"/>
    <xf numFmtId="0" fontId="6" fillId="0" borderId="0" xfId="0" applyFont="1"/>
    <xf numFmtId="0" fontId="2" fillId="0" borderId="0" xfId="0" applyFont="1" applyAlignment="1">
      <alignment vertical="center"/>
    </xf>
    <xf numFmtId="3" fontId="2" fillId="0" borderId="4" xfId="0" applyNumberFormat="1" applyFont="1" applyBorder="1" applyAlignment="1">
      <alignment vertical="center"/>
    </xf>
    <xf numFmtId="0" fontId="2" fillId="0" borderId="4" xfId="0" applyFont="1" applyBorder="1" applyAlignment="1">
      <alignment vertical="center"/>
    </xf>
    <xf numFmtId="2" fontId="2" fillId="0" borderId="4" xfId="0" applyNumberFormat="1" applyFont="1" applyBorder="1" applyAlignment="1">
      <alignment horizontal="right" vertical="center"/>
    </xf>
    <xf numFmtId="9" fontId="2" fillId="0" borderId="4" xfId="1" applyFont="1" applyBorder="1" applyAlignment="1">
      <alignment horizontal="center" vertical="center"/>
    </xf>
    <xf numFmtId="3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9" fontId="2" fillId="0" borderId="4" xfId="1" applyFont="1" applyBorder="1" applyAlignment="1">
      <alignment vertical="center"/>
    </xf>
    <xf numFmtId="9" fontId="3" fillId="0" borderId="0" xfId="1" applyFont="1" applyAlignment="1">
      <alignment horizontal="center"/>
    </xf>
    <xf numFmtId="0" fontId="8" fillId="0" borderId="0" xfId="0" applyFont="1" applyAlignment="1">
      <alignment vertical="center"/>
    </xf>
    <xf numFmtId="3" fontId="8" fillId="0" borderId="4" xfId="0" applyNumberFormat="1" applyFont="1" applyBorder="1" applyAlignment="1">
      <alignment vertical="center"/>
    </xf>
    <xf numFmtId="164" fontId="8" fillId="0" borderId="4" xfId="1" applyNumberFormat="1" applyFont="1" applyBorder="1" applyAlignment="1">
      <alignment vertical="center"/>
    </xf>
    <xf numFmtId="2" fontId="8" fillId="0" borderId="4" xfId="0" applyNumberFormat="1" applyFont="1" applyBorder="1" applyAlignment="1">
      <alignment horizontal="right" vertical="center"/>
    </xf>
    <xf numFmtId="164" fontId="8" fillId="0" borderId="4" xfId="1" applyNumberFormat="1" applyFont="1" applyBorder="1" applyAlignment="1">
      <alignment horizontal="center" vertical="center"/>
    </xf>
    <xf numFmtId="3" fontId="8" fillId="0" borderId="4" xfId="0" applyNumberFormat="1" applyFont="1" applyBorder="1" applyAlignment="1">
      <alignment horizontal="center" vertical="center"/>
    </xf>
    <xf numFmtId="9" fontId="8" fillId="0" borderId="4" xfId="1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9" fillId="0" borderId="0" xfId="0" applyFont="1"/>
    <xf numFmtId="3" fontId="9" fillId="0" borderId="0" xfId="0" applyNumberFormat="1" applyFont="1"/>
    <xf numFmtId="0" fontId="10" fillId="0" borderId="0" xfId="0" applyFont="1" applyAlignment="1">
      <alignment horizontal="right"/>
    </xf>
    <xf numFmtId="4" fontId="9" fillId="0" borderId="0" xfId="0" applyNumberFormat="1" applyFont="1"/>
    <xf numFmtId="164" fontId="9" fillId="0" borderId="0" xfId="1" applyNumberFormat="1" applyFont="1" applyAlignment="1">
      <alignment horizontal="center"/>
    </xf>
    <xf numFmtId="3" fontId="9" fillId="0" borderId="0" xfId="0" applyNumberFormat="1" applyFont="1" applyAlignment="1">
      <alignment horizontal="center"/>
    </xf>
    <xf numFmtId="2" fontId="9" fillId="0" borderId="0" xfId="0" applyNumberFormat="1" applyFont="1"/>
    <xf numFmtId="9" fontId="11" fillId="0" borderId="0" xfId="1" applyFont="1"/>
    <xf numFmtId="0" fontId="12" fillId="0" borderId="0" xfId="0" applyFont="1"/>
    <xf numFmtId="3" fontId="13" fillId="0" borderId="0" xfId="0" applyNumberFormat="1" applyFont="1"/>
    <xf numFmtId="3" fontId="12" fillId="0" borderId="0" xfId="0" applyNumberFormat="1" applyFont="1"/>
    <xf numFmtId="9" fontId="12" fillId="0" borderId="0" xfId="1" applyFont="1" applyAlignment="1">
      <alignment horizontal="center"/>
    </xf>
    <xf numFmtId="3" fontId="12" fillId="0" borderId="0" xfId="0" applyNumberFormat="1" applyFont="1" applyAlignment="1">
      <alignment horizontal="center"/>
    </xf>
    <xf numFmtId="9" fontId="12" fillId="0" borderId="0" xfId="1" applyFont="1"/>
    <xf numFmtId="0" fontId="14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3" fontId="13" fillId="0" borderId="0" xfId="0" applyNumberFormat="1" applyFont="1" applyAlignment="1">
      <alignment vertical="center"/>
    </xf>
    <xf numFmtId="3" fontId="12" fillId="0" borderId="0" xfId="0" applyNumberFormat="1" applyFont="1" applyAlignment="1">
      <alignment vertical="center"/>
    </xf>
    <xf numFmtId="9" fontId="12" fillId="0" borderId="0" xfId="1" applyFont="1" applyAlignment="1">
      <alignment horizontal="center" vertical="center"/>
    </xf>
    <xf numFmtId="3" fontId="12" fillId="0" borderId="0" xfId="0" applyNumberFormat="1" applyFont="1" applyAlignment="1">
      <alignment horizontal="center" vertical="center"/>
    </xf>
    <xf numFmtId="9" fontId="12" fillId="0" borderId="0" xfId="1" applyFont="1" applyAlignment="1">
      <alignment vertical="center"/>
    </xf>
    <xf numFmtId="164" fontId="2" fillId="0" borderId="5" xfId="1" applyNumberFormat="1" applyFont="1" applyBorder="1" applyAlignment="1">
      <alignment vertical="center"/>
    </xf>
    <xf numFmtId="2" fontId="2" fillId="0" borderId="5" xfId="0" applyNumberFormat="1" applyFont="1" applyBorder="1" applyAlignment="1">
      <alignment horizontal="right" vertical="center"/>
    </xf>
    <xf numFmtId="164" fontId="2" fillId="0" borderId="5" xfId="1" applyNumberFormat="1" applyFont="1" applyBorder="1" applyAlignment="1">
      <alignment horizontal="center" vertical="center"/>
    </xf>
    <xf numFmtId="3" fontId="2" fillId="0" borderId="5" xfId="0" applyNumberFormat="1" applyFont="1" applyBorder="1" applyAlignment="1">
      <alignment horizontal="center" vertical="center"/>
    </xf>
    <xf numFmtId="9" fontId="2" fillId="0" borderId="5" xfId="1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13" fillId="0" borderId="0" xfId="0" applyFont="1"/>
    <xf numFmtId="3" fontId="3" fillId="0" borderId="0" xfId="0" applyNumberFormat="1" applyFont="1" applyAlignment="1">
      <alignment horizontal="center"/>
    </xf>
    <xf numFmtId="3" fontId="12" fillId="0" borderId="4" xfId="0" applyNumberFormat="1" applyFont="1" applyBorder="1" applyAlignment="1">
      <alignment horizontal="right" vertical="center"/>
    </xf>
    <xf numFmtId="0" fontId="12" fillId="0" borderId="4" xfId="0" applyFont="1" applyBorder="1" applyAlignment="1">
      <alignment vertical="center"/>
    </xf>
    <xf numFmtId="0" fontId="12" fillId="0" borderId="4" xfId="0" applyFont="1" applyBorder="1" applyAlignment="1">
      <alignment horizontal="center" vertical="center"/>
    </xf>
    <xf numFmtId="9" fontId="12" fillId="0" borderId="4" xfId="1" applyFont="1" applyBorder="1" applyAlignment="1">
      <alignment horizontal="center" vertical="center"/>
    </xf>
    <xf numFmtId="3" fontId="12" fillId="0" borderId="4" xfId="0" applyNumberFormat="1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9" fontId="12" fillId="0" borderId="4" xfId="1" applyFont="1" applyBorder="1" applyAlignment="1">
      <alignment vertical="center"/>
    </xf>
    <xf numFmtId="0" fontId="3" fillId="0" borderId="0" xfId="0" applyFont="1" applyAlignment="1">
      <alignment vertical="center"/>
    </xf>
    <xf numFmtId="3" fontId="3" fillId="0" borderId="0" xfId="0" applyNumberFormat="1" applyFont="1" applyAlignment="1">
      <alignment vertical="center"/>
    </xf>
    <xf numFmtId="9" fontId="3" fillId="0" borderId="0" xfId="1" applyFont="1" applyAlignment="1">
      <alignment horizontal="center" vertical="center"/>
    </xf>
    <xf numFmtId="3" fontId="16" fillId="0" borderId="0" xfId="0" applyNumberFormat="1" applyFont="1" applyAlignment="1">
      <alignment vertical="center"/>
    </xf>
    <xf numFmtId="2" fontId="7" fillId="0" borderId="0" xfId="0" applyNumberFormat="1" applyFont="1" applyAlignment="1">
      <alignment vertical="center"/>
    </xf>
    <xf numFmtId="9" fontId="16" fillId="0" borderId="0" xfId="1" applyFont="1" applyAlignment="1">
      <alignment vertical="center"/>
    </xf>
    <xf numFmtId="0" fontId="16" fillId="0" borderId="0" xfId="0" applyFont="1" applyAlignment="1">
      <alignment vertical="center"/>
    </xf>
    <xf numFmtId="2" fontId="17" fillId="2" borderId="6" xfId="0" applyNumberFormat="1" applyFont="1" applyFill="1" applyBorder="1"/>
    <xf numFmtId="0" fontId="18" fillId="2" borderId="7" xfId="0" applyFont="1" applyFill="1" applyBorder="1"/>
    <xf numFmtId="9" fontId="18" fillId="2" borderId="7" xfId="1" applyFont="1" applyFill="1" applyBorder="1" applyAlignment="1">
      <alignment horizontal="center"/>
    </xf>
    <xf numFmtId="3" fontId="19" fillId="2" borderId="7" xfId="0" applyNumberFormat="1" applyFont="1" applyFill="1" applyBorder="1"/>
    <xf numFmtId="2" fontId="5" fillId="2" borderId="7" xfId="0" applyNumberFormat="1" applyFont="1" applyFill="1" applyBorder="1"/>
    <xf numFmtId="9" fontId="19" fillId="2" borderId="8" xfId="1" applyFont="1" applyFill="1" applyBorder="1"/>
    <xf numFmtId="0" fontId="19" fillId="2" borderId="8" xfId="0" applyFont="1" applyFill="1" applyBorder="1"/>
    <xf numFmtId="0" fontId="20" fillId="0" borderId="0" xfId="0" applyFont="1"/>
    <xf numFmtId="3" fontId="20" fillId="0" borderId="0" xfId="0" applyNumberFormat="1" applyFont="1"/>
    <xf numFmtId="0" fontId="20" fillId="0" borderId="0" xfId="0" applyFont="1" applyAlignment="1">
      <alignment horizontal="right"/>
    </xf>
    <xf numFmtId="0" fontId="20" fillId="0" borderId="0" xfId="0" applyFont="1" applyAlignment="1">
      <alignment horizontal="center"/>
    </xf>
    <xf numFmtId="9" fontId="20" fillId="0" borderId="0" xfId="1" applyFont="1"/>
    <xf numFmtId="3" fontId="21" fillId="0" borderId="9" xfId="0" applyNumberFormat="1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1" fontId="2" fillId="0" borderId="10" xfId="0" applyNumberFormat="1" applyFont="1" applyBorder="1" applyAlignment="1">
      <alignment horizontal="center" vertical="center"/>
    </xf>
    <xf numFmtId="3" fontId="3" fillId="0" borderId="10" xfId="0" applyNumberFormat="1" applyFont="1" applyBorder="1" applyAlignment="1">
      <alignment vertical="center"/>
    </xf>
    <xf numFmtId="0" fontId="7" fillId="0" borderId="10" xfId="0" applyFont="1" applyBorder="1" applyAlignment="1">
      <alignment horizontal="center" vertical="center"/>
    </xf>
    <xf numFmtId="9" fontId="3" fillId="0" borderId="11" xfId="1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4" fontId="22" fillId="0" borderId="13" xfId="0" applyNumberFormat="1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3" fillId="0" borderId="14" xfId="0" applyFont="1" applyBorder="1" applyAlignment="1">
      <alignment horizontal="center" vertical="center"/>
    </xf>
    <xf numFmtId="3" fontId="3" fillId="0" borderId="14" xfId="0" applyNumberFormat="1" applyFont="1" applyBorder="1" applyAlignment="1">
      <alignment vertical="center"/>
    </xf>
    <xf numFmtId="9" fontId="3" fillId="0" borderId="15" xfId="1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3" fontId="2" fillId="0" borderId="17" xfId="0" applyNumberFormat="1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2" fillId="0" borderId="18" xfId="0" applyFont="1" applyBorder="1" applyAlignment="1">
      <alignment horizontal="center" vertical="center"/>
    </xf>
    <xf numFmtId="3" fontId="3" fillId="0" borderId="18" xfId="0" applyNumberFormat="1" applyFont="1" applyBorder="1" applyAlignment="1">
      <alignment vertical="center"/>
    </xf>
    <xf numFmtId="14" fontId="3" fillId="0" borderId="18" xfId="0" applyNumberFormat="1" applyFont="1" applyBorder="1" applyAlignment="1">
      <alignment horizontal="center" vertical="center"/>
    </xf>
    <xf numFmtId="9" fontId="3" fillId="0" borderId="19" xfId="1" applyFont="1" applyBorder="1" applyAlignment="1">
      <alignment vertical="center"/>
    </xf>
    <xf numFmtId="0" fontId="3" fillId="0" borderId="20" xfId="0" applyFont="1" applyBorder="1" applyAlignment="1">
      <alignment vertical="center"/>
    </xf>
    <xf numFmtId="3" fontId="3" fillId="0" borderId="21" xfId="0" applyNumberFormat="1" applyFont="1" applyBorder="1" applyAlignment="1">
      <alignment vertical="center"/>
    </xf>
    <xf numFmtId="14" fontId="3" fillId="0" borderId="21" xfId="0" applyNumberFormat="1" applyFont="1" applyBorder="1" applyAlignment="1">
      <alignment horizontal="center" vertical="center"/>
    </xf>
    <xf numFmtId="9" fontId="3" fillId="0" borderId="22" xfId="1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21" fillId="0" borderId="0" xfId="0" applyFont="1"/>
    <xf numFmtId="0" fontId="2" fillId="0" borderId="10" xfId="0" applyFont="1" applyBorder="1" applyAlignment="1">
      <alignment horizontal="center" vertical="center"/>
    </xf>
    <xf numFmtId="3" fontId="2" fillId="0" borderId="0" xfId="0" applyNumberFormat="1" applyFont="1" applyAlignment="1">
      <alignment vertical="center"/>
    </xf>
    <xf numFmtId="10" fontId="9" fillId="0" borderId="0" xfId="1" applyNumberFormat="1" applyFont="1" applyAlignment="1">
      <alignment horizontal="center"/>
    </xf>
    <xf numFmtId="3" fontId="9" fillId="0" borderId="24" xfId="0" applyNumberFormat="1" applyFont="1" applyBorder="1" applyAlignment="1">
      <alignment horizontal="center"/>
    </xf>
    <xf numFmtId="4" fontId="9" fillId="0" borderId="24" xfId="0" applyNumberFormat="1" applyFont="1" applyBorder="1" applyAlignment="1">
      <alignment horizontal="center"/>
    </xf>
    <xf numFmtId="0" fontId="3" fillId="0" borderId="25" xfId="0" applyFont="1" applyBorder="1" applyAlignment="1">
      <alignment vertical="center"/>
    </xf>
    <xf numFmtId="0" fontId="3" fillId="0" borderId="26" xfId="0" applyFont="1" applyBorder="1" applyAlignment="1">
      <alignment vertical="center"/>
    </xf>
    <xf numFmtId="3" fontId="21" fillId="0" borderId="28" xfId="0" applyNumberFormat="1" applyFont="1" applyBorder="1" applyAlignment="1">
      <alignment vertical="center"/>
    </xf>
    <xf numFmtId="10" fontId="8" fillId="0" borderId="4" xfId="1" applyNumberFormat="1" applyFont="1" applyBorder="1" applyAlignment="1">
      <alignment horizontal="center" vertical="center"/>
    </xf>
    <xf numFmtId="4" fontId="9" fillId="0" borderId="29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3" fontId="2" fillId="0" borderId="17" xfId="0" applyNumberFormat="1" applyFont="1" applyBorder="1" applyAlignment="1">
      <alignment horizontal="center" vertical="center"/>
    </xf>
    <xf numFmtId="3" fontId="9" fillId="0" borderId="0" xfId="0" applyNumberFormat="1" applyFont="1" applyBorder="1" applyAlignment="1">
      <alignment horizontal="center"/>
    </xf>
    <xf numFmtId="3" fontId="23" fillId="0" borderId="0" xfId="0" applyNumberFormat="1" applyFont="1" applyAlignment="1">
      <alignment vertical="center"/>
    </xf>
    <xf numFmtId="14" fontId="3" fillId="0" borderId="21" xfId="0" applyNumberFormat="1" applyFont="1" applyBorder="1" applyAlignment="1">
      <alignment horizontal="center" vertical="center" wrapText="1"/>
    </xf>
    <xf numFmtId="4" fontId="22" fillId="0" borderId="13" xfId="0" applyNumberFormat="1" applyFont="1" applyBorder="1" applyAlignment="1">
      <alignment horizontal="center" vertical="center"/>
    </xf>
    <xf numFmtId="0" fontId="25" fillId="2" borderId="8" xfId="0" applyFont="1" applyFill="1" applyBorder="1"/>
    <xf numFmtId="9" fontId="25" fillId="2" borderId="8" xfId="1" applyFont="1" applyFill="1" applyBorder="1"/>
    <xf numFmtId="2" fontId="26" fillId="2" borderId="7" xfId="0" applyNumberFormat="1" applyFont="1" applyFill="1" applyBorder="1"/>
    <xf numFmtId="3" fontId="25" fillId="2" borderId="7" xfId="0" applyNumberFormat="1" applyFont="1" applyFill="1" applyBorder="1"/>
    <xf numFmtId="9" fontId="27" fillId="2" borderId="7" xfId="1" applyFont="1" applyFill="1" applyBorder="1" applyAlignment="1">
      <alignment horizontal="center"/>
    </xf>
    <xf numFmtId="0" fontId="27" fillId="2" borderId="7" xfId="0" applyFont="1" applyFill="1" applyBorder="1"/>
    <xf numFmtId="2" fontId="28" fillId="2" borderId="6" xfId="0" applyNumberFormat="1" applyFont="1" applyFill="1" applyBorder="1"/>
    <xf numFmtId="0" fontId="29" fillId="0" borderId="0" xfId="0" applyFont="1" applyAlignment="1">
      <alignment vertical="center"/>
    </xf>
    <xf numFmtId="9" fontId="29" fillId="0" borderId="0" xfId="1" applyFont="1" applyAlignment="1">
      <alignment vertical="center"/>
    </xf>
    <xf numFmtId="2" fontId="30" fillId="0" borderId="0" xfId="0" applyNumberFormat="1" applyFont="1" applyAlignment="1">
      <alignment vertical="center"/>
    </xf>
    <xf numFmtId="3" fontId="29" fillId="0" borderId="0" xfId="0" applyNumberFormat="1" applyFont="1" applyAlignment="1">
      <alignment vertical="center"/>
    </xf>
    <xf numFmtId="9" fontId="31" fillId="0" borderId="0" xfId="1" applyFont="1" applyAlignment="1">
      <alignment horizontal="center" vertical="center"/>
    </xf>
    <xf numFmtId="0" fontId="31" fillId="0" borderId="0" xfId="0" applyFont="1" applyAlignment="1">
      <alignment vertical="center"/>
    </xf>
    <xf numFmtId="1" fontId="32" fillId="0" borderId="10" xfId="0" applyNumberFormat="1" applyFont="1" applyBorder="1" applyAlignment="1">
      <alignment horizontal="center" vertical="center"/>
    </xf>
    <xf numFmtId="164" fontId="24" fillId="0" borderId="0" xfId="1" applyNumberFormat="1" applyFont="1" applyAlignment="1">
      <alignment horizontal="center"/>
    </xf>
    <xf numFmtId="4" fontId="24" fillId="0" borderId="0" xfId="0" applyNumberFormat="1" applyFont="1"/>
    <xf numFmtId="0" fontId="33" fillId="0" borderId="0" xfId="0" applyFont="1" applyAlignment="1">
      <alignment horizontal="right"/>
    </xf>
    <xf numFmtId="164" fontId="32" fillId="0" borderId="5" xfId="1" applyNumberFormat="1" applyFont="1" applyBorder="1" applyAlignment="1">
      <alignment horizontal="center" vertical="center"/>
    </xf>
    <xf numFmtId="2" fontId="32" fillId="0" borderId="5" xfId="0" applyNumberFormat="1" applyFont="1" applyBorder="1" applyAlignment="1">
      <alignment horizontal="right" vertical="center"/>
    </xf>
    <xf numFmtId="164" fontId="32" fillId="0" borderId="5" xfId="1" applyNumberFormat="1" applyFont="1" applyBorder="1" applyAlignment="1">
      <alignment vertical="center"/>
    </xf>
    <xf numFmtId="9" fontId="27" fillId="0" borderId="0" xfId="1" applyFont="1" applyAlignment="1">
      <alignment horizontal="center" vertical="center"/>
    </xf>
    <xf numFmtId="0" fontId="27" fillId="0" borderId="0" xfId="0" applyFont="1" applyAlignment="1">
      <alignment vertical="center"/>
    </xf>
    <xf numFmtId="164" fontId="23" fillId="0" borderId="4" xfId="1" applyNumberFormat="1" applyFont="1" applyBorder="1" applyAlignment="1">
      <alignment horizontal="center" vertical="center"/>
    </xf>
    <xf numFmtId="2" fontId="23" fillId="0" borderId="4" xfId="0" applyNumberFormat="1" applyFont="1" applyBorder="1" applyAlignment="1">
      <alignment horizontal="right" vertical="center"/>
    </xf>
    <xf numFmtId="164" fontId="23" fillId="0" borderId="4" xfId="1" applyNumberFormat="1" applyFont="1" applyBorder="1" applyAlignment="1">
      <alignment vertical="center"/>
    </xf>
    <xf numFmtId="10" fontId="23" fillId="0" borderId="4" xfId="1" applyNumberFormat="1" applyFont="1" applyBorder="1" applyAlignment="1">
      <alignment horizontal="center" vertical="center"/>
    </xf>
    <xf numFmtId="9" fontId="27" fillId="0" borderId="0" xfId="1" applyFont="1" applyAlignment="1">
      <alignment horizontal="center"/>
    </xf>
    <xf numFmtId="0" fontId="27" fillId="0" borderId="0" xfId="0" applyFont="1"/>
    <xf numFmtId="10" fontId="24" fillId="0" borderId="0" xfId="1" applyNumberFormat="1" applyFont="1" applyAlignment="1">
      <alignment horizontal="center"/>
    </xf>
    <xf numFmtId="9" fontId="31" fillId="0" borderId="0" xfId="1" applyFont="1" applyAlignment="1">
      <alignment horizontal="center"/>
    </xf>
    <xf numFmtId="0" fontId="31" fillId="0" borderId="0" xfId="0" applyFont="1"/>
    <xf numFmtId="9" fontId="32" fillId="0" borderId="4" xfId="1" applyFont="1" applyBorder="1" applyAlignment="1">
      <alignment horizontal="center" vertical="center"/>
    </xf>
    <xf numFmtId="2" fontId="32" fillId="0" borderId="4" xfId="0" applyNumberFormat="1" applyFont="1" applyBorder="1" applyAlignment="1">
      <alignment horizontal="right" vertical="center"/>
    </xf>
    <xf numFmtId="0" fontId="32" fillId="0" borderId="4" xfId="0" applyFont="1" applyBorder="1" applyAlignment="1">
      <alignment vertical="center"/>
    </xf>
    <xf numFmtId="9" fontId="27" fillId="0" borderId="4" xfId="1" applyFont="1" applyBorder="1" applyAlignment="1">
      <alignment vertical="center"/>
    </xf>
    <xf numFmtId="0" fontId="25" fillId="0" borderId="4" xfId="0" applyFont="1" applyBorder="1" applyAlignment="1">
      <alignment horizontal="center" vertical="center" wrapText="1"/>
    </xf>
    <xf numFmtId="9" fontId="31" fillId="0" borderId="0" xfId="1" applyFont="1"/>
    <xf numFmtId="9" fontId="34" fillId="0" borderId="0" xfId="1" applyFont="1"/>
    <xf numFmtId="2" fontId="24" fillId="0" borderId="0" xfId="0" applyNumberFormat="1" applyFont="1"/>
    <xf numFmtId="9" fontId="32" fillId="0" borderId="5" xfId="1" applyFont="1" applyBorder="1" applyAlignment="1">
      <alignment vertical="center"/>
    </xf>
    <xf numFmtId="9" fontId="27" fillId="0" borderId="0" xfId="1" applyFont="1" applyAlignment="1">
      <alignment vertical="center"/>
    </xf>
    <xf numFmtId="9" fontId="23" fillId="0" borderId="4" xfId="1" applyFont="1" applyBorder="1" applyAlignment="1">
      <alignment vertical="center"/>
    </xf>
    <xf numFmtId="9" fontId="27" fillId="0" borderId="0" xfId="1" applyFont="1"/>
    <xf numFmtId="9" fontId="32" fillId="0" borderId="4" xfId="1" applyFont="1" applyBorder="1" applyAlignment="1">
      <alignment vertical="center"/>
    </xf>
    <xf numFmtId="3" fontId="31" fillId="0" borderId="0" xfId="0" applyNumberFormat="1" applyFont="1"/>
    <xf numFmtId="0" fontId="31" fillId="0" borderId="0" xfId="0" applyFont="1" applyAlignment="1">
      <alignment horizontal="center"/>
    </xf>
    <xf numFmtId="0" fontId="28" fillId="0" borderId="0" xfId="0" applyFont="1"/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7" fillId="0" borderId="27" xfId="0" applyFont="1" applyBorder="1" applyAlignment="1">
      <alignment horizontal="center" vertical="center"/>
    </xf>
    <xf numFmtId="11" fontId="7" fillId="0" borderId="3" xfId="0" applyNumberFormat="1" applyFont="1" applyBorder="1" applyAlignment="1">
      <alignment horizontal="center" vertical="center"/>
    </xf>
    <xf numFmtId="0" fontId="26" fillId="2" borderId="0" xfId="0" applyFont="1" applyFill="1" applyAlignment="1">
      <alignment horizontal="center"/>
    </xf>
  </cellXfs>
  <cellStyles count="5">
    <cellStyle name="Normal" xfId="0" builtinId="0"/>
    <cellStyle name="Normal 2" xfId="2" xr:uid="{00000000-0005-0000-0000-000001000000}"/>
    <cellStyle name="Virgül 3" xfId="3" xr:uid="{00000000-0005-0000-0000-000002000000}"/>
    <cellStyle name="Yüzde" xfId="1" builtinId="5"/>
    <cellStyle name="Yüzde 3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theme" Target="theme/theme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599" Type="http://schemas.openxmlformats.org/officeDocument/2006/relationships/worksheet" Target="worksheets/sheet599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sharedStrings" Target="sharedStrings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microsoft.com/office/2017/10/relationships/person" Target="persons/person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styles" Target="styles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calcChain" Target="calcChain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onuk Kullanıcı" id="{619E4C8C-C5B8-4332-8764-6141EB51BA66}" userId="" providerId="Windows Live"/>
</personList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5" dT="2019-01-29T06:30:49.30" personId="{619E4C8C-C5B8-4332-8764-6141EB51BA66}" id="{C2245CB3-B37D-4062-BAB9-F2E2746C573B}">
    <text xml:space="preserve">22.6 KG DANA OSSBUCO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5" dT="2019-02-26T13:22:02.85" personId="{619E4C8C-C5B8-4332-8764-6141EB51BA66}" id="{B9DB0C57-5103-442C-AFAA-7FD0FF511DE9}">
    <text xml:space="preserve">4.1 KG OSSOBUCO
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14" dT="2019-03-27T14:11:27.95" personId="{619E4C8C-C5B8-4332-8764-6141EB51BA66}" id="{B71FF797-8160-49E8-B92F-87F542FC23FF}">
    <text xml:space="preserve">10 KG OSSOBUCO
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15" dT="2019-04-03T11:25:42.62" personId="{619E4C8C-C5B8-4332-8764-6141EB51BA66}" id="{6F618FA3-66C0-4FE0-942E-19F56914935C}">
    <text xml:space="preserve">31.9 KG OSSOBUCO
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15" dT="2019-04-04T07:56:01.19" personId="{619E4C8C-C5B8-4332-8764-6141EB51BA66}" id="{20793F2E-15BA-4D33-AF08-F72AB24ADB40}">
    <text xml:space="preserve">47.8 KG OSSOBUCO
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D15" dT="2019-04-29T06:39:25.28" personId="{619E4C8C-C5B8-4332-8764-6141EB51BA66}" id="{A22CF503-24CA-4BAA-8511-B9AE8D74D2BC}">
    <text xml:space="preserve">13 kg ossobuco
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D15" dT="2019-05-20T14:26:02.25" personId="{619E4C8C-C5B8-4332-8764-6141EB51BA66}" id="{47D30B54-DFD5-406F-A82A-6131053D1E7C}">
    <text xml:space="preserve">3.1 KG OSSOBOCO 
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D17" dT="2019-06-25T09:04:09.71" personId="{619E4C8C-C5B8-4332-8764-6141EB51BA66}" id="{B57F2965-36E2-4B28-BC9C-C6973CF0625A}">
    <text xml:space="preserve">205 KG DANA OSSOBUCO
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D15" dT="2019-07-05T07:48:51.27" personId="{619E4C8C-C5B8-4332-8764-6141EB51BA66}" id="{8E9D6F52-7D2A-4D37-A37A-24E22DF4C932}">
    <text xml:space="preserve">31.4 kg ossobuco
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D15" dT="2019-09-10T06:54:01.55" personId="{619E4C8C-C5B8-4332-8764-6141EB51BA66}" id="{6ECABA21-9F19-43E6-9DEF-F9B682FDF903}">
    <text xml:space="preserve">21KG OSSOBUCO
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D15" dT="2019-09-19T14:04:31.89" personId="{619E4C8C-C5B8-4332-8764-6141EB51BA66}" id="{A9FCB426-C046-4DD5-8114-F51312F64E02}">
    <text xml:space="preserve">40.9 KG OSSOBUCO
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D15" dT="2019-09-26T09:28:03.27" personId="{619E4C8C-C5B8-4332-8764-6141EB51BA66}" id="{E2546C04-7724-4B27-9927-5EAD1D27633D}">
    <text xml:space="preserve">34.9 KG OSSOBUCO
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D15" dT="2019-09-30T09:14:41.68" personId="{619E4C8C-C5B8-4332-8764-6141EB51BA66}" id="{CC9A1AEE-2629-4426-96F3-1CC0EBD9568C}">
    <text xml:space="preserve">26 KG OSSOBUCO
</text>
  </threadedComment>
</ThreadedComment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6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8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8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0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38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40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54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56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57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2.xml"/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58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3.xml"/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5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6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"/>
  <sheetViews>
    <sheetView workbookViewId="0">
      <selection activeCell="D48" sqref="D48"/>
    </sheetView>
  </sheetViews>
  <sheetFormatPr defaultColWidth="8.85546875" defaultRowHeight="12" x14ac:dyDescent="0.2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x14ac:dyDescent="0.25">
      <c r="A1" s="103" t="s">
        <v>0</v>
      </c>
      <c r="B1" s="102"/>
      <c r="C1" s="101"/>
      <c r="D1" s="100" t="s">
        <v>1</v>
      </c>
      <c r="E1" s="168"/>
      <c r="F1" s="169"/>
      <c r="G1" s="170"/>
      <c r="H1" s="62"/>
      <c r="I1" s="62"/>
    </row>
    <row r="2" spans="1:9" s="61" customFormat="1" ht="20.100000000000001" customHeight="1" x14ac:dyDescent="0.25">
      <c r="A2" s="99" t="s">
        <v>2</v>
      </c>
      <c r="B2" s="98"/>
      <c r="C2" s="97"/>
      <c r="D2" s="96" t="s">
        <v>3</v>
      </c>
      <c r="E2" s="95" t="s">
        <v>4</v>
      </c>
      <c r="F2" s="94" t="s">
        <v>5</v>
      </c>
      <c r="G2" s="93"/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/>
      <c r="D3" s="90" t="s">
        <v>7</v>
      </c>
      <c r="E3" s="89"/>
      <c r="F3" s="88" t="s">
        <v>8</v>
      </c>
      <c r="G3" s="87"/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84" t="s">
        <v>10</v>
      </c>
      <c r="D4" s="83" t="s">
        <v>11</v>
      </c>
      <c r="E4" s="82" t="e">
        <f>G2/E3</f>
        <v>#DIV/0!</v>
      </c>
      <c r="F4" s="81" t="s">
        <v>12</v>
      </c>
      <c r="G4" s="80">
        <f>G2*G3</f>
        <v>0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e">
        <f>IF(G4=I50,"DOĞRU","HATA VAR")</f>
        <v>#DIV/0!</v>
      </c>
      <c r="H5" s="76"/>
      <c r="I5" s="76"/>
    </row>
    <row r="6" spans="1:9" ht="23.25" x14ac:dyDescent="0.35">
      <c r="A6" s="74" t="s">
        <v>14</v>
      </c>
      <c r="B6" s="73"/>
      <c r="C6" s="72">
        <v>20</v>
      </c>
      <c r="D6" s="71" t="s">
        <v>15</v>
      </c>
      <c r="E6" s="70" t="e">
        <f>1-G4/H50</f>
        <v>#DIV/0!</v>
      </c>
      <c r="F6" s="69" t="s">
        <v>16</v>
      </c>
      <c r="G6" s="68" t="e">
        <f>(I50-I19)/(D50-(SUM(D42:D44)+D19))</f>
        <v>#DIV/0!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20.5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0</v>
      </c>
      <c r="D10" s="30"/>
      <c r="E10" s="29" t="e">
        <f t="shared" ref="E10:E19" si="1">D10/$D$19</f>
        <v>#DIV/0!</v>
      </c>
      <c r="F10" s="28" t="e">
        <f t="shared" ref="F10:F18" si="2">C10-(C10*$E$6)</f>
        <v>#DIV/0!</v>
      </c>
      <c r="G10" s="27" t="e">
        <f t="shared" ref="G10:G18" si="3">IF(C10&gt;=F10,"-","+")</f>
        <v>#DIV/0!</v>
      </c>
      <c r="H10" s="34">
        <f t="shared" ref="H10:H18" si="4">C10*D10</f>
        <v>0</v>
      </c>
      <c r="I10" s="34" t="e">
        <f t="shared" ref="I10:I18" si="5">F10*D10</f>
        <v>#DIV/0!</v>
      </c>
    </row>
    <row r="11" spans="1:9" s="52" customFormat="1" ht="15" customHeight="1" x14ac:dyDescent="0.25">
      <c r="A11" s="25" t="s">
        <v>26</v>
      </c>
      <c r="B11" s="32">
        <v>1.0524933999999999</v>
      </c>
      <c r="C11" s="31">
        <f t="shared" si="0"/>
        <v>0</v>
      </c>
      <c r="D11" s="30"/>
      <c r="E11" s="29" t="e">
        <f t="shared" si="1"/>
        <v>#DIV/0!</v>
      </c>
      <c r="F11" s="28" t="e">
        <f t="shared" si="2"/>
        <v>#DIV/0!</v>
      </c>
      <c r="G11" s="27" t="e">
        <f t="shared" si="3"/>
        <v>#DIV/0!</v>
      </c>
      <c r="H11" s="34">
        <f t="shared" si="4"/>
        <v>0</v>
      </c>
      <c r="I11" s="34" t="e">
        <f t="shared" si="5"/>
        <v>#DIV/0!</v>
      </c>
    </row>
    <row r="12" spans="1:9" s="52" customFormat="1" ht="15" customHeight="1" x14ac:dyDescent="0.25">
      <c r="A12" s="25" t="s">
        <v>27</v>
      </c>
      <c r="B12" s="32">
        <v>0.95012399999999997</v>
      </c>
      <c r="C12" s="31">
        <f t="shared" si="0"/>
        <v>0</v>
      </c>
      <c r="D12" s="30"/>
      <c r="E12" s="29" t="e">
        <f t="shared" si="1"/>
        <v>#DIV/0!</v>
      </c>
      <c r="F12" s="28" t="e">
        <f t="shared" si="2"/>
        <v>#DIV/0!</v>
      </c>
      <c r="G12" s="27" t="e">
        <f t="shared" si="3"/>
        <v>#DIV/0!</v>
      </c>
      <c r="H12" s="34">
        <f t="shared" si="4"/>
        <v>0</v>
      </c>
      <c r="I12" s="34" t="e">
        <f t="shared" si="5"/>
        <v>#DIV/0!</v>
      </c>
    </row>
    <row r="13" spans="1:9" s="52" customFormat="1" ht="15" customHeight="1" x14ac:dyDescent="0.25">
      <c r="A13" s="25" t="s">
        <v>28</v>
      </c>
      <c r="B13" s="32">
        <v>1.0524933999999999</v>
      </c>
      <c r="C13" s="31">
        <f t="shared" si="0"/>
        <v>0</v>
      </c>
      <c r="D13" s="30"/>
      <c r="E13" s="29" t="e">
        <f t="shared" si="1"/>
        <v>#DIV/0!</v>
      </c>
      <c r="F13" s="28" t="e">
        <f t="shared" si="2"/>
        <v>#DIV/0!</v>
      </c>
      <c r="G13" s="27" t="e">
        <f t="shared" si="3"/>
        <v>#DIV/0!</v>
      </c>
      <c r="H13" s="34">
        <f t="shared" si="4"/>
        <v>0</v>
      </c>
      <c r="I13" s="34" t="e">
        <f t="shared" si="5"/>
        <v>#DIV/0!</v>
      </c>
    </row>
    <row r="14" spans="1:9" s="52" customFormat="1" ht="15" customHeight="1" x14ac:dyDescent="0.25">
      <c r="A14" s="25" t="s">
        <v>29</v>
      </c>
      <c r="B14" s="32">
        <v>1.17882</v>
      </c>
      <c r="C14" s="31">
        <f t="shared" si="0"/>
        <v>0</v>
      </c>
      <c r="D14" s="30"/>
      <c r="E14" s="29" t="e">
        <f t="shared" si="1"/>
        <v>#DIV/0!</v>
      </c>
      <c r="F14" s="28" t="e">
        <f t="shared" si="2"/>
        <v>#DIV/0!</v>
      </c>
      <c r="G14" s="27" t="e">
        <f t="shared" si="3"/>
        <v>#DIV/0!</v>
      </c>
      <c r="H14" s="34">
        <f t="shared" si="4"/>
        <v>0</v>
      </c>
      <c r="I14" s="34" t="e">
        <f t="shared" si="5"/>
        <v>#DIV/0!</v>
      </c>
    </row>
    <row r="15" spans="1:9" s="52" customFormat="1" ht="15" customHeight="1" x14ac:dyDescent="0.25">
      <c r="A15" s="25" t="s">
        <v>30</v>
      </c>
      <c r="B15" s="32">
        <v>0.97882000000000002</v>
      </c>
      <c r="C15" s="31">
        <f t="shared" si="0"/>
        <v>0</v>
      </c>
      <c r="D15" s="30"/>
      <c r="E15" s="29" t="e">
        <f t="shared" si="1"/>
        <v>#DIV/0!</v>
      </c>
      <c r="F15" s="28" t="e">
        <f t="shared" si="2"/>
        <v>#DIV/0!</v>
      </c>
      <c r="G15" s="27" t="e">
        <f t="shared" si="3"/>
        <v>#DIV/0!</v>
      </c>
      <c r="H15" s="34">
        <f t="shared" si="4"/>
        <v>0</v>
      </c>
      <c r="I15" s="34" t="e">
        <f t="shared" si="5"/>
        <v>#DIV/0!</v>
      </c>
    </row>
    <row r="16" spans="1:9" s="52" customFormat="1" ht="15" customHeight="1" x14ac:dyDescent="0.25">
      <c r="A16" s="25" t="s">
        <v>31</v>
      </c>
      <c r="B16" s="32">
        <v>1.3288199999999999</v>
      </c>
      <c r="C16" s="31">
        <f t="shared" si="0"/>
        <v>0</v>
      </c>
      <c r="D16" s="30"/>
      <c r="E16" s="29" t="e">
        <f t="shared" si="1"/>
        <v>#DIV/0!</v>
      </c>
      <c r="F16" s="28" t="e">
        <f t="shared" si="2"/>
        <v>#DIV/0!</v>
      </c>
      <c r="G16" s="27" t="e">
        <f t="shared" si="3"/>
        <v>#DIV/0!</v>
      </c>
      <c r="H16" s="34">
        <f t="shared" si="4"/>
        <v>0</v>
      </c>
      <c r="I16" s="34" t="e">
        <f t="shared" si="5"/>
        <v>#DIV/0!</v>
      </c>
    </row>
    <row r="17" spans="1:9" s="52" customFormat="1" ht="15" x14ac:dyDescent="0.25">
      <c r="A17" s="25" t="s">
        <v>32</v>
      </c>
      <c r="B17" s="32">
        <v>1.95</v>
      </c>
      <c r="C17" s="31">
        <f t="shared" si="0"/>
        <v>0</v>
      </c>
      <c r="D17" s="30"/>
      <c r="E17" s="29" t="e">
        <f t="shared" si="1"/>
        <v>#DIV/0!</v>
      </c>
      <c r="F17" s="28" t="e">
        <f t="shared" si="2"/>
        <v>#DIV/0!</v>
      </c>
      <c r="G17" s="27" t="e">
        <f t="shared" si="3"/>
        <v>#DIV/0!</v>
      </c>
      <c r="H17" s="34">
        <f t="shared" si="4"/>
        <v>0</v>
      </c>
      <c r="I17" s="34" t="e">
        <f t="shared" si="5"/>
        <v>#DIV/0!</v>
      </c>
    </row>
    <row r="18" spans="1:9" s="52" customFormat="1" ht="15.75" thickBot="1" x14ac:dyDescent="0.3">
      <c r="A18" s="25" t="s">
        <v>33</v>
      </c>
      <c r="B18" s="32">
        <v>1.71</v>
      </c>
      <c r="C18" s="31">
        <f t="shared" si="0"/>
        <v>0</v>
      </c>
      <c r="D18" s="30"/>
      <c r="E18" s="29" t="e">
        <f t="shared" si="1"/>
        <v>#DIV/0!</v>
      </c>
      <c r="F18" s="28" t="e">
        <f t="shared" si="2"/>
        <v>#DIV/0!</v>
      </c>
      <c r="G18" s="27" t="e">
        <f t="shared" si="3"/>
        <v>#DIV/0!</v>
      </c>
      <c r="H18" s="34">
        <f t="shared" si="4"/>
        <v>0</v>
      </c>
      <c r="I18" s="34" t="e">
        <f t="shared" si="5"/>
        <v>#DIV/0!</v>
      </c>
    </row>
    <row r="19" spans="1:9" s="8" customFormat="1" ht="16.5" thickTop="1" thickBot="1" x14ac:dyDescent="0.3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 t="e">
        <f>SUM(I10:I18)</f>
        <v>#DIV/0!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2.3441299999999998</v>
      </c>
      <c r="C21" s="31">
        <f>ROUND($G$3*B21,1)</f>
        <v>0</v>
      </c>
      <c r="D21" s="30"/>
      <c r="E21" s="29" t="e">
        <f>D21/$D$48</f>
        <v>#DIV/0!</v>
      </c>
      <c r="F21" s="28" t="e">
        <f>C21-(C21*$E$6)</f>
        <v>#DIV/0!</v>
      </c>
      <c r="G21" s="27" t="e">
        <f>IF(C21&gt;=F21,"-","+")</f>
        <v>#DIV/0!</v>
      </c>
      <c r="H21" s="26">
        <f>C21*D21</f>
        <v>0</v>
      </c>
      <c r="I21" s="26" t="e">
        <f>F21*D21</f>
        <v>#DIV/0!</v>
      </c>
    </row>
    <row r="22" spans="1:9" s="25" customFormat="1" ht="15" x14ac:dyDescent="0.25">
      <c r="A22" s="25" t="s">
        <v>37</v>
      </c>
      <c r="B22" s="32">
        <v>1.7157100000000001</v>
      </c>
      <c r="C22" s="31">
        <f>ROUND($G$3*B22,1)</f>
        <v>0</v>
      </c>
      <c r="D22" s="30"/>
      <c r="E22" s="29" t="e">
        <f>D22/$D$48</f>
        <v>#DIV/0!</v>
      </c>
      <c r="F22" s="28" t="e">
        <f>C22-(C22*$E$6)</f>
        <v>#DIV/0!</v>
      </c>
      <c r="G22" s="27" t="e">
        <f>IF(C22&gt;=F22,"-","+")</f>
        <v>#DIV/0!</v>
      </c>
      <c r="H22" s="26">
        <f>C22*D22</f>
        <v>0</v>
      </c>
      <c r="I22" s="26" t="e">
        <f>F22*D22</f>
        <v>#DIV/0!</v>
      </c>
    </row>
    <row r="23" spans="1:9" s="25" customFormat="1" ht="15.75" thickBot="1" x14ac:dyDescent="0.3">
      <c r="A23" s="25" t="s">
        <v>38</v>
      </c>
      <c r="B23" s="32">
        <v>1.63341</v>
      </c>
      <c r="C23" s="31">
        <f>ROUND($G$3*B23,1)</f>
        <v>0</v>
      </c>
      <c r="D23" s="30"/>
      <c r="E23" s="29" t="e">
        <f>D23/$D$48</f>
        <v>#DIV/0!</v>
      </c>
      <c r="F23" s="28" t="e">
        <f>C23-(C23*$E$6)</f>
        <v>#DIV/0!</v>
      </c>
      <c r="G23" s="27" t="e">
        <f>IF(C23&gt;=F23,"-","+")</f>
        <v>#DIV/0!</v>
      </c>
      <c r="H23" s="26">
        <f>C23*D23</f>
        <v>0</v>
      </c>
      <c r="I23" s="26" t="e">
        <f>F23*D23</f>
        <v>#DIV/0!</v>
      </c>
    </row>
    <row r="24" spans="1:9" s="17" customFormat="1" ht="13.5" thickBot="1" x14ac:dyDescent="0.3">
      <c r="A24" s="24" t="s">
        <v>34</v>
      </c>
      <c r="B24" s="23"/>
      <c r="C24" s="20" t="e">
        <f>H24/D24</f>
        <v>#DIV/0!</v>
      </c>
      <c r="D24" s="22">
        <f>SUM(D21:D23)</f>
        <v>0</v>
      </c>
      <c r="E24" s="21" t="e">
        <f>D24/$D$48</f>
        <v>#DIV/0!</v>
      </c>
      <c r="F24" s="20" t="e">
        <f>I24/D24</f>
        <v>#DIV/0!</v>
      </c>
      <c r="G24" s="19" t="e">
        <f>F24/C24-1</f>
        <v>#DIV/0!</v>
      </c>
      <c r="H24" s="18">
        <f>SUM(H21:H23)</f>
        <v>0</v>
      </c>
      <c r="I24" s="18" t="e">
        <f>SUM(I21:I23)</f>
        <v>#DIV/0!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1.37157</v>
      </c>
      <c r="C26" s="31">
        <f t="shared" ref="C26:C31" si="6">ROUND($G$3*B26,1)</f>
        <v>0</v>
      </c>
      <c r="D26" s="30"/>
      <c r="E26" s="29" t="e">
        <f t="shared" ref="E26:E32" si="7">D26/$D$48</f>
        <v>#DIV/0!</v>
      </c>
      <c r="F26" s="28" t="e">
        <f t="shared" ref="F26:F31" si="8">C26-(C26*$E$6)</f>
        <v>#DIV/0!</v>
      </c>
      <c r="G26" s="27" t="e">
        <f t="shared" ref="G26:G31" si="9">IF(C26&gt;=F26,"-","+")</f>
        <v>#DIV/0!</v>
      </c>
      <c r="H26" s="26">
        <f t="shared" ref="H26:H31" si="10">C26*D26</f>
        <v>0</v>
      </c>
      <c r="I26" s="26" t="e">
        <f t="shared" ref="I26:I31" si="11">F26*D26</f>
        <v>#DIV/0!</v>
      </c>
    </row>
    <row r="27" spans="1:9" s="25" customFormat="1" ht="15" x14ac:dyDescent="0.25">
      <c r="A27" s="25" t="s">
        <v>41</v>
      </c>
      <c r="B27" s="32">
        <v>1.1670799999999999</v>
      </c>
      <c r="C27" s="31">
        <f t="shared" si="6"/>
        <v>0</v>
      </c>
      <c r="D27" s="30"/>
      <c r="E27" s="29" t="e">
        <f t="shared" si="7"/>
        <v>#DIV/0!</v>
      </c>
      <c r="F27" s="28" t="e">
        <f t="shared" si="8"/>
        <v>#DIV/0!</v>
      </c>
      <c r="G27" s="27" t="e">
        <f t="shared" si="9"/>
        <v>#DIV/0!</v>
      </c>
      <c r="H27" s="26">
        <f t="shared" si="10"/>
        <v>0</v>
      </c>
      <c r="I27" s="26" t="e">
        <f t="shared" si="11"/>
        <v>#DIV/0!</v>
      </c>
    </row>
    <row r="28" spans="1:9" s="25" customFormat="1" ht="15" x14ac:dyDescent="0.25">
      <c r="A28" s="25" t="s">
        <v>42</v>
      </c>
      <c r="B28" s="32">
        <v>1.1670799999999999</v>
      </c>
      <c r="C28" s="31">
        <f t="shared" si="6"/>
        <v>0</v>
      </c>
      <c r="D28" s="30"/>
      <c r="E28" s="29" t="e">
        <f t="shared" si="7"/>
        <v>#DIV/0!</v>
      </c>
      <c r="F28" s="28" t="e">
        <f t="shared" si="8"/>
        <v>#DIV/0!</v>
      </c>
      <c r="G28" s="27" t="e">
        <f t="shared" si="9"/>
        <v>#DIV/0!</v>
      </c>
      <c r="H28" s="26">
        <f t="shared" si="10"/>
        <v>0</v>
      </c>
      <c r="I28" s="26" t="e">
        <f t="shared" si="11"/>
        <v>#DIV/0!</v>
      </c>
    </row>
    <row r="29" spans="1:9" s="25" customFormat="1" ht="15" x14ac:dyDescent="0.25">
      <c r="A29" s="25" t="s">
        <v>43</v>
      </c>
      <c r="B29" s="32">
        <v>1.10972</v>
      </c>
      <c r="C29" s="31">
        <f t="shared" si="6"/>
        <v>0</v>
      </c>
      <c r="D29" s="30"/>
      <c r="E29" s="29" t="e">
        <f t="shared" si="7"/>
        <v>#DIV/0!</v>
      </c>
      <c r="F29" s="28" t="e">
        <f t="shared" si="8"/>
        <v>#DIV/0!</v>
      </c>
      <c r="G29" s="27" t="e">
        <f t="shared" si="9"/>
        <v>#DIV/0!</v>
      </c>
      <c r="H29" s="26">
        <f t="shared" si="10"/>
        <v>0</v>
      </c>
      <c r="I29" s="26" t="e">
        <f t="shared" si="11"/>
        <v>#DIV/0!</v>
      </c>
    </row>
    <row r="30" spans="1:9" s="25" customFormat="1" ht="15" x14ac:dyDescent="0.25">
      <c r="A30" s="25" t="s">
        <v>44</v>
      </c>
      <c r="B30" s="32">
        <v>1.10972</v>
      </c>
      <c r="C30" s="31">
        <f t="shared" si="6"/>
        <v>0</v>
      </c>
      <c r="D30" s="30"/>
      <c r="E30" s="29" t="e">
        <f t="shared" si="7"/>
        <v>#DIV/0!</v>
      </c>
      <c r="F30" s="28" t="e">
        <f t="shared" si="8"/>
        <v>#DIV/0!</v>
      </c>
      <c r="G30" s="27" t="e">
        <f t="shared" si="9"/>
        <v>#DIV/0!</v>
      </c>
      <c r="H30" s="26">
        <f t="shared" si="10"/>
        <v>0</v>
      </c>
      <c r="I30" s="26" t="e">
        <f t="shared" si="11"/>
        <v>#DIV/0!</v>
      </c>
    </row>
    <row r="31" spans="1:9" s="25" customFormat="1" ht="15.75" thickBot="1" x14ac:dyDescent="0.3">
      <c r="A31" s="25" t="s">
        <v>45</v>
      </c>
      <c r="B31" s="32">
        <v>1.13466</v>
      </c>
      <c r="C31" s="31">
        <f t="shared" si="6"/>
        <v>0</v>
      </c>
      <c r="D31" s="30"/>
      <c r="E31" s="29" t="e">
        <f t="shared" si="7"/>
        <v>#DIV/0!</v>
      </c>
      <c r="F31" s="28" t="e">
        <f t="shared" si="8"/>
        <v>#DIV/0!</v>
      </c>
      <c r="G31" s="27" t="e">
        <f t="shared" si="9"/>
        <v>#DIV/0!</v>
      </c>
      <c r="H31" s="26">
        <f t="shared" si="10"/>
        <v>0</v>
      </c>
      <c r="I31" s="26" t="e">
        <f t="shared" si="11"/>
        <v>#DIV/0!</v>
      </c>
    </row>
    <row r="32" spans="1:9" s="17" customFormat="1" ht="13.5" thickBot="1" x14ac:dyDescent="0.3">
      <c r="A32" s="24" t="s">
        <v>34</v>
      </c>
      <c r="B32" s="23"/>
      <c r="C32" s="20" t="e">
        <f>H32/D32</f>
        <v>#DIV/0!</v>
      </c>
      <c r="D32" s="22">
        <f>SUM(D26:D31)</f>
        <v>0</v>
      </c>
      <c r="E32" s="21" t="e">
        <f t="shared" si="7"/>
        <v>#DIV/0!</v>
      </c>
      <c r="F32" s="20" t="e">
        <f>I32/D32</f>
        <v>#DIV/0!</v>
      </c>
      <c r="G32" s="19" t="e">
        <f>F32/C32-1</f>
        <v>#DIV/0!</v>
      </c>
      <c r="H32" s="18">
        <f>SUM(H26:H31)</f>
        <v>0</v>
      </c>
      <c r="I32" s="18" t="e">
        <f>SUM(I26:I31)</f>
        <v>#DIV/0!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0.80798000000000003</v>
      </c>
      <c r="C34" s="31">
        <f t="shared" ref="C34:C39" si="12">ROUND($G$3*B34,1)</f>
        <v>0</v>
      </c>
      <c r="D34" s="30"/>
      <c r="E34" s="29" t="e">
        <f t="shared" ref="E34:E40" si="13">D34/$D$48</f>
        <v>#DIV/0!</v>
      </c>
      <c r="F34" s="28" t="e">
        <f t="shared" ref="F34:F39" si="14">C34-(C34*$E$6)</f>
        <v>#DIV/0!</v>
      </c>
      <c r="G34" s="27" t="e">
        <f t="shared" ref="G34:G39" si="15">IF(C34&gt;=F34,"-","+")</f>
        <v>#DIV/0!</v>
      </c>
      <c r="H34" s="26">
        <f t="shared" ref="H34:H39" si="16">C34*D34</f>
        <v>0</v>
      </c>
      <c r="I34" s="26" t="e">
        <f t="shared" ref="I34:I39" si="17">F34*D34</f>
        <v>#DIV/0!</v>
      </c>
    </row>
    <row r="35" spans="1:9" s="25" customFormat="1" ht="15" x14ac:dyDescent="0.25">
      <c r="A35" s="25" t="s">
        <v>48</v>
      </c>
      <c r="B35" s="32">
        <v>0.63797999999999999</v>
      </c>
      <c r="C35" s="31">
        <f t="shared" si="12"/>
        <v>0</v>
      </c>
      <c r="D35" s="30"/>
      <c r="E35" s="29" t="e">
        <f t="shared" si="13"/>
        <v>#DIV/0!</v>
      </c>
      <c r="F35" s="28" t="e">
        <f t="shared" si="14"/>
        <v>#DIV/0!</v>
      </c>
      <c r="G35" s="27" t="e">
        <f t="shared" si="15"/>
        <v>#DIV/0!</v>
      </c>
      <c r="H35" s="26">
        <f t="shared" si="16"/>
        <v>0</v>
      </c>
      <c r="I35" s="26" t="e">
        <f t="shared" si="17"/>
        <v>#DIV/0!</v>
      </c>
    </row>
    <row r="36" spans="1:9" s="25" customFormat="1" ht="15" x14ac:dyDescent="0.25">
      <c r="A36" s="25" t="s">
        <v>49</v>
      </c>
      <c r="B36" s="32">
        <v>0.41</v>
      </c>
      <c r="C36" s="31">
        <f t="shared" si="12"/>
        <v>0</v>
      </c>
      <c r="D36" s="30"/>
      <c r="E36" s="29" t="e">
        <f t="shared" si="13"/>
        <v>#DIV/0!</v>
      </c>
      <c r="F36" s="28" t="e">
        <f t="shared" si="14"/>
        <v>#DIV/0!</v>
      </c>
      <c r="G36" s="27" t="e">
        <f t="shared" si="15"/>
        <v>#DIV/0!</v>
      </c>
      <c r="H36" s="26">
        <f t="shared" si="16"/>
        <v>0</v>
      </c>
      <c r="I36" s="26" t="e">
        <f t="shared" si="17"/>
        <v>#DIV/0!</v>
      </c>
    </row>
    <row r="37" spans="1:9" s="25" customFormat="1" ht="15" x14ac:dyDescent="0.25">
      <c r="A37" s="25" t="s">
        <v>50</v>
      </c>
      <c r="B37" s="32">
        <v>1.10972</v>
      </c>
      <c r="C37" s="31">
        <f t="shared" si="12"/>
        <v>0</v>
      </c>
      <c r="D37" s="30"/>
      <c r="E37" s="29" t="e">
        <f t="shared" si="13"/>
        <v>#DIV/0!</v>
      </c>
      <c r="F37" s="28" t="e">
        <f t="shared" si="14"/>
        <v>#DIV/0!</v>
      </c>
      <c r="G37" s="27" t="e">
        <f t="shared" si="15"/>
        <v>#DIV/0!</v>
      </c>
      <c r="H37" s="26">
        <f t="shared" si="16"/>
        <v>0</v>
      </c>
      <c r="I37" s="26" t="e">
        <f t="shared" si="17"/>
        <v>#DIV/0!</v>
      </c>
    </row>
    <row r="38" spans="1:9" s="25" customFormat="1" ht="15" x14ac:dyDescent="0.25">
      <c r="A38" s="25" t="s">
        <v>51</v>
      </c>
      <c r="B38" s="32">
        <v>1.10972</v>
      </c>
      <c r="C38" s="31">
        <f t="shared" si="12"/>
        <v>0</v>
      </c>
      <c r="D38" s="30"/>
      <c r="E38" s="29" t="e">
        <f t="shared" si="13"/>
        <v>#DIV/0!</v>
      </c>
      <c r="F38" s="28" t="e">
        <f t="shared" si="14"/>
        <v>#DIV/0!</v>
      </c>
      <c r="G38" s="27" t="e">
        <f t="shared" si="15"/>
        <v>#DIV/0!</v>
      </c>
      <c r="H38" s="26">
        <f t="shared" si="16"/>
        <v>0</v>
      </c>
      <c r="I38" s="26" t="e">
        <f t="shared" si="17"/>
        <v>#DIV/0!</v>
      </c>
    </row>
    <row r="39" spans="1:9" s="25" customFormat="1" ht="15.75" thickBot="1" x14ac:dyDescent="0.3">
      <c r="A39" s="25" t="s">
        <v>52</v>
      </c>
      <c r="B39" s="32">
        <v>1.1670799999999999</v>
      </c>
      <c r="C39" s="31">
        <f t="shared" si="12"/>
        <v>0</v>
      </c>
      <c r="D39" s="30"/>
      <c r="E39" s="29" t="e">
        <f t="shared" si="13"/>
        <v>#DIV/0!</v>
      </c>
      <c r="F39" s="28" t="e">
        <f t="shared" si="14"/>
        <v>#DIV/0!</v>
      </c>
      <c r="G39" s="27" t="e">
        <f t="shared" si="15"/>
        <v>#DIV/0!</v>
      </c>
      <c r="H39" s="26">
        <f t="shared" si="16"/>
        <v>0</v>
      </c>
      <c r="I39" s="26" t="e">
        <f t="shared" si="17"/>
        <v>#DIV/0!</v>
      </c>
    </row>
    <row r="40" spans="1:9" s="17" customFormat="1" ht="13.5" thickBot="1" x14ac:dyDescent="0.3">
      <c r="A40" s="24" t="s">
        <v>34</v>
      </c>
      <c r="B40" s="23"/>
      <c r="C40" s="20" t="e">
        <f>H40/D40</f>
        <v>#DIV/0!</v>
      </c>
      <c r="D40" s="22">
        <f>SUM(D34:D39)</f>
        <v>0</v>
      </c>
      <c r="E40" s="21" t="e">
        <f t="shared" si="13"/>
        <v>#DIV/0!</v>
      </c>
      <c r="F40" s="20" t="e">
        <f>I40/D40</f>
        <v>#DIV/0!</v>
      </c>
      <c r="G40" s="19" t="e">
        <f>F40/C40-1</f>
        <v>#DIV/0!</v>
      </c>
      <c r="H40" s="18">
        <f>SUM(H34:H39)</f>
        <v>0</v>
      </c>
      <c r="I40" s="18" t="e">
        <f>SUM(I34:I39)</f>
        <v>#DIV/0!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1.9949999999999999E-2</v>
      </c>
      <c r="C42" s="31">
        <f>ROUND($G$3*B42,1)</f>
        <v>0</v>
      </c>
      <c r="D42" s="30"/>
      <c r="E42" s="29" t="e">
        <f>D42/$D$48</f>
        <v>#DIV/0!</v>
      </c>
      <c r="F42" s="28" t="e">
        <f>C42-(C42*$E$6)</f>
        <v>#DIV/0!</v>
      </c>
      <c r="G42" s="27" t="e">
        <f>IF(C42&gt;=F42,"-","+")</f>
        <v>#DIV/0!</v>
      </c>
      <c r="H42" s="26">
        <f>C42*D42</f>
        <v>0</v>
      </c>
      <c r="I42" s="26" t="e">
        <f>F42*D42</f>
        <v>#DIV/0!</v>
      </c>
    </row>
    <row r="43" spans="1:9" s="25" customFormat="1" ht="15" x14ac:dyDescent="0.25">
      <c r="A43" s="25" t="s">
        <v>55</v>
      </c>
      <c r="B43" s="32">
        <v>1.9949999999999999E-2</v>
      </c>
      <c r="C43" s="31">
        <f>ROUND($G$3*B43,1)</f>
        <v>0</v>
      </c>
      <c r="D43" s="30"/>
      <c r="E43" s="29" t="e">
        <f>D43/$D$48</f>
        <v>#DIV/0!</v>
      </c>
      <c r="F43" s="28" t="e">
        <f>C43-(C43*$E$6)</f>
        <v>#DIV/0!</v>
      </c>
      <c r="G43" s="27" t="e">
        <f>IF(C43&gt;=F43,"-","+")</f>
        <v>#DIV/0!</v>
      </c>
      <c r="H43" s="26">
        <f>C43*D43</f>
        <v>0</v>
      </c>
      <c r="I43" s="26" t="e">
        <f>F43*D43</f>
        <v>#DIV/0!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29" t="e">
        <f>D44/$D$48</f>
        <v>#DIV/0!</v>
      </c>
      <c r="F44" s="28" t="e">
        <f>C44-(C44*$E$6)</f>
        <v>#DIV/0!</v>
      </c>
      <c r="G44" s="27" t="e">
        <f>IF(C44&gt;=F44,"-","+")</f>
        <v>#DIV/0!</v>
      </c>
      <c r="H44" s="26">
        <f>C44*D44</f>
        <v>0</v>
      </c>
      <c r="I44" s="26" t="e">
        <f>F44*D44</f>
        <v>#DIV/0!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f>(0.5*G2)/100</f>
        <v>0</v>
      </c>
      <c r="E45" s="29" t="e">
        <f>D45/$D$48</f>
        <v>#DIV/0!</v>
      </c>
      <c r="F45" s="28" t="e">
        <f>C45-(C45*$E$6)</f>
        <v>#DIV/0!</v>
      </c>
      <c r="G45" s="27" t="e">
        <f>IF(C45&gt;=F45,"-","+")</f>
        <v>#DIV/0!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 t="e">
        <f>H46/D46</f>
        <v>#DIV/0!</v>
      </c>
      <c r="D46" s="22">
        <f>SUM(D41:D45)</f>
        <v>0</v>
      </c>
      <c r="E46" s="21" t="e">
        <f>D46/$D$48</f>
        <v>#DIV/0!</v>
      </c>
      <c r="F46" s="20" t="e">
        <f>I46/D46</f>
        <v>#DIV/0!</v>
      </c>
      <c r="G46" s="19" t="e">
        <f>F46/C46-1</f>
        <v>#DIV/0!</v>
      </c>
      <c r="H46" s="18">
        <f>SUM(H41:H44)</f>
        <v>0</v>
      </c>
      <c r="I46" s="18" t="e">
        <f>SUM(I41:I44)</f>
        <v>#DIV/0!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 t="e">
        <f>C24+C32+C40+C46</f>
        <v>#DIV/0!</v>
      </c>
      <c r="D48" s="13">
        <f>D24+D32+D40+D46+D19</f>
        <v>0</v>
      </c>
      <c r="E48" s="12" t="e">
        <f>SUM(E20:E46)/2</f>
        <v>#DIV/0!</v>
      </c>
      <c r="F48" s="11" t="e">
        <f>I48/D48</f>
        <v>#DIV/0!</v>
      </c>
      <c r="G48" s="10"/>
      <c r="H48" s="9">
        <f>SUM(H20:H46)/2</f>
        <v>0</v>
      </c>
      <c r="I48" s="9" t="e">
        <f>SUM(I20:I46)/2</f>
        <v>#DIV/0!</v>
      </c>
    </row>
    <row r="49" spans="1:9" ht="12.75" thickBot="1" x14ac:dyDescent="0.25">
      <c r="E49" s="16"/>
    </row>
    <row r="50" spans="1:9" s="8" customFormat="1" ht="15.75" thickBot="1" x14ac:dyDescent="0.3">
      <c r="A50" s="10" t="s">
        <v>59</v>
      </c>
      <c r="B50" s="15"/>
      <c r="C50" s="14"/>
      <c r="D50" s="13">
        <f>SUM(D10:D47)/2</f>
        <v>0</v>
      </c>
      <c r="E50" s="12" t="e">
        <f>D50/G2</f>
        <v>#DIV/0!</v>
      </c>
      <c r="F50" s="11" t="e">
        <f>I50/D50</f>
        <v>#DIV/0!</v>
      </c>
      <c r="G50" s="10"/>
      <c r="H50" s="9">
        <f>H48+H19</f>
        <v>0</v>
      </c>
      <c r="I50" s="9" t="e">
        <f>I48+I19</f>
        <v>#DIV/0!</v>
      </c>
    </row>
    <row r="51" spans="1:9" ht="23.25" x14ac:dyDescent="0.35">
      <c r="A51" s="168"/>
      <c r="B51" s="169"/>
      <c r="C51" s="170"/>
      <c r="G51" s="7"/>
      <c r="H51" s="6"/>
      <c r="I51" s="6" t="e">
        <f>+I50/D50</f>
        <v>#DIV/0!</v>
      </c>
    </row>
    <row r="52" spans="1:9" ht="18.75" x14ac:dyDescent="0.3">
      <c r="A52" s="171" t="e">
        <f>IF(E46&lt;17%,"KEMİK ORANI İYİ","KEMİK YÜKSEK")</f>
        <v>#DIV/0!</v>
      </c>
      <c r="B52" s="171"/>
      <c r="C52" s="171"/>
      <c r="D52" s="171"/>
      <c r="E52" s="171"/>
      <c r="F52" s="171"/>
      <c r="G52" s="171"/>
      <c r="H52" s="171"/>
      <c r="I52" s="171"/>
    </row>
    <row r="53" spans="1:9" ht="23.25" x14ac:dyDescent="0.35">
      <c r="G53" s="5"/>
    </row>
    <row r="54" spans="1:9" ht="18.75" x14ac:dyDescent="0.3">
      <c r="A54" s="171" t="e">
        <f>IF(I50&lt;H50,"MALİYET İYİ","MALİYET YÜKSEK")</f>
        <v>#DIV/0!</v>
      </c>
      <c r="B54" s="171"/>
      <c r="C54" s="171"/>
      <c r="D54" s="171"/>
      <c r="E54" s="171"/>
      <c r="F54" s="171"/>
      <c r="G54" s="171"/>
      <c r="H54" s="171"/>
      <c r="I54" s="171"/>
    </row>
    <row r="55" spans="1:9" x14ac:dyDescent="0.2">
      <c r="G55" s="172" t="s">
        <v>60</v>
      </c>
    </row>
    <row r="56" spans="1:9" x14ac:dyDescent="0.2">
      <c r="G56" s="172"/>
    </row>
  </sheetData>
  <mergeCells count="5">
    <mergeCell ref="E1:G1"/>
    <mergeCell ref="A52:I52"/>
    <mergeCell ref="A54:I54"/>
    <mergeCell ref="G55:G56"/>
    <mergeCell ref="A51:C51"/>
  </mergeCells>
  <conditionalFormatting sqref="G6">
    <cfRule type="iconSet" priority="1">
      <iconSet iconSet="3ArrowsGray">
        <cfvo type="percent" val="0"/>
        <cfvo type="num" val="24.3"/>
        <cfvo type="num" val="24.4"/>
      </iconSet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6"/>
  <sheetViews>
    <sheetView workbookViewId="0">
      <selection activeCell="D48" sqref="D48"/>
    </sheetView>
  </sheetViews>
  <sheetFormatPr defaultColWidth="8.85546875" defaultRowHeight="12" x14ac:dyDescent="0.2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9.2851562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x14ac:dyDescent="0.25">
      <c r="A1" s="103" t="s">
        <v>0</v>
      </c>
      <c r="B1" s="102"/>
      <c r="C1" s="101"/>
      <c r="D1" s="100" t="s">
        <v>1</v>
      </c>
      <c r="E1" s="168"/>
      <c r="F1" s="169"/>
      <c r="G1" s="170"/>
      <c r="H1" s="62"/>
      <c r="I1" s="62"/>
    </row>
    <row r="2" spans="1:9" s="61" customFormat="1" ht="20.100000000000001" customHeight="1" x14ac:dyDescent="0.25">
      <c r="A2" s="99" t="s">
        <v>2</v>
      </c>
      <c r="B2" s="98"/>
      <c r="C2" s="97"/>
      <c r="D2" s="96" t="s">
        <v>3</v>
      </c>
      <c r="E2" s="95" t="s">
        <v>61</v>
      </c>
      <c r="F2" s="94" t="s">
        <v>5</v>
      </c>
      <c r="G2" s="93"/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/>
      <c r="D3" s="90" t="s">
        <v>7</v>
      </c>
      <c r="E3" s="89"/>
      <c r="F3" s="88" t="s">
        <v>8</v>
      </c>
      <c r="G3" s="87"/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84"/>
      <c r="D4" s="83" t="s">
        <v>11</v>
      </c>
      <c r="E4" s="82" t="e">
        <f>G2/E3</f>
        <v>#DIV/0!</v>
      </c>
      <c r="F4" s="81" t="s">
        <v>12</v>
      </c>
      <c r="G4" s="80">
        <f>G2*G3</f>
        <v>0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e">
        <f>IF(G4=I50,"DOĞRU","HATA VAR")</f>
        <v>#DIV/0!</v>
      </c>
      <c r="H5" s="76"/>
      <c r="I5" s="76"/>
    </row>
    <row r="6" spans="1:9" ht="23.25" x14ac:dyDescent="0.35">
      <c r="A6" s="74" t="s">
        <v>14</v>
      </c>
      <c r="B6" s="73"/>
      <c r="C6" s="72">
        <v>26.4</v>
      </c>
      <c r="D6" s="71" t="s">
        <v>15</v>
      </c>
      <c r="E6" s="70" t="e">
        <f>1-G4/H50</f>
        <v>#DIV/0!</v>
      </c>
      <c r="F6" s="69" t="s">
        <v>16</v>
      </c>
      <c r="G6" s="68" t="e">
        <f>(I50-I19)/(D50-(SUM(D42:D44)+D19))</f>
        <v>#DIV/0!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27.1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0</v>
      </c>
      <c r="D10" s="30"/>
      <c r="E10" s="29" t="e">
        <f t="shared" ref="E10:E19" si="1">D10/$D$19</f>
        <v>#DIV/0!</v>
      </c>
      <c r="F10" s="28" t="e">
        <f t="shared" ref="F10:F18" si="2">C10-(C10*$E$6)</f>
        <v>#DIV/0!</v>
      </c>
      <c r="G10" s="27" t="e">
        <f t="shared" ref="G10:G18" si="3">IF(C10&gt;=F10,"-","+")</f>
        <v>#DIV/0!</v>
      </c>
      <c r="H10" s="34">
        <f t="shared" ref="H10:H18" si="4">C10*D10</f>
        <v>0</v>
      </c>
      <c r="I10" s="34" t="e">
        <f t="shared" ref="I10:I18" si="5">F10*D10</f>
        <v>#DIV/0!</v>
      </c>
    </row>
    <row r="11" spans="1:9" s="52" customFormat="1" ht="15" customHeight="1" x14ac:dyDescent="0.25">
      <c r="A11" s="25" t="s">
        <v>26</v>
      </c>
      <c r="B11" s="32">
        <v>1.0749112999999999</v>
      </c>
      <c r="C11" s="31">
        <f t="shared" si="0"/>
        <v>0</v>
      </c>
      <c r="D11" s="30"/>
      <c r="E11" s="29" t="e">
        <f t="shared" si="1"/>
        <v>#DIV/0!</v>
      </c>
      <c r="F11" s="28" t="e">
        <f t="shared" si="2"/>
        <v>#DIV/0!</v>
      </c>
      <c r="G11" s="27" t="e">
        <f t="shared" si="3"/>
        <v>#DIV/0!</v>
      </c>
      <c r="H11" s="34">
        <f t="shared" si="4"/>
        <v>0</v>
      </c>
      <c r="I11" s="34" t="e">
        <f t="shared" si="5"/>
        <v>#DIV/0!</v>
      </c>
    </row>
    <row r="12" spans="1:9" s="52" customFormat="1" ht="15" customHeight="1" x14ac:dyDescent="0.25">
      <c r="A12" s="25" t="s">
        <v>27</v>
      </c>
      <c r="B12" s="32">
        <v>1</v>
      </c>
      <c r="C12" s="31">
        <f t="shared" si="0"/>
        <v>0</v>
      </c>
      <c r="D12" s="30"/>
      <c r="E12" s="29" t="e">
        <f t="shared" si="1"/>
        <v>#DIV/0!</v>
      </c>
      <c r="F12" s="28" t="e">
        <f t="shared" si="2"/>
        <v>#DIV/0!</v>
      </c>
      <c r="G12" s="27" t="e">
        <f t="shared" si="3"/>
        <v>#DIV/0!</v>
      </c>
      <c r="H12" s="34">
        <f t="shared" si="4"/>
        <v>0</v>
      </c>
      <c r="I12" s="34" t="e">
        <f t="shared" si="5"/>
        <v>#DIV/0!</v>
      </c>
    </row>
    <row r="13" spans="1:9" s="52" customFormat="1" ht="15" customHeight="1" x14ac:dyDescent="0.25">
      <c r="A13" s="25" t="s">
        <v>28</v>
      </c>
      <c r="B13" s="32">
        <v>1.0749112999999999</v>
      </c>
      <c r="C13" s="31">
        <f t="shared" si="0"/>
        <v>0</v>
      </c>
      <c r="D13" s="30"/>
      <c r="E13" s="29" t="e">
        <f t="shared" si="1"/>
        <v>#DIV/0!</v>
      </c>
      <c r="F13" s="28" t="e">
        <f t="shared" si="2"/>
        <v>#DIV/0!</v>
      </c>
      <c r="G13" s="27" t="e">
        <f t="shared" si="3"/>
        <v>#DIV/0!</v>
      </c>
      <c r="H13" s="34">
        <f t="shared" si="4"/>
        <v>0</v>
      </c>
      <c r="I13" s="34" t="e">
        <f t="shared" si="5"/>
        <v>#DIV/0!</v>
      </c>
    </row>
    <row r="14" spans="1:9" s="52" customFormat="1" ht="15" customHeight="1" x14ac:dyDescent="0.25">
      <c r="A14" s="25" t="s">
        <v>29</v>
      </c>
      <c r="B14" s="32">
        <v>1.2016985</v>
      </c>
      <c r="C14" s="31">
        <f t="shared" si="0"/>
        <v>0</v>
      </c>
      <c r="D14" s="30"/>
      <c r="E14" s="29" t="e">
        <f t="shared" si="1"/>
        <v>#DIV/0!</v>
      </c>
      <c r="F14" s="28" t="e">
        <f t="shared" si="2"/>
        <v>#DIV/0!</v>
      </c>
      <c r="G14" s="27" t="e">
        <f t="shared" si="3"/>
        <v>#DIV/0!</v>
      </c>
      <c r="H14" s="34">
        <f t="shared" si="4"/>
        <v>0</v>
      </c>
      <c r="I14" s="34" t="e">
        <f t="shared" si="5"/>
        <v>#DIV/0!</v>
      </c>
    </row>
    <row r="15" spans="1:9" s="52" customFormat="1" ht="15" customHeight="1" x14ac:dyDescent="0.25">
      <c r="A15" s="25" t="s">
        <v>30</v>
      </c>
      <c r="B15" s="32">
        <v>0.96169850000000001</v>
      </c>
      <c r="C15" s="31">
        <f t="shared" si="0"/>
        <v>0</v>
      </c>
      <c r="D15" s="30"/>
      <c r="E15" s="29" t="e">
        <f t="shared" si="1"/>
        <v>#DIV/0!</v>
      </c>
      <c r="F15" s="28" t="e">
        <f t="shared" si="2"/>
        <v>#DIV/0!</v>
      </c>
      <c r="G15" s="27" t="e">
        <f t="shared" si="3"/>
        <v>#DIV/0!</v>
      </c>
      <c r="H15" s="34">
        <f t="shared" si="4"/>
        <v>0</v>
      </c>
      <c r="I15" s="34" t="e">
        <f t="shared" si="5"/>
        <v>#DIV/0!</v>
      </c>
    </row>
    <row r="16" spans="1:9" s="52" customFormat="1" ht="15" customHeight="1" x14ac:dyDescent="0.25">
      <c r="A16" s="25" t="s">
        <v>31</v>
      </c>
      <c r="B16" s="32">
        <v>1.3116985000000001</v>
      </c>
      <c r="C16" s="31">
        <f t="shared" si="0"/>
        <v>0</v>
      </c>
      <c r="D16" s="30"/>
      <c r="E16" s="29" t="e">
        <f t="shared" si="1"/>
        <v>#DIV/0!</v>
      </c>
      <c r="F16" s="28" t="e">
        <f t="shared" si="2"/>
        <v>#DIV/0!</v>
      </c>
      <c r="G16" s="27" t="e">
        <f t="shared" si="3"/>
        <v>#DIV/0!</v>
      </c>
      <c r="H16" s="34">
        <f t="shared" si="4"/>
        <v>0</v>
      </c>
      <c r="I16" s="34" t="e">
        <f t="shared" si="5"/>
        <v>#DIV/0!</v>
      </c>
    </row>
    <row r="17" spans="1:9" s="52" customFormat="1" ht="15" x14ac:dyDescent="0.25">
      <c r="A17" s="25" t="s">
        <v>32</v>
      </c>
      <c r="B17" s="32">
        <v>1.9316985</v>
      </c>
      <c r="C17" s="31">
        <f t="shared" si="0"/>
        <v>0</v>
      </c>
      <c r="D17" s="30"/>
      <c r="E17" s="29" t="e">
        <f t="shared" si="1"/>
        <v>#DIV/0!</v>
      </c>
      <c r="F17" s="28" t="e">
        <f t="shared" si="2"/>
        <v>#DIV/0!</v>
      </c>
      <c r="G17" s="27" t="e">
        <f t="shared" si="3"/>
        <v>#DIV/0!</v>
      </c>
      <c r="H17" s="34">
        <f t="shared" si="4"/>
        <v>0</v>
      </c>
      <c r="I17" s="34" t="e">
        <f t="shared" si="5"/>
        <v>#DIV/0!</v>
      </c>
    </row>
    <row r="18" spans="1:9" s="52" customFormat="1" ht="15.75" thickBot="1" x14ac:dyDescent="0.3">
      <c r="A18" s="25" t="s">
        <v>33</v>
      </c>
      <c r="B18" s="32">
        <v>1.6916985</v>
      </c>
      <c r="C18" s="31">
        <f t="shared" si="0"/>
        <v>0</v>
      </c>
      <c r="D18" s="30"/>
      <c r="E18" s="29" t="e">
        <f t="shared" si="1"/>
        <v>#DIV/0!</v>
      </c>
      <c r="F18" s="28" t="e">
        <f t="shared" si="2"/>
        <v>#DIV/0!</v>
      </c>
      <c r="G18" s="27" t="e">
        <f t="shared" si="3"/>
        <v>#DIV/0!</v>
      </c>
      <c r="H18" s="34">
        <f t="shared" si="4"/>
        <v>0</v>
      </c>
      <c r="I18" s="34" t="e">
        <f t="shared" si="5"/>
        <v>#DIV/0!</v>
      </c>
    </row>
    <row r="19" spans="1:9" s="8" customFormat="1" ht="16.5" thickTop="1" thickBot="1" x14ac:dyDescent="0.3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 t="e">
        <f>SUM(I10:I18)</f>
        <v>#DIV/0!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2.594697</v>
      </c>
      <c r="C21" s="31">
        <f>ROUND($G$3*B21,1)</f>
        <v>0</v>
      </c>
      <c r="D21" s="30"/>
      <c r="E21" s="29" t="e">
        <f>D21/$D$48</f>
        <v>#DIV/0!</v>
      </c>
      <c r="F21" s="28" t="e">
        <f>C21-(C21*$E$6)</f>
        <v>#DIV/0!</v>
      </c>
      <c r="G21" s="27" t="e">
        <f>IF(C21&gt;=F21,"-","+")</f>
        <v>#DIV/0!</v>
      </c>
      <c r="H21" s="26">
        <f>C21*D21</f>
        <v>0</v>
      </c>
      <c r="I21" s="26" t="e">
        <f>F21*D21</f>
        <v>#DIV/0!</v>
      </c>
    </row>
    <row r="22" spans="1:9" s="25" customFormat="1" ht="15" x14ac:dyDescent="0.25">
      <c r="A22" s="25" t="s">
        <v>37</v>
      </c>
      <c r="B22" s="32">
        <v>1.75238</v>
      </c>
      <c r="C22" s="31">
        <f>ROUND($G$3*B22,1)</f>
        <v>0</v>
      </c>
      <c r="D22" s="30"/>
      <c r="E22" s="29" t="e">
        <f>D22/$D$48</f>
        <v>#DIV/0!</v>
      </c>
      <c r="F22" s="28" t="e">
        <f>C22-(C22*$E$6)</f>
        <v>#DIV/0!</v>
      </c>
      <c r="G22" s="27" t="e">
        <f>IF(C22&gt;=F22,"-","+")</f>
        <v>#DIV/0!</v>
      </c>
      <c r="H22" s="26">
        <f>C22*D22</f>
        <v>0</v>
      </c>
      <c r="I22" s="26" t="e">
        <f>F22*D22</f>
        <v>#DIV/0!</v>
      </c>
    </row>
    <row r="23" spans="1:9" s="25" customFormat="1" ht="15.75" thickBot="1" x14ac:dyDescent="0.3">
      <c r="A23" s="25" t="s">
        <v>38</v>
      </c>
      <c r="B23" s="32">
        <v>1.5909091</v>
      </c>
      <c r="C23" s="31">
        <f>ROUND($G$3*B23,1)</f>
        <v>0</v>
      </c>
      <c r="D23" s="30"/>
      <c r="E23" s="29" t="e">
        <f>D23/$D$48</f>
        <v>#DIV/0!</v>
      </c>
      <c r="F23" s="28" t="e">
        <f>C23-(C23*$E$6)</f>
        <v>#DIV/0!</v>
      </c>
      <c r="G23" s="27" t="e">
        <f>IF(C23&gt;=F23,"-","+")</f>
        <v>#DIV/0!</v>
      </c>
      <c r="H23" s="26">
        <f>C23*D23</f>
        <v>0</v>
      </c>
      <c r="I23" s="26" t="e">
        <f>F23*D23</f>
        <v>#DIV/0!</v>
      </c>
    </row>
    <row r="24" spans="1:9" s="17" customFormat="1" ht="13.5" thickBot="1" x14ac:dyDescent="0.3">
      <c r="A24" s="24" t="s">
        <v>34</v>
      </c>
      <c r="B24" s="23"/>
      <c r="C24" s="20" t="e">
        <f>H24/D24</f>
        <v>#DIV/0!</v>
      </c>
      <c r="D24" s="22">
        <f>SUM(D21:D23)</f>
        <v>0</v>
      </c>
      <c r="E24" s="21" t="e">
        <f>D24/$D$48</f>
        <v>#DIV/0!</v>
      </c>
      <c r="F24" s="20" t="e">
        <f>I24/D24</f>
        <v>#DIV/0!</v>
      </c>
      <c r="G24" s="19" t="e">
        <f>F24/C24-1</f>
        <v>#DIV/0!</v>
      </c>
      <c r="H24" s="18">
        <f>SUM(H21:H23)</f>
        <v>0</v>
      </c>
      <c r="I24" s="18" t="e">
        <f>SUM(I21:I23)</f>
        <v>#DIV/0!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1.3871211999999999</v>
      </c>
      <c r="C26" s="31">
        <f t="shared" ref="C26:C31" si="6">ROUND($G$3*B26,1)</f>
        <v>0</v>
      </c>
      <c r="D26" s="30"/>
      <c r="E26" s="29" t="e">
        <f t="shared" ref="E26:E32" si="7">D26/$D$48</f>
        <v>#DIV/0!</v>
      </c>
      <c r="F26" s="28" t="e">
        <f t="shared" ref="F26:F31" si="8">C26-(C26*$E$6)</f>
        <v>#DIV/0!</v>
      </c>
      <c r="G26" s="27" t="e">
        <f t="shared" ref="G26:G31" si="9">IF(C26&gt;=F26,"-","+")</f>
        <v>#DIV/0!</v>
      </c>
      <c r="H26" s="26">
        <f t="shared" ref="H26:H31" si="10">C26*D26</f>
        <v>0</v>
      </c>
      <c r="I26" s="26" t="e">
        <f t="shared" ref="I26:I31" si="11">F26*D26</f>
        <v>#DIV/0!</v>
      </c>
    </row>
    <row r="27" spans="1:9" s="25" customFormat="1" ht="15" x14ac:dyDescent="0.25">
      <c r="A27" s="25" t="s">
        <v>41</v>
      </c>
      <c r="B27" s="32">
        <v>1.24152</v>
      </c>
      <c r="C27" s="31">
        <f t="shared" si="6"/>
        <v>0</v>
      </c>
      <c r="D27" s="30"/>
      <c r="E27" s="29" t="e">
        <f t="shared" si="7"/>
        <v>#DIV/0!</v>
      </c>
      <c r="F27" s="28" t="e">
        <f t="shared" si="8"/>
        <v>#DIV/0!</v>
      </c>
      <c r="G27" s="27" t="e">
        <f t="shared" si="9"/>
        <v>#DIV/0!</v>
      </c>
      <c r="H27" s="26">
        <f t="shared" si="10"/>
        <v>0</v>
      </c>
      <c r="I27" s="26" t="e">
        <f t="shared" si="11"/>
        <v>#DIV/0!</v>
      </c>
    </row>
    <row r="28" spans="1:9" s="25" customFormat="1" ht="15" x14ac:dyDescent="0.25">
      <c r="A28" s="25" t="s">
        <v>42</v>
      </c>
      <c r="B28" s="32">
        <v>1.2</v>
      </c>
      <c r="C28" s="31">
        <f t="shared" si="6"/>
        <v>0</v>
      </c>
      <c r="D28" s="30"/>
      <c r="E28" s="29" t="e">
        <f t="shared" si="7"/>
        <v>#DIV/0!</v>
      </c>
      <c r="F28" s="28" t="e">
        <f t="shared" si="8"/>
        <v>#DIV/0!</v>
      </c>
      <c r="G28" s="27" t="e">
        <f t="shared" si="9"/>
        <v>#DIV/0!</v>
      </c>
      <c r="H28" s="26">
        <f t="shared" si="10"/>
        <v>0</v>
      </c>
      <c r="I28" s="26" t="e">
        <f t="shared" si="11"/>
        <v>#DIV/0!</v>
      </c>
    </row>
    <row r="29" spans="1:9" s="25" customFormat="1" ht="15" x14ac:dyDescent="0.25">
      <c r="A29" s="25" t="s">
        <v>43</v>
      </c>
      <c r="B29" s="32">
        <v>1.2</v>
      </c>
      <c r="C29" s="31">
        <f t="shared" si="6"/>
        <v>0</v>
      </c>
      <c r="D29" s="30"/>
      <c r="E29" s="29" t="e">
        <f t="shared" si="7"/>
        <v>#DIV/0!</v>
      </c>
      <c r="F29" s="28" t="e">
        <f t="shared" si="8"/>
        <v>#DIV/0!</v>
      </c>
      <c r="G29" s="27" t="e">
        <f t="shared" si="9"/>
        <v>#DIV/0!</v>
      </c>
      <c r="H29" s="26">
        <f t="shared" si="10"/>
        <v>0</v>
      </c>
      <c r="I29" s="26" t="e">
        <f t="shared" si="11"/>
        <v>#DIV/0!</v>
      </c>
    </row>
    <row r="30" spans="1:9" s="25" customFormat="1" ht="15" x14ac:dyDescent="0.25">
      <c r="A30" s="25" t="s">
        <v>44</v>
      </c>
      <c r="B30" s="32">
        <v>1.2190399999999999</v>
      </c>
      <c r="C30" s="31">
        <f t="shared" si="6"/>
        <v>0</v>
      </c>
      <c r="D30" s="30"/>
      <c r="E30" s="29" t="e">
        <f t="shared" si="7"/>
        <v>#DIV/0!</v>
      </c>
      <c r="F30" s="28" t="e">
        <f t="shared" si="8"/>
        <v>#DIV/0!</v>
      </c>
      <c r="G30" s="27" t="e">
        <f t="shared" si="9"/>
        <v>#DIV/0!</v>
      </c>
      <c r="H30" s="26">
        <f t="shared" si="10"/>
        <v>0</v>
      </c>
      <c r="I30" s="26" t="e">
        <f t="shared" si="11"/>
        <v>#DIV/0!</v>
      </c>
    </row>
    <row r="31" spans="1:9" s="25" customFormat="1" ht="15.75" thickBot="1" x14ac:dyDescent="0.3">
      <c r="A31" s="25" t="s">
        <v>45</v>
      </c>
      <c r="B31" s="32">
        <v>1.2190399999999999</v>
      </c>
      <c r="C31" s="31">
        <f t="shared" si="6"/>
        <v>0</v>
      </c>
      <c r="D31" s="30"/>
      <c r="E31" s="29" t="e">
        <f t="shared" si="7"/>
        <v>#DIV/0!</v>
      </c>
      <c r="F31" s="28" t="e">
        <f t="shared" si="8"/>
        <v>#DIV/0!</v>
      </c>
      <c r="G31" s="27" t="e">
        <f t="shared" si="9"/>
        <v>#DIV/0!</v>
      </c>
      <c r="H31" s="26">
        <f t="shared" si="10"/>
        <v>0</v>
      </c>
      <c r="I31" s="26" t="e">
        <f t="shared" si="11"/>
        <v>#DIV/0!</v>
      </c>
    </row>
    <row r="32" spans="1:9" s="17" customFormat="1" ht="13.5" thickBot="1" x14ac:dyDescent="0.3">
      <c r="A32" s="24" t="s">
        <v>34</v>
      </c>
      <c r="B32" s="23"/>
      <c r="C32" s="20" t="e">
        <f>H32/D32</f>
        <v>#DIV/0!</v>
      </c>
      <c r="D32" s="22">
        <f>SUM(D26:D31)</f>
        <v>0</v>
      </c>
      <c r="E32" s="21" t="e">
        <f t="shared" si="7"/>
        <v>#DIV/0!</v>
      </c>
      <c r="F32" s="20" t="e">
        <f>I32/D32</f>
        <v>#DIV/0!</v>
      </c>
      <c r="G32" s="19" t="e">
        <f>F32/C32-1</f>
        <v>#DIV/0!</v>
      </c>
      <c r="H32" s="18">
        <f>SUM(H26:H31)</f>
        <v>0</v>
      </c>
      <c r="I32" s="18" t="e">
        <f>SUM(I26:I31)</f>
        <v>#DIV/0!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0.73333329999999997</v>
      </c>
      <c r="C34" s="31">
        <f t="shared" ref="C34:C39" si="12">ROUND($G$3*B34,1)</f>
        <v>0</v>
      </c>
      <c r="D34" s="30"/>
      <c r="E34" s="29" t="e">
        <f t="shared" ref="E34:E40" si="13">D34/$D$48</f>
        <v>#DIV/0!</v>
      </c>
      <c r="F34" s="28" t="e">
        <f t="shared" ref="F34:F39" si="14">C34-(C34*$E$6)</f>
        <v>#DIV/0!</v>
      </c>
      <c r="G34" s="27" t="e">
        <f t="shared" ref="G34:G39" si="15">IF(C34&gt;=F34,"-","+")</f>
        <v>#DIV/0!</v>
      </c>
      <c r="H34" s="26">
        <f t="shared" ref="H34:H39" si="16">C34*D34</f>
        <v>0</v>
      </c>
      <c r="I34" s="26" t="e">
        <f t="shared" ref="I34:I39" si="17">F34*D34</f>
        <v>#DIV/0!</v>
      </c>
    </row>
    <row r="35" spans="1:9" s="25" customFormat="1" ht="15" x14ac:dyDescent="0.25">
      <c r="A35" s="25" t="s">
        <v>48</v>
      </c>
      <c r="B35" s="32">
        <v>0.54916670000000001</v>
      </c>
      <c r="C35" s="31">
        <f t="shared" si="12"/>
        <v>0</v>
      </c>
      <c r="D35" s="30"/>
      <c r="E35" s="29" t="e">
        <f t="shared" si="13"/>
        <v>#DIV/0!</v>
      </c>
      <c r="F35" s="28" t="e">
        <f t="shared" si="14"/>
        <v>#DIV/0!</v>
      </c>
      <c r="G35" s="27" t="e">
        <f t="shared" si="15"/>
        <v>#DIV/0!</v>
      </c>
      <c r="H35" s="26">
        <f t="shared" si="16"/>
        <v>0</v>
      </c>
      <c r="I35" s="26" t="e">
        <f t="shared" si="17"/>
        <v>#DIV/0!</v>
      </c>
    </row>
    <row r="36" spans="1:9" s="25" customFormat="1" ht="15" x14ac:dyDescent="0.25">
      <c r="A36" s="25" t="s">
        <v>49</v>
      </c>
      <c r="B36" s="32">
        <v>0.45075749999999998</v>
      </c>
      <c r="C36" s="31">
        <f t="shared" si="12"/>
        <v>0</v>
      </c>
      <c r="D36" s="30"/>
      <c r="E36" s="29" t="e">
        <f t="shared" si="13"/>
        <v>#DIV/0!</v>
      </c>
      <c r="F36" s="28" t="e">
        <f t="shared" si="14"/>
        <v>#DIV/0!</v>
      </c>
      <c r="G36" s="27" t="e">
        <f t="shared" si="15"/>
        <v>#DIV/0!</v>
      </c>
      <c r="H36" s="26">
        <f t="shared" si="16"/>
        <v>0</v>
      </c>
      <c r="I36" s="26" t="e">
        <f t="shared" si="17"/>
        <v>#DIV/0!</v>
      </c>
    </row>
    <row r="37" spans="1:9" s="25" customFormat="1" ht="15" x14ac:dyDescent="0.25">
      <c r="A37" s="25" t="s">
        <v>50</v>
      </c>
      <c r="B37" s="32">
        <v>1.1931818000000001</v>
      </c>
      <c r="C37" s="31">
        <f t="shared" si="12"/>
        <v>0</v>
      </c>
      <c r="D37" s="30"/>
      <c r="E37" s="29" t="e">
        <f t="shared" si="13"/>
        <v>#DIV/0!</v>
      </c>
      <c r="F37" s="28" t="e">
        <f t="shared" si="14"/>
        <v>#DIV/0!</v>
      </c>
      <c r="G37" s="27" t="e">
        <f t="shared" si="15"/>
        <v>#DIV/0!</v>
      </c>
      <c r="H37" s="26">
        <f t="shared" si="16"/>
        <v>0</v>
      </c>
      <c r="I37" s="26" t="e">
        <f t="shared" si="17"/>
        <v>#DIV/0!</v>
      </c>
    </row>
    <row r="38" spans="1:9" s="25" customFormat="1" ht="15" x14ac:dyDescent="0.25">
      <c r="A38" s="25" t="s">
        <v>51</v>
      </c>
      <c r="B38" s="32">
        <v>1.1931818000000001</v>
      </c>
      <c r="C38" s="31">
        <f t="shared" si="12"/>
        <v>0</v>
      </c>
      <c r="D38" s="30"/>
      <c r="E38" s="29" t="e">
        <f t="shared" si="13"/>
        <v>#DIV/0!</v>
      </c>
      <c r="F38" s="28" t="e">
        <f t="shared" si="14"/>
        <v>#DIV/0!</v>
      </c>
      <c r="G38" s="27" t="e">
        <f t="shared" si="15"/>
        <v>#DIV/0!</v>
      </c>
      <c r="H38" s="26">
        <f t="shared" si="16"/>
        <v>0</v>
      </c>
      <c r="I38" s="26" t="e">
        <f t="shared" si="17"/>
        <v>#DIV/0!</v>
      </c>
    </row>
    <row r="39" spans="1:9" s="25" customFormat="1" ht="15.75" thickBot="1" x14ac:dyDescent="0.3">
      <c r="A39" s="25" t="s">
        <v>52</v>
      </c>
      <c r="B39" s="32">
        <v>1.2344697</v>
      </c>
      <c r="C39" s="31">
        <f t="shared" si="12"/>
        <v>0</v>
      </c>
      <c r="D39" s="30"/>
      <c r="E39" s="29" t="e">
        <f t="shared" si="13"/>
        <v>#DIV/0!</v>
      </c>
      <c r="F39" s="28" t="e">
        <f t="shared" si="14"/>
        <v>#DIV/0!</v>
      </c>
      <c r="G39" s="27" t="e">
        <f t="shared" si="15"/>
        <v>#DIV/0!</v>
      </c>
      <c r="H39" s="26">
        <f t="shared" si="16"/>
        <v>0</v>
      </c>
      <c r="I39" s="26" t="e">
        <f t="shared" si="17"/>
        <v>#DIV/0!</v>
      </c>
    </row>
    <row r="40" spans="1:9" s="17" customFormat="1" ht="13.5" thickBot="1" x14ac:dyDescent="0.3">
      <c r="A40" s="24" t="s">
        <v>34</v>
      </c>
      <c r="B40" s="23"/>
      <c r="C40" s="20" t="e">
        <f>H40/D40</f>
        <v>#DIV/0!</v>
      </c>
      <c r="D40" s="22">
        <f>SUM(D34:D39)</f>
        <v>0</v>
      </c>
      <c r="E40" s="21" t="e">
        <f t="shared" si="13"/>
        <v>#DIV/0!</v>
      </c>
      <c r="F40" s="20" t="e">
        <f>I40/D40</f>
        <v>#DIV/0!</v>
      </c>
      <c r="G40" s="19" t="e">
        <f>F40/C40-1</f>
        <v>#DIV/0!</v>
      </c>
      <c r="H40" s="18">
        <f>SUM(H34:H39)</f>
        <v>0</v>
      </c>
      <c r="I40" s="18" t="e">
        <f>SUM(I34:I39)</f>
        <v>#DIV/0!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1.7045500000000002E-2</v>
      </c>
      <c r="C42" s="31">
        <f>ROUND($G$3*B42,1)</f>
        <v>0</v>
      </c>
      <c r="D42" s="30"/>
      <c r="E42" s="29" t="e">
        <f>D42/$D$48</f>
        <v>#DIV/0!</v>
      </c>
      <c r="F42" s="28" t="e">
        <f>C42-(C42*$E$6)</f>
        <v>#DIV/0!</v>
      </c>
      <c r="G42" s="27" t="e">
        <f>IF(C42&gt;=F42,"-","+")</f>
        <v>#DIV/0!</v>
      </c>
      <c r="H42" s="26">
        <f>C42*D42</f>
        <v>0</v>
      </c>
      <c r="I42" s="26" t="e">
        <f>F42*D42</f>
        <v>#DIV/0!</v>
      </c>
    </row>
    <row r="43" spans="1:9" s="25" customFormat="1" ht="15" x14ac:dyDescent="0.25">
      <c r="A43" s="25" t="s">
        <v>55</v>
      </c>
      <c r="B43" s="32">
        <v>1.7045500000000002E-2</v>
      </c>
      <c r="C43" s="31">
        <f>ROUND($G$3*B43,1)</f>
        <v>0</v>
      </c>
      <c r="D43" s="30"/>
      <c r="E43" s="29" t="e">
        <f>D43/$D$48</f>
        <v>#DIV/0!</v>
      </c>
      <c r="F43" s="28" t="e">
        <f>C43-(C43*$E$6)</f>
        <v>#DIV/0!</v>
      </c>
      <c r="G43" s="27" t="e">
        <f>IF(C43&gt;=F43,"-","+")</f>
        <v>#DIV/0!</v>
      </c>
      <c r="H43" s="26">
        <f>C43*D43</f>
        <v>0</v>
      </c>
      <c r="I43" s="26" t="e">
        <f>F43*D43</f>
        <v>#DIV/0!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29" t="e">
        <f>D44/$D$48</f>
        <v>#DIV/0!</v>
      </c>
      <c r="F44" s="28" t="e">
        <f>C44-(C44*$E$6)</f>
        <v>#DIV/0!</v>
      </c>
      <c r="G44" s="27" t="e">
        <f>IF(C44&gt;=F44,"-","+")</f>
        <v>#DIV/0!</v>
      </c>
      <c r="H44" s="26">
        <f>C44*D44</f>
        <v>0</v>
      </c>
      <c r="I44" s="26" t="e">
        <f>F44*D44</f>
        <v>#DIV/0!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f>(0.5*G2)/100</f>
        <v>0</v>
      </c>
      <c r="E45" s="29" t="e">
        <f>D45/$D$48</f>
        <v>#DIV/0!</v>
      </c>
      <c r="F45" s="28" t="e">
        <f>C45-(C45*$E$6)</f>
        <v>#DIV/0!</v>
      </c>
      <c r="G45" s="27" t="e">
        <f>IF(C45&gt;=F45,"-","+")</f>
        <v>#DIV/0!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 t="e">
        <f>H46/D46</f>
        <v>#DIV/0!</v>
      </c>
      <c r="D46" s="22">
        <f>SUM(D41:D45)</f>
        <v>0</v>
      </c>
      <c r="E46" s="21" t="e">
        <f>D46/$D$48</f>
        <v>#DIV/0!</v>
      </c>
      <c r="F46" s="20" t="e">
        <f>I46/D46</f>
        <v>#DIV/0!</v>
      </c>
      <c r="G46" s="19" t="e">
        <f>F46/C46-1</f>
        <v>#DIV/0!</v>
      </c>
      <c r="H46" s="18">
        <f>SUM(H41:H44)</f>
        <v>0</v>
      </c>
      <c r="I46" s="18" t="e">
        <f>SUM(I41:I44)</f>
        <v>#DIV/0!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 t="e">
        <f>C24+C32+C40+C46</f>
        <v>#DIV/0!</v>
      </c>
      <c r="D48" s="13">
        <f>D24+D32+D40+D46+D19</f>
        <v>0</v>
      </c>
      <c r="E48" s="12" t="e">
        <f>SUM(E20:E46)/2</f>
        <v>#DIV/0!</v>
      </c>
      <c r="F48" s="11" t="e">
        <f>I48/D48</f>
        <v>#DIV/0!</v>
      </c>
      <c r="G48" s="10"/>
      <c r="H48" s="9">
        <f>SUM(H20:H46)/2</f>
        <v>0</v>
      </c>
      <c r="I48" s="9" t="e">
        <f>SUM(I20:I46)/2</f>
        <v>#DIV/0!</v>
      </c>
    </row>
    <row r="49" spans="1:9" ht="12.75" thickBot="1" x14ac:dyDescent="0.25">
      <c r="E49" s="16"/>
    </row>
    <row r="50" spans="1:9" s="8" customFormat="1" ht="15.75" thickBot="1" x14ac:dyDescent="0.3">
      <c r="A50" s="10" t="s">
        <v>59</v>
      </c>
      <c r="B50" s="15"/>
      <c r="C50" s="14"/>
      <c r="D50" s="13">
        <f>SUM(D10:D47)/2</f>
        <v>0</v>
      </c>
      <c r="E50" s="12" t="e">
        <f>D50/G2</f>
        <v>#DIV/0!</v>
      </c>
      <c r="F50" s="11" t="e">
        <f>I50/D50</f>
        <v>#DIV/0!</v>
      </c>
      <c r="G50" s="10"/>
      <c r="H50" s="9">
        <f>H48+H19</f>
        <v>0</v>
      </c>
      <c r="I50" s="9" t="e">
        <f>I48+I19</f>
        <v>#DIV/0!</v>
      </c>
    </row>
    <row r="51" spans="1:9" ht="23.25" x14ac:dyDescent="0.35">
      <c r="A51" s="168"/>
      <c r="B51" s="169"/>
      <c r="C51" s="170"/>
      <c r="G51" s="7"/>
      <c r="H51" s="6"/>
      <c r="I51" s="6" t="e">
        <f>+I50/D50</f>
        <v>#DIV/0!</v>
      </c>
    </row>
    <row r="52" spans="1:9" ht="18.75" x14ac:dyDescent="0.3">
      <c r="A52" s="171" t="e">
        <f>IF(E46&lt;17%,"KEMİK ORANI İYİ","KEMİK YÜKSEK")</f>
        <v>#DIV/0!</v>
      </c>
      <c r="B52" s="171"/>
      <c r="C52" s="171"/>
      <c r="D52" s="171"/>
      <c r="E52" s="171"/>
      <c r="F52" s="171"/>
      <c r="G52" s="171"/>
      <c r="H52" s="171"/>
      <c r="I52" s="171"/>
    </row>
    <row r="53" spans="1:9" ht="23.25" x14ac:dyDescent="0.35">
      <c r="G53" s="5"/>
    </row>
    <row r="54" spans="1:9" ht="18.75" x14ac:dyDescent="0.3">
      <c r="A54" s="171" t="e">
        <f>IF(I50&lt;H50,"MALİYET İYİ","MALİYET YÜKSEK")</f>
        <v>#DIV/0!</v>
      </c>
      <c r="B54" s="171"/>
      <c r="C54" s="171"/>
      <c r="D54" s="171"/>
      <c r="E54" s="171"/>
      <c r="F54" s="171"/>
      <c r="G54" s="171"/>
      <c r="H54" s="171"/>
      <c r="I54" s="171"/>
    </row>
    <row r="55" spans="1:9" x14ac:dyDescent="0.2">
      <c r="G55" s="172" t="s">
        <v>62</v>
      </c>
    </row>
    <row r="56" spans="1:9" x14ac:dyDescent="0.2">
      <c r="A56" s="1" t="s">
        <v>63</v>
      </c>
      <c r="G56" s="172"/>
    </row>
  </sheetData>
  <mergeCells count="5">
    <mergeCell ref="E1:G1"/>
    <mergeCell ref="A52:I52"/>
    <mergeCell ref="A54:I54"/>
    <mergeCell ref="G55:G56"/>
    <mergeCell ref="A51:C51"/>
  </mergeCells>
  <conditionalFormatting sqref="G6">
    <cfRule type="iconSet" priority="1">
      <iconSet iconSet="3ArrowsGray">
        <cfvo type="percent" val="0"/>
        <cfvo type="num" val="31.41"/>
        <cfvo type="num" val="31.42"/>
      </iconSet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I56"/>
  <sheetViews>
    <sheetView workbookViewId="0">
      <selection activeCell="E2" sqref="E2"/>
    </sheetView>
  </sheetViews>
  <sheetFormatPr defaultColWidth="8.85546875" defaultRowHeight="12" x14ac:dyDescent="0.2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9.28515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x14ac:dyDescent="0.25">
      <c r="A1" s="103" t="s">
        <v>0</v>
      </c>
      <c r="B1" s="102"/>
      <c r="C1" s="101"/>
      <c r="D1" s="100" t="s">
        <v>1</v>
      </c>
      <c r="E1" s="168"/>
      <c r="F1" s="169"/>
      <c r="G1" s="170"/>
      <c r="H1" s="62"/>
      <c r="I1" s="62"/>
    </row>
    <row r="2" spans="1:9" s="61" customFormat="1" ht="20.100000000000001" customHeight="1" x14ac:dyDescent="0.25">
      <c r="A2" s="99" t="s">
        <v>2</v>
      </c>
      <c r="B2" s="98"/>
      <c r="C2" s="97"/>
      <c r="D2" s="96" t="s">
        <v>3</v>
      </c>
      <c r="E2" s="95" t="s">
        <v>64</v>
      </c>
      <c r="F2" s="94" t="s">
        <v>5</v>
      </c>
      <c r="G2" s="93"/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/>
      <c r="D3" s="90" t="s">
        <v>7</v>
      </c>
      <c r="E3" s="89"/>
      <c r="F3" s="88" t="s">
        <v>8</v>
      </c>
      <c r="G3" s="87"/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84"/>
      <c r="D4" s="83" t="s">
        <v>11</v>
      </c>
      <c r="E4" s="82" t="e">
        <f>G2/E3</f>
        <v>#DIV/0!</v>
      </c>
      <c r="F4" s="81" t="s">
        <v>12</v>
      </c>
      <c r="G4" s="80">
        <f>G2*G3</f>
        <v>0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e">
        <f>IF(G4=I50,"DOĞRU","HATA VAR")</f>
        <v>#DIV/0!</v>
      </c>
      <c r="H5" s="76"/>
      <c r="I5" s="76"/>
    </row>
    <row r="6" spans="1:9" ht="23.25" x14ac:dyDescent="0.35">
      <c r="A6" s="74" t="s">
        <v>14</v>
      </c>
      <c r="B6" s="73"/>
      <c r="C6" s="72">
        <v>25.25</v>
      </c>
      <c r="D6" s="71" t="s">
        <v>15</v>
      </c>
      <c r="E6" s="70" t="e">
        <f>1-G4/H50</f>
        <v>#DIV/0!</v>
      </c>
      <c r="F6" s="69" t="s">
        <v>16</v>
      </c>
      <c r="G6" s="68" t="e">
        <f>(I50-I19)/(D50-(SUM(D42:D44)+D19))</f>
        <v>#DIV/0!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25.9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0</v>
      </c>
      <c r="D10" s="30"/>
      <c r="E10" s="29" t="e">
        <f t="shared" ref="E10:E19" si="1">D10/$D$19</f>
        <v>#DIV/0!</v>
      </c>
      <c r="F10" s="28" t="e">
        <f t="shared" ref="F10:F18" si="2">C10-(C10*$E$6)</f>
        <v>#DIV/0!</v>
      </c>
      <c r="G10" s="27" t="e">
        <f t="shared" ref="G10:G18" si="3">IF(C10&gt;=F10,"-","+")</f>
        <v>#DIV/0!</v>
      </c>
      <c r="H10" s="34">
        <f t="shared" ref="H10:H18" si="4">C10*D10</f>
        <v>0</v>
      </c>
      <c r="I10" s="34" t="e">
        <f t="shared" ref="I10:I18" si="5">F10*D10</f>
        <v>#DIV/0!</v>
      </c>
    </row>
    <row r="11" spans="1:9" s="52" customFormat="1" ht="15" customHeight="1" x14ac:dyDescent="0.25">
      <c r="A11" s="25" t="s">
        <v>26</v>
      </c>
      <c r="B11" s="32">
        <v>1.0534650000000001</v>
      </c>
      <c r="C11" s="31">
        <f t="shared" si="0"/>
        <v>0</v>
      </c>
      <c r="D11" s="30"/>
      <c r="E11" s="29" t="e">
        <f t="shared" si="1"/>
        <v>#DIV/0!</v>
      </c>
      <c r="F11" s="28" t="e">
        <f t="shared" si="2"/>
        <v>#DIV/0!</v>
      </c>
      <c r="G11" s="27" t="e">
        <f t="shared" si="3"/>
        <v>#DIV/0!</v>
      </c>
      <c r="H11" s="34">
        <f t="shared" si="4"/>
        <v>0</v>
      </c>
      <c r="I11" s="34" t="e">
        <f t="shared" si="5"/>
        <v>#DIV/0!</v>
      </c>
    </row>
    <row r="12" spans="1:9" s="52" customFormat="1" ht="15" customHeight="1" x14ac:dyDescent="0.25">
      <c r="A12" s="25" t="s">
        <v>27</v>
      </c>
      <c r="B12" s="32">
        <v>0.95049499999999998</v>
      </c>
      <c r="C12" s="31">
        <f t="shared" si="0"/>
        <v>0</v>
      </c>
      <c r="D12" s="30"/>
      <c r="E12" s="29" t="e">
        <f t="shared" si="1"/>
        <v>#DIV/0!</v>
      </c>
      <c r="F12" s="28" t="e">
        <f t="shared" si="2"/>
        <v>#DIV/0!</v>
      </c>
      <c r="G12" s="27" t="e">
        <f t="shared" si="3"/>
        <v>#DIV/0!</v>
      </c>
      <c r="H12" s="34">
        <f t="shared" si="4"/>
        <v>0</v>
      </c>
      <c r="I12" s="34" t="e">
        <f t="shared" si="5"/>
        <v>#DIV/0!</v>
      </c>
    </row>
    <row r="13" spans="1:9" s="52" customFormat="1" ht="15" customHeight="1" x14ac:dyDescent="0.25">
      <c r="A13" s="25" t="s">
        <v>28</v>
      </c>
      <c r="B13" s="32">
        <v>1.073267</v>
      </c>
      <c r="C13" s="31">
        <f t="shared" si="0"/>
        <v>0</v>
      </c>
      <c r="D13" s="30"/>
      <c r="E13" s="29" t="e">
        <f t="shared" si="1"/>
        <v>#DIV/0!</v>
      </c>
      <c r="F13" s="28" t="e">
        <f t="shared" si="2"/>
        <v>#DIV/0!</v>
      </c>
      <c r="G13" s="27" t="e">
        <f t="shared" si="3"/>
        <v>#DIV/0!</v>
      </c>
      <c r="H13" s="34">
        <f t="shared" si="4"/>
        <v>0</v>
      </c>
      <c r="I13" s="34" t="e">
        <f t="shared" si="5"/>
        <v>#DIV/0!</v>
      </c>
    </row>
    <row r="14" spans="1:9" s="52" customFormat="1" ht="15" customHeight="1" x14ac:dyDescent="0.25">
      <c r="A14" s="25" t="s">
        <v>29</v>
      </c>
      <c r="B14" s="32">
        <v>1.140198</v>
      </c>
      <c r="C14" s="31">
        <f t="shared" si="0"/>
        <v>0</v>
      </c>
      <c r="D14" s="30"/>
      <c r="E14" s="29" t="e">
        <f t="shared" si="1"/>
        <v>#DIV/0!</v>
      </c>
      <c r="F14" s="28" t="e">
        <f t="shared" si="2"/>
        <v>#DIV/0!</v>
      </c>
      <c r="G14" s="27" t="e">
        <f t="shared" si="3"/>
        <v>#DIV/0!</v>
      </c>
      <c r="H14" s="34">
        <f t="shared" si="4"/>
        <v>0</v>
      </c>
      <c r="I14" s="34" t="e">
        <f t="shared" si="5"/>
        <v>#DIV/0!</v>
      </c>
    </row>
    <row r="15" spans="1:9" s="52" customFormat="1" ht="15" customHeight="1" x14ac:dyDescent="0.25">
      <c r="A15" s="25" t="s">
        <v>30</v>
      </c>
      <c r="B15" s="32">
        <v>0.94019799999999998</v>
      </c>
      <c r="C15" s="31">
        <f t="shared" si="0"/>
        <v>0</v>
      </c>
      <c r="D15" s="30"/>
      <c r="E15" s="29" t="e">
        <f t="shared" si="1"/>
        <v>#DIV/0!</v>
      </c>
      <c r="F15" s="28" t="e">
        <f t="shared" si="2"/>
        <v>#DIV/0!</v>
      </c>
      <c r="G15" s="27" t="e">
        <f t="shared" si="3"/>
        <v>#DIV/0!</v>
      </c>
      <c r="H15" s="34">
        <f t="shared" si="4"/>
        <v>0</v>
      </c>
      <c r="I15" s="34" t="e">
        <f t="shared" si="5"/>
        <v>#DIV/0!</v>
      </c>
    </row>
    <row r="16" spans="1:9" s="52" customFormat="1" ht="15" customHeight="1" x14ac:dyDescent="0.25">
      <c r="A16" s="25" t="s">
        <v>31</v>
      </c>
      <c r="B16" s="32">
        <v>1.290198</v>
      </c>
      <c r="C16" s="31">
        <f t="shared" si="0"/>
        <v>0</v>
      </c>
      <c r="D16" s="30"/>
      <c r="E16" s="29" t="e">
        <f t="shared" si="1"/>
        <v>#DIV/0!</v>
      </c>
      <c r="F16" s="28" t="e">
        <f t="shared" si="2"/>
        <v>#DIV/0!</v>
      </c>
      <c r="G16" s="27" t="e">
        <f t="shared" si="3"/>
        <v>#DIV/0!</v>
      </c>
      <c r="H16" s="34">
        <f t="shared" si="4"/>
        <v>0</v>
      </c>
      <c r="I16" s="34" t="e">
        <f t="shared" si="5"/>
        <v>#DIV/0!</v>
      </c>
    </row>
    <row r="17" spans="1:9" s="52" customFormat="1" ht="15" x14ac:dyDescent="0.25">
      <c r="A17" s="25" t="s">
        <v>32</v>
      </c>
      <c r="B17" s="32">
        <v>1.9101980000000001</v>
      </c>
      <c r="C17" s="31">
        <f t="shared" si="0"/>
        <v>0</v>
      </c>
      <c r="D17" s="30"/>
      <c r="E17" s="29" t="e">
        <f t="shared" si="1"/>
        <v>#DIV/0!</v>
      </c>
      <c r="F17" s="28" t="e">
        <f t="shared" si="2"/>
        <v>#DIV/0!</v>
      </c>
      <c r="G17" s="27" t="e">
        <f t="shared" si="3"/>
        <v>#DIV/0!</v>
      </c>
      <c r="H17" s="34">
        <f t="shared" si="4"/>
        <v>0</v>
      </c>
      <c r="I17" s="34" t="e">
        <f t="shared" si="5"/>
        <v>#DIV/0!</v>
      </c>
    </row>
    <row r="18" spans="1:9" s="52" customFormat="1" ht="15.75" thickBot="1" x14ac:dyDescent="0.3">
      <c r="A18" s="25" t="s">
        <v>33</v>
      </c>
      <c r="B18" s="32">
        <v>1.6701980000000001</v>
      </c>
      <c r="C18" s="31">
        <f t="shared" si="0"/>
        <v>0</v>
      </c>
      <c r="D18" s="30"/>
      <c r="E18" s="29" t="e">
        <f t="shared" si="1"/>
        <v>#DIV/0!</v>
      </c>
      <c r="F18" s="28" t="e">
        <f t="shared" si="2"/>
        <v>#DIV/0!</v>
      </c>
      <c r="G18" s="27" t="e">
        <f t="shared" si="3"/>
        <v>#DIV/0!</v>
      </c>
      <c r="H18" s="34">
        <f t="shared" si="4"/>
        <v>0</v>
      </c>
      <c r="I18" s="34" t="e">
        <f t="shared" si="5"/>
        <v>#DIV/0!</v>
      </c>
    </row>
    <row r="19" spans="1:9" s="8" customFormat="1" ht="16.5" thickTop="1" thickBot="1" x14ac:dyDescent="0.3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 t="e">
        <f>SUM(I10:I18)</f>
        <v>#DIV/0!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2.613861</v>
      </c>
      <c r="C21" s="31">
        <f>ROUND($G$3*B21,1)</f>
        <v>0</v>
      </c>
      <c r="D21" s="30"/>
      <c r="E21" s="29" t="e">
        <f>D21/$D$48</f>
        <v>#DIV/0!</v>
      </c>
      <c r="F21" s="28" t="e">
        <f>C21-(C21*$E$6)</f>
        <v>#DIV/0!</v>
      </c>
      <c r="G21" s="27" t="e">
        <f>IF(C21&gt;=F21,"-","+")</f>
        <v>#DIV/0!</v>
      </c>
      <c r="H21" s="26">
        <f>C21*D21</f>
        <v>0</v>
      </c>
      <c r="I21" s="26" t="e">
        <f>F21*D21</f>
        <v>#DIV/0!</v>
      </c>
    </row>
    <row r="22" spans="1:9" s="25" customFormat="1" ht="15" x14ac:dyDescent="0.25">
      <c r="A22" s="25" t="s">
        <v>37</v>
      </c>
      <c r="B22" s="32">
        <v>1.722772</v>
      </c>
      <c r="C22" s="31">
        <f>ROUND($G$3*B22,1)</f>
        <v>0</v>
      </c>
      <c r="D22" s="30"/>
      <c r="E22" s="29" t="e">
        <f>D22/$D$48</f>
        <v>#DIV/0!</v>
      </c>
      <c r="F22" s="28" t="e">
        <f>C22-(C22*$E$6)</f>
        <v>#DIV/0!</v>
      </c>
      <c r="G22" s="27" t="e">
        <f>IF(C22&gt;=F22,"-","+")</f>
        <v>#DIV/0!</v>
      </c>
      <c r="H22" s="26">
        <f>C22*D22</f>
        <v>0</v>
      </c>
      <c r="I22" s="26" t="e">
        <f>F22*D22</f>
        <v>#DIV/0!</v>
      </c>
    </row>
    <row r="23" spans="1:9" s="25" customFormat="1" ht="15.75" thickBot="1" x14ac:dyDescent="0.3">
      <c r="A23" s="25" t="s">
        <v>38</v>
      </c>
      <c r="B23" s="32">
        <v>1.6039600000000001</v>
      </c>
      <c r="C23" s="31">
        <f>ROUND($G$3*B23,1)</f>
        <v>0</v>
      </c>
      <c r="D23" s="30"/>
      <c r="E23" s="29" t="e">
        <f>D23/$D$48</f>
        <v>#DIV/0!</v>
      </c>
      <c r="F23" s="28" t="e">
        <f>C23-(C23*$E$6)</f>
        <v>#DIV/0!</v>
      </c>
      <c r="G23" s="27" t="e">
        <f>IF(C23&gt;=F23,"-","+")</f>
        <v>#DIV/0!</v>
      </c>
      <c r="H23" s="26">
        <f>C23*D23</f>
        <v>0</v>
      </c>
      <c r="I23" s="26" t="e">
        <f>F23*D23</f>
        <v>#DIV/0!</v>
      </c>
    </row>
    <row r="24" spans="1:9" s="17" customFormat="1" ht="13.5" thickBot="1" x14ac:dyDescent="0.3">
      <c r="A24" s="24" t="s">
        <v>34</v>
      </c>
      <c r="B24" s="23"/>
      <c r="C24" s="20" t="e">
        <f>H24/D24</f>
        <v>#DIV/0!</v>
      </c>
      <c r="D24" s="22">
        <f>SUM(D21:D23)</f>
        <v>0</v>
      </c>
      <c r="E24" s="21" t="e">
        <f>D24/$D$48</f>
        <v>#DIV/0!</v>
      </c>
      <c r="F24" s="20" t="e">
        <f>I24/D24</f>
        <v>#DIV/0!</v>
      </c>
      <c r="G24" s="19" t="e">
        <f>F24/C24-1</f>
        <v>#DIV/0!</v>
      </c>
      <c r="H24" s="18">
        <f>SUM(H21:H23)</f>
        <v>0</v>
      </c>
      <c r="I24" s="18" t="e">
        <f>SUM(I21:I23)</f>
        <v>#DIV/0!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1.3267329999999999</v>
      </c>
      <c r="C26" s="31">
        <f t="shared" ref="C26:C31" si="6">ROUND($G$3*B26,1)</f>
        <v>0</v>
      </c>
      <c r="D26" s="30"/>
      <c r="E26" s="29" t="e">
        <f t="shared" ref="E26:E32" si="7">D26/$D$48</f>
        <v>#DIV/0!</v>
      </c>
      <c r="F26" s="28" t="e">
        <f t="shared" ref="F26:F31" si="8">C26-(C26*$E$6)</f>
        <v>#DIV/0!</v>
      </c>
      <c r="G26" s="27" t="e">
        <f t="shared" ref="G26:G31" si="9">IF(C26&gt;=F26,"-","+")</f>
        <v>#DIV/0!</v>
      </c>
      <c r="H26" s="26">
        <f t="shared" ref="H26:H31" si="10">C26*D26</f>
        <v>0</v>
      </c>
      <c r="I26" s="26" t="e">
        <f t="shared" ref="I26:I31" si="11">F26*D26</f>
        <v>#DIV/0!</v>
      </c>
    </row>
    <row r="27" spans="1:9" s="25" customFormat="1" ht="15" x14ac:dyDescent="0.25">
      <c r="A27" s="25" t="s">
        <v>41</v>
      </c>
      <c r="B27" s="32">
        <v>1.2059409999999999</v>
      </c>
      <c r="C27" s="31">
        <f t="shared" si="6"/>
        <v>0</v>
      </c>
      <c r="D27" s="30"/>
      <c r="E27" s="29" t="e">
        <f t="shared" si="7"/>
        <v>#DIV/0!</v>
      </c>
      <c r="F27" s="28" t="e">
        <f t="shared" si="8"/>
        <v>#DIV/0!</v>
      </c>
      <c r="G27" s="27" t="e">
        <f t="shared" si="9"/>
        <v>#DIV/0!</v>
      </c>
      <c r="H27" s="26">
        <f t="shared" si="10"/>
        <v>0</v>
      </c>
      <c r="I27" s="26" t="e">
        <f t="shared" si="11"/>
        <v>#DIV/0!</v>
      </c>
    </row>
    <row r="28" spans="1:9" s="25" customFormat="1" ht="15" x14ac:dyDescent="0.25">
      <c r="A28" s="25" t="s">
        <v>42</v>
      </c>
      <c r="B28" s="32">
        <v>1.2059409999999999</v>
      </c>
      <c r="C28" s="31">
        <f t="shared" si="6"/>
        <v>0</v>
      </c>
      <c r="D28" s="30"/>
      <c r="E28" s="29" t="e">
        <f t="shared" si="7"/>
        <v>#DIV/0!</v>
      </c>
      <c r="F28" s="28" t="e">
        <f t="shared" si="8"/>
        <v>#DIV/0!</v>
      </c>
      <c r="G28" s="27" t="e">
        <f t="shared" si="9"/>
        <v>#DIV/0!</v>
      </c>
      <c r="H28" s="26">
        <f t="shared" si="10"/>
        <v>0</v>
      </c>
      <c r="I28" s="26" t="e">
        <f t="shared" si="11"/>
        <v>#DIV/0!</v>
      </c>
    </row>
    <row r="29" spans="1:9" s="25" customFormat="1" ht="15" x14ac:dyDescent="0.25">
      <c r="A29" s="25" t="s">
        <v>43</v>
      </c>
      <c r="B29" s="32">
        <v>1.156436</v>
      </c>
      <c r="C29" s="31">
        <f t="shared" si="6"/>
        <v>0</v>
      </c>
      <c r="D29" s="30"/>
      <c r="E29" s="29" t="e">
        <f t="shared" si="7"/>
        <v>#DIV/0!</v>
      </c>
      <c r="F29" s="28" t="e">
        <f t="shared" si="8"/>
        <v>#DIV/0!</v>
      </c>
      <c r="G29" s="27" t="e">
        <f t="shared" si="9"/>
        <v>#DIV/0!</v>
      </c>
      <c r="H29" s="26">
        <f t="shared" si="10"/>
        <v>0</v>
      </c>
      <c r="I29" s="26" t="e">
        <f t="shared" si="11"/>
        <v>#DIV/0!</v>
      </c>
    </row>
    <row r="30" spans="1:9" s="25" customFormat="1" ht="15" x14ac:dyDescent="0.25">
      <c r="A30" s="25" t="s">
        <v>44</v>
      </c>
      <c r="B30" s="32">
        <v>1.156436</v>
      </c>
      <c r="C30" s="31">
        <f t="shared" si="6"/>
        <v>0</v>
      </c>
      <c r="D30" s="30"/>
      <c r="E30" s="29" t="e">
        <f t="shared" si="7"/>
        <v>#DIV/0!</v>
      </c>
      <c r="F30" s="28" t="e">
        <f t="shared" si="8"/>
        <v>#DIV/0!</v>
      </c>
      <c r="G30" s="27" t="e">
        <f t="shared" si="9"/>
        <v>#DIV/0!</v>
      </c>
      <c r="H30" s="26">
        <f t="shared" si="10"/>
        <v>0</v>
      </c>
      <c r="I30" s="26" t="e">
        <f t="shared" si="11"/>
        <v>#DIV/0!</v>
      </c>
    </row>
    <row r="31" spans="1:9" s="25" customFormat="1" ht="15.75" thickBot="1" x14ac:dyDescent="0.3">
      <c r="A31" s="25" t="s">
        <v>45</v>
      </c>
      <c r="B31" s="32">
        <v>1.156436</v>
      </c>
      <c r="C31" s="31">
        <f t="shared" si="6"/>
        <v>0</v>
      </c>
      <c r="D31" s="30"/>
      <c r="E31" s="29" t="e">
        <f t="shared" si="7"/>
        <v>#DIV/0!</v>
      </c>
      <c r="F31" s="28" t="e">
        <f t="shared" si="8"/>
        <v>#DIV/0!</v>
      </c>
      <c r="G31" s="27" t="e">
        <f t="shared" si="9"/>
        <v>#DIV/0!</v>
      </c>
      <c r="H31" s="26">
        <f t="shared" si="10"/>
        <v>0</v>
      </c>
      <c r="I31" s="26" t="e">
        <f t="shared" si="11"/>
        <v>#DIV/0!</v>
      </c>
    </row>
    <row r="32" spans="1:9" s="17" customFormat="1" ht="13.5" thickBot="1" x14ac:dyDescent="0.3">
      <c r="A32" s="24" t="s">
        <v>34</v>
      </c>
      <c r="B32" s="23"/>
      <c r="C32" s="20" t="e">
        <f>H32/D32</f>
        <v>#DIV/0!</v>
      </c>
      <c r="D32" s="22">
        <f>SUM(D26:D31)</f>
        <v>0</v>
      </c>
      <c r="E32" s="21" t="e">
        <f t="shared" si="7"/>
        <v>#DIV/0!</v>
      </c>
      <c r="F32" s="20" t="e">
        <f>I32/D32</f>
        <v>#DIV/0!</v>
      </c>
      <c r="G32" s="19" t="e">
        <f>F32/C32-1</f>
        <v>#DIV/0!</v>
      </c>
      <c r="H32" s="18">
        <f>SUM(H26:H31)</f>
        <v>0</v>
      </c>
      <c r="I32" s="18" t="e">
        <f>SUM(I26:I31)</f>
        <v>#DIV/0!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0.87128700000000003</v>
      </c>
      <c r="C34" s="31">
        <f t="shared" ref="C34:C39" si="12">ROUND($G$3*B34,1)</f>
        <v>0</v>
      </c>
      <c r="D34" s="30"/>
      <c r="E34" s="29" t="e">
        <f t="shared" ref="E34:E40" si="13">D34/$D$48</f>
        <v>#DIV/0!</v>
      </c>
      <c r="F34" s="28" t="e">
        <f t="shared" ref="F34:F39" si="14">C34-(C34*$E$6)</f>
        <v>#DIV/0!</v>
      </c>
      <c r="G34" s="27" t="e">
        <f t="shared" ref="G34:G39" si="15">IF(C34&gt;=F34,"-","+")</f>
        <v>#DIV/0!</v>
      </c>
      <c r="H34" s="26">
        <f t="shared" ref="H34:H39" si="16">C34*D34</f>
        <v>0</v>
      </c>
      <c r="I34" s="26" t="e">
        <f t="shared" ref="I34:I39" si="17">F34*D34</f>
        <v>#DIV/0!</v>
      </c>
    </row>
    <row r="35" spans="1:9" s="25" customFormat="1" ht="15" x14ac:dyDescent="0.25">
      <c r="A35" s="25" t="s">
        <v>48</v>
      </c>
      <c r="B35" s="32">
        <v>0.70128699999999999</v>
      </c>
      <c r="C35" s="31">
        <f t="shared" si="12"/>
        <v>0</v>
      </c>
      <c r="D35" s="30"/>
      <c r="E35" s="29" t="e">
        <f t="shared" si="13"/>
        <v>#DIV/0!</v>
      </c>
      <c r="F35" s="28" t="e">
        <f t="shared" si="14"/>
        <v>#DIV/0!</v>
      </c>
      <c r="G35" s="27" t="e">
        <f t="shared" si="15"/>
        <v>#DIV/0!</v>
      </c>
      <c r="H35" s="26">
        <f t="shared" si="16"/>
        <v>0</v>
      </c>
      <c r="I35" s="26" t="e">
        <f t="shared" si="17"/>
        <v>#DIV/0!</v>
      </c>
    </row>
    <row r="36" spans="1:9" s="25" customFormat="1" ht="15" x14ac:dyDescent="0.25">
      <c r="A36" s="25" t="s">
        <v>49</v>
      </c>
      <c r="B36" s="32">
        <v>0.59128700000000001</v>
      </c>
      <c r="C36" s="31">
        <f t="shared" si="12"/>
        <v>0</v>
      </c>
      <c r="D36" s="30"/>
      <c r="E36" s="29" t="e">
        <f t="shared" si="13"/>
        <v>#DIV/0!</v>
      </c>
      <c r="F36" s="28" t="e">
        <f t="shared" si="14"/>
        <v>#DIV/0!</v>
      </c>
      <c r="G36" s="27" t="e">
        <f t="shared" si="15"/>
        <v>#DIV/0!</v>
      </c>
      <c r="H36" s="26">
        <f t="shared" si="16"/>
        <v>0</v>
      </c>
      <c r="I36" s="26" t="e">
        <f t="shared" si="17"/>
        <v>#DIV/0!</v>
      </c>
    </row>
    <row r="37" spans="1:9" s="25" customFormat="1" ht="15" x14ac:dyDescent="0.25">
      <c r="A37" s="25" t="s">
        <v>50</v>
      </c>
      <c r="B37" s="32">
        <v>1.156436</v>
      </c>
      <c r="C37" s="31">
        <f t="shared" si="12"/>
        <v>0</v>
      </c>
      <c r="D37" s="30"/>
      <c r="E37" s="29" t="e">
        <f t="shared" si="13"/>
        <v>#DIV/0!</v>
      </c>
      <c r="F37" s="28" t="e">
        <f t="shared" si="14"/>
        <v>#DIV/0!</v>
      </c>
      <c r="G37" s="27" t="e">
        <f t="shared" si="15"/>
        <v>#DIV/0!</v>
      </c>
      <c r="H37" s="26">
        <f t="shared" si="16"/>
        <v>0</v>
      </c>
      <c r="I37" s="26" t="e">
        <f t="shared" si="17"/>
        <v>#DIV/0!</v>
      </c>
    </row>
    <row r="38" spans="1:9" s="25" customFormat="1" ht="15" x14ac:dyDescent="0.25">
      <c r="A38" s="25" t="s">
        <v>51</v>
      </c>
      <c r="B38" s="32">
        <v>1.156436</v>
      </c>
      <c r="C38" s="31">
        <f t="shared" si="12"/>
        <v>0</v>
      </c>
      <c r="D38" s="30"/>
      <c r="E38" s="29" t="e">
        <f t="shared" si="13"/>
        <v>#DIV/0!</v>
      </c>
      <c r="F38" s="28" t="e">
        <f t="shared" si="14"/>
        <v>#DIV/0!</v>
      </c>
      <c r="G38" s="27" t="e">
        <f t="shared" si="15"/>
        <v>#DIV/0!</v>
      </c>
      <c r="H38" s="26">
        <f t="shared" si="16"/>
        <v>0</v>
      </c>
      <c r="I38" s="26" t="e">
        <f t="shared" si="17"/>
        <v>#DIV/0!</v>
      </c>
    </row>
    <row r="39" spans="1:9" s="25" customFormat="1" ht="15.75" thickBot="1" x14ac:dyDescent="0.3">
      <c r="A39" s="25" t="s">
        <v>52</v>
      </c>
      <c r="B39" s="32">
        <v>1.2064360000000001</v>
      </c>
      <c r="C39" s="31">
        <f t="shared" si="12"/>
        <v>0</v>
      </c>
      <c r="D39" s="30"/>
      <c r="E39" s="29" t="e">
        <f t="shared" si="13"/>
        <v>#DIV/0!</v>
      </c>
      <c r="F39" s="28" t="e">
        <f t="shared" si="14"/>
        <v>#DIV/0!</v>
      </c>
      <c r="G39" s="27" t="e">
        <f t="shared" si="15"/>
        <v>#DIV/0!</v>
      </c>
      <c r="H39" s="26">
        <f t="shared" si="16"/>
        <v>0</v>
      </c>
      <c r="I39" s="26" t="e">
        <f t="shared" si="17"/>
        <v>#DIV/0!</v>
      </c>
    </row>
    <row r="40" spans="1:9" s="17" customFormat="1" ht="13.5" thickBot="1" x14ac:dyDescent="0.3">
      <c r="A40" s="24" t="s">
        <v>34</v>
      </c>
      <c r="B40" s="23"/>
      <c r="C40" s="20" t="e">
        <f>H40/D40</f>
        <v>#DIV/0!</v>
      </c>
      <c r="D40" s="22">
        <f>SUM(D34:D39)</f>
        <v>0</v>
      </c>
      <c r="E40" s="21" t="e">
        <f t="shared" si="13"/>
        <v>#DIV/0!</v>
      </c>
      <c r="F40" s="20" t="e">
        <f>I40/D40</f>
        <v>#DIV/0!</v>
      </c>
      <c r="G40" s="19" t="e">
        <f>F40/C40-1</f>
        <v>#DIV/0!</v>
      </c>
      <c r="H40" s="18">
        <f>SUM(H34:H39)</f>
        <v>0</v>
      </c>
      <c r="I40" s="18" t="e">
        <f>SUM(I34:I39)</f>
        <v>#DIV/0!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1.5841999999999998E-2</v>
      </c>
      <c r="C42" s="31">
        <f>ROUND($G$3*B42,1)</f>
        <v>0</v>
      </c>
      <c r="D42" s="30"/>
      <c r="E42" s="29" t="e">
        <f>D42/$D$48</f>
        <v>#DIV/0!</v>
      </c>
      <c r="F42" s="28" t="e">
        <f>C42-(C42*$E$6)</f>
        <v>#DIV/0!</v>
      </c>
      <c r="G42" s="27" t="e">
        <f>IF(C42&gt;=F42,"-","+")</f>
        <v>#DIV/0!</v>
      </c>
      <c r="H42" s="26">
        <f>C42*D42</f>
        <v>0</v>
      </c>
      <c r="I42" s="26" t="e">
        <f>F42*D42</f>
        <v>#DIV/0!</v>
      </c>
    </row>
    <row r="43" spans="1:9" s="25" customFormat="1" ht="15" x14ac:dyDescent="0.25">
      <c r="A43" s="25" t="s">
        <v>55</v>
      </c>
      <c r="B43" s="32">
        <v>1.5841999999999998E-2</v>
      </c>
      <c r="C43" s="31">
        <f>ROUND($G$3*B43,1)</f>
        <v>0</v>
      </c>
      <c r="D43" s="30"/>
      <c r="E43" s="29" t="e">
        <f>D43/$D$48</f>
        <v>#DIV/0!</v>
      </c>
      <c r="F43" s="28" t="e">
        <f>C43-(C43*$E$6)</f>
        <v>#DIV/0!</v>
      </c>
      <c r="G43" s="27" t="e">
        <f>IF(C43&gt;=F43,"-","+")</f>
        <v>#DIV/0!</v>
      </c>
      <c r="H43" s="26">
        <f>C43*D43</f>
        <v>0</v>
      </c>
      <c r="I43" s="26" t="e">
        <f>F43*D43</f>
        <v>#DIV/0!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29" t="e">
        <f>D44/$D$48</f>
        <v>#DIV/0!</v>
      </c>
      <c r="F44" s="28" t="e">
        <f>C44-(C44*$E$6)</f>
        <v>#DIV/0!</v>
      </c>
      <c r="G44" s="27" t="e">
        <f>IF(C44&gt;=F44,"-","+")</f>
        <v>#DIV/0!</v>
      </c>
      <c r="H44" s="26">
        <f>C44*D44</f>
        <v>0</v>
      </c>
      <c r="I44" s="26" t="e">
        <f>F44*D44</f>
        <v>#DIV/0!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f>(0.5*G2)/100</f>
        <v>0</v>
      </c>
      <c r="E45" s="29" t="e">
        <f>D45/$D$48</f>
        <v>#DIV/0!</v>
      </c>
      <c r="F45" s="28" t="e">
        <f>C45-(C45*$E$6)</f>
        <v>#DIV/0!</v>
      </c>
      <c r="G45" s="27" t="e">
        <f>IF(C45&gt;=F45,"-","+")</f>
        <v>#DIV/0!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 t="e">
        <f>H46/D46</f>
        <v>#DIV/0!</v>
      </c>
      <c r="D46" s="22">
        <f>SUM(D41:D45)</f>
        <v>0</v>
      </c>
      <c r="E46" s="21" t="e">
        <f>D46/$D$48</f>
        <v>#DIV/0!</v>
      </c>
      <c r="F46" s="20" t="e">
        <f>I46/D46</f>
        <v>#DIV/0!</v>
      </c>
      <c r="G46" s="19" t="e">
        <f>F46/C46-1</f>
        <v>#DIV/0!</v>
      </c>
      <c r="H46" s="18">
        <f>SUM(H41:H44)</f>
        <v>0</v>
      </c>
      <c r="I46" s="18" t="e">
        <f>SUM(I41:I44)</f>
        <v>#DIV/0!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 t="e">
        <f>C24+C32+C40+C46</f>
        <v>#DIV/0!</v>
      </c>
      <c r="D48" s="13">
        <f>D24+D32+D40+D46+D19</f>
        <v>0</v>
      </c>
      <c r="E48" s="12" t="e">
        <f>SUM(E20:E46)/2</f>
        <v>#DIV/0!</v>
      </c>
      <c r="F48" s="11" t="e">
        <f>I48/D48</f>
        <v>#DIV/0!</v>
      </c>
      <c r="G48" s="10"/>
      <c r="H48" s="9">
        <f>SUM(H20:H46)/2</f>
        <v>0</v>
      </c>
      <c r="I48" s="9" t="e">
        <f>SUM(I20:I46)/2</f>
        <v>#DIV/0!</v>
      </c>
    </row>
    <row r="49" spans="1:9" ht="12.75" thickBot="1" x14ac:dyDescent="0.25">
      <c r="E49" s="16"/>
    </row>
    <row r="50" spans="1:9" s="8" customFormat="1" ht="15.75" thickBot="1" x14ac:dyDescent="0.3">
      <c r="A50" s="10" t="s">
        <v>59</v>
      </c>
      <c r="B50" s="15"/>
      <c r="C50" s="14"/>
      <c r="D50" s="13">
        <f>SUM(D10:D47)/2</f>
        <v>0</v>
      </c>
      <c r="E50" s="12" t="e">
        <f>D50/G2</f>
        <v>#DIV/0!</v>
      </c>
      <c r="F50" s="11" t="e">
        <f>I50/D50</f>
        <v>#DIV/0!</v>
      </c>
      <c r="G50" s="10"/>
      <c r="H50" s="9">
        <f>H48+H19</f>
        <v>0</v>
      </c>
      <c r="I50" s="9" t="e">
        <f>I48+I19</f>
        <v>#DIV/0!</v>
      </c>
    </row>
    <row r="51" spans="1:9" ht="23.25" x14ac:dyDescent="0.35">
      <c r="A51" s="168"/>
      <c r="B51" s="169"/>
      <c r="C51" s="170"/>
      <c r="G51" s="7"/>
      <c r="H51" s="6"/>
      <c r="I51" s="6" t="e">
        <f>+I50/D50</f>
        <v>#DIV/0!</v>
      </c>
    </row>
    <row r="52" spans="1:9" ht="18.75" x14ac:dyDescent="0.3">
      <c r="A52" s="171" t="e">
        <f>IF(E46&lt;17%,"KEMİK ORANI İYİ","KEMİK YÜKSEK")</f>
        <v>#DIV/0!</v>
      </c>
      <c r="B52" s="171"/>
      <c r="C52" s="171"/>
      <c r="D52" s="171"/>
      <c r="E52" s="171"/>
      <c r="F52" s="171"/>
      <c r="G52" s="171"/>
      <c r="H52" s="171"/>
      <c r="I52" s="171"/>
    </row>
    <row r="53" spans="1:9" ht="23.25" x14ac:dyDescent="0.35">
      <c r="G53" s="5"/>
    </row>
    <row r="54" spans="1:9" ht="18.75" x14ac:dyDescent="0.3">
      <c r="A54" s="171" t="e">
        <f>IF(I50&lt;H50,"MALİYET İYİ","MALİYET YÜKSEK")</f>
        <v>#DIV/0!</v>
      </c>
      <c r="B54" s="171"/>
      <c r="C54" s="171"/>
      <c r="D54" s="171"/>
      <c r="E54" s="171"/>
      <c r="F54" s="171"/>
      <c r="G54" s="171"/>
      <c r="H54" s="171"/>
      <c r="I54" s="171"/>
    </row>
    <row r="55" spans="1:9" x14ac:dyDescent="0.2">
      <c r="G55" s="172" t="s">
        <v>65</v>
      </c>
    </row>
    <row r="56" spans="1:9" x14ac:dyDescent="0.2">
      <c r="G56" s="172"/>
    </row>
  </sheetData>
  <mergeCells count="5">
    <mergeCell ref="E1:G1"/>
    <mergeCell ref="A52:I52"/>
    <mergeCell ref="A54:I54"/>
    <mergeCell ref="G55:G56"/>
    <mergeCell ref="A51:C51"/>
  </mergeCells>
  <conditionalFormatting sqref="G6">
    <cfRule type="iconSet" priority="1">
      <iconSet iconSet="3ArrowsGray">
        <cfvo type="percent" val="0"/>
        <cfvo type="num" val="30.71"/>
        <cfvo type="num" val="30.72"/>
      </iconSet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1:I56"/>
  <sheetViews>
    <sheetView topLeftCell="A37" workbookViewId="0">
      <selection activeCell="N53" sqref="N53"/>
    </sheetView>
  </sheetViews>
  <sheetFormatPr defaultColWidth="8.85546875" defaultRowHeight="12" x14ac:dyDescent="0.2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9.28515625" style="3" customWidth="1"/>
    <col min="6" max="6" width="19.28515625" style="1" customWidth="1"/>
    <col min="7" max="7" width="15.710937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x14ac:dyDescent="0.25">
      <c r="A1" s="103" t="s">
        <v>66</v>
      </c>
      <c r="B1" s="102"/>
      <c r="C1" s="101"/>
      <c r="D1" s="100" t="s">
        <v>1</v>
      </c>
      <c r="E1" s="168"/>
      <c r="F1" s="169"/>
      <c r="G1" s="170"/>
      <c r="H1" s="62"/>
      <c r="I1" s="62"/>
    </row>
    <row r="2" spans="1:9" s="61" customFormat="1" ht="20.100000000000001" customHeight="1" x14ac:dyDescent="0.25">
      <c r="A2" s="99" t="s">
        <v>0</v>
      </c>
      <c r="B2" s="98"/>
      <c r="C2" s="97"/>
      <c r="D2" s="96" t="s">
        <v>3</v>
      </c>
      <c r="E2" s="95" t="s">
        <v>67</v>
      </c>
      <c r="F2" s="94" t="s">
        <v>5</v>
      </c>
      <c r="G2" s="93"/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/>
      <c r="D3" s="90" t="s">
        <v>7</v>
      </c>
      <c r="E3" s="89"/>
      <c r="F3" s="88" t="s">
        <v>8</v>
      </c>
      <c r="G3" s="87"/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105"/>
      <c r="D4" s="83" t="s">
        <v>11</v>
      </c>
      <c r="E4" s="82" t="e">
        <f>G2/E3</f>
        <v>#DIV/0!</v>
      </c>
      <c r="F4" s="81" t="s">
        <v>12</v>
      </c>
      <c r="G4" s="80">
        <f>G2*G3</f>
        <v>0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e">
        <f>IF(G4=I50,"DOĞRU","HATA VAR")</f>
        <v>#DIV/0!</v>
      </c>
      <c r="H5" s="76"/>
      <c r="I5" s="76"/>
    </row>
    <row r="6" spans="1:9" ht="23.25" x14ac:dyDescent="0.35">
      <c r="A6" s="74" t="s">
        <v>14</v>
      </c>
      <c r="B6" s="73"/>
      <c r="C6" s="72">
        <v>23.25</v>
      </c>
      <c r="D6" s="71" t="s">
        <v>15</v>
      </c>
      <c r="E6" s="70" t="e">
        <f>1-G4/H50</f>
        <v>#DIV/0!</v>
      </c>
      <c r="F6" s="69" t="s">
        <v>16</v>
      </c>
      <c r="G6" s="68" t="e">
        <f>(I50-I19)/(D50-(SUM(D42:D44)+D19))</f>
        <v>#DIV/0!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23.9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0</v>
      </c>
      <c r="D10" s="30"/>
      <c r="E10" s="29" t="e">
        <f t="shared" ref="E10:E19" si="1">D10/$D$19</f>
        <v>#DIV/0!</v>
      </c>
      <c r="F10" s="28" t="e">
        <f t="shared" ref="F10:F18" si="2">C10-(C10*$E$6)</f>
        <v>#DIV/0!</v>
      </c>
      <c r="G10" s="27" t="e">
        <f t="shared" ref="G10:G18" si="3">IF(C10&gt;=F10,"-","+")</f>
        <v>#DIV/0!</v>
      </c>
      <c r="H10" s="34">
        <f t="shared" ref="H10:H18" si="4">C10*D10</f>
        <v>0</v>
      </c>
      <c r="I10" s="34" t="e">
        <f t="shared" ref="I10:I18" si="5">F10*D10</f>
        <v>#DIV/0!</v>
      </c>
    </row>
    <row r="11" spans="1:9" s="52" customFormat="1" ht="15" customHeight="1" x14ac:dyDescent="0.25">
      <c r="A11" s="25" t="s">
        <v>26</v>
      </c>
      <c r="B11" s="32">
        <v>1.046594982</v>
      </c>
      <c r="C11" s="31">
        <f t="shared" si="0"/>
        <v>0</v>
      </c>
      <c r="D11" s="30"/>
      <c r="E11" s="29" t="e">
        <f t="shared" si="1"/>
        <v>#DIV/0!</v>
      </c>
      <c r="F11" s="28" t="e">
        <f t="shared" si="2"/>
        <v>#DIV/0!</v>
      </c>
      <c r="G11" s="27" t="e">
        <f t="shared" si="3"/>
        <v>#DIV/0!</v>
      </c>
      <c r="H11" s="34">
        <f t="shared" si="4"/>
        <v>0</v>
      </c>
      <c r="I11" s="34" t="e">
        <f t="shared" si="5"/>
        <v>#DIV/0!</v>
      </c>
    </row>
    <row r="12" spans="1:9" s="52" customFormat="1" ht="15" customHeight="1" x14ac:dyDescent="0.25">
      <c r="A12" s="25" t="s">
        <v>27</v>
      </c>
      <c r="B12" s="32">
        <v>0.95698924699999999</v>
      </c>
      <c r="C12" s="31">
        <f t="shared" si="0"/>
        <v>0</v>
      </c>
      <c r="D12" s="30"/>
      <c r="E12" s="29" t="e">
        <f t="shared" si="1"/>
        <v>#DIV/0!</v>
      </c>
      <c r="F12" s="28" t="e">
        <f t="shared" si="2"/>
        <v>#DIV/0!</v>
      </c>
      <c r="G12" s="27" t="e">
        <f t="shared" si="3"/>
        <v>#DIV/0!</v>
      </c>
      <c r="H12" s="34">
        <f t="shared" si="4"/>
        <v>0</v>
      </c>
      <c r="I12" s="34" t="e">
        <f t="shared" si="5"/>
        <v>#DIV/0!</v>
      </c>
    </row>
    <row r="13" spans="1:9" s="52" customFormat="1" ht="15" customHeight="1" x14ac:dyDescent="0.25">
      <c r="A13" s="25" t="s">
        <v>28</v>
      </c>
      <c r="B13" s="32">
        <v>0.985791635</v>
      </c>
      <c r="C13" s="31">
        <f t="shared" si="0"/>
        <v>0</v>
      </c>
      <c r="D13" s="30"/>
      <c r="E13" s="29" t="e">
        <f t="shared" si="1"/>
        <v>#DIV/0!</v>
      </c>
      <c r="F13" s="28" t="e">
        <f t="shared" si="2"/>
        <v>#DIV/0!</v>
      </c>
      <c r="G13" s="27" t="e">
        <f t="shared" si="3"/>
        <v>#DIV/0!</v>
      </c>
      <c r="H13" s="34">
        <f t="shared" si="4"/>
        <v>0</v>
      </c>
      <c r="I13" s="34" t="e">
        <f t="shared" si="5"/>
        <v>#DIV/0!</v>
      </c>
    </row>
    <row r="14" spans="1:9" s="52" customFormat="1" ht="15" customHeight="1" x14ac:dyDescent="0.25">
      <c r="A14" s="25" t="s">
        <v>29</v>
      </c>
      <c r="B14" s="32">
        <v>1.0557916350000001</v>
      </c>
      <c r="C14" s="31">
        <f t="shared" si="0"/>
        <v>0</v>
      </c>
      <c r="D14" s="30"/>
      <c r="E14" s="29" t="e">
        <f t="shared" si="1"/>
        <v>#DIV/0!</v>
      </c>
      <c r="F14" s="28" t="e">
        <f t="shared" si="2"/>
        <v>#DIV/0!</v>
      </c>
      <c r="G14" s="27" t="e">
        <f t="shared" si="3"/>
        <v>#DIV/0!</v>
      </c>
      <c r="H14" s="34">
        <f t="shared" si="4"/>
        <v>0</v>
      </c>
      <c r="I14" s="34" t="e">
        <f t="shared" si="5"/>
        <v>#DIV/0!</v>
      </c>
    </row>
    <row r="15" spans="1:9" s="52" customFormat="1" ht="15" customHeight="1" x14ac:dyDescent="0.25">
      <c r="A15" s="25" t="s">
        <v>30</v>
      </c>
      <c r="B15" s="32">
        <v>0.85579163499999999</v>
      </c>
      <c r="C15" s="31">
        <f t="shared" si="0"/>
        <v>0</v>
      </c>
      <c r="D15" s="30"/>
      <c r="E15" s="29" t="e">
        <f t="shared" si="1"/>
        <v>#DIV/0!</v>
      </c>
      <c r="F15" s="28" t="e">
        <f t="shared" si="2"/>
        <v>#DIV/0!</v>
      </c>
      <c r="G15" s="27" t="e">
        <f t="shared" si="3"/>
        <v>#DIV/0!</v>
      </c>
      <c r="H15" s="34">
        <f t="shared" si="4"/>
        <v>0</v>
      </c>
      <c r="I15" s="34" t="e">
        <f t="shared" si="5"/>
        <v>#DIV/0!</v>
      </c>
    </row>
    <row r="16" spans="1:9" s="52" customFormat="1" ht="15" customHeight="1" x14ac:dyDescent="0.25">
      <c r="A16" s="25" t="s">
        <v>31</v>
      </c>
      <c r="B16" s="32">
        <v>1.205791635</v>
      </c>
      <c r="C16" s="31">
        <f t="shared" si="0"/>
        <v>0</v>
      </c>
      <c r="D16" s="30"/>
      <c r="E16" s="29" t="e">
        <f t="shared" si="1"/>
        <v>#DIV/0!</v>
      </c>
      <c r="F16" s="28" t="e">
        <f t="shared" si="2"/>
        <v>#DIV/0!</v>
      </c>
      <c r="G16" s="27" t="e">
        <f t="shared" si="3"/>
        <v>#DIV/0!</v>
      </c>
      <c r="H16" s="34">
        <f t="shared" si="4"/>
        <v>0</v>
      </c>
      <c r="I16" s="34" t="e">
        <f t="shared" si="5"/>
        <v>#DIV/0!</v>
      </c>
    </row>
    <row r="17" spans="1:9" s="52" customFormat="1" ht="15" x14ac:dyDescent="0.25">
      <c r="A17" s="25" t="s">
        <v>32</v>
      </c>
      <c r="B17" s="32">
        <v>1.8357916350000001</v>
      </c>
      <c r="C17" s="31">
        <f t="shared" si="0"/>
        <v>0</v>
      </c>
      <c r="D17" s="30"/>
      <c r="E17" s="29" t="e">
        <f t="shared" si="1"/>
        <v>#DIV/0!</v>
      </c>
      <c r="F17" s="28" t="e">
        <f t="shared" si="2"/>
        <v>#DIV/0!</v>
      </c>
      <c r="G17" s="27" t="e">
        <f t="shared" si="3"/>
        <v>#DIV/0!</v>
      </c>
      <c r="H17" s="34">
        <f t="shared" si="4"/>
        <v>0</v>
      </c>
      <c r="I17" s="34" t="e">
        <f t="shared" si="5"/>
        <v>#DIV/0!</v>
      </c>
    </row>
    <row r="18" spans="1:9" s="52" customFormat="1" ht="15.75" thickBot="1" x14ac:dyDescent="0.3">
      <c r="A18" s="25" t="s">
        <v>33</v>
      </c>
      <c r="B18" s="32">
        <v>1.6057916350000001</v>
      </c>
      <c r="C18" s="31">
        <f t="shared" si="0"/>
        <v>0</v>
      </c>
      <c r="D18" s="30"/>
      <c r="E18" s="29" t="e">
        <f t="shared" si="1"/>
        <v>#DIV/0!</v>
      </c>
      <c r="F18" s="28" t="e">
        <f t="shared" si="2"/>
        <v>#DIV/0!</v>
      </c>
      <c r="G18" s="27" t="e">
        <f t="shared" si="3"/>
        <v>#DIV/0!</v>
      </c>
      <c r="H18" s="34">
        <f t="shared" si="4"/>
        <v>0</v>
      </c>
      <c r="I18" s="34" t="e">
        <f t="shared" si="5"/>
        <v>#DIV/0!</v>
      </c>
    </row>
    <row r="19" spans="1:9" s="8" customFormat="1" ht="16.5" thickTop="1" thickBot="1" x14ac:dyDescent="0.3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 t="e">
        <f>SUM(I10:I18)</f>
        <v>#DIV/0!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2.62</v>
      </c>
      <c r="C21" s="31">
        <f>ROUND($G$3*B21,1)</f>
        <v>0</v>
      </c>
      <c r="D21" s="30"/>
      <c r="E21" s="29" t="e">
        <f>D21/$D$48</f>
        <v>#DIV/0!</v>
      </c>
      <c r="F21" s="28" t="e">
        <f>C21-(C21*$E$6)</f>
        <v>#DIV/0!</v>
      </c>
      <c r="G21" s="27" t="e">
        <f>IF(C21&gt;=F21,"-","+")</f>
        <v>#DIV/0!</v>
      </c>
      <c r="H21" s="26">
        <f>C21*D21</f>
        <v>0</v>
      </c>
      <c r="I21" s="26" t="e">
        <f>F21*D21</f>
        <v>#DIV/0!</v>
      </c>
    </row>
    <row r="22" spans="1:9" s="25" customFormat="1" ht="15" x14ac:dyDescent="0.25">
      <c r="A22" s="25" t="s">
        <v>37</v>
      </c>
      <c r="B22" s="32">
        <v>1.7629999999999999</v>
      </c>
      <c r="C22" s="31">
        <f>ROUND($G$3*B22,1)</f>
        <v>0</v>
      </c>
      <c r="D22" s="30"/>
      <c r="E22" s="29" t="e">
        <f>D22/$D$48</f>
        <v>#DIV/0!</v>
      </c>
      <c r="F22" s="28" t="e">
        <f>C22-(C22*$E$6)</f>
        <v>#DIV/0!</v>
      </c>
      <c r="G22" s="27" t="e">
        <f>IF(C22&gt;=F22,"-","+")</f>
        <v>#DIV/0!</v>
      </c>
      <c r="H22" s="26">
        <f>C22*D22</f>
        <v>0</v>
      </c>
      <c r="I22" s="26" t="e">
        <f>F22*D22</f>
        <v>#DIV/0!</v>
      </c>
    </row>
    <row r="23" spans="1:9" s="25" customFormat="1" ht="15.75" thickBot="1" x14ac:dyDescent="0.3">
      <c r="A23" s="25" t="s">
        <v>38</v>
      </c>
      <c r="B23" s="32">
        <v>1.5649999999999999</v>
      </c>
      <c r="C23" s="31">
        <f>ROUND($G$3*B23,1)</f>
        <v>0</v>
      </c>
      <c r="D23" s="30"/>
      <c r="E23" s="29" t="e">
        <f>D23/$D$48</f>
        <v>#DIV/0!</v>
      </c>
      <c r="F23" s="28" t="e">
        <f>C23-(C23*$E$6)</f>
        <v>#DIV/0!</v>
      </c>
      <c r="G23" s="27" t="e">
        <f>IF(C23&gt;=F23,"-","+")</f>
        <v>#DIV/0!</v>
      </c>
      <c r="H23" s="26">
        <f>C23*D23</f>
        <v>0</v>
      </c>
      <c r="I23" s="26" t="e">
        <f>F23*D23</f>
        <v>#DIV/0!</v>
      </c>
    </row>
    <row r="24" spans="1:9" s="17" customFormat="1" ht="13.5" thickBot="1" x14ac:dyDescent="0.3">
      <c r="A24" s="24" t="s">
        <v>34</v>
      </c>
      <c r="B24" s="23"/>
      <c r="C24" s="20" t="e">
        <f>H24/D24</f>
        <v>#DIV/0!</v>
      </c>
      <c r="D24" s="22">
        <f>SUM(D21:D23)</f>
        <v>0</v>
      </c>
      <c r="E24" s="21" t="e">
        <f>D24/$D$48</f>
        <v>#DIV/0!</v>
      </c>
      <c r="F24" s="20" t="e">
        <f>I24/D24</f>
        <v>#DIV/0!</v>
      </c>
      <c r="G24" s="19" t="e">
        <f>F24/C24-1</f>
        <v>#DIV/0!</v>
      </c>
      <c r="H24" s="18">
        <f>SUM(H21:H23)</f>
        <v>0</v>
      </c>
      <c r="I24" s="18" t="e">
        <f>SUM(I21:I23)</f>
        <v>#DIV/0!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1.3525700000000001</v>
      </c>
      <c r="C26" s="31">
        <f t="shared" ref="C26:C31" si="6">ROUND($G$3*B26,1)</f>
        <v>0</v>
      </c>
      <c r="D26" s="30"/>
      <c r="E26" s="29" t="e">
        <f t="shared" ref="E26:E32" si="7">D26/$D$48</f>
        <v>#DIV/0!</v>
      </c>
      <c r="F26" s="28" t="e">
        <f t="shared" ref="F26:F31" si="8">C26-(C26*$E$6)</f>
        <v>#DIV/0!</v>
      </c>
      <c r="G26" s="27" t="e">
        <f t="shared" ref="G26:G31" si="9">IF(C26&gt;=F26,"-","+")</f>
        <v>#DIV/0!</v>
      </c>
      <c r="H26" s="26">
        <f t="shared" ref="H26:H31" si="10">C26*D26</f>
        <v>0</v>
      </c>
      <c r="I26" s="26" t="e">
        <f t="shared" ref="I26:I31" si="11">F26*D26</f>
        <v>#DIV/0!</v>
      </c>
    </row>
    <row r="27" spans="1:9" s="25" customFormat="1" ht="15" x14ac:dyDescent="0.25">
      <c r="A27" s="25" t="s">
        <v>41</v>
      </c>
      <c r="B27" s="32">
        <v>1.2688200000000001</v>
      </c>
      <c r="C27" s="31">
        <f t="shared" si="6"/>
        <v>0</v>
      </c>
      <c r="D27" s="30"/>
      <c r="E27" s="29" t="e">
        <f t="shared" si="7"/>
        <v>#DIV/0!</v>
      </c>
      <c r="F27" s="28" t="e">
        <f t="shared" si="8"/>
        <v>#DIV/0!</v>
      </c>
      <c r="G27" s="27" t="e">
        <f t="shared" si="9"/>
        <v>#DIV/0!</v>
      </c>
      <c r="H27" s="26">
        <f t="shared" si="10"/>
        <v>0</v>
      </c>
      <c r="I27" s="26" t="e">
        <f t="shared" si="11"/>
        <v>#DIV/0!</v>
      </c>
    </row>
    <row r="28" spans="1:9" s="25" customFormat="1" ht="15" x14ac:dyDescent="0.25">
      <c r="A28" s="25" t="s">
        <v>42</v>
      </c>
      <c r="B28" s="32">
        <v>1.2783500000000001</v>
      </c>
      <c r="C28" s="31">
        <f t="shared" si="6"/>
        <v>0</v>
      </c>
      <c r="D28" s="30"/>
      <c r="E28" s="29" t="e">
        <f t="shared" si="7"/>
        <v>#DIV/0!</v>
      </c>
      <c r="F28" s="28" t="e">
        <f t="shared" si="8"/>
        <v>#DIV/0!</v>
      </c>
      <c r="G28" s="27" t="e">
        <f t="shared" si="9"/>
        <v>#DIV/0!</v>
      </c>
      <c r="H28" s="26">
        <f t="shared" si="10"/>
        <v>0</v>
      </c>
      <c r="I28" s="26" t="e">
        <f t="shared" si="11"/>
        <v>#DIV/0!</v>
      </c>
    </row>
    <row r="29" spans="1:9" s="25" customFormat="1" ht="15" x14ac:dyDescent="0.25">
      <c r="A29" s="25" t="s">
        <v>43</v>
      </c>
      <c r="B29" s="32">
        <v>1.2474000000000001</v>
      </c>
      <c r="C29" s="31">
        <f t="shared" si="6"/>
        <v>0</v>
      </c>
      <c r="D29" s="30"/>
      <c r="E29" s="29" t="e">
        <f t="shared" si="7"/>
        <v>#DIV/0!</v>
      </c>
      <c r="F29" s="28" t="e">
        <f t="shared" si="8"/>
        <v>#DIV/0!</v>
      </c>
      <c r="G29" s="27" t="e">
        <f t="shared" si="9"/>
        <v>#DIV/0!</v>
      </c>
      <c r="H29" s="26">
        <f t="shared" si="10"/>
        <v>0</v>
      </c>
      <c r="I29" s="26" t="e">
        <f t="shared" si="11"/>
        <v>#DIV/0!</v>
      </c>
    </row>
    <row r="30" spans="1:9" s="25" customFormat="1" ht="15" x14ac:dyDescent="0.25">
      <c r="A30" s="25" t="s">
        <v>44</v>
      </c>
      <c r="B30" s="32">
        <v>1.2474000000000001</v>
      </c>
      <c r="C30" s="31">
        <f t="shared" si="6"/>
        <v>0</v>
      </c>
      <c r="D30" s="30"/>
      <c r="E30" s="29" t="e">
        <f t="shared" si="7"/>
        <v>#DIV/0!</v>
      </c>
      <c r="F30" s="28" t="e">
        <f t="shared" si="8"/>
        <v>#DIV/0!</v>
      </c>
      <c r="G30" s="27" t="e">
        <f t="shared" si="9"/>
        <v>#DIV/0!</v>
      </c>
      <c r="H30" s="26">
        <f t="shared" si="10"/>
        <v>0</v>
      </c>
      <c r="I30" s="26" t="e">
        <f t="shared" si="11"/>
        <v>#DIV/0!</v>
      </c>
    </row>
    <row r="31" spans="1:9" s="25" customFormat="1" ht="15.75" thickBot="1" x14ac:dyDescent="0.3">
      <c r="A31" s="25" t="s">
        <v>45</v>
      </c>
      <c r="B31" s="32">
        <v>1.2681</v>
      </c>
      <c r="C31" s="31">
        <f t="shared" si="6"/>
        <v>0</v>
      </c>
      <c r="D31" s="30"/>
      <c r="E31" s="29" t="e">
        <f t="shared" si="7"/>
        <v>#DIV/0!</v>
      </c>
      <c r="F31" s="28" t="e">
        <f t="shared" si="8"/>
        <v>#DIV/0!</v>
      </c>
      <c r="G31" s="27" t="e">
        <f t="shared" si="9"/>
        <v>#DIV/0!</v>
      </c>
      <c r="H31" s="26">
        <f t="shared" si="10"/>
        <v>0</v>
      </c>
      <c r="I31" s="26" t="e">
        <f t="shared" si="11"/>
        <v>#DIV/0!</v>
      </c>
    </row>
    <row r="32" spans="1:9" s="17" customFormat="1" ht="13.5" thickBot="1" x14ac:dyDescent="0.3">
      <c r="A32" s="24" t="s">
        <v>34</v>
      </c>
      <c r="B32" s="23"/>
      <c r="C32" s="20" t="e">
        <f>H32/D32</f>
        <v>#DIV/0!</v>
      </c>
      <c r="D32" s="22">
        <f>SUM(D26:D31)</f>
        <v>0</v>
      </c>
      <c r="E32" s="21" t="e">
        <f t="shared" si="7"/>
        <v>#DIV/0!</v>
      </c>
      <c r="F32" s="20" t="e">
        <f>I32/D32</f>
        <v>#DIV/0!</v>
      </c>
      <c r="G32" s="19" t="e">
        <f>F32/C32-1</f>
        <v>#DIV/0!</v>
      </c>
      <c r="H32" s="18">
        <f>SUM(H26:H31)</f>
        <v>0</v>
      </c>
      <c r="I32" s="18" t="e">
        <f>SUM(I26:I31)</f>
        <v>#DIV/0!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0.8</v>
      </c>
      <c r="C34" s="31">
        <f t="shared" ref="C34:C39" si="12">ROUND($G$3*B34,1)</f>
        <v>0</v>
      </c>
      <c r="D34" s="30"/>
      <c r="E34" s="29" t="e">
        <f t="shared" ref="E34:E40" si="13">D34/$D$48</f>
        <v>#DIV/0!</v>
      </c>
      <c r="F34" s="28" t="e">
        <f t="shared" ref="F34:F39" si="14">C34-(C34*$E$6)</f>
        <v>#DIV/0!</v>
      </c>
      <c r="G34" s="27" t="e">
        <f t="shared" ref="G34:G39" si="15">IF(C34&gt;=F34,"-","+")</f>
        <v>#DIV/0!</v>
      </c>
      <c r="H34" s="26">
        <f t="shared" ref="H34:H39" si="16">C34*D34</f>
        <v>0</v>
      </c>
      <c r="I34" s="26" t="e">
        <f t="shared" ref="I34:I39" si="17">F34*D34</f>
        <v>#DIV/0!</v>
      </c>
    </row>
    <row r="35" spans="1:9" s="25" customFormat="1" ht="15" x14ac:dyDescent="0.25">
      <c r="A35" s="25" t="s">
        <v>48</v>
      </c>
      <c r="B35" s="32">
        <v>0.66</v>
      </c>
      <c r="C35" s="31">
        <f t="shared" si="12"/>
        <v>0</v>
      </c>
      <c r="D35" s="30"/>
      <c r="E35" s="29" t="e">
        <f t="shared" si="13"/>
        <v>#DIV/0!</v>
      </c>
      <c r="F35" s="28" t="e">
        <f t="shared" si="14"/>
        <v>#DIV/0!</v>
      </c>
      <c r="G35" s="27" t="e">
        <f t="shared" si="15"/>
        <v>#DIV/0!</v>
      </c>
      <c r="H35" s="26">
        <f t="shared" si="16"/>
        <v>0</v>
      </c>
      <c r="I35" s="26" t="e">
        <f t="shared" si="17"/>
        <v>#DIV/0!</v>
      </c>
    </row>
    <row r="36" spans="1:9" s="25" customFormat="1" ht="15" x14ac:dyDescent="0.25">
      <c r="A36" s="25" t="s">
        <v>49</v>
      </c>
      <c r="B36" s="32">
        <v>0.4572</v>
      </c>
      <c r="C36" s="31">
        <f t="shared" si="12"/>
        <v>0</v>
      </c>
      <c r="D36" s="30"/>
      <c r="E36" s="29" t="e">
        <f t="shared" si="13"/>
        <v>#DIV/0!</v>
      </c>
      <c r="F36" s="28" t="e">
        <f t="shared" si="14"/>
        <v>#DIV/0!</v>
      </c>
      <c r="G36" s="27" t="e">
        <f t="shared" si="15"/>
        <v>#DIV/0!</v>
      </c>
      <c r="H36" s="26">
        <f t="shared" si="16"/>
        <v>0</v>
      </c>
      <c r="I36" s="26" t="e">
        <f t="shared" si="17"/>
        <v>#DIV/0!</v>
      </c>
    </row>
    <row r="37" spans="1:9" s="25" customFormat="1" ht="15" x14ac:dyDescent="0.25">
      <c r="A37" s="25" t="s">
        <v>50</v>
      </c>
      <c r="B37" s="32">
        <v>1.23011</v>
      </c>
      <c r="C37" s="31">
        <f t="shared" si="12"/>
        <v>0</v>
      </c>
      <c r="D37" s="30"/>
      <c r="E37" s="29" t="e">
        <f t="shared" si="13"/>
        <v>#DIV/0!</v>
      </c>
      <c r="F37" s="28" t="e">
        <f t="shared" si="14"/>
        <v>#DIV/0!</v>
      </c>
      <c r="G37" s="27" t="e">
        <f t="shared" si="15"/>
        <v>#DIV/0!</v>
      </c>
      <c r="H37" s="26">
        <f t="shared" si="16"/>
        <v>0</v>
      </c>
      <c r="I37" s="26" t="e">
        <f t="shared" si="17"/>
        <v>#DIV/0!</v>
      </c>
    </row>
    <row r="38" spans="1:9" s="25" customFormat="1" ht="15" x14ac:dyDescent="0.25">
      <c r="A38" s="25" t="s">
        <v>51</v>
      </c>
      <c r="B38" s="32">
        <v>1.23011</v>
      </c>
      <c r="C38" s="31">
        <f t="shared" si="12"/>
        <v>0</v>
      </c>
      <c r="D38" s="30"/>
      <c r="E38" s="29" t="e">
        <f t="shared" si="13"/>
        <v>#DIV/0!</v>
      </c>
      <c r="F38" s="28" t="e">
        <f t="shared" si="14"/>
        <v>#DIV/0!</v>
      </c>
      <c r="G38" s="27" t="e">
        <f t="shared" si="15"/>
        <v>#DIV/0!</v>
      </c>
      <c r="H38" s="26">
        <f t="shared" si="16"/>
        <v>0</v>
      </c>
      <c r="I38" s="26" t="e">
        <f t="shared" si="17"/>
        <v>#DIV/0!</v>
      </c>
    </row>
    <row r="39" spans="1:9" s="25" customFormat="1" ht="15.75" thickBot="1" x14ac:dyDescent="0.3">
      <c r="A39" s="25" t="s">
        <v>52</v>
      </c>
      <c r="B39" s="32">
        <v>1.2688200000000001</v>
      </c>
      <c r="C39" s="31">
        <f t="shared" si="12"/>
        <v>0</v>
      </c>
      <c r="D39" s="30"/>
      <c r="E39" s="29" t="e">
        <f t="shared" si="13"/>
        <v>#DIV/0!</v>
      </c>
      <c r="F39" s="28" t="e">
        <f t="shared" si="14"/>
        <v>#DIV/0!</v>
      </c>
      <c r="G39" s="27" t="e">
        <f t="shared" si="15"/>
        <v>#DIV/0!</v>
      </c>
      <c r="H39" s="26">
        <f t="shared" si="16"/>
        <v>0</v>
      </c>
      <c r="I39" s="26" t="e">
        <f t="shared" si="17"/>
        <v>#DIV/0!</v>
      </c>
    </row>
    <row r="40" spans="1:9" s="17" customFormat="1" ht="13.5" thickBot="1" x14ac:dyDescent="0.3">
      <c r="A40" s="24" t="s">
        <v>34</v>
      </c>
      <c r="B40" s="23"/>
      <c r="C40" s="20" t="e">
        <f>H40/D40</f>
        <v>#DIV/0!</v>
      </c>
      <c r="D40" s="22">
        <f>SUM(D34:D39)</f>
        <v>0</v>
      </c>
      <c r="E40" s="21" t="e">
        <f t="shared" si="13"/>
        <v>#DIV/0!</v>
      </c>
      <c r="F40" s="20" t="e">
        <f>I40/D40</f>
        <v>#DIV/0!</v>
      </c>
      <c r="G40" s="19" t="e">
        <f>F40/C40-1</f>
        <v>#DIV/0!</v>
      </c>
      <c r="H40" s="18">
        <f>SUM(H34:H39)</f>
        <v>0</v>
      </c>
      <c r="I40" s="18" t="e">
        <f>SUM(I34:I39)</f>
        <v>#DIV/0!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1.856E-2</v>
      </c>
      <c r="C42" s="31">
        <f>ROUND($G$3*B42,1)</f>
        <v>0</v>
      </c>
      <c r="D42" s="30"/>
      <c r="E42" s="29" t="e">
        <f>D42/$D$48</f>
        <v>#DIV/0!</v>
      </c>
      <c r="F42" s="28" t="e">
        <f>C42-(C42*$E$6)</f>
        <v>#DIV/0!</v>
      </c>
      <c r="G42" s="27" t="e">
        <f>IF(C42&gt;=F42,"-","+")</f>
        <v>#DIV/0!</v>
      </c>
      <c r="H42" s="26">
        <f>C42*D42</f>
        <v>0</v>
      </c>
      <c r="I42" s="26" t="e">
        <f>F42*D42</f>
        <v>#DIV/0!</v>
      </c>
    </row>
    <row r="43" spans="1:9" s="25" customFormat="1" ht="15" x14ac:dyDescent="0.25">
      <c r="A43" s="25" t="s">
        <v>55</v>
      </c>
      <c r="B43" s="32">
        <v>1.856E-2</v>
      </c>
      <c r="C43" s="31">
        <f>ROUND($G$3*B43,1)</f>
        <v>0</v>
      </c>
      <c r="D43" s="30"/>
      <c r="E43" s="29" t="e">
        <f>D43/$D$48</f>
        <v>#DIV/0!</v>
      </c>
      <c r="F43" s="28" t="e">
        <f>C43-(C43*$E$6)</f>
        <v>#DIV/0!</v>
      </c>
      <c r="G43" s="27" t="e">
        <f>IF(C43&gt;=F43,"-","+")</f>
        <v>#DIV/0!</v>
      </c>
      <c r="H43" s="26">
        <f>C43*D43</f>
        <v>0</v>
      </c>
      <c r="I43" s="26" t="e">
        <f>F43*D43</f>
        <v>#DIV/0!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29" t="e">
        <f>D44/$D$48</f>
        <v>#DIV/0!</v>
      </c>
      <c r="F44" s="28" t="e">
        <f>C44-(C44*$E$6)</f>
        <v>#DIV/0!</v>
      </c>
      <c r="G44" s="27" t="e">
        <f>IF(C44&gt;=F44,"-","+")</f>
        <v>#DIV/0!</v>
      </c>
      <c r="H44" s="26">
        <f>C44*D44</f>
        <v>0</v>
      </c>
      <c r="I44" s="26" t="e">
        <f>F44*D44</f>
        <v>#DIV/0!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f>(0.5*G2)/100</f>
        <v>0</v>
      </c>
      <c r="E45" s="29" t="e">
        <f>D45/$D$48</f>
        <v>#DIV/0!</v>
      </c>
      <c r="F45" s="28" t="e">
        <f>C45-(C45*$E$6)</f>
        <v>#DIV/0!</v>
      </c>
      <c r="G45" s="27" t="e">
        <f>IF(C45&gt;=F45,"-","+")</f>
        <v>#DIV/0!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 t="e">
        <f>H46/D46</f>
        <v>#DIV/0!</v>
      </c>
      <c r="D46" s="22">
        <f>SUM(D41:D45)</f>
        <v>0</v>
      </c>
      <c r="E46" s="21" t="e">
        <f>D46/$D$48</f>
        <v>#DIV/0!</v>
      </c>
      <c r="F46" s="20" t="e">
        <f>I46/D46</f>
        <v>#DIV/0!</v>
      </c>
      <c r="G46" s="19" t="e">
        <f>F46/C46-1</f>
        <v>#DIV/0!</v>
      </c>
      <c r="H46" s="18">
        <f>SUM(H41:H44)</f>
        <v>0</v>
      </c>
      <c r="I46" s="18" t="e">
        <f>SUM(I41:I44)</f>
        <v>#DIV/0!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 t="e">
        <f>C24+C32+C40+C46</f>
        <v>#DIV/0!</v>
      </c>
      <c r="D48" s="13">
        <f>D24+D32+D40+D46+D19</f>
        <v>0</v>
      </c>
      <c r="E48" s="12" t="e">
        <f>SUM(E20:E46)/2</f>
        <v>#DIV/0!</v>
      </c>
      <c r="F48" s="11" t="e">
        <f>I48/D48</f>
        <v>#DIV/0!</v>
      </c>
      <c r="G48" s="10"/>
      <c r="H48" s="9">
        <f>SUM(H20:H46)/2</f>
        <v>0</v>
      </c>
      <c r="I48" s="9" t="e">
        <f>SUM(I20:I46)/2</f>
        <v>#DIV/0!</v>
      </c>
    </row>
    <row r="49" spans="1:9" ht="12.75" thickBot="1" x14ac:dyDescent="0.25">
      <c r="E49" s="16"/>
    </row>
    <row r="50" spans="1:9" s="8" customFormat="1" ht="15.75" thickBot="1" x14ac:dyDescent="0.3">
      <c r="A50" s="10" t="s">
        <v>59</v>
      </c>
      <c r="B50" s="15"/>
      <c r="C50" s="14"/>
      <c r="D50" s="13">
        <f>SUM(D10:D47)/2</f>
        <v>0</v>
      </c>
      <c r="E50" s="12" t="e">
        <f>D50/G2</f>
        <v>#DIV/0!</v>
      </c>
      <c r="F50" s="11" t="e">
        <f>I50/D50</f>
        <v>#DIV/0!</v>
      </c>
      <c r="G50" s="10"/>
      <c r="H50" s="9">
        <f>H48+H19</f>
        <v>0</v>
      </c>
      <c r="I50" s="9" t="e">
        <f>I48+I19</f>
        <v>#DIV/0!</v>
      </c>
    </row>
    <row r="51" spans="1:9" ht="23.25" x14ac:dyDescent="0.35">
      <c r="A51" s="168"/>
      <c r="B51" s="169"/>
      <c r="C51" s="170"/>
      <c r="G51" s="7"/>
      <c r="H51" s="6"/>
    </row>
    <row r="52" spans="1:9" ht="18.75" x14ac:dyDescent="0.3">
      <c r="A52" s="171" t="e">
        <f>IF(E46&lt;23%,"KEMİK ORANI İYİ","KEMİK YÜKSEK")</f>
        <v>#DIV/0!</v>
      </c>
      <c r="B52" s="171"/>
      <c r="C52" s="171"/>
      <c r="D52" s="171"/>
      <c r="E52" s="171"/>
      <c r="F52" s="171"/>
      <c r="G52" s="171"/>
      <c r="H52" s="171"/>
      <c r="I52" s="171"/>
    </row>
    <row r="53" spans="1:9" ht="23.25" x14ac:dyDescent="0.35">
      <c r="G53" s="5"/>
    </row>
    <row r="54" spans="1:9" ht="18.75" x14ac:dyDescent="0.3">
      <c r="A54" s="171" t="e">
        <f>IF(I50&lt;H50,"MALİYET İYİ","MALİYET YÜKSEK")</f>
        <v>#DIV/0!</v>
      </c>
      <c r="B54" s="171"/>
      <c r="C54" s="171"/>
      <c r="D54" s="171"/>
      <c r="E54" s="171"/>
      <c r="F54" s="171"/>
      <c r="G54" s="171"/>
      <c r="H54" s="171"/>
      <c r="I54" s="171"/>
    </row>
    <row r="55" spans="1:9" x14ac:dyDescent="0.2">
      <c r="G55" s="172" t="s">
        <v>65</v>
      </c>
    </row>
    <row r="56" spans="1:9" x14ac:dyDescent="0.2">
      <c r="A56" s="104"/>
      <c r="B56" s="104"/>
      <c r="C56" s="104"/>
      <c r="D56" s="104"/>
      <c r="E56" s="104"/>
      <c r="F56" s="104"/>
      <c r="G56" s="172"/>
    </row>
  </sheetData>
  <mergeCells count="5">
    <mergeCell ref="E1:G1"/>
    <mergeCell ref="A52:I52"/>
    <mergeCell ref="A54:I54"/>
    <mergeCell ref="G55:G56"/>
    <mergeCell ref="A51:C51"/>
  </mergeCells>
  <conditionalFormatting sqref="G6">
    <cfRule type="iconSet" priority="1">
      <iconSet iconSet="3ArrowsGray">
        <cfvo type="percent" val="0"/>
        <cfvo type="num" val="30.61"/>
        <cfvo type="num" val="30.62"/>
      </iconSet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J56"/>
  <sheetViews>
    <sheetView workbookViewId="0">
      <selection activeCell="U25" sqref="U25"/>
    </sheetView>
  </sheetViews>
  <sheetFormatPr defaultColWidth="8.85546875" defaultRowHeight="12" x14ac:dyDescent="0.2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thickBot="1" x14ac:dyDescent="0.3">
      <c r="A1" s="103" t="s">
        <v>0</v>
      </c>
      <c r="B1" s="102"/>
      <c r="C1" s="101" t="s">
        <v>68</v>
      </c>
      <c r="D1" s="100" t="s">
        <v>1</v>
      </c>
      <c r="E1" s="168" t="s">
        <v>69</v>
      </c>
      <c r="F1" s="169"/>
      <c r="G1" s="170"/>
      <c r="H1" s="62"/>
      <c r="I1" s="62"/>
    </row>
    <row r="2" spans="1:9" s="61" customFormat="1" ht="20.100000000000001" customHeight="1" x14ac:dyDescent="0.25">
      <c r="A2" s="99" t="s">
        <v>2</v>
      </c>
      <c r="B2" s="98"/>
      <c r="C2" s="101" t="s">
        <v>70</v>
      </c>
      <c r="D2" s="96" t="s">
        <v>3</v>
      </c>
      <c r="E2" s="95" t="s">
        <v>71</v>
      </c>
      <c r="F2" s="94" t="s">
        <v>5</v>
      </c>
      <c r="G2" s="93">
        <v>12986.3</v>
      </c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 t="s">
        <v>72</v>
      </c>
      <c r="D3" s="90" t="s">
        <v>7</v>
      </c>
      <c r="E3" s="89">
        <v>208</v>
      </c>
      <c r="F3" s="88" t="s">
        <v>8</v>
      </c>
      <c r="G3" s="87">
        <v>26.25</v>
      </c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84">
        <v>12</v>
      </c>
      <c r="D4" s="83" t="s">
        <v>11</v>
      </c>
      <c r="E4" s="82">
        <f>G2/E3</f>
        <v>62.434134615384615</v>
      </c>
      <c r="F4" s="81" t="s">
        <v>12</v>
      </c>
      <c r="G4" s="80">
        <f>G2*G3</f>
        <v>340890.375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str">
        <f>IF(G4=I50,"DOĞRU","HATA VAR")</f>
        <v>DOĞRU</v>
      </c>
      <c r="H5" s="76"/>
      <c r="I5" s="76"/>
    </row>
    <row r="6" spans="1:9" ht="23.25" x14ac:dyDescent="0.35">
      <c r="A6" s="74" t="s">
        <v>14</v>
      </c>
      <c r="B6" s="73"/>
      <c r="C6" s="72">
        <v>27</v>
      </c>
      <c r="D6" s="71" t="s">
        <v>15</v>
      </c>
      <c r="E6" s="70">
        <f>1-G4/H50</f>
        <v>-1.2849844173004721E-2</v>
      </c>
      <c r="F6" s="69" t="s">
        <v>16</v>
      </c>
      <c r="G6" s="68">
        <f>(I50-I19)/(D50-(SUM(D42:D44)+D19))</f>
        <v>31.229754357299345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27.7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>
        <f t="shared" ref="E10:E19" si="1">D10/$D$19</f>
        <v>0</v>
      </c>
      <c r="F10" s="28">
        <f t="shared" ref="F10:F18" si="2">C10-(C10*$E$6)</f>
        <v>26.637950901750024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</row>
    <row r="11" spans="1:9" s="52" customFormat="1" ht="15" customHeight="1" x14ac:dyDescent="0.25">
      <c r="A11" s="25" t="s">
        <v>26</v>
      </c>
      <c r="B11" s="32">
        <v>1.041382</v>
      </c>
      <c r="C11" s="31">
        <f t="shared" si="0"/>
        <v>27.3</v>
      </c>
      <c r="D11" s="30">
        <v>339.9</v>
      </c>
      <c r="E11" s="29">
        <f t="shared" si="1"/>
        <v>0.5308449164454162</v>
      </c>
      <c r="F11" s="28">
        <f t="shared" si="2"/>
        <v>27.650800745923029</v>
      </c>
      <c r="G11" s="27" t="str">
        <f t="shared" si="3"/>
        <v>+</v>
      </c>
      <c r="H11" s="34">
        <f t="shared" si="4"/>
        <v>9279.27</v>
      </c>
      <c r="I11" s="34">
        <f t="shared" si="5"/>
        <v>9398.5071735392376</v>
      </c>
    </row>
    <row r="12" spans="1:9" s="52" customFormat="1" ht="15" customHeight="1" x14ac:dyDescent="0.25">
      <c r="A12" s="25" t="s">
        <v>27</v>
      </c>
      <c r="B12" s="32">
        <v>0.95138199999999995</v>
      </c>
      <c r="C12" s="31">
        <f t="shared" si="0"/>
        <v>25</v>
      </c>
      <c r="D12" s="30">
        <v>198.4</v>
      </c>
      <c r="E12" s="29">
        <f t="shared" si="1"/>
        <v>0.30985475558332037</v>
      </c>
      <c r="F12" s="28">
        <f t="shared" si="2"/>
        <v>25.32124610432512</v>
      </c>
      <c r="G12" s="27" t="str">
        <f t="shared" si="3"/>
        <v>+</v>
      </c>
      <c r="H12" s="34">
        <f t="shared" si="4"/>
        <v>4960</v>
      </c>
      <c r="I12" s="34">
        <f t="shared" si="5"/>
        <v>5023.7352270981037</v>
      </c>
    </row>
    <row r="13" spans="1:9" s="52" customFormat="1" ht="15" customHeight="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>
        <f t="shared" si="1"/>
        <v>0</v>
      </c>
      <c r="F13" s="28">
        <f t="shared" si="2"/>
        <v>27.650800745923029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</row>
    <row r="14" spans="1:9" s="52" customFormat="1" ht="15" customHeight="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>
        <f t="shared" si="1"/>
        <v>0</v>
      </c>
      <c r="F14" s="28">
        <f t="shared" si="2"/>
        <v>30.993205231693945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</row>
    <row r="15" spans="1:9" s="52" customFormat="1" ht="15" customHeight="1" x14ac:dyDescent="0.25">
      <c r="A15" s="25" t="s">
        <v>30</v>
      </c>
      <c r="B15" s="32">
        <v>0.96</v>
      </c>
      <c r="C15" s="31">
        <f t="shared" si="0"/>
        <v>25.2</v>
      </c>
      <c r="D15" s="30">
        <v>47</v>
      </c>
      <c r="E15" s="29">
        <f t="shared" si="1"/>
        <v>7.3403092300484155E-2</v>
      </c>
      <c r="F15" s="28">
        <f t="shared" si="2"/>
        <v>25.523816073159718</v>
      </c>
      <c r="G15" s="27" t="str">
        <f t="shared" si="3"/>
        <v>+</v>
      </c>
      <c r="H15" s="34">
        <f t="shared" si="4"/>
        <v>1184.3999999999999</v>
      </c>
      <c r="I15" s="34">
        <f t="shared" si="5"/>
        <v>1199.6193554385068</v>
      </c>
    </row>
    <row r="16" spans="1:9" s="52" customFormat="1" ht="15" customHeight="1" x14ac:dyDescent="0.25">
      <c r="A16" s="25" t="s">
        <v>31</v>
      </c>
      <c r="B16" s="32">
        <v>1.3142144</v>
      </c>
      <c r="C16" s="31">
        <f t="shared" si="0"/>
        <v>34.5</v>
      </c>
      <c r="D16" s="30">
        <v>55</v>
      </c>
      <c r="E16" s="29">
        <f t="shared" si="1"/>
        <v>8.5897235670779323E-2</v>
      </c>
      <c r="F16" s="28">
        <f t="shared" si="2"/>
        <v>34.943319623968662</v>
      </c>
      <c r="G16" s="27" t="str">
        <f t="shared" si="3"/>
        <v>+</v>
      </c>
      <c r="H16" s="34">
        <f t="shared" si="4"/>
        <v>1897.5</v>
      </c>
      <c r="I16" s="34">
        <f t="shared" si="5"/>
        <v>1921.8825793182764</v>
      </c>
    </row>
    <row r="17" spans="1:9" s="52" customFormat="1" ht="15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>
        <f t="shared" si="1"/>
        <v>0</v>
      </c>
      <c r="F17" s="28">
        <f t="shared" si="2"/>
        <v>51.452772083988634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</row>
    <row r="18" spans="1:9" s="52" customFormat="1" ht="15.75" thickBot="1" x14ac:dyDescent="0.3">
      <c r="A18" s="25" t="s">
        <v>33</v>
      </c>
      <c r="B18" s="32">
        <v>1.6942143999999999</v>
      </c>
      <c r="C18" s="31">
        <f t="shared" si="0"/>
        <v>44.5</v>
      </c>
      <c r="D18" s="30"/>
      <c r="E18" s="29">
        <f t="shared" si="1"/>
        <v>0</v>
      </c>
      <c r="F18" s="28">
        <f t="shared" si="2"/>
        <v>45.071818065698707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</row>
    <row r="19" spans="1:9" s="8" customFormat="1" ht="16.5" thickTop="1" thickBot="1" x14ac:dyDescent="0.3">
      <c r="A19" s="51" t="s">
        <v>34</v>
      </c>
      <c r="B19" s="50"/>
      <c r="C19" s="47">
        <f>H19/D19</f>
        <v>27.051647665156956</v>
      </c>
      <c r="D19" s="49">
        <f>SUM(D10:D18)</f>
        <v>640.29999999999995</v>
      </c>
      <c r="E19" s="48">
        <f t="shared" si="1"/>
        <v>1</v>
      </c>
      <c r="F19" s="47">
        <f>I19/D19</f>
        <v>27.399257122277252</v>
      </c>
      <c r="G19" s="46">
        <f>F19/C19-1</f>
        <v>1.2849844173004721E-2</v>
      </c>
      <c r="H19" s="9">
        <f>SUM(H10:H18)</f>
        <v>17321.169999999998</v>
      </c>
      <c r="I19" s="9">
        <f>SUM(I10:I18)</f>
        <v>17543.744335394123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2.5150000000000001</v>
      </c>
      <c r="C21" s="31">
        <f>ROUND($G$3*B21,1)</f>
        <v>66</v>
      </c>
      <c r="D21" s="30">
        <f>10.2+14.6+10.4+16+30.8+6.8+8.2+8.2+45</f>
        <v>150.19999999999999</v>
      </c>
      <c r="E21" s="29">
        <f>D21/$D$48</f>
        <v>1.216617931749516E-2</v>
      </c>
      <c r="F21" s="28">
        <f>C21-(C21*$E$6)</f>
        <v>66.848089715418311</v>
      </c>
      <c r="G21" s="27" t="str">
        <f>IF(C21&gt;=F21,"-","+")</f>
        <v>+</v>
      </c>
      <c r="H21" s="26">
        <f>C21*D21</f>
        <v>9913.1999999999989</v>
      </c>
      <c r="I21" s="26">
        <f>F21*D21</f>
        <v>10040.58307525583</v>
      </c>
    </row>
    <row r="22" spans="1:9" s="25" customFormat="1" ht="15" x14ac:dyDescent="0.25">
      <c r="A22" s="25" t="s">
        <v>37</v>
      </c>
      <c r="B22" s="32">
        <v>1.6890000000000001</v>
      </c>
      <c r="C22" s="31">
        <f>ROUND($G$3*B22,1)</f>
        <v>44.3</v>
      </c>
      <c r="D22" s="30">
        <f>30.2+23.4+25.8+42+81+145.6</f>
        <v>348</v>
      </c>
      <c r="E22" s="29">
        <f>D22/$D$48</f>
        <v>2.8187952080481464E-2</v>
      </c>
      <c r="F22" s="28">
        <f>C22-(C22*$E$6)</f>
        <v>44.869248096864105</v>
      </c>
      <c r="G22" s="27" t="str">
        <f>IF(C22&gt;=F22,"-","+")</f>
        <v>+</v>
      </c>
      <c r="H22" s="26">
        <f>C22*D22</f>
        <v>15416.4</v>
      </c>
      <c r="I22" s="26">
        <f>F22*D22</f>
        <v>15614.498337708708</v>
      </c>
    </row>
    <row r="23" spans="1:9" s="25" customFormat="1" ht="15.75" thickBot="1" x14ac:dyDescent="0.3">
      <c r="A23" s="25" t="s">
        <v>38</v>
      </c>
      <c r="B23" s="32">
        <v>1.54</v>
      </c>
      <c r="C23" s="31">
        <f>ROUND($G$3*B23,1)</f>
        <v>40.4</v>
      </c>
      <c r="D23" s="30">
        <f>34.2+26.2+18.2+23.6+63.4+14.6+17.6+16.4+56.6+46</f>
        <v>316.8</v>
      </c>
      <c r="E23" s="29">
        <f>D23/$D$48</f>
        <v>2.5660756376714163E-2</v>
      </c>
      <c r="F23" s="28">
        <f>C23-(C23*$E$6)</f>
        <v>40.919133704589392</v>
      </c>
      <c r="G23" s="27" t="str">
        <f>IF(C23&gt;=F23,"-","+")</f>
        <v>+</v>
      </c>
      <c r="H23" s="26">
        <f>C23*D23</f>
        <v>12798.72</v>
      </c>
      <c r="I23" s="26">
        <f>F23*D23</f>
        <v>12963.18155761392</v>
      </c>
    </row>
    <row r="24" spans="1:9" s="17" customFormat="1" ht="13.5" thickBot="1" x14ac:dyDescent="0.3">
      <c r="A24" s="24" t="s">
        <v>34</v>
      </c>
      <c r="B24" s="23"/>
      <c r="C24" s="20">
        <f>H24/D24</f>
        <v>46.783214723926378</v>
      </c>
      <c r="D24" s="22">
        <f>SUM(D21:D23)</f>
        <v>815</v>
      </c>
      <c r="E24" s="21">
        <f>D24/$D$48</f>
        <v>6.6014887774690792E-2</v>
      </c>
      <c r="F24" s="20">
        <f>I24/D24</f>
        <v>47.384371743041051</v>
      </c>
      <c r="G24" s="19">
        <f>F24/C24-1</f>
        <v>1.2849844173004721E-2</v>
      </c>
      <c r="H24" s="18">
        <f>SUM(H21:H23)</f>
        <v>38128.32</v>
      </c>
      <c r="I24" s="18">
        <f>SUM(I21:I23)</f>
        <v>38618.262970578457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f>352.8+279.7+363.6+44+124.4+154.2+174+224.6+458.4+117.2+96.2+121.4</f>
        <v>2510.4999999999995</v>
      </c>
      <c r="E26" s="29">
        <f t="shared" ref="E26:E32" si="7">D26/$D$48</f>
        <v>0.20335015430473766</v>
      </c>
      <c r="F26" s="28">
        <f t="shared" ref="F26:F31" si="8">C26-(C26*$E$6)</f>
        <v>35.652314514889767</v>
      </c>
      <c r="G26" s="27" t="str">
        <f t="shared" ref="G26:G31" si="9">IF(C26&gt;=F26,"-","+")</f>
        <v>+</v>
      </c>
      <c r="H26" s="26">
        <f t="shared" ref="H26:H31" si="10">C26*D26</f>
        <v>88369.599999999991</v>
      </c>
      <c r="I26" s="26">
        <f t="shared" ref="I26:I31" si="11">F26*D26</f>
        <v>89505.13558963075</v>
      </c>
    </row>
    <row r="27" spans="1:9" s="25" customFormat="1" ht="15" x14ac:dyDescent="0.25">
      <c r="A27" s="25" t="s">
        <v>41</v>
      </c>
      <c r="B27" s="32">
        <v>1.1950000000000001</v>
      </c>
      <c r="C27" s="31">
        <f t="shared" si="6"/>
        <v>31.4</v>
      </c>
      <c r="D27" s="30">
        <f>123+125.6+161+194.2+394.2+252.8+428.8</f>
        <v>1679.6</v>
      </c>
      <c r="E27" s="29">
        <f t="shared" si="7"/>
        <v>0.13604736871947318</v>
      </c>
      <c r="F27" s="28">
        <f t="shared" si="8"/>
        <v>31.803485107032348</v>
      </c>
      <c r="G27" s="27" t="str">
        <f t="shared" si="9"/>
        <v>+</v>
      </c>
      <c r="H27" s="26">
        <f t="shared" si="10"/>
        <v>52739.439999999995</v>
      </c>
      <c r="I27" s="26">
        <f t="shared" si="11"/>
        <v>53417.133585771531</v>
      </c>
    </row>
    <row r="28" spans="1:9" s="25" customFormat="1" ht="15" x14ac:dyDescent="0.25">
      <c r="A28" s="25" t="s">
        <v>42</v>
      </c>
      <c r="B28" s="32">
        <v>1.1950000000000001</v>
      </c>
      <c r="C28" s="31">
        <f t="shared" si="6"/>
        <v>31.4</v>
      </c>
      <c r="D28" s="30">
        <f>70.8+69.8+135.2+144+227+250.4+160.6+241.4</f>
        <v>1299.2</v>
      </c>
      <c r="E28" s="29">
        <f t="shared" si="7"/>
        <v>0.10523502110046415</v>
      </c>
      <c r="F28" s="28">
        <f t="shared" si="8"/>
        <v>31.803485107032348</v>
      </c>
      <c r="G28" s="27" t="str">
        <f t="shared" si="9"/>
        <v>+</v>
      </c>
      <c r="H28" s="26">
        <f t="shared" si="10"/>
        <v>40794.879999999997</v>
      </c>
      <c r="I28" s="26">
        <f t="shared" si="11"/>
        <v>41319.087851056429</v>
      </c>
    </row>
    <row r="29" spans="1:9" s="25" customFormat="1" ht="15" x14ac:dyDescent="0.25">
      <c r="A29" s="25" t="s">
        <v>43</v>
      </c>
      <c r="B29" s="32">
        <v>1.155</v>
      </c>
      <c r="C29" s="31">
        <f t="shared" si="6"/>
        <v>30.3</v>
      </c>
      <c r="D29" s="30">
        <f>69.6+75.6+98.8+142.8+270.6+50+433.4</f>
        <v>1140.8000000000002</v>
      </c>
      <c r="E29" s="29">
        <f t="shared" si="7"/>
        <v>9.2404642912107066E-2</v>
      </c>
      <c r="F29" s="28">
        <f t="shared" si="8"/>
        <v>30.689350278442042</v>
      </c>
      <c r="G29" s="27" t="str">
        <f t="shared" si="9"/>
        <v>+</v>
      </c>
      <c r="H29" s="26">
        <f t="shared" si="10"/>
        <v>34566.240000000005</v>
      </c>
      <c r="I29" s="26">
        <f t="shared" si="11"/>
        <v>35010.410797646684</v>
      </c>
    </row>
    <row r="30" spans="1:9" s="25" customFormat="1" ht="15" x14ac:dyDescent="0.25">
      <c r="A30" s="25" t="s">
        <v>44</v>
      </c>
      <c r="B30" s="32">
        <v>1.155</v>
      </c>
      <c r="C30" s="31">
        <f t="shared" si="6"/>
        <v>30.3</v>
      </c>
      <c r="D30" s="30">
        <f>41+46.2+76.4+53.4+120.8+31.4+39.4+36+72.6+164.8</f>
        <v>682</v>
      </c>
      <c r="E30" s="29">
        <f t="shared" si="7"/>
        <v>5.5241906088759653E-2</v>
      </c>
      <c r="F30" s="28">
        <f t="shared" si="8"/>
        <v>30.689350278442042</v>
      </c>
      <c r="G30" s="27" t="str">
        <f t="shared" si="9"/>
        <v>+</v>
      </c>
      <c r="H30" s="26">
        <f t="shared" si="10"/>
        <v>20664.600000000002</v>
      </c>
      <c r="I30" s="26">
        <f t="shared" si="11"/>
        <v>20930.136889897472</v>
      </c>
    </row>
    <row r="31" spans="1:9" s="25" customFormat="1" ht="15.75" thickBot="1" x14ac:dyDescent="0.3">
      <c r="A31" s="25" t="s">
        <v>45</v>
      </c>
      <c r="B31" s="32">
        <v>1.175</v>
      </c>
      <c r="C31" s="31">
        <f t="shared" si="6"/>
        <v>30.8</v>
      </c>
      <c r="D31" s="30">
        <f>174.4+45.6+55.4</f>
        <v>275.39999999999998</v>
      </c>
      <c r="E31" s="29">
        <f t="shared" si="7"/>
        <v>2.2307362077484467E-2</v>
      </c>
      <c r="F31" s="28">
        <f t="shared" si="8"/>
        <v>31.195775200528548</v>
      </c>
      <c r="G31" s="27" t="str">
        <f t="shared" si="9"/>
        <v>+</v>
      </c>
      <c r="H31" s="26">
        <f t="shared" si="10"/>
        <v>8482.32</v>
      </c>
      <c r="I31" s="26">
        <f t="shared" si="11"/>
        <v>8591.3164902255612</v>
      </c>
    </row>
    <row r="32" spans="1:9" s="17" customFormat="1" ht="13.5" thickBot="1" x14ac:dyDescent="0.3">
      <c r="A32" s="24" t="s">
        <v>34</v>
      </c>
      <c r="B32" s="23"/>
      <c r="C32" s="20">
        <f>H32/D32</f>
        <v>32.371279077429989</v>
      </c>
      <c r="D32" s="22">
        <f>SUM(D26:D31)</f>
        <v>7587.4999999999991</v>
      </c>
      <c r="E32" s="21">
        <f t="shared" si="7"/>
        <v>0.61458645520302613</v>
      </c>
      <c r="F32" s="20">
        <f>I32/D32</f>
        <v>32.787244969255809</v>
      </c>
      <c r="G32" s="19">
        <f>F32/C32-1</f>
        <v>1.2849844173004721E-2</v>
      </c>
      <c r="H32" s="18">
        <f>SUM(H26:H31)</f>
        <v>245617.08</v>
      </c>
      <c r="I32" s="18">
        <f>SUM(I26:I31)</f>
        <v>248773.22120422841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f>735+634.3+452.6</f>
        <v>1821.9</v>
      </c>
      <c r="E34" s="29">
        <f t="shared" ref="E34:E40" si="13">D34/$D$48</f>
        <v>0.14757364912479651</v>
      </c>
      <c r="F34" s="28">
        <f t="shared" ref="F34:F39" si="14">C34-(C34*$E$6)</f>
        <v>18.737722117200587</v>
      </c>
      <c r="G34" s="27" t="str">
        <f t="shared" ref="G34:G39" si="15">IF(C34&gt;=F34,"-","+")</f>
        <v>+</v>
      </c>
      <c r="H34" s="26">
        <f t="shared" ref="H34:H39" si="16">C34*D34</f>
        <v>33705.15</v>
      </c>
      <c r="I34" s="26">
        <f t="shared" ref="I34:I39" si="17">F34*D34</f>
        <v>34138.25592532775</v>
      </c>
    </row>
    <row r="35" spans="1:9" s="25" customFormat="1" ht="15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70.400000000000006</v>
      </c>
      <c r="E35" s="29">
        <f t="shared" si="13"/>
        <v>5.7023903059364809E-3</v>
      </c>
      <c r="F35" s="28">
        <f t="shared" si="14"/>
        <v>14.483752771673968</v>
      </c>
      <c r="G35" s="27" t="str">
        <f t="shared" si="15"/>
        <v>+</v>
      </c>
      <c r="H35" s="26">
        <f t="shared" si="16"/>
        <v>1006.7200000000001</v>
      </c>
      <c r="I35" s="26">
        <f t="shared" si="17"/>
        <v>1019.6561951258475</v>
      </c>
    </row>
    <row r="36" spans="1:9" s="25" customFormat="1" ht="15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11.647773207989554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</row>
    <row r="37" spans="1:9" s="25" customFormat="1" ht="15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30.689350278442042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</row>
    <row r="38" spans="1:9" s="25" customFormat="1" ht="15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30.689350278442042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</row>
    <row r="39" spans="1:9" s="25" customFormat="1" ht="15.75" thickBot="1" x14ac:dyDescent="0.3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31.803485107032348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</row>
    <row r="40" spans="1:9" s="17" customFormat="1" ht="13.5" thickBot="1" x14ac:dyDescent="0.3">
      <c r="A40" s="24" t="s">
        <v>34</v>
      </c>
      <c r="B40" s="23"/>
      <c r="C40" s="20">
        <f>H40/D40</f>
        <v>18.343745706283357</v>
      </c>
      <c r="D40" s="22">
        <f>SUM(D34:D39)</f>
        <v>1892.3000000000002</v>
      </c>
      <c r="E40" s="21">
        <f t="shared" si="13"/>
        <v>0.15327603943073301</v>
      </c>
      <c r="F40" s="20">
        <f>I40/D40</f>
        <v>18.579459980158322</v>
      </c>
      <c r="G40" s="19">
        <f>F40/C40-1</f>
        <v>1.2849844173004721E-2</v>
      </c>
      <c r="H40" s="18">
        <f>SUM(H34:H39)</f>
        <v>34711.870000000003</v>
      </c>
      <c r="I40" s="18">
        <f>SUM(I34:I39)</f>
        <v>35157.912120453599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1841.5</v>
      </c>
      <c r="E42" s="29">
        <f>D42/$D$48</f>
        <v>0.14916124642588108</v>
      </c>
      <c r="F42" s="28">
        <f>C42-(C42*$E$6)</f>
        <v>0.40513993766920192</v>
      </c>
      <c r="G42" s="27" t="str">
        <f>IF(C42&gt;=F42,"-","+")</f>
        <v>+</v>
      </c>
      <c r="H42" s="26">
        <f>C42*D42</f>
        <v>736.6</v>
      </c>
      <c r="I42" s="26">
        <f>F42*D42</f>
        <v>746.06519521783537</v>
      </c>
    </row>
    <row r="43" spans="1:9" s="25" customFormat="1" ht="15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f>43.2+83.1</f>
        <v>126.3</v>
      </c>
      <c r="E43" s="29">
        <f>D43/$D$48</f>
        <v>1.0230282608519567E-2</v>
      </c>
      <c r="F43" s="28">
        <f>C43-(C43*$E$6)</f>
        <v>0.40513993766920192</v>
      </c>
      <c r="G43" s="27" t="str">
        <f>IF(C43&gt;=F43,"-","+")</f>
        <v>+</v>
      </c>
      <c r="H43" s="26">
        <f>C43*D43</f>
        <v>50.52</v>
      </c>
      <c r="I43" s="26">
        <f>F43*D43</f>
        <v>51.169174127620202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24.1</v>
      </c>
      <c r="E44" s="29">
        <f>D44/$D$48</f>
        <v>1.9520966814356418E-3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59</v>
      </c>
      <c r="E45" s="29">
        <f>D45/$D$48</f>
        <v>4.778991875713812E-3</v>
      </c>
      <c r="F45" s="28">
        <f>C45-(C45*$E$6)</f>
        <v>0</v>
      </c>
      <c r="G45" s="27" t="str">
        <f>IF(C45&gt;=F45,"-","+")</f>
        <v>-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>
        <f>H46/D46</f>
        <v>0.38379248134965144</v>
      </c>
      <c r="D46" s="22">
        <f>SUM(D41:D45)</f>
        <v>2050.8999999999996</v>
      </c>
      <c r="E46" s="21">
        <f>D46/$D$48</f>
        <v>0.16612261759155009</v>
      </c>
      <c r="F46" s="20">
        <f>I46/D46</f>
        <v>0.38872415492976531</v>
      </c>
      <c r="G46" s="19">
        <f>F46/C46-1</f>
        <v>1.2849844173004721E-2</v>
      </c>
      <c r="H46" s="18">
        <f>SUM(H41:H44)</f>
        <v>787.12</v>
      </c>
      <c r="I46" s="18">
        <f>SUM(I41:I44)</f>
        <v>797.23436934545555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>
        <f>C24+C32+C40+C46</f>
        <v>97.882031988989382</v>
      </c>
      <c r="D48" s="13">
        <f>D24+D32+D40+D46</f>
        <v>12345.699999999999</v>
      </c>
      <c r="E48" s="12">
        <f>SUM(E20:E46)/2</f>
        <v>1.0000000000000002</v>
      </c>
      <c r="F48" s="11">
        <f>I48/D48</f>
        <v>26.191032559077733</v>
      </c>
      <c r="G48" s="10"/>
      <c r="H48" s="9">
        <f>SUM(H20:H46)/2</f>
        <v>319244.38999999996</v>
      </c>
      <c r="I48" s="9">
        <f>SUM(I20:I46)/2</f>
        <v>323346.63066460594</v>
      </c>
    </row>
    <row r="49" spans="1:10" ht="12.75" thickBot="1" x14ac:dyDescent="0.25">
      <c r="E49" s="16"/>
    </row>
    <row r="50" spans="1:10" s="8" customFormat="1" ht="15.75" thickBot="1" x14ac:dyDescent="0.3">
      <c r="A50" s="10" t="s">
        <v>59</v>
      </c>
      <c r="B50" s="15"/>
      <c r="C50" s="14"/>
      <c r="D50" s="13">
        <f>SUM(D10:D47)/2</f>
        <v>12986</v>
      </c>
      <c r="E50" s="12">
        <f>D50/G2</f>
        <v>0.99997689873174045</v>
      </c>
      <c r="F50" s="11">
        <f>I50/D50</f>
        <v>26.250606422300944</v>
      </c>
      <c r="G50" s="10"/>
      <c r="H50" s="9">
        <f>H48+H19</f>
        <v>336565.55999999994</v>
      </c>
      <c r="I50" s="9">
        <f>I48+I19</f>
        <v>340890.37500000006</v>
      </c>
      <c r="J50" s="106"/>
    </row>
    <row r="51" spans="1:10" ht="23.25" x14ac:dyDescent="0.35">
      <c r="A51" s="168" t="s">
        <v>73</v>
      </c>
      <c r="B51" s="169"/>
      <c r="C51" s="170"/>
      <c r="G51" s="7"/>
      <c r="H51" s="6"/>
      <c r="I51" s="6">
        <f>+I50/D50</f>
        <v>26.250606422300944</v>
      </c>
    </row>
    <row r="52" spans="1:10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0" ht="23.25" x14ac:dyDescent="0.35">
      <c r="G53" s="5"/>
    </row>
    <row r="54" spans="1:10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0" x14ac:dyDescent="0.2">
      <c r="G55" s="172">
        <v>1</v>
      </c>
    </row>
    <row r="56" spans="1:10" x14ac:dyDescent="0.2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  <pageSetUpPr fitToPage="1"/>
  </sheetPr>
  <dimension ref="A1:J56"/>
  <sheetViews>
    <sheetView workbookViewId="0">
      <selection activeCell="C7" sqref="C7"/>
    </sheetView>
  </sheetViews>
  <sheetFormatPr defaultColWidth="8.85546875" defaultRowHeight="12" x14ac:dyDescent="0.2"/>
  <cols>
    <col min="1" max="1" width="26" style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thickBot="1" x14ac:dyDescent="0.3">
      <c r="A1" s="103" t="s">
        <v>0</v>
      </c>
      <c r="B1" s="102"/>
      <c r="C1" s="101" t="s">
        <v>74</v>
      </c>
      <c r="D1" s="100" t="s">
        <v>1</v>
      </c>
      <c r="E1" s="168" t="s">
        <v>75</v>
      </c>
      <c r="F1" s="169"/>
      <c r="G1" s="170"/>
      <c r="H1" s="62"/>
      <c r="I1" s="62"/>
    </row>
    <row r="2" spans="1:9" s="61" customFormat="1" ht="20.100000000000001" customHeight="1" x14ac:dyDescent="0.25">
      <c r="A2" s="99" t="s">
        <v>2</v>
      </c>
      <c r="B2" s="98"/>
      <c r="C2" s="101" t="s">
        <v>76</v>
      </c>
      <c r="D2" s="96" t="s">
        <v>3</v>
      </c>
      <c r="E2" s="95" t="s">
        <v>71</v>
      </c>
      <c r="F2" s="94" t="s">
        <v>5</v>
      </c>
      <c r="G2" s="93">
        <v>11383.1</v>
      </c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 t="s">
        <v>77</v>
      </c>
      <c r="D3" s="90" t="s">
        <v>7</v>
      </c>
      <c r="E3" s="89">
        <v>160</v>
      </c>
      <c r="F3" s="88" t="s">
        <v>8</v>
      </c>
      <c r="G3" s="87">
        <v>26.4</v>
      </c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84">
        <v>10</v>
      </c>
      <c r="D4" s="83" t="s">
        <v>11</v>
      </c>
      <c r="E4" s="82">
        <f>G2/E3</f>
        <v>71.144374999999997</v>
      </c>
      <c r="F4" s="81" t="s">
        <v>12</v>
      </c>
      <c r="G4" s="80">
        <f>G2*G3</f>
        <v>300513.83999999997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str">
        <f>IF(G4=I50,"DOĞRU","HATA VAR")</f>
        <v>DOĞRU</v>
      </c>
      <c r="H5" s="76"/>
      <c r="I5" s="76"/>
    </row>
    <row r="6" spans="1:9" ht="23.25" x14ac:dyDescent="0.35">
      <c r="A6" s="74" t="s">
        <v>14</v>
      </c>
      <c r="B6" s="73"/>
      <c r="C6" s="72">
        <v>27</v>
      </c>
      <c r="D6" s="71" t="s">
        <v>15</v>
      </c>
      <c r="E6" s="70">
        <f>1-G4/H50</f>
        <v>1.3005654478160045E-2</v>
      </c>
      <c r="F6" s="69" t="s">
        <v>16</v>
      </c>
      <c r="G6" s="68">
        <f>(I50-I19)/(D50-(SUM(D42:D44)+D19))</f>
        <v>31.499767943785816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27.7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>
        <v>596.79999999999995</v>
      </c>
      <c r="E10" s="29">
        <f t="shared" ref="E10:E19" si="1">D10/$D$19</f>
        <v>0.77056165267914778</v>
      </c>
      <c r="F10" s="28">
        <f t="shared" ref="F10:F18" si="2">C10-(C10*$E$6)</f>
        <v>26.056650721776574</v>
      </c>
      <c r="G10" s="27" t="str">
        <f t="shared" ref="G10:G18" si="3">IF(C10&gt;=F10,"-","+")</f>
        <v>-</v>
      </c>
      <c r="H10" s="34">
        <f t="shared" ref="H10:H18" si="4">C10*D10</f>
        <v>15755.519999999999</v>
      </c>
      <c r="I10" s="34">
        <f t="shared" ref="I10:I18" si="5">F10*D10</f>
        <v>15550.609150756258</v>
      </c>
    </row>
    <row r="11" spans="1:9" s="52" customFormat="1" ht="15" customHeight="1" x14ac:dyDescent="0.25">
      <c r="A11" s="25" t="s">
        <v>26</v>
      </c>
      <c r="B11" s="32">
        <v>1.041382</v>
      </c>
      <c r="C11" s="31">
        <f t="shared" si="0"/>
        <v>27.5</v>
      </c>
      <c r="D11" s="30">
        <v>177.7</v>
      </c>
      <c r="E11" s="29">
        <f t="shared" si="1"/>
        <v>0.22943834732085214</v>
      </c>
      <c r="F11" s="28">
        <f t="shared" si="2"/>
        <v>27.142344501850598</v>
      </c>
      <c r="G11" s="27" t="str">
        <f t="shared" si="3"/>
        <v>-</v>
      </c>
      <c r="H11" s="34">
        <f t="shared" si="4"/>
        <v>4886.75</v>
      </c>
      <c r="I11" s="34">
        <f t="shared" si="5"/>
        <v>4823.1946179788511</v>
      </c>
    </row>
    <row r="12" spans="1:9" s="52" customFormat="1" ht="15" customHeight="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>
        <f t="shared" si="1"/>
        <v>0</v>
      </c>
      <c r="F12" s="28">
        <f t="shared" si="2"/>
        <v>24.773558072598185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</row>
    <row r="13" spans="1:9" s="52" customFormat="1" ht="15" customHeight="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>
        <f t="shared" si="1"/>
        <v>0</v>
      </c>
      <c r="F13" s="28">
        <f t="shared" si="2"/>
        <v>27.142344501850598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</row>
    <row r="14" spans="1:9" s="52" customFormat="1" ht="15" customHeight="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>
        <f t="shared" si="1"/>
        <v>0</v>
      </c>
      <c r="F14" s="28">
        <f t="shared" si="2"/>
        <v>30.300726407520486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</row>
    <row r="15" spans="1:9" s="52" customFormat="1" ht="15" customHeight="1" x14ac:dyDescent="0.25">
      <c r="A15" s="25" t="s">
        <v>30</v>
      </c>
      <c r="B15" s="32">
        <v>0.96</v>
      </c>
      <c r="C15" s="31">
        <f t="shared" si="0"/>
        <v>25.3</v>
      </c>
      <c r="D15" s="30"/>
      <c r="E15" s="29">
        <f t="shared" si="1"/>
        <v>0</v>
      </c>
      <c r="F15" s="28">
        <f t="shared" si="2"/>
        <v>24.97095694170255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</row>
    <row r="16" spans="1:9" s="52" customFormat="1" ht="15" customHeight="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>
        <f t="shared" si="1"/>
        <v>0</v>
      </c>
      <c r="F16" s="28">
        <f t="shared" si="2"/>
        <v>34.248703789607852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</row>
    <row r="17" spans="1:9" s="52" customFormat="1" ht="15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>
        <f t="shared" si="1"/>
        <v>0</v>
      </c>
      <c r="F17" s="28">
        <f t="shared" si="2"/>
        <v>50.435411056166025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</row>
    <row r="18" spans="1:9" s="52" customFormat="1" ht="15.75" thickBot="1" x14ac:dyDescent="0.3">
      <c r="A18" s="25" t="s">
        <v>33</v>
      </c>
      <c r="B18" s="32">
        <v>1.6942143999999999</v>
      </c>
      <c r="C18" s="31">
        <f t="shared" si="0"/>
        <v>44.7</v>
      </c>
      <c r="D18" s="30"/>
      <c r="E18" s="29">
        <f t="shared" si="1"/>
        <v>0</v>
      </c>
      <c r="F18" s="28">
        <f t="shared" si="2"/>
        <v>44.118647244826249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</row>
    <row r="19" spans="1:9" s="8" customFormat="1" ht="16.5" thickTop="1" thickBot="1" x14ac:dyDescent="0.3">
      <c r="A19" s="51" t="s">
        <v>34</v>
      </c>
      <c r="B19" s="50"/>
      <c r="C19" s="47">
        <f>H19/D19</f>
        <v>26.652382182052932</v>
      </c>
      <c r="D19" s="49">
        <f>SUM(D10:D18)</f>
        <v>774.5</v>
      </c>
      <c r="E19" s="48">
        <f t="shared" si="1"/>
        <v>1</v>
      </c>
      <c r="F19" s="47">
        <f>I19/D19</f>
        <v>26.305750508373286</v>
      </c>
      <c r="G19" s="46">
        <f>F19/C19-1</f>
        <v>-1.3005654478159934E-2</v>
      </c>
      <c r="H19" s="9">
        <f>SUM(H10:H18)</f>
        <v>20642.269999999997</v>
      </c>
      <c r="I19" s="9">
        <f>SUM(I10:I18)</f>
        <v>20373.80376873511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137.19999999999999</v>
      </c>
      <c r="E21" s="29">
        <f>D21/$D$48</f>
        <v>1.2933269232582034E-2</v>
      </c>
      <c r="F21" s="28">
        <f>C21-(C21*$E$6)</f>
        <v>65.536424542650181</v>
      </c>
      <c r="G21" s="27" t="str">
        <f>IF(C21&gt;=F21,"-","+")</f>
        <v>-</v>
      </c>
      <c r="H21" s="26">
        <f>C21*D21</f>
        <v>9110.08</v>
      </c>
      <c r="I21" s="26">
        <f>F21*D21</f>
        <v>8991.5974472516045</v>
      </c>
    </row>
    <row r="22" spans="1:9" s="25" customFormat="1" ht="15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430</v>
      </c>
      <c r="E22" s="29">
        <f>D22/$D$48</f>
        <v>4.0534298615235241E-2</v>
      </c>
      <c r="F22" s="28">
        <f>C22-(C22*$E$6)</f>
        <v>44.019947810274061</v>
      </c>
      <c r="G22" s="27" t="str">
        <f>IF(C22&gt;=F22,"-","+")</f>
        <v>-</v>
      </c>
      <c r="H22" s="26">
        <f>C22*D22</f>
        <v>19178</v>
      </c>
      <c r="I22" s="26">
        <f>F22*D22</f>
        <v>18928.577558417848</v>
      </c>
    </row>
    <row r="23" spans="1:9" s="25" customFormat="1" ht="15.75" thickBot="1" x14ac:dyDescent="0.3">
      <c r="A23" s="25" t="s">
        <v>38</v>
      </c>
      <c r="B23" s="32">
        <v>1.54</v>
      </c>
      <c r="C23" s="31">
        <f>ROUND($G$3*B23,1)</f>
        <v>40.700000000000003</v>
      </c>
      <c r="D23" s="30">
        <v>254.2</v>
      </c>
      <c r="E23" s="29">
        <f>D23/$D$48</f>
        <v>2.3962369088355345E-2</v>
      </c>
      <c r="F23" s="28">
        <f>C23-(C23*$E$6)</f>
        <v>40.17066986273889</v>
      </c>
      <c r="G23" s="27" t="str">
        <f>IF(C23&gt;=F23,"-","+")</f>
        <v>-</v>
      </c>
      <c r="H23" s="26">
        <f>C23*D23</f>
        <v>10345.94</v>
      </c>
      <c r="I23" s="26">
        <f>F23*D23</f>
        <v>10211.384279108226</v>
      </c>
    </row>
    <row r="24" spans="1:9" s="17" customFormat="1" ht="13.5" thickBot="1" x14ac:dyDescent="0.3">
      <c r="A24" s="24" t="s">
        <v>34</v>
      </c>
      <c r="B24" s="23"/>
      <c r="C24" s="20">
        <f>H24/D24</f>
        <v>47.034355977599219</v>
      </c>
      <c r="D24" s="22">
        <f>SUM(D21:D23)</f>
        <v>821.40000000000009</v>
      </c>
      <c r="E24" s="21">
        <f>D24/$D$48</f>
        <v>7.742993693617263E-2</v>
      </c>
      <c r="F24" s="20">
        <f>I24/D24</f>
        <v>46.422643395151781</v>
      </c>
      <c r="G24" s="19">
        <f>F24/C24-1</f>
        <v>-1.3005654478160045E-2</v>
      </c>
      <c r="H24" s="18">
        <f>SUM(H21:H23)</f>
        <v>38634.020000000004</v>
      </c>
      <c r="I24" s="18">
        <f>SUM(I21:I23)</f>
        <v>38131.559284777679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f>1439.3+782.6</f>
        <v>2221.9</v>
      </c>
      <c r="E26" s="29">
        <f t="shared" ref="E26:E32" si="7">D26/$D$48</f>
        <v>0.20944920486788648</v>
      </c>
      <c r="F26" s="28">
        <f t="shared" ref="F26:F31" si="8">C26-(C26*$E$6)</f>
        <v>34.939599831473132</v>
      </c>
      <c r="G26" s="27" t="str">
        <f t="shared" ref="G26:G31" si="9">IF(C26&gt;=F26,"-","+")</f>
        <v>-</v>
      </c>
      <c r="H26" s="26">
        <f t="shared" ref="H26:H31" si="10">C26*D26</f>
        <v>78655.259999999995</v>
      </c>
      <c r="I26" s="26">
        <f t="shared" ref="I26:I31" si="11">F26*D26</f>
        <v>77632.296865550161</v>
      </c>
    </row>
    <row r="27" spans="1:9" s="25" customFormat="1" ht="15" x14ac:dyDescent="0.25">
      <c r="A27" s="25" t="s">
        <v>41</v>
      </c>
      <c r="B27" s="32">
        <v>1.1950000000000001</v>
      </c>
      <c r="C27" s="31">
        <f t="shared" si="6"/>
        <v>31.5</v>
      </c>
      <c r="D27" s="30">
        <v>1507</v>
      </c>
      <c r="E27" s="29">
        <f t="shared" si="7"/>
        <v>0.14205857677478956</v>
      </c>
      <c r="F27" s="28">
        <f t="shared" si="8"/>
        <v>31.090321883937957</v>
      </c>
      <c r="G27" s="27" t="str">
        <f t="shared" si="9"/>
        <v>-</v>
      </c>
      <c r="H27" s="26">
        <f t="shared" si="10"/>
        <v>47470.5</v>
      </c>
      <c r="I27" s="26">
        <f t="shared" si="11"/>
        <v>46853.115079094503</v>
      </c>
    </row>
    <row r="28" spans="1:9" s="25" customFormat="1" ht="15" x14ac:dyDescent="0.25">
      <c r="A28" s="25" t="s">
        <v>42</v>
      </c>
      <c r="B28" s="32">
        <v>1.1950000000000001</v>
      </c>
      <c r="C28" s="31">
        <f t="shared" si="6"/>
        <v>31.5</v>
      </c>
      <c r="D28" s="30">
        <v>1093.7</v>
      </c>
      <c r="E28" s="29">
        <f t="shared" si="7"/>
        <v>0.10309851719879717</v>
      </c>
      <c r="F28" s="28">
        <f t="shared" si="8"/>
        <v>31.090321883937957</v>
      </c>
      <c r="G28" s="27" t="str">
        <f t="shared" si="9"/>
        <v>-</v>
      </c>
      <c r="H28" s="26">
        <f t="shared" si="10"/>
        <v>34451.550000000003</v>
      </c>
      <c r="I28" s="26">
        <f t="shared" si="11"/>
        <v>34003.485044462948</v>
      </c>
    </row>
    <row r="29" spans="1:9" s="25" customFormat="1" ht="15" x14ac:dyDescent="0.25">
      <c r="A29" s="25" t="s">
        <v>43</v>
      </c>
      <c r="B29" s="32">
        <v>1.155</v>
      </c>
      <c r="C29" s="31">
        <f t="shared" si="6"/>
        <v>30.5</v>
      </c>
      <c r="D29" s="30">
        <v>1005.7</v>
      </c>
      <c r="E29" s="29">
        <f t="shared" si="7"/>
        <v>9.4803125854283923E-2</v>
      </c>
      <c r="F29" s="28">
        <f t="shared" si="8"/>
        <v>30.103327538416117</v>
      </c>
      <c r="G29" s="27" t="str">
        <f t="shared" si="9"/>
        <v>-</v>
      </c>
      <c r="H29" s="26">
        <f t="shared" si="10"/>
        <v>30673.850000000002</v>
      </c>
      <c r="I29" s="26">
        <f t="shared" si="11"/>
        <v>30274.916505385092</v>
      </c>
    </row>
    <row r="30" spans="1:9" s="25" customFormat="1" ht="15" x14ac:dyDescent="0.25">
      <c r="A30" s="25" t="s">
        <v>44</v>
      </c>
      <c r="B30" s="32">
        <v>1.155</v>
      </c>
      <c r="C30" s="31">
        <f t="shared" si="6"/>
        <v>30.5</v>
      </c>
      <c r="D30" s="30">
        <v>536.5</v>
      </c>
      <c r="E30" s="29">
        <f t="shared" si="7"/>
        <v>5.0573607458310951E-2</v>
      </c>
      <c r="F30" s="28">
        <f t="shared" si="8"/>
        <v>30.103327538416117</v>
      </c>
      <c r="G30" s="27" t="str">
        <f t="shared" si="9"/>
        <v>-</v>
      </c>
      <c r="H30" s="26">
        <f t="shared" si="10"/>
        <v>16363.25</v>
      </c>
      <c r="I30" s="26">
        <f t="shared" si="11"/>
        <v>16150.435224360246</v>
      </c>
    </row>
    <row r="31" spans="1:9" s="25" customFormat="1" ht="15.75" thickBot="1" x14ac:dyDescent="0.3">
      <c r="A31" s="25" t="s">
        <v>45</v>
      </c>
      <c r="B31" s="32">
        <v>1.175</v>
      </c>
      <c r="C31" s="31">
        <f t="shared" si="6"/>
        <v>31</v>
      </c>
      <c r="D31" s="30">
        <v>462.2</v>
      </c>
      <c r="E31" s="29">
        <f t="shared" si="7"/>
        <v>4.3569657720841232E-2</v>
      </c>
      <c r="F31" s="28">
        <f t="shared" si="8"/>
        <v>30.596824711177039</v>
      </c>
      <c r="G31" s="27" t="str">
        <f t="shared" si="9"/>
        <v>-</v>
      </c>
      <c r="H31" s="26">
        <f t="shared" si="10"/>
        <v>14328.199999999999</v>
      </c>
      <c r="I31" s="26">
        <f t="shared" si="11"/>
        <v>14141.852381506027</v>
      </c>
    </row>
    <row r="32" spans="1:9" s="17" customFormat="1" ht="13.5" thickBot="1" x14ac:dyDescent="0.3">
      <c r="A32" s="24" t="s">
        <v>34</v>
      </c>
      <c r="B32" s="23"/>
      <c r="C32" s="20">
        <f>H32/D32</f>
        <v>32.509537131975982</v>
      </c>
      <c r="D32" s="22">
        <f>SUM(D26:D31)</f>
        <v>6827</v>
      </c>
      <c r="E32" s="21">
        <f t="shared" si="7"/>
        <v>0.64355268987490932</v>
      </c>
      <c r="F32" s="20">
        <f>I32/D32</f>
        <v>32.086729324792586</v>
      </c>
      <c r="G32" s="19">
        <f>F32/C32-1</f>
        <v>-1.3005654478160156E-2</v>
      </c>
      <c r="H32" s="18">
        <f>SUM(H26:H31)</f>
        <v>221942.61000000002</v>
      </c>
      <c r="I32" s="18">
        <f>SUM(I26:I31)</f>
        <v>219056.101100359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1207</v>
      </c>
      <c r="E34" s="29">
        <f t="shared" ref="E34:E40" si="13">D34/$D$48</f>
        <v>0.113778833554858</v>
      </c>
      <c r="F34" s="28">
        <f t="shared" ref="F34:F39" si="14">C34-(C34*$E$6)</f>
        <v>18.456794261258405</v>
      </c>
      <c r="G34" s="27" t="str">
        <f t="shared" ref="G34:G39" si="15">IF(C34&gt;=F34,"-","+")</f>
        <v>-</v>
      </c>
      <c r="H34" s="26">
        <f t="shared" ref="H34:H39" si="16">C34*D34</f>
        <v>22570.899999999998</v>
      </c>
      <c r="I34" s="26">
        <f t="shared" ref="I34:I39" si="17">F34*D34</f>
        <v>22277.350673338897</v>
      </c>
    </row>
    <row r="35" spans="1:9" s="25" customFormat="1" ht="15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14.114019140962313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</row>
    <row r="36" spans="1:9" s="25" customFormat="1" ht="15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11.350434973501159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</row>
    <row r="37" spans="1:9" s="25" customFormat="1" ht="15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30.103327538416117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</row>
    <row r="38" spans="1:9" s="25" customFormat="1" ht="15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30.103327538416117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</row>
    <row r="39" spans="1:9" s="25" customFormat="1" ht="15.75" thickBot="1" x14ac:dyDescent="0.3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31.090321883937957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</row>
    <row r="40" spans="1:9" s="17" customFormat="1" ht="13.5" thickBot="1" x14ac:dyDescent="0.3">
      <c r="A40" s="24" t="s">
        <v>34</v>
      </c>
      <c r="B40" s="23"/>
      <c r="C40" s="20">
        <f>H40/D40</f>
        <v>18.7</v>
      </c>
      <c r="D40" s="22">
        <f>SUM(D34:D39)</f>
        <v>1207</v>
      </c>
      <c r="E40" s="21">
        <f t="shared" si="13"/>
        <v>0.113778833554858</v>
      </c>
      <c r="F40" s="20">
        <f>I40/D40</f>
        <v>18.456794261258405</v>
      </c>
      <c r="G40" s="19">
        <f>F40/C40-1</f>
        <v>-1.3005654478160045E-2</v>
      </c>
      <c r="H40" s="18">
        <f>SUM(H34:H39)</f>
        <v>22570.899999999998</v>
      </c>
      <c r="I40" s="18">
        <f>SUM(I34:I39)</f>
        <v>22277.350673338897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1626.8</v>
      </c>
      <c r="E42" s="29">
        <f>D42/$D$48</f>
        <v>0.15335162090061555</v>
      </c>
      <c r="F42" s="28">
        <f>C42-(C42*$E$6)</f>
        <v>0.39479773820873598</v>
      </c>
      <c r="G42" s="27" t="str">
        <f>IF(C42&gt;=F42,"-","+")</f>
        <v>-</v>
      </c>
      <c r="H42" s="26">
        <f>C42*D42</f>
        <v>650.72</v>
      </c>
      <c r="I42" s="26">
        <f>F42*D42</f>
        <v>642.25696051797172</v>
      </c>
    </row>
    <row r="43" spans="1:9" s="25" customFormat="1" ht="15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83</v>
      </c>
      <c r="E43" s="29">
        <f>D43/$D$48</f>
        <v>7.8240622908477327E-3</v>
      </c>
      <c r="F43" s="28">
        <f>C43-(C43*$E$6)</f>
        <v>0.39479773820873598</v>
      </c>
      <c r="G43" s="27" t="str">
        <f>IF(C43&gt;=F43,"-","+")</f>
        <v>-</v>
      </c>
      <c r="H43" s="26">
        <f>C43*D43</f>
        <v>33.200000000000003</v>
      </c>
      <c r="I43" s="26">
        <f>F43*D43</f>
        <v>32.768212271325083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5.0999999999999996</v>
      </c>
      <c r="E44" s="29">
        <f>D44/$D$48</f>
        <v>4.8075563473883655E-4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38</v>
      </c>
      <c r="E45" s="29">
        <f>D45/$D$48</f>
        <v>3.5821008078579983E-3</v>
      </c>
      <c r="F45" s="28">
        <f>C45-(C45*$E$6)</f>
        <v>0</v>
      </c>
      <c r="G45" s="27" t="str">
        <f>IF(C45&gt;=F45,"-","+")</f>
        <v>-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>
        <f>H46/D46</f>
        <v>0.39016486964458902</v>
      </c>
      <c r="D46" s="22">
        <f>SUM(D41:D45)</f>
        <v>1752.8999999999999</v>
      </c>
      <c r="E46" s="21">
        <f>D46/$D$48</f>
        <v>0.16523853963406013</v>
      </c>
      <c r="F46" s="20">
        <f>I46/D46</f>
        <v>0.38509052016047512</v>
      </c>
      <c r="G46" s="19">
        <f>F46/C46-1</f>
        <v>-1.3005654478160045E-2</v>
      </c>
      <c r="H46" s="18">
        <f>SUM(H41:H44)</f>
        <v>683.92000000000007</v>
      </c>
      <c r="I46" s="18">
        <f>SUM(I41:I44)</f>
        <v>675.02517278929679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>
        <f>C24+C32+C40+C46</f>
        <v>98.634057979219804</v>
      </c>
      <c r="D48" s="13">
        <f>D24+D32+D40+D46</f>
        <v>10608.3</v>
      </c>
      <c r="E48" s="12">
        <f>SUM(E20:E46)/2</f>
        <v>1</v>
      </c>
      <c r="F48" s="11">
        <f>I48/D48</f>
        <v>26.407627634141647</v>
      </c>
      <c r="G48" s="10"/>
      <c r="H48" s="9">
        <f>SUM(H20:H46)/2</f>
        <v>283831.45</v>
      </c>
      <c r="I48" s="9">
        <f>SUM(I20:I46)/2</f>
        <v>280140.03623126482</v>
      </c>
    </row>
    <row r="49" spans="1:10" ht="12.75" thickBot="1" x14ac:dyDescent="0.25">
      <c r="E49" s="16"/>
    </row>
    <row r="50" spans="1:10" s="8" customFormat="1" ht="15.75" thickBot="1" x14ac:dyDescent="0.3">
      <c r="A50" s="10" t="s">
        <v>59</v>
      </c>
      <c r="B50" s="15"/>
      <c r="C50" s="14"/>
      <c r="D50" s="13">
        <f>SUM(D10:D47)/2</f>
        <v>11382.800000000001</v>
      </c>
      <c r="E50" s="12">
        <f>D50/G2</f>
        <v>0.99997364514060327</v>
      </c>
      <c r="F50" s="11">
        <f>I50/D50</f>
        <v>26.400695786625423</v>
      </c>
      <c r="G50" s="10"/>
      <c r="H50" s="9">
        <f>H48+H19</f>
        <v>304473.72000000003</v>
      </c>
      <c r="I50" s="9">
        <f>I48+I19</f>
        <v>300513.83999999991</v>
      </c>
      <c r="J50" s="106"/>
    </row>
    <row r="51" spans="1:10" ht="23.25" x14ac:dyDescent="0.35">
      <c r="A51" s="168" t="s">
        <v>78</v>
      </c>
      <c r="B51" s="169"/>
      <c r="C51" s="170"/>
      <c r="G51" s="7"/>
      <c r="H51" s="6"/>
      <c r="I51" s="6">
        <f>+I50/D50</f>
        <v>26.400695786625423</v>
      </c>
    </row>
    <row r="52" spans="1:10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0" ht="23.25" x14ac:dyDescent="0.35">
      <c r="G53" s="5"/>
    </row>
    <row r="54" spans="1:10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0" x14ac:dyDescent="0.2">
      <c r="G55" s="172">
        <v>4</v>
      </c>
    </row>
    <row r="56" spans="1:10" x14ac:dyDescent="0.2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J56"/>
  <sheetViews>
    <sheetView topLeftCell="A14" workbookViewId="0">
      <selection activeCell="D26" sqref="D26"/>
    </sheetView>
  </sheetViews>
  <sheetFormatPr defaultColWidth="8.85546875" defaultRowHeight="12" x14ac:dyDescent="0.2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thickBot="1" x14ac:dyDescent="0.3">
      <c r="A1" s="103" t="s">
        <v>0</v>
      </c>
      <c r="B1" s="102"/>
      <c r="C1" s="101" t="s">
        <v>79</v>
      </c>
      <c r="D1" s="100" t="s">
        <v>1</v>
      </c>
      <c r="E1" s="168" t="s">
        <v>75</v>
      </c>
      <c r="F1" s="169"/>
      <c r="G1" s="170"/>
      <c r="H1" s="62"/>
      <c r="I1" s="62"/>
    </row>
    <row r="2" spans="1:9" s="61" customFormat="1" ht="20.100000000000001" customHeight="1" x14ac:dyDescent="0.25">
      <c r="A2" s="99" t="s">
        <v>2</v>
      </c>
      <c r="B2" s="98"/>
      <c r="C2" s="101" t="s">
        <v>80</v>
      </c>
      <c r="D2" s="96" t="s">
        <v>3</v>
      </c>
      <c r="E2" s="95" t="s">
        <v>71</v>
      </c>
      <c r="F2" s="94" t="s">
        <v>5</v>
      </c>
      <c r="G2" s="93">
        <v>11711.9</v>
      </c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 t="s">
        <v>77</v>
      </c>
      <c r="D3" s="90" t="s">
        <v>7</v>
      </c>
      <c r="E3" s="89">
        <v>172</v>
      </c>
      <c r="F3" s="88" t="s">
        <v>8</v>
      </c>
      <c r="G3" s="87">
        <v>26.4</v>
      </c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84">
        <v>15</v>
      </c>
      <c r="D4" s="83" t="s">
        <v>11</v>
      </c>
      <c r="E4" s="82">
        <f>G2/E3</f>
        <v>68.092441860465115</v>
      </c>
      <c r="F4" s="81" t="s">
        <v>12</v>
      </c>
      <c r="G4" s="80">
        <f>G2*G3</f>
        <v>309194.15999999997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str">
        <f>IF(G4=I50,"DOĞRU","HATA VAR")</f>
        <v>DOĞRU</v>
      </c>
      <c r="H5" s="76"/>
      <c r="I5" s="76"/>
    </row>
    <row r="6" spans="1:9" ht="23.25" x14ac:dyDescent="0.35">
      <c r="A6" s="74" t="s">
        <v>14</v>
      </c>
      <c r="B6" s="73"/>
      <c r="C6" s="72">
        <v>27</v>
      </c>
      <c r="D6" s="71" t="s">
        <v>15</v>
      </c>
      <c r="E6" s="70">
        <f>1-G4/H50</f>
        <v>-5.5390700866619902E-4</v>
      </c>
      <c r="F6" s="69" t="s">
        <v>16</v>
      </c>
      <c r="G6" s="68">
        <f>(I50-I19)/(D50-(SUM(D42:D44)+D19))</f>
        <v>31.637437425416412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27.7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>
        <f t="shared" ref="E10:E19" si="1">D10/$D$19</f>
        <v>0</v>
      </c>
      <c r="F10" s="28">
        <f t="shared" ref="F10:F18" si="2">C10-(C10*$E$6)</f>
        <v>26.414623145028788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</row>
    <row r="11" spans="1:9" s="52" customFormat="1" ht="15" customHeight="1" x14ac:dyDescent="0.25">
      <c r="A11" s="25" t="s">
        <v>26</v>
      </c>
      <c r="B11" s="32">
        <v>1.041382</v>
      </c>
      <c r="C11" s="31">
        <f t="shared" si="0"/>
        <v>27.5</v>
      </c>
      <c r="D11" s="30">
        <v>364.6</v>
      </c>
      <c r="E11" s="29">
        <f t="shared" si="1"/>
        <v>0.510429791404172</v>
      </c>
      <c r="F11" s="28">
        <f t="shared" si="2"/>
        <v>27.51523244273832</v>
      </c>
      <c r="G11" s="27" t="str">
        <f t="shared" si="3"/>
        <v>+</v>
      </c>
      <c r="H11" s="34">
        <f t="shared" si="4"/>
        <v>10026.5</v>
      </c>
      <c r="I11" s="34">
        <f t="shared" si="5"/>
        <v>10032.053748622393</v>
      </c>
    </row>
    <row r="12" spans="1:9" s="52" customFormat="1" ht="15" customHeight="1" x14ac:dyDescent="0.25">
      <c r="A12" s="25" t="s">
        <v>27</v>
      </c>
      <c r="B12" s="32">
        <v>0.95138199999999995</v>
      </c>
      <c r="C12" s="31">
        <f t="shared" si="0"/>
        <v>25.1</v>
      </c>
      <c r="D12" s="30">
        <v>349.7</v>
      </c>
      <c r="E12" s="29">
        <f t="shared" si="1"/>
        <v>0.48957020859582812</v>
      </c>
      <c r="F12" s="28">
        <f t="shared" si="2"/>
        <v>25.113903065917523</v>
      </c>
      <c r="G12" s="27" t="str">
        <f t="shared" si="3"/>
        <v>+</v>
      </c>
      <c r="H12" s="34">
        <f t="shared" si="4"/>
        <v>8777.4699999999993</v>
      </c>
      <c r="I12" s="34">
        <f t="shared" si="5"/>
        <v>8782.331902151358</v>
      </c>
    </row>
    <row r="13" spans="1:9" s="52" customFormat="1" ht="15" customHeight="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>
        <f t="shared" si="1"/>
        <v>0</v>
      </c>
      <c r="F13" s="28">
        <f t="shared" si="2"/>
        <v>27.51523244273832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</row>
    <row r="14" spans="1:9" s="52" customFormat="1" ht="15" customHeight="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>
        <f t="shared" si="1"/>
        <v>0</v>
      </c>
      <c r="F14" s="28">
        <f t="shared" si="2"/>
        <v>30.717004945166053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</row>
    <row r="15" spans="1:9" s="52" customFormat="1" ht="15" customHeight="1" x14ac:dyDescent="0.25">
      <c r="A15" s="25" t="s">
        <v>30</v>
      </c>
      <c r="B15" s="32">
        <v>0.96</v>
      </c>
      <c r="C15" s="31">
        <f t="shared" si="0"/>
        <v>25.3</v>
      </c>
      <c r="D15" s="30"/>
      <c r="E15" s="29">
        <f t="shared" si="1"/>
        <v>0</v>
      </c>
      <c r="F15" s="28">
        <f t="shared" si="2"/>
        <v>25.314013847319256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</row>
    <row r="16" spans="1:9" s="52" customFormat="1" ht="15" customHeight="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>
        <f t="shared" si="1"/>
        <v>0</v>
      </c>
      <c r="F16" s="28">
        <f t="shared" si="2"/>
        <v>34.719220573200722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</row>
    <row r="17" spans="1:9" s="52" customFormat="1" ht="15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>
        <f t="shared" si="1"/>
        <v>0</v>
      </c>
      <c r="F17" s="28">
        <f t="shared" si="2"/>
        <v>51.128304648142844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</row>
    <row r="18" spans="1:9" s="52" customFormat="1" ht="15.75" thickBot="1" x14ac:dyDescent="0.3">
      <c r="A18" s="25" t="s">
        <v>33</v>
      </c>
      <c r="B18" s="32">
        <v>1.6942143999999999</v>
      </c>
      <c r="C18" s="31">
        <f t="shared" si="0"/>
        <v>44.7</v>
      </c>
      <c r="D18" s="30"/>
      <c r="E18" s="29">
        <f t="shared" si="1"/>
        <v>0</v>
      </c>
      <c r="F18" s="28">
        <f t="shared" si="2"/>
        <v>44.724759643287385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</row>
    <row r="19" spans="1:9" s="8" customFormat="1" ht="16.5" thickTop="1" thickBot="1" x14ac:dyDescent="0.3">
      <c r="A19" s="51" t="s">
        <v>34</v>
      </c>
      <c r="B19" s="50"/>
      <c r="C19" s="47">
        <f>H19/D19</f>
        <v>26.325031499370017</v>
      </c>
      <c r="D19" s="49">
        <f>SUM(D10:D18)</f>
        <v>714.3</v>
      </c>
      <c r="E19" s="48">
        <f t="shared" si="1"/>
        <v>1</v>
      </c>
      <c r="F19" s="47">
        <f>I19/D19</f>
        <v>26.339613118820875</v>
      </c>
      <c r="G19" s="46">
        <f>F19/C19-1</f>
        <v>5.5390700866619902E-4</v>
      </c>
      <c r="H19" s="9">
        <f>SUM(H10:H18)</f>
        <v>18803.97</v>
      </c>
      <c r="I19" s="9">
        <f>SUM(I10:I18)</f>
        <v>18814.385650773751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140.80000000000001</v>
      </c>
      <c r="E21" s="29">
        <f>D21/$D$48</f>
        <v>1.2803073319554574E-2</v>
      </c>
      <c r="F21" s="28">
        <f>C21-(C21*$E$6)</f>
        <v>66.436779425375448</v>
      </c>
      <c r="G21" s="27" t="str">
        <f>IF(C21&gt;=F21,"-","+")</f>
        <v>+</v>
      </c>
      <c r="H21" s="26">
        <f>C21*D21</f>
        <v>9349.1200000000008</v>
      </c>
      <c r="I21" s="26">
        <f>F21*D21</f>
        <v>9354.2985430928638</v>
      </c>
    </row>
    <row r="22" spans="1:9" s="25" customFormat="1" ht="15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298</v>
      </c>
      <c r="E22" s="29">
        <f>D22/$D$48</f>
        <v>2.7097413701898172E-2</v>
      </c>
      <c r="F22" s="28">
        <f>C22-(C22*$E$6)</f>
        <v>44.624704252586511</v>
      </c>
      <c r="G22" s="27" t="str">
        <f>IF(C22&gt;=F22,"-","+")</f>
        <v>+</v>
      </c>
      <c r="H22" s="26">
        <f>C22*D22</f>
        <v>13290.800000000001</v>
      </c>
      <c r="I22" s="26">
        <f>F22*D22</f>
        <v>13298.161867270781</v>
      </c>
    </row>
    <row r="23" spans="1:9" s="25" customFormat="1" ht="15.75" thickBot="1" x14ac:dyDescent="0.3">
      <c r="A23" s="25" t="s">
        <v>38</v>
      </c>
      <c r="B23" s="32">
        <v>1.54</v>
      </c>
      <c r="C23" s="31">
        <f>ROUND($G$3*B23,1)</f>
        <v>40.700000000000003</v>
      </c>
      <c r="D23" s="30">
        <v>252</v>
      </c>
      <c r="E23" s="29">
        <f>D23/$D$48</f>
        <v>2.2914591452611877E-2</v>
      </c>
      <c r="F23" s="28">
        <f>C23-(C23*$E$6)</f>
        <v>40.722544015252716</v>
      </c>
      <c r="G23" s="27" t="str">
        <f>IF(C23&gt;=F23,"-","+")</f>
        <v>+</v>
      </c>
      <c r="H23" s="26">
        <f>C23*D23</f>
        <v>10256.400000000001</v>
      </c>
      <c r="I23" s="26">
        <f>F23*D23</f>
        <v>10262.081091843684</v>
      </c>
    </row>
    <row r="24" spans="1:9" s="17" customFormat="1" ht="13.5" thickBot="1" x14ac:dyDescent="0.3">
      <c r="A24" s="24" t="s">
        <v>34</v>
      </c>
      <c r="B24" s="23"/>
      <c r="C24" s="20">
        <f>H24/D24</f>
        <v>47.620613781123346</v>
      </c>
      <c r="D24" s="22">
        <f>SUM(D21:D23)</f>
        <v>690.8</v>
      </c>
      <c r="E24" s="21">
        <f>D24/$D$48</f>
        <v>6.2815078474064617E-2</v>
      </c>
      <c r="F24" s="20">
        <f>I24/D24</f>
        <v>47.646991172853696</v>
      </c>
      <c r="G24" s="19">
        <f>F24/C24-1</f>
        <v>5.5390700866619902E-4</v>
      </c>
      <c r="H24" s="18">
        <f>SUM(H21:H23)</f>
        <v>32896.320000000007</v>
      </c>
      <c r="I24" s="18">
        <f>SUM(I21:I23)</f>
        <v>32914.541502207328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v>2095</v>
      </c>
      <c r="E26" s="29">
        <f t="shared" ref="E26:E32" si="7">D26/$D$48</f>
        <v>0.19050027417945192</v>
      </c>
      <c r="F26" s="28">
        <f t="shared" ref="F26:F31" si="8">C26-(C26*$E$6)</f>
        <v>35.419608308106781</v>
      </c>
      <c r="G26" s="27" t="str">
        <f t="shared" ref="G26:G31" si="9">IF(C26&gt;=F26,"-","+")</f>
        <v>+</v>
      </c>
      <c r="H26" s="26">
        <f t="shared" ref="H26:H31" si="10">C26*D26</f>
        <v>74163</v>
      </c>
      <c r="I26" s="26">
        <f t="shared" ref="I26:I31" si="11">F26*D26</f>
        <v>74204.079405483702</v>
      </c>
    </row>
    <row r="27" spans="1:9" s="25" customFormat="1" ht="15" x14ac:dyDescent="0.25">
      <c r="A27" s="25" t="s">
        <v>41</v>
      </c>
      <c r="B27" s="32">
        <v>1.1950000000000001</v>
      </c>
      <c r="C27" s="31">
        <f t="shared" si="6"/>
        <v>31.5</v>
      </c>
      <c r="D27" s="30">
        <f>1599.8+233</f>
        <v>1832.8</v>
      </c>
      <c r="E27" s="29">
        <f t="shared" si="7"/>
        <v>0.16665818735852003</v>
      </c>
      <c r="F27" s="28">
        <f t="shared" si="8"/>
        <v>31.517448070772986</v>
      </c>
      <c r="G27" s="27" t="str">
        <f t="shared" si="9"/>
        <v>+</v>
      </c>
      <c r="H27" s="26">
        <f t="shared" si="10"/>
        <v>57733.2</v>
      </c>
      <c r="I27" s="26">
        <f t="shared" si="11"/>
        <v>57765.178824112729</v>
      </c>
    </row>
    <row r="28" spans="1:9" s="25" customFormat="1" ht="15" x14ac:dyDescent="0.25">
      <c r="A28" s="25" t="s">
        <v>42</v>
      </c>
      <c r="B28" s="32">
        <v>1.1950000000000001</v>
      </c>
      <c r="C28" s="31">
        <f t="shared" si="6"/>
        <v>31.5</v>
      </c>
      <c r="D28" s="30">
        <v>1082</v>
      </c>
      <c r="E28" s="29">
        <f t="shared" si="7"/>
        <v>9.8387253776690678E-2</v>
      </c>
      <c r="F28" s="28">
        <f t="shared" si="8"/>
        <v>31.517448070772986</v>
      </c>
      <c r="G28" s="27" t="str">
        <f t="shared" si="9"/>
        <v>+</v>
      </c>
      <c r="H28" s="26">
        <f t="shared" si="10"/>
        <v>34083</v>
      </c>
      <c r="I28" s="26">
        <f t="shared" si="11"/>
        <v>34101.878812576368</v>
      </c>
    </row>
    <row r="29" spans="1:9" s="25" customFormat="1" ht="15" x14ac:dyDescent="0.25">
      <c r="A29" s="25" t="s">
        <v>43</v>
      </c>
      <c r="B29" s="32">
        <v>1.155</v>
      </c>
      <c r="C29" s="31">
        <f t="shared" si="6"/>
        <v>30.5</v>
      </c>
      <c r="D29" s="30">
        <v>1128</v>
      </c>
      <c r="E29" s="29">
        <f t="shared" si="7"/>
        <v>0.10257007602597698</v>
      </c>
      <c r="F29" s="28">
        <f t="shared" si="8"/>
        <v>30.51689416376432</v>
      </c>
      <c r="G29" s="27" t="str">
        <f t="shared" si="9"/>
        <v>+</v>
      </c>
      <c r="H29" s="26">
        <f t="shared" si="10"/>
        <v>34404</v>
      </c>
      <c r="I29" s="26">
        <f t="shared" si="11"/>
        <v>34423.05661672615</v>
      </c>
    </row>
    <row r="30" spans="1:9" s="25" customFormat="1" ht="15" x14ac:dyDescent="0.25">
      <c r="A30" s="25" t="s">
        <v>44</v>
      </c>
      <c r="B30" s="32">
        <v>1.155</v>
      </c>
      <c r="C30" s="31">
        <f t="shared" si="6"/>
        <v>30.5</v>
      </c>
      <c r="D30" s="30">
        <v>653</v>
      </c>
      <c r="E30" s="29">
        <f t="shared" si="7"/>
        <v>5.9377889756172843E-2</v>
      </c>
      <c r="F30" s="28">
        <f t="shared" si="8"/>
        <v>30.51689416376432</v>
      </c>
      <c r="G30" s="27" t="str">
        <f t="shared" si="9"/>
        <v>+</v>
      </c>
      <c r="H30" s="26">
        <f t="shared" si="10"/>
        <v>19916.5</v>
      </c>
      <c r="I30" s="26">
        <f t="shared" si="11"/>
        <v>19927.531888938101</v>
      </c>
    </row>
    <row r="31" spans="1:9" s="25" customFormat="1" ht="15.75" thickBot="1" x14ac:dyDescent="0.3">
      <c r="A31" s="25" t="s">
        <v>45</v>
      </c>
      <c r="B31" s="32">
        <v>1.175</v>
      </c>
      <c r="C31" s="31">
        <f t="shared" si="6"/>
        <v>31</v>
      </c>
      <c r="D31" s="30">
        <f>189.2+273</f>
        <v>462.2</v>
      </c>
      <c r="E31" s="29">
        <f t="shared" si="7"/>
        <v>4.2028270513480993E-2</v>
      </c>
      <c r="F31" s="28">
        <f t="shared" si="8"/>
        <v>31.017171117268653</v>
      </c>
      <c r="G31" s="27" t="str">
        <f t="shared" si="9"/>
        <v>+</v>
      </c>
      <c r="H31" s="26">
        <f t="shared" si="10"/>
        <v>14328.199999999999</v>
      </c>
      <c r="I31" s="26">
        <f t="shared" si="11"/>
        <v>14336.136490401572</v>
      </c>
    </row>
    <row r="32" spans="1:9" s="17" customFormat="1" ht="13.5" thickBot="1" x14ac:dyDescent="0.3">
      <c r="A32" s="24" t="s">
        <v>34</v>
      </c>
      <c r="B32" s="23"/>
      <c r="C32" s="20">
        <f>H32/D32</f>
        <v>32.349083138011864</v>
      </c>
      <c r="D32" s="22">
        <f>SUM(D26:D31)</f>
        <v>7253</v>
      </c>
      <c r="E32" s="21">
        <f t="shared" si="7"/>
        <v>0.65952195161029348</v>
      </c>
      <c r="F32" s="20">
        <f>I32/D32</f>
        <v>32.367001521885925</v>
      </c>
      <c r="G32" s="19">
        <f>F32/C32-1</f>
        <v>5.5390700866597697E-4</v>
      </c>
      <c r="H32" s="18">
        <f>SUM(H26:H31)</f>
        <v>234627.90000000002</v>
      </c>
      <c r="I32" s="18">
        <f>SUM(I26:I31)</f>
        <v>234757.86203823861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1113+63</f>
        <v>1176</v>
      </c>
      <c r="E34" s="29">
        <f t="shared" ref="E34:E40" si="13">D34/$D$48</f>
        <v>0.10693476011218876</v>
      </c>
      <c r="F34" s="28">
        <f t="shared" ref="F34:F39" si="14">C34-(C34*$E$6)</f>
        <v>18.710358061062056</v>
      </c>
      <c r="G34" s="27" t="str">
        <f t="shared" ref="G34:G39" si="15">IF(C34&gt;=F34,"-","+")</f>
        <v>+</v>
      </c>
      <c r="H34" s="26">
        <f t="shared" ref="H34:H39" si="16">C34*D34</f>
        <v>21991.200000000001</v>
      </c>
      <c r="I34" s="26">
        <f t="shared" ref="I34:I39" si="17">F34*D34</f>
        <v>22003.381079808976</v>
      </c>
    </row>
    <row r="35" spans="1:9" s="25" customFormat="1" ht="15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14.307920870223928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</row>
    <row r="36" spans="1:9" s="25" customFormat="1" ht="15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11.506369930599661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</row>
    <row r="37" spans="1:9" s="25" customFormat="1" ht="15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30.51689416376432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</row>
    <row r="38" spans="1:9" s="25" customFormat="1" ht="15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30.51689416376432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</row>
    <row r="39" spans="1:9" s="25" customFormat="1" ht="15.75" thickBot="1" x14ac:dyDescent="0.3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31.517448070772986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</row>
    <row r="40" spans="1:9" s="17" customFormat="1" ht="13.5" thickBot="1" x14ac:dyDescent="0.3">
      <c r="A40" s="24" t="s">
        <v>34</v>
      </c>
      <c r="B40" s="23"/>
      <c r="C40" s="20">
        <f>H40/D40</f>
        <v>18.7</v>
      </c>
      <c r="D40" s="22">
        <f>SUM(D34:D39)</f>
        <v>1176</v>
      </c>
      <c r="E40" s="21">
        <f t="shared" si="13"/>
        <v>0.10693476011218876</v>
      </c>
      <c r="F40" s="20">
        <f>I40/D40</f>
        <v>18.710358061062056</v>
      </c>
      <c r="G40" s="19">
        <f>F40/C40-1</f>
        <v>5.5390700866619902E-4</v>
      </c>
      <c r="H40" s="18">
        <f>SUM(H34:H39)</f>
        <v>21991.200000000001</v>
      </c>
      <c r="I40" s="18">
        <f>SUM(I34:I39)</f>
        <v>22003.381079808976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1676</v>
      </c>
      <c r="E42" s="29">
        <f>D42/$D$48</f>
        <v>0.15240021934356154</v>
      </c>
      <c r="F42" s="28">
        <f>C42-(C42*$E$6)</f>
        <v>0.40022156280346649</v>
      </c>
      <c r="G42" s="27" t="str">
        <f>IF(C42&gt;=F42,"-","+")</f>
        <v>+</v>
      </c>
      <c r="H42" s="26">
        <f>C42*D42</f>
        <v>670.40000000000009</v>
      </c>
      <c r="I42" s="26">
        <f>F42*D42</f>
        <v>670.77133925860983</v>
      </c>
    </row>
    <row r="43" spans="1:9" s="25" customFormat="1" ht="15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83</v>
      </c>
      <c r="E43" s="29">
        <f>D43/$D$48</f>
        <v>7.5472662324078807E-3</v>
      </c>
      <c r="F43" s="28">
        <f>C43-(C43*$E$6)</f>
        <v>0.40022156280346649</v>
      </c>
      <c r="G43" s="27" t="str">
        <f>IF(C43&gt;=F43,"-","+")</f>
        <v>+</v>
      </c>
      <c r="H43" s="26">
        <f>C43*D43</f>
        <v>33.200000000000003</v>
      </c>
      <c r="I43" s="26">
        <f>F43*D43</f>
        <v>33.218389712687717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60</v>
      </c>
      <c r="E44" s="29">
        <f>D44/$D$48</f>
        <v>5.4558551077647328E-3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f>(0.5*G2)/100</f>
        <v>58.5595</v>
      </c>
      <c r="E45" s="29">
        <f>D45/$D$48</f>
        <v>5.3248691197191481E-3</v>
      </c>
      <c r="F45" s="28">
        <f>C45-(C45*$E$6)</f>
        <v>0</v>
      </c>
      <c r="G45" s="27" t="str">
        <f>IF(C45&gt;=F45,"-","+")</f>
        <v>-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>
        <f>H46/D46</f>
        <v>0.37474178581291306</v>
      </c>
      <c r="D46" s="22">
        <f>SUM(D41:D45)</f>
        <v>1877.5595000000001</v>
      </c>
      <c r="E46" s="21">
        <f>D46/$D$48</f>
        <v>0.1707282098034533</v>
      </c>
      <c r="F46" s="20">
        <f>I46/D46</f>
        <v>0.37494935791451484</v>
      </c>
      <c r="G46" s="19">
        <f>F46/C46-1</f>
        <v>5.5390700866597697E-4</v>
      </c>
      <c r="H46" s="18">
        <f>SUM(H41:H44)</f>
        <v>703.60000000000014</v>
      </c>
      <c r="I46" s="18">
        <f>SUM(I41:I44)</f>
        <v>703.9897289712975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>
        <f>C24+C32+C40+C46</f>
        <v>99.044438704948121</v>
      </c>
      <c r="D48" s="13">
        <f>D24+D32+D40+D46</f>
        <v>10997.359499999999</v>
      </c>
      <c r="E48" s="12">
        <f>SUM(E20:E46)/2</f>
        <v>1.0000000000000004</v>
      </c>
      <c r="F48" s="11">
        <f>I48/D48</f>
        <v>26.404499584579938</v>
      </c>
      <c r="G48" s="10"/>
      <c r="H48" s="9">
        <f>SUM(H20:H46)/2</f>
        <v>290219.01999999996</v>
      </c>
      <c r="I48" s="9">
        <f>SUM(I20:I46)/2</f>
        <v>290379.77434922621</v>
      </c>
    </row>
    <row r="49" spans="1:10" ht="12.75" thickBot="1" x14ac:dyDescent="0.25">
      <c r="E49" s="16"/>
    </row>
    <row r="50" spans="1:10" s="8" customFormat="1" ht="15.75" thickBot="1" x14ac:dyDescent="0.3">
      <c r="A50" s="10" t="s">
        <v>59</v>
      </c>
      <c r="B50" s="15"/>
      <c r="C50" s="14"/>
      <c r="D50" s="13">
        <f>SUM(D10:D47)/2</f>
        <v>11711.6595</v>
      </c>
      <c r="E50" s="12">
        <f>D50/G2</f>
        <v>0.99997946533013427</v>
      </c>
      <c r="F50" s="11">
        <f>I50/D50</f>
        <v>26.400542126416841</v>
      </c>
      <c r="G50" s="10"/>
      <c r="H50" s="9">
        <f>H48+H19</f>
        <v>309022.99</v>
      </c>
      <c r="I50" s="9">
        <f>I48+I19</f>
        <v>309194.15999999997</v>
      </c>
      <c r="J50" s="106">
        <f>D50-G2</f>
        <v>-0.24049999999988358</v>
      </c>
    </row>
    <row r="51" spans="1:10" ht="23.25" x14ac:dyDescent="0.35">
      <c r="A51" s="168" t="s">
        <v>81</v>
      </c>
      <c r="B51" s="169"/>
      <c r="C51" s="170"/>
      <c r="G51" s="7"/>
      <c r="H51" s="6"/>
      <c r="I51" s="6">
        <f>+I50/D50</f>
        <v>26.400542126416841</v>
      </c>
    </row>
    <row r="52" spans="1:10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0" ht="23.25" x14ac:dyDescent="0.35">
      <c r="G53" s="5"/>
    </row>
    <row r="54" spans="1:10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0" x14ac:dyDescent="0.2">
      <c r="G55" s="172">
        <v>8</v>
      </c>
    </row>
    <row r="56" spans="1:10" x14ac:dyDescent="0.2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  <pageSetUpPr fitToPage="1"/>
  </sheetPr>
  <dimension ref="A1:J56"/>
  <sheetViews>
    <sheetView topLeftCell="A11" workbookViewId="0">
      <selection activeCell="D26" sqref="D26"/>
    </sheetView>
  </sheetViews>
  <sheetFormatPr defaultColWidth="8.85546875" defaultRowHeight="12" x14ac:dyDescent="0.2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thickBot="1" x14ac:dyDescent="0.3">
      <c r="A1" s="103" t="s">
        <v>0</v>
      </c>
      <c r="B1" s="102"/>
      <c r="C1" s="101" t="s">
        <v>82</v>
      </c>
      <c r="D1" s="100" t="s">
        <v>1</v>
      </c>
      <c r="E1" s="168" t="s">
        <v>83</v>
      </c>
      <c r="F1" s="169"/>
      <c r="G1" s="170"/>
      <c r="H1" s="62"/>
      <c r="I1" s="62"/>
    </row>
    <row r="2" spans="1:9" s="61" customFormat="1" ht="20.100000000000001" customHeight="1" x14ac:dyDescent="0.25">
      <c r="A2" s="99" t="s">
        <v>2</v>
      </c>
      <c r="B2" s="98"/>
      <c r="C2" s="101" t="s">
        <v>84</v>
      </c>
      <c r="D2" s="96" t="s">
        <v>3</v>
      </c>
      <c r="E2" s="95" t="s">
        <v>71</v>
      </c>
      <c r="F2" s="94" t="s">
        <v>5</v>
      </c>
      <c r="G2" s="93">
        <v>16162.5</v>
      </c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 t="s">
        <v>72</v>
      </c>
      <c r="D3" s="90" t="s">
        <v>7</v>
      </c>
      <c r="E3" s="89">
        <v>172</v>
      </c>
      <c r="F3" s="88" t="s">
        <v>8</v>
      </c>
      <c r="G3" s="87">
        <v>25.5</v>
      </c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84">
        <v>15</v>
      </c>
      <c r="D4" s="83" t="s">
        <v>11</v>
      </c>
      <c r="E4" s="82">
        <f>G2/E3</f>
        <v>93.968023255813947</v>
      </c>
      <c r="F4" s="81" t="s">
        <v>12</v>
      </c>
      <c r="G4" s="80">
        <f>G2*G3</f>
        <v>412143.75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str">
        <f>IF(G4=I50,"DOĞRU","HATA VAR")</f>
        <v>DOĞRU</v>
      </c>
      <c r="H5" s="76"/>
      <c r="I5" s="76"/>
    </row>
    <row r="6" spans="1:9" ht="23.25" x14ac:dyDescent="0.35">
      <c r="A6" s="74" t="s">
        <v>14</v>
      </c>
      <c r="B6" s="73"/>
      <c r="C6" s="72">
        <v>27</v>
      </c>
      <c r="D6" s="71" t="s">
        <v>15</v>
      </c>
      <c r="E6" s="70">
        <f>1-G4/H50</f>
        <v>5.9147941610625532E-3</v>
      </c>
      <c r="F6" s="69" t="s">
        <v>16</v>
      </c>
      <c r="G6" s="68">
        <f>(I50-I19)/(D50-(SUM(D42:D44)+D19))</f>
        <v>30.387099762290852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27.7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25.5</v>
      </c>
      <c r="D10" s="30"/>
      <c r="E10" s="29">
        <f t="shared" ref="E10:E19" si="1">D10/$D$19</f>
        <v>0</v>
      </c>
      <c r="F10" s="28">
        <f t="shared" ref="F10:F18" si="2">C10-(C10*$E$6)</f>
        <v>25.349172748892904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</row>
    <row r="11" spans="1:9" s="52" customFormat="1" ht="15" customHeight="1" x14ac:dyDescent="0.25">
      <c r="A11" s="25" t="s">
        <v>26</v>
      </c>
      <c r="B11" s="32">
        <v>1.041382</v>
      </c>
      <c r="C11" s="31">
        <f t="shared" si="0"/>
        <v>26.6</v>
      </c>
      <c r="D11" s="30">
        <v>46</v>
      </c>
      <c r="E11" s="29">
        <f t="shared" si="1"/>
        <v>0.26900584795321636</v>
      </c>
      <c r="F11" s="28">
        <f t="shared" si="2"/>
        <v>26.442666475315736</v>
      </c>
      <c r="G11" s="27" t="str">
        <f t="shared" si="3"/>
        <v>-</v>
      </c>
      <c r="H11" s="34">
        <f t="shared" si="4"/>
        <v>1223.6000000000001</v>
      </c>
      <c r="I11" s="34">
        <f t="shared" si="5"/>
        <v>1216.362657864524</v>
      </c>
    </row>
    <row r="12" spans="1:9" s="52" customFormat="1" ht="15" customHeight="1" x14ac:dyDescent="0.25">
      <c r="A12" s="25" t="s">
        <v>27</v>
      </c>
      <c r="B12" s="32">
        <v>0.95138199999999995</v>
      </c>
      <c r="C12" s="31">
        <f t="shared" si="0"/>
        <v>24.3</v>
      </c>
      <c r="D12" s="30"/>
      <c r="E12" s="29">
        <f t="shared" si="1"/>
        <v>0</v>
      </c>
      <c r="F12" s="28">
        <f t="shared" si="2"/>
        <v>24.15627050188618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</row>
    <row r="13" spans="1:9" s="52" customFormat="1" ht="15" customHeight="1" x14ac:dyDescent="0.25">
      <c r="A13" s="25" t="s">
        <v>28</v>
      </c>
      <c r="B13" s="32">
        <v>1.041382</v>
      </c>
      <c r="C13" s="31">
        <f t="shared" si="0"/>
        <v>26.6</v>
      </c>
      <c r="D13" s="30"/>
      <c r="E13" s="29">
        <f t="shared" si="1"/>
        <v>0</v>
      </c>
      <c r="F13" s="28">
        <f t="shared" si="2"/>
        <v>26.442666475315736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</row>
    <row r="14" spans="1:9" s="52" customFormat="1" ht="15" customHeight="1" x14ac:dyDescent="0.25">
      <c r="A14" s="25" t="s">
        <v>29</v>
      </c>
      <c r="B14" s="32">
        <v>1.1642144000000001</v>
      </c>
      <c r="C14" s="31">
        <f t="shared" si="0"/>
        <v>29.7</v>
      </c>
      <c r="D14" s="30"/>
      <c r="E14" s="29">
        <f t="shared" si="1"/>
        <v>0</v>
      </c>
      <c r="F14" s="28">
        <f t="shared" si="2"/>
        <v>29.524330613416442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</row>
    <row r="15" spans="1:9" s="52" customFormat="1" ht="15" customHeight="1" x14ac:dyDescent="0.25">
      <c r="A15" s="25" t="s">
        <v>30</v>
      </c>
      <c r="B15" s="32">
        <v>0.96</v>
      </c>
      <c r="C15" s="31">
        <f t="shared" si="0"/>
        <v>24.5</v>
      </c>
      <c r="D15" s="30">
        <f>117+8</f>
        <v>125</v>
      </c>
      <c r="E15" s="29">
        <f t="shared" si="1"/>
        <v>0.73099415204678364</v>
      </c>
      <c r="F15" s="28">
        <f t="shared" si="2"/>
        <v>24.355087543053969</v>
      </c>
      <c r="G15" s="27" t="str">
        <f t="shared" si="3"/>
        <v>-</v>
      </c>
      <c r="H15" s="34">
        <f t="shared" si="4"/>
        <v>3062.5</v>
      </c>
      <c r="I15" s="34">
        <f t="shared" si="5"/>
        <v>3044.3859428817459</v>
      </c>
    </row>
    <row r="16" spans="1:9" s="52" customFormat="1" ht="15" customHeight="1" x14ac:dyDescent="0.25">
      <c r="A16" s="25" t="s">
        <v>31</v>
      </c>
      <c r="B16" s="32">
        <v>1.3142144</v>
      </c>
      <c r="C16" s="31">
        <f t="shared" si="0"/>
        <v>33.5</v>
      </c>
      <c r="D16" s="30"/>
      <c r="E16" s="29">
        <f t="shared" si="1"/>
        <v>0</v>
      </c>
      <c r="F16" s="28">
        <f t="shared" si="2"/>
        <v>33.301854395604401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</row>
    <row r="17" spans="1:9" s="52" customFormat="1" ht="15" x14ac:dyDescent="0.25">
      <c r="A17" s="25" t="s">
        <v>32</v>
      </c>
      <c r="B17" s="32">
        <v>1.9342143999999999</v>
      </c>
      <c r="C17" s="31">
        <f t="shared" si="0"/>
        <v>49.3</v>
      </c>
      <c r="D17" s="30"/>
      <c r="E17" s="29">
        <f t="shared" si="1"/>
        <v>0</v>
      </c>
      <c r="F17" s="28">
        <f t="shared" si="2"/>
        <v>49.008400647859617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</row>
    <row r="18" spans="1:9" s="52" customFormat="1" ht="15.75" thickBot="1" x14ac:dyDescent="0.3">
      <c r="A18" s="25" t="s">
        <v>33</v>
      </c>
      <c r="B18" s="32">
        <v>1.6942143999999999</v>
      </c>
      <c r="C18" s="31">
        <f t="shared" si="0"/>
        <v>43.2</v>
      </c>
      <c r="D18" s="30"/>
      <c r="E18" s="29">
        <f t="shared" si="1"/>
        <v>0</v>
      </c>
      <c r="F18" s="28">
        <f t="shared" si="2"/>
        <v>42.944480892242098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</row>
    <row r="19" spans="1:9" s="8" customFormat="1" ht="16.5" thickTop="1" thickBot="1" x14ac:dyDescent="0.3">
      <c r="A19" s="51" t="s">
        <v>34</v>
      </c>
      <c r="B19" s="50"/>
      <c r="C19" s="47">
        <f>H19/D19</f>
        <v>25.064912280701755</v>
      </c>
      <c r="D19" s="49">
        <f>SUM(D10:D18)</f>
        <v>171</v>
      </c>
      <c r="E19" s="48">
        <f t="shared" si="1"/>
        <v>1</v>
      </c>
      <c r="F19" s="47">
        <f>I19/D19</f>
        <v>24.916658483896317</v>
      </c>
      <c r="G19" s="46">
        <f>F19/C19-1</f>
        <v>-5.9147941610624422E-3</v>
      </c>
      <c r="H19" s="9">
        <f>SUM(H10:H18)</f>
        <v>4286.1000000000004</v>
      </c>
      <c r="I19" s="9">
        <f>SUM(I10:I18)</f>
        <v>4260.7486007462703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2.5150000000000001</v>
      </c>
      <c r="C21" s="31">
        <f>ROUND($G$3*B21,1)</f>
        <v>64.099999999999994</v>
      </c>
      <c r="D21" s="30">
        <v>196</v>
      </c>
      <c r="E21" s="29">
        <f>D21/$D$48</f>
        <v>1.2256511271613044E-2</v>
      </c>
      <c r="F21" s="28">
        <f>C21-(C21*$E$6)</f>
        <v>63.720861694275882</v>
      </c>
      <c r="G21" s="27" t="str">
        <f>IF(C21&gt;=F21,"-","+")</f>
        <v>-</v>
      </c>
      <c r="H21" s="26">
        <f>C21*D21</f>
        <v>12563.599999999999</v>
      </c>
      <c r="I21" s="26">
        <f>F21*D21</f>
        <v>12489.288892078073</v>
      </c>
    </row>
    <row r="22" spans="1:9" s="25" customFormat="1" ht="15" x14ac:dyDescent="0.25">
      <c r="A22" s="25" t="s">
        <v>37</v>
      </c>
      <c r="B22" s="32">
        <v>1.6890000000000001</v>
      </c>
      <c r="C22" s="31">
        <f>ROUND($G$3*B22,1)</f>
        <v>43.1</v>
      </c>
      <c r="D22" s="30">
        <v>467.6</v>
      </c>
      <c r="E22" s="29">
        <f>D22/$D$48</f>
        <v>2.9240534033705409E-2</v>
      </c>
      <c r="F22" s="28">
        <f>C22-(C22*$E$6)</f>
        <v>42.845072371658205</v>
      </c>
      <c r="G22" s="27" t="str">
        <f>IF(C22&gt;=F22,"-","+")</f>
        <v>-</v>
      </c>
      <c r="H22" s="26">
        <f>C22*D22</f>
        <v>20153.560000000001</v>
      </c>
      <c r="I22" s="26">
        <f>F22*D22</f>
        <v>20034.355840987377</v>
      </c>
    </row>
    <row r="23" spans="1:9" s="25" customFormat="1" ht="15.75" thickBot="1" x14ac:dyDescent="0.3">
      <c r="A23" s="25" t="s">
        <v>38</v>
      </c>
      <c r="B23" s="32">
        <v>1.54</v>
      </c>
      <c r="C23" s="31">
        <f>ROUND($G$3*B23,1)</f>
        <v>39.299999999999997</v>
      </c>
      <c r="D23" s="30">
        <v>407.2</v>
      </c>
      <c r="E23" s="29">
        <f>D23/$D$48</f>
        <v>2.5463527498983833E-2</v>
      </c>
      <c r="F23" s="28">
        <f>C23-(C23*$E$6)</f>
        <v>39.067548589470242</v>
      </c>
      <c r="G23" s="27" t="str">
        <f>IF(C23&gt;=F23,"-","+")</f>
        <v>-</v>
      </c>
      <c r="H23" s="26">
        <f>C23*D23</f>
        <v>16002.96</v>
      </c>
      <c r="I23" s="26">
        <f>F23*D23</f>
        <v>15908.305785632281</v>
      </c>
    </row>
    <row r="24" spans="1:9" s="17" customFormat="1" ht="13.5" thickBot="1" x14ac:dyDescent="0.3">
      <c r="A24" s="24" t="s">
        <v>34</v>
      </c>
      <c r="B24" s="23"/>
      <c r="C24" s="20">
        <f>H24/D24</f>
        <v>45.498804632050799</v>
      </c>
      <c r="D24" s="22">
        <f>SUM(D21:D23)</f>
        <v>1070.8</v>
      </c>
      <c r="E24" s="21">
        <f>D24/$D$48</f>
        <v>6.6960572804302287E-2</v>
      </c>
      <c r="F24" s="20">
        <f>I24/D24</f>
        <v>45.229688568077826</v>
      </c>
      <c r="G24" s="19">
        <f>F24/C24-1</f>
        <v>-5.9147941610624422E-3</v>
      </c>
      <c r="H24" s="18">
        <f>SUM(H21:H23)</f>
        <v>48720.119999999995</v>
      </c>
      <c r="I24" s="18">
        <f>SUM(I21:I23)</f>
        <v>48431.950518697733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1.3420000000000001</v>
      </c>
      <c r="C26" s="31">
        <f t="shared" ref="C26:C31" si="6">ROUND($G$3*B26,1)</f>
        <v>34.200000000000003</v>
      </c>
      <c r="D26" s="30">
        <f>1879.6+295+1485.8</f>
        <v>3660.3999999999996</v>
      </c>
      <c r="E26" s="29">
        <f t="shared" ref="E26:E32" si="7">D26/$D$48</f>
        <v>0.22889660131945094</v>
      </c>
      <c r="F26" s="28">
        <f t="shared" ref="F26:F31" si="8">C26-(C26*$E$6)</f>
        <v>33.997714039691665</v>
      </c>
      <c r="G26" s="27" t="str">
        <f t="shared" ref="G26:G31" si="9">IF(C26&gt;=F26,"-","+")</f>
        <v>-</v>
      </c>
      <c r="H26" s="26">
        <f t="shared" ref="H26:H31" si="10">C26*D26</f>
        <v>125185.68</v>
      </c>
      <c r="I26" s="26">
        <f t="shared" ref="I26:I31" si="11">F26*D26</f>
        <v>124445.23247088736</v>
      </c>
    </row>
    <row r="27" spans="1:9" s="25" customFormat="1" ht="15" x14ac:dyDescent="0.25">
      <c r="A27" s="25" t="s">
        <v>41</v>
      </c>
      <c r="B27" s="32">
        <v>1.1950000000000001</v>
      </c>
      <c r="C27" s="31">
        <f t="shared" si="6"/>
        <v>30.5</v>
      </c>
      <c r="D27" s="30">
        <v>2247.1</v>
      </c>
      <c r="E27" s="29">
        <f t="shared" si="7"/>
        <v>0.1405184004002126</v>
      </c>
      <c r="F27" s="28">
        <f t="shared" si="8"/>
        <v>30.319598778087592</v>
      </c>
      <c r="G27" s="27" t="str">
        <f t="shared" si="9"/>
        <v>-</v>
      </c>
      <c r="H27" s="26">
        <f t="shared" si="10"/>
        <v>68536.55</v>
      </c>
      <c r="I27" s="26">
        <f t="shared" si="11"/>
        <v>68131.170414240623</v>
      </c>
    </row>
    <row r="28" spans="1:9" s="25" customFormat="1" ht="15" x14ac:dyDescent="0.25">
      <c r="A28" s="25" t="s">
        <v>42</v>
      </c>
      <c r="B28" s="32">
        <v>1.1950000000000001</v>
      </c>
      <c r="C28" s="31">
        <f t="shared" si="6"/>
        <v>30.5</v>
      </c>
      <c r="D28" s="30">
        <v>1460.6</v>
      </c>
      <c r="E28" s="29">
        <f t="shared" si="7"/>
        <v>9.1336022261826591E-2</v>
      </c>
      <c r="F28" s="28">
        <f t="shared" si="8"/>
        <v>30.319598778087592</v>
      </c>
      <c r="G28" s="27" t="str">
        <f t="shared" si="9"/>
        <v>-</v>
      </c>
      <c r="H28" s="26">
        <f t="shared" si="10"/>
        <v>44548.299999999996</v>
      </c>
      <c r="I28" s="26">
        <f t="shared" si="11"/>
        <v>44284.805975274736</v>
      </c>
    </row>
    <row r="29" spans="1:9" s="25" customFormat="1" ht="15" x14ac:dyDescent="0.25">
      <c r="A29" s="25" t="s">
        <v>43</v>
      </c>
      <c r="B29" s="32">
        <v>1.155</v>
      </c>
      <c r="C29" s="31">
        <f t="shared" si="6"/>
        <v>29.5</v>
      </c>
      <c r="D29" s="30">
        <v>1327.9</v>
      </c>
      <c r="E29" s="29">
        <f t="shared" si="7"/>
        <v>8.3037863865178377E-2</v>
      </c>
      <c r="F29" s="28">
        <f t="shared" si="8"/>
        <v>29.325513572248656</v>
      </c>
      <c r="G29" s="27" t="str">
        <f t="shared" si="9"/>
        <v>-</v>
      </c>
      <c r="H29" s="26">
        <f t="shared" si="10"/>
        <v>39173.050000000003</v>
      </c>
      <c r="I29" s="26">
        <f t="shared" si="11"/>
        <v>38941.34947258899</v>
      </c>
    </row>
    <row r="30" spans="1:9" s="25" customFormat="1" ht="15" x14ac:dyDescent="0.25">
      <c r="A30" s="25" t="s">
        <v>44</v>
      </c>
      <c r="B30" s="32">
        <v>1.155</v>
      </c>
      <c r="C30" s="31">
        <f t="shared" si="6"/>
        <v>29.5</v>
      </c>
      <c r="D30" s="30">
        <v>1357.2</v>
      </c>
      <c r="E30" s="29">
        <f t="shared" si="7"/>
        <v>8.4870087233842983E-2</v>
      </c>
      <c r="F30" s="28">
        <f t="shared" si="8"/>
        <v>29.325513572248656</v>
      </c>
      <c r="G30" s="27" t="str">
        <f t="shared" si="9"/>
        <v>-</v>
      </c>
      <c r="H30" s="26">
        <f t="shared" si="10"/>
        <v>40037.4</v>
      </c>
      <c r="I30" s="26">
        <f t="shared" si="11"/>
        <v>39800.58702025588</v>
      </c>
    </row>
    <row r="31" spans="1:9" s="25" customFormat="1" ht="15.75" thickBot="1" x14ac:dyDescent="0.3">
      <c r="A31" s="25" t="s">
        <v>45</v>
      </c>
      <c r="B31" s="32">
        <v>1.175</v>
      </c>
      <c r="C31" s="31">
        <f t="shared" si="6"/>
        <v>30</v>
      </c>
      <c r="D31" s="30">
        <v>284</v>
      </c>
      <c r="E31" s="29">
        <f t="shared" si="7"/>
        <v>1.7759434699684207E-2</v>
      </c>
      <c r="F31" s="28">
        <f t="shared" si="8"/>
        <v>29.822556175168124</v>
      </c>
      <c r="G31" s="27" t="str">
        <f t="shared" si="9"/>
        <v>-</v>
      </c>
      <c r="H31" s="26">
        <f t="shared" si="10"/>
        <v>8520</v>
      </c>
      <c r="I31" s="26">
        <f t="shared" si="11"/>
        <v>8469.6059537477468</v>
      </c>
    </row>
    <row r="32" spans="1:9" s="17" customFormat="1" ht="13.5" thickBot="1" x14ac:dyDescent="0.3">
      <c r="A32" s="24" t="s">
        <v>34</v>
      </c>
      <c r="B32" s="23"/>
      <c r="C32" s="20">
        <f>H32/D32</f>
        <v>31.53668111287389</v>
      </c>
      <c r="D32" s="22">
        <f>SUM(D26:D31)</f>
        <v>10337.200000000001</v>
      </c>
      <c r="E32" s="21">
        <f t="shared" si="7"/>
        <v>0.64641840978019582</v>
      </c>
      <c r="F32" s="20">
        <f>I32/D32</f>
        <v>31.350148135568173</v>
      </c>
      <c r="G32" s="19">
        <f>F32/C32-1</f>
        <v>-5.9147941610625532E-3</v>
      </c>
      <c r="H32" s="18">
        <f>SUM(H26:H31)</f>
        <v>326000.98</v>
      </c>
      <c r="I32" s="18">
        <f>SUM(I26:I31)</f>
        <v>324072.75130699534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f>1921.3-68</f>
        <v>1853.3</v>
      </c>
      <c r="E34" s="29">
        <f t="shared" ref="E34:E40" si="13">D34/$D$48</f>
        <v>0.11589281805959416</v>
      </c>
      <c r="F34" s="28">
        <f t="shared" ref="F34:F39" si="14">C34-(C34*$E$6)</f>
        <v>17.893533705100875</v>
      </c>
      <c r="G34" s="27" t="str">
        <f t="shared" ref="G34:G39" si="15">IF(C34&gt;=F34,"-","+")</f>
        <v>-</v>
      </c>
      <c r="H34" s="26">
        <f t="shared" ref="H34:H39" si="16">C34*D34</f>
        <v>33359.4</v>
      </c>
      <c r="I34" s="26">
        <f t="shared" ref="I34:I39" si="17">F34*D34</f>
        <v>33162.086015663452</v>
      </c>
    </row>
    <row r="35" spans="1:9" s="25" customFormat="1" ht="15" x14ac:dyDescent="0.25">
      <c r="A35" s="25" t="s">
        <v>48</v>
      </c>
      <c r="B35" s="32">
        <v>0.54348623799999995</v>
      </c>
      <c r="C35" s="31">
        <f t="shared" si="12"/>
        <v>13.9</v>
      </c>
      <c r="D35" s="30">
        <v>89.6</v>
      </c>
      <c r="E35" s="29">
        <f t="shared" si="13"/>
        <v>5.6029765813088196E-3</v>
      </c>
      <c r="F35" s="28">
        <f t="shared" si="14"/>
        <v>13.81778436116123</v>
      </c>
      <c r="G35" s="27" t="str">
        <f t="shared" si="15"/>
        <v>-</v>
      </c>
      <c r="H35" s="26">
        <f t="shared" si="16"/>
        <v>1245.44</v>
      </c>
      <c r="I35" s="26">
        <f t="shared" si="17"/>
        <v>1238.0734787600461</v>
      </c>
    </row>
    <row r="36" spans="1:9" s="25" customFormat="1" ht="15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11.034345784812205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</row>
    <row r="37" spans="1:9" s="25" customFormat="1" ht="15" x14ac:dyDescent="0.25">
      <c r="A37" s="25" t="s">
        <v>50</v>
      </c>
      <c r="B37" s="32">
        <v>1.155</v>
      </c>
      <c r="C37" s="31">
        <f t="shared" si="12"/>
        <v>29.5</v>
      </c>
      <c r="D37" s="30"/>
      <c r="E37" s="29">
        <f t="shared" si="13"/>
        <v>0</v>
      </c>
      <c r="F37" s="28">
        <f t="shared" si="14"/>
        <v>29.325513572248656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</row>
    <row r="38" spans="1:9" s="25" customFormat="1" ht="15" x14ac:dyDescent="0.25">
      <c r="A38" s="25" t="s">
        <v>51</v>
      </c>
      <c r="B38" s="32">
        <v>1.155</v>
      </c>
      <c r="C38" s="31">
        <f t="shared" si="12"/>
        <v>29.5</v>
      </c>
      <c r="D38" s="30"/>
      <c r="E38" s="29">
        <f t="shared" si="13"/>
        <v>0</v>
      </c>
      <c r="F38" s="28">
        <f t="shared" si="14"/>
        <v>29.325513572248656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</row>
    <row r="39" spans="1:9" s="25" customFormat="1" ht="15.75" thickBot="1" x14ac:dyDescent="0.3">
      <c r="A39" s="25" t="s">
        <v>52</v>
      </c>
      <c r="B39" s="32">
        <v>1.1950000000000001</v>
      </c>
      <c r="C39" s="31">
        <f t="shared" si="12"/>
        <v>30.5</v>
      </c>
      <c r="D39" s="30"/>
      <c r="E39" s="29">
        <f t="shared" si="13"/>
        <v>0</v>
      </c>
      <c r="F39" s="28">
        <f t="shared" si="14"/>
        <v>30.319598778087592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</row>
    <row r="40" spans="1:9" s="17" customFormat="1" ht="13.5" thickBot="1" x14ac:dyDescent="0.3">
      <c r="A40" s="24" t="s">
        <v>34</v>
      </c>
      <c r="B40" s="23"/>
      <c r="C40" s="20">
        <f>H40/D40</f>
        <v>17.810921817901079</v>
      </c>
      <c r="D40" s="22">
        <f>SUM(D34:D39)</f>
        <v>1942.8999999999999</v>
      </c>
      <c r="E40" s="21">
        <f t="shared" si="13"/>
        <v>0.12149579464090297</v>
      </c>
      <c r="F40" s="20">
        <f>I40/D40</f>
        <v>17.705573881529414</v>
      </c>
      <c r="G40" s="19">
        <f>F40/C40-1</f>
        <v>-5.9147941610626642E-3</v>
      </c>
      <c r="H40" s="18">
        <f>SUM(H34:H39)</f>
        <v>34604.840000000004</v>
      </c>
      <c r="I40" s="18">
        <f>SUM(I34:I39)</f>
        <v>34400.159494423497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2343</v>
      </c>
      <c r="E42" s="29">
        <f>D42/$D$48</f>
        <v>0.14651533627239471</v>
      </c>
      <c r="F42" s="28">
        <f>C42-(C42*$E$6)</f>
        <v>0.39763408233557501</v>
      </c>
      <c r="G42" s="27" t="str">
        <f>IF(C42&gt;=F42,"-","+")</f>
        <v>-</v>
      </c>
      <c r="H42" s="26">
        <f>C42*D42</f>
        <v>937.2</v>
      </c>
      <c r="I42" s="26">
        <f>F42*D42</f>
        <v>931.65665491225229</v>
      </c>
    </row>
    <row r="43" spans="1:9" s="25" customFormat="1" ht="15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116.9</v>
      </c>
      <c r="E43" s="29">
        <f>D43/$D$48</f>
        <v>7.3101335084263521E-3</v>
      </c>
      <c r="F43" s="28">
        <f>C43-(C43*$E$6)</f>
        <v>0.39763408233557501</v>
      </c>
      <c r="G43" s="27" t="str">
        <f>IF(C43&gt;=F43,"-","+")</f>
        <v>-</v>
      </c>
      <c r="H43" s="26">
        <f>C43*D43</f>
        <v>46.760000000000005</v>
      </c>
      <c r="I43" s="26">
        <f>F43*D43</f>
        <v>46.48342422502872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108.7</v>
      </c>
      <c r="E44" s="29">
        <f>D44/$D$48</f>
        <v>6.7973610980833566E-3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72</v>
      </c>
      <c r="E45" s="29">
        <f>D45/$D$48</f>
        <v>4.5023918956945876E-3</v>
      </c>
      <c r="F45" s="28">
        <f>C45-(C45*$E$6)</f>
        <v>0</v>
      </c>
      <c r="G45" s="27" t="str">
        <f>IF(C45&gt;=F45,"-","+")</f>
        <v>-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>
        <f>H46/D46</f>
        <v>0.37262743315913055</v>
      </c>
      <c r="D46" s="22">
        <f>SUM(D41:D45)</f>
        <v>2640.6</v>
      </c>
      <c r="E46" s="21">
        <f>D46/$D$48</f>
        <v>0.16512522277459901</v>
      </c>
      <c r="F46" s="20">
        <f>I46/D46</f>
        <v>0.37042341859322919</v>
      </c>
      <c r="G46" s="19">
        <f>F46/C46-1</f>
        <v>-5.9147941610625532E-3</v>
      </c>
      <c r="H46" s="18">
        <f>SUM(H41:H44)</f>
        <v>983.96</v>
      </c>
      <c r="I46" s="18">
        <f>SUM(I41:I44)</f>
        <v>978.14007913728096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>
        <f>C24+C32+C40+C46</f>
        <v>95.219034995984885</v>
      </c>
      <c r="D48" s="13">
        <f>D24+D32+D40+D46</f>
        <v>15991.5</v>
      </c>
      <c r="E48" s="12">
        <f>SUM(E20:E46)/2</f>
        <v>1</v>
      </c>
      <c r="F48" s="11">
        <f>I48/D48</f>
        <v>25.506237776272009</v>
      </c>
      <c r="G48" s="10"/>
      <c r="H48" s="9">
        <f>SUM(H20:H46)/2</f>
        <v>410309.89999999991</v>
      </c>
      <c r="I48" s="9">
        <f>SUM(I20:I46)/2</f>
        <v>407883.00139925384</v>
      </c>
    </row>
    <row r="49" spans="1:10" ht="12.75" thickBot="1" x14ac:dyDescent="0.25">
      <c r="E49" s="16"/>
    </row>
    <row r="50" spans="1:10" s="8" customFormat="1" ht="15.75" thickBot="1" x14ac:dyDescent="0.3">
      <c r="A50" s="10" t="s">
        <v>59</v>
      </c>
      <c r="B50" s="15"/>
      <c r="C50" s="14"/>
      <c r="D50" s="13">
        <f>SUM(D10:D47)/2</f>
        <v>16162.5</v>
      </c>
      <c r="E50" s="12">
        <f>D50/G2</f>
        <v>1</v>
      </c>
      <c r="F50" s="11">
        <f>I50/D50</f>
        <v>25.500000000000007</v>
      </c>
      <c r="G50" s="10"/>
      <c r="H50" s="9">
        <f>H48+H19</f>
        <v>414595.99999999988</v>
      </c>
      <c r="I50" s="9">
        <f>I48+I19</f>
        <v>412143.75000000012</v>
      </c>
      <c r="J50" s="106"/>
    </row>
    <row r="51" spans="1:10" ht="23.25" x14ac:dyDescent="0.35">
      <c r="A51" s="168" t="s">
        <v>85</v>
      </c>
      <c r="B51" s="169"/>
      <c r="C51" s="170"/>
      <c r="G51" s="7"/>
      <c r="H51" s="6"/>
      <c r="I51" s="6">
        <f>+I50/D50</f>
        <v>25.500000000000007</v>
      </c>
    </row>
    <row r="52" spans="1:10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0" ht="23.25" x14ac:dyDescent="0.35">
      <c r="G53" s="5"/>
    </row>
    <row r="54" spans="1:10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0" x14ac:dyDescent="0.2">
      <c r="G55" s="172">
        <v>11</v>
      </c>
    </row>
    <row r="56" spans="1:10" x14ac:dyDescent="0.2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81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  <pageSetUpPr fitToPage="1"/>
  </sheetPr>
  <dimension ref="A1:J56"/>
  <sheetViews>
    <sheetView topLeftCell="A17" workbookViewId="0">
      <selection activeCell="D26" sqref="D26"/>
    </sheetView>
  </sheetViews>
  <sheetFormatPr defaultColWidth="8.85546875" defaultRowHeight="12" x14ac:dyDescent="0.2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thickBot="1" x14ac:dyDescent="0.3">
      <c r="A1" s="103" t="s">
        <v>0</v>
      </c>
      <c r="B1" s="102"/>
      <c r="C1" s="101" t="s">
        <v>86</v>
      </c>
      <c r="D1" s="100" t="s">
        <v>1</v>
      </c>
      <c r="E1" s="168" t="s">
        <v>75</v>
      </c>
      <c r="F1" s="169"/>
      <c r="G1" s="170"/>
      <c r="H1" s="62"/>
      <c r="I1" s="62"/>
    </row>
    <row r="2" spans="1:9" s="61" customFormat="1" ht="20.100000000000001" customHeight="1" x14ac:dyDescent="0.25">
      <c r="A2" s="99" t="s">
        <v>2</v>
      </c>
      <c r="B2" s="98"/>
      <c r="C2" s="101" t="s">
        <v>87</v>
      </c>
      <c r="D2" s="96" t="s">
        <v>3</v>
      </c>
      <c r="E2" s="95" t="s">
        <v>71</v>
      </c>
      <c r="F2" s="94" t="s">
        <v>5</v>
      </c>
      <c r="G2" s="93">
        <v>2748.5</v>
      </c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 t="s">
        <v>77</v>
      </c>
      <c r="D3" s="90" t="s">
        <v>7</v>
      </c>
      <c r="E3" s="89">
        <v>40</v>
      </c>
      <c r="F3" s="88" t="s">
        <v>8</v>
      </c>
      <c r="G3" s="87">
        <v>26.4</v>
      </c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84">
        <v>15</v>
      </c>
      <c r="D4" s="83" t="s">
        <v>11</v>
      </c>
      <c r="E4" s="82">
        <f>G2/E3</f>
        <v>68.712500000000006</v>
      </c>
      <c r="F4" s="81" t="s">
        <v>12</v>
      </c>
      <c r="G4" s="80">
        <f>G2*G3</f>
        <v>72560.399999999994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str">
        <f>IF(G4=I50,"DOĞRU","HATA VAR")</f>
        <v>DOĞRU</v>
      </c>
      <c r="H5" s="76"/>
      <c r="I5" s="76"/>
    </row>
    <row r="6" spans="1:9" ht="23.25" x14ac:dyDescent="0.35">
      <c r="A6" s="74" t="s">
        <v>14</v>
      </c>
      <c r="B6" s="73"/>
      <c r="C6" s="72">
        <v>27</v>
      </c>
      <c r="D6" s="71" t="s">
        <v>15</v>
      </c>
      <c r="E6" s="70">
        <f>1-G4/H50</f>
        <v>-9.523078104600069E-3</v>
      </c>
      <c r="F6" s="69" t="s">
        <v>16</v>
      </c>
      <c r="G6" s="68">
        <f>(I50-I19)/(D50-(SUM(D42:D44)+D19))</f>
        <v>31.630514385353081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27.7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 t="e">
        <f t="shared" ref="E10:E19" si="1">D10/$D$19</f>
        <v>#DIV/0!</v>
      </c>
      <c r="F10" s="28">
        <f t="shared" ref="F10:F18" si="2">C10-(C10*$E$6)</f>
        <v>26.65140926196144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</row>
    <row r="11" spans="1:9" s="52" customFormat="1" ht="15" customHeight="1" x14ac:dyDescent="0.25">
      <c r="A11" s="25" t="s">
        <v>26</v>
      </c>
      <c r="B11" s="32">
        <v>1.041382</v>
      </c>
      <c r="C11" s="31">
        <f t="shared" si="0"/>
        <v>27.5</v>
      </c>
      <c r="D11" s="30"/>
      <c r="E11" s="29" t="e">
        <f t="shared" si="1"/>
        <v>#DIV/0!</v>
      </c>
      <c r="F11" s="28">
        <f t="shared" si="2"/>
        <v>27.761884647876503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</row>
    <row r="12" spans="1:9" s="52" customFormat="1" ht="15" customHeight="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 t="e">
        <f t="shared" si="1"/>
        <v>#DIV/0!</v>
      </c>
      <c r="F12" s="28">
        <f t="shared" si="2"/>
        <v>25.339029260425463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</row>
    <row r="13" spans="1:9" s="52" customFormat="1" ht="15" customHeight="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 t="e">
        <f t="shared" si="1"/>
        <v>#DIV/0!</v>
      </c>
      <c r="F13" s="28">
        <f t="shared" si="2"/>
        <v>27.761884647876503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</row>
    <row r="14" spans="1:9" s="52" customFormat="1" ht="15" customHeight="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 t="e">
        <f t="shared" si="1"/>
        <v>#DIV/0!</v>
      </c>
      <c r="F14" s="28">
        <f t="shared" si="2"/>
        <v>30.992358497811221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</row>
    <row r="15" spans="1:9" s="52" customFormat="1" ht="15" customHeight="1" x14ac:dyDescent="0.25">
      <c r="A15" s="25" t="s">
        <v>30</v>
      </c>
      <c r="B15" s="32">
        <v>0.96</v>
      </c>
      <c r="C15" s="31">
        <f t="shared" si="0"/>
        <v>25.3</v>
      </c>
      <c r="D15" s="30"/>
      <c r="E15" s="29" t="e">
        <f t="shared" si="1"/>
        <v>#DIV/0!</v>
      </c>
      <c r="F15" s="28">
        <f t="shared" si="2"/>
        <v>25.540933876046381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</row>
    <row r="16" spans="1:9" s="52" customFormat="1" ht="15" customHeight="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 t="e">
        <f t="shared" si="1"/>
        <v>#DIV/0!</v>
      </c>
      <c r="F16" s="28">
        <f t="shared" si="2"/>
        <v>35.030450810229624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</row>
    <row r="17" spans="1:9" s="52" customFormat="1" ht="15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 t="e">
        <f t="shared" si="1"/>
        <v>#DIV/0!</v>
      </c>
      <c r="F17" s="28">
        <f t="shared" si="2"/>
        <v>51.586629291145066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</row>
    <row r="18" spans="1:9" s="52" customFormat="1" ht="15.75" thickBot="1" x14ac:dyDescent="0.3">
      <c r="A18" s="25" t="s">
        <v>33</v>
      </c>
      <c r="B18" s="32">
        <v>1.6942143999999999</v>
      </c>
      <c r="C18" s="31">
        <f t="shared" si="0"/>
        <v>44.7</v>
      </c>
      <c r="D18" s="30"/>
      <c r="E18" s="29" t="e">
        <f t="shared" si="1"/>
        <v>#DIV/0!</v>
      </c>
      <c r="F18" s="28">
        <f t="shared" si="2"/>
        <v>45.125681591275622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</row>
    <row r="19" spans="1:9" s="8" customFormat="1" ht="16.5" thickTop="1" thickBot="1" x14ac:dyDescent="0.3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33</v>
      </c>
      <c r="E21" s="29">
        <f>D21/$D$48</f>
        <v>1.2006549026741859E-2</v>
      </c>
      <c r="F21" s="28">
        <f>C21-(C21*$E$6)</f>
        <v>67.032332386145455</v>
      </c>
      <c r="G21" s="27" t="str">
        <f>IF(C21&gt;=F21,"-","+")</f>
        <v>+</v>
      </c>
      <c r="H21" s="26">
        <f>C21*D21</f>
        <v>2191.2000000000003</v>
      </c>
      <c r="I21" s="26">
        <f>F21*D21</f>
        <v>2212.0669687427999</v>
      </c>
    </row>
    <row r="22" spans="1:9" s="25" customFormat="1" ht="15" x14ac:dyDescent="0.25">
      <c r="A22" s="25" t="s">
        <v>37</v>
      </c>
      <c r="B22" s="32">
        <v>1.6890000000000001</v>
      </c>
      <c r="C22" s="31">
        <f>ROUND($G$3*B22,1)</f>
        <v>44.6</v>
      </c>
      <c r="D22" s="30">
        <f>77+4.6</f>
        <v>81.599999999999994</v>
      </c>
      <c r="E22" s="29">
        <f>D22/$D$48</f>
        <v>2.9688921229761685E-2</v>
      </c>
      <c r="F22" s="28">
        <f>C22-(C22*$E$6)</f>
        <v>45.024729283465163</v>
      </c>
      <c r="G22" s="27" t="str">
        <f>IF(C22&gt;=F22,"-","+")</f>
        <v>+</v>
      </c>
      <c r="H22" s="26">
        <f>C22*D22</f>
        <v>3639.3599999999997</v>
      </c>
      <c r="I22" s="26">
        <f>F22*D22</f>
        <v>3674.0179095307572</v>
      </c>
    </row>
    <row r="23" spans="1:9" s="25" customFormat="1" ht="15.75" thickBot="1" x14ac:dyDescent="0.3">
      <c r="A23" s="25" t="s">
        <v>38</v>
      </c>
      <c r="B23" s="32">
        <v>1.54</v>
      </c>
      <c r="C23" s="31">
        <f>ROUND($G$3*B23,1)</f>
        <v>40.700000000000003</v>
      </c>
      <c r="D23" s="30">
        <v>72.400000000000006</v>
      </c>
      <c r="E23" s="29">
        <f>D23/$D$48</f>
        <v>2.6341640895033658E-2</v>
      </c>
      <c r="F23" s="28">
        <f>C23-(C23*$E$6)</f>
        <v>41.087589278857223</v>
      </c>
      <c r="G23" s="27" t="str">
        <f>IF(C23&gt;=F23,"-","+")</f>
        <v>+</v>
      </c>
      <c r="H23" s="26">
        <f>C23*D23</f>
        <v>2946.6800000000003</v>
      </c>
      <c r="I23" s="26">
        <f>F23*D23</f>
        <v>2974.741463789263</v>
      </c>
    </row>
    <row r="24" spans="1:9" s="17" customFormat="1" ht="13.5" thickBot="1" x14ac:dyDescent="0.3">
      <c r="A24" s="24" t="s">
        <v>34</v>
      </c>
      <c r="B24" s="23"/>
      <c r="C24" s="20">
        <f>H24/D24</f>
        <v>46.937112299465241</v>
      </c>
      <c r="D24" s="22">
        <f>SUM(D21:D23)</f>
        <v>187</v>
      </c>
      <c r="E24" s="21">
        <f>D24/$D$48</f>
        <v>6.8037111151537197E-2</v>
      </c>
      <c r="F24" s="20">
        <f>I24/D24</f>
        <v>47.384098085897435</v>
      </c>
      <c r="G24" s="19">
        <f>F24/C24-1</f>
        <v>9.523078104600069E-3</v>
      </c>
      <c r="H24" s="18">
        <f>SUM(H21:H23)</f>
        <v>8777.24</v>
      </c>
      <c r="I24" s="18">
        <f>SUM(I21:I23)</f>
        <v>8860.8263420628209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f>271+316.6</f>
        <v>587.6</v>
      </c>
      <c r="E26" s="29">
        <f t="shared" ref="E26:E32" si="7">D26/$D$48</f>
        <v>0.21378933963980354</v>
      </c>
      <c r="F26" s="28">
        <f t="shared" ref="F26:F31" si="8">C26-(C26*$E$6)</f>
        <v>35.737116964902839</v>
      </c>
      <c r="G26" s="27" t="str">
        <f t="shared" ref="G26:G31" si="9">IF(C26&gt;=F26,"-","+")</f>
        <v>+</v>
      </c>
      <c r="H26" s="26">
        <f t="shared" ref="H26:H31" si="10">C26*D26</f>
        <v>20801.04</v>
      </c>
      <c r="I26" s="26">
        <f t="shared" ref="I26:I31" si="11">F26*D26</f>
        <v>20999.129928576909</v>
      </c>
    </row>
    <row r="27" spans="1:9" s="25" customFormat="1" ht="15" x14ac:dyDescent="0.25">
      <c r="A27" s="25" t="s">
        <v>41</v>
      </c>
      <c r="B27" s="32">
        <v>1.1950000000000001</v>
      </c>
      <c r="C27" s="31">
        <f t="shared" si="6"/>
        <v>31.5</v>
      </c>
      <c r="D27" s="30">
        <f>108.2+107+105.6</f>
        <v>320.79999999999995</v>
      </c>
      <c r="E27" s="29">
        <f t="shared" si="7"/>
        <v>0.11671820993269054</v>
      </c>
      <c r="F27" s="28">
        <f t="shared" si="8"/>
        <v>31.799976960294902</v>
      </c>
      <c r="G27" s="27" t="str">
        <f t="shared" si="9"/>
        <v>+</v>
      </c>
      <c r="H27" s="26">
        <f t="shared" si="10"/>
        <v>10105.199999999999</v>
      </c>
      <c r="I27" s="26">
        <f t="shared" si="11"/>
        <v>10201.432608862604</v>
      </c>
    </row>
    <row r="28" spans="1:9" s="25" customFormat="1" ht="15" x14ac:dyDescent="0.25">
      <c r="A28" s="25" t="s">
        <v>42</v>
      </c>
      <c r="B28" s="32">
        <v>1.1950000000000001</v>
      </c>
      <c r="C28" s="31">
        <f t="shared" si="6"/>
        <v>31.5</v>
      </c>
      <c r="D28" s="30">
        <f>102.4+93.6+58</f>
        <v>254</v>
      </c>
      <c r="E28" s="29">
        <f t="shared" si="7"/>
        <v>9.2414044024013098E-2</v>
      </c>
      <c r="F28" s="28">
        <f t="shared" si="8"/>
        <v>31.799976960294902</v>
      </c>
      <c r="G28" s="27" t="str">
        <f t="shared" si="9"/>
        <v>+</v>
      </c>
      <c r="H28" s="26">
        <f t="shared" si="10"/>
        <v>8001</v>
      </c>
      <c r="I28" s="26">
        <f t="shared" si="11"/>
        <v>8077.1941479149054</v>
      </c>
    </row>
    <row r="29" spans="1:9" s="25" customFormat="1" ht="15" x14ac:dyDescent="0.25">
      <c r="A29" s="25" t="s">
        <v>43</v>
      </c>
      <c r="B29" s="32">
        <v>1.155</v>
      </c>
      <c r="C29" s="31">
        <f t="shared" si="6"/>
        <v>30.5</v>
      </c>
      <c r="D29" s="30">
        <f>100+88.4+67.6</f>
        <v>256</v>
      </c>
      <c r="E29" s="29">
        <f t="shared" si="7"/>
        <v>9.3141713661997458E-2</v>
      </c>
      <c r="F29" s="28">
        <f t="shared" si="8"/>
        <v>30.790453882190302</v>
      </c>
      <c r="G29" s="27" t="str">
        <f t="shared" si="9"/>
        <v>+</v>
      </c>
      <c r="H29" s="26">
        <f t="shared" si="10"/>
        <v>7808</v>
      </c>
      <c r="I29" s="26">
        <f t="shared" si="11"/>
        <v>7882.3561938407174</v>
      </c>
    </row>
    <row r="30" spans="1:9" s="25" customFormat="1" ht="15" x14ac:dyDescent="0.25">
      <c r="A30" s="25" t="s">
        <v>44</v>
      </c>
      <c r="B30" s="32">
        <v>1.155</v>
      </c>
      <c r="C30" s="31">
        <f t="shared" si="6"/>
        <v>30.5</v>
      </c>
      <c r="D30" s="30">
        <f>121.4+131.8</f>
        <v>253.20000000000002</v>
      </c>
      <c r="E30" s="29">
        <f t="shared" si="7"/>
        <v>9.2122976168819357E-2</v>
      </c>
      <c r="F30" s="28">
        <f t="shared" si="8"/>
        <v>30.790453882190302</v>
      </c>
      <c r="G30" s="27" t="str">
        <f t="shared" si="9"/>
        <v>+</v>
      </c>
      <c r="H30" s="26">
        <f t="shared" si="10"/>
        <v>7722.6</v>
      </c>
      <c r="I30" s="26">
        <f t="shared" si="11"/>
        <v>7796.1429229705855</v>
      </c>
    </row>
    <row r="31" spans="1:9" s="25" customFormat="1" ht="15.75" thickBot="1" x14ac:dyDescent="0.3">
      <c r="A31" s="25" t="s">
        <v>45</v>
      </c>
      <c r="B31" s="32">
        <v>1.175</v>
      </c>
      <c r="C31" s="31">
        <f t="shared" si="6"/>
        <v>31</v>
      </c>
      <c r="D31" s="30">
        <v>44.6</v>
      </c>
      <c r="E31" s="29">
        <f t="shared" si="7"/>
        <v>1.6227032927051119E-2</v>
      </c>
      <c r="F31" s="28">
        <f t="shared" si="8"/>
        <v>31.295215421242602</v>
      </c>
      <c r="G31" s="27" t="str">
        <f t="shared" si="9"/>
        <v>+</v>
      </c>
      <c r="H31" s="26">
        <f t="shared" si="10"/>
        <v>1382.6000000000001</v>
      </c>
      <c r="I31" s="26">
        <f t="shared" si="11"/>
        <v>1395.7666077874201</v>
      </c>
    </row>
    <row r="32" spans="1:9" s="17" customFormat="1" ht="13.5" thickBot="1" x14ac:dyDescent="0.3">
      <c r="A32" s="24" t="s">
        <v>34</v>
      </c>
      <c r="B32" s="23"/>
      <c r="C32" s="20">
        <f>H32/D32</f>
        <v>32.525603076564501</v>
      </c>
      <c r="D32" s="22">
        <f>SUM(D26:D31)</f>
        <v>1716.2</v>
      </c>
      <c r="E32" s="21">
        <f t="shared" si="7"/>
        <v>0.62441331635437514</v>
      </c>
      <c r="F32" s="20">
        <f>I32/D32</f>
        <v>32.835346935061843</v>
      </c>
      <c r="G32" s="19">
        <f>F32/C32-1</f>
        <v>9.523078104600069E-3</v>
      </c>
      <c r="H32" s="18">
        <f>SUM(H26:H31)</f>
        <v>55820.439999999995</v>
      </c>
      <c r="I32" s="18">
        <f>SUM(I26:I31)</f>
        <v>56352.022409953133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356</v>
      </c>
      <c r="E34" s="29">
        <f t="shared" ref="E34:E40" si="13">D34/$D$48</f>
        <v>0.1295251955612152</v>
      </c>
      <c r="F34" s="28">
        <f t="shared" ref="F34:F39" si="14">C34-(C34*$E$6)</f>
        <v>18.878081560556019</v>
      </c>
      <c r="G34" s="27" t="str">
        <f t="shared" ref="G34:G39" si="15">IF(C34&gt;=F34,"-","+")</f>
        <v>+</v>
      </c>
      <c r="H34" s="26">
        <f t="shared" ref="H34:H39" si="16">C34*D34</f>
        <v>6657.2</v>
      </c>
      <c r="I34" s="26">
        <f t="shared" ref="I34:I39" si="17">F34*D34</f>
        <v>6720.5970355579429</v>
      </c>
    </row>
    <row r="35" spans="1:9" s="25" customFormat="1" ht="15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30.8</v>
      </c>
      <c r="E35" s="29">
        <f t="shared" si="13"/>
        <v>1.1206112424959069E-2</v>
      </c>
      <c r="F35" s="28">
        <f t="shared" si="14"/>
        <v>14.436180016895781</v>
      </c>
      <c r="G35" s="27" t="str">
        <f t="shared" si="15"/>
        <v>+</v>
      </c>
      <c r="H35" s="26">
        <f t="shared" si="16"/>
        <v>440.44000000000005</v>
      </c>
      <c r="I35" s="26">
        <f t="shared" si="17"/>
        <v>444.63434452039007</v>
      </c>
    </row>
    <row r="36" spans="1:9" s="25" customFormat="1" ht="15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11.6095153982029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</row>
    <row r="37" spans="1:9" s="25" customFormat="1" ht="15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30.790453882190302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</row>
    <row r="38" spans="1:9" s="25" customFormat="1" ht="15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30.790453882190302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</row>
    <row r="39" spans="1:9" s="25" customFormat="1" ht="15.75" thickBot="1" x14ac:dyDescent="0.3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31.799976960294902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</row>
    <row r="40" spans="1:9" s="17" customFormat="1" ht="13.5" thickBot="1" x14ac:dyDescent="0.3">
      <c r="A40" s="24" t="s">
        <v>34</v>
      </c>
      <c r="B40" s="23"/>
      <c r="C40" s="20">
        <f>H40/D40</f>
        <v>18.34963805584281</v>
      </c>
      <c r="D40" s="22">
        <f>SUM(D34:D39)</f>
        <v>386.8</v>
      </c>
      <c r="E40" s="21">
        <f t="shared" si="13"/>
        <v>0.14073130798617428</v>
      </c>
      <c r="F40" s="20">
        <f>I40/D40</f>
        <v>18.524383092239745</v>
      </c>
      <c r="G40" s="19">
        <f>F40/C40-1</f>
        <v>9.523078104600291E-3</v>
      </c>
      <c r="H40" s="18">
        <f>SUM(H34:H39)</f>
        <v>7097.6399999999994</v>
      </c>
      <c r="I40" s="18">
        <f>SUM(I34:I39)</f>
        <v>7165.2313800783331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412.5</v>
      </c>
      <c r="E42" s="29">
        <f>D42/$D$48</f>
        <v>0.15008186283427324</v>
      </c>
      <c r="F42" s="28">
        <f>C42-(C42*$E$6)</f>
        <v>0.40380923124184004</v>
      </c>
      <c r="G42" s="27" t="str">
        <f>IF(C42&gt;=F42,"-","+")</f>
        <v>+</v>
      </c>
      <c r="H42" s="26">
        <f>C42*D42</f>
        <v>165</v>
      </c>
      <c r="I42" s="26">
        <f>F42*D42</f>
        <v>166.57130788725902</v>
      </c>
    </row>
    <row r="43" spans="1:9" s="25" customFormat="1" ht="15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39</v>
      </c>
      <c r="E43" s="29">
        <f>D43/$D$48</f>
        <v>1.4189557940694925E-2</v>
      </c>
      <c r="F43" s="28">
        <f>C43-(C43*$E$6)</f>
        <v>0.40380923124184004</v>
      </c>
      <c r="G43" s="27" t="str">
        <f>IF(C43&gt;=F43,"-","+")</f>
        <v>+</v>
      </c>
      <c r="H43" s="26">
        <f>C43*D43</f>
        <v>15.600000000000001</v>
      </c>
      <c r="I43" s="26">
        <f>F43*D43</f>
        <v>15.748560018431762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3</v>
      </c>
      <c r="E44" s="29">
        <f>D44/$D$48</f>
        <v>1.0915044569765327E-3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4</v>
      </c>
      <c r="E45" s="29">
        <f>D45/$D$48</f>
        <v>1.4553392759687103E-3</v>
      </c>
      <c r="F45" s="28">
        <f>C45-(C45*$E$6)</f>
        <v>0</v>
      </c>
      <c r="G45" s="27" t="str">
        <f>IF(C45&gt;=F45,"-","+")</f>
        <v>-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>
        <f>H46/D46</f>
        <v>0.39389312977099233</v>
      </c>
      <c r="D46" s="22">
        <f>SUM(D41:D45)</f>
        <v>458.5</v>
      </c>
      <c r="E46" s="21">
        <f>D46/$D$48</f>
        <v>0.1668182645079134</v>
      </c>
      <c r="F46" s="20">
        <f>I46/D46</f>
        <v>0.39764420481066692</v>
      </c>
      <c r="G46" s="19">
        <f>F46/C46-1</f>
        <v>9.523078104600291E-3</v>
      </c>
      <c r="H46" s="18">
        <f>SUM(H41:H44)</f>
        <v>180.6</v>
      </c>
      <c r="I46" s="18">
        <f>SUM(I41:I44)</f>
        <v>182.31986790569078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>
        <f>C24+C32+C40+C46</f>
        <v>98.206246561643525</v>
      </c>
      <c r="D48" s="13">
        <f>D24+D32+D40+D46</f>
        <v>2748.5</v>
      </c>
      <c r="E48" s="12">
        <f>SUM(E20:E46)/2</f>
        <v>1</v>
      </c>
      <c r="F48" s="11">
        <f>I48/D48</f>
        <v>26.399999999999991</v>
      </c>
      <c r="G48" s="10"/>
      <c r="H48" s="9">
        <f>SUM(H20:H46)/2</f>
        <v>71875.920000000013</v>
      </c>
      <c r="I48" s="9">
        <f>SUM(I20:I46)/2</f>
        <v>72560.39999999998</v>
      </c>
    </row>
    <row r="49" spans="1:10" ht="12.75" thickBot="1" x14ac:dyDescent="0.25">
      <c r="E49" s="16"/>
    </row>
    <row r="50" spans="1:10" s="8" customFormat="1" ht="15.75" thickBot="1" x14ac:dyDescent="0.3">
      <c r="A50" s="10" t="s">
        <v>59</v>
      </c>
      <c r="B50" s="15"/>
      <c r="C50" s="14"/>
      <c r="D50" s="13">
        <f>SUM(D10:D47)/2</f>
        <v>2748.5000000000005</v>
      </c>
      <c r="E50" s="12">
        <f>D50/G2</f>
        <v>1.0000000000000002</v>
      </c>
      <c r="F50" s="11">
        <f>I50/D50</f>
        <v>26.399999999999988</v>
      </c>
      <c r="G50" s="10"/>
      <c r="H50" s="9">
        <f>H48+H19</f>
        <v>71875.920000000013</v>
      </c>
      <c r="I50" s="9">
        <f>I48+I19</f>
        <v>72560.39999999998</v>
      </c>
      <c r="J50" s="106">
        <f>D50-G2</f>
        <v>0</v>
      </c>
    </row>
    <row r="51" spans="1:10" ht="23.25" x14ac:dyDescent="0.35">
      <c r="A51" s="168" t="s">
        <v>88</v>
      </c>
      <c r="B51" s="169"/>
      <c r="C51" s="170"/>
      <c r="G51" s="7"/>
      <c r="H51" s="6"/>
      <c r="I51" s="6">
        <f>+I50/D50</f>
        <v>26.399999999999988</v>
      </c>
    </row>
    <row r="52" spans="1:10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0" ht="23.25" x14ac:dyDescent="0.35">
      <c r="G53" s="5"/>
    </row>
    <row r="54" spans="1:10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0" x14ac:dyDescent="0.2">
      <c r="G55" s="172">
        <v>12</v>
      </c>
    </row>
    <row r="56" spans="1:10" x14ac:dyDescent="0.2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  <pageSetUpPr fitToPage="1"/>
  </sheetPr>
  <dimension ref="A1:J56"/>
  <sheetViews>
    <sheetView workbookViewId="0">
      <selection activeCell="D26" sqref="D26"/>
    </sheetView>
  </sheetViews>
  <sheetFormatPr defaultColWidth="8.85546875" defaultRowHeight="12" x14ac:dyDescent="0.2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thickBot="1" x14ac:dyDescent="0.3">
      <c r="A1" s="103" t="s">
        <v>0</v>
      </c>
      <c r="B1" s="102"/>
      <c r="C1" s="101" t="s">
        <v>89</v>
      </c>
      <c r="D1" s="100" t="s">
        <v>1</v>
      </c>
      <c r="E1" s="168" t="s">
        <v>75</v>
      </c>
      <c r="F1" s="169"/>
      <c r="G1" s="170"/>
      <c r="H1" s="62"/>
      <c r="I1" s="62"/>
    </row>
    <row r="2" spans="1:9" s="61" customFormat="1" ht="20.100000000000001" customHeight="1" x14ac:dyDescent="0.25">
      <c r="A2" s="99" t="s">
        <v>2</v>
      </c>
      <c r="B2" s="98"/>
      <c r="C2" s="101" t="s">
        <v>89</v>
      </c>
      <c r="D2" s="96" t="s">
        <v>3</v>
      </c>
      <c r="E2" s="95" t="s">
        <v>71</v>
      </c>
      <c r="F2" s="94" t="s">
        <v>5</v>
      </c>
      <c r="G2" s="93">
        <v>18204.099999999999</v>
      </c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 t="s">
        <v>77</v>
      </c>
      <c r="D3" s="90" t="s">
        <v>7</v>
      </c>
      <c r="E3" s="89">
        <v>220</v>
      </c>
      <c r="F3" s="88" t="s">
        <v>8</v>
      </c>
      <c r="G3" s="87">
        <v>26.15</v>
      </c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84">
        <v>25</v>
      </c>
      <c r="D4" s="83" t="s">
        <v>11</v>
      </c>
      <c r="E4" s="82">
        <f>G2/E3</f>
        <v>82.74590909090908</v>
      </c>
      <c r="F4" s="81" t="s">
        <v>12</v>
      </c>
      <c r="G4" s="80">
        <f>G2*G3</f>
        <v>476037.21499999991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str">
        <f>IF(G4=I50,"DOĞRU","HATA VAR")</f>
        <v>DOĞRU</v>
      </c>
      <c r="H5" s="76"/>
      <c r="I5" s="76"/>
    </row>
    <row r="6" spans="1:9" ht="23.25" x14ac:dyDescent="0.35">
      <c r="A6" s="74" t="s">
        <v>14</v>
      </c>
      <c r="B6" s="73"/>
      <c r="C6" s="72">
        <v>27</v>
      </c>
      <c r="D6" s="71" t="s">
        <v>15</v>
      </c>
      <c r="E6" s="70">
        <f>1-G4/H50</f>
        <v>1.2039063050601762E-3</v>
      </c>
      <c r="F6" s="69" t="s">
        <v>16</v>
      </c>
      <c r="G6" s="68">
        <f>(I50-I19)/(D50-(SUM(D42:D44)+D19))</f>
        <v>30.555751221171672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27.7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26.2</v>
      </c>
      <c r="D10" s="30"/>
      <c r="E10" s="29" t="e">
        <f t="shared" ref="E10:E19" si="1">D10/$D$19</f>
        <v>#DIV/0!</v>
      </c>
      <c r="F10" s="28">
        <f t="shared" ref="F10:F18" si="2">C10-(C10*$E$6)</f>
        <v>26.168457654807423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</row>
    <row r="11" spans="1:9" s="52" customFormat="1" ht="15" customHeight="1" x14ac:dyDescent="0.25">
      <c r="A11" s="25" t="s">
        <v>26</v>
      </c>
      <c r="B11" s="32">
        <v>1.041382</v>
      </c>
      <c r="C11" s="31">
        <f t="shared" si="0"/>
        <v>27.2</v>
      </c>
      <c r="D11" s="30"/>
      <c r="E11" s="29" t="e">
        <f t="shared" si="1"/>
        <v>#DIV/0!</v>
      </c>
      <c r="F11" s="28">
        <f t="shared" si="2"/>
        <v>27.167253748502361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</row>
    <row r="12" spans="1:9" s="52" customFormat="1" ht="15" customHeight="1" x14ac:dyDescent="0.25">
      <c r="A12" s="25" t="s">
        <v>27</v>
      </c>
      <c r="B12" s="32">
        <v>0.95138199999999995</v>
      </c>
      <c r="C12" s="31">
        <f t="shared" si="0"/>
        <v>24.9</v>
      </c>
      <c r="D12" s="30"/>
      <c r="E12" s="29" t="e">
        <f t="shared" si="1"/>
        <v>#DIV/0!</v>
      </c>
      <c r="F12" s="28">
        <f t="shared" si="2"/>
        <v>24.870022733003999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</row>
    <row r="13" spans="1:9" s="52" customFormat="1" ht="15" customHeight="1" x14ac:dyDescent="0.25">
      <c r="A13" s="25" t="s">
        <v>28</v>
      </c>
      <c r="B13" s="32">
        <v>1.041382</v>
      </c>
      <c r="C13" s="31">
        <f t="shared" si="0"/>
        <v>27.2</v>
      </c>
      <c r="D13" s="30"/>
      <c r="E13" s="29" t="e">
        <f t="shared" si="1"/>
        <v>#DIV/0!</v>
      </c>
      <c r="F13" s="28">
        <f t="shared" si="2"/>
        <v>27.167253748502361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</row>
    <row r="14" spans="1:9" s="52" customFormat="1" ht="15" customHeight="1" x14ac:dyDescent="0.25">
      <c r="A14" s="25" t="s">
        <v>29</v>
      </c>
      <c r="B14" s="32">
        <v>1.1642144000000001</v>
      </c>
      <c r="C14" s="31">
        <f t="shared" si="0"/>
        <v>30.4</v>
      </c>
      <c r="D14" s="30"/>
      <c r="E14" s="29" t="e">
        <f t="shared" si="1"/>
        <v>#DIV/0!</v>
      </c>
      <c r="F14" s="28">
        <f t="shared" si="2"/>
        <v>30.36340124832617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</row>
    <row r="15" spans="1:9" s="52" customFormat="1" ht="15" customHeight="1" x14ac:dyDescent="0.25">
      <c r="A15" s="25" t="s">
        <v>30</v>
      </c>
      <c r="B15" s="32">
        <v>0.96</v>
      </c>
      <c r="C15" s="31">
        <f t="shared" si="0"/>
        <v>25.1</v>
      </c>
      <c r="D15" s="30"/>
      <c r="E15" s="29" t="e">
        <f t="shared" si="1"/>
        <v>#DIV/0!</v>
      </c>
      <c r="F15" s="28">
        <f t="shared" si="2"/>
        <v>25.069781951742993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</row>
    <row r="16" spans="1:9" s="52" customFormat="1" ht="15" customHeight="1" x14ac:dyDescent="0.25">
      <c r="A16" s="25" t="s">
        <v>31</v>
      </c>
      <c r="B16" s="32">
        <v>1.3142144</v>
      </c>
      <c r="C16" s="31">
        <f t="shared" si="0"/>
        <v>34.4</v>
      </c>
      <c r="D16" s="30"/>
      <c r="E16" s="29" t="e">
        <f t="shared" si="1"/>
        <v>#DIV/0!</v>
      </c>
      <c r="F16" s="28">
        <f t="shared" si="2"/>
        <v>34.358585623105931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</row>
    <row r="17" spans="1:9" s="52" customFormat="1" ht="15" x14ac:dyDescent="0.25">
      <c r="A17" s="25" t="s">
        <v>32</v>
      </c>
      <c r="B17" s="32">
        <v>1.9342143999999999</v>
      </c>
      <c r="C17" s="31">
        <f t="shared" si="0"/>
        <v>50.6</v>
      </c>
      <c r="D17" s="30"/>
      <c r="E17" s="29" t="e">
        <f t="shared" si="1"/>
        <v>#DIV/0!</v>
      </c>
      <c r="F17" s="28">
        <f t="shared" si="2"/>
        <v>50.539082340963958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</row>
    <row r="18" spans="1:9" s="52" customFormat="1" ht="15.75" thickBot="1" x14ac:dyDescent="0.3">
      <c r="A18" s="25" t="s">
        <v>33</v>
      </c>
      <c r="B18" s="32">
        <v>1.6942143999999999</v>
      </c>
      <c r="C18" s="31">
        <f t="shared" si="0"/>
        <v>44.3</v>
      </c>
      <c r="D18" s="30"/>
      <c r="E18" s="29" t="e">
        <f t="shared" si="1"/>
        <v>#DIV/0!</v>
      </c>
      <c r="F18" s="28">
        <f t="shared" si="2"/>
        <v>44.246666950685828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</row>
    <row r="19" spans="1:9" s="8" customFormat="1" ht="16.5" thickTop="1" thickBot="1" x14ac:dyDescent="0.3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2.5150000000000001</v>
      </c>
      <c r="C21" s="31">
        <f>ROUND($G$3*B21,1)</f>
        <v>65.8</v>
      </c>
      <c r="D21" s="30">
        <v>218</v>
      </c>
      <c r="E21" s="29">
        <f>D21/$D$48</f>
        <v>1.1975258456839629E-2</v>
      </c>
      <c r="F21" s="28">
        <f>C21-(C21*$E$6)</f>
        <v>65.720782965127043</v>
      </c>
      <c r="G21" s="27" t="str">
        <f>IF(C21&gt;=F21,"-","+")</f>
        <v>-</v>
      </c>
      <c r="H21" s="26">
        <f>C21*D21</f>
        <v>14344.4</v>
      </c>
      <c r="I21" s="26">
        <f>F21*D21</f>
        <v>14327.130686397695</v>
      </c>
    </row>
    <row r="22" spans="1:9" s="25" customFormat="1" ht="15" x14ac:dyDescent="0.25">
      <c r="A22" s="25" t="s">
        <v>37</v>
      </c>
      <c r="B22" s="32">
        <v>1.6890000000000001</v>
      </c>
      <c r="C22" s="31">
        <f>ROUND($G$3*B22,1)</f>
        <v>44.2</v>
      </c>
      <c r="D22" s="30">
        <v>575.6</v>
      </c>
      <c r="E22" s="29">
        <f>D22/$D$48</f>
        <v>3.1619076916316012E-2</v>
      </c>
      <c r="F22" s="28">
        <f>C22-(C22*$E$6)</f>
        <v>44.14678734131634</v>
      </c>
      <c r="G22" s="27" t="str">
        <f>IF(C22&gt;=F22,"-","+")</f>
        <v>-</v>
      </c>
      <c r="H22" s="26">
        <f>C22*D22</f>
        <v>25441.520000000004</v>
      </c>
      <c r="I22" s="26">
        <f>F22*D22</f>
        <v>25410.890793661685</v>
      </c>
    </row>
    <row r="23" spans="1:9" s="25" customFormat="1" ht="15.75" thickBot="1" x14ac:dyDescent="0.3">
      <c r="A23" s="25" t="s">
        <v>38</v>
      </c>
      <c r="B23" s="32">
        <v>1.54</v>
      </c>
      <c r="C23" s="31">
        <f>ROUND($G$3*B23,1)</f>
        <v>40.299999999999997</v>
      </c>
      <c r="D23" s="30">
        <v>421</v>
      </c>
      <c r="E23" s="29">
        <f>D23/$D$48</f>
        <v>2.3126531240043505E-2</v>
      </c>
      <c r="F23" s="28">
        <f>C23-(C23*$E$6)</f>
        <v>40.251482575906074</v>
      </c>
      <c r="G23" s="27" t="str">
        <f>IF(C23&gt;=F23,"-","+")</f>
        <v>-</v>
      </c>
      <c r="H23" s="26">
        <f>C23*D23</f>
        <v>16966.3</v>
      </c>
      <c r="I23" s="26">
        <f>F23*D23</f>
        <v>16945.874164456458</v>
      </c>
    </row>
    <row r="24" spans="1:9" s="17" customFormat="1" ht="13.5" thickBot="1" x14ac:dyDescent="0.3">
      <c r="A24" s="24" t="s">
        <v>34</v>
      </c>
      <c r="B24" s="23"/>
      <c r="C24" s="20">
        <f>H24/D24</f>
        <v>46.725028816071138</v>
      </c>
      <c r="D24" s="22">
        <f>SUM(D21:D23)</f>
        <v>1214.5999999999999</v>
      </c>
      <c r="E24" s="21">
        <f>D24/$D$48</f>
        <v>6.6720866613199148E-2</v>
      </c>
      <c r="F24" s="20">
        <f>I24/D24</f>
        <v>46.668776259275354</v>
      </c>
      <c r="G24" s="19">
        <f>F24/C24-1</f>
        <v>-1.2039063050600651E-3</v>
      </c>
      <c r="H24" s="18">
        <f>SUM(H21:H23)</f>
        <v>56752.22</v>
      </c>
      <c r="I24" s="18">
        <f>SUM(I21:I23)</f>
        <v>56683.89564451584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1.3420000000000001</v>
      </c>
      <c r="C26" s="31">
        <f t="shared" ref="C26:C31" si="6">ROUND($G$3*B26,1)</f>
        <v>35.1</v>
      </c>
      <c r="D26" s="30">
        <f>340.5+2878.8</f>
        <v>3219.3</v>
      </c>
      <c r="E26" s="29">
        <f t="shared" ref="E26:E32" si="7">D26/$D$48</f>
        <v>0.17684380527570562</v>
      </c>
      <c r="F26" s="28">
        <f t="shared" ref="F26:F31" si="8">C26-(C26*$E$6)</f>
        <v>35.057742888692388</v>
      </c>
      <c r="G26" s="27" t="str">
        <f t="shared" ref="G26:G31" si="9">IF(C26&gt;=F26,"-","+")</f>
        <v>-</v>
      </c>
      <c r="H26" s="26">
        <f t="shared" ref="H26:H31" si="10">C26*D26</f>
        <v>112997.43000000001</v>
      </c>
      <c r="I26" s="26">
        <f t="shared" ref="I26:I31" si="11">F26*D26</f>
        <v>112861.39168156742</v>
      </c>
    </row>
    <row r="27" spans="1:9" s="25" customFormat="1" ht="15" x14ac:dyDescent="0.25">
      <c r="A27" s="25" t="s">
        <v>41</v>
      </c>
      <c r="B27" s="32">
        <v>1.1950000000000001</v>
      </c>
      <c r="C27" s="31">
        <f t="shared" si="6"/>
        <v>31.2</v>
      </c>
      <c r="D27" s="30">
        <v>2734.4</v>
      </c>
      <c r="E27" s="29">
        <f t="shared" si="7"/>
        <v>0.15020709506597379</v>
      </c>
      <c r="F27" s="28">
        <f t="shared" si="8"/>
        <v>31.162438123282122</v>
      </c>
      <c r="G27" s="27" t="str">
        <f t="shared" si="9"/>
        <v>-</v>
      </c>
      <c r="H27" s="26">
        <f t="shared" si="10"/>
        <v>85313.279999999999</v>
      </c>
      <c r="I27" s="26">
        <f t="shared" si="11"/>
        <v>85210.570804302639</v>
      </c>
    </row>
    <row r="28" spans="1:9" s="25" customFormat="1" ht="15" x14ac:dyDescent="0.25">
      <c r="A28" s="25" t="s">
        <v>42</v>
      </c>
      <c r="B28" s="32">
        <v>1.1950000000000001</v>
      </c>
      <c r="C28" s="31">
        <f t="shared" si="6"/>
        <v>31.2</v>
      </c>
      <c r="D28" s="30">
        <v>1833</v>
      </c>
      <c r="E28" s="29">
        <f t="shared" si="7"/>
        <v>0.10069104931828918</v>
      </c>
      <c r="F28" s="28">
        <f t="shared" si="8"/>
        <v>31.162438123282122</v>
      </c>
      <c r="G28" s="27" t="str">
        <f t="shared" si="9"/>
        <v>-</v>
      </c>
      <c r="H28" s="26">
        <f t="shared" si="10"/>
        <v>57189.599999999999</v>
      </c>
      <c r="I28" s="26">
        <f t="shared" si="11"/>
        <v>57120.749079976129</v>
      </c>
    </row>
    <row r="29" spans="1:9" s="25" customFormat="1" ht="15" x14ac:dyDescent="0.25">
      <c r="A29" s="25" t="s">
        <v>43</v>
      </c>
      <c r="B29" s="32">
        <v>1.155</v>
      </c>
      <c r="C29" s="31">
        <f t="shared" si="6"/>
        <v>30.2</v>
      </c>
      <c r="D29" s="30">
        <v>1955.2</v>
      </c>
      <c r="E29" s="29">
        <f t="shared" si="7"/>
        <v>0.10740378593950846</v>
      </c>
      <c r="F29" s="28">
        <f t="shared" si="8"/>
        <v>30.163642029587184</v>
      </c>
      <c r="G29" s="27" t="str">
        <f t="shared" si="9"/>
        <v>-</v>
      </c>
      <c r="H29" s="26">
        <f t="shared" si="10"/>
        <v>59047.040000000001</v>
      </c>
      <c r="I29" s="26">
        <f t="shared" si="11"/>
        <v>58975.952896248862</v>
      </c>
    </row>
    <row r="30" spans="1:9" s="25" customFormat="1" ht="15" x14ac:dyDescent="0.25">
      <c r="A30" s="25" t="s">
        <v>44</v>
      </c>
      <c r="B30" s="32">
        <v>1.155</v>
      </c>
      <c r="C30" s="31">
        <f t="shared" si="6"/>
        <v>30.2</v>
      </c>
      <c r="D30" s="30">
        <v>1130</v>
      </c>
      <c r="E30" s="29">
        <f t="shared" si="7"/>
        <v>6.2073587413893495E-2</v>
      </c>
      <c r="F30" s="28">
        <f t="shared" si="8"/>
        <v>30.163642029587184</v>
      </c>
      <c r="G30" s="27" t="str">
        <f t="shared" si="9"/>
        <v>-</v>
      </c>
      <c r="H30" s="26">
        <f t="shared" si="10"/>
        <v>34126</v>
      </c>
      <c r="I30" s="26">
        <f t="shared" si="11"/>
        <v>34084.915493433517</v>
      </c>
    </row>
    <row r="31" spans="1:9" s="25" customFormat="1" ht="15.75" thickBot="1" x14ac:dyDescent="0.3">
      <c r="A31" s="25" t="s">
        <v>45</v>
      </c>
      <c r="B31" s="32">
        <v>1.175</v>
      </c>
      <c r="C31" s="31">
        <f t="shared" si="6"/>
        <v>30.7</v>
      </c>
      <c r="D31" s="30">
        <v>496.8</v>
      </c>
      <c r="E31" s="29">
        <f t="shared" si="7"/>
        <v>2.7290405510816185E-2</v>
      </c>
      <c r="F31" s="28">
        <f t="shared" si="8"/>
        <v>30.663040076434651</v>
      </c>
      <c r="G31" s="27" t="str">
        <f t="shared" si="9"/>
        <v>-</v>
      </c>
      <c r="H31" s="26">
        <f t="shared" si="10"/>
        <v>15251.76</v>
      </c>
      <c r="I31" s="26">
        <f t="shared" si="11"/>
        <v>15233.398309972736</v>
      </c>
    </row>
    <row r="32" spans="1:9" s="17" customFormat="1" ht="13.5" thickBot="1" x14ac:dyDescent="0.3">
      <c r="A32" s="24" t="s">
        <v>34</v>
      </c>
      <c r="B32" s="23"/>
      <c r="C32" s="20">
        <f>H32/D32</f>
        <v>32.011145513559157</v>
      </c>
      <c r="D32" s="22">
        <f>SUM(D26:D31)</f>
        <v>11368.7</v>
      </c>
      <c r="E32" s="21">
        <f t="shared" si="7"/>
        <v>0.62450972852418674</v>
      </c>
      <c r="F32" s="20">
        <f>I32/D32</f>
        <v>31.972607093643184</v>
      </c>
      <c r="G32" s="19">
        <f>F32/C32-1</f>
        <v>-1.2039063050601762E-3</v>
      </c>
      <c r="H32" s="18">
        <f>SUM(H26:H31)</f>
        <v>363925.11000000004</v>
      </c>
      <c r="I32" s="18">
        <f>SUM(I26:I31)</f>
        <v>363486.97826550127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2884.4</v>
      </c>
      <c r="E34" s="29">
        <f t="shared" ref="E34:E40" si="13">D34/$D$48</f>
        <v>0.15844695180233132</v>
      </c>
      <c r="F34" s="28">
        <f t="shared" ref="F34:F39" si="14">C34-(C34*$E$6)</f>
        <v>18.477727733356385</v>
      </c>
      <c r="G34" s="27" t="str">
        <f t="shared" ref="G34:G39" si="15">IF(C34&gt;=F34,"-","+")</f>
        <v>-</v>
      </c>
      <c r="H34" s="26">
        <f t="shared" ref="H34:H39" si="16">C34*D34</f>
        <v>53361.4</v>
      </c>
      <c r="I34" s="26">
        <f t="shared" ref="I34:I39" si="17">F34*D34</f>
        <v>53297.157874093158</v>
      </c>
    </row>
    <row r="35" spans="1:9" s="25" customFormat="1" ht="15" x14ac:dyDescent="0.25">
      <c r="A35" s="25" t="s">
        <v>48</v>
      </c>
      <c r="B35" s="32">
        <v>0.54348623799999995</v>
      </c>
      <c r="C35" s="31">
        <f t="shared" si="12"/>
        <v>14.2</v>
      </c>
      <c r="D35" s="30">
        <v>107.6</v>
      </c>
      <c r="E35" s="29">
        <f t="shared" si="13"/>
        <v>5.9107238988804775E-3</v>
      </c>
      <c r="F35" s="28">
        <f t="shared" si="14"/>
        <v>14.182904530468145</v>
      </c>
      <c r="G35" s="27" t="str">
        <f t="shared" si="15"/>
        <v>-</v>
      </c>
      <c r="H35" s="26">
        <f t="shared" si="16"/>
        <v>1527.9199999999998</v>
      </c>
      <c r="I35" s="26">
        <f t="shared" si="17"/>
        <v>1526.0805274783722</v>
      </c>
    </row>
    <row r="36" spans="1:9" s="25" customFormat="1" ht="15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11.386275468122314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</row>
    <row r="37" spans="1:9" s="25" customFormat="1" ht="15" x14ac:dyDescent="0.25">
      <c r="A37" s="25" t="s">
        <v>50</v>
      </c>
      <c r="B37" s="32">
        <v>1.155</v>
      </c>
      <c r="C37" s="31">
        <f t="shared" si="12"/>
        <v>30.2</v>
      </c>
      <c r="D37" s="30"/>
      <c r="E37" s="29">
        <f t="shared" si="13"/>
        <v>0</v>
      </c>
      <c r="F37" s="28">
        <f t="shared" si="14"/>
        <v>30.163642029587184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</row>
    <row r="38" spans="1:9" s="25" customFormat="1" ht="15" x14ac:dyDescent="0.25">
      <c r="A38" s="25" t="s">
        <v>51</v>
      </c>
      <c r="B38" s="32">
        <v>1.155</v>
      </c>
      <c r="C38" s="31">
        <f t="shared" si="12"/>
        <v>30.2</v>
      </c>
      <c r="D38" s="30"/>
      <c r="E38" s="29">
        <f t="shared" si="13"/>
        <v>0</v>
      </c>
      <c r="F38" s="28">
        <f t="shared" si="14"/>
        <v>30.163642029587184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</row>
    <row r="39" spans="1:9" s="25" customFormat="1" ht="15.75" thickBot="1" x14ac:dyDescent="0.3">
      <c r="A39" s="25" t="s">
        <v>52</v>
      </c>
      <c r="B39" s="32">
        <v>1.1950000000000001</v>
      </c>
      <c r="C39" s="31">
        <f t="shared" si="12"/>
        <v>31.2</v>
      </c>
      <c r="D39" s="30"/>
      <c r="E39" s="29">
        <f t="shared" si="13"/>
        <v>0</v>
      </c>
      <c r="F39" s="28">
        <f t="shared" si="14"/>
        <v>31.162438123282122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</row>
    <row r="40" spans="1:9" s="17" customFormat="1" ht="13.5" thickBot="1" x14ac:dyDescent="0.3">
      <c r="A40" s="24" t="s">
        <v>34</v>
      </c>
      <c r="B40" s="23"/>
      <c r="C40" s="20">
        <f>H40/D40</f>
        <v>18.345360962566843</v>
      </c>
      <c r="D40" s="22">
        <f>SUM(D34:D39)</f>
        <v>2992</v>
      </c>
      <c r="E40" s="21">
        <f t="shared" si="13"/>
        <v>0.16435767570121179</v>
      </c>
      <c r="F40" s="20">
        <f>I40/D40</f>
        <v>18.323274866835405</v>
      </c>
      <c r="G40" s="19">
        <f>F40/C40-1</f>
        <v>-1.2039063050601762E-3</v>
      </c>
      <c r="H40" s="18">
        <f>SUM(H34:H39)</f>
        <v>54889.32</v>
      </c>
      <c r="I40" s="18">
        <f>SUM(I34:I39)</f>
        <v>54823.238401571529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2498</v>
      </c>
      <c r="E42" s="29">
        <f>D42/$D$48</f>
        <v>0.13722108084947429</v>
      </c>
      <c r="F42" s="28">
        <f>C42-(C42*$E$6)</f>
        <v>0.39951843747797594</v>
      </c>
      <c r="G42" s="27" t="str">
        <f>IF(C42&gt;=F42,"-","+")</f>
        <v>-</v>
      </c>
      <c r="H42" s="26">
        <f>C42*D42</f>
        <v>999.2</v>
      </c>
      <c r="I42" s="26">
        <f>F42*D42</f>
        <v>997.99705681998387</v>
      </c>
    </row>
    <row r="43" spans="1:9" s="25" customFormat="1" ht="15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112.9</v>
      </c>
      <c r="E43" s="29">
        <f>D43/$D$48</f>
        <v>6.2018655035651115E-3</v>
      </c>
      <c r="F43" s="28">
        <f>C43-(C43*$E$6)</f>
        <v>0.39951843747797594</v>
      </c>
      <c r="G43" s="27" t="str">
        <f>IF(C43&gt;=F43,"-","+")</f>
        <v>-</v>
      </c>
      <c r="H43" s="26">
        <f>C43*D43</f>
        <v>45.160000000000004</v>
      </c>
      <c r="I43" s="26">
        <f>F43*D43</f>
        <v>45.105631591263489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14</v>
      </c>
      <c r="E44" s="29">
        <f>D44/$D$48</f>
        <v>7.6905329539337069E-4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4</v>
      </c>
      <c r="E45" s="29">
        <f>D45/$D$48</f>
        <v>2.1972951296953449E-4</v>
      </c>
      <c r="F45" s="28">
        <f>C45-(C45*$E$6)</f>
        <v>0</v>
      </c>
      <c r="G45" s="27" t="str">
        <f>IF(C45&gt;=F45,"-","+")</f>
        <v>-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>
        <f>H46/D46</f>
        <v>0.39726121191372821</v>
      </c>
      <c r="D46" s="22">
        <f>SUM(D41:D45)</f>
        <v>2628.9</v>
      </c>
      <c r="E46" s="21">
        <f>D46/$D$48</f>
        <v>0.14441172916140232</v>
      </c>
      <c r="F46" s="20">
        <f>I46/D46</f>
        <v>0.39678294663594937</v>
      </c>
      <c r="G46" s="19">
        <f>F46/C46-1</f>
        <v>-1.2039063050602872E-3</v>
      </c>
      <c r="H46" s="18">
        <f>SUM(H41:H44)</f>
        <v>1044.3600000000001</v>
      </c>
      <c r="I46" s="18">
        <f>SUM(I41:I44)</f>
        <v>1043.1026884112473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>
        <f>C24+C32+C40+C46</f>
        <v>97.478796504110875</v>
      </c>
      <c r="D48" s="13">
        <f>D24+D32+D40+D46</f>
        <v>18204.2</v>
      </c>
      <c r="E48" s="12">
        <f>SUM(E20:E46)/2</f>
        <v>1</v>
      </c>
      <c r="F48" s="11">
        <f>I48/D48</f>
        <v>26.149856351830888</v>
      </c>
      <c r="G48" s="10"/>
      <c r="H48" s="9">
        <f>SUM(H20:H46)/2</f>
        <v>476611.01</v>
      </c>
      <c r="I48" s="9">
        <f>SUM(I20:I46)/2</f>
        <v>476037.21499999985</v>
      </c>
    </row>
    <row r="49" spans="1:10" ht="12.75" thickBot="1" x14ac:dyDescent="0.25">
      <c r="E49" s="16"/>
    </row>
    <row r="50" spans="1:10" s="8" customFormat="1" ht="15.75" thickBot="1" x14ac:dyDescent="0.3">
      <c r="A50" s="10" t="s">
        <v>59</v>
      </c>
      <c r="B50" s="15"/>
      <c r="C50" s="14"/>
      <c r="D50" s="13">
        <f>SUM(D10:D47)/2</f>
        <v>18204.2</v>
      </c>
      <c r="E50" s="12">
        <f>D50/G2</f>
        <v>1.0000054932680003</v>
      </c>
      <c r="F50" s="11">
        <f>I50/D50</f>
        <v>26.149856351830888</v>
      </c>
      <c r="G50" s="10"/>
      <c r="H50" s="9">
        <f>H48+H19</f>
        <v>476611.01</v>
      </c>
      <c r="I50" s="9">
        <f>I48+I19</f>
        <v>476037.21499999985</v>
      </c>
      <c r="J50" s="106">
        <f>D50-G2</f>
        <v>0.10000000000218279</v>
      </c>
    </row>
    <row r="51" spans="1:10" ht="23.25" x14ac:dyDescent="0.35">
      <c r="A51" s="168" t="s">
        <v>90</v>
      </c>
      <c r="B51" s="169"/>
      <c r="C51" s="170"/>
      <c r="G51" s="7"/>
      <c r="H51" s="6"/>
      <c r="I51" s="6">
        <f>+I50/D50</f>
        <v>26.149856351830888</v>
      </c>
    </row>
    <row r="52" spans="1:10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0" ht="23.25" x14ac:dyDescent="0.35">
      <c r="G53" s="5"/>
    </row>
    <row r="54" spans="1:10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0" x14ac:dyDescent="0.2">
      <c r="G55" s="172">
        <v>15</v>
      </c>
    </row>
    <row r="56" spans="1:10" x14ac:dyDescent="0.2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K56"/>
  <sheetViews>
    <sheetView topLeftCell="A16" workbookViewId="0">
      <selection activeCell="D26" sqref="D2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89</v>
      </c>
      <c r="D1" s="100" t="s">
        <v>1</v>
      </c>
      <c r="E1" s="168" t="s">
        <v>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91</v>
      </c>
      <c r="D2" s="96" t="s">
        <v>3</v>
      </c>
      <c r="E2" s="95" t="s">
        <v>71</v>
      </c>
      <c r="F2" s="94" t="s">
        <v>5</v>
      </c>
      <c r="G2" s="93">
        <v>3564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48</v>
      </c>
      <c r="F3" s="88" t="s">
        <v>8</v>
      </c>
      <c r="G3" s="87">
        <v>26.7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25</v>
      </c>
      <c r="D4" s="83" t="s">
        <v>11</v>
      </c>
      <c r="E4" s="82">
        <f>G2/E3</f>
        <v>74.25</v>
      </c>
      <c r="F4" s="81" t="s">
        <v>12</v>
      </c>
      <c r="G4" s="80">
        <f>G2*G3</f>
        <v>95158.8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</v>
      </c>
      <c r="D6" s="71" t="s">
        <v>15</v>
      </c>
      <c r="E6" s="70">
        <f>1-G4/H50</f>
        <v>2.4038637943307739E-3</v>
      </c>
      <c r="F6" s="69" t="s">
        <v>16</v>
      </c>
      <c r="G6" s="68">
        <f>(I50-I19)/(D50-(SUM(D42:D44)+D19))</f>
        <v>31.585369707370976</v>
      </c>
    </row>
    <row r="7" spans="1:11" ht="15.75" x14ac:dyDescent="0.25">
      <c r="A7" s="67" t="s">
        <v>17</v>
      </c>
      <c r="B7" s="66"/>
      <c r="C7" s="65">
        <f>ROUND(C6*60*15%/360*1.08+C6,1)</f>
        <v>27.7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26.7</v>
      </c>
      <c r="D10" s="30"/>
      <c r="E10" s="29">
        <f t="shared" ref="E10:E19" si="1">D10/$D$19</f>
        <v>0</v>
      </c>
      <c r="F10" s="28">
        <f t="shared" ref="F10:F18" si="2">C10-(C10*$E$6)</f>
        <v>26.635816836691369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27.8</v>
      </c>
      <c r="D11" s="30"/>
      <c r="E11" s="29">
        <f t="shared" si="1"/>
        <v>0</v>
      </c>
      <c r="F11" s="28">
        <f t="shared" si="2"/>
        <v>27.733172586517604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25.4</v>
      </c>
      <c r="D12" s="30">
        <v>335</v>
      </c>
      <c r="E12" s="29">
        <f t="shared" si="1"/>
        <v>1</v>
      </c>
      <c r="F12" s="28">
        <f t="shared" si="2"/>
        <v>25.338941859623997</v>
      </c>
      <c r="G12" s="27" t="str">
        <f t="shared" si="3"/>
        <v>-</v>
      </c>
      <c r="H12" s="34">
        <f t="shared" si="4"/>
        <v>8509</v>
      </c>
      <c r="I12" s="34">
        <f t="shared" si="5"/>
        <v>8488.5455229740382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27.8</v>
      </c>
      <c r="D13" s="30"/>
      <c r="E13" s="29">
        <f t="shared" si="1"/>
        <v>0</v>
      </c>
      <c r="F13" s="28">
        <f t="shared" si="2"/>
        <v>27.733172586517604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31.1</v>
      </c>
      <c r="D14" s="30"/>
      <c r="E14" s="29">
        <f t="shared" si="1"/>
        <v>0</v>
      </c>
      <c r="F14" s="28">
        <f t="shared" si="2"/>
        <v>31.025239835996313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25.6</v>
      </c>
      <c r="D15" s="30"/>
      <c r="E15" s="29">
        <f t="shared" si="1"/>
        <v>0</v>
      </c>
      <c r="F15" s="28">
        <f t="shared" si="2"/>
        <v>25.538461086865134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35.1</v>
      </c>
      <c r="D16" s="30"/>
      <c r="E16" s="29">
        <f t="shared" si="1"/>
        <v>0</v>
      </c>
      <c r="F16" s="28">
        <f t="shared" si="2"/>
        <v>35.015624380818991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51.6</v>
      </c>
      <c r="D17" s="30"/>
      <c r="E17" s="29">
        <f t="shared" si="1"/>
        <v>0</v>
      </c>
      <c r="F17" s="28">
        <f t="shared" si="2"/>
        <v>51.475960628212533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45.2</v>
      </c>
      <c r="D18" s="30"/>
      <c r="E18" s="29">
        <f t="shared" si="1"/>
        <v>0</v>
      </c>
      <c r="F18" s="28">
        <f t="shared" si="2"/>
        <v>45.091345356496255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25.4</v>
      </c>
      <c r="D19" s="49">
        <f>SUM(D10:D18)</f>
        <v>335</v>
      </c>
      <c r="E19" s="48">
        <f t="shared" si="1"/>
        <v>1</v>
      </c>
      <c r="F19" s="47">
        <f>I19/D19</f>
        <v>25.338941859623993</v>
      </c>
      <c r="G19" s="46">
        <f>F19/C19-1</f>
        <v>-2.4038637943308849E-3</v>
      </c>
      <c r="H19" s="9">
        <f>SUM(H10:H18)</f>
        <v>8509</v>
      </c>
      <c r="I19" s="9">
        <f>SUM(I10:I18)</f>
        <v>8488.5455229740382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67.2</v>
      </c>
      <c r="D21" s="30">
        <v>46</v>
      </c>
      <c r="E21" s="29">
        <f>D21/$D$48</f>
        <v>1.424589656240322E-2</v>
      </c>
      <c r="F21" s="28">
        <f>C21-(C21*$E$6)</f>
        <v>67.03846035302098</v>
      </c>
      <c r="G21" s="27" t="str">
        <f>IF(C21&gt;=F21,"-","+")</f>
        <v>-</v>
      </c>
      <c r="H21" s="26">
        <f>C21*D21</f>
        <v>3091.2000000000003</v>
      </c>
      <c r="I21" s="26">
        <f>F21*D21</f>
        <v>3083.769176238965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45.1</v>
      </c>
      <c r="D22" s="30">
        <v>86</v>
      </c>
      <c r="E22" s="29">
        <f>D22/$D$48</f>
        <v>2.6633632703623414E-2</v>
      </c>
      <c r="F22" s="28">
        <f>C22-(C22*$E$6)</f>
        <v>44.991585742875685</v>
      </c>
      <c r="G22" s="27" t="str">
        <f>IF(C22&gt;=F22,"-","+")</f>
        <v>-</v>
      </c>
      <c r="H22" s="26">
        <f>C22*D22</f>
        <v>3878.6</v>
      </c>
      <c r="I22" s="26">
        <f>F22*D22</f>
        <v>3869.2763738873091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41.1</v>
      </c>
      <c r="D23" s="30">
        <v>80</v>
      </c>
      <c r="E23" s="29">
        <f>D23/$D$48</f>
        <v>2.4775472282440383E-2</v>
      </c>
      <c r="F23" s="28">
        <f>C23-(C23*$E$6)</f>
        <v>41.001201198053003</v>
      </c>
      <c r="G23" s="27" t="str">
        <f>IF(C23&gt;=F23,"-","+")</f>
        <v>-</v>
      </c>
      <c r="H23" s="26">
        <f>C23*D23</f>
        <v>3288</v>
      </c>
      <c r="I23" s="26">
        <f>F23*D23</f>
        <v>3280.0960958442402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48.385849056603767</v>
      </c>
      <c r="D24" s="22">
        <f>SUM(D21:D23)</f>
        <v>212</v>
      </c>
      <c r="E24" s="21">
        <f>D24/$D$48</f>
        <v>6.5655001548467012E-2</v>
      </c>
      <c r="F24" s="20">
        <f>I24/D24</f>
        <v>48.269536065898649</v>
      </c>
      <c r="G24" s="19">
        <f>F24/C24-1</f>
        <v>-2.4038637943306629E-3</v>
      </c>
      <c r="H24" s="18">
        <f>SUM(H21:H23)</f>
        <v>10257.799999999999</v>
      </c>
      <c r="I24" s="18">
        <f>SUM(I21:I23)</f>
        <v>10233.141645970514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35.799999999999997</v>
      </c>
      <c r="D26" s="30">
        <v>739</v>
      </c>
      <c r="E26" s="29">
        <f t="shared" ref="E26:E32" si="7">D26/$D$48</f>
        <v>0.22886342520904304</v>
      </c>
      <c r="F26" s="28">
        <f t="shared" ref="F26:F31" si="8">C26-(C26*$E$6)</f>
        <v>35.713941676162953</v>
      </c>
      <c r="G26" s="27" t="str">
        <f t="shared" ref="G26:G31" si="9">IF(C26&gt;=F26,"-","+")</f>
        <v>-</v>
      </c>
      <c r="H26" s="26">
        <f t="shared" ref="H26:H31" si="10">C26*D26</f>
        <v>26456.199999999997</v>
      </c>
      <c r="I26" s="26">
        <f t="shared" ref="I26:I31" si="11">F26*D26</f>
        <v>26392.602898684421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31.9</v>
      </c>
      <c r="D27" s="30">
        <v>477</v>
      </c>
      <c r="E27" s="29">
        <f t="shared" si="7"/>
        <v>0.14772375348405078</v>
      </c>
      <c r="F27" s="28">
        <f t="shared" si="8"/>
        <v>31.823316744960845</v>
      </c>
      <c r="G27" s="27" t="str">
        <f t="shared" si="9"/>
        <v>-</v>
      </c>
      <c r="H27" s="26">
        <f t="shared" si="10"/>
        <v>15216.3</v>
      </c>
      <c r="I27" s="26">
        <f t="shared" si="11"/>
        <v>15179.722087346323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31.9</v>
      </c>
      <c r="D28" s="30">
        <v>341</v>
      </c>
      <c r="E28" s="29">
        <f t="shared" si="7"/>
        <v>0.10560545060390214</v>
      </c>
      <c r="F28" s="28">
        <f t="shared" si="8"/>
        <v>31.823316744960845</v>
      </c>
      <c r="G28" s="27" t="str">
        <f t="shared" si="9"/>
        <v>-</v>
      </c>
      <c r="H28" s="26">
        <f t="shared" si="10"/>
        <v>10877.9</v>
      </c>
      <c r="I28" s="26">
        <f t="shared" si="11"/>
        <v>10851.751010031649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30.8</v>
      </c>
      <c r="D29" s="30">
        <v>322</v>
      </c>
      <c r="E29" s="29">
        <f t="shared" si="7"/>
        <v>9.9721275936822548E-2</v>
      </c>
      <c r="F29" s="28">
        <f t="shared" si="8"/>
        <v>30.725960995134614</v>
      </c>
      <c r="G29" s="27" t="str">
        <f t="shared" si="9"/>
        <v>-</v>
      </c>
      <c r="H29" s="26">
        <f t="shared" si="10"/>
        <v>9917.6</v>
      </c>
      <c r="I29" s="26">
        <f t="shared" si="11"/>
        <v>9893.7594404333449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30.8</v>
      </c>
      <c r="D30" s="30">
        <v>93</v>
      </c>
      <c r="E30" s="29">
        <f t="shared" si="7"/>
        <v>2.8801486528336945E-2</v>
      </c>
      <c r="F30" s="28">
        <f t="shared" si="8"/>
        <v>30.725960995134614</v>
      </c>
      <c r="G30" s="27" t="str">
        <f t="shared" si="9"/>
        <v>-</v>
      </c>
      <c r="H30" s="26">
        <f t="shared" si="10"/>
        <v>2864.4</v>
      </c>
      <c r="I30" s="26">
        <f t="shared" si="11"/>
        <v>2857.5143725475191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31.4</v>
      </c>
      <c r="D31" s="30">
        <v>50</v>
      </c>
      <c r="E31" s="29">
        <f t="shared" si="7"/>
        <v>1.548467017652524E-2</v>
      </c>
      <c r="F31" s="28">
        <f t="shared" si="8"/>
        <v>31.324518676858013</v>
      </c>
      <c r="G31" s="27" t="str">
        <f t="shared" si="9"/>
        <v>-</v>
      </c>
      <c r="H31" s="26">
        <f t="shared" si="10"/>
        <v>1570</v>
      </c>
      <c r="I31" s="26">
        <f t="shared" si="11"/>
        <v>1566.2259338429005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33.087240356083086</v>
      </c>
      <c r="D32" s="22">
        <f>SUM(D26:D31)</f>
        <v>2022</v>
      </c>
      <c r="E32" s="21">
        <f t="shared" si="7"/>
        <v>0.62620006193868072</v>
      </c>
      <c r="F32" s="20">
        <f>I32/D32</f>
        <v>33.007703136936776</v>
      </c>
      <c r="G32" s="19">
        <f>F32/C32-1</f>
        <v>-2.4038637943308849E-3</v>
      </c>
      <c r="H32" s="18">
        <f>SUM(H26:H31)</f>
        <v>66902.399999999994</v>
      </c>
      <c r="I32" s="18">
        <f>SUM(I26:I31)</f>
        <v>66741.575742886154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488</v>
      </c>
      <c r="E34" s="29">
        <f t="shared" ref="E34:E40" si="13">D34/$D$48</f>
        <v>0.15113038092288633</v>
      </c>
      <c r="F34" s="28">
        <f t="shared" ref="F34:F39" si="14">C34-(C34*$E$6)</f>
        <v>18.854566974287145</v>
      </c>
      <c r="G34" s="27" t="str">
        <f t="shared" ref="G34:G39" si="15">IF(C34&gt;=F34,"-","+")</f>
        <v>-</v>
      </c>
      <c r="H34" s="26">
        <f t="shared" ref="H34:H39" si="16">C34*D34</f>
        <v>9223.1999999999989</v>
      </c>
      <c r="I34" s="26">
        <f t="shared" ref="I34:I39" si="17">F34*D34</f>
        <v>9201.0286834521266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14.5</v>
      </c>
      <c r="D35" s="30">
        <v>21</v>
      </c>
      <c r="E35" s="29">
        <f t="shared" si="13"/>
        <v>6.5035614741406006E-3</v>
      </c>
      <c r="F35" s="28">
        <f t="shared" si="14"/>
        <v>14.465143974982205</v>
      </c>
      <c r="G35" s="27" t="str">
        <f t="shared" si="15"/>
        <v>-</v>
      </c>
      <c r="H35" s="26">
        <f t="shared" si="16"/>
        <v>304.5</v>
      </c>
      <c r="I35" s="26">
        <f t="shared" si="17"/>
        <v>303.76802347462632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11.67187479360633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30.8</v>
      </c>
      <c r="D37" s="30"/>
      <c r="E37" s="29">
        <f t="shared" si="13"/>
        <v>0</v>
      </c>
      <c r="F37" s="28">
        <f t="shared" si="14"/>
        <v>30.725960995134614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30.8</v>
      </c>
      <c r="D38" s="30"/>
      <c r="E38" s="29">
        <f t="shared" si="13"/>
        <v>0</v>
      </c>
      <c r="F38" s="28">
        <f t="shared" si="14"/>
        <v>30.725960995134614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31.9</v>
      </c>
      <c r="D39" s="30"/>
      <c r="E39" s="29">
        <f t="shared" si="13"/>
        <v>0</v>
      </c>
      <c r="F39" s="28">
        <f t="shared" si="14"/>
        <v>31.823316744960845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18.718467583497052</v>
      </c>
      <c r="D40" s="22">
        <f>SUM(D34:D39)</f>
        <v>509</v>
      </c>
      <c r="E40" s="21">
        <f t="shared" si="13"/>
        <v>0.15763394239702694</v>
      </c>
      <c r="F40" s="20">
        <f>I40/D40</f>
        <v>18.673470936987727</v>
      </c>
      <c r="G40" s="19">
        <f>F40/C40-1</f>
        <v>-2.4038637943308849E-3</v>
      </c>
      <c r="H40" s="18">
        <f>SUM(H34:H39)</f>
        <v>9527.6999999999989</v>
      </c>
      <c r="I40" s="18">
        <f>SUM(I34:I39)</f>
        <v>9504.7967069267524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449</v>
      </c>
      <c r="E42" s="29">
        <f>D42/$D$48</f>
        <v>0.13905233818519666</v>
      </c>
      <c r="F42" s="28">
        <f>C42-(C42*$E$6)</f>
        <v>0.39903845448226771</v>
      </c>
      <c r="G42" s="27" t="str">
        <f>IF(C42&gt;=F42,"-","+")</f>
        <v>-</v>
      </c>
      <c r="H42" s="26">
        <f>C42*D42</f>
        <v>179.60000000000002</v>
      </c>
      <c r="I42" s="26">
        <f>F42*D42</f>
        <v>179.16826606253821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29</v>
      </c>
      <c r="E43" s="29">
        <f>D43/$D$48</f>
        <v>8.9811087023846398E-3</v>
      </c>
      <c r="F43" s="28">
        <f>C43-(C43*$E$6)</f>
        <v>0.39903845448226771</v>
      </c>
      <c r="G43" s="27" t="str">
        <f>IF(C43&gt;=F43,"-","+")</f>
        <v>-</v>
      </c>
      <c r="H43" s="26">
        <f>C43*D43</f>
        <v>11.600000000000001</v>
      </c>
      <c r="I43" s="26">
        <f>F43*D43</f>
        <v>11.572115179985763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</v>
      </c>
      <c r="E44" s="29">
        <f>D44/$D$48</f>
        <v>2.1678538247135335E-3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</v>
      </c>
      <c r="E45" s="29">
        <f>D45/$D$48</f>
        <v>3.0969340353050479E-4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0.39341563786008232</v>
      </c>
      <c r="D46" s="22">
        <f>SUM(D41:D45)</f>
        <v>486</v>
      </c>
      <c r="E46" s="21">
        <f>D46/$D$48</f>
        <v>0.15051099411582533</v>
      </c>
      <c r="F46" s="20">
        <f>I46/D46</f>
        <v>0.39246992025210692</v>
      </c>
      <c r="G46" s="19">
        <f>F46/C46-1</f>
        <v>-2.4038637943307739E-3</v>
      </c>
      <c r="H46" s="18">
        <f>SUM(H41:H44)</f>
        <v>191.20000000000002</v>
      </c>
      <c r="I46" s="18">
        <f>SUM(I41:I44)</f>
        <v>190.74038124252397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100.58497263404398</v>
      </c>
      <c r="D48" s="13">
        <f>D24+D32+D40+D46</f>
        <v>3229</v>
      </c>
      <c r="E48" s="12">
        <f>SUM(E20:E46)/2</f>
        <v>1</v>
      </c>
      <c r="F48" s="11">
        <f>I48/D48</f>
        <v>26.841206093845141</v>
      </c>
      <c r="G48" s="10"/>
      <c r="H48" s="9">
        <f>SUM(H20:H46)/2</f>
        <v>86879.1</v>
      </c>
      <c r="I48" s="9">
        <f>SUM(I20:I46)/2</f>
        <v>86670.254477025956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3564</v>
      </c>
      <c r="E50" s="12">
        <f>D50/G2</f>
        <v>1</v>
      </c>
      <c r="F50" s="11">
        <f>I50/D50</f>
        <v>26.699999999999996</v>
      </c>
      <c r="G50" s="10"/>
      <c r="H50" s="9">
        <f>H48+H19</f>
        <v>95388.1</v>
      </c>
      <c r="I50" s="9">
        <f>I48+I19</f>
        <v>95158.799999999988</v>
      </c>
      <c r="J50" s="106">
        <f>D50-G2</f>
        <v>0</v>
      </c>
      <c r="K50" s="8"/>
    </row>
    <row r="51" spans="1:11" ht="23.25" x14ac:dyDescent="0.35">
      <c r="A51" s="168" t="s">
        <v>92</v>
      </c>
      <c r="B51" s="169"/>
      <c r="C51" s="170"/>
      <c r="G51" s="7"/>
      <c r="H51" s="6"/>
      <c r="I51" s="6">
        <f>+I50/D50</f>
        <v>26.699999999999996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J56"/>
  <sheetViews>
    <sheetView topLeftCell="A14" workbookViewId="0">
      <selection activeCell="D26" sqref="D26"/>
    </sheetView>
  </sheetViews>
  <sheetFormatPr defaultColWidth="8.85546875" defaultRowHeight="12" x14ac:dyDescent="0.2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6384" width="8.85546875" style="1"/>
  </cols>
  <sheetData>
    <row r="1" spans="1:9" s="61" customFormat="1" ht="20.100000000000001" customHeight="1" thickBot="1" x14ac:dyDescent="0.3">
      <c r="A1" s="103" t="s">
        <v>0</v>
      </c>
      <c r="B1" s="102"/>
      <c r="C1" s="101" t="s">
        <v>89</v>
      </c>
      <c r="D1" s="100" t="s">
        <v>1</v>
      </c>
      <c r="E1" s="168" t="s">
        <v>75</v>
      </c>
      <c r="F1" s="169"/>
      <c r="G1" s="170"/>
      <c r="H1" s="62"/>
      <c r="I1" s="62"/>
    </row>
    <row r="2" spans="1:9" s="61" customFormat="1" ht="20.100000000000001" customHeight="1" x14ac:dyDescent="0.25">
      <c r="A2" s="99" t="s">
        <v>2</v>
      </c>
      <c r="B2" s="98"/>
      <c r="C2" s="101" t="s">
        <v>91</v>
      </c>
      <c r="D2" s="96" t="s">
        <v>3</v>
      </c>
      <c r="E2" s="95" t="s">
        <v>71</v>
      </c>
      <c r="F2" s="94" t="s">
        <v>5</v>
      </c>
      <c r="G2" s="93">
        <v>3563.5</v>
      </c>
      <c r="H2" s="62"/>
      <c r="I2" s="62"/>
    </row>
    <row r="3" spans="1:9" s="61" customFormat="1" ht="20.100000000000001" customHeight="1" x14ac:dyDescent="0.25">
      <c r="A3" s="92" t="s">
        <v>6</v>
      </c>
      <c r="B3" s="91"/>
      <c r="C3" s="89" t="s">
        <v>77</v>
      </c>
      <c r="D3" s="90" t="s">
        <v>7</v>
      </c>
      <c r="E3" s="89">
        <v>48</v>
      </c>
      <c r="F3" s="88" t="s">
        <v>8</v>
      </c>
      <c r="G3" s="87">
        <v>26.7</v>
      </c>
      <c r="H3" s="62"/>
      <c r="I3" s="62"/>
    </row>
    <row r="4" spans="1:9" s="61" customFormat="1" ht="20.100000000000001" customHeight="1" thickBot="1" x14ac:dyDescent="0.3">
      <c r="A4" s="86" t="s">
        <v>9</v>
      </c>
      <c r="B4" s="85"/>
      <c r="C4" s="84">
        <v>25</v>
      </c>
      <c r="D4" s="83" t="s">
        <v>11</v>
      </c>
      <c r="E4" s="82">
        <f>G2/E3</f>
        <v>74.239583333333329</v>
      </c>
      <c r="F4" s="81" t="s">
        <v>12</v>
      </c>
      <c r="G4" s="80">
        <f>G2*G3</f>
        <v>95145.45</v>
      </c>
      <c r="H4" s="62"/>
      <c r="I4" s="62"/>
    </row>
    <row r="5" spans="1:9" s="75" customFormat="1" ht="15.6" customHeight="1" x14ac:dyDescent="0.2">
      <c r="B5" s="79"/>
      <c r="D5" s="76"/>
      <c r="E5" s="78"/>
      <c r="F5" s="75" t="s">
        <v>13</v>
      </c>
      <c r="G5" s="77" t="str">
        <f>IF(G4=I50,"DOĞRU","HATA VAR")</f>
        <v>DOĞRU</v>
      </c>
      <c r="H5" s="76"/>
      <c r="I5" s="76"/>
    </row>
    <row r="6" spans="1:9" ht="23.25" x14ac:dyDescent="0.35">
      <c r="A6" s="74" t="s">
        <v>14</v>
      </c>
      <c r="B6" s="73"/>
      <c r="C6" s="72">
        <v>27</v>
      </c>
      <c r="D6" s="71" t="s">
        <v>15</v>
      </c>
      <c r="E6" s="70">
        <f>1-G4/H50</f>
        <v>2.0914604101366363E-3</v>
      </c>
      <c r="F6" s="69" t="s">
        <v>16</v>
      </c>
      <c r="G6" s="68">
        <f>(I50-I19)/(D50-(SUM(D42:D44)+D19))</f>
        <v>31.589669336658069</v>
      </c>
    </row>
    <row r="7" spans="1:9" s="61" customFormat="1" ht="23.1" customHeight="1" thickBot="1" x14ac:dyDescent="0.3">
      <c r="A7" s="67" t="s">
        <v>17</v>
      </c>
      <c r="B7" s="66"/>
      <c r="C7" s="65">
        <f>ROUND(C6*60*15%/360*1.08+C6,1)</f>
        <v>27.7</v>
      </c>
      <c r="D7" s="64"/>
      <c r="E7" s="63"/>
      <c r="H7" s="62"/>
      <c r="I7" s="62"/>
    </row>
    <row r="8" spans="1:9" s="40" customFormat="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</row>
    <row r="9" spans="1:9" ht="20.100000000000001" customHeight="1" x14ac:dyDescent="0.2">
      <c r="A9" s="39" t="s">
        <v>24</v>
      </c>
      <c r="D9" s="53"/>
      <c r="E9" s="16"/>
    </row>
    <row r="10" spans="1:9" s="52" customFormat="1" ht="15" customHeight="1" x14ac:dyDescent="0.25">
      <c r="A10" s="25" t="s">
        <v>25</v>
      </c>
      <c r="B10" s="32">
        <v>1</v>
      </c>
      <c r="C10" s="31">
        <f t="shared" ref="C10:C18" si="0">ROUND($G$3*B10,1)</f>
        <v>26.7</v>
      </c>
      <c r="D10" s="30"/>
      <c r="E10" s="29">
        <f t="shared" ref="E10:E19" si="1">D10/$D$19</f>
        <v>0</v>
      </c>
      <c r="F10" s="28">
        <f t="shared" ref="F10:F18" si="2">C10-(C10*$E$6)</f>
        <v>26.644158007049352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</row>
    <row r="11" spans="1:9" s="52" customFormat="1" ht="15" customHeight="1" x14ac:dyDescent="0.25">
      <c r="A11" s="25" t="s">
        <v>26</v>
      </c>
      <c r="B11" s="32">
        <v>1.041382</v>
      </c>
      <c r="C11" s="31">
        <f t="shared" si="0"/>
        <v>27.8</v>
      </c>
      <c r="D11" s="30"/>
      <c r="E11" s="29">
        <f t="shared" si="1"/>
        <v>0</v>
      </c>
      <c r="F11" s="28">
        <f t="shared" si="2"/>
        <v>27.741857400598203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</row>
    <row r="12" spans="1:9" s="52" customFormat="1" ht="15" customHeight="1" x14ac:dyDescent="0.25">
      <c r="A12" s="25" t="s">
        <v>27</v>
      </c>
      <c r="B12" s="32">
        <v>0.95138199999999995</v>
      </c>
      <c r="C12" s="31">
        <f t="shared" si="0"/>
        <v>25.4</v>
      </c>
      <c r="D12" s="30">
        <v>334.9</v>
      </c>
      <c r="E12" s="29">
        <f t="shared" si="1"/>
        <v>1</v>
      </c>
      <c r="F12" s="28">
        <f t="shared" si="2"/>
        <v>25.346876905582526</v>
      </c>
      <c r="G12" s="27" t="str">
        <f t="shared" si="3"/>
        <v>-</v>
      </c>
      <c r="H12" s="34">
        <f t="shared" si="4"/>
        <v>8506.4599999999991</v>
      </c>
      <c r="I12" s="34">
        <f t="shared" si="5"/>
        <v>8488.669075679587</v>
      </c>
    </row>
    <row r="13" spans="1:9" s="52" customFormat="1" ht="15" customHeight="1" x14ac:dyDescent="0.25">
      <c r="A13" s="25" t="s">
        <v>28</v>
      </c>
      <c r="B13" s="32">
        <v>1.041382</v>
      </c>
      <c r="C13" s="31">
        <f t="shared" si="0"/>
        <v>27.8</v>
      </c>
      <c r="D13" s="30"/>
      <c r="E13" s="29">
        <f t="shared" si="1"/>
        <v>0</v>
      </c>
      <c r="F13" s="28">
        <f t="shared" si="2"/>
        <v>27.741857400598203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</row>
    <row r="14" spans="1:9" s="52" customFormat="1" ht="15" customHeight="1" x14ac:dyDescent="0.25">
      <c r="A14" s="25" t="s">
        <v>29</v>
      </c>
      <c r="B14" s="32">
        <v>1.1642144000000001</v>
      </c>
      <c r="C14" s="31">
        <f t="shared" si="0"/>
        <v>31.1</v>
      </c>
      <c r="D14" s="30"/>
      <c r="E14" s="29">
        <f t="shared" si="1"/>
        <v>0</v>
      </c>
      <c r="F14" s="28">
        <f t="shared" si="2"/>
        <v>31.034955581244752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</row>
    <row r="15" spans="1:9" s="52" customFormat="1" ht="15" customHeight="1" x14ac:dyDescent="0.25">
      <c r="A15" s="25" t="s">
        <v>30</v>
      </c>
      <c r="B15" s="32">
        <v>0.96</v>
      </c>
      <c r="C15" s="31">
        <f t="shared" si="0"/>
        <v>25.6</v>
      </c>
      <c r="D15" s="30"/>
      <c r="E15" s="29">
        <f t="shared" si="1"/>
        <v>0</v>
      </c>
      <c r="F15" s="28">
        <f t="shared" si="2"/>
        <v>25.546458613500505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</row>
    <row r="16" spans="1:9" s="52" customFormat="1" ht="15" customHeight="1" x14ac:dyDescent="0.25">
      <c r="A16" s="25" t="s">
        <v>31</v>
      </c>
      <c r="B16" s="32">
        <v>1.3142144</v>
      </c>
      <c r="C16" s="31">
        <f t="shared" si="0"/>
        <v>35.1</v>
      </c>
      <c r="D16" s="30"/>
      <c r="E16" s="29">
        <f t="shared" si="1"/>
        <v>0</v>
      </c>
      <c r="F16" s="28">
        <f t="shared" si="2"/>
        <v>35.026589739604205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</row>
    <row r="17" spans="1:9" s="52" customFormat="1" ht="15" x14ac:dyDescent="0.25">
      <c r="A17" s="25" t="s">
        <v>32</v>
      </c>
      <c r="B17" s="32">
        <v>1.9342143999999999</v>
      </c>
      <c r="C17" s="31">
        <f t="shared" si="0"/>
        <v>51.6</v>
      </c>
      <c r="D17" s="30"/>
      <c r="E17" s="29">
        <f t="shared" si="1"/>
        <v>0</v>
      </c>
      <c r="F17" s="28">
        <f t="shared" si="2"/>
        <v>51.492080642836953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</row>
    <row r="18" spans="1:9" s="52" customFormat="1" ht="15.75" thickBot="1" x14ac:dyDescent="0.3">
      <c r="A18" s="25" t="s">
        <v>33</v>
      </c>
      <c r="B18" s="32">
        <v>1.6942143999999999</v>
      </c>
      <c r="C18" s="31">
        <f t="shared" si="0"/>
        <v>45.2</v>
      </c>
      <c r="D18" s="30"/>
      <c r="E18" s="29">
        <f t="shared" si="1"/>
        <v>0</v>
      </c>
      <c r="F18" s="28">
        <f t="shared" si="2"/>
        <v>45.105465989461827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</row>
    <row r="19" spans="1:9" s="8" customFormat="1" ht="16.5" thickTop="1" thickBot="1" x14ac:dyDescent="0.3">
      <c r="A19" s="51" t="s">
        <v>34</v>
      </c>
      <c r="B19" s="50"/>
      <c r="C19" s="47">
        <f>H19/D19</f>
        <v>25.4</v>
      </c>
      <c r="D19" s="49">
        <f>SUM(D10:D18)</f>
        <v>334.9</v>
      </c>
      <c r="E19" s="48">
        <f t="shared" si="1"/>
        <v>1</v>
      </c>
      <c r="F19" s="47">
        <f>I19/D19</f>
        <v>25.346876905582526</v>
      </c>
      <c r="G19" s="46">
        <f>F19/C19-1</f>
        <v>-2.0914604101367473E-3</v>
      </c>
      <c r="H19" s="9">
        <f>SUM(H10:H18)</f>
        <v>8506.4599999999991</v>
      </c>
      <c r="I19" s="9">
        <f>SUM(I10:I18)</f>
        <v>8488.669075679587</v>
      </c>
    </row>
    <row r="20" spans="1:9" s="40" customFormat="1" ht="12.75" thickTop="1" x14ac:dyDescent="0.25">
      <c r="A20" s="39" t="s">
        <v>35</v>
      </c>
      <c r="B20" s="45"/>
      <c r="D20" s="44"/>
      <c r="E20" s="43"/>
      <c r="H20" s="42"/>
      <c r="I20" s="41"/>
    </row>
    <row r="21" spans="1:9" s="25" customFormat="1" ht="15" x14ac:dyDescent="0.25">
      <c r="A21" s="25" t="s">
        <v>36</v>
      </c>
      <c r="B21" s="32">
        <v>2.5150000000000001</v>
      </c>
      <c r="C21" s="31">
        <f>ROUND($G$3*B21,1)</f>
        <v>67.2</v>
      </c>
      <c r="D21" s="30">
        <v>45.8</v>
      </c>
      <c r="E21" s="29">
        <f>D21/$D$48</f>
        <v>1.4187472895111826E-2</v>
      </c>
      <c r="F21" s="28">
        <f>C21-(C21*$E$6)</f>
        <v>67.059453860438822</v>
      </c>
      <c r="G21" s="27" t="str">
        <f>IF(C21&gt;=F21,"-","+")</f>
        <v>-</v>
      </c>
      <c r="H21" s="26">
        <f>C21*D21</f>
        <v>3077.7599999999998</v>
      </c>
      <c r="I21" s="26">
        <f>F21*D21</f>
        <v>3071.322986808098</v>
      </c>
    </row>
    <row r="22" spans="1:9" s="25" customFormat="1" ht="15" x14ac:dyDescent="0.25">
      <c r="A22" s="25" t="s">
        <v>37</v>
      </c>
      <c r="B22" s="32">
        <v>1.6890000000000001</v>
      </c>
      <c r="C22" s="31">
        <f>ROUND($G$3*B22,1)</f>
        <v>45.1</v>
      </c>
      <c r="D22" s="30">
        <v>85.6</v>
      </c>
      <c r="E22" s="29">
        <f>D22/$D$48</f>
        <v>2.6516324886933895E-2</v>
      </c>
      <c r="F22" s="28">
        <f>C22-(C22*$E$6)</f>
        <v>45.005675135502841</v>
      </c>
      <c r="G22" s="27" t="str">
        <f>IF(C22&gt;=F22,"-","+")</f>
        <v>-</v>
      </c>
      <c r="H22" s="26">
        <f>C22*D22</f>
        <v>3860.56</v>
      </c>
      <c r="I22" s="26">
        <f>F22*D22</f>
        <v>3852.4857915990428</v>
      </c>
    </row>
    <row r="23" spans="1:9" s="25" customFormat="1" ht="15.75" thickBot="1" x14ac:dyDescent="0.3">
      <c r="A23" s="25" t="s">
        <v>38</v>
      </c>
      <c r="B23" s="32">
        <v>1.54</v>
      </c>
      <c r="C23" s="31">
        <f>ROUND($G$3*B23,1)</f>
        <v>41.1</v>
      </c>
      <c r="D23" s="30">
        <v>80.400000000000006</v>
      </c>
      <c r="E23" s="29">
        <f>D23/$D$48</f>
        <v>2.4905520104082774E-2</v>
      </c>
      <c r="F23" s="28">
        <f>C23-(C23*$E$6)</f>
        <v>41.014040977143388</v>
      </c>
      <c r="G23" s="27" t="str">
        <f>IF(C23&gt;=F23,"-","+")</f>
        <v>-</v>
      </c>
      <c r="H23" s="26">
        <f>C23*D23</f>
        <v>3304.4400000000005</v>
      </c>
      <c r="I23" s="26">
        <f>F23*D23</f>
        <v>3297.5288945623288</v>
      </c>
    </row>
    <row r="24" spans="1:9" s="17" customFormat="1" ht="13.5" thickBot="1" x14ac:dyDescent="0.3">
      <c r="A24" s="24" t="s">
        <v>34</v>
      </c>
      <c r="B24" s="23"/>
      <c r="C24" s="20">
        <f>H24/D24</f>
        <v>48.360528800755432</v>
      </c>
      <c r="D24" s="22">
        <f>SUM(D21:D23)</f>
        <v>211.79999999999998</v>
      </c>
      <c r="E24" s="21">
        <f>D24/$D$48</f>
        <v>6.560931788612849E-2</v>
      </c>
      <c r="F24" s="20">
        <f>I24/D24</f>
        <v>48.259384669355384</v>
      </c>
      <c r="G24" s="19">
        <f>F24/C24-1</f>
        <v>-2.0914604101365253E-3</v>
      </c>
      <c r="H24" s="18">
        <f>SUM(H21:H23)</f>
        <v>10242.76</v>
      </c>
      <c r="I24" s="18">
        <f>SUM(I21:I23)</f>
        <v>10221.33767296947</v>
      </c>
    </row>
    <row r="25" spans="1:9" s="40" customFormat="1" x14ac:dyDescent="0.25">
      <c r="A25" s="39" t="s">
        <v>39</v>
      </c>
      <c r="B25" s="45"/>
      <c r="D25" s="44"/>
      <c r="E25" s="43"/>
      <c r="H25" s="42"/>
      <c r="I25" s="41"/>
    </row>
    <row r="26" spans="1:9" s="25" customFormat="1" ht="15" x14ac:dyDescent="0.25">
      <c r="A26" s="25" t="s">
        <v>40</v>
      </c>
      <c r="B26" s="32">
        <v>1.3420000000000001</v>
      </c>
      <c r="C26" s="31">
        <f t="shared" ref="C26:C31" si="6">ROUND($G$3*B26,1)</f>
        <v>35.799999999999997</v>
      </c>
      <c r="D26" s="30">
        <f>75+663.4</f>
        <v>738.4</v>
      </c>
      <c r="E26" s="29">
        <f t="shared" ref="E26:E32" si="7">D26/$D$48</f>
        <v>0.22873427916485967</v>
      </c>
      <c r="F26" s="28">
        <f t="shared" ref="F26:F31" si="8">C26-(C26*$E$6)</f>
        <v>35.725125717317106</v>
      </c>
      <c r="G26" s="27" t="str">
        <f t="shared" ref="G26:G31" si="9">IF(C26&gt;=F26,"-","+")</f>
        <v>-</v>
      </c>
      <c r="H26" s="26">
        <f t="shared" ref="H26:H31" si="10">C26*D26</f>
        <v>26434.719999999998</v>
      </c>
      <c r="I26" s="26">
        <f t="shared" ref="I26:I31" si="11">F26*D26</f>
        <v>26379.432829666948</v>
      </c>
    </row>
    <row r="27" spans="1:9" s="25" customFormat="1" ht="15" x14ac:dyDescent="0.25">
      <c r="A27" s="25" t="s">
        <v>41</v>
      </c>
      <c r="B27" s="32">
        <v>1.1950000000000001</v>
      </c>
      <c r="C27" s="31">
        <f t="shared" si="6"/>
        <v>31.9</v>
      </c>
      <c r="D27" s="30">
        <v>476.6</v>
      </c>
      <c r="E27" s="29">
        <f t="shared" si="7"/>
        <v>0.14763645375131654</v>
      </c>
      <c r="F27" s="28">
        <f t="shared" si="8"/>
        <v>31.833282412916638</v>
      </c>
      <c r="G27" s="27" t="str">
        <f t="shared" si="9"/>
        <v>-</v>
      </c>
      <c r="H27" s="26">
        <f t="shared" si="10"/>
        <v>15203.54</v>
      </c>
      <c r="I27" s="26">
        <f t="shared" si="11"/>
        <v>15171.742397996071</v>
      </c>
    </row>
    <row r="28" spans="1:9" s="25" customFormat="1" ht="15" x14ac:dyDescent="0.25">
      <c r="A28" s="25" t="s">
        <v>42</v>
      </c>
      <c r="B28" s="32">
        <v>1.1950000000000001</v>
      </c>
      <c r="C28" s="31">
        <f t="shared" si="6"/>
        <v>31.9</v>
      </c>
      <c r="D28" s="30">
        <v>340.6</v>
      </c>
      <c r="E28" s="29">
        <f t="shared" si="7"/>
        <v>0.10550771327674867</v>
      </c>
      <c r="F28" s="28">
        <f t="shared" si="8"/>
        <v>31.833282412916638</v>
      </c>
      <c r="G28" s="27" t="str">
        <f t="shared" si="9"/>
        <v>-</v>
      </c>
      <c r="H28" s="26">
        <f t="shared" si="10"/>
        <v>10865.14</v>
      </c>
      <c r="I28" s="26">
        <f t="shared" si="11"/>
        <v>10842.415989839408</v>
      </c>
    </row>
    <row r="29" spans="1:9" s="25" customFormat="1" ht="15" x14ac:dyDescent="0.25">
      <c r="A29" s="25" t="s">
        <v>43</v>
      </c>
      <c r="B29" s="32">
        <v>1.155</v>
      </c>
      <c r="C29" s="31">
        <f t="shared" si="6"/>
        <v>30.8</v>
      </c>
      <c r="D29" s="30">
        <v>322</v>
      </c>
      <c r="E29" s="29">
        <f t="shared" si="7"/>
        <v>9.9745988476550404E-2</v>
      </c>
      <c r="F29" s="28">
        <f t="shared" si="8"/>
        <v>30.735583019367791</v>
      </c>
      <c r="G29" s="27" t="str">
        <f t="shared" si="9"/>
        <v>-</v>
      </c>
      <c r="H29" s="26">
        <f t="shared" si="10"/>
        <v>9917.6</v>
      </c>
      <c r="I29" s="26">
        <f t="shared" si="11"/>
        <v>9896.857732236429</v>
      </c>
    </row>
    <row r="30" spans="1:9" s="25" customFormat="1" ht="15" x14ac:dyDescent="0.25">
      <c r="A30" s="25" t="s">
        <v>44</v>
      </c>
      <c r="B30" s="32">
        <v>1.155</v>
      </c>
      <c r="C30" s="31">
        <f t="shared" si="6"/>
        <v>30.8</v>
      </c>
      <c r="D30" s="30">
        <v>93.4</v>
      </c>
      <c r="E30" s="29">
        <f t="shared" si="7"/>
        <v>2.8932532061210586E-2</v>
      </c>
      <c r="F30" s="28">
        <f t="shared" si="8"/>
        <v>30.735583019367791</v>
      </c>
      <c r="G30" s="27" t="str">
        <f t="shared" si="9"/>
        <v>-</v>
      </c>
      <c r="H30" s="26">
        <f t="shared" si="10"/>
        <v>2876.7200000000003</v>
      </c>
      <c r="I30" s="26">
        <f t="shared" si="11"/>
        <v>2870.7034540089517</v>
      </c>
    </row>
    <row r="31" spans="1:9" s="25" customFormat="1" ht="15.75" thickBot="1" x14ac:dyDescent="0.3">
      <c r="A31" s="25" t="s">
        <v>45</v>
      </c>
      <c r="B31" s="32">
        <v>1.175</v>
      </c>
      <c r="C31" s="31">
        <f t="shared" si="6"/>
        <v>31.4</v>
      </c>
      <c r="D31" s="30">
        <v>50.2</v>
      </c>
      <c r="E31" s="29">
        <f t="shared" si="7"/>
        <v>1.5550461557524318E-2</v>
      </c>
      <c r="F31" s="28">
        <f t="shared" si="8"/>
        <v>31.334328143121709</v>
      </c>
      <c r="G31" s="27" t="str">
        <f t="shared" si="9"/>
        <v>-</v>
      </c>
      <c r="H31" s="26">
        <f t="shared" si="10"/>
        <v>1576.28</v>
      </c>
      <c r="I31" s="26">
        <f t="shared" si="11"/>
        <v>1572.9832727847099</v>
      </c>
    </row>
    <row r="32" spans="1:9" s="17" customFormat="1" ht="13.5" thickBot="1" x14ac:dyDescent="0.3">
      <c r="A32" s="24" t="s">
        <v>34</v>
      </c>
      <c r="B32" s="23"/>
      <c r="C32" s="20">
        <f>H32/D32</f>
        <v>33.086285375024737</v>
      </c>
      <c r="D32" s="22">
        <f>SUM(D26:D31)</f>
        <v>2021.2</v>
      </c>
      <c r="E32" s="21">
        <f t="shared" si="7"/>
        <v>0.6261074282882102</v>
      </c>
      <c r="F32" s="20">
        <f>I32/D32</f>
        <v>33.017086719044386</v>
      </c>
      <c r="G32" s="19">
        <f>F32/C32-1</f>
        <v>-2.0914604101367473E-3</v>
      </c>
      <c r="H32" s="18">
        <f>SUM(H26:H31)</f>
        <v>66874</v>
      </c>
      <c r="I32" s="18">
        <f>SUM(I26:I31)</f>
        <v>66734.135676532518</v>
      </c>
    </row>
    <row r="33" spans="1:9" s="40" customFormat="1" x14ac:dyDescent="0.25">
      <c r="A33" s="39" t="s">
        <v>46</v>
      </c>
      <c r="B33" s="45"/>
      <c r="D33" s="44"/>
      <c r="E33" s="43"/>
      <c r="H33" s="42"/>
      <c r="I33" s="41"/>
    </row>
    <row r="34" spans="1:9" s="25" customFormat="1" ht="15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488</v>
      </c>
      <c r="E34" s="29">
        <f t="shared" ref="E34:E40" si="13">D34/$D$48</f>
        <v>0.15116783346756707</v>
      </c>
      <c r="F34" s="28">
        <f t="shared" ref="F34:F39" si="14">C34-(C34*$E$6)</f>
        <v>18.860471398248418</v>
      </c>
      <c r="G34" s="27" t="str">
        <f t="shared" ref="G34:G39" si="15">IF(C34&gt;=F34,"-","+")</f>
        <v>-</v>
      </c>
      <c r="H34" s="26">
        <f t="shared" ref="H34:H39" si="16">C34*D34</f>
        <v>9223.1999999999989</v>
      </c>
      <c r="I34" s="26">
        <f t="shared" ref="I34:I39" si="17">F34*D34</f>
        <v>9203.9100423452273</v>
      </c>
    </row>
    <row r="35" spans="1:9" s="25" customFormat="1" ht="15" x14ac:dyDescent="0.25">
      <c r="A35" s="25" t="s">
        <v>48</v>
      </c>
      <c r="B35" s="32">
        <v>0.54348623799999995</v>
      </c>
      <c r="C35" s="31">
        <f t="shared" si="12"/>
        <v>14.5</v>
      </c>
      <c r="D35" s="30">
        <v>21.2</v>
      </c>
      <c r="E35" s="29">
        <f t="shared" si="13"/>
        <v>6.5671271916238156E-3</v>
      </c>
      <c r="F35" s="28">
        <f t="shared" si="14"/>
        <v>14.469673824053018</v>
      </c>
      <c r="G35" s="27" t="str">
        <f t="shared" si="15"/>
        <v>-</v>
      </c>
      <c r="H35" s="26">
        <f t="shared" si="16"/>
        <v>307.39999999999998</v>
      </c>
      <c r="I35" s="26">
        <f t="shared" si="17"/>
        <v>306.75708506992396</v>
      </c>
    </row>
    <row r="36" spans="1:9" s="25" customFormat="1" ht="15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11.6755299132014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</row>
    <row r="37" spans="1:9" s="25" customFormat="1" ht="15" x14ac:dyDescent="0.25">
      <c r="A37" s="25" t="s">
        <v>50</v>
      </c>
      <c r="B37" s="32">
        <v>1.155</v>
      </c>
      <c r="C37" s="31">
        <f t="shared" si="12"/>
        <v>30.8</v>
      </c>
      <c r="D37" s="30"/>
      <c r="E37" s="29">
        <f t="shared" si="13"/>
        <v>0</v>
      </c>
      <c r="F37" s="28">
        <f t="shared" si="14"/>
        <v>30.735583019367791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</row>
    <row r="38" spans="1:9" s="25" customFormat="1" ht="15" x14ac:dyDescent="0.25">
      <c r="A38" s="25" t="s">
        <v>51</v>
      </c>
      <c r="B38" s="32">
        <v>1.155</v>
      </c>
      <c r="C38" s="31">
        <f t="shared" si="12"/>
        <v>30.8</v>
      </c>
      <c r="D38" s="30"/>
      <c r="E38" s="29">
        <f t="shared" si="13"/>
        <v>0</v>
      </c>
      <c r="F38" s="28">
        <f t="shared" si="14"/>
        <v>30.735583019367791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</row>
    <row r="39" spans="1:9" s="25" customFormat="1" ht="15.75" thickBot="1" x14ac:dyDescent="0.3">
      <c r="A39" s="25" t="s">
        <v>52</v>
      </c>
      <c r="B39" s="32">
        <v>1.1950000000000001</v>
      </c>
      <c r="C39" s="31">
        <f t="shared" si="12"/>
        <v>31.9</v>
      </c>
      <c r="D39" s="30"/>
      <c r="E39" s="29">
        <f t="shared" si="13"/>
        <v>0</v>
      </c>
      <c r="F39" s="28">
        <f t="shared" si="14"/>
        <v>31.833282412916638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</row>
    <row r="40" spans="1:9" s="17" customFormat="1" ht="13.5" thickBot="1" x14ac:dyDescent="0.3">
      <c r="A40" s="24" t="s">
        <v>34</v>
      </c>
      <c r="B40" s="23"/>
      <c r="C40" s="20">
        <f>H40/D40</f>
        <v>18.716810683424978</v>
      </c>
      <c r="D40" s="22">
        <f>SUM(D34:D39)</f>
        <v>509.2</v>
      </c>
      <c r="E40" s="21">
        <f t="shared" si="13"/>
        <v>0.15773496065919088</v>
      </c>
      <c r="F40" s="20">
        <f>I40/D40</f>
        <v>18.677665214876576</v>
      </c>
      <c r="G40" s="19">
        <f>F40/C40-1</f>
        <v>-2.0914604101364143E-3</v>
      </c>
      <c r="H40" s="18">
        <f>SUM(H34:H39)</f>
        <v>9530.5999999999985</v>
      </c>
      <c r="I40" s="18">
        <f>SUM(I34:I39)</f>
        <v>9510.6671274151522</v>
      </c>
    </row>
    <row r="41" spans="1:9" s="33" customFormat="1" x14ac:dyDescent="0.2">
      <c r="A41" s="39" t="s">
        <v>53</v>
      </c>
      <c r="B41" s="38"/>
      <c r="D41" s="37"/>
      <c r="E41" s="36"/>
      <c r="H41" s="35"/>
      <c r="I41" s="34"/>
    </row>
    <row r="42" spans="1:9" s="25" customFormat="1" ht="15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449</v>
      </c>
      <c r="E42" s="29">
        <f>D42/$D$48</f>
        <v>0.13908679759618364</v>
      </c>
      <c r="F42" s="28">
        <f>C42-(C42*$E$6)</f>
        <v>0.39916341583594539</v>
      </c>
      <c r="G42" s="27" t="str">
        <f>IF(C42&gt;=F42,"-","+")</f>
        <v>-</v>
      </c>
      <c r="H42" s="26">
        <f>C42*D42</f>
        <v>179.60000000000002</v>
      </c>
      <c r="I42" s="26">
        <f>F42*D42</f>
        <v>179.22437371033948</v>
      </c>
    </row>
    <row r="43" spans="1:9" s="25" customFormat="1" ht="15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28.6</v>
      </c>
      <c r="E43" s="29">
        <f>D43/$D$48</f>
        <v>8.8594263056811853E-3</v>
      </c>
      <c r="F43" s="28">
        <f>C43-(C43*$E$6)</f>
        <v>0.39916341583594539</v>
      </c>
      <c r="G43" s="27" t="str">
        <f>IF(C43&gt;=F43,"-","+")</f>
        <v>-</v>
      </c>
      <c r="H43" s="26">
        <f>C43*D43</f>
        <v>11.440000000000001</v>
      </c>
      <c r="I43" s="26">
        <f>F43*D43</f>
        <v>11.416073692908039</v>
      </c>
    </row>
    <row r="44" spans="1:9" s="25" customFormat="1" ht="15" x14ac:dyDescent="0.25">
      <c r="A44" s="25" t="s">
        <v>56</v>
      </c>
      <c r="B44" s="32">
        <v>0</v>
      </c>
      <c r="C44" s="31">
        <f>ROUND($G$3*B44,1)</f>
        <v>0</v>
      </c>
      <c r="D44" s="30">
        <v>7.4</v>
      </c>
      <c r="E44" s="29">
        <f>D44/$D$48</f>
        <v>2.2922991140573697E-3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</row>
    <row r="45" spans="1:9" s="25" customFormat="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1</v>
      </c>
      <c r="E45" s="29">
        <f>D45/$D$48</f>
        <v>3.0977015054829319E-4</v>
      </c>
      <c r="F45" s="28">
        <f>C45-(C45*$E$6)</f>
        <v>0</v>
      </c>
      <c r="G45" s="27" t="str">
        <f>IF(C45&gt;=F45,"-","+")</f>
        <v>-</v>
      </c>
      <c r="H45" s="26"/>
      <c r="I45" s="26"/>
    </row>
    <row r="46" spans="1:9" s="17" customFormat="1" ht="13.5" thickBot="1" x14ac:dyDescent="0.3">
      <c r="A46" s="24" t="s">
        <v>34</v>
      </c>
      <c r="B46" s="23"/>
      <c r="C46" s="20">
        <f>H46/D46</f>
        <v>0.39308641975308645</v>
      </c>
      <c r="D46" s="22">
        <f>SUM(D41:D45)</f>
        <v>486</v>
      </c>
      <c r="E46" s="21">
        <f>D46/$D$48</f>
        <v>0.15054829316647048</v>
      </c>
      <c r="F46" s="20">
        <f>I46/D46</f>
        <v>0.39226429506841054</v>
      </c>
      <c r="G46" s="19">
        <f>F46/C46-1</f>
        <v>-2.0914604101365253E-3</v>
      </c>
      <c r="H46" s="18">
        <f>SUM(H41:H44)</f>
        <v>191.04000000000002</v>
      </c>
      <c r="I46" s="18">
        <f>SUM(I41:I44)</f>
        <v>190.64044740324752</v>
      </c>
    </row>
    <row r="47" spans="1:9" ht="12.75" thickBot="1" x14ac:dyDescent="0.25">
      <c r="E47" s="16"/>
    </row>
    <row r="48" spans="1:9" s="8" customFormat="1" ht="15.75" thickBot="1" x14ac:dyDescent="0.3">
      <c r="A48" s="10" t="s">
        <v>58</v>
      </c>
      <c r="B48" s="15"/>
      <c r="C48" s="11">
        <f>C24+C32+C40+C46</f>
        <v>100.55671127895823</v>
      </c>
      <c r="D48" s="13">
        <f>D24+D32+D40+D46</f>
        <v>3228.2</v>
      </c>
      <c r="E48" s="12">
        <f>SUM(E20:E46)/2</f>
        <v>1</v>
      </c>
      <c r="F48" s="11">
        <f>I48/D48</f>
        <v>26.843684072957188</v>
      </c>
      <c r="G48" s="10"/>
      <c r="H48" s="9">
        <f>SUM(H20:H46)/2</f>
        <v>86838.400000000023</v>
      </c>
      <c r="I48" s="9">
        <f>SUM(I20:I46)/2</f>
        <v>86656.780924320396</v>
      </c>
    </row>
    <row r="49" spans="1:10" ht="12.75" thickBot="1" x14ac:dyDescent="0.25">
      <c r="E49" s="16"/>
    </row>
    <row r="50" spans="1:10" s="8" customFormat="1" ht="15.75" thickBot="1" x14ac:dyDescent="0.3">
      <c r="A50" s="10" t="s">
        <v>59</v>
      </c>
      <c r="B50" s="15"/>
      <c r="C50" s="14"/>
      <c r="D50" s="13">
        <f>SUM(D10:D47)/2</f>
        <v>3563.0999999999995</v>
      </c>
      <c r="E50" s="12">
        <f>D50/G2</f>
        <v>0.99988775080679093</v>
      </c>
      <c r="F50" s="11">
        <f>I50/D50</f>
        <v>26.702997389913278</v>
      </c>
      <c r="G50" s="10"/>
      <c r="H50" s="9">
        <f>H48+H19</f>
        <v>95344.860000000015</v>
      </c>
      <c r="I50" s="9">
        <f>I48+I19</f>
        <v>95145.449999999983</v>
      </c>
      <c r="J50" s="106">
        <f>D50-G2</f>
        <v>-0.4000000000005457</v>
      </c>
    </row>
    <row r="51" spans="1:10" ht="23.25" x14ac:dyDescent="0.35">
      <c r="A51" s="168" t="s">
        <v>92</v>
      </c>
      <c r="B51" s="169"/>
      <c r="C51" s="170"/>
      <c r="G51" s="7"/>
      <c r="H51" s="6"/>
      <c r="I51" s="6">
        <f>+I50/D50</f>
        <v>26.702997389913278</v>
      </c>
    </row>
    <row r="52" spans="1:10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0" ht="23.25" x14ac:dyDescent="0.35">
      <c r="G53" s="5"/>
    </row>
    <row r="54" spans="1:10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0" x14ac:dyDescent="0.2">
      <c r="G55" s="172">
        <v>16</v>
      </c>
    </row>
    <row r="56" spans="1:10" x14ac:dyDescent="0.2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K56"/>
  <sheetViews>
    <sheetView topLeftCell="A13" workbookViewId="0">
      <selection activeCell="D26" sqref="D2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94</v>
      </c>
      <c r="D2" s="96" t="s">
        <v>3</v>
      </c>
      <c r="E2" s="95" t="s">
        <v>71</v>
      </c>
      <c r="F2" s="94" t="s">
        <v>5</v>
      </c>
      <c r="G2" s="93">
        <v>15171.2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220</v>
      </c>
      <c r="F3" s="88" t="s">
        <v>8</v>
      </c>
      <c r="G3" s="87">
        <v>25.75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68.960000000000008</v>
      </c>
      <c r="F4" s="81" t="s">
        <v>12</v>
      </c>
      <c r="G4" s="80">
        <f>G2*G3</f>
        <v>390658.4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</v>
      </c>
      <c r="D6" s="71" t="s">
        <v>15</v>
      </c>
      <c r="E6" s="70">
        <f>1-G4/H50</f>
        <v>-2.3500845192046649E-2</v>
      </c>
      <c r="F6" s="69" t="s">
        <v>16</v>
      </c>
      <c r="G6" s="68">
        <f>(I50-I19)/(D50-(SUM(D42:D44)+D19))</f>
        <v>30.793479631731621</v>
      </c>
    </row>
    <row r="7" spans="1:11" ht="15.75" x14ac:dyDescent="0.25">
      <c r="A7" s="67" t="s">
        <v>17</v>
      </c>
      <c r="B7" s="66"/>
      <c r="C7" s="65">
        <f>ROUND(C6*60*15%/360*1.08+C6,1)</f>
        <v>27.7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25.8</v>
      </c>
      <c r="D10" s="30"/>
      <c r="E10" s="29" t="e">
        <f t="shared" ref="E10:E19" si="1">D10/$D$19</f>
        <v>#DIV/0!</v>
      </c>
      <c r="F10" s="28">
        <f t="shared" ref="F10:F18" si="2">C10-(C10*$E$6)</f>
        <v>26.406321805954803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26.8</v>
      </c>
      <c r="D11" s="30"/>
      <c r="E11" s="29" t="e">
        <f t="shared" si="1"/>
        <v>#DIV/0!</v>
      </c>
      <c r="F11" s="28">
        <f t="shared" si="2"/>
        <v>27.42982265114685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/>
      <c r="E12" s="29" t="e">
        <f t="shared" si="1"/>
        <v>#DIV/0!</v>
      </c>
      <c r="F12" s="28">
        <f t="shared" si="2"/>
        <v>25.075770707205145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26.8</v>
      </c>
      <c r="D13" s="30"/>
      <c r="E13" s="29" t="e">
        <f t="shared" si="1"/>
        <v>#DIV/0!</v>
      </c>
      <c r="F13" s="28">
        <f t="shared" si="2"/>
        <v>27.42982265114685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</v>
      </c>
      <c r="D14" s="30"/>
      <c r="E14" s="29" t="e">
        <f t="shared" si="1"/>
        <v>#DIV/0!</v>
      </c>
      <c r="F14" s="28">
        <f t="shared" si="2"/>
        <v>30.7050253557614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24.7</v>
      </c>
      <c r="D15" s="30"/>
      <c r="E15" s="29" t="e">
        <f t="shared" si="1"/>
        <v>#DIV/0!</v>
      </c>
      <c r="F15" s="28">
        <f t="shared" si="2"/>
        <v>25.280470876243552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33.799999999999997</v>
      </c>
      <c r="D16" s="30"/>
      <c r="E16" s="29" t="e">
        <f t="shared" si="1"/>
        <v>#DIV/0!</v>
      </c>
      <c r="F16" s="28">
        <f t="shared" si="2"/>
        <v>34.594328567491175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49.8</v>
      </c>
      <c r="D17" s="30"/>
      <c r="E17" s="29" t="e">
        <f t="shared" si="1"/>
        <v>#DIV/0!</v>
      </c>
      <c r="F17" s="28">
        <f t="shared" si="2"/>
        <v>50.970342090563918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43.6</v>
      </c>
      <c r="D18" s="30"/>
      <c r="E18" s="29" t="e">
        <f t="shared" si="1"/>
        <v>#DIV/0!</v>
      </c>
      <c r="F18" s="28">
        <f t="shared" si="2"/>
        <v>44.624636850373236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64.8</v>
      </c>
      <c r="D21" s="30">
        <v>188</v>
      </c>
      <c r="E21" s="29">
        <f>D21/$D$48</f>
        <v>1.239149205428528E-2</v>
      </c>
      <c r="F21" s="28">
        <f>C21-(C21*$E$6)</f>
        <v>66.322854768444614</v>
      </c>
      <c r="G21" s="27" t="str">
        <f>IF(C21&gt;=F21,"-","+")</f>
        <v>+</v>
      </c>
      <c r="H21" s="26">
        <f>C21*D21</f>
        <v>12182.4</v>
      </c>
      <c r="I21" s="26">
        <f>F21*D21</f>
        <v>12468.696696467587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43.5</v>
      </c>
      <c r="D22" s="30">
        <v>497.4</v>
      </c>
      <c r="E22" s="29">
        <f>D22/$D$48</f>
        <v>3.2784724190433503E-2</v>
      </c>
      <c r="F22" s="28">
        <f>C22-(C22*$E$6)</f>
        <v>44.522286765854027</v>
      </c>
      <c r="G22" s="27" t="str">
        <f>IF(C22&gt;=F22,"-","+")</f>
        <v>+</v>
      </c>
      <c r="H22" s="26">
        <f>C22*D22</f>
        <v>21636.899999999998</v>
      </c>
      <c r="I22" s="26">
        <f>F22*D22</f>
        <v>22145.385437335794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39.700000000000003</v>
      </c>
      <c r="D23" s="30">
        <v>358.4</v>
      </c>
      <c r="E23" s="29">
        <f>D23/$D$48</f>
        <v>2.3622929533275768E-2</v>
      </c>
      <c r="F23" s="28">
        <f>C23-(C23*$E$6)</f>
        <v>40.632983554124252</v>
      </c>
      <c r="G23" s="27" t="str">
        <f>IF(C23&gt;=F23,"-","+")</f>
        <v>+</v>
      </c>
      <c r="H23" s="26">
        <f>C23*D23</f>
        <v>14228.48</v>
      </c>
      <c r="I23" s="26">
        <f>F23*D23</f>
        <v>14562.861305798131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46.031596091205209</v>
      </c>
      <c r="D24" s="22">
        <f>SUM(D21:D23)</f>
        <v>1043.8</v>
      </c>
      <c r="E24" s="21">
        <f>D24/$D$48</f>
        <v>6.879914577799455E-2</v>
      </c>
      <c r="F24" s="20">
        <f>I24/D24</f>
        <v>47.113377504887445</v>
      </c>
      <c r="G24" s="19">
        <f>F24/C24-1</f>
        <v>2.3500845192046649E-2</v>
      </c>
      <c r="H24" s="18">
        <f>SUM(H21:H23)</f>
        <v>48047.78</v>
      </c>
      <c r="I24" s="18">
        <f>SUM(I21:I23)</f>
        <v>49176.943439601513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34.6</v>
      </c>
      <c r="D26" s="30">
        <v>2953.8</v>
      </c>
      <c r="E26" s="29">
        <f t="shared" ref="E26:E32" si="7">D26/$D$48</f>
        <v>0.19469143207419076</v>
      </c>
      <c r="F26" s="28">
        <f t="shared" ref="F26:F31" si="8">C26-(C26*$E$6)</f>
        <v>35.413129243644818</v>
      </c>
      <c r="G26" s="27" t="str">
        <f t="shared" ref="G26:G31" si="9">IF(C26&gt;=F26,"-","+")</f>
        <v>+</v>
      </c>
      <c r="H26" s="26">
        <f t="shared" ref="H26:H31" si="10">C26*D26</f>
        <v>102201.48000000001</v>
      </c>
      <c r="I26" s="26">
        <f t="shared" ref="I26:I31" si="11">F26*D26</f>
        <v>104603.30115987807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30.8</v>
      </c>
      <c r="D27" s="30">
        <f>123.6+2032.8</f>
        <v>2156.4</v>
      </c>
      <c r="E27" s="29">
        <f t="shared" si="7"/>
        <v>0.14213305035032331</v>
      </c>
      <c r="F27" s="28">
        <f t="shared" si="8"/>
        <v>31.523826031915039</v>
      </c>
      <c r="G27" s="27" t="str">
        <f t="shared" si="9"/>
        <v>+</v>
      </c>
      <c r="H27" s="26">
        <f t="shared" si="10"/>
        <v>66417.12000000001</v>
      </c>
      <c r="I27" s="26">
        <f t="shared" si="11"/>
        <v>67977.978455221601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30.8</v>
      </c>
      <c r="D28" s="30">
        <f>72.6+1328.8</f>
        <v>1401.3999999999999</v>
      </c>
      <c r="E28" s="29">
        <f t="shared" si="7"/>
        <v>9.2369345557847815E-2</v>
      </c>
      <c r="F28" s="28">
        <f t="shared" si="8"/>
        <v>31.523826031915039</v>
      </c>
      <c r="G28" s="27" t="str">
        <f t="shared" si="9"/>
        <v>+</v>
      </c>
      <c r="H28" s="26">
        <f t="shared" si="10"/>
        <v>43163.119999999995</v>
      </c>
      <c r="I28" s="26">
        <f t="shared" si="11"/>
        <v>44177.489801125732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29.7</v>
      </c>
      <c r="D29" s="30">
        <f>860.8+416</f>
        <v>1276.8</v>
      </c>
      <c r="E29" s="29">
        <f t="shared" si="7"/>
        <v>8.4156686462294919E-2</v>
      </c>
      <c r="F29" s="28">
        <f t="shared" si="8"/>
        <v>30.397975102203784</v>
      </c>
      <c r="G29" s="27" t="str">
        <f t="shared" si="9"/>
        <v>+</v>
      </c>
      <c r="H29" s="26">
        <f t="shared" si="10"/>
        <v>37920.959999999999</v>
      </c>
      <c r="I29" s="26">
        <f t="shared" si="11"/>
        <v>38812.134610493791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29.7</v>
      </c>
      <c r="D30" s="30">
        <v>883.8</v>
      </c>
      <c r="E30" s="29">
        <f t="shared" si="7"/>
        <v>5.825319509349644E-2</v>
      </c>
      <c r="F30" s="28">
        <f t="shared" si="8"/>
        <v>30.397975102203784</v>
      </c>
      <c r="G30" s="27" t="str">
        <f t="shared" si="9"/>
        <v>+</v>
      </c>
      <c r="H30" s="26">
        <f t="shared" si="10"/>
        <v>26248.859999999997</v>
      </c>
      <c r="I30" s="26">
        <f t="shared" si="11"/>
        <v>26865.730395327704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30.3</v>
      </c>
      <c r="D31" s="30">
        <v>282.39999999999998</v>
      </c>
      <c r="E31" s="29">
        <f t="shared" si="7"/>
        <v>1.8613602958139165E-2</v>
      </c>
      <c r="F31" s="28">
        <f t="shared" si="8"/>
        <v>31.012075609319012</v>
      </c>
      <c r="G31" s="27" t="str">
        <f t="shared" si="9"/>
        <v>+</v>
      </c>
      <c r="H31" s="26">
        <f t="shared" si="10"/>
        <v>8556.7199999999993</v>
      </c>
      <c r="I31" s="26">
        <f t="shared" si="11"/>
        <v>8757.8101520716882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31.772302503741095</v>
      </c>
      <c r="D32" s="22">
        <f>SUM(D26:D31)</f>
        <v>8954.6</v>
      </c>
      <c r="E32" s="21">
        <f t="shared" si="7"/>
        <v>0.59021731249629239</v>
      </c>
      <c r="F32" s="20">
        <f>I32/D32</f>
        <v>32.518978466276394</v>
      </c>
      <c r="G32" s="19">
        <f>F32/C32-1</f>
        <v>2.3500845192046871E-2</v>
      </c>
      <c r="H32" s="18">
        <f>SUM(H26:H31)</f>
        <v>284508.26</v>
      </c>
      <c r="I32" s="18">
        <f>SUM(I26:I31)</f>
        <v>291194.44457411859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v>2559</v>
      </c>
      <c r="E34" s="29">
        <f t="shared" ref="E34:E40" si="13">D34/$D$48</f>
        <v>0.16866929876019165</v>
      </c>
      <c r="F34" s="28">
        <f t="shared" ref="F34:F39" si="14">C34-(C34*$E$6)</f>
        <v>18.62771538249525</v>
      </c>
      <c r="G34" s="27" t="str">
        <f t="shared" ref="G34:G39" si="15">IF(C34&gt;=F34,"-","+")</f>
        <v>+</v>
      </c>
      <c r="H34" s="26">
        <f t="shared" ref="H34:H39" si="16">C34*D34</f>
        <v>46573.799999999996</v>
      </c>
      <c r="I34" s="26">
        <f t="shared" ref="I34:I39" si="17">F34*D34</f>
        <v>47668.323663805342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>
        <v>113</v>
      </c>
      <c r="E35" s="29">
        <f t="shared" si="13"/>
        <v>7.4480776709267907E-3</v>
      </c>
      <c r="F35" s="28">
        <f t="shared" si="14"/>
        <v>14.329011832688654</v>
      </c>
      <c r="G35" s="27" t="str">
        <f t="shared" si="15"/>
        <v>+</v>
      </c>
      <c r="H35" s="26">
        <f t="shared" si="16"/>
        <v>1582</v>
      </c>
      <c r="I35" s="26">
        <f t="shared" si="17"/>
        <v>1619.1783370938178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11.463209466150921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29.7</v>
      </c>
      <c r="D37" s="30"/>
      <c r="E37" s="29">
        <f t="shared" si="13"/>
        <v>0</v>
      </c>
      <c r="F37" s="28">
        <f t="shared" si="14"/>
        <v>30.397975102203784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29.7</v>
      </c>
      <c r="D38" s="30"/>
      <c r="E38" s="29">
        <f t="shared" si="13"/>
        <v>0</v>
      </c>
      <c r="F38" s="28">
        <f t="shared" si="14"/>
        <v>30.397975102203784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30.8</v>
      </c>
      <c r="D39" s="30"/>
      <c r="E39" s="29">
        <f t="shared" si="13"/>
        <v>0</v>
      </c>
      <c r="F39" s="28">
        <f t="shared" si="14"/>
        <v>31.523826031915039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18.022380239520956</v>
      </c>
      <c r="D40" s="22">
        <f>SUM(D34:D39)</f>
        <v>2672</v>
      </c>
      <c r="E40" s="21">
        <f t="shared" si="13"/>
        <v>0.17611737643111847</v>
      </c>
      <c r="F40" s="20">
        <f>I40/D40</f>
        <v>18.445921407522142</v>
      </c>
      <c r="G40" s="19">
        <f>F40/C40-1</f>
        <v>2.3500845192046871E-2</v>
      </c>
      <c r="H40" s="18">
        <f>SUM(H34:H39)</f>
        <v>48155.799999999996</v>
      </c>
      <c r="I40" s="18">
        <f>SUM(I34:I39)</f>
        <v>49287.502000899163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2358</v>
      </c>
      <c r="E42" s="29">
        <f>D42/$D$48</f>
        <v>0.1554209482127909</v>
      </c>
      <c r="F42" s="28">
        <f>C42-(C42*$E$6)</f>
        <v>0.40940033807681869</v>
      </c>
      <c r="G42" s="27" t="str">
        <f>IF(C42&gt;=F42,"-","+")</f>
        <v>+</v>
      </c>
      <c r="H42" s="26">
        <f>C42*D42</f>
        <v>943.2</v>
      </c>
      <c r="I42" s="26">
        <f>F42*D42</f>
        <v>965.36599718513844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83.4</v>
      </c>
      <c r="E43" s="29">
        <f>D43/$D$48</f>
        <v>5.4970767942946405E-3</v>
      </c>
      <c r="F43" s="28">
        <f>C43-(C43*$E$6)</f>
        <v>0.40940033807681869</v>
      </c>
      <c r="G43" s="27" t="str">
        <f>IF(C43&gt;=F43,"-","+")</f>
        <v>+</v>
      </c>
      <c r="H43" s="26">
        <f>C43*D43</f>
        <v>33.360000000000007</v>
      </c>
      <c r="I43" s="26">
        <f>F43*D43</f>
        <v>34.143988195606681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43.9</v>
      </c>
      <c r="E44" s="29">
        <f>D44/$D$48</f>
        <v>2.8935452190591692E-3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16</v>
      </c>
      <c r="E45" s="29">
        <f>D45/$D$48</f>
        <v>1.0545950684498111E-3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0.39042098108983331</v>
      </c>
      <c r="D46" s="22">
        <f>SUM(D41:D45)</f>
        <v>2501.3000000000002</v>
      </c>
      <c r="E46" s="21">
        <f>D46/$D$48</f>
        <v>0.16486616529459455</v>
      </c>
      <c r="F46" s="20">
        <f>I46/D46</f>
        <v>0.39959620412615243</v>
      </c>
      <c r="G46" s="19">
        <f>F46/C46-1</f>
        <v>2.3500845192046649E-2</v>
      </c>
      <c r="H46" s="18">
        <f>SUM(H41:H44)</f>
        <v>976.56000000000006</v>
      </c>
      <c r="I46" s="18">
        <f>SUM(I41:I44)</f>
        <v>999.50998538074509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96.216699815557092</v>
      </c>
      <c r="D48" s="13">
        <f>D24+D32+D40+D46</f>
        <v>15171.7</v>
      </c>
      <c r="E48" s="12">
        <f>SUM(E20:E46)/2</f>
        <v>0.99999999999999989</v>
      </c>
      <c r="F48" s="11">
        <f>I48/D48</f>
        <v>25.749151380530854</v>
      </c>
      <c r="G48" s="10"/>
      <c r="H48" s="9">
        <f>SUM(H20:H46)/2</f>
        <v>381688.40000000008</v>
      </c>
      <c r="I48" s="9">
        <f>SUM(I20:I46)/2</f>
        <v>390658.39999999997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15171.699999999999</v>
      </c>
      <c r="E50" s="12">
        <f>D50/G2</f>
        <v>1.000032957182029</v>
      </c>
      <c r="F50" s="11">
        <f>I50/D50</f>
        <v>25.749151380530858</v>
      </c>
      <c r="G50" s="10"/>
      <c r="H50" s="9">
        <f>H48+H19</f>
        <v>381688.40000000008</v>
      </c>
      <c r="I50" s="9">
        <f>I48+I19</f>
        <v>390658.39999999997</v>
      </c>
      <c r="J50" s="106">
        <f>D50-G2</f>
        <v>0.49999999999818101</v>
      </c>
      <c r="K50" s="8"/>
    </row>
    <row r="51" spans="1:11" ht="23.25" x14ac:dyDescent="0.35">
      <c r="A51" s="168" t="s">
        <v>95</v>
      </c>
      <c r="B51" s="169"/>
      <c r="C51" s="170"/>
      <c r="G51" s="7"/>
      <c r="H51" s="6"/>
      <c r="I51" s="6">
        <f>+I50/D50</f>
        <v>25.749151380530858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K56"/>
  <sheetViews>
    <sheetView topLeftCell="A20" workbookViewId="0">
      <selection activeCell="D26" sqref="D2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</v>
      </c>
      <c r="D1" s="100" t="s">
        <v>1</v>
      </c>
      <c r="E1" s="168" t="s">
        <v>97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96</v>
      </c>
      <c r="D2" s="96" t="s">
        <v>3</v>
      </c>
      <c r="E2" s="95" t="s">
        <v>71</v>
      </c>
      <c r="F2" s="94" t="s">
        <v>5</v>
      </c>
      <c r="G2" s="93">
        <v>12879.4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140</v>
      </c>
      <c r="F3" s="88" t="s">
        <v>8</v>
      </c>
      <c r="G3" s="87">
        <v>27.3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91.995714285714286</v>
      </c>
      <c r="F4" s="81" t="s">
        <v>12</v>
      </c>
      <c r="G4" s="80">
        <f>G2*G3</f>
        <v>351607.62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1.3009022687331617E-2</v>
      </c>
      <c r="F6" s="69" t="s">
        <v>16</v>
      </c>
      <c r="G6" s="68">
        <f>(I50-I19)/(D50-(SUM(D42:D44)+D19))</f>
        <v>32.866054102559303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27.3</v>
      </c>
      <c r="D10" s="30"/>
      <c r="E10" s="29" t="e">
        <f t="shared" ref="E10:E19" si="1">D10/$D$19</f>
        <v>#DIV/0!</v>
      </c>
      <c r="F10" s="28">
        <f t="shared" ref="F10:F18" si="2">C10-(C10*$E$6)</f>
        <v>26.944853680635848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28.4</v>
      </c>
      <c r="D11" s="30"/>
      <c r="E11" s="29" t="e">
        <f t="shared" si="1"/>
        <v>#DIV/0!</v>
      </c>
      <c r="F11" s="28">
        <f t="shared" si="2"/>
        <v>28.03054375567978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</v>
      </c>
      <c r="D12" s="30"/>
      <c r="E12" s="29" t="e">
        <f t="shared" si="1"/>
        <v>#DIV/0!</v>
      </c>
      <c r="F12" s="28">
        <f t="shared" si="2"/>
        <v>25.661765410129377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28.4</v>
      </c>
      <c r="D13" s="30"/>
      <c r="E13" s="29" t="e">
        <f t="shared" si="1"/>
        <v>#DIV/0!</v>
      </c>
      <c r="F13" s="28">
        <f t="shared" si="2"/>
        <v>28.03054375567978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31.8</v>
      </c>
      <c r="D14" s="30"/>
      <c r="E14" s="29" t="e">
        <f t="shared" si="1"/>
        <v>#DIV/0!</v>
      </c>
      <c r="F14" s="28">
        <f t="shared" si="2"/>
        <v>31.386313078542855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26.2</v>
      </c>
      <c r="D15" s="30"/>
      <c r="E15" s="29" t="e">
        <f t="shared" si="1"/>
        <v>#DIV/0!</v>
      </c>
      <c r="F15" s="28">
        <f t="shared" si="2"/>
        <v>25.85916360559191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35.9</v>
      </c>
      <c r="D16" s="30"/>
      <c r="E16" s="29" t="e">
        <f t="shared" si="1"/>
        <v>#DIV/0!</v>
      </c>
      <c r="F16" s="28">
        <f t="shared" si="2"/>
        <v>35.432976085524793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52.8</v>
      </c>
      <c r="D17" s="30"/>
      <c r="E17" s="29" t="e">
        <f t="shared" si="1"/>
        <v>#DIV/0!</v>
      </c>
      <c r="F17" s="28">
        <f t="shared" si="2"/>
        <v>52.113123602108885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46.3</v>
      </c>
      <c r="D18" s="30"/>
      <c r="E18" s="29" t="e">
        <f t="shared" si="1"/>
        <v>#DIV/0!</v>
      </c>
      <c r="F18" s="28">
        <f t="shared" si="2"/>
        <v>45.697682249576545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68.7</v>
      </c>
      <c r="D21" s="30">
        <v>189.2</v>
      </c>
      <c r="E21" s="29">
        <f>D21/$D$48</f>
        <v>1.4689897201776452E-2</v>
      </c>
      <c r="F21" s="28">
        <f>C21-(C21*$E$6)</f>
        <v>67.806280141380327</v>
      </c>
      <c r="G21" s="27" t="str">
        <f>IF(C21&gt;=F21,"-","+")</f>
        <v>-</v>
      </c>
      <c r="H21" s="26">
        <f>C21*D21</f>
        <v>12998.039999999999</v>
      </c>
      <c r="I21" s="26">
        <f>F21*D21</f>
        <v>12828.948202749158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46.1</v>
      </c>
      <c r="D22" s="30">
        <v>434.8</v>
      </c>
      <c r="E22" s="29">
        <f>D22/$D$48</f>
        <v>3.3758812385477809E-2</v>
      </c>
      <c r="F22" s="28">
        <f>C22-(C22*$E$6)</f>
        <v>45.500284054114012</v>
      </c>
      <c r="G22" s="27" t="str">
        <f>IF(C22&gt;=F22,"-","+")</f>
        <v>-</v>
      </c>
      <c r="H22" s="26">
        <f>C22*D22</f>
        <v>20044.280000000002</v>
      </c>
      <c r="I22" s="26">
        <f>F22*D22</f>
        <v>19783.523506728772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</v>
      </c>
      <c r="D23" s="30">
        <v>337.8</v>
      </c>
      <c r="E23" s="29">
        <f>D23/$D$48</f>
        <v>2.6227522593869373E-2</v>
      </c>
      <c r="F23" s="28">
        <f>C23-(C23*$E$6)</f>
        <v>41.453621047132074</v>
      </c>
      <c r="G23" s="27" t="str">
        <f>IF(C23&gt;=F23,"-","+")</f>
        <v>-</v>
      </c>
      <c r="H23" s="26">
        <f>C23*D23</f>
        <v>14187.6</v>
      </c>
      <c r="I23" s="26">
        <f>F23*D23</f>
        <v>14003.033189721215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49.105760033270954</v>
      </c>
      <c r="D24" s="22">
        <f>SUM(D21:D23)</f>
        <v>961.8</v>
      </c>
      <c r="E24" s="21">
        <f>D24/$D$48</f>
        <v>7.4676232181123625E-2</v>
      </c>
      <c r="F24" s="20">
        <f>I24/D24</f>
        <v>48.466942086919467</v>
      </c>
      <c r="G24" s="19">
        <f>F24/C24-1</f>
        <v>-1.3009022687331728E-2</v>
      </c>
      <c r="H24" s="18">
        <f>SUM(H21:H23)</f>
        <v>47229.919999999998</v>
      </c>
      <c r="I24" s="18">
        <f>SUM(I21:I23)</f>
        <v>46615.504899199143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36.6</v>
      </c>
      <c r="D26" s="30">
        <v>2631.4</v>
      </c>
      <c r="E26" s="29">
        <f t="shared" ref="E26:E32" si="7">D26/$D$48</f>
        <v>0.20430758719214884</v>
      </c>
      <c r="F26" s="28">
        <f t="shared" ref="F26:F31" si="8">C26-(C26*$E$6)</f>
        <v>36.123869769643662</v>
      </c>
      <c r="G26" s="27" t="str">
        <f t="shared" ref="G26:G31" si="9">IF(C26&gt;=F26,"-","+")</f>
        <v>-</v>
      </c>
      <c r="H26" s="26">
        <f t="shared" ref="H26:H31" si="10">C26*D26</f>
        <v>96309.24</v>
      </c>
      <c r="I26" s="26">
        <f t="shared" ref="I26:I31" si="11">F26*D26</f>
        <v>95056.350911840331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32.6</v>
      </c>
      <c r="D27" s="30">
        <v>2105.4</v>
      </c>
      <c r="E27" s="29">
        <f t="shared" si="7"/>
        <v>0.1634678095593031</v>
      </c>
      <c r="F27" s="28">
        <f t="shared" si="8"/>
        <v>32.175905860392987</v>
      </c>
      <c r="G27" s="27" t="str">
        <f t="shared" si="9"/>
        <v>-</v>
      </c>
      <c r="H27" s="26">
        <f t="shared" si="10"/>
        <v>68636.040000000008</v>
      </c>
      <c r="I27" s="26">
        <f t="shared" si="11"/>
        <v>67743.152198471405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32.6</v>
      </c>
      <c r="D28" s="30">
        <v>1428.8</v>
      </c>
      <c r="E28" s="29">
        <f t="shared" si="7"/>
        <v>0.11093512220876424</v>
      </c>
      <c r="F28" s="28">
        <f t="shared" si="8"/>
        <v>32.175905860392987</v>
      </c>
      <c r="G28" s="27" t="str">
        <f t="shared" si="9"/>
        <v>-</v>
      </c>
      <c r="H28" s="26">
        <f t="shared" si="10"/>
        <v>46578.879999999997</v>
      </c>
      <c r="I28" s="26">
        <f t="shared" si="11"/>
        <v>45972.934293329497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31.5</v>
      </c>
      <c r="D29" s="30">
        <v>1199.5999999999999</v>
      </c>
      <c r="E29" s="29">
        <f t="shared" si="7"/>
        <v>9.3139538494984311E-2</v>
      </c>
      <c r="F29" s="28">
        <f t="shared" si="8"/>
        <v>31.090215785349056</v>
      </c>
      <c r="G29" s="27" t="str">
        <f t="shared" si="9"/>
        <v>-</v>
      </c>
      <c r="H29" s="26">
        <f t="shared" si="10"/>
        <v>37787.399999999994</v>
      </c>
      <c r="I29" s="26">
        <f t="shared" si="11"/>
        <v>37295.822856104722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31.5</v>
      </c>
      <c r="D30" s="30">
        <v>725.4</v>
      </c>
      <c r="E30" s="29">
        <f t="shared" si="7"/>
        <v>5.6321624895183074E-2</v>
      </c>
      <c r="F30" s="28">
        <f t="shared" si="8"/>
        <v>31.090215785349056</v>
      </c>
      <c r="G30" s="27" t="str">
        <f t="shared" si="9"/>
        <v>-</v>
      </c>
      <c r="H30" s="26">
        <f t="shared" si="10"/>
        <v>22850.1</v>
      </c>
      <c r="I30" s="26">
        <f t="shared" si="11"/>
        <v>22552.842530692204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32.1</v>
      </c>
      <c r="D31" s="30">
        <v>318.2</v>
      </c>
      <c r="E31" s="29">
        <f t="shared" si="7"/>
        <v>2.4705736202987667E-2</v>
      </c>
      <c r="F31" s="28">
        <f t="shared" si="8"/>
        <v>31.682410371736655</v>
      </c>
      <c r="G31" s="27" t="str">
        <f t="shared" si="9"/>
        <v>-</v>
      </c>
      <c r="H31" s="26">
        <f t="shared" si="10"/>
        <v>10214.219999999999</v>
      </c>
      <c r="I31" s="26">
        <f t="shared" si="11"/>
        <v>10081.342980286603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33.580996099324516</v>
      </c>
      <c r="D32" s="22">
        <f>SUM(D26:D31)</f>
        <v>8408.8000000000011</v>
      </c>
      <c r="E32" s="21">
        <f t="shared" si="7"/>
        <v>0.65287741855337134</v>
      </c>
      <c r="F32" s="20">
        <f>I32/D32</f>
        <v>33.144140159205207</v>
      </c>
      <c r="G32" s="19">
        <f>F32/C32-1</f>
        <v>-1.3009022687331617E-2</v>
      </c>
      <c r="H32" s="18">
        <f>SUM(H26:H31)</f>
        <v>282375.88</v>
      </c>
      <c r="I32" s="18">
        <f>SUM(I26:I31)</f>
        <v>278702.44577072479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</v>
      </c>
      <c r="D34" s="30">
        <v>1323.6</v>
      </c>
      <c r="E34" s="29">
        <f t="shared" ref="E34:E40" si="13">D34/$D$48</f>
        <v>0.10276716668219509</v>
      </c>
      <c r="F34" s="28">
        <f t="shared" ref="F34:F39" si="14">C34-(C34*$E$6)</f>
        <v>19.048925862134499</v>
      </c>
      <c r="G34" s="27" t="str">
        <f t="shared" ref="G34:G39" si="15">IF(C34&gt;=F34,"-","+")</f>
        <v>-</v>
      </c>
      <c r="H34" s="26">
        <f t="shared" ref="H34:H39" si="16">C34*D34</f>
        <v>25545.48</v>
      </c>
      <c r="I34" s="26">
        <f t="shared" ref="I34:I39" si="17">F34*D34</f>
        <v>25213.158271121221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/>
      <c r="E35" s="29">
        <f t="shared" si="13"/>
        <v>0</v>
      </c>
      <c r="F35" s="28">
        <f t="shared" si="14"/>
        <v>14.607466464227493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11.745192630020755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31.5</v>
      </c>
      <c r="D37" s="30"/>
      <c r="E37" s="29">
        <f t="shared" si="13"/>
        <v>0</v>
      </c>
      <c r="F37" s="28">
        <f t="shared" si="14"/>
        <v>31.090215785349056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31.5</v>
      </c>
      <c r="D38" s="30"/>
      <c r="E38" s="29">
        <f t="shared" si="13"/>
        <v>0</v>
      </c>
      <c r="F38" s="28">
        <f t="shared" si="14"/>
        <v>31.090215785349056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32.6</v>
      </c>
      <c r="D39" s="30"/>
      <c r="E39" s="29">
        <f t="shared" si="13"/>
        <v>0</v>
      </c>
      <c r="F39" s="28">
        <f t="shared" si="14"/>
        <v>32.175905860392987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</v>
      </c>
      <c r="D40" s="22">
        <f>SUM(D34:D39)</f>
        <v>1323.6</v>
      </c>
      <c r="E40" s="21">
        <f t="shared" si="13"/>
        <v>0.10276716668219509</v>
      </c>
      <c r="F40" s="20">
        <f>I40/D40</f>
        <v>19.048925862134499</v>
      </c>
      <c r="G40" s="19">
        <f>F40/C40-1</f>
        <v>-1.3009022687331617E-2</v>
      </c>
      <c r="H40" s="18">
        <f>SUM(H34:H39)</f>
        <v>25545.48</v>
      </c>
      <c r="I40" s="18">
        <f>SUM(I34:I39)</f>
        <v>25213.158271121221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2081</v>
      </c>
      <c r="E42" s="29">
        <f>D42/$D$48</f>
        <v>0.16157334078698096</v>
      </c>
      <c r="F42" s="28">
        <f>C42-(C42*$E$6)</f>
        <v>0.49349548865633419</v>
      </c>
      <c r="G42" s="27" t="str">
        <f>IF(C42&gt;=F42,"-","+")</f>
        <v>-</v>
      </c>
      <c r="H42" s="26">
        <f>C42*D42</f>
        <v>1040.5</v>
      </c>
      <c r="I42" s="26">
        <f>F42*D42</f>
        <v>1026.9641118938314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100.4</v>
      </c>
      <c r="E43" s="29">
        <f>D43/$D$48</f>
        <v>7.7952731451287312E-3</v>
      </c>
      <c r="F43" s="28">
        <f>C43-(C43*$E$6)</f>
        <v>0.49349548865633419</v>
      </c>
      <c r="G43" s="27" t="str">
        <f>IF(C43&gt;=F43,"-","+")</f>
        <v>-</v>
      </c>
      <c r="H43" s="26">
        <f>C43*D43</f>
        <v>50.2</v>
      </c>
      <c r="I43" s="26">
        <f>F43*D43</f>
        <v>49.546947061095956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29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29">
        <f>D45/$D$48</f>
        <v>3.1056865120034782E-4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0.49908483572801315</v>
      </c>
      <c r="D46" s="22">
        <f>SUM(D41:D45)</f>
        <v>2185.4</v>
      </c>
      <c r="E46" s="21">
        <f>D46/$D$48</f>
        <v>0.16967918258331005</v>
      </c>
      <c r="F46" s="20">
        <f>I46/D46</f>
        <v>0.49259222977712425</v>
      </c>
      <c r="G46" s="19">
        <f>F46/C46-1</f>
        <v>-1.3009022687331617E-2</v>
      </c>
      <c r="H46" s="18">
        <f>SUM(H41:H44)</f>
        <v>1090.7</v>
      </c>
      <c r="I46" s="18">
        <f>SUM(I41:I44)</f>
        <v>1076.5110589549274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102.48584096832347</v>
      </c>
      <c r="D48" s="13">
        <f>D24+D32+D40+D46</f>
        <v>12879.6</v>
      </c>
      <c r="E48" s="12">
        <f>SUM(E20:E46)/2</f>
        <v>1</v>
      </c>
      <c r="F48" s="11">
        <f>I48/D48</f>
        <v>27.299576073791112</v>
      </c>
      <c r="G48" s="10"/>
      <c r="H48" s="9">
        <f>SUM(H20:H46)/2</f>
        <v>356241.97999999992</v>
      </c>
      <c r="I48" s="9">
        <f>SUM(I20:I46)/2</f>
        <v>351607.62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12879.6</v>
      </c>
      <c r="E50" s="12">
        <f>D50/G2</f>
        <v>1.000015528673696</v>
      </c>
      <c r="F50" s="11">
        <f>I50/D50</f>
        <v>27.299576073791112</v>
      </c>
      <c r="G50" s="10"/>
      <c r="H50" s="9">
        <f>H48+H19</f>
        <v>356241.97999999992</v>
      </c>
      <c r="I50" s="9">
        <f>I48+I19</f>
        <v>351607.62</v>
      </c>
      <c r="J50" s="106">
        <f>D50-G2</f>
        <v>0.2000000000007276</v>
      </c>
      <c r="K50" s="8"/>
    </row>
    <row r="51" spans="1:11" ht="23.25" x14ac:dyDescent="0.35">
      <c r="A51" s="168" t="s">
        <v>99</v>
      </c>
      <c r="B51" s="169"/>
      <c r="C51" s="170"/>
      <c r="G51" s="7"/>
      <c r="H51" s="6"/>
      <c r="I51" s="6">
        <f>+I50/D50</f>
        <v>27.299576073791112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K56"/>
  <sheetViews>
    <sheetView topLeftCell="A13" workbookViewId="0">
      <selection activeCell="D26" sqref="D2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100</v>
      </c>
      <c r="D2" s="96" t="s">
        <v>3</v>
      </c>
      <c r="E2" s="95" t="s">
        <v>71</v>
      </c>
      <c r="F2" s="94" t="s">
        <v>5</v>
      </c>
      <c r="G2" s="93">
        <v>3523.4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44</v>
      </c>
      <c r="F3" s="88" t="s">
        <v>8</v>
      </c>
      <c r="G3" s="87">
        <v>27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15</v>
      </c>
      <c r="D4" s="83" t="s">
        <v>11</v>
      </c>
      <c r="E4" s="82">
        <f>G2/E3</f>
        <v>80.077272727272728</v>
      </c>
      <c r="F4" s="81" t="s">
        <v>12</v>
      </c>
      <c r="G4" s="80">
        <f>G2*G3</f>
        <v>95131.8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2.3952369202293822E-2</v>
      </c>
      <c r="F6" s="69" t="s">
        <v>16</v>
      </c>
      <c r="G6" s="68">
        <f>(I50-I19)/(D50-(SUM(D42:D44)+D19))</f>
        <v>31.8045021072653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</v>
      </c>
      <c r="D10" s="30"/>
      <c r="E10" s="29">
        <f t="shared" ref="E10:E19" si="1">D10/$D$19</f>
        <v>0</v>
      </c>
      <c r="F10" s="28">
        <f t="shared" ref="F10:F18" si="2">C10-(C10*$E$6)</f>
        <v>26.353286031538065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28.1</v>
      </c>
      <c r="D11" s="30">
        <v>136.69999999999999</v>
      </c>
      <c r="E11" s="29">
        <f t="shared" si="1"/>
        <v>0.46417657045840405</v>
      </c>
      <c r="F11" s="28">
        <f t="shared" si="2"/>
        <v>27.426938425415546</v>
      </c>
      <c r="G11" s="27" t="str">
        <f t="shared" si="3"/>
        <v>-</v>
      </c>
      <c r="H11" s="34">
        <f t="shared" si="4"/>
        <v>3841.27</v>
      </c>
      <c r="I11" s="34">
        <f t="shared" si="5"/>
        <v>3749.262482754305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25.7</v>
      </c>
      <c r="D12" s="30">
        <v>157.80000000000001</v>
      </c>
      <c r="E12" s="29">
        <f t="shared" si="1"/>
        <v>0.53582342954159601</v>
      </c>
      <c r="F12" s="28">
        <f t="shared" si="2"/>
        <v>25.084424111501047</v>
      </c>
      <c r="G12" s="27" t="str">
        <f t="shared" si="3"/>
        <v>-</v>
      </c>
      <c r="H12" s="34">
        <f t="shared" si="4"/>
        <v>4055.46</v>
      </c>
      <c r="I12" s="34">
        <f t="shared" si="5"/>
        <v>3958.3221247948654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28.1</v>
      </c>
      <c r="D13" s="30"/>
      <c r="E13" s="29">
        <f t="shared" si="1"/>
        <v>0</v>
      </c>
      <c r="F13" s="28">
        <f t="shared" si="2"/>
        <v>27.426938425415546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31.4</v>
      </c>
      <c r="D14" s="30"/>
      <c r="E14" s="29">
        <f t="shared" si="1"/>
        <v>0</v>
      </c>
      <c r="F14" s="28">
        <f t="shared" si="2"/>
        <v>30.647895607047971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25.9</v>
      </c>
      <c r="D15" s="30"/>
      <c r="E15" s="29">
        <f t="shared" si="1"/>
        <v>0</v>
      </c>
      <c r="F15" s="28">
        <f t="shared" si="2"/>
        <v>25.279633637660588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35.5</v>
      </c>
      <c r="D16" s="30"/>
      <c r="E16" s="29">
        <f t="shared" si="1"/>
        <v>0</v>
      </c>
      <c r="F16" s="28">
        <f t="shared" si="2"/>
        <v>34.649690893318571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52.2</v>
      </c>
      <c r="D17" s="30"/>
      <c r="E17" s="29">
        <f t="shared" si="1"/>
        <v>0</v>
      </c>
      <c r="F17" s="28">
        <f t="shared" si="2"/>
        <v>50.949686327640265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45.7</v>
      </c>
      <c r="D18" s="30"/>
      <c r="E18" s="29">
        <f t="shared" si="1"/>
        <v>0</v>
      </c>
      <c r="F18" s="28">
        <f t="shared" si="2"/>
        <v>44.605376727455173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26.814023769100167</v>
      </c>
      <c r="D19" s="49">
        <f>SUM(D10:D18)</f>
        <v>294.5</v>
      </c>
      <c r="E19" s="48">
        <f t="shared" si="1"/>
        <v>1</v>
      </c>
      <c r="F19" s="47">
        <f>I19/D19</f>
        <v>26.171764371983599</v>
      </c>
      <c r="G19" s="46">
        <f>F19/C19-1</f>
        <v>-2.3952369202293822E-2</v>
      </c>
      <c r="H19" s="9">
        <f>SUM(H10:H18)</f>
        <v>7896.73</v>
      </c>
      <c r="I19" s="9">
        <f>SUM(I10:I18)</f>
        <v>7707.58460754917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67.900000000000006</v>
      </c>
      <c r="D21" s="30">
        <v>43.8</v>
      </c>
      <c r="E21" s="29">
        <f>D21/$D$48</f>
        <v>1.35637309550353E-2</v>
      </c>
      <c r="F21" s="28">
        <f>C21-(C21*$E$6)</f>
        <v>66.273634131164258</v>
      </c>
      <c r="G21" s="27" t="str">
        <f>IF(C21&gt;=F21,"-","+")</f>
        <v>-</v>
      </c>
      <c r="H21" s="26">
        <f>C21*D21</f>
        <v>2974.02</v>
      </c>
      <c r="I21" s="26">
        <f>F21*D21</f>
        <v>2902.7851749449942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45.6</v>
      </c>
      <c r="D22" s="30">
        <v>104</v>
      </c>
      <c r="E22" s="29">
        <f>D22/$D$48</f>
        <v>3.2206119162640899E-2</v>
      </c>
      <c r="F22" s="28">
        <f>C22-(C22*$E$6)</f>
        <v>44.507771964375401</v>
      </c>
      <c r="G22" s="27" t="str">
        <f>IF(C22&gt;=F22,"-","+")</f>
        <v>-</v>
      </c>
      <c r="H22" s="26">
        <f>C22*D22</f>
        <v>4742.4000000000005</v>
      </c>
      <c r="I22" s="26">
        <f>F22*D22</f>
        <v>4628.8082842950416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41.6</v>
      </c>
      <c r="D23" s="30">
        <v>83.6</v>
      </c>
      <c r="E23" s="29">
        <f>D23/$D$48</f>
        <v>2.5888765019199799E-2</v>
      </c>
      <c r="F23" s="28">
        <f>C23-(C23*$E$6)</f>
        <v>40.603581441184581</v>
      </c>
      <c r="G23" s="27" t="str">
        <f>IF(C23&gt;=F23,"-","+")</f>
        <v>-</v>
      </c>
      <c r="H23" s="26">
        <f>C23*D23</f>
        <v>3477.7599999999998</v>
      </c>
      <c r="I23" s="26">
        <f>F23*D23</f>
        <v>3394.4594084830305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48.375885911840967</v>
      </c>
      <c r="D24" s="22">
        <f>SUM(D21:D23)</f>
        <v>231.4</v>
      </c>
      <c r="E24" s="21">
        <f>D24/$D$48</f>
        <v>7.1658615136876005E-2</v>
      </c>
      <c r="F24" s="20">
        <f>I24/D24</f>
        <v>47.217168831992502</v>
      </c>
      <c r="G24" s="19">
        <f>F24/C24-1</f>
        <v>-2.3952369202293933E-2</v>
      </c>
      <c r="H24" s="18">
        <f>SUM(H21:H23)</f>
        <v>11194.18</v>
      </c>
      <c r="I24" s="18">
        <f>SUM(I21:I23)</f>
        <v>10926.052867723065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36.200000000000003</v>
      </c>
      <c r="D26" s="30">
        <f>40+691.6</f>
        <v>731.6</v>
      </c>
      <c r="E26" s="29">
        <f t="shared" ref="E26:E32" si="7">D26/$D$48</f>
        <v>0.22655766134027003</v>
      </c>
      <c r="F26" s="28">
        <f t="shared" ref="F26:F31" si="8">C26-(C26*$E$6)</f>
        <v>35.33292423487697</v>
      </c>
      <c r="G26" s="27" t="str">
        <f t="shared" ref="G26:G31" si="9">IF(C26&gt;=F26,"-","+")</f>
        <v>-</v>
      </c>
      <c r="H26" s="26">
        <f t="shared" ref="H26:H31" si="10">C26*D26</f>
        <v>26483.920000000002</v>
      </c>
      <c r="I26" s="26">
        <f t="shared" ref="I26:I31" si="11">F26*D26</f>
        <v>25849.567370235993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32.299999999999997</v>
      </c>
      <c r="D27" s="30">
        <f>411.4+101.2</f>
        <v>512.6</v>
      </c>
      <c r="E27" s="29">
        <f t="shared" si="7"/>
        <v>0.15873900656509352</v>
      </c>
      <c r="F27" s="28">
        <f t="shared" si="8"/>
        <v>31.526338474765907</v>
      </c>
      <c r="G27" s="27" t="str">
        <f t="shared" si="9"/>
        <v>-</v>
      </c>
      <c r="H27" s="26">
        <f t="shared" si="10"/>
        <v>16556.98</v>
      </c>
      <c r="I27" s="26">
        <f t="shared" si="11"/>
        <v>16160.401102165004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32.299999999999997</v>
      </c>
      <c r="D28" s="30">
        <v>354.2</v>
      </c>
      <c r="E28" s="29">
        <f t="shared" si="7"/>
        <v>0.10968660968660968</v>
      </c>
      <c r="F28" s="28">
        <f t="shared" si="8"/>
        <v>31.526338474765907</v>
      </c>
      <c r="G28" s="27" t="str">
        <f t="shared" si="9"/>
        <v>-</v>
      </c>
      <c r="H28" s="26">
        <f t="shared" si="10"/>
        <v>11440.659999999998</v>
      </c>
      <c r="I28" s="26">
        <f t="shared" si="11"/>
        <v>11166.629087762085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31.2</v>
      </c>
      <c r="D29" s="30">
        <v>332.8</v>
      </c>
      <c r="E29" s="29">
        <f t="shared" si="7"/>
        <v>0.10305958132045089</v>
      </c>
      <c r="F29" s="28">
        <f t="shared" si="8"/>
        <v>30.452686080888434</v>
      </c>
      <c r="G29" s="27" t="str">
        <f t="shared" si="9"/>
        <v>-</v>
      </c>
      <c r="H29" s="26">
        <f t="shared" si="10"/>
        <v>10383.36</v>
      </c>
      <c r="I29" s="26">
        <f t="shared" si="11"/>
        <v>10134.653927719672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31.2</v>
      </c>
      <c r="D30" s="30">
        <v>143.19999999999999</v>
      </c>
      <c r="E30" s="29">
        <f t="shared" si="7"/>
        <v>4.4345348693174774E-2</v>
      </c>
      <c r="F30" s="28">
        <f t="shared" si="8"/>
        <v>30.452686080888434</v>
      </c>
      <c r="G30" s="27" t="str">
        <f t="shared" si="9"/>
        <v>-</v>
      </c>
      <c r="H30" s="26">
        <f t="shared" si="10"/>
        <v>4467.8399999999992</v>
      </c>
      <c r="I30" s="26">
        <f t="shared" si="11"/>
        <v>4360.8246467832232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31.7</v>
      </c>
      <c r="D31" s="30">
        <v>52.4</v>
      </c>
      <c r="E31" s="29">
        <f t="shared" si="7"/>
        <v>1.6226929270407531E-2</v>
      </c>
      <c r="F31" s="28">
        <f t="shared" si="8"/>
        <v>30.940709896287284</v>
      </c>
      <c r="G31" s="27" t="str">
        <f t="shared" si="9"/>
        <v>-</v>
      </c>
      <c r="H31" s="26">
        <f t="shared" si="10"/>
        <v>1661.08</v>
      </c>
      <c r="I31" s="26">
        <f t="shared" si="11"/>
        <v>1621.2931985654536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33.380590558585666</v>
      </c>
      <c r="D32" s="22">
        <f>SUM(D26:D31)</f>
        <v>2126.8000000000002</v>
      </c>
      <c r="E32" s="21">
        <f t="shared" si="7"/>
        <v>0.65861513687600648</v>
      </c>
      <c r="F32" s="20">
        <f>I32/D32</f>
        <v>32.581046329335827</v>
      </c>
      <c r="G32" s="19">
        <f>F32/C32-1</f>
        <v>-2.39523692022936E-2</v>
      </c>
      <c r="H32" s="18">
        <f>SUM(H26:H31)</f>
        <v>70993.84</v>
      </c>
      <c r="I32" s="18">
        <f>SUM(I26:I31)</f>
        <v>69293.369333231443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19.100000000000001</v>
      </c>
      <c r="D34" s="30">
        <v>346.1</v>
      </c>
      <c r="E34" s="29">
        <f t="shared" ref="E34:E40" si="13">D34/$D$48</f>
        <v>0.1071782484825963</v>
      </c>
      <c r="F34" s="28">
        <f t="shared" ref="F34:F39" si="14">C34-(C34*$E$6)</f>
        <v>18.64250974823619</v>
      </c>
      <c r="G34" s="27" t="str">
        <f t="shared" ref="G34:G39" si="15">IF(C34&gt;=F34,"-","+")</f>
        <v>-</v>
      </c>
      <c r="H34" s="26">
        <f t="shared" ref="H34:H39" si="16">C34*D34</f>
        <v>6610.5100000000011</v>
      </c>
      <c r="I34" s="26">
        <f t="shared" ref="I34:I39" si="17">F34*D34</f>
        <v>6452.172623864546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14.7</v>
      </c>
      <c r="D35" s="30">
        <v>39.5</v>
      </c>
      <c r="E35" s="29">
        <f t="shared" si="13"/>
        <v>1.2232131797349187E-2</v>
      </c>
      <c r="F35" s="28">
        <f t="shared" si="14"/>
        <v>14.34790017272628</v>
      </c>
      <c r="G35" s="27" t="str">
        <f t="shared" si="15"/>
        <v>-</v>
      </c>
      <c r="H35" s="26">
        <f t="shared" si="16"/>
        <v>580.65</v>
      </c>
      <c r="I35" s="26">
        <f t="shared" si="17"/>
        <v>566.74205682268803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30"/>
      <c r="E36" s="29">
        <f t="shared" si="13"/>
        <v>0</v>
      </c>
      <c r="F36" s="28">
        <f t="shared" si="14"/>
        <v>11.517362043412934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31.2</v>
      </c>
      <c r="D37" s="30"/>
      <c r="E37" s="29">
        <f t="shared" si="13"/>
        <v>0</v>
      </c>
      <c r="F37" s="28">
        <f t="shared" si="14"/>
        <v>30.452686080888434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31.2</v>
      </c>
      <c r="D38" s="30"/>
      <c r="E38" s="29">
        <f t="shared" si="13"/>
        <v>0</v>
      </c>
      <c r="F38" s="28">
        <f t="shared" si="14"/>
        <v>30.452686080888434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32.299999999999997</v>
      </c>
      <c r="D39" s="30"/>
      <c r="E39" s="29">
        <f t="shared" si="13"/>
        <v>0</v>
      </c>
      <c r="F39" s="28">
        <f t="shared" si="14"/>
        <v>31.526338474765907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18.649273858921163</v>
      </c>
      <c r="D40" s="22">
        <f>SUM(D34:D39)</f>
        <v>385.6</v>
      </c>
      <c r="E40" s="21">
        <f t="shared" si="13"/>
        <v>0.11941038027994549</v>
      </c>
      <c r="F40" s="20">
        <f>I40/D40</f>
        <v>18.202579566097597</v>
      </c>
      <c r="G40" s="19">
        <f>F40/C40-1</f>
        <v>-2.3952369202293711E-2</v>
      </c>
      <c r="H40" s="18">
        <f>SUM(H34:H39)</f>
        <v>7191.1600000000008</v>
      </c>
      <c r="I40" s="18">
        <f>SUM(I34:I39)</f>
        <v>7018.9146806872341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448.5</v>
      </c>
      <c r="E42" s="29">
        <f>D42/$D$48</f>
        <v>0.13888888888888887</v>
      </c>
      <c r="F42" s="28">
        <f>C42-(C42*$E$6)</f>
        <v>0.39041905231908247</v>
      </c>
      <c r="G42" s="27" t="str">
        <f>IF(C42&gt;=F42,"-","+")</f>
        <v>-</v>
      </c>
      <c r="H42" s="26">
        <f>C42*D42</f>
        <v>179.4</v>
      </c>
      <c r="I42" s="26">
        <f>F42*D42</f>
        <v>175.10294496510849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27.6</v>
      </c>
      <c r="E43" s="29">
        <f>D43/$D$48</f>
        <v>8.5470085470085461E-3</v>
      </c>
      <c r="F43" s="28">
        <f>C43-(C43*$E$6)</f>
        <v>0.39041905231908247</v>
      </c>
      <c r="G43" s="27" t="str">
        <f>IF(C43&gt;=F43,"-","+")</f>
        <v>-</v>
      </c>
      <c r="H43" s="26">
        <f>C43*D43</f>
        <v>11.040000000000001</v>
      </c>
      <c r="I43" s="26">
        <f>F43*D43</f>
        <v>10.775565844006676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4.3</v>
      </c>
      <c r="E44" s="29">
        <f>D44/$D$48</f>
        <v>1.3315991576861141E-3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29">
        <f>D45/$D$48</f>
        <v>1.5483711135885047E-3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0.39233621755253395</v>
      </c>
      <c r="D46" s="22">
        <f>SUM(D41:D45)</f>
        <v>485.40000000000003</v>
      </c>
      <c r="E46" s="21">
        <f>D46/$D$48</f>
        <v>0.15031586770717206</v>
      </c>
      <c r="F46" s="20">
        <f>I46/D46</f>
        <v>0.38293883561828423</v>
      </c>
      <c r="G46" s="19">
        <f>F46/C46-1</f>
        <v>-2.3952369202293711E-2</v>
      </c>
      <c r="H46" s="18">
        <f>SUM(H41:H44)</f>
        <v>190.44</v>
      </c>
      <c r="I46" s="18">
        <f>SUM(I41:I44)</f>
        <v>185.87851080911517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100.79808654690034</v>
      </c>
      <c r="D48" s="13">
        <f>D24+D32+D40+D46</f>
        <v>3229.2000000000003</v>
      </c>
      <c r="E48" s="12">
        <f>SUM(E20:E46)/2</f>
        <v>1</v>
      </c>
      <c r="F48" s="11">
        <f>I48/D48</f>
        <v>27.073025948362087</v>
      </c>
      <c r="G48" s="10"/>
      <c r="H48" s="9">
        <f>SUM(H20:H46)/2</f>
        <v>89569.62</v>
      </c>
      <c r="I48" s="9">
        <f>SUM(I20:I46)/2</f>
        <v>87424.21539245086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3523.7000000000003</v>
      </c>
      <c r="E50" s="12">
        <f>D50/G2</f>
        <v>1.0000851450303685</v>
      </c>
      <c r="F50" s="11">
        <f>I50/D50</f>
        <v>26.997701279904653</v>
      </c>
      <c r="G50" s="10"/>
      <c r="H50" s="9">
        <f>H48+H19</f>
        <v>97466.349999999991</v>
      </c>
      <c r="I50" s="9">
        <f>I48+I19</f>
        <v>95131.800000000032</v>
      </c>
      <c r="J50" s="106">
        <f>D50-G2</f>
        <v>0.3000000000001819</v>
      </c>
      <c r="K50" s="8"/>
    </row>
    <row r="51" spans="1:11" ht="23.25" x14ac:dyDescent="0.35">
      <c r="A51" s="168" t="s">
        <v>101</v>
      </c>
      <c r="B51" s="169"/>
      <c r="C51" s="170"/>
      <c r="G51" s="7"/>
      <c r="H51" s="6"/>
      <c r="I51" s="6">
        <f>+I50/D50</f>
        <v>26.997701279904653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K56"/>
  <sheetViews>
    <sheetView topLeftCell="A16" workbookViewId="0">
      <selection activeCell="D26" sqref="D2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102</v>
      </c>
      <c r="D1" s="100" t="s">
        <v>1</v>
      </c>
      <c r="E1" s="168" t="s">
        <v>103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102</v>
      </c>
      <c r="D2" s="96" t="s">
        <v>3</v>
      </c>
      <c r="E2" s="95" t="s">
        <v>71</v>
      </c>
      <c r="F2" s="94" t="s">
        <v>5</v>
      </c>
      <c r="G2" s="93">
        <v>12174.7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104</v>
      </c>
      <c r="D3" s="90" t="s">
        <v>7</v>
      </c>
      <c r="E3" s="89">
        <v>159</v>
      </c>
      <c r="F3" s="88" t="s">
        <v>8</v>
      </c>
      <c r="G3" s="87">
        <v>27.25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76.570440251572336</v>
      </c>
      <c r="F4" s="81" t="s">
        <v>12</v>
      </c>
      <c r="G4" s="80">
        <f>G2*G3</f>
        <v>331760.57500000001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2.0423713737541815E-3</v>
      </c>
      <c r="F6" s="69" t="s">
        <v>16</v>
      </c>
      <c r="G6" s="68">
        <f>(I50-I19)/(D50-(SUM(D42:D44)+D19))</f>
        <v>32.921900428690513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27.3</v>
      </c>
      <c r="D10" s="30"/>
      <c r="E10" s="29" t="e">
        <f t="shared" ref="E10:E19" si="1">D10/$D$19</f>
        <v>#DIV/0!</v>
      </c>
      <c r="F10" s="28">
        <f t="shared" ref="F10:F18" si="2">C10-(C10*$E$6)</f>
        <v>27.244243261496511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28.4</v>
      </c>
      <c r="D11" s="30"/>
      <c r="E11" s="29" t="e">
        <f t="shared" si="1"/>
        <v>#DIV/0!</v>
      </c>
      <c r="F11" s="28">
        <f t="shared" si="2"/>
        <v>28.34199665298538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25.9</v>
      </c>
      <c r="D12" s="30"/>
      <c r="E12" s="29" t="e">
        <f t="shared" si="1"/>
        <v>#DIV/0!</v>
      </c>
      <c r="F12" s="28">
        <f t="shared" si="2"/>
        <v>25.847102581419765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28.4</v>
      </c>
      <c r="D13" s="30"/>
      <c r="E13" s="29" t="e">
        <f t="shared" si="1"/>
        <v>#DIV/0!</v>
      </c>
      <c r="F13" s="28">
        <f t="shared" si="2"/>
        <v>28.34199665298538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31.7</v>
      </c>
      <c r="D14" s="30"/>
      <c r="E14" s="29" t="e">
        <f t="shared" si="1"/>
        <v>#DIV/0!</v>
      </c>
      <c r="F14" s="28">
        <f t="shared" si="2"/>
        <v>31.635256827451993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26.2</v>
      </c>
      <c r="D15" s="30"/>
      <c r="E15" s="29" t="e">
        <f t="shared" si="1"/>
        <v>#DIV/0!</v>
      </c>
      <c r="F15" s="28">
        <f t="shared" si="2"/>
        <v>26.146489870007638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35.799999999999997</v>
      </c>
      <c r="D16" s="30"/>
      <c r="E16" s="29" t="e">
        <f t="shared" si="1"/>
        <v>#DIV/0!</v>
      </c>
      <c r="F16" s="28">
        <f t="shared" si="2"/>
        <v>35.726883104819599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52.7</v>
      </c>
      <c r="D17" s="30"/>
      <c r="E17" s="29" t="e">
        <f t="shared" si="1"/>
        <v>#DIV/0!</v>
      </c>
      <c r="F17" s="28">
        <f t="shared" si="2"/>
        <v>52.592367028603157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46.2</v>
      </c>
      <c r="D18" s="30"/>
      <c r="E18" s="29" t="e">
        <f t="shared" si="1"/>
        <v>#DIV/0!</v>
      </c>
      <c r="F18" s="28">
        <f t="shared" si="2"/>
        <v>46.105642442532563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68.5</v>
      </c>
      <c r="D21" s="30">
        <v>172</v>
      </c>
      <c r="E21" s="29">
        <f>D21/$D$48</f>
        <v>1.4127890262433775E-2</v>
      </c>
      <c r="F21" s="28">
        <f>C21-(C21*$E$6)</f>
        <v>68.360097560897842</v>
      </c>
      <c r="G21" s="27" t="str">
        <f>IF(C21&gt;=F21,"-","+")</f>
        <v>-</v>
      </c>
      <c r="H21" s="26">
        <f>C21*D21</f>
        <v>11782</v>
      </c>
      <c r="I21" s="26">
        <f>F21*D21</f>
        <v>11757.936780474429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</v>
      </c>
      <c r="D22" s="30">
        <v>389.4</v>
      </c>
      <c r="E22" s="29">
        <f>D22/$D$48</f>
        <v>3.198488644297507E-2</v>
      </c>
      <c r="F22" s="28">
        <f>C22-(C22*$E$6)</f>
        <v>45.90605091680731</v>
      </c>
      <c r="G22" s="27" t="str">
        <f>IF(C22&gt;=F22,"-","+")</f>
        <v>-</v>
      </c>
      <c r="H22" s="26">
        <f>C22*D22</f>
        <v>17912.399999999998</v>
      </c>
      <c r="I22" s="26">
        <f>F22*D22</f>
        <v>17875.816227004765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</v>
      </c>
      <c r="D23" s="30">
        <v>360.6</v>
      </c>
      <c r="E23" s="29">
        <f>D23/$D$48</f>
        <v>2.9619286212986162E-2</v>
      </c>
      <c r="F23" s="28">
        <f>C23-(C23*$E$6)</f>
        <v>41.914220402302327</v>
      </c>
      <c r="G23" s="27" t="str">
        <f>IF(C23&gt;=F23,"-","+")</f>
        <v>-</v>
      </c>
      <c r="H23" s="26">
        <f>C23*D23</f>
        <v>15145.2</v>
      </c>
      <c r="I23" s="26">
        <f>F23*D23</f>
        <v>15114.26787707022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48.632971800433836</v>
      </c>
      <c r="D24" s="22">
        <f>SUM(D21:D23)</f>
        <v>922</v>
      </c>
      <c r="E24" s="21">
        <f>D24/$D$48</f>
        <v>7.5732062918395002E-2</v>
      </c>
      <c r="F24" s="20">
        <f>I24/D24</f>
        <v>48.533645211008043</v>
      </c>
      <c r="G24" s="19">
        <f>F24/C24-1</f>
        <v>-2.0423713737540705E-3</v>
      </c>
      <c r="H24" s="18">
        <f>SUM(H21:H23)</f>
        <v>44839.6</v>
      </c>
      <c r="I24" s="18">
        <f>SUM(I21:I23)</f>
        <v>44748.020884549413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36.6</v>
      </c>
      <c r="D26" s="30">
        <v>2466.4</v>
      </c>
      <c r="E26" s="29">
        <f t="shared" ref="E26:E32" si="7">D26/$D$48</f>
        <v>0.20258737525155038</v>
      </c>
      <c r="F26" s="28">
        <f t="shared" ref="F26:F31" si="8">C26-(C26*$E$6)</f>
        <v>36.525249207720599</v>
      </c>
      <c r="G26" s="27" t="str">
        <f t="shared" ref="G26:G31" si="9">IF(C26&gt;=F26,"-","+")</f>
        <v>-</v>
      </c>
      <c r="H26" s="26">
        <f t="shared" ref="H26:H31" si="10">C26*D26</f>
        <v>90270.24</v>
      </c>
      <c r="I26" s="26">
        <f t="shared" ref="I26:I31" si="11">F26*D26</f>
        <v>90085.874645922086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32.6</v>
      </c>
      <c r="D27" s="30">
        <v>2007.6</v>
      </c>
      <c r="E27" s="29">
        <f t="shared" si="7"/>
        <v>0.164902049365477</v>
      </c>
      <c r="F27" s="28">
        <f t="shared" si="8"/>
        <v>32.533418693215616</v>
      </c>
      <c r="G27" s="27" t="str">
        <f t="shared" si="9"/>
        <v>-</v>
      </c>
      <c r="H27" s="26">
        <f t="shared" si="10"/>
        <v>65447.76</v>
      </c>
      <c r="I27" s="26">
        <f t="shared" si="11"/>
        <v>65314.09136849967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32.6</v>
      </c>
      <c r="D28" s="30">
        <v>1246.4000000000001</v>
      </c>
      <c r="E28" s="29">
        <f t="shared" si="7"/>
        <v>0.10237792106452011</v>
      </c>
      <c r="F28" s="28">
        <f t="shared" si="8"/>
        <v>32.533418693215616</v>
      </c>
      <c r="G28" s="27" t="str">
        <f t="shared" si="9"/>
        <v>-</v>
      </c>
      <c r="H28" s="26">
        <f t="shared" si="10"/>
        <v>40632.640000000007</v>
      </c>
      <c r="I28" s="26">
        <f t="shared" si="11"/>
        <v>40549.653059223943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31.5</v>
      </c>
      <c r="D29" s="30">
        <v>911.8</v>
      </c>
      <c r="E29" s="29">
        <f t="shared" si="7"/>
        <v>7.4894246170273931E-2</v>
      </c>
      <c r="F29" s="28">
        <f t="shared" si="8"/>
        <v>31.435665301726743</v>
      </c>
      <c r="G29" s="27" t="str">
        <f t="shared" si="9"/>
        <v>-</v>
      </c>
      <c r="H29" s="26">
        <f t="shared" si="10"/>
        <v>28721.699999999997</v>
      </c>
      <c r="I29" s="26">
        <f t="shared" si="11"/>
        <v>28663.039622114444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31.5</v>
      </c>
      <c r="D30" s="30">
        <v>581.4</v>
      </c>
      <c r="E30" s="29">
        <f t="shared" si="7"/>
        <v>4.7755554642901141E-2</v>
      </c>
      <c r="F30" s="28">
        <f t="shared" si="8"/>
        <v>31.435665301726743</v>
      </c>
      <c r="G30" s="27" t="str">
        <f t="shared" si="9"/>
        <v>-</v>
      </c>
      <c r="H30" s="26">
        <f t="shared" si="10"/>
        <v>18314.099999999999</v>
      </c>
      <c r="I30" s="26">
        <f t="shared" si="11"/>
        <v>18276.695806423926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</v>
      </c>
      <c r="D31" s="30">
        <v>481</v>
      </c>
      <c r="E31" s="29">
        <f t="shared" si="7"/>
        <v>3.9508809396689805E-2</v>
      </c>
      <c r="F31" s="28">
        <f t="shared" si="8"/>
        <v>31.934644116039866</v>
      </c>
      <c r="G31" s="27" t="str">
        <f t="shared" si="9"/>
        <v>-</v>
      </c>
      <c r="H31" s="26">
        <f t="shared" si="10"/>
        <v>15392</v>
      </c>
      <c r="I31" s="26">
        <f t="shared" si="11"/>
        <v>15360.563819815176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33.631175109817278</v>
      </c>
      <c r="D32" s="22">
        <f>SUM(D26:D31)</f>
        <v>7694.5999999999995</v>
      </c>
      <c r="E32" s="21">
        <f t="shared" si="7"/>
        <v>0.63202595589141231</v>
      </c>
      <c r="F32" s="20">
        <f>I32/D32</f>
        <v>33.562487760507274</v>
      </c>
      <c r="G32" s="19">
        <f>F32/C32-1</f>
        <v>-2.0423713737541815E-3</v>
      </c>
      <c r="H32" s="18">
        <f>SUM(H26:H31)</f>
        <v>258778.44000000003</v>
      </c>
      <c r="I32" s="18">
        <f>SUM(I26:I31)</f>
        <v>258249.91832199923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</v>
      </c>
      <c r="D34" s="30">
        <v>1434.6</v>
      </c>
      <c r="E34" s="29">
        <f t="shared" ref="E34:E40" si="13">D34/$D$48</f>
        <v>0.11783646145632264</v>
      </c>
      <c r="F34" s="28">
        <f t="shared" ref="F34:F39" si="14">C34-(C34*$E$6)</f>
        <v>19.260582232486545</v>
      </c>
      <c r="G34" s="27" t="str">
        <f t="shared" ref="G34:G39" si="15">IF(C34&gt;=F34,"-","+")</f>
        <v>-</v>
      </c>
      <c r="H34" s="26">
        <f t="shared" ref="H34:H39" si="16">C34*D34</f>
        <v>27687.78</v>
      </c>
      <c r="I34" s="26">
        <f t="shared" ref="I34:I39" si="17">F34*D34</f>
        <v>27631.231270725195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>
        <v>20</v>
      </c>
      <c r="E35" s="29">
        <f t="shared" si="13"/>
        <v>1.6427779374922995E-3</v>
      </c>
      <c r="F35" s="28">
        <f t="shared" si="14"/>
        <v>14.769772903668439</v>
      </c>
      <c r="G35" s="27" t="str">
        <f t="shared" si="15"/>
        <v>-</v>
      </c>
      <c r="H35" s="26">
        <f t="shared" si="16"/>
        <v>296</v>
      </c>
      <c r="I35" s="26">
        <f t="shared" si="17"/>
        <v>295.39545807336879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11.875695780652325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31.5</v>
      </c>
      <c r="D37" s="30"/>
      <c r="E37" s="29">
        <f t="shared" si="13"/>
        <v>0</v>
      </c>
      <c r="F37" s="28">
        <f t="shared" si="14"/>
        <v>31.435665301726743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31.5</v>
      </c>
      <c r="D38" s="30"/>
      <c r="E38" s="29">
        <f t="shared" si="13"/>
        <v>0</v>
      </c>
      <c r="F38" s="28">
        <f t="shared" si="14"/>
        <v>31.435665301726743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32.6</v>
      </c>
      <c r="D39" s="30"/>
      <c r="E39" s="29">
        <f t="shared" si="13"/>
        <v>0</v>
      </c>
      <c r="F39" s="28">
        <f t="shared" si="14"/>
        <v>32.533418693215616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19.238127320225491</v>
      </c>
      <c r="D40" s="22">
        <f>SUM(D34:D39)</f>
        <v>1454.6</v>
      </c>
      <c r="E40" s="21">
        <f t="shared" si="13"/>
        <v>0.11947923939381494</v>
      </c>
      <c r="F40" s="20">
        <f>I40/D40</f>
        <v>19.198835919702027</v>
      </c>
      <c r="G40" s="19">
        <f>F40/C40-1</f>
        <v>-2.0423713737540705E-3</v>
      </c>
      <c r="H40" s="18">
        <f>SUM(H34:H39)</f>
        <v>27983.78</v>
      </c>
      <c r="I40" s="18">
        <f>SUM(I34:I39)</f>
        <v>27926.626728798565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2017.5</v>
      </c>
      <c r="E42" s="29">
        <f>D42/$D$48</f>
        <v>0.16571522444453571</v>
      </c>
      <c r="F42" s="28">
        <f>C42-(C42*$E$6)</f>
        <v>0.39918305145049837</v>
      </c>
      <c r="G42" s="27" t="str">
        <f>IF(C42&gt;=F42,"-","+")</f>
        <v>-</v>
      </c>
      <c r="H42" s="26">
        <f>C42*D42</f>
        <v>807</v>
      </c>
      <c r="I42" s="26">
        <f>F42*D42</f>
        <v>805.35180630138052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76.8</v>
      </c>
      <c r="E43" s="29">
        <f>D43/$D$48</f>
        <v>6.3082672799704299E-3</v>
      </c>
      <c r="F43" s="28">
        <f>C43-(C43*$E$6)</f>
        <v>0.39918305145049837</v>
      </c>
      <c r="G43" s="27" t="str">
        <f>IF(C43&gt;=F43,"-","+")</f>
        <v>-</v>
      </c>
      <c r="H43" s="26">
        <f>C43*D43</f>
        <v>30.72</v>
      </c>
      <c r="I43" s="26">
        <f>F43*D43</f>
        <v>30.657258351398273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</v>
      </c>
      <c r="E44" s="29">
        <f>D44/$D$48</f>
        <v>2.464166906238449E-4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29">
        <f>D45/$D$48</f>
        <v>4.9283338124768981E-4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0.39828840393667092</v>
      </c>
      <c r="D46" s="22">
        <f>SUM(D41:D45)</f>
        <v>2103.3000000000002</v>
      </c>
      <c r="E46" s="21">
        <f>D46/$D$48</f>
        <v>0.17276274179637768</v>
      </c>
      <c r="F46" s="20">
        <f>I46/D46</f>
        <v>0.39747495110197245</v>
      </c>
      <c r="G46" s="19">
        <f>F46/C46-1</f>
        <v>-2.0423713737540705E-3</v>
      </c>
      <c r="H46" s="18">
        <f>SUM(H41:H44)</f>
        <v>837.72</v>
      </c>
      <c r="I46" s="18">
        <f>SUM(I41:I44)</f>
        <v>836.00906465277876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101.90056263441328</v>
      </c>
      <c r="D48" s="13">
        <f>D24+D32+D40+D46</f>
        <v>12174.5</v>
      </c>
      <c r="E48" s="12">
        <f>SUM(E20:E46)/2</f>
        <v>0.99999999999999989</v>
      </c>
      <c r="F48" s="11">
        <f>I48/D48</f>
        <v>27.250447656987962</v>
      </c>
      <c r="G48" s="10"/>
      <c r="H48" s="9">
        <f>SUM(H20:H46)/2</f>
        <v>332439.54000000004</v>
      </c>
      <c r="I48" s="9">
        <f>SUM(I20:I46)/2</f>
        <v>331760.57499999995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12174.499999999996</v>
      </c>
      <c r="E50" s="12">
        <f>D50/G2</f>
        <v>0.99998357249049219</v>
      </c>
      <c r="F50" s="11">
        <f>I50/D50</f>
        <v>27.250447656987969</v>
      </c>
      <c r="G50" s="10"/>
      <c r="H50" s="9">
        <f>H48+H19</f>
        <v>332439.54000000004</v>
      </c>
      <c r="I50" s="9">
        <f>I48+I19</f>
        <v>331760.57499999995</v>
      </c>
      <c r="J50" s="106">
        <f>D50-G2</f>
        <v>-0.20000000000436557</v>
      </c>
      <c r="K50" s="8"/>
    </row>
    <row r="51" spans="1:11" ht="23.25" x14ac:dyDescent="0.35">
      <c r="A51" s="168" t="s">
        <v>105</v>
      </c>
      <c r="B51" s="169"/>
      <c r="C51" s="170"/>
      <c r="G51" s="7"/>
      <c r="H51" s="6"/>
      <c r="I51" s="6">
        <f>+I50/D50</f>
        <v>27.250447656987969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K56"/>
  <sheetViews>
    <sheetView topLeftCell="A8" workbookViewId="0">
      <selection activeCell="E27" sqref="E27:E28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102</v>
      </c>
      <c r="D1" s="100" t="s">
        <v>1</v>
      </c>
      <c r="E1" s="168" t="s">
        <v>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106</v>
      </c>
      <c r="D2" s="96" t="s">
        <v>3</v>
      </c>
      <c r="E2" s="95" t="s">
        <v>107</v>
      </c>
      <c r="F2" s="94" t="s">
        <v>5</v>
      </c>
      <c r="G2" s="93">
        <v>2973.2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40</v>
      </c>
      <c r="F3" s="88" t="s">
        <v>8</v>
      </c>
      <c r="G3" s="87">
        <v>26.75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15</v>
      </c>
      <c r="D4" s="83" t="s">
        <v>11</v>
      </c>
      <c r="E4" s="82">
        <f>G2/E3</f>
        <v>74.33</v>
      </c>
      <c r="F4" s="81" t="s">
        <v>12</v>
      </c>
      <c r="G4" s="80">
        <f>G2*G3</f>
        <v>79533.099999999991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7.9901850767817528E-2</v>
      </c>
      <c r="F6" s="69" t="s">
        <v>16</v>
      </c>
      <c r="G6" s="68">
        <f>(I50-I19)/(D50-(SUM(D42:D44)+D19))</f>
        <v>29.622875443531324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24.658630399422492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27.9</v>
      </c>
      <c r="D11" s="30"/>
      <c r="E11" s="29">
        <f t="shared" si="1"/>
        <v>0</v>
      </c>
      <c r="F11" s="28">
        <f t="shared" si="2"/>
        <v>25.67073836357789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25.4</v>
      </c>
      <c r="D12" s="30"/>
      <c r="E12" s="29">
        <f t="shared" si="1"/>
        <v>0</v>
      </c>
      <c r="F12" s="28">
        <f t="shared" si="2"/>
        <v>23.370492990497432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25.67073836357789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31.1</v>
      </c>
      <c r="D14" s="30"/>
      <c r="E14" s="29">
        <f t="shared" si="1"/>
        <v>0</v>
      </c>
      <c r="F14" s="28">
        <f t="shared" si="2"/>
        <v>28.615052441120877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25.7</v>
      </c>
      <c r="D15" s="30">
        <v>23.8</v>
      </c>
      <c r="E15" s="29">
        <f t="shared" si="1"/>
        <v>0.10740072202166064</v>
      </c>
      <c r="F15" s="28">
        <f t="shared" si="2"/>
        <v>23.646522435267087</v>
      </c>
      <c r="G15" s="27" t="str">
        <f t="shared" si="3"/>
        <v>-</v>
      </c>
      <c r="H15" s="34">
        <f t="shared" si="4"/>
        <v>611.66</v>
      </c>
      <c r="I15" s="34">
        <f t="shared" si="5"/>
        <v>562.78723395935674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>
        <f t="shared" si="1"/>
        <v>0</v>
      </c>
      <c r="F16" s="28">
        <f t="shared" si="2"/>
        <v>32.387454852972823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51.7</v>
      </c>
      <c r="D17" s="30">
        <v>128.5</v>
      </c>
      <c r="E17" s="29">
        <f t="shared" si="1"/>
        <v>0.5798736462093862</v>
      </c>
      <c r="F17" s="28">
        <f t="shared" si="2"/>
        <v>47.569074315303837</v>
      </c>
      <c r="G17" s="27" t="str">
        <f t="shared" si="3"/>
        <v>-</v>
      </c>
      <c r="H17" s="34">
        <f t="shared" si="4"/>
        <v>6643.4500000000007</v>
      </c>
      <c r="I17" s="34">
        <f t="shared" si="5"/>
        <v>6112.6260495165434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45.3</v>
      </c>
      <c r="D18" s="30">
        <v>69.3</v>
      </c>
      <c r="E18" s="29">
        <f t="shared" si="1"/>
        <v>0.31272563176895302</v>
      </c>
      <c r="F18" s="28">
        <f t="shared" si="2"/>
        <v>41.680446160217862</v>
      </c>
      <c r="G18" s="27" t="str">
        <f t="shared" si="3"/>
        <v>-</v>
      </c>
      <c r="H18" s="34">
        <f t="shared" si="4"/>
        <v>3139.2899999999995</v>
      </c>
      <c r="I18" s="34">
        <f t="shared" si="5"/>
        <v>2888.4549189030977</v>
      </c>
      <c r="J18" s="52"/>
      <c r="K18" s="52"/>
    </row>
    <row r="19" spans="1:11" x14ac:dyDescent="0.25">
      <c r="A19" s="51" t="s">
        <v>34</v>
      </c>
      <c r="B19" s="50"/>
      <c r="C19" s="47">
        <f>H19/D19</f>
        <v>46.906137184115515</v>
      </c>
      <c r="D19" s="49">
        <f>SUM(D10:D18)</f>
        <v>221.60000000000002</v>
      </c>
      <c r="E19" s="48">
        <f t="shared" si="1"/>
        <v>1</v>
      </c>
      <c r="F19" s="47">
        <f>I19/D19</f>
        <v>43.15825001073555</v>
      </c>
      <c r="G19" s="46">
        <f>F19/C19-1</f>
        <v>-7.9901850767817306E-2</v>
      </c>
      <c r="H19" s="9">
        <f>SUM(H10:H18)</f>
        <v>10394.4</v>
      </c>
      <c r="I19" s="9">
        <f>SUM(I10:I18)</f>
        <v>9563.8682023789988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67.3</v>
      </c>
      <c r="D21" s="30">
        <v>21</v>
      </c>
      <c r="E21" s="29">
        <f>D21/$D$48</f>
        <v>7.6327554247083195E-3</v>
      </c>
      <c r="F21" s="28">
        <f>C21-(C21*$E$6)</f>
        <v>61.922605443325878</v>
      </c>
      <c r="G21" s="27" t="str">
        <f>IF(C21&gt;=F21,"-","+")</f>
        <v>-</v>
      </c>
      <c r="H21" s="26">
        <f>C21*D21</f>
        <v>1413.3</v>
      </c>
      <c r="I21" s="26">
        <f>F21*D21</f>
        <v>1300.3747143098435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45.2</v>
      </c>
      <c r="D22" s="30">
        <v>38.799999999999997</v>
      </c>
      <c r="E22" s="29">
        <f>D22/$D$48</f>
        <v>1.4102424308508704E-2</v>
      </c>
      <c r="F22" s="28">
        <f>C22-(C22*$E$6)</f>
        <v>41.588436345294653</v>
      </c>
      <c r="G22" s="27" t="str">
        <f>IF(C22&gt;=F22,"-","+")</f>
        <v>-</v>
      </c>
      <c r="H22" s="26">
        <f>C22*D22</f>
        <v>1753.76</v>
      </c>
      <c r="I22" s="26">
        <f>F22*D22</f>
        <v>1613.6313301974324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41.2</v>
      </c>
      <c r="D23" s="30">
        <v>50</v>
      </c>
      <c r="E23" s="29">
        <f>D23/$D$48</f>
        <v>1.8173227201686473E-2</v>
      </c>
      <c r="F23" s="28">
        <f>C23-(C23*$E$6)</f>
        <v>37.90804374836592</v>
      </c>
      <c r="G23" s="27" t="str">
        <f>IF(C23&gt;=F23,"-","+")</f>
        <v>-</v>
      </c>
      <c r="H23" s="26">
        <f>C23*D23</f>
        <v>2060</v>
      </c>
      <c r="I23" s="26">
        <f>F23*D23</f>
        <v>1895.4021874182961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47.605282331511837</v>
      </c>
      <c r="D24" s="22">
        <f>SUM(D21:D23)</f>
        <v>109.8</v>
      </c>
      <c r="E24" s="21">
        <f>D24/$D$48</f>
        <v>3.9908406934903495E-2</v>
      </c>
      <c r="F24" s="20">
        <f>I24/D24</f>
        <v>43.801532166899563</v>
      </c>
      <c r="G24" s="19">
        <f>F24/C24-1</f>
        <v>-7.9901850767817417E-2</v>
      </c>
      <c r="H24" s="18">
        <f>SUM(H21:H23)</f>
        <v>5227.0599999999995</v>
      </c>
      <c r="I24" s="18">
        <f>SUM(I21:I23)</f>
        <v>4809.4082319255722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35.9</v>
      </c>
      <c r="D26" s="30">
        <v>721.6</v>
      </c>
      <c r="E26" s="29">
        <f t="shared" ref="E26:E32" si="7">D26/$D$48</f>
        <v>0.26227601497473918</v>
      </c>
      <c r="F26" s="28">
        <f t="shared" ref="F26:F31" si="8">C26-(C26*$E$6)</f>
        <v>33.031523557435349</v>
      </c>
      <c r="G26" s="27" t="str">
        <f t="shared" ref="G26:G31" si="9">IF(C26&gt;=F26,"-","+")</f>
        <v>-</v>
      </c>
      <c r="H26" s="26">
        <f t="shared" ref="H26:H31" si="10">C26*D26</f>
        <v>25905.439999999999</v>
      </c>
      <c r="I26" s="26">
        <f t="shared" ref="I26:I31" si="11">F26*D26</f>
        <v>23835.54739904535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347.4</v>
      </c>
      <c r="E27" s="29">
        <f t="shared" si="7"/>
        <v>0.1262675825973176</v>
      </c>
      <c r="F27" s="28">
        <f t="shared" si="8"/>
        <v>29.443140775429839</v>
      </c>
      <c r="G27" s="27" t="str">
        <f t="shared" si="9"/>
        <v>-</v>
      </c>
      <c r="H27" s="26">
        <f t="shared" si="10"/>
        <v>11116.8</v>
      </c>
      <c r="I27" s="26">
        <f t="shared" si="11"/>
        <v>10228.547105384325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264.8</v>
      </c>
      <c r="E28" s="29">
        <f t="shared" si="7"/>
        <v>9.6245411260131572E-2</v>
      </c>
      <c r="F28" s="28">
        <f t="shared" si="8"/>
        <v>29.443140775429839</v>
      </c>
      <c r="G28" s="27" t="str">
        <f t="shared" si="9"/>
        <v>-</v>
      </c>
      <c r="H28" s="26">
        <f t="shared" si="10"/>
        <v>8473.6</v>
      </c>
      <c r="I28" s="26">
        <f t="shared" si="11"/>
        <v>7796.5436773338215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30.9</v>
      </c>
      <c r="D29" s="30">
        <v>293.8</v>
      </c>
      <c r="E29" s="29">
        <f t="shared" si="7"/>
        <v>0.10678588303710973</v>
      </c>
      <c r="F29" s="28">
        <f t="shared" si="8"/>
        <v>28.431032811274438</v>
      </c>
      <c r="G29" s="27" t="str">
        <f t="shared" si="9"/>
        <v>-</v>
      </c>
      <c r="H29" s="26">
        <f t="shared" si="10"/>
        <v>9078.42</v>
      </c>
      <c r="I29" s="26">
        <f t="shared" si="11"/>
        <v>8353.0374399524298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30.9</v>
      </c>
      <c r="D30" s="30">
        <v>302.8</v>
      </c>
      <c r="E30" s="29">
        <f t="shared" si="7"/>
        <v>0.11005706393341329</v>
      </c>
      <c r="F30" s="28">
        <f t="shared" si="8"/>
        <v>28.431032811274438</v>
      </c>
      <c r="G30" s="27" t="str">
        <f t="shared" si="9"/>
        <v>-</v>
      </c>
      <c r="H30" s="26">
        <f t="shared" si="10"/>
        <v>9356.52</v>
      </c>
      <c r="I30" s="26">
        <f t="shared" si="11"/>
        <v>8608.9167352539007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31.4</v>
      </c>
      <c r="D31" s="30">
        <v>61.2</v>
      </c>
      <c r="E31" s="29">
        <f t="shared" si="7"/>
        <v>2.2244030094864246E-2</v>
      </c>
      <c r="F31" s="28">
        <f t="shared" si="8"/>
        <v>28.891081885890529</v>
      </c>
      <c r="G31" s="27" t="str">
        <f t="shared" si="9"/>
        <v>-</v>
      </c>
      <c r="H31" s="26">
        <f t="shared" si="10"/>
        <v>1921.68</v>
      </c>
      <c r="I31" s="26">
        <f t="shared" si="11"/>
        <v>1768.1342114165004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33.065103434424579</v>
      </c>
      <c r="D32" s="22">
        <f>SUM(D26:D31)</f>
        <v>1991.6</v>
      </c>
      <c r="E32" s="21">
        <f t="shared" si="7"/>
        <v>0.72387598589757562</v>
      </c>
      <c r="F32" s="20">
        <f>I32/D32</f>
        <v>30.423140474184741</v>
      </c>
      <c r="G32" s="19">
        <f>F32/C32-1</f>
        <v>-7.9901850767817306E-2</v>
      </c>
      <c r="H32" s="18">
        <f>SUM(H26:H31)</f>
        <v>65852.459999999992</v>
      </c>
      <c r="I32" s="18">
        <f>SUM(I26:I31)</f>
        <v>60590.72656838633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238.5</v>
      </c>
      <c r="E34" s="29">
        <f t="shared" ref="E34:E40" si="13">D34/$D$48</f>
        <v>8.668629375204448E-2</v>
      </c>
      <c r="F34" s="28">
        <f t="shared" ref="F34:F39" si="14">C34-(C34*$E$6)</f>
        <v>17.389855020488248</v>
      </c>
      <c r="G34" s="27" t="str">
        <f t="shared" ref="G34:G39" si="15">IF(C34&gt;=F34,"-","+")</f>
        <v>-</v>
      </c>
      <c r="H34" s="26">
        <f t="shared" ref="H34:H39" si="16">C34*D34</f>
        <v>4507.6499999999996</v>
      </c>
      <c r="I34" s="26">
        <f t="shared" ref="I34:I39" si="17">F34*D34</f>
        <v>4147.4804223864476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14.5</v>
      </c>
      <c r="D35" s="30">
        <v>21.1</v>
      </c>
      <c r="E35" s="29">
        <f t="shared" si="13"/>
        <v>7.6691018791116925E-3</v>
      </c>
      <c r="F35" s="28">
        <f t="shared" si="14"/>
        <v>13.341423163866645</v>
      </c>
      <c r="G35" s="27" t="str">
        <f t="shared" si="15"/>
        <v>-</v>
      </c>
      <c r="H35" s="26">
        <f t="shared" si="16"/>
        <v>305.95000000000005</v>
      </c>
      <c r="I35" s="26">
        <f t="shared" si="17"/>
        <v>281.50402875758624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10.765148346016534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30.9</v>
      </c>
      <c r="D37" s="30"/>
      <c r="E37" s="29">
        <f t="shared" si="13"/>
        <v>0</v>
      </c>
      <c r="F37" s="28">
        <f t="shared" si="14"/>
        <v>28.431032811274438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30.9</v>
      </c>
      <c r="D38" s="30"/>
      <c r="E38" s="29">
        <f t="shared" si="13"/>
        <v>0</v>
      </c>
      <c r="F38" s="28">
        <f t="shared" si="14"/>
        <v>28.431032811274438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29.443140775429839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18.542372881355927</v>
      </c>
      <c r="D40" s="22">
        <f>SUM(D34:D39)</f>
        <v>259.60000000000002</v>
      </c>
      <c r="E40" s="21">
        <f t="shared" si="13"/>
        <v>9.4355395631156178E-2</v>
      </c>
      <c r="F40" s="20">
        <f>I40/D40</f>
        <v>17.060802970508604</v>
      </c>
      <c r="G40" s="19">
        <f>F40/C40-1</f>
        <v>-7.9901850767817306E-2</v>
      </c>
      <c r="H40" s="18">
        <f>SUM(H34:H39)</f>
        <v>4813.5999999999995</v>
      </c>
      <c r="I40" s="18">
        <f>SUM(I34:I39)</f>
        <v>4428.9844511440342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361</v>
      </c>
      <c r="E42" s="29">
        <f>D42/$D$48</f>
        <v>0.13121070039617636</v>
      </c>
      <c r="F42" s="28">
        <f>C42-(C42*$E$6)</f>
        <v>0.36803925969287299</v>
      </c>
      <c r="G42" s="27" t="str">
        <f>IF(C42&gt;=F42,"-","+")</f>
        <v>-</v>
      </c>
      <c r="H42" s="26">
        <f>C42*D42</f>
        <v>144.4</v>
      </c>
      <c r="I42" s="26">
        <f>F42*D42</f>
        <v>132.86217274912715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19.7</v>
      </c>
      <c r="E43" s="29">
        <f>D43/$D$48</f>
        <v>7.1602515174644709E-3</v>
      </c>
      <c r="F43" s="28">
        <f>C43-(C43*$E$6)</f>
        <v>0.36803925969287299</v>
      </c>
      <c r="G43" s="27" t="str">
        <f>IF(C43&gt;=F43,"-","+")</f>
        <v>-</v>
      </c>
      <c r="H43" s="26">
        <f>C43*D43</f>
        <v>7.88</v>
      </c>
      <c r="I43" s="26">
        <f>F43*D43</f>
        <v>7.2503734159495981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8.6</v>
      </c>
      <c r="E44" s="29">
        <f>D44/$D$48</f>
        <v>3.1257950786900733E-3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</v>
      </c>
      <c r="E45" s="29">
        <f>D45/$D$48</f>
        <v>3.634645440337295E-4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0.39016141429669482</v>
      </c>
      <c r="D46" s="22">
        <f>SUM(D41:D45)</f>
        <v>390.3</v>
      </c>
      <c r="E46" s="21">
        <f>D46/$D$48</f>
        <v>0.14186021153636463</v>
      </c>
      <c r="F46" s="20">
        <f>I46/D46</f>
        <v>0.35898679519619975</v>
      </c>
      <c r="G46" s="19">
        <f>F46/C46-1</f>
        <v>-7.9901850767817306E-2</v>
      </c>
      <c r="H46" s="18">
        <f>SUM(H41:H44)</f>
        <v>152.28</v>
      </c>
      <c r="I46" s="18">
        <f>SUM(I41:I44)</f>
        <v>140.11254616507676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99.602920061589046</v>
      </c>
      <c r="D48" s="13">
        <f>D24+D32+D40+D46</f>
        <v>2751.3</v>
      </c>
      <c r="E48" s="12">
        <f>SUM(E20:E46)/2</f>
        <v>1</v>
      </c>
      <c r="F48" s="11">
        <f>I48/D48</f>
        <v>25.431334931712644</v>
      </c>
      <c r="G48" s="10"/>
      <c r="H48" s="9">
        <f>SUM(H20:H46)/2</f>
        <v>76045.399999999994</v>
      </c>
      <c r="I48" s="9">
        <f>SUM(I20:I46)/2</f>
        <v>69969.231797621003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2972.9000000000005</v>
      </c>
      <c r="E50" s="12">
        <f>D50/G2</f>
        <v>0.99989909861428783</v>
      </c>
      <c r="F50" s="11">
        <f>I50/D50</f>
        <v>26.752699384439435</v>
      </c>
      <c r="G50" s="10"/>
      <c r="H50" s="9">
        <f>H48+H19</f>
        <v>86439.799999999988</v>
      </c>
      <c r="I50" s="9">
        <f>I48+I19</f>
        <v>79533.100000000006</v>
      </c>
      <c r="J50" s="106">
        <f>D50-G2</f>
        <v>-0.2999999999992724</v>
      </c>
      <c r="K50" s="8"/>
    </row>
    <row r="51" spans="1:11" ht="23.25" x14ac:dyDescent="0.35">
      <c r="A51" s="168" t="s">
        <v>108</v>
      </c>
      <c r="B51" s="169"/>
      <c r="C51" s="170"/>
      <c r="G51" s="7"/>
      <c r="H51" s="6"/>
      <c r="I51" s="6">
        <f>+I50/D50</f>
        <v>26.752699384439435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1:K56"/>
  <sheetViews>
    <sheetView workbookViewId="0">
      <selection activeCell="F13" sqref="F1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109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109</v>
      </c>
      <c r="D2" s="96" t="s">
        <v>3</v>
      </c>
      <c r="E2" s="95" t="s">
        <v>71</v>
      </c>
      <c r="F2" s="94" t="s">
        <v>5</v>
      </c>
      <c r="G2" s="93">
        <v>27996.5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281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99.631672597864764</v>
      </c>
      <c r="F4" s="81" t="s">
        <v>12</v>
      </c>
      <c r="G4" s="80">
        <f>G2*G3</f>
        <v>753105.85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-7.6902182821230181E-3</v>
      </c>
      <c r="F6" s="69" t="s">
        <v>16</v>
      </c>
      <c r="G6" s="68">
        <f>(I50-I19)/(D50-(SUM(D42:D44)+D19))</f>
        <v>31.710387587107096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 t="e">
        <f t="shared" ref="E10:E19" si="1">D10/$D$19</f>
        <v>#DIV/0!</v>
      </c>
      <c r="F10" s="28">
        <f t="shared" ref="F10:F18" si="2">C10-(C10*$E$6)</f>
        <v>27.106866871789109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/>
      <c r="E11" s="29" t="e">
        <f t="shared" si="1"/>
        <v>#DIV/0!</v>
      </c>
      <c r="F11" s="28">
        <f t="shared" si="2"/>
        <v>28.215326111899444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/>
      <c r="E12" s="29" t="e">
        <f t="shared" si="1"/>
        <v>#DIV/0!</v>
      </c>
      <c r="F12" s="28">
        <f t="shared" si="2"/>
        <v>25.79686958802235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 t="e">
        <f t="shared" si="1"/>
        <v>#DIV/0!</v>
      </c>
      <c r="F13" s="28">
        <f t="shared" si="2"/>
        <v>28.215326111899444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 t="e">
        <f t="shared" si="1"/>
        <v>#DIV/0!</v>
      </c>
      <c r="F14" s="28">
        <f t="shared" si="2"/>
        <v>31.540703832230452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 t="e">
        <f t="shared" si="1"/>
        <v>#DIV/0!</v>
      </c>
      <c r="F15" s="28">
        <f t="shared" si="2"/>
        <v>25.998407631678774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/>
      <c r="E16" s="29" t="e">
        <f t="shared" si="1"/>
        <v>#DIV/0!</v>
      </c>
      <c r="F16" s="28">
        <f t="shared" si="2"/>
        <v>35.672233727187155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 t="e">
        <f t="shared" si="1"/>
        <v>#DIV/0!</v>
      </c>
      <c r="F17" s="28">
        <f t="shared" si="2"/>
        <v>52.399891350670394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 t="e">
        <f t="shared" si="1"/>
        <v>#DIV/0!</v>
      </c>
      <c r="F18" s="28">
        <f t="shared" si="2"/>
        <v>45.950673953664811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343.4</v>
      </c>
      <c r="E21" s="29">
        <f>D21/$D$48</f>
        <v>1.226581894165342E-2</v>
      </c>
      <c r="F21" s="28">
        <f>C21-(C21*$E$6)</f>
        <v>68.220627777699733</v>
      </c>
      <c r="G21" s="27" t="str">
        <f>IF(C21&gt;=F21,"-","+")</f>
        <v>+</v>
      </c>
      <c r="H21" s="26">
        <f>C21*D21</f>
        <v>23248.18</v>
      </c>
      <c r="I21" s="26">
        <f>F21*D21</f>
        <v>23426.963578862087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898.5</v>
      </c>
      <c r="E22" s="29">
        <f>D22/$D$48</f>
        <v>3.2093297376457774E-2</v>
      </c>
      <c r="F22" s="28">
        <f>C22-(C22*$E$6)</f>
        <v>45.749135910008384</v>
      </c>
      <c r="G22" s="27" t="str">
        <f>IF(C22&gt;=F22,"-","+")</f>
        <v>+</v>
      </c>
      <c r="H22" s="26">
        <f>C22*D22</f>
        <v>40791.9</v>
      </c>
      <c r="I22" s="26">
        <f>F22*D22</f>
        <v>41105.598615142531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694.4</v>
      </c>
      <c r="E23" s="29">
        <f>D23/$D$48</f>
        <v>2.4803100387548443E-2</v>
      </c>
      <c r="F23" s="28">
        <f>C23-(C23*$E$6)</f>
        <v>41.718375036879891</v>
      </c>
      <c r="G23" s="27" t="str">
        <f>IF(C23&gt;=F23,"-","+")</f>
        <v>+</v>
      </c>
      <c r="H23" s="26">
        <f>C23*D23</f>
        <v>28748.16</v>
      </c>
      <c r="I23" s="26">
        <f>F23*D23</f>
        <v>28969.239625609396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47.920384237979647</v>
      </c>
      <c r="D24" s="22">
        <f>SUM(D21:D23)</f>
        <v>1936.3000000000002</v>
      </c>
      <c r="E24" s="21">
        <f>D24/$D$48</f>
        <v>6.916221670565964E-2</v>
      </c>
      <c r="F24" s="20">
        <f>I24/D24</f>
        <v>48.288902452932916</v>
      </c>
      <c r="G24" s="19">
        <f>F24/C24-1</f>
        <v>7.6902182821230181E-3</v>
      </c>
      <c r="H24" s="18">
        <f>SUM(H21:H23)</f>
        <v>92788.24</v>
      </c>
      <c r="I24" s="18">
        <f>SUM(I21:I23)</f>
        <v>93501.801819614018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v>5002.2</v>
      </c>
      <c r="E26" s="29">
        <f t="shared" ref="E26:E32" si="7">D26/$D$48</f>
        <v>0.17867233404175523</v>
      </c>
      <c r="F26" s="28">
        <f t="shared" ref="F26:F31" si="8">C26-(C26*$E$6)</f>
        <v>36.377616879984643</v>
      </c>
      <c r="G26" s="27" t="str">
        <f t="shared" ref="G26:G31" si="9">IF(C26&gt;=F26,"-","+")</f>
        <v>+</v>
      </c>
      <c r="H26" s="26">
        <f t="shared" ref="H26:H31" si="10">C26*D26</f>
        <v>180579.42</v>
      </c>
      <c r="I26" s="26">
        <f t="shared" ref="I26:I31" si="11">F26*D26</f>
        <v>181968.11515705916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4371.1000000000004</v>
      </c>
      <c r="E27" s="29">
        <f t="shared" si="7"/>
        <v>0.15613023056453487</v>
      </c>
      <c r="F27" s="28">
        <f t="shared" si="8"/>
        <v>32.34685600685615</v>
      </c>
      <c r="G27" s="27" t="str">
        <f t="shared" si="9"/>
        <v>+</v>
      </c>
      <c r="H27" s="26">
        <f t="shared" si="10"/>
        <v>140312.31000000003</v>
      </c>
      <c r="I27" s="26">
        <f t="shared" si="11"/>
        <v>141391.34229156893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3016.6</v>
      </c>
      <c r="E28" s="29">
        <f t="shared" si="7"/>
        <v>0.10774918293358098</v>
      </c>
      <c r="F28" s="28">
        <f t="shared" si="8"/>
        <v>32.34685600685615</v>
      </c>
      <c r="G28" s="27" t="str">
        <f t="shared" si="9"/>
        <v>+</v>
      </c>
      <c r="H28" s="26">
        <f t="shared" si="10"/>
        <v>96832.86</v>
      </c>
      <c r="I28" s="26">
        <f t="shared" si="11"/>
        <v>97577.525830282262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2498.5</v>
      </c>
      <c r="E29" s="29">
        <f t="shared" si="7"/>
        <v>8.9243298269426535E-2</v>
      </c>
      <c r="F29" s="28">
        <f t="shared" si="8"/>
        <v>31.339165788574029</v>
      </c>
      <c r="G29" s="27" t="str">
        <f t="shared" si="9"/>
        <v>+</v>
      </c>
      <c r="H29" s="26">
        <f t="shared" si="10"/>
        <v>77703.350000000006</v>
      </c>
      <c r="I29" s="26">
        <f t="shared" si="11"/>
        <v>78300.905722752213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1621.4</v>
      </c>
      <c r="E30" s="29">
        <f t="shared" si="7"/>
        <v>5.7914382154912222E-2</v>
      </c>
      <c r="F30" s="28">
        <f t="shared" si="8"/>
        <v>31.339165788574029</v>
      </c>
      <c r="G30" s="27" t="str">
        <f t="shared" si="9"/>
        <v>+</v>
      </c>
      <c r="H30" s="26">
        <f t="shared" si="10"/>
        <v>50425.540000000008</v>
      </c>
      <c r="I30" s="26">
        <f t="shared" si="11"/>
        <v>50813.323409593933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496.3</v>
      </c>
      <c r="E31" s="29">
        <f t="shared" si="7"/>
        <v>1.7727215901987749E-2</v>
      </c>
      <c r="F31" s="28">
        <f t="shared" si="8"/>
        <v>31.843010897715089</v>
      </c>
      <c r="G31" s="27" t="str">
        <f t="shared" si="9"/>
        <v>+</v>
      </c>
      <c r="H31" s="26">
        <f t="shared" si="10"/>
        <v>15683.080000000002</v>
      </c>
      <c r="I31" s="26">
        <f t="shared" si="11"/>
        <v>15803.686308536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33.019714102586725</v>
      </c>
      <c r="D32" s="22">
        <f>SUM(D26:D31)</f>
        <v>17006.099999999999</v>
      </c>
      <c r="E32" s="21">
        <f t="shared" si="7"/>
        <v>0.60743664386619756</v>
      </c>
      <c r="F32" s="20">
        <f>I32/D32</f>
        <v>33.273642911648913</v>
      </c>
      <c r="G32" s="19">
        <f>F32/C32-1</f>
        <v>7.6902182821230181E-3</v>
      </c>
      <c r="H32" s="18">
        <f>SUM(H26:H31)</f>
        <v>561536.56000000006</v>
      </c>
      <c r="I32" s="18">
        <f>SUM(I26:I31)</f>
        <v>565854.89871979249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4807.1000000000004</v>
      </c>
      <c r="E34" s="29">
        <f t="shared" ref="E34:E40" si="13">D34/$D$48</f>
        <v>0.17170360580786886</v>
      </c>
      <c r="F34" s="28">
        <f t="shared" ref="F34:F39" si="14">C34-(C34*$E$6)</f>
        <v>19.146114147360336</v>
      </c>
      <c r="G34" s="27" t="str">
        <f t="shared" ref="G34:G39" si="15">IF(C34&gt;=F34,"-","+")</f>
        <v>+</v>
      </c>
      <c r="H34" s="26">
        <f t="shared" ref="H34:H39" si="16">C34*D34</f>
        <v>91334.900000000009</v>
      </c>
      <c r="I34" s="26">
        <f t="shared" ref="I34:I39" si="17">F34*D34</f>
        <v>92037.285317775881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14.712277186918996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11.789975553900838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31.339165788574029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31.339165788574029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32.34685600685615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</v>
      </c>
      <c r="D40" s="22">
        <f>SUM(D34:D39)</f>
        <v>4807.1000000000004</v>
      </c>
      <c r="E40" s="21">
        <f t="shared" si="13"/>
        <v>0.17170360580786886</v>
      </c>
      <c r="F40" s="20">
        <f>I40/D40</f>
        <v>19.146114147360336</v>
      </c>
      <c r="G40" s="19">
        <f>F40/C40-1</f>
        <v>7.6902182821230181E-3</v>
      </c>
      <c r="H40" s="18">
        <f>SUM(H34:H39)</f>
        <v>91334.900000000009</v>
      </c>
      <c r="I40" s="18">
        <f>SUM(I34:I39)</f>
        <v>92037.285317775881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4010</v>
      </c>
      <c r="E42" s="29">
        <f>D42/$D$48</f>
        <v>0.14323218973800297</v>
      </c>
      <c r="F42" s="28">
        <f>C42-(C42*$E$6)</f>
        <v>0.40307608731284922</v>
      </c>
      <c r="G42" s="27" t="str">
        <f>IF(C42&gt;=F42,"-","+")</f>
        <v>+</v>
      </c>
      <c r="H42" s="26">
        <f>C42*D42</f>
        <v>1604</v>
      </c>
      <c r="I42" s="26">
        <f>F42*D42</f>
        <v>1616.3351101245253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237</v>
      </c>
      <c r="E43" s="29">
        <f>D43/$D$48</f>
        <v>8.4653438822709978E-3</v>
      </c>
      <c r="F43" s="28">
        <f>C43-(C43*$E$6)</f>
        <v>0.40307608731284922</v>
      </c>
      <c r="G43" s="27" t="str">
        <f>IF(C43&gt;=F43,"-","+")</f>
        <v>+</v>
      </c>
      <c r="H43" s="26">
        <f>C43*D43</f>
        <v>94.800000000000011</v>
      </c>
      <c r="I43" s="26">
        <f>F43*D43</f>
        <v>95.529032693145268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29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</v>
      </c>
      <c r="E45" s="29">
        <f>D45/$D$48</f>
        <v>0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0.39999999999999997</v>
      </c>
      <c r="D46" s="22">
        <f>SUM(D41:D45)</f>
        <v>4247</v>
      </c>
      <c r="E46" s="21">
        <f>D46/$D$48</f>
        <v>0.15169753362027397</v>
      </c>
      <c r="F46" s="20">
        <f>I46/D46</f>
        <v>0.40307608731284922</v>
      </c>
      <c r="G46" s="19">
        <f>F46/C46-1</f>
        <v>7.6902182821232401E-3</v>
      </c>
      <c r="H46" s="18">
        <f>SUM(H41:H44)</f>
        <v>1698.8</v>
      </c>
      <c r="I46" s="18">
        <f>SUM(I41:I44)</f>
        <v>1711.8641428176707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100.34009834056639</v>
      </c>
      <c r="D48" s="13">
        <f>D24+D32+D40+D46</f>
        <v>27996.5</v>
      </c>
      <c r="E48" s="12">
        <f>SUM(E20:E46)/2</f>
        <v>1</v>
      </c>
      <c r="F48" s="11">
        <f>I48/D48</f>
        <v>26.9</v>
      </c>
      <c r="G48" s="10"/>
      <c r="H48" s="9">
        <f>SUM(H20:H46)/2</f>
        <v>747358.5</v>
      </c>
      <c r="I48" s="9">
        <f>SUM(I20:I46)/2</f>
        <v>753105.85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27996.5</v>
      </c>
      <c r="E50" s="12">
        <f>D50/G2</f>
        <v>1</v>
      </c>
      <c r="F50" s="11">
        <f>I50/D50</f>
        <v>26.9</v>
      </c>
      <c r="G50" s="10"/>
      <c r="H50" s="9">
        <f>H48+H19</f>
        <v>747358.5</v>
      </c>
      <c r="I50" s="9">
        <f>I48+I19</f>
        <v>753105.85</v>
      </c>
      <c r="J50" s="106">
        <f>D50-G2</f>
        <v>0</v>
      </c>
      <c r="K50" s="8"/>
    </row>
    <row r="51" spans="1:11" ht="23.25" x14ac:dyDescent="0.35">
      <c r="A51" s="168" t="s">
        <v>110</v>
      </c>
      <c r="B51" s="169"/>
      <c r="C51" s="170"/>
      <c r="G51" s="7"/>
      <c r="H51" s="6"/>
      <c r="I51" s="6">
        <f>+I50/D50</f>
        <v>26.9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K56"/>
  <sheetViews>
    <sheetView topLeftCell="A16" workbookViewId="0">
      <selection activeCell="D26" sqref="D2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109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109</v>
      </c>
      <c r="D2" s="96" t="s">
        <v>3</v>
      </c>
      <c r="E2" s="95" t="s">
        <v>71</v>
      </c>
      <c r="F2" s="94" t="s">
        <v>5</v>
      </c>
      <c r="G2" s="93">
        <v>1375.2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15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91.68</v>
      </c>
      <c r="F4" s="81" t="s">
        <v>12</v>
      </c>
      <c r="G4" s="80">
        <f>G2*G3</f>
        <v>36992.879999999997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-1.3475795183693462E-2</v>
      </c>
      <c r="F6" s="69" t="s">
        <v>16</v>
      </c>
      <c r="G6" s="68">
        <f>(I50-I19)/(D50-(SUM(D42:D44)+D19))</f>
        <v>31.835524956970733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 t="e">
        <f t="shared" ref="E10:E19" si="1">D10/$D$19</f>
        <v>#DIV/0!</v>
      </c>
      <c r="F10" s="28">
        <f t="shared" ref="F10:F18" si="2">C10-(C10*$E$6)</f>
        <v>27.262498890441353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/>
      <c r="E11" s="29" t="e">
        <f t="shared" si="1"/>
        <v>#DIV/0!</v>
      </c>
      <c r="F11" s="28">
        <f t="shared" si="2"/>
        <v>28.377322265143416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/>
      <c r="E12" s="29" t="e">
        <f t="shared" si="1"/>
        <v>#DIV/0!</v>
      </c>
      <c r="F12" s="28">
        <f t="shared" si="2"/>
        <v>25.944980356702555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 t="e">
        <f t="shared" si="1"/>
        <v>#DIV/0!</v>
      </c>
      <c r="F13" s="28">
        <f t="shared" si="2"/>
        <v>28.377322265143416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 t="e">
        <f t="shared" si="1"/>
        <v>#DIV/0!</v>
      </c>
      <c r="F14" s="28">
        <f t="shared" si="2"/>
        <v>31.721792389249607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 t="e">
        <f t="shared" si="1"/>
        <v>#DIV/0!</v>
      </c>
      <c r="F15" s="28">
        <f t="shared" si="2"/>
        <v>26.147675515739291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/>
      <c r="E16" s="29" t="e">
        <f t="shared" si="1"/>
        <v>#DIV/0!</v>
      </c>
      <c r="F16" s="28">
        <f t="shared" si="2"/>
        <v>35.877043149502747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 t="e">
        <f t="shared" si="1"/>
        <v>#DIV/0!</v>
      </c>
      <c r="F17" s="28">
        <f t="shared" si="2"/>
        <v>52.700741349552061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 t="e">
        <f t="shared" si="1"/>
        <v>#DIV/0!</v>
      </c>
      <c r="F18" s="28">
        <f t="shared" si="2"/>
        <v>46.214496260376421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17</v>
      </c>
      <c r="E21" s="29">
        <f>D21/$D$48</f>
        <v>1.2363636363636363E-2</v>
      </c>
      <c r="F21" s="28">
        <f>C21-(C21*$E$6)</f>
        <v>68.612311333936049</v>
      </c>
      <c r="G21" s="27" t="str">
        <f>IF(C21&gt;=F21,"-","+")</f>
        <v>+</v>
      </c>
      <c r="H21" s="26">
        <f>C21*D21</f>
        <v>1150.9000000000001</v>
      </c>
      <c r="I21" s="26">
        <f>F21*D21</f>
        <v>1166.4092926769129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45</v>
      </c>
      <c r="E22" s="29">
        <f>D22/$D$48</f>
        <v>3.272727272727273E-2</v>
      </c>
      <c r="F22" s="28">
        <f>C22-(C22*$E$6)</f>
        <v>46.011801101339685</v>
      </c>
      <c r="G22" s="27" t="str">
        <f>IF(C22&gt;=F22,"-","+")</f>
        <v>+</v>
      </c>
      <c r="H22" s="26">
        <f>C22*D22</f>
        <v>2043</v>
      </c>
      <c r="I22" s="26">
        <f>F22*D22</f>
        <v>2070.5310495602857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35</v>
      </c>
      <c r="E23" s="29">
        <f>D23/$D$48</f>
        <v>2.5454545454545455E-2</v>
      </c>
      <c r="F23" s="28">
        <f>C23-(C23*$E$6)</f>
        <v>41.957897920604907</v>
      </c>
      <c r="G23" s="27" t="str">
        <f>IF(C23&gt;=F23,"-","+")</f>
        <v>+</v>
      </c>
      <c r="H23" s="26">
        <f>C23*D23</f>
        <v>1449</v>
      </c>
      <c r="I23" s="26">
        <f>F23*D23</f>
        <v>1468.5264272211718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47.864948453608243</v>
      </c>
      <c r="D24" s="22">
        <f>SUM(D21:D23)</f>
        <v>97</v>
      </c>
      <c r="E24" s="21">
        <f>D24/$D$48</f>
        <v>7.054545454545455E-2</v>
      </c>
      <c r="F24" s="20">
        <f>I24/D24</f>
        <v>48.509966695447119</v>
      </c>
      <c r="G24" s="19">
        <f>F24/C24-1</f>
        <v>1.3475795183693684E-2</v>
      </c>
      <c r="H24" s="18">
        <f>SUM(H21:H23)</f>
        <v>4642.8999999999996</v>
      </c>
      <c r="I24" s="18">
        <f>SUM(I21:I23)</f>
        <v>4705.4667694583704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v>248</v>
      </c>
      <c r="E26" s="29">
        <f t="shared" ref="E26:E32" si="7">D26/$D$48</f>
        <v>0.18036363636363636</v>
      </c>
      <c r="F26" s="28">
        <f t="shared" ref="F26:F31" si="8">C26-(C26*$E$6)</f>
        <v>36.586476206131337</v>
      </c>
      <c r="G26" s="27" t="str">
        <f t="shared" ref="G26:G31" si="9">IF(C26&gt;=F26,"-","+")</f>
        <v>+</v>
      </c>
      <c r="H26" s="26">
        <f t="shared" ref="H26:H31" si="10">C26*D26</f>
        <v>8952.8000000000011</v>
      </c>
      <c r="I26" s="26">
        <f t="shared" ref="I26:I31" si="11">F26*D26</f>
        <v>9073.4460991205724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190</v>
      </c>
      <c r="E27" s="29">
        <f t="shared" si="7"/>
        <v>0.13818181818181818</v>
      </c>
      <c r="F27" s="28">
        <f t="shared" si="8"/>
        <v>32.532573025396559</v>
      </c>
      <c r="G27" s="27" t="str">
        <f t="shared" si="9"/>
        <v>+</v>
      </c>
      <c r="H27" s="26">
        <f t="shared" si="10"/>
        <v>6099</v>
      </c>
      <c r="I27" s="26">
        <f t="shared" si="11"/>
        <v>6181.1888748253459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134</v>
      </c>
      <c r="E28" s="29">
        <f t="shared" si="7"/>
        <v>9.745454545454546E-2</v>
      </c>
      <c r="F28" s="28">
        <f t="shared" si="8"/>
        <v>32.532573025396559</v>
      </c>
      <c r="G28" s="27" t="str">
        <f t="shared" si="9"/>
        <v>+</v>
      </c>
      <c r="H28" s="26">
        <f t="shared" si="10"/>
        <v>4301.4000000000005</v>
      </c>
      <c r="I28" s="26">
        <f t="shared" si="11"/>
        <v>4359.3647854031387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153</v>
      </c>
      <c r="E29" s="29">
        <f t="shared" si="7"/>
        <v>0.11127272727272727</v>
      </c>
      <c r="F29" s="28">
        <f t="shared" si="8"/>
        <v>31.519097230212868</v>
      </c>
      <c r="G29" s="27" t="str">
        <f t="shared" si="9"/>
        <v>+</v>
      </c>
      <c r="H29" s="26">
        <f t="shared" si="10"/>
        <v>4758.3</v>
      </c>
      <c r="I29" s="26">
        <f t="shared" si="11"/>
        <v>4822.4218762225692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78</v>
      </c>
      <c r="E30" s="29">
        <f t="shared" si="7"/>
        <v>5.672727272727273E-2</v>
      </c>
      <c r="F30" s="28">
        <f t="shared" si="8"/>
        <v>31.519097230212868</v>
      </c>
      <c r="G30" s="27" t="str">
        <f t="shared" si="9"/>
        <v>+</v>
      </c>
      <c r="H30" s="26">
        <f t="shared" si="10"/>
        <v>2425.8000000000002</v>
      </c>
      <c r="I30" s="26">
        <f t="shared" si="11"/>
        <v>2458.4895839566038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26</v>
      </c>
      <c r="E31" s="29">
        <f t="shared" si="7"/>
        <v>1.890909090909091E-2</v>
      </c>
      <c r="F31" s="28">
        <f t="shared" si="8"/>
        <v>32.025835127804712</v>
      </c>
      <c r="G31" s="27" t="str">
        <f t="shared" si="9"/>
        <v>+</v>
      </c>
      <c r="H31" s="26">
        <f t="shared" si="10"/>
        <v>821.6</v>
      </c>
      <c r="I31" s="26">
        <f t="shared" si="11"/>
        <v>832.67171332292253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33.002291917973459</v>
      </c>
      <c r="D32" s="22">
        <f>SUM(D26:D31)</f>
        <v>829</v>
      </c>
      <c r="E32" s="21">
        <f t="shared" si="7"/>
        <v>0.60290909090909095</v>
      </c>
      <c r="F32" s="20">
        <f>I32/D32</f>
        <v>33.447024044452533</v>
      </c>
      <c r="G32" s="19">
        <f>F32/C32-1</f>
        <v>1.3475795183693462E-2</v>
      </c>
      <c r="H32" s="18">
        <f>SUM(H26:H31)</f>
        <v>27358.899999999998</v>
      </c>
      <c r="I32" s="18">
        <f>SUM(I26:I31)</f>
        <v>27727.58293285115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227</v>
      </c>
      <c r="E34" s="29">
        <f t="shared" ref="E34:E40" si="13">D34/$D$48</f>
        <v>0.16509090909090909</v>
      </c>
      <c r="F34" s="28">
        <f t="shared" ref="F34:F39" si="14">C34-(C34*$E$6)</f>
        <v>19.256040108490176</v>
      </c>
      <c r="G34" s="27" t="str">
        <f t="shared" ref="G34:G39" si="15">IF(C34&gt;=F34,"-","+")</f>
        <v>+</v>
      </c>
      <c r="H34" s="26">
        <f t="shared" ref="H34:H39" si="16">C34*D34</f>
        <v>4313</v>
      </c>
      <c r="I34" s="26">
        <f t="shared" ref="I34:I39" si="17">F34*D34</f>
        <v>4371.1211046272701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>
        <v>7</v>
      </c>
      <c r="E35" s="29">
        <f t="shared" si="13"/>
        <v>5.0909090909090913E-3</v>
      </c>
      <c r="F35" s="28">
        <f t="shared" si="14"/>
        <v>14.796746609681923</v>
      </c>
      <c r="G35" s="27" t="str">
        <f t="shared" si="15"/>
        <v>+</v>
      </c>
      <c r="H35" s="26">
        <f t="shared" si="16"/>
        <v>102.2</v>
      </c>
      <c r="I35" s="26">
        <f t="shared" si="17"/>
        <v>103.57722626777347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11.857666803649213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31.519097230212868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31.519097230212868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32.532573025396559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18.868376068376069</v>
      </c>
      <c r="D40" s="22">
        <f>SUM(D34:D39)</f>
        <v>234</v>
      </c>
      <c r="E40" s="21">
        <f t="shared" si="13"/>
        <v>0.17018181818181818</v>
      </c>
      <c r="F40" s="20">
        <f>I40/D40</f>
        <v>19.122642439722409</v>
      </c>
      <c r="G40" s="19">
        <f>F40/C40-1</f>
        <v>1.3475795183693462E-2</v>
      </c>
      <c r="H40" s="18">
        <f>SUM(H34:H39)</f>
        <v>4415.2</v>
      </c>
      <c r="I40" s="18">
        <f>SUM(I34:I39)</f>
        <v>4474.6983308950439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198</v>
      </c>
      <c r="E42" s="29">
        <f>D42/$D$48</f>
        <v>0.14399999999999999</v>
      </c>
      <c r="F42" s="28">
        <f>C42-(C42*$E$6)</f>
        <v>0.40539031807347742</v>
      </c>
      <c r="G42" s="27" t="str">
        <f>IF(C42&gt;=F42,"-","+")</f>
        <v>+</v>
      </c>
      <c r="H42" s="26">
        <f>C42*D42</f>
        <v>79.2</v>
      </c>
      <c r="I42" s="26">
        <f>F42*D42</f>
        <v>80.267282978548522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</v>
      </c>
      <c r="E43" s="29">
        <f>D43/$D$48</f>
        <v>8.7272727272727276E-3</v>
      </c>
      <c r="F43" s="28">
        <f>C43-(C43*$E$6)</f>
        <v>0.40539031807347742</v>
      </c>
      <c r="G43" s="27" t="str">
        <f>IF(C43&gt;=F43,"-","+")</f>
        <v>+</v>
      </c>
      <c r="H43" s="26">
        <f>C43*D43</f>
        <v>4.8000000000000007</v>
      </c>
      <c r="I43" s="26">
        <f>F43*D43</f>
        <v>4.8646838168817288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</v>
      </c>
      <c r="E44" s="29">
        <f>D44/$D$48</f>
        <v>2.1818181818181819E-3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</v>
      </c>
      <c r="E45" s="29">
        <f>D45/$D$48</f>
        <v>1.4545454545454545E-3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0.39069767441860465</v>
      </c>
      <c r="D46" s="22">
        <f>SUM(D41:D45)</f>
        <v>215</v>
      </c>
      <c r="E46" s="21">
        <f>D46/$D$48</f>
        <v>0.15636363636363637</v>
      </c>
      <c r="F46" s="20">
        <f>I46/D46</f>
        <v>0.39596263625781508</v>
      </c>
      <c r="G46" s="19">
        <f>F46/C46-1</f>
        <v>1.3475795183693462E-2</v>
      </c>
      <c r="H46" s="18">
        <f>SUM(H41:H44)</f>
        <v>84</v>
      </c>
      <c r="I46" s="18">
        <f>SUM(I41:I44)</f>
        <v>85.131966795430245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100.12631411437637</v>
      </c>
      <c r="D48" s="13">
        <f>D24+D32+D40+D46</f>
        <v>1375</v>
      </c>
      <c r="E48" s="12">
        <f>SUM(E20:E46)/2</f>
        <v>1</v>
      </c>
      <c r="F48" s="11">
        <f>I48/D48</f>
        <v>26.903912727272719</v>
      </c>
      <c r="G48" s="10"/>
      <c r="H48" s="9">
        <f>SUM(H20:H46)/2</f>
        <v>36501</v>
      </c>
      <c r="I48" s="9">
        <f>SUM(I20:I46)/2</f>
        <v>36992.87999999999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1375</v>
      </c>
      <c r="E50" s="12">
        <f>D50/G2</f>
        <v>0.99985456660849326</v>
      </c>
      <c r="F50" s="11">
        <f>I50/D50</f>
        <v>26.903912727272719</v>
      </c>
      <c r="G50" s="10"/>
      <c r="H50" s="9">
        <f>H48+H19</f>
        <v>36501</v>
      </c>
      <c r="I50" s="9">
        <f>I48+I19</f>
        <v>36992.87999999999</v>
      </c>
      <c r="J50" s="106">
        <f>D50-G2</f>
        <v>-0.20000000000004547</v>
      </c>
      <c r="K50" s="8"/>
    </row>
    <row r="51" spans="1:11" ht="23.25" x14ac:dyDescent="0.35">
      <c r="A51" s="168" t="s">
        <v>110</v>
      </c>
      <c r="B51" s="169"/>
      <c r="C51" s="170"/>
      <c r="G51" s="7"/>
      <c r="H51" s="6"/>
      <c r="I51" s="6">
        <f>+I50/D50</f>
        <v>26.903912727272719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1:K56"/>
  <sheetViews>
    <sheetView topLeftCell="A9" workbookViewId="0">
      <selection activeCell="E20" sqref="E20:E2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109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111</v>
      </c>
      <c r="D2" s="96" t="s">
        <v>3</v>
      </c>
      <c r="E2" s="95" t="s">
        <v>112</v>
      </c>
      <c r="F2" s="94" t="s">
        <v>5</v>
      </c>
      <c r="G2" s="93">
        <v>568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12</v>
      </c>
      <c r="F3" s="88" t="s">
        <v>8</v>
      </c>
      <c r="G3" s="87">
        <v>22.5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47.333333333333336</v>
      </c>
      <c r="F4" s="81" t="s">
        <v>12</v>
      </c>
      <c r="G4" s="80">
        <f>G2*G3</f>
        <v>12780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-1.9027426828169602E-2</v>
      </c>
      <c r="F6" s="69" t="s">
        <v>16</v>
      </c>
      <c r="G6" s="68">
        <f>(I50-I19)/(D50-(SUM(D42:D44)+D19))</f>
        <v>27.226246271836377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22.5</v>
      </c>
      <c r="D10" s="30"/>
      <c r="E10" s="29" t="e">
        <f t="shared" ref="E10:E19" si="1">D10/$D$19</f>
        <v>#DIV/0!</v>
      </c>
      <c r="F10" s="28">
        <f t="shared" ref="F10:F18" si="2">C10-(C10*$E$6)</f>
        <v>22.928117103633816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23.4</v>
      </c>
      <c r="D11" s="30"/>
      <c r="E11" s="29" t="e">
        <f t="shared" si="1"/>
        <v>#DIV/0!</v>
      </c>
      <c r="F11" s="28">
        <f t="shared" si="2"/>
        <v>23.845241787779166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21.4</v>
      </c>
      <c r="D12" s="30"/>
      <c r="E12" s="29" t="e">
        <f t="shared" si="1"/>
        <v>#DIV/0!</v>
      </c>
      <c r="F12" s="28">
        <f t="shared" si="2"/>
        <v>21.807186934122829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23.4</v>
      </c>
      <c r="D13" s="30"/>
      <c r="E13" s="29" t="e">
        <f t="shared" si="1"/>
        <v>#DIV/0!</v>
      </c>
      <c r="F13" s="28">
        <f t="shared" si="2"/>
        <v>23.845241787779166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26.2</v>
      </c>
      <c r="D14" s="30"/>
      <c r="E14" s="29" t="e">
        <f t="shared" si="1"/>
        <v>#DIV/0!</v>
      </c>
      <c r="F14" s="28">
        <f t="shared" si="2"/>
        <v>26.698518582898043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21.6</v>
      </c>
      <c r="D15" s="30"/>
      <c r="E15" s="29" t="e">
        <f t="shared" si="1"/>
        <v>#DIV/0!</v>
      </c>
      <c r="F15" s="28">
        <f t="shared" si="2"/>
        <v>22.010992419488463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29.6</v>
      </c>
      <c r="D16" s="30"/>
      <c r="E16" s="29" t="e">
        <f t="shared" si="1"/>
        <v>#DIV/0!</v>
      </c>
      <c r="F16" s="28">
        <f t="shared" si="2"/>
        <v>30.16321183411382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43.5</v>
      </c>
      <c r="D17" s="30"/>
      <c r="E17" s="29" t="e">
        <f t="shared" si="1"/>
        <v>#DIV/0!</v>
      </c>
      <c r="F17" s="28">
        <f t="shared" si="2"/>
        <v>44.327693067025379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38.1</v>
      </c>
      <c r="D18" s="30"/>
      <c r="E18" s="29" t="e">
        <f t="shared" si="1"/>
        <v>#DIV/0!</v>
      </c>
      <c r="F18" s="28">
        <f t="shared" si="2"/>
        <v>38.824944962153261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56.6</v>
      </c>
      <c r="D21" s="30">
        <v>7.7</v>
      </c>
      <c r="E21" s="29">
        <f>D21/$D$48</f>
        <v>1.3553951769054747E-2</v>
      </c>
      <c r="F21" s="28">
        <f>C21-(C21*$E$6)</f>
        <v>57.676952358474402</v>
      </c>
      <c r="G21" s="27" t="str">
        <f>IF(C21&gt;=F21,"-","+")</f>
        <v>+</v>
      </c>
      <c r="H21" s="26">
        <f>C21*D21</f>
        <v>435.82</v>
      </c>
      <c r="I21" s="26">
        <f>F21*D21</f>
        <v>444.11253316025289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</v>
      </c>
      <c r="D22" s="30">
        <v>15.8</v>
      </c>
      <c r="E22" s="29">
        <f>D22/$D$48</f>
        <v>2.7812004928709739E-2</v>
      </c>
      <c r="F22" s="28">
        <f>C22-(C22*$E$6)</f>
        <v>38.723042219470443</v>
      </c>
      <c r="G22" s="27" t="str">
        <f>IF(C22&gt;=F22,"-","+")</f>
        <v>+</v>
      </c>
      <c r="H22" s="26">
        <f>C22*D22</f>
        <v>600.4</v>
      </c>
      <c r="I22" s="26">
        <f>F22*D22</f>
        <v>611.824067067633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34.700000000000003</v>
      </c>
      <c r="D23" s="30">
        <v>15.7</v>
      </c>
      <c r="E23" s="29">
        <f>D23/$D$48</f>
        <v>2.7635979581059674E-2</v>
      </c>
      <c r="F23" s="28">
        <f>C23-(C23*$E$6)</f>
        <v>35.36025171093749</v>
      </c>
      <c r="G23" s="27" t="str">
        <f>IF(C23&gt;=F23,"-","+")</f>
        <v>+</v>
      </c>
      <c r="H23" s="26">
        <f>C23*D23</f>
        <v>544.79</v>
      </c>
      <c r="I23" s="26">
        <f>F23*D23</f>
        <v>555.15595186171856</v>
      </c>
      <c r="J23" s="25"/>
      <c r="K23" s="25"/>
    </row>
    <row r="24" spans="1:11" x14ac:dyDescent="0.25">
      <c r="A24" s="24" t="s">
        <v>34</v>
      </c>
      <c r="B24" s="23"/>
      <c r="C24" s="20">
        <f>H24/D24</f>
        <v>40.331887755102038</v>
      </c>
      <c r="D24" s="22">
        <f>SUM(D21:D23)</f>
        <v>39.200000000000003</v>
      </c>
      <c r="E24" s="21">
        <f>D24/$D$48</f>
        <v>6.9001936278824172E-2</v>
      </c>
      <c r="F24" s="20">
        <f>I24/D24</f>
        <v>41.099299798204193</v>
      </c>
      <c r="G24" s="19">
        <f>F24/C24-1</f>
        <v>1.9027426828169602E-2</v>
      </c>
      <c r="H24" s="18">
        <f>SUM(H21:H23)</f>
        <v>1581.01</v>
      </c>
      <c r="I24" s="18">
        <f>SUM(I21:I23)</f>
        <v>1611.0925520896044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30.2</v>
      </c>
      <c r="D26" s="30">
        <v>82</v>
      </c>
      <c r="E26" s="29">
        <f t="shared" ref="E26:E32" si="7">D26/$D$48</f>
        <v>0.14434078507305054</v>
      </c>
      <c r="F26" s="28">
        <f t="shared" ref="F26:F31" si="8">C26-(C26*$E$6)</f>
        <v>30.774628290210721</v>
      </c>
      <c r="G26" s="27" t="str">
        <f t="shared" ref="G26:G31" si="9">IF(C26&gt;=F26,"-","+")</f>
        <v>+</v>
      </c>
      <c r="H26" s="26">
        <f t="shared" ref="H26:H31" si="10">C26*D26</f>
        <v>2476.4</v>
      </c>
      <c r="I26" s="26">
        <f t="shared" ref="I26:I31" si="11">F26*D26</f>
        <v>2523.5195197972789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26.9</v>
      </c>
      <c r="D27" s="30">
        <v>85.2</v>
      </c>
      <c r="E27" s="29">
        <f t="shared" si="7"/>
        <v>0.14997359619785253</v>
      </c>
      <c r="F27" s="28">
        <f t="shared" si="8"/>
        <v>27.411837781677761</v>
      </c>
      <c r="G27" s="27" t="str">
        <f t="shared" si="9"/>
        <v>+</v>
      </c>
      <c r="H27" s="26">
        <f t="shared" si="10"/>
        <v>2291.88</v>
      </c>
      <c r="I27" s="26">
        <f t="shared" si="11"/>
        <v>2335.4885789989453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26.9</v>
      </c>
      <c r="D28" s="30">
        <v>45</v>
      </c>
      <c r="E28" s="29">
        <f t="shared" si="7"/>
        <v>7.9211406442527735E-2</v>
      </c>
      <c r="F28" s="28">
        <f t="shared" si="8"/>
        <v>27.411837781677761</v>
      </c>
      <c r="G28" s="27" t="str">
        <f t="shared" si="9"/>
        <v>+</v>
      </c>
      <c r="H28" s="26">
        <f t="shared" si="10"/>
        <v>1210.5</v>
      </c>
      <c r="I28" s="26">
        <f t="shared" si="11"/>
        <v>1233.5327001754993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</v>
      </c>
      <c r="D29" s="30">
        <v>75.599999999999994</v>
      </c>
      <c r="E29" s="29">
        <f t="shared" si="7"/>
        <v>0.13307516282344659</v>
      </c>
      <c r="F29" s="28">
        <f t="shared" si="8"/>
        <v>26.494713097532411</v>
      </c>
      <c r="G29" s="27" t="str">
        <f t="shared" si="9"/>
        <v>+</v>
      </c>
      <c r="H29" s="26">
        <f t="shared" si="10"/>
        <v>1965.6</v>
      </c>
      <c r="I29" s="26">
        <f t="shared" si="11"/>
        <v>2003.0003101734501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</v>
      </c>
      <c r="D30" s="30">
        <v>58.2</v>
      </c>
      <c r="E30" s="29">
        <f t="shared" si="7"/>
        <v>0.10244675233233588</v>
      </c>
      <c r="F30" s="28">
        <f t="shared" si="8"/>
        <v>26.494713097532411</v>
      </c>
      <c r="G30" s="27" t="str">
        <f t="shared" si="9"/>
        <v>+</v>
      </c>
      <c r="H30" s="26">
        <f t="shared" si="10"/>
        <v>1513.2</v>
      </c>
      <c r="I30" s="26">
        <f t="shared" si="11"/>
        <v>1541.9923022763865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26.4</v>
      </c>
      <c r="D31" s="30">
        <v>12</v>
      </c>
      <c r="E31" s="29">
        <f t="shared" si="7"/>
        <v>2.1123041718007395E-2</v>
      </c>
      <c r="F31" s="28">
        <f t="shared" si="8"/>
        <v>26.902324068263678</v>
      </c>
      <c r="G31" s="27" t="str">
        <f t="shared" si="9"/>
        <v>+</v>
      </c>
      <c r="H31" s="26">
        <f t="shared" si="10"/>
        <v>316.79999999999995</v>
      </c>
      <c r="I31" s="26">
        <f t="shared" si="11"/>
        <v>322.82788881916412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27.302737430167603</v>
      </c>
      <c r="D32" s="22">
        <f>SUM(D26:D31)</f>
        <v>357.99999999999994</v>
      </c>
      <c r="E32" s="21">
        <f t="shared" si="7"/>
        <v>0.63017074458722055</v>
      </c>
      <c r="F32" s="20">
        <f>I32/D32</f>
        <v>27.822238268828841</v>
      </c>
      <c r="G32" s="19">
        <f>F32/C32-1</f>
        <v>1.902742682816938E-2</v>
      </c>
      <c r="H32" s="18">
        <f>SUM(H26:H31)</f>
        <v>9774.380000000001</v>
      </c>
      <c r="I32" s="18">
        <f>SUM(I26:I31)</f>
        <v>9960.3613002407237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15.9</v>
      </c>
      <c r="D34" s="30">
        <v>72.2</v>
      </c>
      <c r="E34" s="29">
        <f t="shared" ref="E34:E40" si="13">D34/$D$48</f>
        <v>0.12709030100334451</v>
      </c>
      <c r="F34" s="28">
        <f t="shared" ref="F34:F39" si="14">C34-(C34*$E$6)</f>
        <v>16.202536086567896</v>
      </c>
      <c r="G34" s="27" t="str">
        <f t="shared" ref="G34:G39" si="15">IF(C34&gt;=F34,"-","+")</f>
        <v>+</v>
      </c>
      <c r="H34" s="26">
        <f t="shared" ref="H34:H39" si="16">C34*D34</f>
        <v>1147.98</v>
      </c>
      <c r="I34" s="26">
        <f t="shared" ref="I34:I39" si="17">F34*D34</f>
        <v>1169.8231054502021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12.2</v>
      </c>
      <c r="D35" s="30"/>
      <c r="E35" s="29">
        <f t="shared" si="13"/>
        <v>0</v>
      </c>
      <c r="F35" s="28">
        <f t="shared" si="14"/>
        <v>12.432134607303668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9.8000000000000007</v>
      </c>
      <c r="D36" s="30"/>
      <c r="E36" s="29">
        <f t="shared" si="13"/>
        <v>0</v>
      </c>
      <c r="F36" s="28">
        <f t="shared" si="14"/>
        <v>9.986468782916063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</v>
      </c>
      <c r="D37" s="30"/>
      <c r="E37" s="29">
        <f t="shared" si="13"/>
        <v>0</v>
      </c>
      <c r="F37" s="28">
        <f t="shared" si="14"/>
        <v>26.494713097532411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</v>
      </c>
      <c r="D38" s="30"/>
      <c r="E38" s="29">
        <f t="shared" si="13"/>
        <v>0</v>
      </c>
      <c r="F38" s="28">
        <f t="shared" si="14"/>
        <v>26.494713097532411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26.9</v>
      </c>
      <c r="D39" s="30"/>
      <c r="E39" s="29">
        <f t="shared" si="13"/>
        <v>0</v>
      </c>
      <c r="F39" s="28">
        <f t="shared" si="14"/>
        <v>27.411837781677761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15.9</v>
      </c>
      <c r="D40" s="22">
        <f>SUM(D34:D39)</f>
        <v>72.2</v>
      </c>
      <c r="E40" s="21">
        <f t="shared" si="13"/>
        <v>0.12709030100334451</v>
      </c>
      <c r="F40" s="20">
        <f>I40/D40</f>
        <v>16.202536086567896</v>
      </c>
      <c r="G40" s="19">
        <f>F40/C40-1</f>
        <v>1.9027426828169602E-2</v>
      </c>
      <c r="H40" s="18">
        <f>SUM(H34:H39)</f>
        <v>1147.98</v>
      </c>
      <c r="I40" s="18">
        <f>SUM(I34:I39)</f>
        <v>1169.8231054502021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92</v>
      </c>
      <c r="E42" s="29">
        <f>D42/$D$48</f>
        <v>0.16194331983805671</v>
      </c>
      <c r="F42" s="28">
        <f>C42-(C42*$E$6)</f>
        <v>0.40761097073126784</v>
      </c>
      <c r="G42" s="27" t="str">
        <f>IF(C42&gt;=F42,"-","+")</f>
        <v>+</v>
      </c>
      <c r="H42" s="26">
        <f>C42*D42</f>
        <v>36.800000000000004</v>
      </c>
      <c r="I42" s="26">
        <f>F42*D42</f>
        <v>37.500209307276641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</v>
      </c>
      <c r="E43" s="29">
        <f>D43/$D$48</f>
        <v>5.2807604295018488E-3</v>
      </c>
      <c r="F43" s="28">
        <f>C43-(C43*$E$6)</f>
        <v>0.40761097073126784</v>
      </c>
      <c r="G43" s="27" t="str">
        <f>IF(C43&gt;=F43,"-","+")</f>
        <v>+</v>
      </c>
      <c r="H43" s="26">
        <f>C43*D43</f>
        <v>1.2000000000000002</v>
      </c>
      <c r="I43" s="26">
        <f>F43*D43</f>
        <v>1.2228329121938035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3.7</v>
      </c>
      <c r="E44" s="29">
        <f>D44/$D$48</f>
        <v>6.5129378630522806E-3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</v>
      </c>
      <c r="E45" s="29">
        <f>D45/$D$48</f>
        <v>0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0.38500506585612976</v>
      </c>
      <c r="D46" s="22">
        <f>SUM(D41:D45)</f>
        <v>98.7</v>
      </c>
      <c r="E46" s="21">
        <f>D46/$D$48</f>
        <v>0.17373701813061085</v>
      </c>
      <c r="F46" s="20">
        <f>I46/D46</f>
        <v>0.39233072157518178</v>
      </c>
      <c r="G46" s="19">
        <f>F46/C46-1</f>
        <v>1.902742682816938E-2</v>
      </c>
      <c r="H46" s="18">
        <f>SUM(H41:H44)</f>
        <v>38.000000000000007</v>
      </c>
      <c r="I46" s="18">
        <f>SUM(I41:I44)</f>
        <v>38.723042219470443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83.919630251125781</v>
      </c>
      <c r="D48" s="13">
        <f>D24+D32+D40+D46</f>
        <v>568.09999999999991</v>
      </c>
      <c r="E48" s="12">
        <f>SUM(E20:E46)/2</f>
        <v>0.99999999999999989</v>
      </c>
      <c r="F48" s="11">
        <f>I48/D48</f>
        <v>22.496039429677879</v>
      </c>
      <c r="G48" s="10"/>
      <c r="H48" s="9">
        <f>SUM(H20:H46)/2</f>
        <v>12541.369999999999</v>
      </c>
      <c r="I48" s="9">
        <f>SUM(I20:I46)/2</f>
        <v>12780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568.10000000000014</v>
      </c>
      <c r="E50" s="12">
        <f>D50/G2</f>
        <v>1.0001760563380284</v>
      </c>
      <c r="F50" s="11">
        <f>I50/D50</f>
        <v>22.496039429677868</v>
      </c>
      <c r="G50" s="10"/>
      <c r="H50" s="9">
        <f>H48+H19</f>
        <v>12541.369999999999</v>
      </c>
      <c r="I50" s="9">
        <f>I48+I19</f>
        <v>12780</v>
      </c>
      <c r="J50" s="106">
        <f>D50-G2</f>
        <v>0.10000000000013642</v>
      </c>
      <c r="K50" s="8"/>
    </row>
    <row r="51" spans="1:11" ht="23.25" x14ac:dyDescent="0.35">
      <c r="A51" s="168" t="s">
        <v>113</v>
      </c>
      <c r="B51" s="169"/>
      <c r="C51" s="170"/>
      <c r="G51" s="7"/>
      <c r="H51" s="6"/>
      <c r="I51" s="6">
        <f>+I50/D50</f>
        <v>22.496039429677868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K56"/>
  <sheetViews>
    <sheetView topLeftCell="A23" workbookViewId="0">
      <selection activeCell="E29" sqref="E29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114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/>
      <c r="F2" s="94" t="s">
        <v>5</v>
      </c>
      <c r="G2" s="93"/>
      <c r="H2" s="62"/>
      <c r="I2" s="62"/>
      <c r="J2" s="61"/>
      <c r="K2" s="61"/>
    </row>
    <row r="3" spans="1:11" ht="21" x14ac:dyDescent="0.25">
      <c r="A3" s="92" t="s">
        <v>6</v>
      </c>
      <c r="B3" s="91"/>
      <c r="C3" s="89"/>
      <c r="D3" s="90" t="s">
        <v>7</v>
      </c>
      <c r="E3" s="89"/>
      <c r="F3" s="88" t="s">
        <v>8</v>
      </c>
      <c r="G3" s="87"/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/>
      <c r="F4" s="81" t="s">
        <v>12</v>
      </c>
      <c r="G4" s="80">
        <f>G2*G3</f>
        <v>0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e">
        <f>IF(G4=I50,"DOĞRU","HATA VAR")</f>
        <v>#DIV/0!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 t="e">
        <f>1-G4/H50</f>
        <v>#DIV/0!</v>
      </c>
      <c r="F6" s="69" t="s">
        <v>16</v>
      </c>
      <c r="G6" s="68" t="e">
        <f>(I50-I19)/(D50-(SUM(D42:D44)+D19))</f>
        <v>#DIV/0!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0</v>
      </c>
      <c r="D10" s="30">
        <f>'E1-ÖA18103001 '!D10+'E4-BO18100204 '!D10+'E8-BO18100608'!D10+'E11-ÖA18100910 '!D10+'E12-BO18101010'!D10+'E15-BO18101315'!D10+'E16-BO18101215'!D10+'E16-BO18101215 '!D10+'E18-ÖA18101617'!D10+'MOL22-18102022'!D10+'ÖA23-18102022'!D10+'ÖV25-18102425'!D10+'BO26-18101325-D'!D10+'ÖA29-18102829'!D10+'ÖA29-18102829-1'!D10+'ÖA30-18102829-S'!D10</f>
        <v>596.79999999999995</v>
      </c>
      <c r="E10" s="29">
        <f t="shared" ref="E10:E19" si="1">D10/$D$19</f>
        <v>0.17119417113680041</v>
      </c>
      <c r="F10" s="28" t="e">
        <f t="shared" ref="F10:F18" si="2">C10-(C10*$E$6)</f>
        <v>#DIV/0!</v>
      </c>
      <c r="G10" s="27" t="e">
        <f t="shared" ref="G10:G18" si="3">IF(C10&gt;=F10,"-","+")</f>
        <v>#DIV/0!</v>
      </c>
      <c r="H10" s="34">
        <f t="shared" ref="H10:H18" si="4">C10*D10</f>
        <v>0</v>
      </c>
      <c r="I10" s="34" t="e">
        <f t="shared" ref="I10:I18" si="5">F10*D10</f>
        <v>#DIV/0!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0</v>
      </c>
      <c r="D11" s="30">
        <f>'E1-ÖA18103001 '!D11+'E4-BO18100204 '!D11+'E8-BO18100608'!D11+'E11-ÖA18100910 '!D11+'E12-BO18101010'!D11+'E15-BO18101315'!D11+'E16-BO18101215'!D11+'E16-BO18101215 '!D11+'E18-ÖA18101617'!D11+'MOL22-18102022'!D11+'ÖA23-18102022'!D11+'ÖV25-18102425'!D11+'BO26-18101325-D'!D11+'ÖA29-18102829'!D11+'ÖA29-18102829-1'!D11+'ÖA30-18102829-S'!D11</f>
        <v>1064.8999999999999</v>
      </c>
      <c r="E11" s="29">
        <f t="shared" si="1"/>
        <v>0.30547029631966949</v>
      </c>
      <c r="F11" s="28" t="e">
        <f t="shared" si="2"/>
        <v>#DIV/0!</v>
      </c>
      <c r="G11" s="27" t="e">
        <f t="shared" si="3"/>
        <v>#DIV/0!</v>
      </c>
      <c r="H11" s="34">
        <f t="shared" si="4"/>
        <v>0</v>
      </c>
      <c r="I11" s="34" t="e">
        <f t="shared" si="5"/>
        <v>#DIV/0!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0</v>
      </c>
      <c r="D12" s="30">
        <f>'E1-ÖA18103001 '!D12+'E4-BO18100204 '!D12+'E8-BO18100608'!D12+'E11-ÖA18100910 '!D12+'E12-BO18101010'!D12+'E15-BO18101315'!D12+'E16-BO18101215'!D12+'E16-BO18101215 '!D12+'E18-ÖA18101617'!D12+'MOL22-18102022'!D12+'ÖA23-18102022'!D12+'ÖV25-18102425'!D12+'BO26-18101325-D'!D12+'ÖA29-18102829'!D12+'ÖA29-18102829-1'!D12+'ÖA30-18102829-S'!D12</f>
        <v>1375.8</v>
      </c>
      <c r="E12" s="29">
        <f t="shared" si="1"/>
        <v>0.39465305068701406</v>
      </c>
      <c r="F12" s="28" t="e">
        <f t="shared" si="2"/>
        <v>#DIV/0!</v>
      </c>
      <c r="G12" s="27" t="e">
        <f t="shared" si="3"/>
        <v>#DIV/0!</v>
      </c>
      <c r="H12" s="34">
        <f t="shared" si="4"/>
        <v>0</v>
      </c>
      <c r="I12" s="34" t="e">
        <f t="shared" si="5"/>
        <v>#DIV/0!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0</v>
      </c>
      <c r="D13" s="30">
        <f>'E1-ÖA18103001 '!D13+'E4-BO18100204 '!D13+'E8-BO18100608'!D13+'E11-ÖA18100910 '!D13+'E12-BO18101010'!D13+'E15-BO18101315'!D13+'E16-BO18101215'!D13+'E16-BO18101215 '!D13+'E18-ÖA18101617'!D13+'MOL22-18102022'!D13+'ÖA23-18102022'!D13+'ÖV25-18102425'!D13+'BO26-18101325-D'!D13+'ÖA29-18102829'!D13+'ÖA29-18102829-1'!D13+'ÖA30-18102829-S'!D13</f>
        <v>0</v>
      </c>
      <c r="E13" s="29">
        <f t="shared" si="1"/>
        <v>0</v>
      </c>
      <c r="F13" s="28" t="e">
        <f t="shared" si="2"/>
        <v>#DIV/0!</v>
      </c>
      <c r="G13" s="27" t="e">
        <f t="shared" si="3"/>
        <v>#DIV/0!</v>
      </c>
      <c r="H13" s="34">
        <f t="shared" si="4"/>
        <v>0</v>
      </c>
      <c r="I13" s="34" t="e">
        <f t="shared" si="5"/>
        <v>#DIV/0!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0</v>
      </c>
      <c r="D14" s="30">
        <f>'E1-ÖA18103001 '!D14+'E4-BO18100204 '!D14+'E8-BO18100608'!D14+'E11-ÖA18100910 '!D14+'E12-BO18101010'!D14+'E15-BO18101315'!D14+'E16-BO18101215'!D14+'E16-BO18101215 '!D14+'E18-ÖA18101617'!D14+'MOL22-18102022'!D14+'ÖA23-18102022'!D14+'ÖV25-18102425'!D14+'BO26-18101325-D'!D14+'ÖA29-18102829'!D14+'ÖA29-18102829-1'!D14+'ÖA30-18102829-S'!D14</f>
        <v>0</v>
      </c>
      <c r="E14" s="29">
        <f t="shared" si="1"/>
        <v>0</v>
      </c>
      <c r="F14" s="28" t="e">
        <f t="shared" si="2"/>
        <v>#DIV/0!</v>
      </c>
      <c r="G14" s="27" t="e">
        <f t="shared" si="3"/>
        <v>#DIV/0!</v>
      </c>
      <c r="H14" s="34">
        <f t="shared" si="4"/>
        <v>0</v>
      </c>
      <c r="I14" s="34" t="e">
        <f t="shared" si="5"/>
        <v>#DIV/0!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0</v>
      </c>
      <c r="D15" s="30">
        <f>'E1-ÖA18103001 '!D15+'E4-BO18100204 '!D15+'E8-BO18100608'!D15+'E11-ÖA18100910 '!D15+'E12-BO18101010'!D15+'E15-BO18101315'!D15+'E16-BO18101215'!D15+'E16-BO18101215 '!D15+'E18-ÖA18101617'!D15+'MOL22-18102022'!D15+'ÖA23-18102022'!D15+'ÖV25-18102425'!D15+'BO26-18101325-D'!D15+'ÖA29-18102829'!D15+'ÖA29-18102829-1'!D15+'ÖA30-18102829-S'!D15</f>
        <v>195.8</v>
      </c>
      <c r="E15" s="29">
        <f t="shared" si="1"/>
        <v>5.6165916066664753E-2</v>
      </c>
      <c r="F15" s="28" t="e">
        <f t="shared" si="2"/>
        <v>#DIV/0!</v>
      </c>
      <c r="G15" s="27" t="e">
        <f t="shared" si="3"/>
        <v>#DIV/0!</v>
      </c>
      <c r="H15" s="34">
        <f t="shared" si="4"/>
        <v>0</v>
      </c>
      <c r="I15" s="34" t="e">
        <f t="shared" si="5"/>
        <v>#DIV/0!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0</v>
      </c>
      <c r="D16" s="30">
        <f>'E1-ÖA18103001 '!D16+'E4-BO18100204 '!D16+'E8-BO18100608'!D16+'E11-ÖA18100910 '!D16+'E12-BO18101010'!D16+'E15-BO18101315'!D16+'E16-BO18101215'!D16+'E16-BO18101215 '!D16+'E18-ÖA18101617'!D16+'MOL22-18102022'!D16+'ÖA23-18102022'!D16+'ÖV25-18102425'!D16+'BO26-18101325-D'!D16+'ÖA29-18102829'!D16+'ÖA29-18102829-1'!D16+'ÖA30-18102829-S'!D16</f>
        <v>55</v>
      </c>
      <c r="E16" s="29">
        <f t="shared" si="1"/>
        <v>1.5776942715355267E-2</v>
      </c>
      <c r="F16" s="28" t="e">
        <f t="shared" si="2"/>
        <v>#DIV/0!</v>
      </c>
      <c r="G16" s="27" t="e">
        <f t="shared" si="3"/>
        <v>#DIV/0!</v>
      </c>
      <c r="H16" s="34">
        <f t="shared" si="4"/>
        <v>0</v>
      </c>
      <c r="I16" s="34" t="e">
        <f t="shared" si="5"/>
        <v>#DIV/0!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0</v>
      </c>
      <c r="D17" s="30">
        <f>'E1-ÖA18103001 '!D17+'E4-BO18100204 '!D17+'E8-BO18100608'!D17+'E11-ÖA18100910 '!D17+'E12-BO18101010'!D17+'E15-BO18101315'!D17+'E16-BO18101215'!D17+'E16-BO18101215 '!D17+'E18-ÖA18101617'!D17+'MOL22-18102022'!D17+'ÖA23-18102022'!D17+'ÖV25-18102425'!D17+'BO26-18101325-D'!D17+'ÖA29-18102829'!D17+'ÖA29-18102829-1'!D17+'ÖA30-18102829-S'!D17</f>
        <v>128.5</v>
      </c>
      <c r="E17" s="29">
        <f t="shared" si="1"/>
        <v>3.6860675253148213E-2</v>
      </c>
      <c r="F17" s="28" t="e">
        <f t="shared" si="2"/>
        <v>#DIV/0!</v>
      </c>
      <c r="G17" s="27" t="e">
        <f t="shared" si="3"/>
        <v>#DIV/0!</v>
      </c>
      <c r="H17" s="34">
        <f t="shared" si="4"/>
        <v>0</v>
      </c>
      <c r="I17" s="34" t="e">
        <f t="shared" si="5"/>
        <v>#DIV/0!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0</v>
      </c>
      <c r="D18" s="30">
        <f>'E1-ÖA18103001 '!D18+'E4-BO18100204 '!D18+'E8-BO18100608'!D18+'E11-ÖA18100910 '!D18+'E12-BO18101010'!D18+'E15-BO18101315'!D18+'E16-BO18101215'!D18+'E16-BO18101215 '!D18+'E18-ÖA18101617'!D18+'MOL22-18102022'!D18+'ÖA23-18102022'!D18+'ÖV25-18102425'!D18+'BO26-18101325-D'!D18+'ÖA29-18102829'!D18+'ÖA29-18102829-1'!D18+'ÖA30-18102829-S'!D18</f>
        <v>69.3</v>
      </c>
      <c r="E18" s="29">
        <f t="shared" si="1"/>
        <v>1.9878947821347633E-2</v>
      </c>
      <c r="F18" s="28" t="e">
        <f t="shared" si="2"/>
        <v>#DIV/0!</v>
      </c>
      <c r="G18" s="27" t="e">
        <f t="shared" si="3"/>
        <v>#DIV/0!</v>
      </c>
      <c r="H18" s="34">
        <f t="shared" si="4"/>
        <v>0</v>
      </c>
      <c r="I18" s="34" t="e">
        <f t="shared" si="5"/>
        <v>#DIV/0!</v>
      </c>
      <c r="J18" s="52"/>
      <c r="K18" s="52"/>
    </row>
    <row r="19" spans="1:11" x14ac:dyDescent="0.25">
      <c r="A19" s="51" t="s">
        <v>34</v>
      </c>
      <c r="B19" s="50"/>
      <c r="C19" s="47">
        <f>H19/D19</f>
        <v>0</v>
      </c>
      <c r="D19" s="49">
        <f>SUM(D10:D18)</f>
        <v>3486.1000000000004</v>
      </c>
      <c r="E19" s="48">
        <f t="shared" si="1"/>
        <v>1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 t="e">
        <f>SUM(I10:I18)</f>
        <v>#DIV/0!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0</v>
      </c>
      <c r="D21" s="30">
        <f>'E1-ÖA18103001 '!D21+'E4-BO18100204 '!D21+'E8-BO18100608'!D21+'E11-ÖA18100910 '!D21+'E12-BO18101010'!D21+'E15-BO18101315'!D21+'E16-BO18101215'!D21+'E16-BO18101215 '!D21+'E18-ÖA18101617'!D21+'MOL22-18102022'!D21+'ÖA23-18102022'!D21+'ÖV25-18102425'!D21+'BO26-18101325-D'!D21+'ÖA29-18102829'!D21+'ÖA29-18102829-1'!D21+'ÖA30-18102829-S'!D21</f>
        <v>1949.1000000000001</v>
      </c>
      <c r="E21" s="29">
        <f>D21/$D$48</f>
        <v>1.2697830758580666E-2</v>
      </c>
      <c r="F21" s="28" t="e">
        <f>C21-(C21*$E$6)</f>
        <v>#DIV/0!</v>
      </c>
      <c r="G21" s="27" t="e">
        <f>IF(C21&gt;=F21,"-","+")</f>
        <v>#DIV/0!</v>
      </c>
      <c r="H21" s="26">
        <f>C21*D21</f>
        <v>0</v>
      </c>
      <c r="I21" s="26" t="e">
        <f>F21*D21</f>
        <v>#DIV/0!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0</v>
      </c>
      <c r="D22" s="30">
        <f>'E1-ÖA18103001 '!D22+'E4-BO18100204 '!D22+'E8-BO18100608'!D22+'E11-ÖA18100910 '!D22+'E12-BO18101010'!D22+'E15-BO18101315'!D22+'E16-BO18101215'!D22+'E16-BO18101215 '!D22+'E18-ÖA18101617'!D22+'MOL22-18102022'!D22+'ÖA23-18102022'!D22+'ÖV25-18102425'!D22+'BO26-18101325-D'!D22+'ÖA29-18102829'!D22+'ÖA29-18102829-1'!D22+'ÖA30-18102829-S'!D22</f>
        <v>4796.1000000000004</v>
      </c>
      <c r="E22" s="29">
        <f>D22/$D$48</f>
        <v>3.1245224001451303E-2</v>
      </c>
      <c r="F22" s="28" t="e">
        <f>C22-(C22*$E$6)</f>
        <v>#DIV/0!</v>
      </c>
      <c r="G22" s="27" t="e">
        <f>IF(C22&gt;=F22,"-","+")</f>
        <v>#DIV/0!</v>
      </c>
      <c r="H22" s="26">
        <f>C22*D22</f>
        <v>0</v>
      </c>
      <c r="I22" s="26" t="e">
        <f>F22*D22</f>
        <v>#DIV/0!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0</v>
      </c>
      <c r="D23" s="30">
        <f>'E1-ÖA18103001 '!D23+'E4-BO18100204 '!D23+'E8-BO18100608'!D23+'E11-ÖA18100910 '!D23+'E12-BO18101010'!D23+'E15-BO18101315'!D23+'E16-BO18101215'!D23+'E16-BO18101215 '!D23+'E18-ÖA18101617'!D23+'MOL22-18102022'!D23+'ÖA23-18102022'!D23+'ÖV25-18102425'!D23+'BO26-18101325-D'!D23+'ÖA29-18102829'!D23+'ÖA29-18102829-1'!D23+'ÖA30-18102829-S'!D23</f>
        <v>3819.5</v>
      </c>
      <c r="E23" s="29">
        <f>D23/$D$48</f>
        <v>2.4882953456671721E-2</v>
      </c>
      <c r="F23" s="28" t="e">
        <f>C23-(C23*$E$6)</f>
        <v>#DIV/0!</v>
      </c>
      <c r="G23" s="27" t="e">
        <f>IF(C23&gt;=F23,"-","+")</f>
        <v>#DIV/0!</v>
      </c>
      <c r="H23" s="26">
        <f>C23*D23</f>
        <v>0</v>
      </c>
      <c r="I23" s="26" t="e">
        <f>F23*D23</f>
        <v>#DIV/0!</v>
      </c>
      <c r="J23" s="25"/>
      <c r="K23" s="25"/>
    </row>
    <row r="24" spans="1:11" x14ac:dyDescent="0.25">
      <c r="A24" s="24" t="s">
        <v>34</v>
      </c>
      <c r="B24" s="23"/>
      <c r="C24" s="20">
        <f>H24/D24</f>
        <v>0</v>
      </c>
      <c r="D24" s="22">
        <f>SUM(D21:D23)</f>
        <v>10564.7</v>
      </c>
      <c r="E24" s="21">
        <f>D24/$D$48</f>
        <v>6.8826008216703691E-2</v>
      </c>
      <c r="F24" s="20" t="e">
        <f>I24/D24</f>
        <v>#DIV/0!</v>
      </c>
      <c r="G24" s="19" t="e">
        <f>F24/C24-1</f>
        <v>#DIV/0!</v>
      </c>
      <c r="H24" s="18">
        <f>SUM(H21:H23)</f>
        <v>0</v>
      </c>
      <c r="I24" s="18" t="e">
        <f>SUM(I21:I23)</f>
        <v>#DIV/0!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0</v>
      </c>
      <c r="D26" s="30">
        <f>'E1-ÖA18103001 '!D26+'E4-BO18100204 '!D26+'E8-BO18100608'!D26+'E11-ÖA18100910 '!D26+'E12-BO18101010'!D26+'E15-BO18101315'!D26+'E16-BO18101215'!D26+'E16-BO18101215 '!D26+'E18-ÖA18101617'!D26+'MOL22-18102022'!D26+'ÖA23-18102022'!D26+'ÖV25-18102425'!D26+'BO26-18101325-D'!D26+'ÖA29-18102829'!D26+'ÖA29-18102829-1'!D26+'ÖA30-18102829-S'!D26</f>
        <v>30609.100000000002</v>
      </c>
      <c r="E26" s="29">
        <f t="shared" ref="E26:E32" si="7">D26/$D$48</f>
        <v>0.19940955901311963</v>
      </c>
      <c r="F26" s="28" t="e">
        <f t="shared" ref="F26:F31" si="8">C26-(C26*$E$6)</f>
        <v>#DIV/0!</v>
      </c>
      <c r="G26" s="27" t="e">
        <f t="shared" ref="G26:G31" si="9">IF(C26&gt;=F26,"-","+")</f>
        <v>#DIV/0!</v>
      </c>
      <c r="H26" s="26">
        <f t="shared" ref="H26:H31" si="10">C26*D26</f>
        <v>0</v>
      </c>
      <c r="I26" s="26" t="e">
        <f t="shared" ref="I26:I31" si="11">F26*D26</f>
        <v>#DIV/0!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0</v>
      </c>
      <c r="D27" s="30">
        <f>'E1-ÖA18103001 '!D27+'E4-BO18100204 '!D27+'E8-BO18100608'!D27+'E11-ÖA18100910 '!D27+'E12-BO18101010'!D27+'E15-BO18101315'!D27+'E16-BO18101215'!D27+'E16-BO18101215 '!D27+'E18-ÖA18101617'!D27+'MOL22-18102022'!D27+'ÖA23-18102022'!D27+'ÖV25-18102425'!D27+'BO26-18101325-D'!D27+'ÖA29-18102829'!D27+'ÖA29-18102829-1'!D27+'ÖA30-18102829-S'!D27</f>
        <v>23051.000000000004</v>
      </c>
      <c r="E27" s="29">
        <f t="shared" si="7"/>
        <v>0.15017069253298598</v>
      </c>
      <c r="F27" s="28" t="e">
        <f t="shared" si="8"/>
        <v>#DIV/0!</v>
      </c>
      <c r="G27" s="27" t="e">
        <f t="shared" si="9"/>
        <v>#DIV/0!</v>
      </c>
      <c r="H27" s="26">
        <f t="shared" si="10"/>
        <v>0</v>
      </c>
      <c r="I27" s="26" t="e">
        <f t="shared" si="11"/>
        <v>#DIV/0!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0</v>
      </c>
      <c r="D28" s="30">
        <f>'E1-ÖA18103001 '!D28+'E4-BO18100204 '!D28+'E8-BO18100608'!D28+'E11-ÖA18100910 '!D28+'E12-BO18101010'!D28+'E15-BO18101315'!D28+'E16-BO18101215'!D28+'E16-BO18101215 '!D28+'E18-ÖA18101617'!D28+'MOL22-18102022'!D28+'ÖA23-18102022'!D28+'ÖV25-18102425'!D28+'BO26-18101325-D'!D28+'ÖA29-18102829'!D28+'ÖA29-18102829-1'!D28+'ÖA30-18102829-S'!D28</f>
        <v>15595.3</v>
      </c>
      <c r="E28" s="29">
        <f t="shared" si="7"/>
        <v>0.10159893285582733</v>
      </c>
      <c r="F28" s="28" t="e">
        <f t="shared" si="8"/>
        <v>#DIV/0!</v>
      </c>
      <c r="G28" s="27" t="e">
        <f t="shared" si="9"/>
        <v>#DIV/0!</v>
      </c>
      <c r="H28" s="26">
        <f t="shared" si="10"/>
        <v>0</v>
      </c>
      <c r="I28" s="26" t="e">
        <f t="shared" si="11"/>
        <v>#DIV/0!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0</v>
      </c>
      <c r="D29" s="30">
        <f>'E1-ÖA18103001 '!D29+'E4-BO18100204 '!D29+'E8-BO18100608'!D29+'E11-ÖA18100910 '!D29+'E12-BO18101010'!D29+'E15-BO18101315'!D29+'E16-BO18101215'!D29+'E16-BO18101215 '!D29+'E18-ÖA18101617'!D29+'MOL22-18102022'!D29+'ÖA23-18102022'!D29+'ÖV25-18102425'!D29+'BO26-18101325-D'!D29+'ÖA29-18102829'!D29+'ÖA29-18102829-1'!D29+'ÖA30-18102829-S'!D29</f>
        <v>14199.499999999998</v>
      </c>
      <c r="E29" s="29">
        <f t="shared" si="7"/>
        <v>9.2505693836368655E-2</v>
      </c>
      <c r="F29" s="28" t="e">
        <f t="shared" si="8"/>
        <v>#DIV/0!</v>
      </c>
      <c r="G29" s="27" t="e">
        <f t="shared" si="9"/>
        <v>#DIV/0!</v>
      </c>
      <c r="H29" s="26">
        <f t="shared" si="10"/>
        <v>0</v>
      </c>
      <c r="I29" s="26" t="e">
        <f t="shared" si="11"/>
        <v>#DIV/0!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0</v>
      </c>
      <c r="D30" s="30">
        <f>'E1-ÖA18103001 '!D30+'E4-BO18100204 '!D30+'E8-BO18100608'!D30+'E11-ÖA18100910 '!D30+'E12-BO18101010'!D30+'E15-BO18101315'!D30+'E16-BO18101215'!D30+'E16-BO18101215 '!D30+'E18-ÖA18101617'!D30+'MOL22-18102022'!D30+'ÖA23-18102022'!D30+'ÖV25-18102425'!D30+'BO26-18101325-D'!D30+'ÖA29-18102829'!D30+'ÖA29-18102829-1'!D30+'ÖA30-18102829-S'!D30</f>
        <v>9192.5</v>
      </c>
      <c r="E30" s="29">
        <f t="shared" si="7"/>
        <v>5.9886516468243174E-2</v>
      </c>
      <c r="F30" s="28" t="e">
        <f t="shared" si="8"/>
        <v>#DIV/0!</v>
      </c>
      <c r="G30" s="27" t="e">
        <f t="shared" si="9"/>
        <v>#DIV/0!</v>
      </c>
      <c r="H30" s="26">
        <f t="shared" si="10"/>
        <v>0</v>
      </c>
      <c r="I30" s="26" t="e">
        <f t="shared" si="11"/>
        <v>#DIV/0!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0</v>
      </c>
      <c r="D31" s="30">
        <f>'E1-ÖA18103001 '!D31+'E4-BO18100204 '!D31+'E8-BO18100608'!D31+'E11-ÖA18100910 '!D31+'E12-BO18101010'!D31+'E15-BO18101315'!D31+'E16-BO18101215'!D31+'E16-BO18101215 '!D31+'E18-ÖA18101617'!D31+'MOL22-18102022'!D31+'ÖA23-18102022'!D31+'ÖV25-18102425'!D31+'BO26-18101325-D'!D31+'ÖA29-18102829'!D31+'ÖA29-18102829-1'!D31+'ÖA30-18102829-S'!D31</f>
        <v>3854.8999999999996</v>
      </c>
      <c r="E31" s="29">
        <f t="shared" si="7"/>
        <v>2.5113574363168949E-2</v>
      </c>
      <c r="F31" s="28" t="e">
        <f t="shared" si="8"/>
        <v>#DIV/0!</v>
      </c>
      <c r="G31" s="27" t="e">
        <f t="shared" si="9"/>
        <v>#DIV/0!</v>
      </c>
      <c r="H31" s="26">
        <f t="shared" si="10"/>
        <v>0</v>
      </c>
      <c r="I31" s="26" t="e">
        <f t="shared" si="11"/>
        <v>#DIV/0!</v>
      </c>
      <c r="J31" s="25"/>
      <c r="K31" s="25"/>
    </row>
    <row r="32" spans="1:11" x14ac:dyDescent="0.25">
      <c r="A32" s="24" t="s">
        <v>34</v>
      </c>
      <c r="B32" s="23"/>
      <c r="C32" s="20">
        <f>H32/D32</f>
        <v>0</v>
      </c>
      <c r="D32" s="22">
        <f>SUM(D26:D31)</f>
        <v>96502.3</v>
      </c>
      <c r="E32" s="21">
        <f t="shared" si="7"/>
        <v>0.62868496906971372</v>
      </c>
      <c r="F32" s="20" t="e">
        <f>I32/D32</f>
        <v>#DIV/0!</v>
      </c>
      <c r="G32" s="19" t="e">
        <f>F32/C32-1</f>
        <v>#DIV/0!</v>
      </c>
      <c r="H32" s="18">
        <f>SUM(H26:H31)</f>
        <v>0</v>
      </c>
      <c r="I32" s="18" t="e">
        <f>SUM(I26:I31)</f>
        <v>#DIV/0!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0</v>
      </c>
      <c r="D34" s="30">
        <f>'E1-ÖA18103001 '!D34+'E4-BO18100204 '!D34+'E8-BO18100608'!D34+'E11-ÖA18100910 '!D34+'E12-BO18101010'!D34+'E15-BO18101315'!D34+'E16-BO18101215'!D34+'E16-BO18101215 '!D34+'E18-ÖA18101617'!D34+'MOL22-18102022'!D34+'ÖA23-18102022'!D34+'ÖV25-18102425'!D34+'BO26-18101325-D'!D34+'ÖA29-18102829'!D34+'ÖA29-18102829-1'!D34+'ÖA30-18102829-S'!D34</f>
        <v>21282.7</v>
      </c>
      <c r="E34" s="29">
        <f t="shared" ref="E34:E40" si="13">D34/$D$48</f>
        <v>0.1386507222234081</v>
      </c>
      <c r="F34" s="28" t="e">
        <f t="shared" ref="F34:F39" si="14">C34-(C34*$E$6)</f>
        <v>#DIV/0!</v>
      </c>
      <c r="G34" s="27" t="e">
        <f t="shared" ref="G34:G39" si="15">IF(C34&gt;=F34,"-","+")</f>
        <v>#DIV/0!</v>
      </c>
      <c r="H34" s="26">
        <f t="shared" ref="H34:H39" si="16">C34*D34</f>
        <v>0</v>
      </c>
      <c r="I34" s="26" t="e">
        <f t="shared" ref="I34:I39" si="17">F34*D34</f>
        <v>#DIV/0!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0</v>
      </c>
      <c r="D35" s="30">
        <f>'E1-ÖA18103001 '!D35+'E4-BO18100204 '!D35+'E8-BO18100608'!D35+'E11-ÖA18100910 '!D35+'E12-BO18101010'!D35+'E15-BO18101315'!D35+'E16-BO18101215'!D35+'E16-BO18101215 '!D35+'E18-ÖA18101617'!D35+'MOL22-18102022'!D35+'ÖA23-18102022'!D35+'ÖV25-18102425'!D35+'BO26-18101325-D'!D35+'ÖA29-18102829'!D35+'ÖA29-18102829-1'!D35+'ÖA30-18102829-S'!D35</f>
        <v>541.19999999999993</v>
      </c>
      <c r="E35" s="29">
        <f t="shared" si="13"/>
        <v>3.5257636891610771E-3</v>
      </c>
      <c r="F35" s="28" t="e">
        <f t="shared" si="14"/>
        <v>#DIV/0!</v>
      </c>
      <c r="G35" s="27" t="e">
        <f t="shared" si="15"/>
        <v>#DIV/0!</v>
      </c>
      <c r="H35" s="26">
        <f t="shared" si="16"/>
        <v>0</v>
      </c>
      <c r="I35" s="26" t="e">
        <f t="shared" si="17"/>
        <v>#DIV/0!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0</v>
      </c>
      <c r="D36" s="30">
        <f>'E1-ÖA18103001 '!D36+'E4-BO18100204 '!D36+'E8-BO18100608'!D36+'E11-ÖA18100910 '!D36+'E12-BO18101010'!D36+'E15-BO18101315'!D36+'E16-BO18101215'!D36+'E16-BO18101215 '!D36+'E18-ÖA18101617'!D36+'MOL22-18102022'!D36+'ÖA23-18102022'!D36+'ÖV25-18102425'!D36+'BO26-18101325-D'!D36+'ÖA29-18102829'!D36+'ÖA29-18102829-1'!D36+'ÖA30-18102829-S'!D36</f>
        <v>0</v>
      </c>
      <c r="E36" s="29">
        <f t="shared" si="13"/>
        <v>0</v>
      </c>
      <c r="F36" s="28" t="e">
        <f t="shared" si="14"/>
        <v>#DIV/0!</v>
      </c>
      <c r="G36" s="27" t="e">
        <f t="shared" si="15"/>
        <v>#DIV/0!</v>
      </c>
      <c r="H36" s="26">
        <f t="shared" si="16"/>
        <v>0</v>
      </c>
      <c r="I36" s="26" t="e">
        <f t="shared" si="17"/>
        <v>#DIV/0!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0</v>
      </c>
      <c r="D37" s="30">
        <f>'E1-ÖA18103001 '!D37+'E4-BO18100204 '!D37+'E8-BO18100608'!D37+'E11-ÖA18100910 '!D37+'E12-BO18101010'!D37+'E15-BO18101315'!D37+'E16-BO18101215'!D37+'E16-BO18101215 '!D37+'E18-ÖA18101617'!D37+'MOL22-18102022'!D37+'ÖA23-18102022'!D37+'ÖV25-18102425'!D37+'BO26-18101325-D'!D37+'ÖA29-18102829'!D37+'ÖA29-18102829-1'!D37+'ÖA30-18102829-S'!D37</f>
        <v>0</v>
      </c>
      <c r="E37" s="29">
        <f t="shared" si="13"/>
        <v>0</v>
      </c>
      <c r="F37" s="28" t="e">
        <f t="shared" si="14"/>
        <v>#DIV/0!</v>
      </c>
      <c r="G37" s="27" t="e">
        <f t="shared" si="15"/>
        <v>#DIV/0!</v>
      </c>
      <c r="H37" s="26">
        <f t="shared" si="16"/>
        <v>0</v>
      </c>
      <c r="I37" s="26" t="e">
        <f t="shared" si="17"/>
        <v>#DIV/0!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0</v>
      </c>
      <c r="D38" s="30">
        <f>'E1-ÖA18103001 '!D38+'E4-BO18100204 '!D38+'E8-BO18100608'!D38+'E11-ÖA18100910 '!D38+'E12-BO18101010'!D38+'E15-BO18101315'!D38+'E16-BO18101215'!D38+'E16-BO18101215 '!D38+'E18-ÖA18101617'!D38+'MOL22-18102022'!D38+'ÖA23-18102022'!D38+'ÖV25-18102425'!D38+'BO26-18101325-D'!D38+'ÖA29-18102829'!D38+'ÖA29-18102829-1'!D38+'ÖA30-18102829-S'!D38</f>
        <v>0</v>
      </c>
      <c r="E38" s="29">
        <f t="shared" si="13"/>
        <v>0</v>
      </c>
      <c r="F38" s="28" t="e">
        <f t="shared" si="14"/>
        <v>#DIV/0!</v>
      </c>
      <c r="G38" s="27" t="e">
        <f t="shared" si="15"/>
        <v>#DIV/0!</v>
      </c>
      <c r="H38" s="26">
        <f t="shared" si="16"/>
        <v>0</v>
      </c>
      <c r="I38" s="26" t="e">
        <f t="shared" si="17"/>
        <v>#DIV/0!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0</v>
      </c>
      <c r="D39" s="30">
        <f>'E1-ÖA18103001 '!D39+'E4-BO18100204 '!D39+'E8-BO18100608'!D39+'E11-ÖA18100910 '!D39+'E12-BO18101010'!D39+'E15-BO18101315'!D39+'E16-BO18101215'!D39+'E16-BO18101215 '!D39+'E18-ÖA18101617'!D39+'MOL22-18102022'!D39+'ÖA23-18102022'!D39+'ÖV25-18102425'!D39+'BO26-18101325-D'!D39+'ÖA29-18102829'!D39+'ÖA29-18102829-1'!D39+'ÖA30-18102829-S'!D39</f>
        <v>0</v>
      </c>
      <c r="E39" s="29">
        <f t="shared" si="13"/>
        <v>0</v>
      </c>
      <c r="F39" s="28" t="e">
        <f t="shared" si="14"/>
        <v>#DIV/0!</v>
      </c>
      <c r="G39" s="27" t="e">
        <f t="shared" si="15"/>
        <v>#DIV/0!</v>
      </c>
      <c r="H39" s="26">
        <f t="shared" si="16"/>
        <v>0</v>
      </c>
      <c r="I39" s="26" t="e">
        <f t="shared" si="17"/>
        <v>#DIV/0!</v>
      </c>
      <c r="J39" s="25"/>
      <c r="K39" s="25"/>
    </row>
    <row r="40" spans="1:11" x14ac:dyDescent="0.25">
      <c r="A40" s="24" t="s">
        <v>34</v>
      </c>
      <c r="B40" s="23"/>
      <c r="C40" s="20">
        <f>H40/D40</f>
        <v>0</v>
      </c>
      <c r="D40" s="22">
        <f>SUM(D34:D39)</f>
        <v>21823.9</v>
      </c>
      <c r="E40" s="21">
        <f t="shared" si="13"/>
        <v>0.14217648591256918</v>
      </c>
      <c r="F40" s="20" t="e">
        <f>I40/D40</f>
        <v>#DIV/0!</v>
      </c>
      <c r="G40" s="19" t="e">
        <f>F40/C40-1</f>
        <v>#DIV/0!</v>
      </c>
      <c r="H40" s="18">
        <f>SUM(H34:H39)</f>
        <v>0</v>
      </c>
      <c r="I40" s="18" t="e">
        <f>SUM(I34:I39)</f>
        <v>#DIV/0!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</v>
      </c>
      <c r="D42" s="30">
        <f>'E1-ÖA18103001 '!D42+'E4-BO18100204 '!D42+'E8-BO18100608'!D42+'E11-ÖA18100910 '!D42+'E12-BO18101010'!D42+'E15-BO18101315'!D42+'E16-BO18101215'!D42+'E16-BO18101215 '!D42+'E18-ÖA18101617'!D42+'MOL22-18102022'!D42+'ÖA23-18102022'!D42+'ÖV25-18102425'!D42+'BO26-18101325-D'!D42+'ÖA29-18102829'!D42+'ÖA29-18102829-1'!D42+'ÖA30-18102829-S'!D42</f>
        <v>22861.8</v>
      </c>
      <c r="E42" s="29">
        <f>D42/$D$48</f>
        <v>0.14893810847905159</v>
      </c>
      <c r="F42" s="28" t="e">
        <f>C42-(C42*$E$6)</f>
        <v>#DIV/0!</v>
      </c>
      <c r="G42" s="27" t="e">
        <f>IF(C42&gt;=F42,"-","+")</f>
        <v>#DIV/0!</v>
      </c>
      <c r="H42" s="26">
        <f>C42*D42</f>
        <v>0</v>
      </c>
      <c r="I42" s="26" t="e">
        <f>F42*D42</f>
        <v>#DIV/0!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</v>
      </c>
      <c r="D43" s="30">
        <f>'E1-ÖA18103001 '!D43+'E4-BO18100204 '!D43+'E8-BO18100608'!D43+'E11-ÖA18100910 '!D43+'E12-BO18101010'!D43+'E15-BO18101315'!D43+'E16-BO18101215'!D43+'E16-BO18101215 '!D43+'E18-ÖA18101617'!D43+'MOL22-18102022'!D43+'ÖA23-18102022'!D43+'ÖV25-18102425'!D43+'BO26-18101325-D'!D43+'ÖA29-18102829'!D43+'ÖA29-18102829-1'!D43+'ÖA30-18102829-S'!D43</f>
        <v>1178.5999999999999</v>
      </c>
      <c r="E43" s="29">
        <f>D43/$D$48</f>
        <v>7.6782429490858195E-3</v>
      </c>
      <c r="F43" s="28" t="e">
        <f>C43-(C43*$E$6)</f>
        <v>#DIV/0!</v>
      </c>
      <c r="G43" s="27" t="e">
        <f>IF(C43&gt;=F43,"-","+")</f>
        <v>#DIV/0!</v>
      </c>
      <c r="H43" s="26">
        <f>C43*D43</f>
        <v>0</v>
      </c>
      <c r="I43" s="26" t="e">
        <f>F43*D43</f>
        <v>#DIV/0!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f>'E1-ÖA18103001 '!D44+'E4-BO18100204 '!D44+'E8-BO18100608'!D44+'E11-ÖA18100910 '!D44+'E12-BO18101010'!D44+'E15-BO18101315'!D44+'E16-BO18101215'!D44+'E16-BO18101215 '!D44+'E18-ÖA18101617'!D44+'MOL22-18102022'!D44+'ÖA23-18102022'!D44+'ÖV25-18102425'!D44+'BO26-18101325-D'!D44+'ÖA29-18102829'!D44+'ÖA29-18102829-1'!D44+'ÖA30-18102829-S'!D44</f>
        <v>295.8</v>
      </c>
      <c r="E44" s="29">
        <f>D44/$D$48</f>
        <v>1.9270526593751789E-3</v>
      </c>
      <c r="F44" s="28" t="e">
        <f>C44-(C44*$E$6)</f>
        <v>#DIV/0!</v>
      </c>
      <c r="G44" s="27" t="e">
        <f>IF(C44&gt;=F44,"-","+")</f>
        <v>#DIV/0!</v>
      </c>
      <c r="H44" s="26">
        <f>C44*D44</f>
        <v>0</v>
      </c>
      <c r="I44" s="26" t="e">
        <f>F44*D44</f>
        <v>#DIV/0!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f>'E1-ÖA18103001 '!D45+'E4-BO18100204 '!D45+'E8-BO18100608'!D45+'E11-ÖA18100910 '!D45+'E12-BO18101010'!D45+'E15-BO18101315'!D45+'E16-BO18101215'!D45+'E16-BO18101215 '!D45+'E18-ÖA18101617'!D45+'MOL22-18102022'!D45+'ÖA23-18102022'!D45+'ÖV25-18102425'!D45+'BO26-18101325-D'!D45+'ÖA29-18102829'!D45+'ÖA29-18102829-1'!D45+'ÖA30-18102829-S'!D45</f>
        <v>271.55950000000001</v>
      </c>
      <c r="E45" s="29">
        <f>D45/$D$48</f>
        <v>1.7691327135009934E-3</v>
      </c>
      <c r="F45" s="28" t="e">
        <f>C45-(C45*$E$6)</f>
        <v>#DIV/0!</v>
      </c>
      <c r="G45" s="27" t="e">
        <f>IF(C45&gt;=F45,"-","+")</f>
        <v>#DIV/0!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</v>
      </c>
      <c r="D46" s="22">
        <f>SUM(D41:D45)</f>
        <v>24607.759499999996</v>
      </c>
      <c r="E46" s="21">
        <f>D46/$D$48</f>
        <v>0.16031253680101357</v>
      </c>
      <c r="F46" s="20" t="e">
        <f>I46/D46</f>
        <v>#DIV/0!</v>
      </c>
      <c r="G46" s="19" t="e">
        <f>F46/C46-1</f>
        <v>#DIV/0!</v>
      </c>
      <c r="H46" s="18">
        <f>SUM(H41:H44)</f>
        <v>0</v>
      </c>
      <c r="I46" s="18" t="e">
        <f>SUM(I41:I44)</f>
        <v>#DIV/0!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0</v>
      </c>
      <c r="D48" s="13">
        <f>D24+D32+D40+D46</f>
        <v>153498.65949999998</v>
      </c>
      <c r="E48" s="12">
        <f>SUM(E20:E46)/2</f>
        <v>1</v>
      </c>
      <c r="F48" s="11" t="e">
        <f>I48/D48</f>
        <v>#DIV/0!</v>
      </c>
      <c r="G48" s="10"/>
      <c r="H48" s="9">
        <f>SUM(H20:H46)/2</f>
        <v>0</v>
      </c>
      <c r="I48" s="9" t="e">
        <f>SUM(I20:I46)/2</f>
        <v>#DIV/0!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156984.75949999999</v>
      </c>
      <c r="E50" s="12" t="e">
        <f>D50/G2</f>
        <v>#DIV/0!</v>
      </c>
      <c r="F50" s="11" t="e">
        <f>I50/D50</f>
        <v>#DIV/0!</v>
      </c>
      <c r="G50" s="10"/>
      <c r="H50" s="9">
        <f>H48+H19</f>
        <v>0</v>
      </c>
      <c r="I50" s="9" t="e">
        <f>I48+I19</f>
        <v>#DIV/0!</v>
      </c>
      <c r="J50" s="106">
        <f>D50-G2</f>
        <v>156984.75949999999</v>
      </c>
      <c r="K50" s="8"/>
    </row>
    <row r="51" spans="1:11" ht="23.25" x14ac:dyDescent="0.35">
      <c r="A51" s="168"/>
      <c r="B51" s="169"/>
      <c r="C51" s="170"/>
      <c r="G51" s="7"/>
      <c r="H51" s="6"/>
      <c r="I51" s="6" t="e">
        <f>+I50/D50</f>
        <v>#DIV/0!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e">
        <f>IF(I50&lt;H50,"MALİYET İYİ","MALİYET YÜKSEK")</f>
        <v>#DIV/0!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109</v>
      </c>
      <c r="D1" s="100" t="s">
        <v>1</v>
      </c>
      <c r="E1" s="168" t="s">
        <v>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115</v>
      </c>
      <c r="D2" s="96" t="s">
        <v>3</v>
      </c>
      <c r="E2" s="95" t="s">
        <v>71</v>
      </c>
      <c r="F2" s="94" t="s">
        <v>5</v>
      </c>
      <c r="G2" s="93">
        <v>3644.2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56</v>
      </c>
      <c r="F3" s="88" t="s">
        <v>8</v>
      </c>
      <c r="G3" s="87">
        <v>27.15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65.075000000000003</v>
      </c>
      <c r="F4" s="81" t="s">
        <v>12</v>
      </c>
      <c r="G4" s="80">
        <f>G2*G3</f>
        <v>98940.029999999984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1.9723913755546274E-2</v>
      </c>
      <c r="F6" s="69" t="s">
        <v>16</v>
      </c>
      <c r="G6" s="68">
        <f>(I50-I19)/(D50-(SUM(D42:D44)+D19))</f>
        <v>32.110875632870304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 t="e">
        <f t="shared" ref="E10:E19" si="1">D10/$D$19</f>
        <v>#DIV/0!</v>
      </c>
      <c r="F10" s="28">
        <f t="shared" ref="F10:F18" si="2">C10-(C10*$E$6)</f>
        <v>26.663509545849141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28.3</v>
      </c>
      <c r="D11" s="30"/>
      <c r="E11" s="29" t="e">
        <f t="shared" si="1"/>
        <v>#DIV/0!</v>
      </c>
      <c r="F11" s="28">
        <f t="shared" si="2"/>
        <v>27.741813240718042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25.8</v>
      </c>
      <c r="D12" s="30"/>
      <c r="E12" s="29" t="e">
        <f t="shared" si="1"/>
        <v>#DIV/0!</v>
      </c>
      <c r="F12" s="28">
        <f t="shared" si="2"/>
        <v>25.291123025106906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 t="e">
        <f t="shared" si="1"/>
        <v>#DIV/0!</v>
      </c>
      <c r="F13" s="28">
        <f t="shared" si="2"/>
        <v>27.741813240718042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31.6</v>
      </c>
      <c r="D14" s="30"/>
      <c r="E14" s="29" t="e">
        <f t="shared" si="1"/>
        <v>#DIV/0!</v>
      </c>
      <c r="F14" s="28">
        <f t="shared" si="2"/>
        <v>30.976724325324739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26.1</v>
      </c>
      <c r="D15" s="30"/>
      <c r="E15" s="29" t="e">
        <f t="shared" si="1"/>
        <v>#DIV/0!</v>
      </c>
      <c r="F15" s="28">
        <f t="shared" si="2"/>
        <v>25.585205850980245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35.700000000000003</v>
      </c>
      <c r="D16" s="30"/>
      <c r="E16" s="29" t="e">
        <f t="shared" si="1"/>
        <v>#DIV/0!</v>
      </c>
      <c r="F16" s="28">
        <f t="shared" si="2"/>
        <v>34.995856278927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52.5</v>
      </c>
      <c r="D17" s="30"/>
      <c r="E17" s="29" t="e">
        <f t="shared" si="1"/>
        <v>#DIV/0!</v>
      </c>
      <c r="F17" s="28">
        <f t="shared" si="2"/>
        <v>51.464494527833821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</v>
      </c>
      <c r="D18" s="30"/>
      <c r="E18" s="29" t="e">
        <f t="shared" si="1"/>
        <v>#DIV/0!</v>
      </c>
      <c r="F18" s="28">
        <f t="shared" si="2"/>
        <v>45.092699967244869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68.3</v>
      </c>
      <c r="D21" s="30">
        <v>43.6</v>
      </c>
      <c r="E21" s="29">
        <f>D21/$D$48</f>
        <v>1.1965202118609184E-2</v>
      </c>
      <c r="F21" s="28">
        <f>C21-(C21*$E$6)</f>
        <v>66.952856690496191</v>
      </c>
      <c r="G21" s="27" t="str">
        <f>IF(C21&gt;=F21,"-","+")</f>
        <v>-</v>
      </c>
      <c r="H21" s="26">
        <f>C21*D21</f>
        <v>2977.88</v>
      </c>
      <c r="I21" s="26">
        <f>F21*D21</f>
        <v>2919.1445517056341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105.2</v>
      </c>
      <c r="E22" s="29">
        <f>D22/$D$48</f>
        <v>2.8870166579763445E-2</v>
      </c>
      <c r="F22" s="28">
        <f>C22-(C22*$E$6)</f>
        <v>44.994672358620427</v>
      </c>
      <c r="G22" s="27" t="str">
        <f>IF(C22&gt;=F22,"-","+")</f>
        <v>-</v>
      </c>
      <c r="H22" s="26">
        <f>C22*D22</f>
        <v>4828.68</v>
      </c>
      <c r="I22" s="26">
        <f>F22*D22</f>
        <v>4733.4395321268694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41.8</v>
      </c>
      <c r="D23" s="30">
        <v>91.6</v>
      </c>
      <c r="E23" s="29">
        <f>D23/$D$48</f>
        <v>2.5137901698729384E-2</v>
      </c>
      <c r="F23" s="28">
        <f>C23-(C23*$E$6)</f>
        <v>40.975540405018165</v>
      </c>
      <c r="G23" s="27" t="str">
        <f>IF(C23&gt;=F23,"-","+")</f>
        <v>-</v>
      </c>
      <c r="H23" s="26">
        <f>C23*D23</f>
        <v>3828.8799999999997</v>
      </c>
      <c r="I23" s="26">
        <f>F23*D23</f>
        <v>3753.3595010996637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48.400332778702165</v>
      </c>
      <c r="D24" s="22">
        <f>SUM(D21:D23)</f>
        <v>240.4</v>
      </c>
      <c r="E24" s="21">
        <f>D24/$D$48</f>
        <v>6.5973270397102018E-2</v>
      </c>
      <c r="F24" s="20">
        <f>I24/D24</f>
        <v>47.445688789235305</v>
      </c>
      <c r="G24" s="19">
        <f>F24/C24-1</f>
        <v>-1.9723913755546274E-2</v>
      </c>
      <c r="H24" s="18">
        <f>SUM(H21:H23)</f>
        <v>11635.44</v>
      </c>
      <c r="I24" s="18">
        <f>SUM(I21:I23)</f>
        <v>11405.943584932167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36.4</v>
      </c>
      <c r="D26" s="30">
        <v>825.6</v>
      </c>
      <c r="E26" s="29">
        <f t="shared" ref="E26:E32" si="7">D26/$D$48</f>
        <v>0.22657043277806749</v>
      </c>
      <c r="F26" s="28">
        <f t="shared" ref="F26:F31" si="8">C26-(C26*$E$6)</f>
        <v>35.682049539298113</v>
      </c>
      <c r="G26" s="27" t="str">
        <f t="shared" ref="G26:G31" si="9">IF(C26&gt;=F26,"-","+")</f>
        <v>-</v>
      </c>
      <c r="H26" s="26">
        <f t="shared" ref="H26:H31" si="10">C26*D26</f>
        <v>30051.84</v>
      </c>
      <c r="I26" s="26">
        <f t="shared" ref="I26:I31" si="11">F26*D26</f>
        <v>29459.100099644522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32.4</v>
      </c>
      <c r="D27" s="30">
        <v>589.79999999999995</v>
      </c>
      <c r="E27" s="29">
        <f t="shared" si="7"/>
        <v>0.16185954609072697</v>
      </c>
      <c r="F27" s="28">
        <f t="shared" si="8"/>
        <v>31.7609451943203</v>
      </c>
      <c r="G27" s="27" t="str">
        <f t="shared" si="9"/>
        <v>-</v>
      </c>
      <c r="H27" s="26">
        <f t="shared" si="10"/>
        <v>19109.519999999997</v>
      </c>
      <c r="I27" s="26">
        <f t="shared" si="11"/>
        <v>18732.605475610111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32.4</v>
      </c>
      <c r="D28" s="30">
        <v>306.8</v>
      </c>
      <c r="E28" s="29">
        <f t="shared" si="7"/>
        <v>8.4195504816268293E-2</v>
      </c>
      <c r="F28" s="28">
        <f t="shared" si="8"/>
        <v>31.7609451943203</v>
      </c>
      <c r="G28" s="27" t="str">
        <f t="shared" si="9"/>
        <v>-</v>
      </c>
      <c r="H28" s="26">
        <f t="shared" si="10"/>
        <v>9940.32</v>
      </c>
      <c r="I28" s="26">
        <f t="shared" si="11"/>
        <v>9744.2579856174689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398.8</v>
      </c>
      <c r="E29" s="29">
        <f t="shared" si="7"/>
        <v>0.10944317901149868</v>
      </c>
      <c r="F29" s="28">
        <f t="shared" si="8"/>
        <v>30.780669108075845</v>
      </c>
      <c r="G29" s="27" t="str">
        <f t="shared" si="9"/>
        <v>-</v>
      </c>
      <c r="H29" s="26">
        <f t="shared" si="10"/>
        <v>12522.32</v>
      </c>
      <c r="I29" s="26">
        <f t="shared" si="11"/>
        <v>12275.330840300647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250.6</v>
      </c>
      <c r="E30" s="29">
        <f t="shared" si="7"/>
        <v>6.8772469057877553E-2</v>
      </c>
      <c r="F30" s="28">
        <f t="shared" si="8"/>
        <v>30.780669108075845</v>
      </c>
      <c r="G30" s="27" t="str">
        <f t="shared" si="9"/>
        <v>-</v>
      </c>
      <c r="H30" s="26">
        <f t="shared" si="10"/>
        <v>7868.8399999999992</v>
      </c>
      <c r="I30" s="26">
        <f t="shared" si="11"/>
        <v>7713.6356784838063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31.9</v>
      </c>
      <c r="D31" s="30">
        <v>54.2</v>
      </c>
      <c r="E31" s="29">
        <f t="shared" si="7"/>
        <v>1.4874173275885728E-2</v>
      </c>
      <c r="F31" s="28">
        <f t="shared" si="8"/>
        <v>31.270807151198074</v>
      </c>
      <c r="G31" s="27" t="str">
        <f t="shared" si="9"/>
        <v>-</v>
      </c>
      <c r="H31" s="26">
        <f t="shared" si="10"/>
        <v>1728.98</v>
      </c>
      <c r="I31" s="26">
        <f t="shared" si="11"/>
        <v>1694.8777475949357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33.482488251298541</v>
      </c>
      <c r="D32" s="22">
        <f>SUM(D26:D31)</f>
        <v>2425.7999999999997</v>
      </c>
      <c r="E32" s="21">
        <f t="shared" si="7"/>
        <v>0.66571530503032461</v>
      </c>
      <c r="F32" s="20">
        <f>I32/D32</f>
        <v>32.822082540708841</v>
      </c>
      <c r="G32" s="19">
        <f>F32/C32-1</f>
        <v>-1.9723913755546163E-2</v>
      </c>
      <c r="H32" s="18">
        <f>SUM(H26:H31)</f>
        <v>81221.819999999992</v>
      </c>
      <c r="I32" s="18">
        <f>SUM(I26:I31)</f>
        <v>79619.807827251498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392</v>
      </c>
      <c r="E34" s="29">
        <f t="shared" ref="E34:E40" si="13">D34/$D$48</f>
        <v>0.10757704657098165</v>
      </c>
      <c r="F34" s="28">
        <f t="shared" ref="F34:F39" si="14">C34-(C34*$E$6)</f>
        <v>18.821300855893512</v>
      </c>
      <c r="G34" s="27" t="str">
        <f t="shared" ref="G34:G39" si="15">IF(C34&gt;=F34,"-","+")</f>
        <v>-</v>
      </c>
      <c r="H34" s="26">
        <f t="shared" ref="H34:H39" si="16">C34*D34</f>
        <v>7526.4</v>
      </c>
      <c r="I34" s="26">
        <f t="shared" ref="I34:I39" si="17">F34*D34</f>
        <v>7377.9499355102562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>
        <v>22</v>
      </c>
      <c r="E35" s="29">
        <f t="shared" si="13"/>
        <v>6.0374873075550927E-3</v>
      </c>
      <c r="F35" s="28">
        <f t="shared" si="14"/>
        <v>14.508086076417916</v>
      </c>
      <c r="G35" s="27" t="str">
        <f t="shared" si="15"/>
        <v>-</v>
      </c>
      <c r="H35" s="26">
        <f t="shared" si="16"/>
        <v>325.60000000000002</v>
      </c>
      <c r="I35" s="26">
        <f t="shared" si="17"/>
        <v>319.17789368119418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11.665285426309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30.780669108075845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30.780669108075845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32.4</v>
      </c>
      <c r="D39" s="30"/>
      <c r="E39" s="29">
        <f t="shared" si="13"/>
        <v>0</v>
      </c>
      <c r="F39" s="28">
        <f t="shared" si="14"/>
        <v>31.7609451943203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18.966183574879228</v>
      </c>
      <c r="D40" s="22">
        <f>SUM(D34:D39)</f>
        <v>414</v>
      </c>
      <c r="E40" s="21">
        <f t="shared" si="13"/>
        <v>0.11361453387853675</v>
      </c>
      <c r="F40" s="20">
        <f>I40/D40</f>
        <v>18.59209620577645</v>
      </c>
      <c r="G40" s="19">
        <f>F40/C40-1</f>
        <v>-1.9723913755546385E-2</v>
      </c>
      <c r="H40" s="18">
        <f>SUM(H34:H39)</f>
        <v>7852</v>
      </c>
      <c r="I40" s="18">
        <f>SUM(I34:I39)</f>
        <v>7697.1278291914505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534</v>
      </c>
      <c r="E42" s="29">
        <f>D42/$D$48</f>
        <v>0.14654628282883725</v>
      </c>
      <c r="F42" s="28">
        <f>C42-(C42*$E$6)</f>
        <v>0.39211043449778149</v>
      </c>
      <c r="G42" s="27" t="str">
        <f>IF(C42&gt;=F42,"-","+")</f>
        <v>-</v>
      </c>
      <c r="H42" s="26">
        <f>C42*D42</f>
        <v>213.60000000000002</v>
      </c>
      <c r="I42" s="26">
        <f>F42*D42</f>
        <v>209.38697202181532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19.8</v>
      </c>
      <c r="E43" s="29">
        <f>D43/$D$48</f>
        <v>5.4337385767995834E-3</v>
      </c>
      <c r="F43" s="28">
        <f>C43-(C43*$E$6)</f>
        <v>0.39211043449778149</v>
      </c>
      <c r="G43" s="27" t="str">
        <f>IF(C43&gt;=F43,"-","+")</f>
        <v>-</v>
      </c>
      <c r="H43" s="26">
        <f>C43*D43</f>
        <v>7.9200000000000008</v>
      </c>
      <c r="I43" s="26">
        <f>F43*D43</f>
        <v>7.763786603056074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8.9</v>
      </c>
      <c r="E44" s="29">
        <f>D44/$D$48</f>
        <v>2.4424380471472877E-3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</v>
      </c>
      <c r="E45" s="29">
        <f>D45/$D$48</f>
        <v>2.744312412525042E-4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0.3929749866950506</v>
      </c>
      <c r="D46" s="22">
        <f>SUM(D41:D45)</f>
        <v>563.69999999999993</v>
      </c>
      <c r="E46" s="21">
        <f>D46/$D$48</f>
        <v>0.15469689069403661</v>
      </c>
      <c r="F46" s="20">
        <f>I46/D46</f>
        <v>0.3852239819493905</v>
      </c>
      <c r="G46" s="19">
        <f>F46/C46-1</f>
        <v>-1.9723913755546163E-2</v>
      </c>
      <c r="H46" s="18">
        <f>SUM(H41:H44)</f>
        <v>221.52</v>
      </c>
      <c r="I46" s="18">
        <f>SUM(I41:I44)</f>
        <v>217.1507586248714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101.24197959157499</v>
      </c>
      <c r="D48" s="13">
        <f>D24+D32+D40+D46</f>
        <v>3643.8999999999996</v>
      </c>
      <c r="E48" s="12">
        <f>SUM(E20:E46)/2</f>
        <v>1</v>
      </c>
      <c r="F48" s="11">
        <f>I48/D48</f>
        <v>27.152235242459994</v>
      </c>
      <c r="G48" s="10"/>
      <c r="H48" s="9">
        <f>SUM(H20:H46)/2</f>
        <v>100930.78</v>
      </c>
      <c r="I48" s="9">
        <f>SUM(I20:I46)/2</f>
        <v>98940.02999999997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3643.8999999999996</v>
      </c>
      <c r="E50" s="12">
        <f>D50/G2</f>
        <v>0.99991767740519177</v>
      </c>
      <c r="F50" s="11">
        <f>I50/D50</f>
        <v>27.152235242459994</v>
      </c>
      <c r="G50" s="10"/>
      <c r="H50" s="9">
        <f>H48+H19</f>
        <v>100930.78</v>
      </c>
      <c r="I50" s="9">
        <f>I48+I19</f>
        <v>98940.02999999997</v>
      </c>
      <c r="J50" s="106">
        <f>D50-G2</f>
        <v>-0.3000000000001819</v>
      </c>
      <c r="K50" s="8"/>
    </row>
    <row r="51" spans="1:11" ht="23.25" x14ac:dyDescent="0.35">
      <c r="A51" s="168" t="s">
        <v>116</v>
      </c>
      <c r="B51" s="169"/>
      <c r="C51" s="170"/>
      <c r="G51" s="7"/>
      <c r="H51" s="6"/>
      <c r="I51" s="6">
        <f>+I50/D50</f>
        <v>27.152235242459994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115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115</v>
      </c>
      <c r="D2" s="96" t="s">
        <v>3</v>
      </c>
      <c r="E2" s="95" t="s">
        <v>71</v>
      </c>
      <c r="F2" s="94" t="s">
        <v>5</v>
      </c>
      <c r="G2" s="93">
        <v>9485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135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70.259259259259252</v>
      </c>
      <c r="F4" s="81" t="s">
        <v>12</v>
      </c>
      <c r="G4" s="80">
        <f>G2*G3</f>
        <v>255146.5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-1.1708219902030859E-2</v>
      </c>
      <c r="F6" s="69" t="s">
        <v>16</v>
      </c>
      <c r="G6" s="68">
        <f>(I50-I19)/(D50-(SUM(D42:D44)+D19))</f>
        <v>32.062441880921867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 t="e">
        <f t="shared" ref="E10:E19" si="1">D10/$D$19</f>
        <v>#DIV/0!</v>
      </c>
      <c r="F10" s="28">
        <f t="shared" ref="F10:F18" si="2">C10-(C10*$E$6)</f>
        <v>27.214951115364627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/>
      <c r="E11" s="29" t="e">
        <f t="shared" si="1"/>
        <v>#DIV/0!</v>
      </c>
      <c r="F11" s="28">
        <f t="shared" si="2"/>
        <v>28.327830157256862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/>
      <c r="E12" s="29" t="e">
        <f t="shared" si="1"/>
        <v>#DIV/0!</v>
      </c>
      <c r="F12" s="28">
        <f t="shared" si="2"/>
        <v>25.899730429491992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 t="e">
        <f t="shared" si="1"/>
        <v>#DIV/0!</v>
      </c>
      <c r="F13" s="28">
        <f t="shared" si="2"/>
        <v>28.327830157256862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 t="e">
        <f t="shared" si="1"/>
        <v>#DIV/0!</v>
      </c>
      <c r="F14" s="28">
        <f t="shared" si="2"/>
        <v>31.666467282933567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 t="e">
        <f t="shared" si="1"/>
        <v>#DIV/0!</v>
      </c>
      <c r="F15" s="28">
        <f t="shared" si="2"/>
        <v>26.102072073472396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/>
      <c r="E16" s="29" t="e">
        <f t="shared" si="1"/>
        <v>#DIV/0!</v>
      </c>
      <c r="F16" s="28">
        <f t="shared" si="2"/>
        <v>35.814470984531894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 t="e">
        <f t="shared" si="1"/>
        <v>#DIV/0!</v>
      </c>
      <c r="F17" s="28">
        <f t="shared" si="2"/>
        <v>52.608827434905606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 t="e">
        <f t="shared" si="1"/>
        <v>#DIV/0!</v>
      </c>
      <c r="F18" s="28">
        <f t="shared" si="2"/>
        <v>46.133894827532608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117.6</v>
      </c>
      <c r="E21" s="29">
        <f>D21/$D$48</f>
        <v>1.2398785425101215E-2</v>
      </c>
      <c r="F21" s="28">
        <f>C21-(C21*$E$6)</f>
        <v>68.492646487367495</v>
      </c>
      <c r="G21" s="27" t="str">
        <f>IF(C21&gt;=F21,"-","+")</f>
        <v>+</v>
      </c>
      <c r="H21" s="26">
        <f>C21*D21</f>
        <v>7961.5199999999995</v>
      </c>
      <c r="I21" s="26">
        <f>F21*D21</f>
        <v>8054.7352269144167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323.2</v>
      </c>
      <c r="E22" s="29">
        <f>D22/$D$48</f>
        <v>3.4075573549257762E-2</v>
      </c>
      <c r="F22" s="28">
        <f>C22-(C22*$E$6)</f>
        <v>45.931553183552197</v>
      </c>
      <c r="G22" s="27" t="str">
        <f>IF(C22&gt;=F22,"-","+")</f>
        <v>+</v>
      </c>
      <c r="H22" s="26">
        <f>C22*D22</f>
        <v>14673.279999999999</v>
      </c>
      <c r="I22" s="26">
        <f>F22*D22</f>
        <v>14845.077988924069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233.2</v>
      </c>
      <c r="E23" s="29">
        <f>D23/$D$48</f>
        <v>2.4586707152496626E-2</v>
      </c>
      <c r="F23" s="28">
        <f>C23-(C23*$E$6)</f>
        <v>41.884720303944079</v>
      </c>
      <c r="G23" s="27" t="str">
        <f>IF(C23&gt;=F23,"-","+")</f>
        <v>+</v>
      </c>
      <c r="H23" s="26">
        <f>C23*D23</f>
        <v>9654.48</v>
      </c>
      <c r="I23" s="26">
        <f>F23*D23</f>
        <v>9767.5167748797594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47.906943620178041</v>
      </c>
      <c r="D24" s="22">
        <f>SUM(D21:D23)</f>
        <v>674</v>
      </c>
      <c r="E24" s="21">
        <f>D24/$D$48</f>
        <v>7.1061066126855602E-2</v>
      </c>
      <c r="F24" s="20">
        <f>I24/D24</f>
        <v>48.467848650917276</v>
      </c>
      <c r="G24" s="19">
        <f>F24/C24-1</f>
        <v>1.1708219902030859E-2</v>
      </c>
      <c r="H24" s="18">
        <f>SUM(H21:H23)</f>
        <v>32289.279999999999</v>
      </c>
      <c r="I24" s="18">
        <f>SUM(I21:I23)</f>
        <v>32667.329990718245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v>1657.6</v>
      </c>
      <c r="E26" s="29">
        <f t="shared" ref="E26:E32" si="7">D26/$D$48</f>
        <v>0.17476383265856951</v>
      </c>
      <c r="F26" s="28">
        <f t="shared" ref="F26:F31" si="8">C26-(C26*$E$6)</f>
        <v>36.522666738463315</v>
      </c>
      <c r="G26" s="27" t="str">
        <f t="shared" ref="G26:G31" si="9">IF(C26&gt;=F26,"-","+")</f>
        <v>+</v>
      </c>
      <c r="H26" s="26">
        <f t="shared" ref="H26:H31" si="10">C26*D26</f>
        <v>59839.360000000001</v>
      </c>
      <c r="I26" s="26">
        <f t="shared" ref="I26:I31" si="11">F26*D26</f>
        <v>60539.972385676789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1554.8</v>
      </c>
      <c r="E27" s="29">
        <f t="shared" si="7"/>
        <v>0.16392543859649122</v>
      </c>
      <c r="F27" s="28">
        <f t="shared" si="8"/>
        <v>32.475833858855189</v>
      </c>
      <c r="G27" s="27" t="str">
        <f t="shared" si="9"/>
        <v>+</v>
      </c>
      <c r="H27" s="26">
        <f t="shared" si="10"/>
        <v>49909.08</v>
      </c>
      <c r="I27" s="26">
        <f t="shared" si="11"/>
        <v>50493.426483748044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998.8</v>
      </c>
      <c r="E28" s="29">
        <f t="shared" si="7"/>
        <v>0.10530533063427801</v>
      </c>
      <c r="F28" s="28">
        <f t="shared" si="8"/>
        <v>32.475833858855189</v>
      </c>
      <c r="G28" s="27" t="str">
        <f t="shared" si="9"/>
        <v>+</v>
      </c>
      <c r="H28" s="26">
        <f t="shared" si="10"/>
        <v>32061.48</v>
      </c>
      <c r="I28" s="26">
        <f t="shared" si="11"/>
        <v>32436.862858224562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840.8</v>
      </c>
      <c r="E29" s="29">
        <f t="shared" si="7"/>
        <v>8.8647098515519565E-2</v>
      </c>
      <c r="F29" s="28">
        <f t="shared" si="8"/>
        <v>31.46412563895316</v>
      </c>
      <c r="G29" s="27" t="str">
        <f t="shared" si="9"/>
        <v>+</v>
      </c>
      <c r="H29" s="26">
        <f t="shared" si="10"/>
        <v>26148.880000000001</v>
      </c>
      <c r="I29" s="26">
        <f t="shared" si="11"/>
        <v>26455.036837231815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490</v>
      </c>
      <c r="E30" s="29">
        <f t="shared" si="7"/>
        <v>5.1661605937921733E-2</v>
      </c>
      <c r="F30" s="28">
        <f t="shared" si="8"/>
        <v>31.46412563895316</v>
      </c>
      <c r="G30" s="27" t="str">
        <f t="shared" si="9"/>
        <v>+</v>
      </c>
      <c r="H30" s="26">
        <f t="shared" si="10"/>
        <v>15239</v>
      </c>
      <c r="I30" s="26">
        <f t="shared" si="11"/>
        <v>15417.421563087048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251.8</v>
      </c>
      <c r="E31" s="29">
        <f t="shared" si="7"/>
        <v>2.6547739541160596E-2</v>
      </c>
      <c r="F31" s="28">
        <f t="shared" si="8"/>
        <v>31.969979748904176</v>
      </c>
      <c r="G31" s="27" t="str">
        <f t="shared" si="9"/>
        <v>+</v>
      </c>
      <c r="H31" s="26">
        <f t="shared" si="10"/>
        <v>7956.880000000001</v>
      </c>
      <c r="I31" s="26">
        <f t="shared" si="11"/>
        <v>8050.0409007740718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32.992971797438642</v>
      </c>
      <c r="D32" s="22">
        <f>SUM(D26:D31)</f>
        <v>5793.8</v>
      </c>
      <c r="E32" s="21">
        <f t="shared" si="7"/>
        <v>0.61085104588394068</v>
      </c>
      <c r="F32" s="20">
        <f>I32/D32</f>
        <v>33.379260766464554</v>
      </c>
      <c r="G32" s="19">
        <f>F32/C32-1</f>
        <v>1.1708219902030859E-2</v>
      </c>
      <c r="H32" s="18">
        <f>SUM(H26:H31)</f>
        <v>191154.68000000002</v>
      </c>
      <c r="I32" s="18">
        <f>SUM(I26:I31)</f>
        <v>193392.76102874233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1481</v>
      </c>
      <c r="E34" s="29">
        <f t="shared" ref="E34:E40" si="13">D34/$D$48</f>
        <v>0.15614456815114711</v>
      </c>
      <c r="F34" s="28">
        <f t="shared" ref="F34:F39" si="14">C34-(C34*$E$6)</f>
        <v>19.222456178138586</v>
      </c>
      <c r="G34" s="27" t="str">
        <f t="shared" ref="G34:G39" si="15">IF(C34&gt;=F34,"-","+")</f>
        <v>+</v>
      </c>
      <c r="H34" s="26">
        <f t="shared" ref="H34:H39" si="16">C34*D34</f>
        <v>28139</v>
      </c>
      <c r="I34" s="26">
        <f t="shared" ref="I34:I39" si="17">F34*D34</f>
        <v>28468.457599823247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14.77094001056965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11.836986172853761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31.46412563895316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31.46412563895316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32.475833858855189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</v>
      </c>
      <c r="D40" s="22">
        <f>SUM(D34:D39)</f>
        <v>1481</v>
      </c>
      <c r="E40" s="21">
        <f t="shared" si="13"/>
        <v>0.15614456815114711</v>
      </c>
      <c r="F40" s="20">
        <f>I40/D40</f>
        <v>19.222456178138586</v>
      </c>
      <c r="G40" s="19">
        <f>F40/C40-1</f>
        <v>1.1708219902030859E-2</v>
      </c>
      <c r="H40" s="18">
        <f>SUM(H34:H39)</f>
        <v>28139</v>
      </c>
      <c r="I40" s="18">
        <f>SUM(I34:I39)</f>
        <v>28468.457599823247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1485</v>
      </c>
      <c r="E42" s="29">
        <f>D42/$D$48</f>
        <v>0.15656629554655871</v>
      </c>
      <c r="F42" s="28">
        <f>C42-(C42*$E$6)</f>
        <v>0.40468328796081238</v>
      </c>
      <c r="G42" s="27" t="str">
        <f>IF(C42&gt;=F42,"-","+")</f>
        <v>+</v>
      </c>
      <c r="H42" s="26">
        <f>C42*D42</f>
        <v>594</v>
      </c>
      <c r="I42" s="26">
        <f>F42*D42</f>
        <v>600.95468262180634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42</v>
      </c>
      <c r="E43" s="29">
        <f>D43/$D$48</f>
        <v>4.4281376518218625E-3</v>
      </c>
      <c r="F43" s="28">
        <f>C43-(C43*$E$6)</f>
        <v>0.40468328796081238</v>
      </c>
      <c r="G43" s="27" t="str">
        <f>IF(C43&gt;=F43,"-","+")</f>
        <v>+</v>
      </c>
      <c r="H43" s="26">
        <f>C43*D43</f>
        <v>16.8</v>
      </c>
      <c r="I43" s="26">
        <f>F43*D43</f>
        <v>16.996698094354119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29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9</v>
      </c>
      <c r="E45" s="29">
        <f>D45/$D$48</f>
        <v>9.4888663967611342E-4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0.39765624999999999</v>
      </c>
      <c r="D46" s="22">
        <f>SUM(D41:D45)</f>
        <v>1536</v>
      </c>
      <c r="E46" s="21">
        <f>D46/$D$48</f>
        <v>0.16194331983805668</v>
      </c>
      <c r="F46" s="20">
        <f>I46/D46</f>
        <v>0.40231209682041696</v>
      </c>
      <c r="G46" s="19">
        <f>F46/C46-1</f>
        <v>1.1708219902030859E-2</v>
      </c>
      <c r="H46" s="18">
        <f>SUM(H41:H44)</f>
        <v>610.79999999999995</v>
      </c>
      <c r="I46" s="18">
        <f>SUM(I41:I44)</f>
        <v>617.95138071616043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100.29757166761668</v>
      </c>
      <c r="D48" s="13">
        <f>D24+D32+D40+D46</f>
        <v>9484.7999999999993</v>
      </c>
      <c r="E48" s="12">
        <f>SUM(E20:E46)/2</f>
        <v>1</v>
      </c>
      <c r="F48" s="11">
        <f>I48/D48</f>
        <v>26.90056722334683</v>
      </c>
      <c r="G48" s="10"/>
      <c r="H48" s="9">
        <f>SUM(H20:H46)/2</f>
        <v>252193.76</v>
      </c>
      <c r="I48" s="9">
        <f>SUM(I20:I46)/2</f>
        <v>255146.5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9484.7999999999993</v>
      </c>
      <c r="E50" s="12">
        <f>D50/G2</f>
        <v>0.99997891407485495</v>
      </c>
      <c r="F50" s="11">
        <f>I50/D50</f>
        <v>26.90056722334683</v>
      </c>
      <c r="G50" s="10"/>
      <c r="H50" s="9">
        <f>H48+H19</f>
        <v>252193.76</v>
      </c>
      <c r="I50" s="9">
        <f>I48+I19</f>
        <v>255146.5</v>
      </c>
      <c r="J50" s="106">
        <f>D50-G2</f>
        <v>-0.2000000000007276</v>
      </c>
      <c r="K50" s="8"/>
    </row>
    <row r="51" spans="1:11" ht="23.25" x14ac:dyDescent="0.35">
      <c r="A51" s="168" t="s">
        <v>117</v>
      </c>
      <c r="B51" s="169"/>
      <c r="C51" s="170"/>
      <c r="G51" s="7"/>
      <c r="H51" s="6"/>
      <c r="I51" s="6">
        <f>+I50/D50</f>
        <v>26.90056722334683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K56"/>
  <sheetViews>
    <sheetView topLeftCell="A16"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115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118</v>
      </c>
      <c r="D2" s="96" t="s">
        <v>3</v>
      </c>
      <c r="E2" s="95" t="s">
        <v>71</v>
      </c>
      <c r="F2" s="94" t="s">
        <v>5</v>
      </c>
      <c r="G2" s="93">
        <v>4778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69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69.246376811594203</v>
      </c>
      <c r="F4" s="81" t="s">
        <v>12</v>
      </c>
      <c r="G4" s="80">
        <f>G2*G3</f>
        <v>128528.2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-1.2396816273437361E-2</v>
      </c>
      <c r="F6" s="69" t="s">
        <v>16</v>
      </c>
      <c r="G6" s="68">
        <f>(I50-I19)/(D50-(SUM(D42:D44)+D19))</f>
        <v>32.676957976097661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>
        <f t="shared" ref="E10:E19" si="1">D10/$D$19</f>
        <v>0</v>
      </c>
      <c r="F10" s="28">
        <f t="shared" ref="F10:F18" si="2">C10-(C10*$E$6)</f>
        <v>27.233474357755462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/>
      <c r="E11" s="29">
        <f t="shared" si="1"/>
        <v>0</v>
      </c>
      <c r="F11" s="28">
        <f t="shared" si="2"/>
        <v>28.347110855656247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>
        <v>1498.6</v>
      </c>
      <c r="E12" s="29">
        <f t="shared" si="1"/>
        <v>1</v>
      </c>
      <c r="F12" s="28">
        <f t="shared" si="2"/>
        <v>25.917358496599999</v>
      </c>
      <c r="G12" s="27" t="str">
        <f t="shared" si="3"/>
        <v>+</v>
      </c>
      <c r="H12" s="34">
        <f t="shared" si="4"/>
        <v>38364.159999999996</v>
      </c>
      <c r="I12" s="34">
        <f t="shared" si="5"/>
        <v>38839.753443004753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>
        <f t="shared" si="1"/>
        <v>0</v>
      </c>
      <c r="F13" s="28">
        <f t="shared" si="2"/>
        <v>28.347110855656247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>
        <f t="shared" si="1"/>
        <v>0</v>
      </c>
      <c r="F14" s="28">
        <f t="shared" si="2"/>
        <v>31.688020349358592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>
        <f t="shared" si="1"/>
        <v>0</v>
      </c>
      <c r="F15" s="28">
        <f t="shared" si="2"/>
        <v>26.119837859854684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/>
      <c r="E16" s="29">
        <f t="shared" si="1"/>
        <v>0</v>
      </c>
      <c r="F16" s="28">
        <f t="shared" si="2"/>
        <v>35.838847296079678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>
        <f t="shared" si="1"/>
        <v>0</v>
      </c>
      <c r="F17" s="28">
        <f t="shared" si="2"/>
        <v>52.644634446218745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>
        <f t="shared" si="1"/>
        <v>0</v>
      </c>
      <c r="F18" s="28">
        <f t="shared" si="2"/>
        <v>46.165294822068745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25.599999999999998</v>
      </c>
      <c r="D19" s="49">
        <f>SUM(D10:D18)</f>
        <v>1498.6</v>
      </c>
      <c r="E19" s="48">
        <f t="shared" si="1"/>
        <v>1</v>
      </c>
      <c r="F19" s="47">
        <f>I19/D19</f>
        <v>25.917358496599995</v>
      </c>
      <c r="G19" s="46">
        <f>F19/C19-1</f>
        <v>1.2396816273437361E-2</v>
      </c>
      <c r="H19" s="9">
        <f>SUM(H10:H18)</f>
        <v>38364.159999999996</v>
      </c>
      <c r="I19" s="9">
        <f>SUM(I10:I18)</f>
        <v>38839.753443004753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65.2</v>
      </c>
      <c r="E21" s="29">
        <f>D21/$D$48</f>
        <v>1.9881079432840371E-2</v>
      </c>
      <c r="F21" s="28">
        <f>C21-(C21*$E$6)</f>
        <v>68.53926446171171</v>
      </c>
      <c r="G21" s="27" t="str">
        <f>IF(C21&gt;=F21,"-","+")</f>
        <v>+</v>
      </c>
      <c r="H21" s="26">
        <f>C21*D21</f>
        <v>4414.04</v>
      </c>
      <c r="I21" s="26">
        <f>F21*D21</f>
        <v>4468.7600429036038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43.2</v>
      </c>
      <c r="E22" s="29">
        <f>D22/$D$48</f>
        <v>1.3172739746912639E-2</v>
      </c>
      <c r="F22" s="28">
        <f>C22-(C22*$E$6)</f>
        <v>45.962815458814056</v>
      </c>
      <c r="G22" s="27" t="str">
        <f>IF(C22&gt;=F22,"-","+")</f>
        <v>+</v>
      </c>
      <c r="H22" s="26">
        <f>C22*D22</f>
        <v>1961.28</v>
      </c>
      <c r="I22" s="26">
        <f>F22*D22</f>
        <v>1985.5936278207673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137.4</v>
      </c>
      <c r="E23" s="29">
        <f>D23/$D$48</f>
        <v>4.1896630583930471E-2</v>
      </c>
      <c r="F23" s="28">
        <f>C23-(C23*$E$6)</f>
        <v>41.913228193720308</v>
      </c>
      <c r="G23" s="27" t="str">
        <f>IF(C23&gt;=F23,"-","+")</f>
        <v>+</v>
      </c>
      <c r="H23" s="26">
        <f>C23*D23</f>
        <v>5688.36</v>
      </c>
      <c r="I23" s="26">
        <f>F23*D23</f>
        <v>5758.8775538171703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49.079251423921889</v>
      </c>
      <c r="D24" s="22">
        <f>SUM(D21:D23)</f>
        <v>245.8</v>
      </c>
      <c r="E24" s="21">
        <f>D24/$D$48</f>
        <v>7.495044976368348E-2</v>
      </c>
      <c r="F24" s="20">
        <f>I24/D24</f>
        <v>49.687677886662087</v>
      </c>
      <c r="G24" s="19">
        <f>F24/C24-1</f>
        <v>1.2396816273437361E-2</v>
      </c>
      <c r="H24" s="18">
        <f>SUM(H21:H23)</f>
        <v>12063.68</v>
      </c>
      <c r="I24" s="18">
        <f>SUM(I21:I23)</f>
        <v>12213.231224541541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v>909</v>
      </c>
      <c r="E26" s="29">
        <f t="shared" ref="E26:E32" si="7">D26/$D$48</f>
        <v>0.27717639884128675</v>
      </c>
      <c r="F26" s="28">
        <f t="shared" ref="F26:F31" si="8">C26-(C26*$E$6)</f>
        <v>36.547525067471092</v>
      </c>
      <c r="G26" s="27" t="str">
        <f t="shared" ref="G26:G31" si="9">IF(C26&gt;=F26,"-","+")</f>
        <v>+</v>
      </c>
      <c r="H26" s="26">
        <f t="shared" ref="H26:H31" si="10">C26*D26</f>
        <v>32814.9</v>
      </c>
      <c r="I26" s="26">
        <f t="shared" ref="I26:I31" si="11">F26*D26</f>
        <v>33221.700286331223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249</v>
      </c>
      <c r="E27" s="29">
        <f t="shared" si="7"/>
        <v>7.5926208263454781E-2</v>
      </c>
      <c r="F27" s="28">
        <f t="shared" si="8"/>
        <v>32.497937802377344</v>
      </c>
      <c r="G27" s="27" t="str">
        <f t="shared" si="9"/>
        <v>+</v>
      </c>
      <c r="H27" s="26">
        <f t="shared" si="10"/>
        <v>7992.9000000000005</v>
      </c>
      <c r="I27" s="26">
        <f t="shared" si="11"/>
        <v>8091.9865127919584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190.4</v>
      </c>
      <c r="E28" s="29">
        <f t="shared" si="7"/>
        <v>5.8057630736392737E-2</v>
      </c>
      <c r="F28" s="28">
        <f t="shared" si="8"/>
        <v>32.497937802377344</v>
      </c>
      <c r="G28" s="27" t="str">
        <f t="shared" si="9"/>
        <v>+</v>
      </c>
      <c r="H28" s="26">
        <f t="shared" si="10"/>
        <v>6111.84</v>
      </c>
      <c r="I28" s="26">
        <f t="shared" si="11"/>
        <v>6187.6073575726468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176.7</v>
      </c>
      <c r="E29" s="29">
        <f t="shared" si="7"/>
        <v>5.3880164659246825E-2</v>
      </c>
      <c r="F29" s="28">
        <f t="shared" si="8"/>
        <v>31.485540986103903</v>
      </c>
      <c r="G29" s="27" t="str">
        <f t="shared" si="9"/>
        <v>+</v>
      </c>
      <c r="H29" s="26">
        <f t="shared" si="10"/>
        <v>5495.37</v>
      </c>
      <c r="I29" s="26">
        <f t="shared" si="11"/>
        <v>5563.4950922445596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366.4</v>
      </c>
      <c r="E30" s="29">
        <f t="shared" si="7"/>
        <v>0.11172434822381458</v>
      </c>
      <c r="F30" s="28">
        <f t="shared" si="8"/>
        <v>31.485540986103903</v>
      </c>
      <c r="G30" s="27" t="str">
        <f t="shared" si="9"/>
        <v>+</v>
      </c>
      <c r="H30" s="26">
        <f t="shared" si="10"/>
        <v>11395.039999999999</v>
      </c>
      <c r="I30" s="26">
        <f t="shared" si="11"/>
        <v>11536.30221730847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78.400000000000006</v>
      </c>
      <c r="E31" s="29">
        <f t="shared" si="7"/>
        <v>2.3906083244397011E-2</v>
      </c>
      <c r="F31" s="28">
        <f t="shared" si="8"/>
        <v>31.991739394240621</v>
      </c>
      <c r="G31" s="27" t="str">
        <f t="shared" si="9"/>
        <v>+</v>
      </c>
      <c r="H31" s="26">
        <f t="shared" si="10"/>
        <v>2477.4400000000005</v>
      </c>
      <c r="I31" s="26">
        <f t="shared" si="11"/>
        <v>2508.1523685084649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33.650180212193511</v>
      </c>
      <c r="D32" s="22">
        <f>SUM(D26:D31)</f>
        <v>1969.9</v>
      </c>
      <c r="E32" s="21">
        <f t="shared" si="7"/>
        <v>0.60067083396859267</v>
      </c>
      <c r="F32" s="20">
        <f>I32/D32</f>
        <v>34.067335313852134</v>
      </c>
      <c r="G32" s="19">
        <f>F32/C32-1</f>
        <v>1.2396816273437361E-2</v>
      </c>
      <c r="H32" s="18">
        <f>SUM(H26:H31)</f>
        <v>66287.490000000005</v>
      </c>
      <c r="I32" s="18">
        <f>SUM(I26:I31)</f>
        <v>67109.243834757319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528</v>
      </c>
      <c r="E34" s="29">
        <f t="shared" ref="E34:E40" si="13">D34/$D$48</f>
        <v>0.16100015246226557</v>
      </c>
      <c r="F34" s="28">
        <f t="shared" ref="F34:F39" si="14">C34-(C34*$E$6)</f>
        <v>19.235539509195309</v>
      </c>
      <c r="G34" s="27" t="str">
        <f t="shared" ref="G34:G39" si="15">IF(C34&gt;=F34,"-","+")</f>
        <v>+</v>
      </c>
      <c r="H34" s="26">
        <f t="shared" ref="H34:H39" si="16">C34*D34</f>
        <v>10032</v>
      </c>
      <c r="I34" s="26">
        <f t="shared" ref="I34:I39" si="17">F34*D34</f>
        <v>10156.364860855123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14.780993517592185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11.845042750399216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31.485540986103903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31.485540986103903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32.497937802377344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</v>
      </c>
      <c r="D40" s="22">
        <f>SUM(D34:D39)</f>
        <v>528</v>
      </c>
      <c r="E40" s="21">
        <f t="shared" si="13"/>
        <v>0.16100015246226557</v>
      </c>
      <c r="F40" s="20">
        <f>I40/D40</f>
        <v>19.235539509195309</v>
      </c>
      <c r="G40" s="19">
        <f>F40/C40-1</f>
        <v>1.2396816273437361E-2</v>
      </c>
      <c r="H40" s="18">
        <f>SUM(H34:H39)</f>
        <v>10032</v>
      </c>
      <c r="I40" s="18">
        <f>SUM(I34:I39)</f>
        <v>10156.364860855123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504.5</v>
      </c>
      <c r="E42" s="29">
        <f>D42/$D$48</f>
        <v>0.15383442597957003</v>
      </c>
      <c r="F42" s="28">
        <f>C42-(C42*$E$6)</f>
        <v>0.40495872650937498</v>
      </c>
      <c r="G42" s="27" t="str">
        <f>IF(C42&gt;=F42,"-","+")</f>
        <v>+</v>
      </c>
      <c r="H42" s="26">
        <f>C42*D42</f>
        <v>201.8</v>
      </c>
      <c r="I42" s="26">
        <f>F42*D42</f>
        <v>204.30167752397966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13.1</v>
      </c>
      <c r="E43" s="29">
        <f>D43/$D$48</f>
        <v>3.9945113584387857E-3</v>
      </c>
      <c r="F43" s="28">
        <f>C43-(C43*$E$6)</f>
        <v>0.40495872650937498</v>
      </c>
      <c r="G43" s="27" t="str">
        <f>IF(C43&gt;=F43,"-","+")</f>
        <v>+</v>
      </c>
      <c r="H43" s="26">
        <f>C43*D43</f>
        <v>5.24</v>
      </c>
      <c r="I43" s="26">
        <f>F43*D43</f>
        <v>5.3049593172728118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17.2</v>
      </c>
      <c r="E44" s="29">
        <f>D44/$D$48</f>
        <v>5.2447019362707719E-3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</v>
      </c>
      <c r="E45" s="29">
        <f>D45/$D$48</f>
        <v>3.0492453117853327E-4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0.38641284061216868</v>
      </c>
      <c r="D46" s="22">
        <f>SUM(D41:D45)</f>
        <v>535.80000000000007</v>
      </c>
      <c r="E46" s="21">
        <f>D46/$D$48</f>
        <v>0.16337856380545815</v>
      </c>
      <c r="F46" s="20">
        <f>I46/D46</f>
        <v>0.3912031296029348</v>
      </c>
      <c r="G46" s="19">
        <f>F46/C46-1</f>
        <v>1.2396816273437361E-2</v>
      </c>
      <c r="H46" s="18">
        <f>SUM(H41:H44)</f>
        <v>207.04000000000002</v>
      </c>
      <c r="I46" s="18">
        <f>SUM(I41:I44)</f>
        <v>209.60663684125248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102.11584447672757</v>
      </c>
      <c r="D48" s="13">
        <f>D24+D32+D40+D46</f>
        <v>3279.5000000000005</v>
      </c>
      <c r="E48" s="12">
        <f>SUM(E20:E46)/2</f>
        <v>0.99999999999999978</v>
      </c>
      <c r="F48" s="11">
        <f>I48/D48</f>
        <v>27.348207518522706</v>
      </c>
      <c r="G48" s="10"/>
      <c r="H48" s="9">
        <f>SUM(H20:H46)/2</f>
        <v>88590.209999999992</v>
      </c>
      <c r="I48" s="9">
        <f>SUM(I20:I46)/2</f>
        <v>89688.44655699523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4778.0999999999995</v>
      </c>
      <c r="E50" s="12">
        <f>D50/G2</f>
        <v>1.000020929259104</v>
      </c>
      <c r="F50" s="11">
        <f>I50/D50</f>
        <v>26.899437014712962</v>
      </c>
      <c r="G50" s="10"/>
      <c r="H50" s="9">
        <f>H48+H19</f>
        <v>126954.37</v>
      </c>
      <c r="I50" s="9">
        <f>I48+I19</f>
        <v>128528.19999999998</v>
      </c>
      <c r="J50" s="106">
        <f>D50-G2</f>
        <v>9.9999999999454303E-2</v>
      </c>
      <c r="K50" s="8"/>
    </row>
    <row r="51" spans="1:11" ht="23.25" x14ac:dyDescent="0.35">
      <c r="A51" s="168" t="s">
        <v>119</v>
      </c>
      <c r="B51" s="169"/>
      <c r="C51" s="170"/>
      <c r="G51" s="7"/>
      <c r="H51" s="6"/>
      <c r="I51" s="6">
        <f>+I50/D50</f>
        <v>26.899437014712962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K56"/>
  <sheetViews>
    <sheetView workbookViewId="0">
      <selection activeCell="H21" sqref="H21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5" style="2" hidden="1" customWidth="1"/>
    <col min="9" max="9" width="16.1406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115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118</v>
      </c>
      <c r="D2" s="96" t="s">
        <v>3</v>
      </c>
      <c r="E2" s="95" t="s">
        <v>112</v>
      </c>
      <c r="F2" s="94" t="s">
        <v>5</v>
      </c>
      <c r="G2" s="93">
        <v>950.1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12</v>
      </c>
      <c r="F3" s="88" t="s">
        <v>8</v>
      </c>
      <c r="G3" s="87">
        <v>22.5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79.174999999999997</v>
      </c>
      <c r="F4" s="81" t="s">
        <v>12</v>
      </c>
      <c r="G4" s="80">
        <f>G2*G3</f>
        <v>21377.25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-1.6682297750265418E-2</v>
      </c>
      <c r="F6" s="69" t="s">
        <v>16</v>
      </c>
      <c r="G6" s="68">
        <f>(I50-I19)/(D50-(SUM(D42:D44)+D19))</f>
        <v>27.477185089974288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>ROUND($G$3*B10,1)</f>
        <v>22.5</v>
      </c>
      <c r="D10" s="30"/>
      <c r="E10" s="29" t="e">
        <f t="shared" ref="E10:E19" si="0">D10/$D$19</f>
        <v>#DIV/0!</v>
      </c>
      <c r="F10" s="28">
        <f>C10-(C10*$E$6)</f>
        <v>22.875351699380971</v>
      </c>
      <c r="G10" s="27" t="str">
        <f t="shared" ref="G10:G18" si="1">IF(C10&gt;=F10,"-","+")</f>
        <v>+</v>
      </c>
      <c r="H10" s="34">
        <f t="shared" ref="H10:H18" si="2">C10*D10</f>
        <v>0</v>
      </c>
      <c r="I10" s="34">
        <f t="shared" ref="I10:I18" si="3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ref="C11:C18" si="4">ROUND($G$3*B11,1)</f>
        <v>23.4</v>
      </c>
      <c r="D11" s="30"/>
      <c r="E11" s="29" t="e">
        <f t="shared" si="0"/>
        <v>#DIV/0!</v>
      </c>
      <c r="F11" s="28">
        <f t="shared" ref="F11:F18" si="5">C11-(C11*$E$6)</f>
        <v>23.79036576735621</v>
      </c>
      <c r="G11" s="27" t="str">
        <f t="shared" si="1"/>
        <v>+</v>
      </c>
      <c r="H11" s="34">
        <f t="shared" si="2"/>
        <v>0</v>
      </c>
      <c r="I11" s="34">
        <f t="shared" si="3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4"/>
        <v>21.4</v>
      </c>
      <c r="D12" s="30"/>
      <c r="E12" s="29" t="e">
        <f t="shared" si="0"/>
        <v>#DIV/0!</v>
      </c>
      <c r="F12" s="28">
        <f t="shared" si="5"/>
        <v>21.757001171855677</v>
      </c>
      <c r="G12" s="27" t="str">
        <f t="shared" si="1"/>
        <v>+</v>
      </c>
      <c r="H12" s="34">
        <f t="shared" si="2"/>
        <v>0</v>
      </c>
      <c r="I12" s="34">
        <f t="shared" si="3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4"/>
        <v>23.4</v>
      </c>
      <c r="D13" s="30"/>
      <c r="E13" s="29" t="e">
        <f t="shared" si="0"/>
        <v>#DIV/0!</v>
      </c>
      <c r="F13" s="28">
        <f t="shared" si="5"/>
        <v>23.79036576735621</v>
      </c>
      <c r="G13" s="27" t="str">
        <f t="shared" si="1"/>
        <v>+</v>
      </c>
      <c r="H13" s="34">
        <f t="shared" si="2"/>
        <v>0</v>
      </c>
      <c r="I13" s="34">
        <f t="shared" si="3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4"/>
        <v>26.2</v>
      </c>
      <c r="D14" s="30"/>
      <c r="E14" s="29" t="e">
        <f t="shared" si="0"/>
        <v>#DIV/0!</v>
      </c>
      <c r="F14" s="28">
        <f t="shared" si="5"/>
        <v>26.637076201056953</v>
      </c>
      <c r="G14" s="27" t="str">
        <f t="shared" si="1"/>
        <v>+</v>
      </c>
      <c r="H14" s="34">
        <f t="shared" si="2"/>
        <v>0</v>
      </c>
      <c r="I14" s="34">
        <f t="shared" si="3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4"/>
        <v>21.6</v>
      </c>
      <c r="D15" s="30"/>
      <c r="E15" s="29" t="e">
        <f t="shared" si="0"/>
        <v>#DIV/0!</v>
      </c>
      <c r="F15" s="28">
        <f t="shared" si="5"/>
        <v>21.960337631405736</v>
      </c>
      <c r="G15" s="27" t="str">
        <f t="shared" si="1"/>
        <v>+</v>
      </c>
      <c r="H15" s="34">
        <f t="shared" si="2"/>
        <v>0</v>
      </c>
      <c r="I15" s="34">
        <f t="shared" si="3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4"/>
        <v>29.6</v>
      </c>
      <c r="D16" s="30"/>
      <c r="E16" s="29" t="e">
        <f t="shared" si="0"/>
        <v>#DIV/0!</v>
      </c>
      <c r="F16" s="28">
        <f t="shared" si="5"/>
        <v>30.093796013407857</v>
      </c>
      <c r="G16" s="27" t="str">
        <f t="shared" si="1"/>
        <v>+</v>
      </c>
      <c r="H16" s="34">
        <f t="shared" si="2"/>
        <v>0</v>
      </c>
      <c r="I16" s="34">
        <f t="shared" si="3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4"/>
        <v>43.5</v>
      </c>
      <c r="D17" s="30"/>
      <c r="E17" s="29" t="e">
        <f t="shared" si="0"/>
        <v>#DIV/0!</v>
      </c>
      <c r="F17" s="28">
        <f t="shared" si="5"/>
        <v>44.225679952136545</v>
      </c>
      <c r="G17" s="27" t="str">
        <f t="shared" si="1"/>
        <v>+</v>
      </c>
      <c r="H17" s="34">
        <f t="shared" si="2"/>
        <v>0</v>
      </c>
      <c r="I17" s="34">
        <f t="shared" si="3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4"/>
        <v>38.1</v>
      </c>
      <c r="D18" s="30"/>
      <c r="E18" s="29" t="e">
        <f t="shared" si="0"/>
        <v>#DIV/0!</v>
      </c>
      <c r="F18" s="28">
        <f t="shared" si="5"/>
        <v>38.735595544285111</v>
      </c>
      <c r="G18" s="27" t="str">
        <f t="shared" si="1"/>
        <v>+</v>
      </c>
      <c r="H18" s="34">
        <f t="shared" si="2"/>
        <v>0</v>
      </c>
      <c r="I18" s="34">
        <f t="shared" si="3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0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56.6</v>
      </c>
      <c r="D21" s="30">
        <v>10.8</v>
      </c>
      <c r="E21" s="29">
        <f>D21/$D$48</f>
        <v>1.1366028204588508E-2</v>
      </c>
      <c r="F21" s="28">
        <f>C21-(C21*$E$6)</f>
        <v>57.544218052665023</v>
      </c>
      <c r="G21" s="27" t="str">
        <f>IF(C21&gt;=F21,"-","+")</f>
        <v>+</v>
      </c>
      <c r="H21" s="26">
        <f>C21*D21</f>
        <v>611.28000000000009</v>
      </c>
      <c r="I21" s="26">
        <f>F21*D21</f>
        <v>621.47755496878233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</v>
      </c>
      <c r="D22" s="30">
        <v>25</v>
      </c>
      <c r="E22" s="29">
        <f>D22/$D$48</f>
        <v>2.6310250473584509E-2</v>
      </c>
      <c r="F22" s="28">
        <f>C22-(C22*$E$6)</f>
        <v>38.633927314510089</v>
      </c>
      <c r="G22" s="27" t="str">
        <f>IF(C22&gt;=F22,"-","+")</f>
        <v>+</v>
      </c>
      <c r="H22" s="26">
        <f>C22*D22</f>
        <v>950</v>
      </c>
      <c r="I22" s="26">
        <f>F22*D22</f>
        <v>965.8481828627522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34.700000000000003</v>
      </c>
      <c r="D23" s="30">
        <v>21.8</v>
      </c>
      <c r="E23" s="29">
        <f>D23/$D$48</f>
        <v>2.2942538412965691E-2</v>
      </c>
      <c r="F23" s="28">
        <f>C23-(C23*$E$6)</f>
        <v>35.278875731934214</v>
      </c>
      <c r="G23" s="27" t="str">
        <f>IF(C23&gt;=F23,"-","+")</f>
        <v>+</v>
      </c>
      <c r="H23" s="26">
        <f>C23*D23</f>
        <v>756.46</v>
      </c>
      <c r="I23" s="26">
        <f>F23*D23</f>
        <v>769.07949095616584</v>
      </c>
      <c r="J23" s="25"/>
      <c r="K23" s="25"/>
    </row>
    <row r="24" spans="1:11" x14ac:dyDescent="0.25">
      <c r="A24" s="24" t="s">
        <v>34</v>
      </c>
      <c r="B24" s="23"/>
      <c r="C24" s="20">
        <f>H24/D24</f>
        <v>40.238541666666677</v>
      </c>
      <c r="D24" s="22">
        <f>SUM(D21:D23)</f>
        <v>57.599999999999994</v>
      </c>
      <c r="E24" s="21">
        <f>D24/$D$48</f>
        <v>6.0618817091138699E-2</v>
      </c>
      <c r="F24" s="20">
        <f>I24/D24</f>
        <v>40.909812999786467</v>
      </c>
      <c r="G24" s="19">
        <f>F24/C24-1</f>
        <v>1.6682297750265418E-2</v>
      </c>
      <c r="H24" s="18">
        <f>SUM(H21:H23)</f>
        <v>2317.7400000000002</v>
      </c>
      <c r="I24" s="18">
        <f>SUM(I21:I23)</f>
        <v>2356.4052287877003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30.2</v>
      </c>
      <c r="D26" s="30">
        <v>193</v>
      </c>
      <c r="E26" s="29">
        <f t="shared" ref="E26:E32" si="7">D26/$D$48</f>
        <v>0.20311513365607239</v>
      </c>
      <c r="F26" s="28">
        <f t="shared" ref="F26:F31" si="8">C26-(C26*$E$6)</f>
        <v>30.703805392058015</v>
      </c>
      <c r="G26" s="27" t="str">
        <f t="shared" ref="G26:G31" si="9">IF(C26&gt;=F26,"-","+")</f>
        <v>+</v>
      </c>
      <c r="H26" s="26">
        <f t="shared" ref="H26:H31" si="10">C26*D26</f>
        <v>5828.5999999999995</v>
      </c>
      <c r="I26" s="26">
        <f t="shared" ref="I26:I31" si="11">F26*D26</f>
        <v>5925.8344406671968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26.9</v>
      </c>
      <c r="D27" s="30">
        <v>150</v>
      </c>
      <c r="E27" s="29">
        <f t="shared" si="7"/>
        <v>0.15786150284150705</v>
      </c>
      <c r="F27" s="28">
        <f t="shared" si="8"/>
        <v>27.348753809482137</v>
      </c>
      <c r="G27" s="27" t="str">
        <f t="shared" si="9"/>
        <v>+</v>
      </c>
      <c r="H27" s="26">
        <f t="shared" si="10"/>
        <v>4035</v>
      </c>
      <c r="I27" s="26">
        <f t="shared" si="11"/>
        <v>4102.3130714223207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26.9</v>
      </c>
      <c r="D28" s="30">
        <v>105</v>
      </c>
      <c r="E28" s="29">
        <f t="shared" si="7"/>
        <v>0.11050305198905493</v>
      </c>
      <c r="F28" s="28">
        <f t="shared" si="8"/>
        <v>27.348753809482137</v>
      </c>
      <c r="G28" s="27" t="str">
        <f t="shared" si="9"/>
        <v>+</v>
      </c>
      <c r="H28" s="26">
        <f t="shared" si="10"/>
        <v>2824.5</v>
      </c>
      <c r="I28" s="26">
        <f t="shared" si="11"/>
        <v>2871.6191499956244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</v>
      </c>
      <c r="D29" s="30">
        <v>89</v>
      </c>
      <c r="E29" s="29">
        <f t="shared" si="7"/>
        <v>9.3664491685960846E-2</v>
      </c>
      <c r="F29" s="28">
        <f t="shared" si="8"/>
        <v>26.433739741506901</v>
      </c>
      <c r="G29" s="27" t="str">
        <f t="shared" si="9"/>
        <v>+</v>
      </c>
      <c r="H29" s="26">
        <f t="shared" si="10"/>
        <v>2314</v>
      </c>
      <c r="I29" s="26">
        <f t="shared" si="11"/>
        <v>2352.6028369941141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</v>
      </c>
      <c r="D30" s="30">
        <v>51</v>
      </c>
      <c r="E30" s="29">
        <f t="shared" si="7"/>
        <v>5.3672910966112396E-2</v>
      </c>
      <c r="F30" s="28">
        <f t="shared" si="8"/>
        <v>26.433739741506901</v>
      </c>
      <c r="G30" s="27" t="str">
        <f t="shared" si="9"/>
        <v>+</v>
      </c>
      <c r="H30" s="26">
        <f t="shared" si="10"/>
        <v>1326</v>
      </c>
      <c r="I30" s="26">
        <f t="shared" si="11"/>
        <v>1348.1207268168519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26.4</v>
      </c>
      <c r="D31" s="30">
        <v>21.4</v>
      </c>
      <c r="E31" s="29">
        <f t="shared" si="7"/>
        <v>2.2521574405388337E-2</v>
      </c>
      <c r="F31" s="28">
        <f t="shared" si="8"/>
        <v>26.840412660607004</v>
      </c>
      <c r="G31" s="27" t="str">
        <f t="shared" si="9"/>
        <v>+</v>
      </c>
      <c r="H31" s="26">
        <f t="shared" si="10"/>
        <v>564.95999999999992</v>
      </c>
      <c r="I31" s="26">
        <f t="shared" si="11"/>
        <v>574.38483093698983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27.720807351493271</v>
      </c>
      <c r="D32" s="22">
        <f>SUM(D26:D31)</f>
        <v>609.4</v>
      </c>
      <c r="E32" s="21">
        <f t="shared" si="7"/>
        <v>0.64133866554409591</v>
      </c>
      <c r="F32" s="20">
        <f>I32/D32</f>
        <v>28.18325411360863</v>
      </c>
      <c r="G32" s="19">
        <f>F32/C32-1</f>
        <v>1.6682297750265418E-2</v>
      </c>
      <c r="H32" s="18">
        <f>SUM(H26:H31)</f>
        <v>16893.059999999998</v>
      </c>
      <c r="I32" s="18">
        <f>SUM(I26:I31)</f>
        <v>17174.875056833098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15.9</v>
      </c>
      <c r="D34" s="30">
        <v>110</v>
      </c>
      <c r="E34" s="29">
        <f t="shared" ref="E34:E40" si="13">D34/$D$48</f>
        <v>0.11576510208377183</v>
      </c>
      <c r="F34" s="28">
        <f t="shared" ref="F34:F39" si="14">C34-(C34*$E$6)</f>
        <v>16.165248534229221</v>
      </c>
      <c r="G34" s="27" t="str">
        <f t="shared" ref="G34:G39" si="15">IF(C34&gt;=F34,"-","+")</f>
        <v>+</v>
      </c>
      <c r="H34" s="26">
        <f t="shared" ref="H34:H39" si="16">C34*D34</f>
        <v>1749</v>
      </c>
      <c r="I34" s="26">
        <f t="shared" ref="I34:I39" si="17">F34*D34</f>
        <v>1778.1773387652142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12.2</v>
      </c>
      <c r="D35" s="30"/>
      <c r="E35" s="29">
        <f t="shared" si="13"/>
        <v>0</v>
      </c>
      <c r="F35" s="28">
        <f t="shared" si="14"/>
        <v>12.403524032553237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9.8000000000000007</v>
      </c>
      <c r="D36" s="30"/>
      <c r="E36" s="29">
        <f t="shared" si="13"/>
        <v>0</v>
      </c>
      <c r="F36" s="28">
        <f t="shared" si="14"/>
        <v>9.9634865179526013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</v>
      </c>
      <c r="D37" s="30"/>
      <c r="E37" s="29">
        <f t="shared" si="13"/>
        <v>0</v>
      </c>
      <c r="F37" s="28">
        <f t="shared" si="14"/>
        <v>26.433739741506901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</v>
      </c>
      <c r="D38" s="30"/>
      <c r="E38" s="29">
        <f t="shared" si="13"/>
        <v>0</v>
      </c>
      <c r="F38" s="28">
        <f t="shared" si="14"/>
        <v>26.433739741506901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26.9</v>
      </c>
      <c r="D39" s="30"/>
      <c r="E39" s="29">
        <f t="shared" si="13"/>
        <v>0</v>
      </c>
      <c r="F39" s="28">
        <f t="shared" si="14"/>
        <v>27.348753809482137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15.9</v>
      </c>
      <c r="D40" s="22">
        <f>SUM(D34:D39)</f>
        <v>110</v>
      </c>
      <c r="E40" s="21">
        <f t="shared" si="13"/>
        <v>0.11576510208377183</v>
      </c>
      <c r="F40" s="20">
        <f>I40/D40</f>
        <v>16.165248534229221</v>
      </c>
      <c r="G40" s="19">
        <f>F40/C40-1</f>
        <v>1.6682297750265418E-2</v>
      </c>
      <c r="H40" s="18">
        <f>SUM(H34:H39)</f>
        <v>1749</v>
      </c>
      <c r="I40" s="18">
        <f>SUM(I34:I39)</f>
        <v>1778.1773387652142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159.9</v>
      </c>
      <c r="E42" s="107">
        <f>D42/$D$48</f>
        <v>0.1682803620290465</v>
      </c>
      <c r="F42" s="28">
        <f>C42-(C42*$E$6)</f>
        <v>0.40667291910010617</v>
      </c>
      <c r="G42" s="27" t="str">
        <f>IF(C42&gt;=F42,"-","+")</f>
        <v>+</v>
      </c>
      <c r="H42" s="26">
        <f>C42*D42</f>
        <v>63.960000000000008</v>
      </c>
      <c r="I42" s="26">
        <f>F42*D42</f>
        <v>65.026999764106975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6.8</v>
      </c>
      <c r="E43" s="107">
        <f>D43/$D$48</f>
        <v>7.1563881288149861E-3</v>
      </c>
      <c r="F43" s="28">
        <f>C43-(C43*$E$6)</f>
        <v>0.40667291910010617</v>
      </c>
      <c r="G43" s="27" t="str">
        <f>IF(C43&gt;=F43,"-","+")</f>
        <v>+</v>
      </c>
      <c r="H43" s="26">
        <f>C43*D43</f>
        <v>2.72</v>
      </c>
      <c r="I43" s="26">
        <f>F43*D43</f>
        <v>2.7653758498807219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5.5</v>
      </c>
      <c r="E44" s="107">
        <f>D44/$D$48</f>
        <v>5.7882551041885917E-3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</v>
      </c>
      <c r="E45" s="107">
        <f>D45/$D$48</f>
        <v>1.0524100189433802E-3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0.38498845265588916</v>
      </c>
      <c r="D46" s="22">
        <f>SUM(D41:D45)</f>
        <v>173.20000000000002</v>
      </c>
      <c r="E46" s="21">
        <f>D46/$D$48</f>
        <v>0.18227741528099348</v>
      </c>
      <c r="F46" s="20">
        <f>I46/D46</f>
        <v>0.39141094465350862</v>
      </c>
      <c r="G46" s="19">
        <f>F46/C46-1</f>
        <v>1.6682297750265418E-2</v>
      </c>
      <c r="H46" s="18">
        <f>SUM(H41:H44)</f>
        <v>66.680000000000007</v>
      </c>
      <c r="I46" s="18">
        <f>SUM(I41:I44)</f>
        <v>67.792375613987701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84.244337470815836</v>
      </c>
      <c r="D48" s="13">
        <f>D24+D32+D40+D46</f>
        <v>950.2</v>
      </c>
      <c r="E48" s="12">
        <f>SUM(E20:E46)/2</f>
        <v>0.99999999999999978</v>
      </c>
      <c r="F48" s="11">
        <f>I48/D48</f>
        <v>22.497632077457371</v>
      </c>
      <c r="G48" s="10"/>
      <c r="H48" s="9">
        <f>SUM(H20:H46)/2</f>
        <v>21026.48</v>
      </c>
      <c r="I48" s="9">
        <f>SUM(I20:I46)/2</f>
        <v>21377.249999999996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950.2</v>
      </c>
      <c r="E50" s="12">
        <f>D50/G2</f>
        <v>1.0001052520787286</v>
      </c>
      <c r="F50" s="11">
        <f>I50/D50</f>
        <v>22.497632077457371</v>
      </c>
      <c r="G50" s="10"/>
      <c r="H50" s="9">
        <f>H48+H19</f>
        <v>21026.48</v>
      </c>
      <c r="I50" s="9">
        <f>I48+I19</f>
        <v>21377.249999999996</v>
      </c>
      <c r="J50" s="106">
        <f>D50-G2</f>
        <v>0.10000000000002274</v>
      </c>
      <c r="K50" s="8"/>
    </row>
    <row r="51" spans="1:11" ht="23.25" x14ac:dyDescent="0.35">
      <c r="A51" s="168" t="s">
        <v>120</v>
      </c>
      <c r="B51" s="169"/>
      <c r="C51" s="170"/>
      <c r="G51" s="7"/>
      <c r="H51" s="6"/>
      <c r="I51" s="6">
        <f>+I50/D50</f>
        <v>22.497632077457371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118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118</v>
      </c>
      <c r="D2" s="96" t="s">
        <v>3</v>
      </c>
      <c r="E2" s="95" t="s">
        <v>71</v>
      </c>
      <c r="F2" s="94" t="s">
        <v>5</v>
      </c>
      <c r="G2" s="93">
        <v>10163.700000000001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141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72.082978723404267</v>
      </c>
      <c r="F4" s="81" t="s">
        <v>12</v>
      </c>
      <c r="G4" s="80">
        <f>G2*G3</f>
        <v>273403.53000000003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-5.813334712660545E-3</v>
      </c>
      <c r="F6" s="69" t="s">
        <v>16</v>
      </c>
      <c r="G6" s="68">
        <f>(I50-I19)/(D50-(SUM(D42:D44)+D19))</f>
        <v>31.674354993801916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 t="e">
        <f t="shared" ref="E10:E19" si="1">D10/$D$19</f>
        <v>#DIV/0!</v>
      </c>
      <c r="F10" s="28">
        <f t="shared" ref="F10:F18" si="2">C10-(C10*$E$6)</f>
        <v>27.056378703770566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/>
      <c r="E11" s="29" t="e">
        <f t="shared" si="1"/>
        <v>#DIV/0!</v>
      </c>
      <c r="F11" s="28">
        <f t="shared" si="2"/>
        <v>28.162773371954493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/>
      <c r="E12" s="29" t="e">
        <f t="shared" si="1"/>
        <v>#DIV/0!</v>
      </c>
      <c r="F12" s="28">
        <f t="shared" si="2"/>
        <v>25.748821368644112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 t="e">
        <f t="shared" si="1"/>
        <v>#DIV/0!</v>
      </c>
      <c r="F13" s="28">
        <f t="shared" si="2"/>
        <v>28.162773371954493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 t="e">
        <f t="shared" si="1"/>
        <v>#DIV/0!</v>
      </c>
      <c r="F14" s="28">
        <f t="shared" si="2"/>
        <v>31.481957376506276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 t="e">
        <f t="shared" si="1"/>
        <v>#DIV/0!</v>
      </c>
      <c r="F15" s="28">
        <f t="shared" si="2"/>
        <v>25.949984035586642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/>
      <c r="E16" s="29" t="e">
        <f t="shared" si="1"/>
        <v>#DIV/0!</v>
      </c>
      <c r="F16" s="28">
        <f t="shared" si="2"/>
        <v>35.605792048828185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 t="e">
        <f t="shared" si="1"/>
        <v>#DIV/0!</v>
      </c>
      <c r="F17" s="28">
        <f t="shared" si="2"/>
        <v>52.30229340505835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 t="e">
        <f t="shared" si="1"/>
        <v>#DIV/0!</v>
      </c>
      <c r="F18" s="28">
        <f t="shared" si="2"/>
        <v>45.865088062897321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124.1</v>
      </c>
      <c r="E21" s="29">
        <f>D21/$D$48</f>
        <v>1.2209759937032664E-2</v>
      </c>
      <c r="F21" s="28">
        <f>C21-(C21*$E$6)</f>
        <v>68.093562760047121</v>
      </c>
      <c r="G21" s="27" t="str">
        <f>IF(C21&gt;=F21,"-","+")</f>
        <v>+</v>
      </c>
      <c r="H21" s="26">
        <f>C21*D21</f>
        <v>8401.57</v>
      </c>
      <c r="I21" s="26">
        <f>F21*D21</f>
        <v>8450.4111385218475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328.6</v>
      </c>
      <c r="E22" s="29">
        <f>D22/$D$48</f>
        <v>3.2329791420700513E-2</v>
      </c>
      <c r="F22" s="28">
        <f>C22-(C22*$E$6)</f>
        <v>45.663925395954784</v>
      </c>
      <c r="G22" s="27" t="str">
        <f>IF(C22&gt;=F22,"-","+")</f>
        <v>+</v>
      </c>
      <c r="H22" s="26">
        <f>C22*D22</f>
        <v>14918.44</v>
      </c>
      <c r="I22" s="26">
        <f>F22*D22</f>
        <v>15005.165885110744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256.8</v>
      </c>
      <c r="E23" s="29">
        <f>D23/$D$48</f>
        <v>2.5265643447461631E-2</v>
      </c>
      <c r="F23" s="28">
        <f>C23-(C23*$E$6)</f>
        <v>41.640672057104148</v>
      </c>
      <c r="G23" s="27" t="str">
        <f>IF(C23&gt;=F23,"-","+")</f>
        <v>+</v>
      </c>
      <c r="H23" s="26">
        <f>C23*D23</f>
        <v>10631.52</v>
      </c>
      <c r="I23" s="26">
        <f>F23*D23</f>
        <v>10693.324584264346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47.852755461592672</v>
      </c>
      <c r="D24" s="22">
        <f>SUM(D21:D23)</f>
        <v>709.5</v>
      </c>
      <c r="E24" s="21">
        <f>D24/$D$48</f>
        <v>6.9805194805194801E-2</v>
      </c>
      <c r="F24" s="20">
        <f>I24/D24</f>
        <v>48.130939546014005</v>
      </c>
      <c r="G24" s="19">
        <f>F24/C24-1</f>
        <v>5.813334712660545E-3</v>
      </c>
      <c r="H24" s="18">
        <f>SUM(H21:H23)</f>
        <v>33951.53</v>
      </c>
      <c r="I24" s="18">
        <f>SUM(I21:I23)</f>
        <v>34148.901607896936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v>1841.8</v>
      </c>
      <c r="E26" s="29">
        <f t="shared" ref="E26:E32" si="7">D26/$D$48</f>
        <v>0.18120818575364028</v>
      </c>
      <c r="F26" s="28">
        <f t="shared" ref="F26:F31" si="8">C26-(C26*$E$6)</f>
        <v>36.30986138312705</v>
      </c>
      <c r="G26" s="27" t="str">
        <f t="shared" ref="G26:G31" si="9">IF(C26&gt;=F26,"-","+")</f>
        <v>+</v>
      </c>
      <c r="H26" s="26">
        <f t="shared" ref="H26:H31" si="10">C26*D26</f>
        <v>66488.98</v>
      </c>
      <c r="I26" s="26">
        <f t="shared" ref="I26:I31" si="11">F26*D26</f>
        <v>66875.5026954434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1656</v>
      </c>
      <c r="E27" s="29">
        <f t="shared" si="7"/>
        <v>0.16292798110979928</v>
      </c>
      <c r="F27" s="28">
        <f t="shared" si="8"/>
        <v>32.286608044276406</v>
      </c>
      <c r="G27" s="27" t="str">
        <f t="shared" si="9"/>
        <v>+</v>
      </c>
      <c r="H27" s="26">
        <f t="shared" si="10"/>
        <v>53157.600000000006</v>
      </c>
      <c r="I27" s="26">
        <f t="shared" si="11"/>
        <v>53466.62292132173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958.2</v>
      </c>
      <c r="E28" s="29">
        <f t="shared" si="7"/>
        <v>9.4273907910271557E-2</v>
      </c>
      <c r="F28" s="28">
        <f t="shared" si="8"/>
        <v>32.286608044276406</v>
      </c>
      <c r="G28" s="27" t="str">
        <f t="shared" si="9"/>
        <v>+</v>
      </c>
      <c r="H28" s="26">
        <f t="shared" si="10"/>
        <v>30758.22</v>
      </c>
      <c r="I28" s="26">
        <f t="shared" si="11"/>
        <v>30937.027828025653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918.8</v>
      </c>
      <c r="E29" s="29">
        <f t="shared" si="7"/>
        <v>9.0397481306572214E-2</v>
      </c>
      <c r="F29" s="28">
        <f t="shared" si="8"/>
        <v>31.280794709563743</v>
      </c>
      <c r="G29" s="27" t="str">
        <f t="shared" si="9"/>
        <v>+</v>
      </c>
      <c r="H29" s="26">
        <f t="shared" si="10"/>
        <v>28574.68</v>
      </c>
      <c r="I29" s="26">
        <f t="shared" si="11"/>
        <v>28740.794179147164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551.6</v>
      </c>
      <c r="E30" s="29">
        <f t="shared" si="7"/>
        <v>5.4269972451790639E-2</v>
      </c>
      <c r="F30" s="28">
        <f t="shared" si="8"/>
        <v>31.280794709563743</v>
      </c>
      <c r="G30" s="27" t="str">
        <f t="shared" si="9"/>
        <v>+</v>
      </c>
      <c r="H30" s="26">
        <f t="shared" si="10"/>
        <v>17154.760000000002</v>
      </c>
      <c r="I30" s="26">
        <f t="shared" si="11"/>
        <v>17254.48636179536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269.39999999999998</v>
      </c>
      <c r="E31" s="29">
        <f t="shared" si="7"/>
        <v>2.6505312868949232E-2</v>
      </c>
      <c r="F31" s="28">
        <f t="shared" si="8"/>
        <v>31.783701376920074</v>
      </c>
      <c r="G31" s="27" t="str">
        <f t="shared" si="9"/>
        <v>+</v>
      </c>
      <c r="H31" s="26">
        <f t="shared" si="10"/>
        <v>8513.0399999999991</v>
      </c>
      <c r="I31" s="26">
        <f t="shared" si="11"/>
        <v>8562.5291509422677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33.030000968397943</v>
      </c>
      <c r="D32" s="22">
        <f>SUM(D26:D31)</f>
        <v>6195.8</v>
      </c>
      <c r="E32" s="21">
        <f t="shared" si="7"/>
        <v>0.60958284140102326</v>
      </c>
      <c r="F32" s="20">
        <f>I32/D32</f>
        <v>33.222015419586754</v>
      </c>
      <c r="G32" s="19">
        <f>F32/C32-1</f>
        <v>5.8133347126609891E-3</v>
      </c>
      <c r="H32" s="18">
        <f>SUM(H26:H31)</f>
        <v>204647.28</v>
      </c>
      <c r="I32" s="18">
        <f>SUM(I26:I31)</f>
        <v>205836.96313667559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1716.4</v>
      </c>
      <c r="E34" s="29">
        <f t="shared" ref="E34:E40" si="13">D34/$D$48</f>
        <v>0.16887052341597797</v>
      </c>
      <c r="F34" s="28">
        <f t="shared" ref="F34:F39" si="14">C34-(C34*$E$6)</f>
        <v>19.11045335954055</v>
      </c>
      <c r="G34" s="27" t="str">
        <f t="shared" ref="G34:G39" si="15">IF(C34&gt;=F34,"-","+")</f>
        <v>+</v>
      </c>
      <c r="H34" s="26">
        <f t="shared" ref="H34:H39" si="16">C34*D34</f>
        <v>32611.600000000002</v>
      </c>
      <c r="I34" s="26">
        <f t="shared" ref="I34:I39" si="17">F34*D34</f>
        <v>32801.182146315405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14.684874686804843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11.768016016138128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31.280794709563743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31.280794709563743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32.286608044276406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</v>
      </c>
      <c r="D40" s="22">
        <f>SUM(D34:D39)</f>
        <v>1716.4</v>
      </c>
      <c r="E40" s="21">
        <f t="shared" si="13"/>
        <v>0.16887052341597797</v>
      </c>
      <c r="F40" s="20">
        <f>I40/D40</f>
        <v>19.110453359540553</v>
      </c>
      <c r="G40" s="19">
        <f>F40/C40-1</f>
        <v>5.8133347126607671E-3</v>
      </c>
      <c r="H40" s="18">
        <f>SUM(H34:H39)</f>
        <v>32611.600000000002</v>
      </c>
      <c r="I40" s="18">
        <f>SUM(I34:I39)</f>
        <v>32801.182146315405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1492.5</v>
      </c>
      <c r="E42" s="107">
        <f>D42/$D$48</f>
        <v>0.14684179456906729</v>
      </c>
      <c r="F42" s="28">
        <f>C42-(C42*$E$6)</f>
        <v>0.40232533388506425</v>
      </c>
      <c r="G42" s="27" t="str">
        <f>IF(C42&gt;=F42,"-","+")</f>
        <v>+</v>
      </c>
      <c r="H42" s="26">
        <f>C42*D42</f>
        <v>597</v>
      </c>
      <c r="I42" s="26">
        <f>F42*D42</f>
        <v>600.47056082345841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39.799999999999997</v>
      </c>
      <c r="E43" s="107">
        <f>D43/$D$48</f>
        <v>3.9157811885084607E-3</v>
      </c>
      <c r="F43" s="28">
        <f>C43-(C43*$E$6)</f>
        <v>0.40232533388506425</v>
      </c>
      <c r="G43" s="27" t="str">
        <f>IF(C43&gt;=F43,"-","+")</f>
        <v>+</v>
      </c>
      <c r="H43" s="26">
        <f>C43*D43</f>
        <v>15.92</v>
      </c>
      <c r="I43" s="26">
        <f>F43*D43</f>
        <v>16.012548288625556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10</v>
      </c>
      <c r="E45" s="107">
        <f>D45/$D$48</f>
        <v>9.8386462022825665E-4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0.39740647085521624</v>
      </c>
      <c r="D46" s="22">
        <f>SUM(D41:D45)</f>
        <v>1542.3</v>
      </c>
      <c r="E46" s="21">
        <f>D46/$D$48</f>
        <v>0.15174144037780402</v>
      </c>
      <c r="F46" s="20">
        <f>I46/D46</f>
        <v>0.39971672768727484</v>
      </c>
      <c r="G46" s="19">
        <f>F46/C46-1</f>
        <v>5.8133347126607671E-3</v>
      </c>
      <c r="H46" s="18">
        <f>SUM(H41:H44)</f>
        <v>612.91999999999996</v>
      </c>
      <c r="I46" s="18">
        <f>SUM(I41:I44)</f>
        <v>616.48310911208398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100.28016290084584</v>
      </c>
      <c r="D48" s="13">
        <f>D24+D32+D40+D46</f>
        <v>10164</v>
      </c>
      <c r="E48" s="12">
        <f>SUM(E20:E46)/2</f>
        <v>1</v>
      </c>
      <c r="F48" s="11">
        <f>I48/D48</f>
        <v>26.89920602125148</v>
      </c>
      <c r="G48" s="10"/>
      <c r="H48" s="9">
        <f>SUM(H20:H46)/2</f>
        <v>271823.33</v>
      </c>
      <c r="I48" s="9">
        <f>SUM(I20:I46)/2</f>
        <v>273403.53000000003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10164</v>
      </c>
      <c r="E50" s="12">
        <f>D50/G2</f>
        <v>1.0000295168098232</v>
      </c>
      <c r="F50" s="11">
        <f>I50/D50</f>
        <v>26.89920602125148</v>
      </c>
      <c r="G50" s="10"/>
      <c r="H50" s="9">
        <f>H48+H19</f>
        <v>271823.33</v>
      </c>
      <c r="I50" s="9">
        <f>I48+I19</f>
        <v>273403.53000000003</v>
      </c>
      <c r="J50" s="106">
        <f>D50-G2</f>
        <v>0.2999999999992724</v>
      </c>
      <c r="K50" s="8"/>
    </row>
    <row r="51" spans="1:11" ht="23.25" x14ac:dyDescent="0.35">
      <c r="A51" s="168" t="s">
        <v>121</v>
      </c>
      <c r="B51" s="169"/>
      <c r="C51" s="170"/>
      <c r="G51" s="7"/>
      <c r="H51" s="6"/>
      <c r="I51" s="6">
        <f>+I50/D50</f>
        <v>26.89920602125148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118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122</v>
      </c>
      <c r="D2" s="96" t="s">
        <v>3</v>
      </c>
      <c r="E2" s="95" t="s">
        <v>71</v>
      </c>
      <c r="F2" s="94" t="s">
        <v>5</v>
      </c>
      <c r="G2" s="93">
        <v>4197.3999999999996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59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71.142372881355925</v>
      </c>
      <c r="F4" s="81" t="s">
        <v>12</v>
      </c>
      <c r="G4" s="80">
        <f>G2*G3</f>
        <v>112910.05999999998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-1.0375425277358463E-2</v>
      </c>
      <c r="F6" s="69" t="s">
        <v>16</v>
      </c>
      <c r="G6" s="68">
        <f>(I50-I19)/(D50-(SUM(D42:D44)+D19))</f>
        <v>32.215926983649787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>
        <f t="shared" ref="E10:E19" si="1">D10/$D$19</f>
        <v>0</v>
      </c>
      <c r="F10" s="28">
        <f t="shared" ref="F10:F18" si="2">C10-(C10*$E$6)</f>
        <v>27.179098939960941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/>
      <c r="E11" s="29">
        <f t="shared" si="1"/>
        <v>0</v>
      </c>
      <c r="F11" s="28">
        <f t="shared" si="2"/>
        <v>28.290511907766039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>
        <v>940.1</v>
      </c>
      <c r="E12" s="29">
        <f t="shared" si="1"/>
        <v>1</v>
      </c>
      <c r="F12" s="28">
        <f t="shared" si="2"/>
        <v>25.865610887100377</v>
      </c>
      <c r="G12" s="27" t="str">
        <f t="shared" si="3"/>
        <v>+</v>
      </c>
      <c r="H12" s="34">
        <f t="shared" si="4"/>
        <v>24066.560000000001</v>
      </c>
      <c r="I12" s="34">
        <f t="shared" si="5"/>
        <v>24316.260794963066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>
        <f t="shared" si="1"/>
        <v>0</v>
      </c>
      <c r="F13" s="28">
        <f t="shared" si="2"/>
        <v>28.290511907766039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>
        <f t="shared" si="1"/>
        <v>0</v>
      </c>
      <c r="F14" s="28">
        <f t="shared" si="2"/>
        <v>31.624750811181322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>
        <f t="shared" si="1"/>
        <v>0</v>
      </c>
      <c r="F15" s="28">
        <f t="shared" si="2"/>
        <v>26.06768597215585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/>
      <c r="E16" s="29">
        <f t="shared" si="1"/>
        <v>0</v>
      </c>
      <c r="F16" s="28">
        <f t="shared" si="2"/>
        <v>35.767290054818488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>
        <f t="shared" si="1"/>
        <v>0</v>
      </c>
      <c r="F17" s="28">
        <f t="shared" si="2"/>
        <v>52.539522114422638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>
        <f t="shared" si="1"/>
        <v>0</v>
      </c>
      <c r="F18" s="28">
        <f t="shared" si="2"/>
        <v>46.073119392647548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25.6</v>
      </c>
      <c r="D19" s="49">
        <f>SUM(D10:D18)</f>
        <v>940.1</v>
      </c>
      <c r="E19" s="48">
        <f t="shared" si="1"/>
        <v>1</v>
      </c>
      <c r="F19" s="47">
        <f>I19/D19</f>
        <v>25.865610887100377</v>
      </c>
      <c r="G19" s="46">
        <f>F19/C19-1</f>
        <v>1.0375425277358463E-2</v>
      </c>
      <c r="H19" s="9">
        <f>SUM(H10:H18)</f>
        <v>24066.560000000001</v>
      </c>
      <c r="I19" s="9">
        <f>SUM(I10:I18)</f>
        <v>24316.260794963066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47.4</v>
      </c>
      <c r="E21" s="29">
        <f>D21/$D$48</f>
        <v>1.4551036070606293E-2</v>
      </c>
      <c r="F21" s="28">
        <f>C21-(C21*$E$6)</f>
        <v>68.402416291277177</v>
      </c>
      <c r="G21" s="27" t="str">
        <f>IF(C21&gt;=F21,"-","+")</f>
        <v>+</v>
      </c>
      <c r="H21" s="26">
        <f>C21*D21</f>
        <v>3208.98</v>
      </c>
      <c r="I21" s="26">
        <f>F21*D21</f>
        <v>3242.274532206538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73.599999999999994</v>
      </c>
      <c r="E22" s="29">
        <f>D22/$D$48</f>
        <v>2.2594013814274748E-2</v>
      </c>
      <c r="F22" s="28">
        <f>C22-(C22*$E$6)</f>
        <v>45.871044307592072</v>
      </c>
      <c r="G22" s="27" t="str">
        <f>IF(C22&gt;=F22,"-","+")</f>
        <v>+</v>
      </c>
      <c r="H22" s="26">
        <f>C22*D22</f>
        <v>3341.4399999999996</v>
      </c>
      <c r="I22" s="26">
        <f>F22*D22</f>
        <v>3376.1088610387765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112.6</v>
      </c>
      <c r="E23" s="29">
        <f>D23/$D$48</f>
        <v>3.4566385264773597E-2</v>
      </c>
      <c r="F23" s="28">
        <f>C23-(C23*$E$6)</f>
        <v>41.82954260648264</v>
      </c>
      <c r="G23" s="27" t="str">
        <f>IF(C23&gt;=F23,"-","+")</f>
        <v>+</v>
      </c>
      <c r="H23" s="26">
        <f>C23*D23</f>
        <v>4661.6399999999994</v>
      </c>
      <c r="I23" s="26">
        <f>F23*D23</f>
        <v>4710.0064974899451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47.996832191780818</v>
      </c>
      <c r="D24" s="22">
        <f>SUM(D21:D23)</f>
        <v>233.6</v>
      </c>
      <c r="E24" s="21">
        <f>D24/$D$48</f>
        <v>7.171143514965464E-2</v>
      </c>
      <c r="F24" s="20">
        <f>I24/D24</f>
        <v>48.494819737736556</v>
      </c>
      <c r="G24" s="19">
        <f>F24/C24-1</f>
        <v>1.0375425277358463E-2</v>
      </c>
      <c r="H24" s="18">
        <f>SUM(H21:H23)</f>
        <v>11212.06</v>
      </c>
      <c r="I24" s="18">
        <f>SUM(I21:I23)</f>
        <v>11328.38989073526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v>831</v>
      </c>
      <c r="E26" s="29">
        <f t="shared" ref="E26:E32" si="7">D26/$D$48</f>
        <v>0.25510360706062929</v>
      </c>
      <c r="F26" s="28">
        <f t="shared" ref="F26:F31" si="8">C26-(C26*$E$6)</f>
        <v>36.474552852512645</v>
      </c>
      <c r="G26" s="27" t="str">
        <f t="shared" ref="G26:G31" si="9">IF(C26&gt;=F26,"-","+")</f>
        <v>+</v>
      </c>
      <c r="H26" s="26">
        <f t="shared" ref="H26:H31" si="10">C26*D26</f>
        <v>29999.100000000002</v>
      </c>
      <c r="I26" s="26">
        <f t="shared" ref="I26:I31" si="11">F26*D26</f>
        <v>30310.353420438008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317.60000000000002</v>
      </c>
      <c r="E27" s="29">
        <f t="shared" si="7"/>
        <v>9.7498081350729099E-2</v>
      </c>
      <c r="F27" s="28">
        <f t="shared" si="8"/>
        <v>32.433051151403205</v>
      </c>
      <c r="G27" s="27" t="str">
        <f t="shared" si="9"/>
        <v>+</v>
      </c>
      <c r="H27" s="26">
        <f t="shared" si="10"/>
        <v>10194.960000000001</v>
      </c>
      <c r="I27" s="26">
        <f t="shared" si="11"/>
        <v>10300.737045685659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264.2</v>
      </c>
      <c r="E28" s="29">
        <f t="shared" si="7"/>
        <v>8.110514198004605E-2</v>
      </c>
      <c r="F28" s="28">
        <f t="shared" si="8"/>
        <v>32.433051151403205</v>
      </c>
      <c r="G28" s="27" t="str">
        <f t="shared" si="9"/>
        <v>+</v>
      </c>
      <c r="H28" s="26">
        <f t="shared" si="10"/>
        <v>8480.82</v>
      </c>
      <c r="I28" s="26">
        <f t="shared" si="11"/>
        <v>8568.8121142007258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247.4</v>
      </c>
      <c r="E29" s="29">
        <f t="shared" si="7"/>
        <v>7.5947812739831158E-2</v>
      </c>
      <c r="F29" s="28">
        <f t="shared" si="8"/>
        <v>31.422675726125849</v>
      </c>
      <c r="G29" s="27" t="str">
        <f t="shared" si="9"/>
        <v>+</v>
      </c>
      <c r="H29" s="26">
        <f t="shared" si="10"/>
        <v>7694.14</v>
      </c>
      <c r="I29" s="26">
        <f t="shared" si="11"/>
        <v>7773.9699746435354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264.39999999999998</v>
      </c>
      <c r="E30" s="29">
        <f t="shared" si="7"/>
        <v>8.116653875671527E-2</v>
      </c>
      <c r="F30" s="28">
        <f t="shared" si="8"/>
        <v>31.422675726125849</v>
      </c>
      <c r="G30" s="27" t="str">
        <f t="shared" si="9"/>
        <v>+</v>
      </c>
      <c r="H30" s="26">
        <f t="shared" si="10"/>
        <v>8222.84</v>
      </c>
      <c r="I30" s="26">
        <f t="shared" si="11"/>
        <v>8308.1554619876733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65.400000000000006</v>
      </c>
      <c r="E31" s="29">
        <f t="shared" si="7"/>
        <v>2.0076745970836533E-2</v>
      </c>
      <c r="F31" s="28">
        <f t="shared" si="8"/>
        <v>31.927863438764529</v>
      </c>
      <c r="G31" s="27" t="str">
        <f t="shared" si="9"/>
        <v>+</v>
      </c>
      <c r="H31" s="26">
        <f t="shared" si="10"/>
        <v>2066.6400000000003</v>
      </c>
      <c r="I31" s="26">
        <f t="shared" si="11"/>
        <v>2088.0822688952003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33.496733668341712</v>
      </c>
      <c r="D32" s="22">
        <f>SUM(D26:D31)</f>
        <v>1990</v>
      </c>
      <c r="E32" s="21">
        <f t="shared" si="7"/>
        <v>0.61089792785878738</v>
      </c>
      <c r="F32" s="20">
        <f>I32/D32</f>
        <v>33.84427652555317</v>
      </c>
      <c r="G32" s="19">
        <f>F32/C32-1</f>
        <v>1.0375425277358463E-2</v>
      </c>
      <c r="H32" s="18">
        <f>SUM(H26:H31)</f>
        <v>66658.5</v>
      </c>
      <c r="I32" s="18">
        <f>SUM(I26:I31)</f>
        <v>67350.110285850809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471.4</v>
      </c>
      <c r="E34" s="29">
        <f t="shared" ref="E34:E40" si="13">D34/$D$48</f>
        <v>0.14471220260936299</v>
      </c>
      <c r="F34" s="28">
        <f t="shared" ref="F34:F39" si="14">C34-(C34*$E$6)</f>
        <v>19.197133080269811</v>
      </c>
      <c r="G34" s="27" t="str">
        <f t="shared" ref="G34:G39" si="15">IF(C34&gt;=F34,"-","+")</f>
        <v>+</v>
      </c>
      <c r="H34" s="26">
        <f t="shared" ref="H34:H39" si="16">C34*D34</f>
        <v>8956.6</v>
      </c>
      <c r="I34" s="26">
        <f t="shared" ref="I34:I39" si="17">F34*D34</f>
        <v>9049.5285340391893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>
        <v>45</v>
      </c>
      <c r="E35" s="29">
        <f t="shared" si="13"/>
        <v>1.3814274750575594E-2</v>
      </c>
      <c r="F35" s="28">
        <f t="shared" si="14"/>
        <v>14.751481209049434</v>
      </c>
      <c r="G35" s="27" t="str">
        <f t="shared" si="15"/>
        <v>+</v>
      </c>
      <c r="H35" s="26">
        <f t="shared" si="16"/>
        <v>657</v>
      </c>
      <c r="I35" s="26">
        <f t="shared" si="17"/>
        <v>663.81665440722452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11.821392475745093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31.422675726125849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31.422675726125849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32.433051151403205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18.616576297443842</v>
      </c>
      <c r="D40" s="22">
        <f>SUM(D34:D39)</f>
        <v>516.4</v>
      </c>
      <c r="E40" s="21">
        <f t="shared" si="13"/>
        <v>0.15852647735993861</v>
      </c>
      <c r="F40" s="20">
        <f>I40/D40</f>
        <v>18.809731193738216</v>
      </c>
      <c r="G40" s="19">
        <f>F40/C40-1</f>
        <v>1.0375425277358685E-2</v>
      </c>
      <c r="H40" s="18">
        <f>SUM(H34:H39)</f>
        <v>9613.6</v>
      </c>
      <c r="I40" s="18">
        <f>SUM(I34:I39)</f>
        <v>9713.3451884464139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466</v>
      </c>
      <c r="E42" s="107">
        <f>D42/$D$48</f>
        <v>0.14305448963929393</v>
      </c>
      <c r="F42" s="28">
        <f>C42-(C42*$E$6)</f>
        <v>0.4041501701109434</v>
      </c>
      <c r="G42" s="27" t="str">
        <f>IF(C42&gt;=F42,"-","+")</f>
        <v>+</v>
      </c>
      <c r="H42" s="26">
        <f>C42*D42</f>
        <v>186.4</v>
      </c>
      <c r="I42" s="26">
        <f>F42*D42</f>
        <v>188.33397927169963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33.700000000000003</v>
      </c>
      <c r="E43" s="107">
        <f>D43/$D$48</f>
        <v>1.034535686876439E-2</v>
      </c>
      <c r="F43" s="28">
        <f>C43-(C43*$E$6)</f>
        <v>0.4041501701109434</v>
      </c>
      <c r="G43" s="27" t="str">
        <f>IF(C43&gt;=F43,"-","+")</f>
        <v>+</v>
      </c>
      <c r="H43" s="26">
        <f>C43*D43</f>
        <v>13.480000000000002</v>
      </c>
      <c r="I43" s="26">
        <f>F43*D43</f>
        <v>13.619860732738793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7.8</v>
      </c>
      <c r="E44" s="107">
        <f>D44/$D$48</f>
        <v>2.3944742900997699E-3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10</v>
      </c>
      <c r="E45" s="107">
        <f>D45/$D$48</f>
        <v>3.0698388334612432E-3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0.38624154589371978</v>
      </c>
      <c r="D46" s="22">
        <f>SUM(D41:D45)</f>
        <v>517.5</v>
      </c>
      <c r="E46" s="21">
        <f>D46/$D$48</f>
        <v>0.15886415963161934</v>
      </c>
      <c r="F46" s="20">
        <f>I46/D46</f>
        <v>0.39024896619215155</v>
      </c>
      <c r="G46" s="19">
        <f>F46/C46-1</f>
        <v>1.0375425277358685E-2</v>
      </c>
      <c r="H46" s="18">
        <f>SUM(H41:H44)</f>
        <v>199.88</v>
      </c>
      <c r="I46" s="18">
        <f>SUM(I41:I44)</f>
        <v>201.95384000443843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100.4963837034601</v>
      </c>
      <c r="D48" s="13">
        <f>D24+D32+D40+D46</f>
        <v>3257.5</v>
      </c>
      <c r="E48" s="12">
        <f>SUM(E20:E46)/2</f>
        <v>1</v>
      </c>
      <c r="F48" s="11">
        <f>I48/D48</f>
        <v>27.19686852034901</v>
      </c>
      <c r="G48" s="10"/>
      <c r="H48" s="9">
        <f>SUM(H20:H46)/2</f>
        <v>87684.040000000008</v>
      </c>
      <c r="I48" s="9">
        <f>SUM(I20:I46)/2</f>
        <v>88593.799205036907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4197.5999999999995</v>
      </c>
      <c r="E50" s="12">
        <f>D50/G2</f>
        <v>1.000047648544337</v>
      </c>
      <c r="F50" s="11">
        <f>I50/D50</f>
        <v>26.898718315227747</v>
      </c>
      <c r="G50" s="10"/>
      <c r="H50" s="9">
        <f>H48+H19</f>
        <v>111750.6</v>
      </c>
      <c r="I50" s="9">
        <f>I48+I19</f>
        <v>112910.05999999997</v>
      </c>
      <c r="J50" s="106">
        <f>D50-G2</f>
        <v>0.1999999999998181</v>
      </c>
      <c r="K50" s="8"/>
    </row>
    <row r="51" spans="1:11" ht="23.25" x14ac:dyDescent="0.35">
      <c r="A51" s="168" t="s">
        <v>123</v>
      </c>
      <c r="B51" s="169"/>
      <c r="C51" s="170"/>
      <c r="G51" s="7"/>
      <c r="H51" s="6"/>
      <c r="I51" s="6">
        <f>+I50/D50</f>
        <v>26.898718315227747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124</v>
      </c>
      <c r="D1" s="100" t="s">
        <v>1</v>
      </c>
      <c r="E1" s="168" t="s">
        <v>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124</v>
      </c>
      <c r="D2" s="96" t="s">
        <v>3</v>
      </c>
      <c r="E2" s="95" t="s">
        <v>71</v>
      </c>
      <c r="F2" s="94" t="s">
        <v>5</v>
      </c>
      <c r="G2" s="93">
        <v>6197.8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76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81.55</v>
      </c>
      <c r="F4" s="81" t="s">
        <v>12</v>
      </c>
      <c r="G4" s="80">
        <f>G2*G3</f>
        <v>166720.82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-1.8297753147320073E-2</v>
      </c>
      <c r="F6" s="69" t="s">
        <v>16</v>
      </c>
      <c r="G6" s="68">
        <f>(I50-I19)/(D50-(SUM(D42:D44)+D19))</f>
        <v>31.913788020903134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 t="e">
        <f t="shared" ref="E10:E19" si="1">D10/$D$19</f>
        <v>#DIV/0!</v>
      </c>
      <c r="F10" s="28">
        <f t="shared" ref="F10:F18" si="2">C10-(C10*$E$6)</f>
        <v>27.392209559662909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/>
      <c r="E11" s="29" t="e">
        <f t="shared" si="1"/>
        <v>#DIV/0!</v>
      </c>
      <c r="F11" s="28">
        <f t="shared" si="2"/>
        <v>28.512337088124962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/>
      <c r="E12" s="29" t="e">
        <f t="shared" si="1"/>
        <v>#DIV/0!</v>
      </c>
      <c r="F12" s="28">
        <f t="shared" si="2"/>
        <v>26.068422480571396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 t="e">
        <f t="shared" si="1"/>
        <v>#DIV/0!</v>
      </c>
      <c r="F13" s="28">
        <f t="shared" si="2"/>
        <v>28.512337088124962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 t="e">
        <f t="shared" si="1"/>
        <v>#DIV/0!</v>
      </c>
      <c r="F14" s="28">
        <f t="shared" si="2"/>
        <v>31.872719673511121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 t="e">
        <f t="shared" si="1"/>
        <v>#DIV/0!</v>
      </c>
      <c r="F15" s="28">
        <f t="shared" si="2"/>
        <v>26.27208203120086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/>
      <c r="E16" s="29" t="e">
        <f t="shared" si="1"/>
        <v>#DIV/0!</v>
      </c>
      <c r="F16" s="28">
        <f t="shared" si="2"/>
        <v>36.047740461415131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 t="e">
        <f t="shared" si="1"/>
        <v>#DIV/0!</v>
      </c>
      <c r="F17" s="28">
        <f t="shared" si="2"/>
        <v>52.95148316366064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 t="e">
        <f t="shared" si="1"/>
        <v>#DIV/0!</v>
      </c>
      <c r="F18" s="28">
        <f t="shared" si="2"/>
        <v>46.434377543517797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76.599999999999994</v>
      </c>
      <c r="E21" s="29">
        <f>D21/$D$48</f>
        <v>1.2359224240859659E-2</v>
      </c>
      <c r="F21" s="28">
        <f>C21-(C21*$E$6)</f>
        <v>68.938757888073567</v>
      </c>
      <c r="G21" s="27" t="str">
        <f>IF(C21&gt;=F21,"-","+")</f>
        <v>+</v>
      </c>
      <c r="H21" s="26">
        <f>C21*D21</f>
        <v>5185.82</v>
      </c>
      <c r="I21" s="26">
        <f>F21*D21</f>
        <v>5280.7088542264346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186.8</v>
      </c>
      <c r="E22" s="29">
        <f>D22/$D$48</f>
        <v>3.0139726999903194E-2</v>
      </c>
      <c r="F22" s="28">
        <f>C22-(C22*$E$6)</f>
        <v>46.23071799288833</v>
      </c>
      <c r="G22" s="27" t="str">
        <f>IF(C22&gt;=F22,"-","+")</f>
        <v>+</v>
      </c>
      <c r="H22" s="26">
        <f>C22*D22</f>
        <v>8480.7199999999993</v>
      </c>
      <c r="I22" s="26">
        <f>F22*D22</f>
        <v>8635.898121071541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169.4</v>
      </c>
      <c r="E23" s="29">
        <f>D23/$D$48</f>
        <v>2.7332279195843686E-2</v>
      </c>
      <c r="F23" s="28">
        <f>C23-(C23*$E$6)</f>
        <v>42.157526980299046</v>
      </c>
      <c r="G23" s="27" t="str">
        <f>IF(C23&gt;=F23,"-","+")</f>
        <v>+</v>
      </c>
      <c r="H23" s="26">
        <f>C23*D23</f>
        <v>7013.16</v>
      </c>
      <c r="I23" s="26">
        <f>F23*D23</f>
        <v>7141.4850704626588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47.781192236598891</v>
      </c>
      <c r="D24" s="22">
        <f>SUM(D21:D23)</f>
        <v>432.79999999999995</v>
      </c>
      <c r="E24" s="21">
        <f>D24/$D$48</f>
        <v>6.9831230436606523E-2</v>
      </c>
      <c r="F24" s="20">
        <f>I24/D24</f>
        <v>48.655480697228825</v>
      </c>
      <c r="G24" s="19">
        <f>F24/C24-1</f>
        <v>1.8297753147320073E-2</v>
      </c>
      <c r="H24" s="18">
        <f>SUM(H21:H23)</f>
        <v>20679.699999999997</v>
      </c>
      <c r="I24" s="18">
        <f>SUM(I21:I23)</f>
        <v>21058.092045760633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v>1089</v>
      </c>
      <c r="E26" s="29">
        <f t="shared" ref="E26:E32" si="7">D26/$D$48</f>
        <v>0.17570750911613797</v>
      </c>
      <c r="F26" s="28">
        <f t="shared" ref="F26:F31" si="8">C26-(C26*$E$6)</f>
        <v>36.760548888618253</v>
      </c>
      <c r="G26" s="27" t="str">
        <f t="shared" ref="G26:G31" si="9">IF(C26&gt;=F26,"-","+")</f>
        <v>+</v>
      </c>
      <c r="H26" s="26">
        <f t="shared" ref="H26:H31" si="10">C26*D26</f>
        <v>39312.9</v>
      </c>
      <c r="I26" s="26">
        <f t="shared" ref="I26:I31" si="11">F26*D26</f>
        <v>40032.237739705277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985</v>
      </c>
      <c r="E27" s="29">
        <f t="shared" si="7"/>
        <v>0.15892736132175933</v>
      </c>
      <c r="F27" s="28">
        <f t="shared" si="8"/>
        <v>32.687357876028976</v>
      </c>
      <c r="G27" s="27" t="str">
        <f t="shared" si="9"/>
        <v>+</v>
      </c>
      <c r="H27" s="26">
        <f t="shared" si="10"/>
        <v>31618.5</v>
      </c>
      <c r="I27" s="26">
        <f t="shared" si="11"/>
        <v>32197.047507888543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583.6</v>
      </c>
      <c r="E28" s="29">
        <f t="shared" si="7"/>
        <v>9.4162444738455586E-2</v>
      </c>
      <c r="F28" s="28">
        <f t="shared" si="8"/>
        <v>32.687357876028976</v>
      </c>
      <c r="G28" s="27" t="str">
        <f t="shared" si="9"/>
        <v>+</v>
      </c>
      <c r="H28" s="26">
        <f t="shared" si="10"/>
        <v>18733.560000000001</v>
      </c>
      <c r="I28" s="26">
        <f t="shared" si="11"/>
        <v>19076.34205645051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504</v>
      </c>
      <c r="E29" s="29">
        <f t="shared" si="7"/>
        <v>8.1319177772758072E-2</v>
      </c>
      <c r="F29" s="28">
        <f t="shared" si="8"/>
        <v>31.669060122881657</v>
      </c>
      <c r="G29" s="27" t="str">
        <f t="shared" si="9"/>
        <v>+</v>
      </c>
      <c r="H29" s="26">
        <f t="shared" si="10"/>
        <v>15674.400000000001</v>
      </c>
      <c r="I29" s="26">
        <f t="shared" si="11"/>
        <v>15961.206301932356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343.6</v>
      </c>
      <c r="E30" s="29">
        <f t="shared" si="7"/>
        <v>5.5439026751427929E-2</v>
      </c>
      <c r="F30" s="28">
        <f t="shared" si="8"/>
        <v>31.669060122881657</v>
      </c>
      <c r="G30" s="27" t="str">
        <f t="shared" si="9"/>
        <v>+</v>
      </c>
      <c r="H30" s="26">
        <f t="shared" si="10"/>
        <v>10685.960000000001</v>
      </c>
      <c r="I30" s="26">
        <f t="shared" si="11"/>
        <v>10881.489058222138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178.7</v>
      </c>
      <c r="E31" s="29">
        <f t="shared" si="7"/>
        <v>2.8832811642841006E-2</v>
      </c>
      <c r="F31" s="28">
        <f t="shared" si="8"/>
        <v>32.178208999455315</v>
      </c>
      <c r="G31" s="27" t="str">
        <f t="shared" si="9"/>
        <v>+</v>
      </c>
      <c r="H31" s="26">
        <f t="shared" si="10"/>
        <v>5646.92</v>
      </c>
      <c r="I31" s="26">
        <f t="shared" si="11"/>
        <v>5750.2459482026643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33.028106083227016</v>
      </c>
      <c r="D32" s="22">
        <f>SUM(D26:D31)</f>
        <v>3683.8999999999996</v>
      </c>
      <c r="E32" s="21">
        <f t="shared" si="7"/>
        <v>0.59438833134337987</v>
      </c>
      <c r="F32" s="20">
        <f>I32/D32</f>
        <v>33.63244621526141</v>
      </c>
      <c r="G32" s="19">
        <f>F32/C32-1</f>
        <v>1.8297753147320295E-2</v>
      </c>
      <c r="H32" s="18">
        <f>SUM(H26:H31)</f>
        <v>121672.23999999999</v>
      </c>
      <c r="I32" s="18">
        <f>SUM(I26:I31)</f>
        <v>123898.56861240149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1104.4000000000001</v>
      </c>
      <c r="E34" s="29">
        <f t="shared" ref="E34:E40" si="13">D34/$D$48</f>
        <v>0.17819226177030562</v>
      </c>
      <c r="F34" s="28">
        <f t="shared" ref="F34:F39" si="14">C34-(C34*$E$6)</f>
        <v>19.347657309799082</v>
      </c>
      <c r="G34" s="27" t="str">
        <f t="shared" ref="G34:G39" si="15">IF(C34&gt;=F34,"-","+")</f>
        <v>+</v>
      </c>
      <c r="H34" s="26">
        <f t="shared" ref="H34:H39" si="16">C34*D34</f>
        <v>20983.600000000002</v>
      </c>
      <c r="I34" s="26">
        <f t="shared" ref="I34:I39" si="17">F34*D34</f>
        <v>21367.552732942109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14.867147195950873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11.914083711823643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31.669060122881657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31.669060122881657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32.687357876028976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</v>
      </c>
      <c r="D40" s="22">
        <f>SUM(D34:D39)</f>
        <v>1104.4000000000001</v>
      </c>
      <c r="E40" s="21">
        <f t="shared" si="13"/>
        <v>0.17819226177030562</v>
      </c>
      <c r="F40" s="20">
        <f>I40/D40</f>
        <v>19.347657309799082</v>
      </c>
      <c r="G40" s="19">
        <f>F40/C40-1</f>
        <v>1.8297753147320073E-2</v>
      </c>
      <c r="H40" s="18">
        <f>SUM(H34:H39)</f>
        <v>20983.600000000002</v>
      </c>
      <c r="I40" s="18">
        <f>SUM(I34:I39)</f>
        <v>21367.552732942109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954</v>
      </c>
      <c r="E42" s="107">
        <f>D42/$D$48</f>
        <v>0.15392558649843494</v>
      </c>
      <c r="F42" s="28">
        <f>C42-(C42*$E$6)</f>
        <v>0.40731910125892806</v>
      </c>
      <c r="G42" s="27" t="str">
        <f>IF(C42&gt;=F42,"-","+")</f>
        <v>+</v>
      </c>
      <c r="H42" s="26">
        <f>C42*D42</f>
        <v>381.6</v>
      </c>
      <c r="I42" s="26">
        <f>F42*D42</f>
        <v>388.58242260101736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19.7</v>
      </c>
      <c r="E43" s="107">
        <f>D43/$D$48</f>
        <v>3.1785472264351865E-3</v>
      </c>
      <c r="F43" s="28">
        <f>C43-(C43*$E$6)</f>
        <v>0.40731910125892806</v>
      </c>
      <c r="G43" s="27" t="str">
        <f>IF(C43&gt;=F43,"-","+")</f>
        <v>+</v>
      </c>
      <c r="H43" s="26">
        <f>C43*D43</f>
        <v>7.88</v>
      </c>
      <c r="I43" s="26">
        <f>F43*D43</f>
        <v>8.0241862948008826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</v>
      </c>
      <c r="E45" s="107">
        <f>D45/$D$48</f>
        <v>4.8404272483784568E-4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0.39877137299068294</v>
      </c>
      <c r="D46" s="22">
        <f>SUM(D41:D45)</f>
        <v>976.7</v>
      </c>
      <c r="E46" s="21">
        <f>D46/$D$48</f>
        <v>0.15758817644970796</v>
      </c>
      <c r="F46" s="20">
        <f>I46/D46</f>
        <v>0.40606799313588432</v>
      </c>
      <c r="G46" s="19">
        <f>F46/C46-1</f>
        <v>1.8297753147320073E-2</v>
      </c>
      <c r="H46" s="18">
        <f>SUM(H41:H44)</f>
        <v>389.48</v>
      </c>
      <c r="I46" s="18">
        <f>SUM(I41:I44)</f>
        <v>396.60660889581823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100.20806969281658</v>
      </c>
      <c r="D48" s="13">
        <f>D24+D32+D40+D46</f>
        <v>6197.8</v>
      </c>
      <c r="E48" s="12">
        <f>SUM(E20:E46)/2</f>
        <v>1</v>
      </c>
      <c r="F48" s="11">
        <f>I48/D48</f>
        <v>26.900000000000009</v>
      </c>
      <c r="G48" s="10"/>
      <c r="H48" s="9">
        <f>SUM(H20:H46)/2</f>
        <v>163725.01999999996</v>
      </c>
      <c r="I48" s="9">
        <f>SUM(I20:I46)/2</f>
        <v>166720.82000000007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6197.8</v>
      </c>
      <c r="E50" s="12">
        <f>D50/G2</f>
        <v>1</v>
      </c>
      <c r="F50" s="11">
        <f>I50/D50</f>
        <v>26.900000000000009</v>
      </c>
      <c r="G50" s="10"/>
      <c r="H50" s="9">
        <f>H48+H19</f>
        <v>163725.01999999996</v>
      </c>
      <c r="I50" s="9">
        <f>I48+I19</f>
        <v>166720.82000000007</v>
      </c>
      <c r="J50" s="106">
        <f>D50-G2</f>
        <v>0</v>
      </c>
      <c r="K50" s="8"/>
    </row>
    <row r="51" spans="1:11" ht="23.25" x14ac:dyDescent="0.35">
      <c r="A51" s="168" t="s">
        <v>125</v>
      </c>
      <c r="B51" s="169"/>
      <c r="C51" s="170"/>
      <c r="G51" s="7"/>
      <c r="H51" s="6"/>
      <c r="I51" s="6">
        <f>+I50/D50</f>
        <v>26.900000000000009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122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124</v>
      </c>
      <c r="D2" s="96" t="s">
        <v>3</v>
      </c>
      <c r="E2" s="95" t="s">
        <v>71</v>
      </c>
      <c r="F2" s="94" t="s">
        <v>5</v>
      </c>
      <c r="G2" s="93">
        <v>13460.7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168</v>
      </c>
      <c r="F3" s="88" t="s">
        <v>8</v>
      </c>
      <c r="G3" s="87">
        <v>26.75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80.123214285714283</v>
      </c>
      <c r="F4" s="81" t="s">
        <v>12</v>
      </c>
      <c r="G4" s="80">
        <f>G2*G3</f>
        <v>360073.72500000003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6.4521445561163127E-3</v>
      </c>
      <c r="F6" s="69" t="s">
        <v>16</v>
      </c>
      <c r="G6" s="68">
        <f>(I50-I19)/(D50-(SUM(D42:D44)+D19))</f>
        <v>31.323832991161549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 t="e">
        <f t="shared" ref="E10:E19" si="1">D10/$D$19</f>
        <v>#DIV/0!</v>
      </c>
      <c r="F10" s="28">
        <f t="shared" ref="F10:F18" si="2">C10-(C10*$E$6)</f>
        <v>26.627082525896082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27.9</v>
      </c>
      <c r="D11" s="30"/>
      <c r="E11" s="29" t="e">
        <f t="shared" si="1"/>
        <v>#DIV/0!</v>
      </c>
      <c r="F11" s="28">
        <f t="shared" si="2"/>
        <v>27.719985166884353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25.4</v>
      </c>
      <c r="D12" s="30"/>
      <c r="E12" s="29" t="e">
        <f t="shared" si="1"/>
        <v>#DIV/0!</v>
      </c>
      <c r="F12" s="28">
        <f t="shared" si="2"/>
        <v>25.236115528274645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 t="e">
        <f t="shared" si="1"/>
        <v>#DIV/0!</v>
      </c>
      <c r="F13" s="28">
        <f t="shared" si="2"/>
        <v>27.719985166884353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31.1</v>
      </c>
      <c r="D14" s="30"/>
      <c r="E14" s="29" t="e">
        <f t="shared" si="1"/>
        <v>#DIV/0!</v>
      </c>
      <c r="F14" s="28">
        <f t="shared" si="2"/>
        <v>30.899338304304784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25.7</v>
      </c>
      <c r="D15" s="30"/>
      <c r="E15" s="29" t="e">
        <f t="shared" si="1"/>
        <v>#DIV/0!</v>
      </c>
      <c r="F15" s="28">
        <f t="shared" si="2"/>
        <v>25.534179884907811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 t="e">
        <f t="shared" si="1"/>
        <v>#DIV/0!</v>
      </c>
      <c r="F16" s="28">
        <f t="shared" si="2"/>
        <v>34.972884511624706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51.7</v>
      </c>
      <c r="D17" s="30"/>
      <c r="E17" s="29" t="e">
        <f t="shared" si="1"/>
        <v>#DIV/0!</v>
      </c>
      <c r="F17" s="28">
        <f t="shared" si="2"/>
        <v>51.366424126448791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45.3</v>
      </c>
      <c r="D18" s="30"/>
      <c r="E18" s="29" t="e">
        <f t="shared" si="1"/>
        <v>#DIV/0!</v>
      </c>
      <c r="F18" s="28">
        <f t="shared" si="2"/>
        <v>45.007717851607929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67.3</v>
      </c>
      <c r="D21" s="30">
        <v>156.4</v>
      </c>
      <c r="E21" s="29">
        <f>D21/$D$48</f>
        <v>1.161900941258627E-2</v>
      </c>
      <c r="F21" s="28">
        <f>C21-(C21*$E$6)</f>
        <v>66.865770671373369</v>
      </c>
      <c r="G21" s="27" t="str">
        <f>IF(C21&gt;=F21,"-","+")</f>
        <v>-</v>
      </c>
      <c r="H21" s="26">
        <f>C21*D21</f>
        <v>10525.72</v>
      </c>
      <c r="I21" s="26">
        <f>F21*D21</f>
        <v>10457.806533002795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45.2</v>
      </c>
      <c r="D22" s="30">
        <v>408.9</v>
      </c>
      <c r="E22" s="29">
        <f>D22/$D$48</f>
        <v>3.0377320644543005E-2</v>
      </c>
      <c r="F22" s="28">
        <f>C22-(C22*$E$6)</f>
        <v>44.908363066063544</v>
      </c>
      <c r="G22" s="27" t="str">
        <f>IF(C22&gt;=F22,"-","+")</f>
        <v>-</v>
      </c>
      <c r="H22" s="26">
        <f>C22*D22</f>
        <v>18482.28</v>
      </c>
      <c r="I22" s="26">
        <f>F22*D22</f>
        <v>18363.029657713381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41.2</v>
      </c>
      <c r="D23" s="30">
        <v>339.1</v>
      </c>
      <c r="E23" s="29">
        <f>D23/$D$48</f>
        <v>2.519185480695655E-2</v>
      </c>
      <c r="F23" s="28">
        <f>C23-(C23*$E$6)</f>
        <v>40.934171644288014</v>
      </c>
      <c r="G23" s="27" t="str">
        <f>IF(C23&gt;=F23,"-","+")</f>
        <v>-</v>
      </c>
      <c r="H23" s="26">
        <f>C23*D23</f>
        <v>13970.920000000002</v>
      </c>
      <c r="I23" s="26">
        <f>F23*D23</f>
        <v>13880.777604578067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47.52202565236621</v>
      </c>
      <c r="D24" s="22">
        <f>SUM(D21:D23)</f>
        <v>904.4</v>
      </c>
      <c r="E24" s="21">
        <f>D24/$D$48</f>
        <v>6.7188184864085829E-2</v>
      </c>
      <c r="F24" s="20">
        <f>I24/D24</f>
        <v>47.215406673257675</v>
      </c>
      <c r="G24" s="19">
        <f>F24/C24-1</f>
        <v>-6.4521445561163127E-3</v>
      </c>
      <c r="H24" s="18">
        <f>SUM(H21:H23)</f>
        <v>42978.92</v>
      </c>
      <c r="I24" s="18">
        <f>SUM(I21:I23)</f>
        <v>42701.613795294237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35.9</v>
      </c>
      <c r="D26" s="30">
        <f>1485.4+1444.7</f>
        <v>2930.1000000000004</v>
      </c>
      <c r="E26" s="29">
        <f t="shared" ref="E26:E32" si="7">D26/$D$48</f>
        <v>0.21767812966636213</v>
      </c>
      <c r="F26" s="28">
        <f t="shared" ref="F26:F31" si="8">C26-(C26*$E$6)</f>
        <v>35.668368010435422</v>
      </c>
      <c r="G26" s="27" t="str">
        <f t="shared" ref="G26:G31" si="9">IF(C26&gt;=F26,"-","+")</f>
        <v>-</v>
      </c>
      <c r="H26" s="26">
        <f t="shared" ref="H26:H31" si="10">C26*D26</f>
        <v>105190.59000000001</v>
      </c>
      <c r="I26" s="26">
        <f t="shared" ref="I26:I31" si="11">F26*D26</f>
        <v>104511.88510737685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1860.8</v>
      </c>
      <c r="E27" s="29">
        <f t="shared" si="7"/>
        <v>0.13823946748683205</v>
      </c>
      <c r="F27" s="28">
        <f t="shared" si="8"/>
        <v>31.793531374204278</v>
      </c>
      <c r="G27" s="27" t="str">
        <f t="shared" si="9"/>
        <v>-</v>
      </c>
      <c r="H27" s="26">
        <f t="shared" si="10"/>
        <v>59545.599999999999</v>
      </c>
      <c r="I27" s="26">
        <f t="shared" si="11"/>
        <v>59161.40318111932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1276.2</v>
      </c>
      <c r="E28" s="29">
        <f t="shared" si="7"/>
        <v>9.4809333838507662E-2</v>
      </c>
      <c r="F28" s="28">
        <f t="shared" si="8"/>
        <v>31.793531374204278</v>
      </c>
      <c r="G28" s="27" t="str">
        <f t="shared" si="9"/>
        <v>-</v>
      </c>
      <c r="H28" s="26">
        <f t="shared" si="10"/>
        <v>40838.400000000001</v>
      </c>
      <c r="I28" s="26">
        <f t="shared" si="11"/>
        <v>40574.904739759499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30.9</v>
      </c>
      <c r="D29" s="30">
        <v>1257.8</v>
      </c>
      <c r="E29" s="29">
        <f t="shared" si="7"/>
        <v>9.3442391554673987E-2</v>
      </c>
      <c r="F29" s="28">
        <f t="shared" si="8"/>
        <v>30.700628733216003</v>
      </c>
      <c r="G29" s="27" t="str">
        <f t="shared" si="9"/>
        <v>-</v>
      </c>
      <c r="H29" s="26">
        <f t="shared" si="10"/>
        <v>38866.019999999997</v>
      </c>
      <c r="I29" s="26">
        <f t="shared" si="11"/>
        <v>38615.250820639085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30.9</v>
      </c>
      <c r="D30" s="30">
        <v>757.4</v>
      </c>
      <c r="E30" s="29">
        <f t="shared" si="7"/>
        <v>5.6267504661718933E-2</v>
      </c>
      <c r="F30" s="28">
        <f t="shared" si="8"/>
        <v>30.700628733216003</v>
      </c>
      <c r="G30" s="27" t="str">
        <f t="shared" si="9"/>
        <v>-</v>
      </c>
      <c r="H30" s="26">
        <f t="shared" si="10"/>
        <v>23403.66</v>
      </c>
      <c r="I30" s="26">
        <f t="shared" si="11"/>
        <v>23252.656202537801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31.4</v>
      </c>
      <c r="D31" s="30">
        <v>279.10000000000002</v>
      </c>
      <c r="E31" s="29">
        <f t="shared" si="7"/>
        <v>2.0734434316194556E-2</v>
      </c>
      <c r="F31" s="28">
        <f t="shared" si="8"/>
        <v>31.197402660937946</v>
      </c>
      <c r="G31" s="27" t="str">
        <f t="shared" si="9"/>
        <v>-</v>
      </c>
      <c r="H31" s="26">
        <f t="shared" si="10"/>
        <v>8763.74</v>
      </c>
      <c r="I31" s="26">
        <f t="shared" si="11"/>
        <v>8707.1950826677821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33.081542564642284</v>
      </c>
      <c r="D32" s="22">
        <f>SUM(D26:D31)</f>
        <v>8361.4</v>
      </c>
      <c r="E32" s="21">
        <f t="shared" si="7"/>
        <v>0.62117126152428925</v>
      </c>
      <c r="F32" s="20">
        <f>I32/D32</f>
        <v>32.868095669875906</v>
      </c>
      <c r="G32" s="19">
        <f>F32/C32-1</f>
        <v>-6.4521445561160906E-3</v>
      </c>
      <c r="H32" s="18">
        <f>SUM(H26:H31)</f>
        <v>276608.00999999995</v>
      </c>
      <c r="I32" s="18">
        <f>SUM(I26:I31)</f>
        <v>274823.29513410036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2225.3000000000002</v>
      </c>
      <c r="E34" s="29">
        <f t="shared" ref="E34:E40" si="13">D34/$D$48</f>
        <v>0.16531829696821118</v>
      </c>
      <c r="F34" s="28">
        <f t="shared" ref="F34:F39" si="14">C34-(C34*$E$6)</f>
        <v>18.778054467889401</v>
      </c>
      <c r="G34" s="27" t="str">
        <f t="shared" ref="G34:G39" si="15">IF(C34&gt;=F34,"-","+")</f>
        <v>-</v>
      </c>
      <c r="H34" s="26">
        <f t="shared" ref="H34:H39" si="16">C34*D34</f>
        <v>42058.17</v>
      </c>
      <c r="I34" s="26">
        <f t="shared" ref="I34:I39" si="17">F34*D34</f>
        <v>41786.80460739429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14.5</v>
      </c>
      <c r="D35" s="30"/>
      <c r="E35" s="29">
        <f t="shared" si="13"/>
        <v>0</v>
      </c>
      <c r="F35" s="28">
        <f t="shared" si="14"/>
        <v>14.406443903936314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11.624509908693438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30.9</v>
      </c>
      <c r="D37" s="30"/>
      <c r="E37" s="29">
        <f t="shared" si="13"/>
        <v>0</v>
      </c>
      <c r="F37" s="28">
        <f t="shared" si="14"/>
        <v>30.700628733216003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30.9</v>
      </c>
      <c r="D38" s="30"/>
      <c r="E38" s="29">
        <f t="shared" si="13"/>
        <v>0</v>
      </c>
      <c r="F38" s="28">
        <f t="shared" si="14"/>
        <v>30.700628733216003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31.793531374204278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2225.3000000000002</v>
      </c>
      <c r="E40" s="21">
        <f t="shared" si="13"/>
        <v>0.16531829696821118</v>
      </c>
      <c r="F40" s="20">
        <f>I40/D40</f>
        <v>18.778054467889401</v>
      </c>
      <c r="G40" s="19">
        <f>F40/C40-1</f>
        <v>-6.4521445561163127E-3</v>
      </c>
      <c r="H40" s="18">
        <f>SUM(H34:H39)</f>
        <v>42058.17</v>
      </c>
      <c r="I40" s="18">
        <f>SUM(I34:I39)</f>
        <v>41786.80460739429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1859</v>
      </c>
      <c r="E42" s="107">
        <f>D42/$D$48</f>
        <v>0.13810574487210919</v>
      </c>
      <c r="F42" s="28">
        <f>C42-(C42*$E$6)</f>
        <v>0.39741914217755347</v>
      </c>
      <c r="G42" s="27" t="str">
        <f>IF(C42&gt;=F42,"-","+")</f>
        <v>-</v>
      </c>
      <c r="H42" s="26">
        <f>C42*D42</f>
        <v>743.6</v>
      </c>
      <c r="I42" s="26">
        <f>F42*D42</f>
        <v>738.8021853080719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58.4</v>
      </c>
      <c r="E43" s="107">
        <f>D43/$D$48</f>
        <v>4.3385559443416761E-3</v>
      </c>
      <c r="F43" s="28">
        <f>C43-(C43*$E$6)</f>
        <v>0.39741914217755347</v>
      </c>
      <c r="G43" s="27" t="str">
        <f>IF(C43&gt;=F43,"-","+")</f>
        <v>-</v>
      </c>
      <c r="H43" s="26">
        <f>C43*D43</f>
        <v>23.36</v>
      </c>
      <c r="I43" s="26">
        <f>F43*D43</f>
        <v>23.209277903169124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48.1</v>
      </c>
      <c r="E44" s="107">
        <f>D44/$D$48</f>
        <v>3.5733654267608673E-3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3.0459040020206971E-4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0.38939886271324131</v>
      </c>
      <c r="D46" s="22">
        <f>SUM(D41:D45)</f>
        <v>1969.6</v>
      </c>
      <c r="E46" s="21">
        <f>D46/$D$48</f>
        <v>0.14632225664341381</v>
      </c>
      <c r="F46" s="20">
        <f>I46/D46</f>
        <v>0.38688640496102816</v>
      </c>
      <c r="G46" s="19">
        <f>F46/C46-1</f>
        <v>-6.4521445561164237E-3</v>
      </c>
      <c r="H46" s="18">
        <f>SUM(H41:H44)</f>
        <v>766.96</v>
      </c>
      <c r="I46" s="18">
        <f>SUM(I41:I44)</f>
        <v>762.01146321124099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99.892967079721743</v>
      </c>
      <c r="D48" s="13">
        <f>D24+D32+D40+D46</f>
        <v>13460.699999999999</v>
      </c>
      <c r="E48" s="12">
        <f>SUM(E20:E46)/2</f>
        <v>1.0000000000000002</v>
      </c>
      <c r="F48" s="11">
        <f>I48/D48</f>
        <v>26.750000000000014</v>
      </c>
      <c r="G48" s="10"/>
      <c r="H48" s="9">
        <f>SUM(H20:H46)/2</f>
        <v>362412.05999999994</v>
      </c>
      <c r="I48" s="9">
        <f>SUM(I20:I46)/2</f>
        <v>360073.72500000015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13460.699999999997</v>
      </c>
      <c r="E50" s="12">
        <f>D50/G2</f>
        <v>0.99999999999999978</v>
      </c>
      <c r="F50" s="11">
        <f>I50/D50</f>
        <v>26.750000000000018</v>
      </c>
      <c r="G50" s="10"/>
      <c r="H50" s="9">
        <f>H48+H19</f>
        <v>362412.05999999994</v>
      </c>
      <c r="I50" s="9">
        <f>I48+I19</f>
        <v>360073.72500000015</v>
      </c>
      <c r="J50" s="106">
        <f>D50-G2</f>
        <v>0</v>
      </c>
      <c r="K50" s="8"/>
    </row>
    <row r="51" spans="1:11" ht="23.25" x14ac:dyDescent="0.35">
      <c r="A51" s="168" t="s">
        <v>126</v>
      </c>
      <c r="B51" s="169"/>
      <c r="C51" s="170"/>
      <c r="G51" s="7"/>
      <c r="H51" s="6"/>
      <c r="I51" s="6">
        <f>+I50/D50</f>
        <v>26.750000000000018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122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127</v>
      </c>
      <c r="D2" s="96" t="s">
        <v>3</v>
      </c>
      <c r="E2" s="95" t="s">
        <v>71</v>
      </c>
      <c r="F2" s="94" t="s">
        <v>5</v>
      </c>
      <c r="G2" s="93">
        <v>1638.3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128</v>
      </c>
      <c r="D3" s="90" t="s">
        <v>7</v>
      </c>
      <c r="E3" s="89">
        <v>20</v>
      </c>
      <c r="F3" s="88" t="s">
        <v>8</v>
      </c>
      <c r="G3" s="87">
        <v>26.75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81.914999999999992</v>
      </c>
      <c r="F4" s="81" t="s">
        <v>12</v>
      </c>
      <c r="G4" s="80">
        <f>G2*G3</f>
        <v>43824.525000000001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-6.1239346908865677E-3</v>
      </c>
      <c r="F6" s="69" t="s">
        <v>16</v>
      </c>
      <c r="G6" s="68">
        <f>(I50-I19)/(D50-(SUM(D42:D44)+D19))</f>
        <v>31.660917512843874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26.964121449715762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27.9</v>
      </c>
      <c r="D11" s="30"/>
      <c r="E11" s="29">
        <f t="shared" si="1"/>
        <v>0</v>
      </c>
      <c r="F11" s="28">
        <f t="shared" si="2"/>
        <v>28.070857777875734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25.4</v>
      </c>
      <c r="D12" s="30"/>
      <c r="E12" s="29">
        <f t="shared" si="1"/>
        <v>0</v>
      </c>
      <c r="F12" s="28">
        <f t="shared" si="2"/>
        <v>25.555547941148518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28.070857777875734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31.1</v>
      </c>
      <c r="D14" s="30"/>
      <c r="E14" s="29">
        <f t="shared" si="1"/>
        <v>0</v>
      </c>
      <c r="F14" s="28">
        <f t="shared" si="2"/>
        <v>31.290454368886575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25.7</v>
      </c>
      <c r="D15" s="30">
        <v>11</v>
      </c>
      <c r="E15" s="29">
        <f t="shared" si="1"/>
        <v>1</v>
      </c>
      <c r="F15" s="28">
        <f t="shared" si="2"/>
        <v>25.857385121555783</v>
      </c>
      <c r="G15" s="27" t="str">
        <f t="shared" si="3"/>
        <v>+</v>
      </c>
      <c r="H15" s="34">
        <f t="shared" si="4"/>
        <v>282.7</v>
      </c>
      <c r="I15" s="34">
        <f t="shared" si="5"/>
        <v>284.4312363371136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>
        <f t="shared" si="1"/>
        <v>0</v>
      </c>
      <c r="F16" s="28">
        <f t="shared" si="2"/>
        <v>35.415562501119211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51.7</v>
      </c>
      <c r="D17" s="30"/>
      <c r="E17" s="29">
        <f t="shared" si="1"/>
        <v>0</v>
      </c>
      <c r="F17" s="28">
        <f t="shared" si="2"/>
        <v>52.016607423518842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45.3</v>
      </c>
      <c r="D18" s="30"/>
      <c r="E18" s="29">
        <f t="shared" si="1"/>
        <v>0</v>
      </c>
      <c r="F18" s="28">
        <f t="shared" si="2"/>
        <v>45.577414241497159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25.7</v>
      </c>
      <c r="D19" s="49">
        <f>SUM(D10:D18)</f>
        <v>11</v>
      </c>
      <c r="E19" s="48">
        <f t="shared" si="1"/>
        <v>1</v>
      </c>
      <c r="F19" s="47">
        <f>I19/D19</f>
        <v>25.857385121555783</v>
      </c>
      <c r="G19" s="46">
        <f>F19/C19-1</f>
        <v>6.1239346908865677E-3</v>
      </c>
      <c r="H19" s="9">
        <f>SUM(H10:H18)</f>
        <v>282.7</v>
      </c>
      <c r="I19" s="9">
        <f>SUM(I10:I18)</f>
        <v>284.4312363371136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67.3</v>
      </c>
      <c r="D21" s="30">
        <v>18.8</v>
      </c>
      <c r="E21" s="29">
        <f>D21/$D$48</f>
        <v>1.1550039933648708E-2</v>
      </c>
      <c r="F21" s="28">
        <f>C21-(C21*$E$6)</f>
        <v>67.712140804696659</v>
      </c>
      <c r="G21" s="27" t="str">
        <f>IF(C21&gt;=F21,"-","+")</f>
        <v>+</v>
      </c>
      <c r="H21" s="26">
        <f>C21*D21</f>
        <v>1265.24</v>
      </c>
      <c r="I21" s="26">
        <f>F21*D21</f>
        <v>1272.9882471282972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45.2</v>
      </c>
      <c r="D22" s="30">
        <v>42.4</v>
      </c>
      <c r="E22" s="29">
        <f>D22/$D$48</f>
        <v>2.6049026233335382E-2</v>
      </c>
      <c r="F22" s="28">
        <f>C22-(C22*$E$6)</f>
        <v>45.476801848028074</v>
      </c>
      <c r="G22" s="27" t="str">
        <f>IF(C22&gt;=F22,"-","+")</f>
        <v>+</v>
      </c>
      <c r="H22" s="26">
        <f>C22*D22</f>
        <v>1916.48</v>
      </c>
      <c r="I22" s="26">
        <f>F22*D22</f>
        <v>1928.2163983563903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41.2</v>
      </c>
      <c r="D23" s="30">
        <v>41.4</v>
      </c>
      <c r="E23" s="29">
        <f>D23/$D$48</f>
        <v>2.5434662407077473E-2</v>
      </c>
      <c r="F23" s="28">
        <f>C23-(C23*$E$6)</f>
        <v>41.452306109264526</v>
      </c>
      <c r="G23" s="27" t="str">
        <f>IF(C23&gt;=F23,"-","+")</f>
        <v>+</v>
      </c>
      <c r="H23" s="26">
        <f>C23*D23</f>
        <v>1705.68</v>
      </c>
      <c r="I23" s="26">
        <f>F23*D23</f>
        <v>1716.1254729235513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47.635477582846015</v>
      </c>
      <c r="D24" s="22">
        <f>SUM(D21:D23)</f>
        <v>102.6</v>
      </c>
      <c r="E24" s="21">
        <f>D24/$D$48</f>
        <v>6.3033728574061559E-2</v>
      </c>
      <c r="F24" s="20">
        <f>I24/D24</f>
        <v>47.927194136532549</v>
      </c>
      <c r="G24" s="19">
        <f>F24/C24-1</f>
        <v>6.1239346908863457E-3</v>
      </c>
      <c r="H24" s="18">
        <f>SUM(H21:H23)</f>
        <v>4887.4000000000005</v>
      </c>
      <c r="I24" s="18">
        <f>SUM(I21:I23)</f>
        <v>4917.3301184082393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35.9</v>
      </c>
      <c r="D26" s="30">
        <v>357.4</v>
      </c>
      <c r="E26" s="29">
        <f t="shared" ref="E26:E32" si="7">D26/$D$48</f>
        <v>0.21957363150457701</v>
      </c>
      <c r="F26" s="28">
        <f t="shared" ref="F26:F31" si="8">C26-(C26*$E$6)</f>
        <v>36.119849255402826</v>
      </c>
      <c r="G26" s="27" t="str">
        <f t="shared" ref="G26:G31" si="9">IF(C26&gt;=F26,"-","+")</f>
        <v>+</v>
      </c>
      <c r="H26" s="26">
        <f t="shared" ref="H26:H31" si="10">C26*D26</f>
        <v>12830.659999999998</v>
      </c>
      <c r="I26" s="26">
        <f t="shared" ref="I26:I31" si="11">F26*D26</f>
        <v>12909.234123880969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201.2</v>
      </c>
      <c r="E27" s="29">
        <f t="shared" si="7"/>
        <v>0.12361000184309148</v>
      </c>
      <c r="F27" s="28">
        <f t="shared" si="8"/>
        <v>32.19596591010837</v>
      </c>
      <c r="G27" s="27" t="str">
        <f t="shared" si="9"/>
        <v>+</v>
      </c>
      <c r="H27" s="26">
        <f t="shared" si="10"/>
        <v>6438.4</v>
      </c>
      <c r="I27" s="26">
        <f t="shared" si="11"/>
        <v>6477.8283411138036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174.2</v>
      </c>
      <c r="E28" s="29">
        <f t="shared" si="7"/>
        <v>0.10702217853412792</v>
      </c>
      <c r="F28" s="28">
        <f t="shared" si="8"/>
        <v>32.19596591010837</v>
      </c>
      <c r="G28" s="27" t="str">
        <f t="shared" si="9"/>
        <v>+</v>
      </c>
      <c r="H28" s="26">
        <f t="shared" si="10"/>
        <v>5574.4</v>
      </c>
      <c r="I28" s="26">
        <f t="shared" si="11"/>
        <v>5608.5372615408778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30.9</v>
      </c>
      <c r="D29" s="30">
        <v>174.4</v>
      </c>
      <c r="E29" s="29">
        <f t="shared" si="7"/>
        <v>0.10714505129937951</v>
      </c>
      <c r="F29" s="28">
        <f t="shared" si="8"/>
        <v>31.089229581948395</v>
      </c>
      <c r="G29" s="27" t="str">
        <f t="shared" si="9"/>
        <v>+</v>
      </c>
      <c r="H29" s="26">
        <f t="shared" si="10"/>
        <v>5388.96</v>
      </c>
      <c r="I29" s="26">
        <f t="shared" si="11"/>
        <v>5421.9616390918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30.9</v>
      </c>
      <c r="D30" s="30">
        <v>71.400000000000006</v>
      </c>
      <c r="E30" s="29">
        <f t="shared" si="7"/>
        <v>4.3865577194814778E-2</v>
      </c>
      <c r="F30" s="28">
        <f t="shared" si="8"/>
        <v>31.089229581948395</v>
      </c>
      <c r="G30" s="27" t="str">
        <f t="shared" si="9"/>
        <v>+</v>
      </c>
      <c r="H30" s="26">
        <f t="shared" si="10"/>
        <v>2206.2600000000002</v>
      </c>
      <c r="I30" s="26">
        <f t="shared" si="11"/>
        <v>2219.7709921511155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31.4</v>
      </c>
      <c r="D31" s="30">
        <v>25.4</v>
      </c>
      <c r="E31" s="29">
        <f t="shared" si="7"/>
        <v>1.5604841186950913E-2</v>
      </c>
      <c r="F31" s="28">
        <f t="shared" si="8"/>
        <v>31.592291549293837</v>
      </c>
      <c r="G31" s="27" t="str">
        <f t="shared" si="9"/>
        <v>+</v>
      </c>
      <c r="H31" s="26">
        <f t="shared" si="10"/>
        <v>797.56</v>
      </c>
      <c r="I31" s="26">
        <f t="shared" si="11"/>
        <v>802.44420535206336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33.103824701195222</v>
      </c>
      <c r="D32" s="22">
        <f>SUM(D26:D31)</f>
        <v>1003.9999999999999</v>
      </c>
      <c r="E32" s="21">
        <f t="shared" si="7"/>
        <v>0.61682128156294158</v>
      </c>
      <c r="F32" s="20">
        <f>I32/D32</f>
        <v>33.306550361683897</v>
      </c>
      <c r="G32" s="19">
        <f>F32/C32-1</f>
        <v>6.1239346908865677E-3</v>
      </c>
      <c r="H32" s="18">
        <f>SUM(H26:H31)</f>
        <v>33236.239999999998</v>
      </c>
      <c r="I32" s="18">
        <f>SUM(I26:I31)</f>
        <v>33439.776563130632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267.60000000000002</v>
      </c>
      <c r="E34" s="29">
        <f t="shared" ref="E34:E40" si="13">D34/$D$48</f>
        <v>0.16440375990661674</v>
      </c>
      <c r="F34" s="28">
        <f t="shared" ref="F34:F39" si="14">C34-(C34*$E$6)</f>
        <v>19.015742365657754</v>
      </c>
      <c r="G34" s="27" t="str">
        <f t="shared" ref="G34:G39" si="15">IF(C34&gt;=F34,"-","+")</f>
        <v>+</v>
      </c>
      <c r="H34" s="26">
        <f t="shared" ref="H34:H39" si="16">C34*D34</f>
        <v>5057.6400000000003</v>
      </c>
      <c r="I34" s="26">
        <f t="shared" ref="I34:I39" si="17">F34*D34</f>
        <v>5088.6126570500155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14.5</v>
      </c>
      <c r="D35" s="30"/>
      <c r="E35" s="29">
        <f t="shared" si="13"/>
        <v>0</v>
      </c>
      <c r="F35" s="28">
        <f t="shared" si="14"/>
        <v>14.588797053017855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11.771650035883372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30.9</v>
      </c>
      <c r="D37" s="30"/>
      <c r="E37" s="29">
        <f t="shared" si="13"/>
        <v>0</v>
      </c>
      <c r="F37" s="28">
        <f t="shared" si="14"/>
        <v>31.089229581948395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30.9</v>
      </c>
      <c r="D38" s="30"/>
      <c r="E38" s="29">
        <f t="shared" si="13"/>
        <v>0</v>
      </c>
      <c r="F38" s="28">
        <f t="shared" si="14"/>
        <v>31.089229581948395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32.19596591010837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267.60000000000002</v>
      </c>
      <c r="E40" s="21">
        <f t="shared" si="13"/>
        <v>0.16440375990661674</v>
      </c>
      <c r="F40" s="20">
        <f>I40/D40</f>
        <v>19.015742365657754</v>
      </c>
      <c r="G40" s="19">
        <f>F40/C40-1</f>
        <v>6.1239346908865677E-3</v>
      </c>
      <c r="H40" s="18">
        <f>SUM(H34:H39)</f>
        <v>5057.6400000000003</v>
      </c>
      <c r="I40" s="18">
        <f>SUM(I34:I39)</f>
        <v>5088.6126570500155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225.5</v>
      </c>
      <c r="E42" s="107">
        <f>D42/$D$48</f>
        <v>0.1385390428211587</v>
      </c>
      <c r="F42" s="28">
        <f>C42-(C42*$E$6)</f>
        <v>0.40244957387635466</v>
      </c>
      <c r="G42" s="27" t="str">
        <f>IF(C42&gt;=F42,"-","+")</f>
        <v>+</v>
      </c>
      <c r="H42" s="26">
        <f>C42*D42</f>
        <v>90.2</v>
      </c>
      <c r="I42" s="26">
        <f>F42*D42</f>
        <v>90.752378909117979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</v>
      </c>
      <c r="E43" s="107">
        <f>D43/$D$48</f>
        <v>5.5292744363211899E-3</v>
      </c>
      <c r="F43" s="28">
        <f>C43-(C43*$E$6)</f>
        <v>0.40244957387635466</v>
      </c>
      <c r="G43" s="27" t="str">
        <f>IF(C43&gt;=F43,"-","+")</f>
        <v>+</v>
      </c>
      <c r="H43" s="26">
        <f>C43*D43</f>
        <v>3.6</v>
      </c>
      <c r="I43" s="26">
        <f>F43*D43</f>
        <v>3.622046164887192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18</v>
      </c>
      <c r="E44" s="107">
        <f>D44/$D$48</f>
        <v>1.105854887264238E-2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</v>
      </c>
      <c r="E45" s="107">
        <f>D45/$D$48</f>
        <v>6.1436382625791001E-4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0.37001972386587773</v>
      </c>
      <c r="D46" s="22">
        <f>SUM(D41:D45)</f>
        <v>253.5</v>
      </c>
      <c r="E46" s="21">
        <f>D46/$D$48</f>
        <v>0.15574122995638018</v>
      </c>
      <c r="F46" s="20">
        <f>I46/D46</f>
        <v>0.37228570048917231</v>
      </c>
      <c r="G46" s="19">
        <f>F46/C46-1</f>
        <v>6.1239346908867898E-3</v>
      </c>
      <c r="H46" s="18">
        <f>SUM(H41:H44)</f>
        <v>93.8</v>
      </c>
      <c r="I46" s="18">
        <f>SUM(I41:I44)</f>
        <v>94.374425074005174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100.00932200790712</v>
      </c>
      <c r="D48" s="13">
        <f>D24+D32+D40+D46</f>
        <v>1627.6999999999998</v>
      </c>
      <c r="E48" s="12">
        <f>SUM(E20:E46)/2</f>
        <v>1.0000000000000002</v>
      </c>
      <c r="F48" s="11">
        <f>I48/D48</f>
        <v>26.749458600272103</v>
      </c>
      <c r="G48" s="10"/>
      <c r="H48" s="9">
        <f>SUM(H20:H46)/2</f>
        <v>43275.08</v>
      </c>
      <c r="I48" s="9">
        <f>SUM(I20:I46)/2</f>
        <v>43540.093763662895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1638.7</v>
      </c>
      <c r="E50" s="12">
        <f>D50/G2</f>
        <v>1.0002441555270707</v>
      </c>
      <c r="F50" s="11">
        <f>I50/D50</f>
        <v>26.743470433880521</v>
      </c>
      <c r="G50" s="10"/>
      <c r="H50" s="9">
        <f>H48+H19</f>
        <v>43557.78</v>
      </c>
      <c r="I50" s="9">
        <f>I48+I19</f>
        <v>43824.525000000009</v>
      </c>
      <c r="J50" s="106">
        <f>D50-G2</f>
        <v>0.40000000000009095</v>
      </c>
      <c r="K50" s="8"/>
    </row>
    <row r="51" spans="1:11" ht="23.25" x14ac:dyDescent="0.35">
      <c r="A51" s="168" t="s">
        <v>129</v>
      </c>
      <c r="B51" s="169"/>
      <c r="C51" s="170"/>
      <c r="G51" s="7"/>
      <c r="H51" s="6"/>
      <c r="I51" s="6">
        <f>+I50/D50</f>
        <v>26.743470433880521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130</v>
      </c>
      <c r="D1" s="100" t="s">
        <v>1</v>
      </c>
      <c r="E1" s="168" t="s">
        <v>131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130</v>
      </c>
      <c r="D2" s="96" t="s">
        <v>3</v>
      </c>
      <c r="E2" s="95" t="s">
        <v>71</v>
      </c>
      <c r="F2" s="94" t="s">
        <v>5</v>
      </c>
      <c r="G2" s="93">
        <v>20830.5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240</v>
      </c>
      <c r="F3" s="88" t="s">
        <v>8</v>
      </c>
      <c r="G3" s="87">
        <v>26.3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86.793750000000003</v>
      </c>
      <c r="F4" s="81" t="s">
        <v>12</v>
      </c>
      <c r="G4" s="80">
        <f>G2*G3</f>
        <v>547842.15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1.7679934575846712E-2</v>
      </c>
      <c r="F6" s="69" t="s">
        <v>16</v>
      </c>
      <c r="G6" s="68">
        <f>(I50-I19)/(D50-(SUM(D42:D44)+D19))</f>
        <v>31.155895449814885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 t="e">
        <f t="shared" ref="E10:E19" si="1">D10/$D$19</f>
        <v>#DIV/0!</v>
      </c>
      <c r="F10" s="28">
        <f t="shared" ref="F10:F18" si="2">C10-(C10*$E$6)</f>
        <v>25.835017720655234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27.4</v>
      </c>
      <c r="D11" s="30"/>
      <c r="E11" s="29" t="e">
        <f t="shared" si="1"/>
        <v>#DIV/0!</v>
      </c>
      <c r="F11" s="28">
        <f t="shared" si="2"/>
        <v>26.915569792621799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 t="e">
        <f t="shared" si="1"/>
        <v>#DIV/0!</v>
      </c>
      <c r="F12" s="28">
        <f t="shared" si="2"/>
        <v>24.558001635603834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27.4</v>
      </c>
      <c r="D13" s="30"/>
      <c r="E13" s="29" t="e">
        <f t="shared" si="1"/>
        <v>#DIV/0!</v>
      </c>
      <c r="F13" s="28">
        <f t="shared" si="2"/>
        <v>26.915569792621799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 t="e">
        <f t="shared" si="1"/>
        <v>#DIV/0!</v>
      </c>
      <c r="F14" s="28">
        <f t="shared" si="2"/>
        <v>30.058994001979091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24.754465648688662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34.6</v>
      </c>
      <c r="D16" s="30"/>
      <c r="E16" s="29" t="e">
        <f t="shared" si="1"/>
        <v>#DIV/0!</v>
      </c>
      <c r="F16" s="28">
        <f t="shared" si="2"/>
        <v>33.988274263675706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50.9</v>
      </c>
      <c r="D17" s="30"/>
      <c r="E17" s="29" t="e">
        <f t="shared" si="1"/>
        <v>#DIV/0!</v>
      </c>
      <c r="F17" s="28">
        <f t="shared" si="2"/>
        <v>50.000091330089404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44.6</v>
      </c>
      <c r="D18" s="30"/>
      <c r="E18" s="29" t="e">
        <f t="shared" si="1"/>
        <v>#DIV/0!</v>
      </c>
      <c r="F18" s="28">
        <f t="shared" si="2"/>
        <v>43.811474917917238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66.099999999999994</v>
      </c>
      <c r="D21" s="30">
        <v>289.8</v>
      </c>
      <c r="E21" s="29">
        <f>D21/$D$48</f>
        <v>1.3912024924511185E-2</v>
      </c>
      <c r="F21" s="28">
        <f>C21-(C21*$E$6)</f>
        <v>64.931356324536523</v>
      </c>
      <c r="G21" s="27" t="str">
        <f>IF(C21&gt;=F21,"-","+")</f>
        <v>-</v>
      </c>
      <c r="H21" s="26">
        <f>C21*D21</f>
        <v>19155.78</v>
      </c>
      <c r="I21" s="26">
        <f>F21*D21</f>
        <v>18817.107062850686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44.4</v>
      </c>
      <c r="D22" s="30">
        <v>738.8</v>
      </c>
      <c r="E22" s="29">
        <f>D22/$D$48</f>
        <v>3.5466542492163085E-2</v>
      </c>
      <c r="F22" s="28">
        <f>C22-(C22*$E$6)</f>
        <v>43.615010904832403</v>
      </c>
      <c r="G22" s="27" t="str">
        <f>IF(C22&gt;=F22,"-","+")</f>
        <v>-</v>
      </c>
      <c r="H22" s="26">
        <f>C22*D22</f>
        <v>32802.719999999994</v>
      </c>
      <c r="I22" s="26">
        <f>F22*D22</f>
        <v>32222.770056490179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40.5</v>
      </c>
      <c r="D23" s="30">
        <v>539.79999999999995</v>
      </c>
      <c r="E23" s="29">
        <f>D23/$D$48</f>
        <v>2.5913426688237186E-2</v>
      </c>
      <c r="F23" s="28">
        <f>C23-(C23*$E$6)</f>
        <v>39.783962649678209</v>
      </c>
      <c r="G23" s="27" t="str">
        <f>IF(C23&gt;=F23,"-","+")</f>
        <v>-</v>
      </c>
      <c r="H23" s="26">
        <f>C23*D23</f>
        <v>21861.899999999998</v>
      </c>
      <c r="I23" s="26">
        <f>F23*D23</f>
        <v>21475.383038296295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47.067329762815611</v>
      </c>
      <c r="D24" s="22">
        <f>SUM(D21:D23)</f>
        <v>1568.3999999999999</v>
      </c>
      <c r="E24" s="21">
        <f>D24/$D$48</f>
        <v>7.5291994104911455E-2</v>
      </c>
      <c r="F24" s="20">
        <f>I24/D24</f>
        <v>46.235182451949221</v>
      </c>
      <c r="G24" s="19">
        <f>F24/C24-1</f>
        <v>-1.7679934575846823E-2</v>
      </c>
      <c r="H24" s="18">
        <f>SUM(H21:H23)</f>
        <v>73820.399999999994</v>
      </c>
      <c r="I24" s="18">
        <f>SUM(I21:I23)</f>
        <v>72515.260157637153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35.299999999999997</v>
      </c>
      <c r="D26" s="30">
        <v>4055.5</v>
      </c>
      <c r="E26" s="29">
        <f t="shared" ref="E26:E32" si="7">D26/$D$48</f>
        <v>0.19468673941116324</v>
      </c>
      <c r="F26" s="28">
        <f t="shared" ref="F26:F31" si="8">C26-(C26*$E$6)</f>
        <v>34.675898309472608</v>
      </c>
      <c r="G26" s="27" t="str">
        <f t="shared" ref="G26:G31" si="9">IF(C26&gt;=F26,"-","+")</f>
        <v>-</v>
      </c>
      <c r="H26" s="26">
        <f t="shared" ref="H26:H31" si="10">C26*D26</f>
        <v>143159.15</v>
      </c>
      <c r="I26" s="26">
        <f t="shared" ref="I26:I31" si="11">F26*D26</f>
        <v>140628.10559406615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3479.6</v>
      </c>
      <c r="E27" s="29">
        <f t="shared" si="7"/>
        <v>0.16704031030824401</v>
      </c>
      <c r="F27" s="28">
        <f t="shared" si="8"/>
        <v>30.84485005431841</v>
      </c>
      <c r="G27" s="27" t="str">
        <f t="shared" si="9"/>
        <v>-</v>
      </c>
      <c r="H27" s="26">
        <f t="shared" si="10"/>
        <v>109259.43999999999</v>
      </c>
      <c r="I27" s="26">
        <f t="shared" si="11"/>
        <v>107327.74024900634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2448.6999999999998</v>
      </c>
      <c r="E28" s="29">
        <f t="shared" si="7"/>
        <v>0.11755132999534346</v>
      </c>
      <c r="F28" s="28">
        <f t="shared" si="8"/>
        <v>30.84485005431841</v>
      </c>
      <c r="G28" s="27" t="str">
        <f t="shared" si="9"/>
        <v>-</v>
      </c>
      <c r="H28" s="26">
        <f t="shared" si="10"/>
        <v>76889.179999999993</v>
      </c>
      <c r="I28" s="26">
        <f t="shared" si="11"/>
        <v>75529.784328009482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30.4</v>
      </c>
      <c r="D29" s="30">
        <v>1780.2</v>
      </c>
      <c r="E29" s="29">
        <f t="shared" si="7"/>
        <v>8.545958167914014E-2</v>
      </c>
      <c r="F29" s="28">
        <f t="shared" si="8"/>
        <v>29.862529988894259</v>
      </c>
      <c r="G29" s="27" t="str">
        <f t="shared" si="9"/>
        <v>-</v>
      </c>
      <c r="H29" s="26">
        <f t="shared" si="10"/>
        <v>54118.080000000002</v>
      </c>
      <c r="I29" s="26">
        <f t="shared" si="11"/>
        <v>53161.27588622956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30.4</v>
      </c>
      <c r="D30" s="30">
        <v>1138</v>
      </c>
      <c r="E30" s="29">
        <f t="shared" si="7"/>
        <v>5.4630380828480769E-2</v>
      </c>
      <c r="F30" s="28">
        <f t="shared" si="8"/>
        <v>29.862529988894259</v>
      </c>
      <c r="G30" s="27" t="str">
        <f t="shared" si="9"/>
        <v>-</v>
      </c>
      <c r="H30" s="26">
        <f t="shared" si="10"/>
        <v>34595.199999999997</v>
      </c>
      <c r="I30" s="26">
        <f t="shared" si="11"/>
        <v>33983.559127361666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30.9</v>
      </c>
      <c r="D31" s="30">
        <v>549.79999999999995</v>
      </c>
      <c r="E31" s="29">
        <f t="shared" si="7"/>
        <v>2.6393482758786228E-2</v>
      </c>
      <c r="F31" s="28">
        <f t="shared" si="8"/>
        <v>30.353690021606337</v>
      </c>
      <c r="G31" s="27" t="str">
        <f t="shared" si="9"/>
        <v>-</v>
      </c>
      <c r="H31" s="26">
        <f t="shared" si="10"/>
        <v>16988.819999999996</v>
      </c>
      <c r="I31" s="26">
        <f t="shared" si="11"/>
        <v>16688.458773879163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32.338413446527603</v>
      </c>
      <c r="D32" s="22">
        <f>SUM(D26:D31)</f>
        <v>13451.8</v>
      </c>
      <c r="E32" s="21">
        <f t="shared" si="7"/>
        <v>0.64576182498115786</v>
      </c>
      <c r="F32" s="20">
        <f>I32/D32</f>
        <v>31.766672412506313</v>
      </c>
      <c r="G32" s="19">
        <f>F32/C32-1</f>
        <v>-1.7679934575846712E-2</v>
      </c>
      <c r="H32" s="18">
        <f>SUM(H26:H31)</f>
        <v>435009.87</v>
      </c>
      <c r="I32" s="18">
        <f>SUM(I26:I31)</f>
        <v>427318.92395855242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18.600000000000001</v>
      </c>
      <c r="D34" s="30">
        <v>2557.6999999999998</v>
      </c>
      <c r="E34" s="29">
        <f t="shared" ref="E34:E40" si="13">D34/$D$48</f>
        <v>0.122783941164328</v>
      </c>
      <c r="F34" s="28">
        <f t="shared" ref="F34:F39" si="14">C34-(C34*$E$6)</f>
        <v>18.271153216889253</v>
      </c>
      <c r="G34" s="27" t="str">
        <f t="shared" ref="G34:G39" si="15">IF(C34&gt;=F34,"-","+")</f>
        <v>-</v>
      </c>
      <c r="H34" s="26">
        <f t="shared" ref="H34:H39" si="16">C34*D34</f>
        <v>47573.22</v>
      </c>
      <c r="I34" s="26">
        <f t="shared" ref="I34:I39" si="17">F34*D34</f>
        <v>46732.128582837642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14.047176935565393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11.296680752377762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30.4</v>
      </c>
      <c r="D37" s="30"/>
      <c r="E37" s="29">
        <f t="shared" si="13"/>
        <v>0</v>
      </c>
      <c r="F37" s="28">
        <f t="shared" si="14"/>
        <v>29.862529988894259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30.4</v>
      </c>
      <c r="D38" s="30"/>
      <c r="E38" s="29">
        <f t="shared" si="13"/>
        <v>0</v>
      </c>
      <c r="F38" s="28">
        <f t="shared" si="14"/>
        <v>29.862529988894259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30.84485005431841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18.600000000000001</v>
      </c>
      <c r="D40" s="22">
        <f>SUM(D34:D39)</f>
        <v>2557.6999999999998</v>
      </c>
      <c r="E40" s="21">
        <f t="shared" si="13"/>
        <v>0.122783941164328</v>
      </c>
      <c r="F40" s="20">
        <f>I40/D40</f>
        <v>18.271153216889253</v>
      </c>
      <c r="G40" s="19">
        <f>F40/C40-1</f>
        <v>-1.7679934575846712E-2</v>
      </c>
      <c r="H40" s="18">
        <f>SUM(H34:H39)</f>
        <v>47573.22</v>
      </c>
      <c r="I40" s="18">
        <f>SUM(I34:I39)</f>
        <v>46732.128582837642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3143</v>
      </c>
      <c r="E42" s="107">
        <f>D42/$D$48</f>
        <v>0.15088162297356333</v>
      </c>
      <c r="F42" s="28">
        <f>C42-(C42*$E$6)</f>
        <v>0.39292802616966133</v>
      </c>
      <c r="G42" s="27" t="str">
        <f>IF(C42&gt;=F42,"-","+")</f>
        <v>-</v>
      </c>
      <c r="H42" s="26">
        <f>C42*D42</f>
        <v>1257.2</v>
      </c>
      <c r="I42" s="26">
        <f>F42*D42</f>
        <v>1234.9727862512455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104</v>
      </c>
      <c r="E43" s="107">
        <f>D43/$D$48</f>
        <v>4.992583133710018E-3</v>
      </c>
      <c r="F43" s="28">
        <f>C43-(C43*$E$6)</f>
        <v>0.39292802616966133</v>
      </c>
      <c r="G43" s="27" t="str">
        <f>IF(C43&gt;=F43,"-","+")</f>
        <v>-</v>
      </c>
      <c r="H43" s="26">
        <f>C43*D43</f>
        <v>41.6</v>
      </c>
      <c r="I43" s="26">
        <f>F43*D43</f>
        <v>40.864514721644781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2.8803364232942412E-4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0.39926221948970181</v>
      </c>
      <c r="D46" s="22">
        <f>SUM(D41:D45)</f>
        <v>3253</v>
      </c>
      <c r="E46" s="21">
        <f>D46/$D$48</f>
        <v>0.15616223974960278</v>
      </c>
      <c r="F46" s="20">
        <f>I46/D46</f>
        <v>0.39220328957051653</v>
      </c>
      <c r="G46" s="19">
        <f>F46/C46-1</f>
        <v>-1.7679934575846712E-2</v>
      </c>
      <c r="H46" s="18">
        <f>SUM(H41:H44)</f>
        <v>1298.8</v>
      </c>
      <c r="I46" s="18">
        <f>SUM(I41:I44)</f>
        <v>1275.8373009728903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98.405005428832922</v>
      </c>
      <c r="D48" s="13">
        <f>D24+D32+D40+D46</f>
        <v>20830.899999999998</v>
      </c>
      <c r="E48" s="12">
        <f>SUM(E20:E46)/2</f>
        <v>1.0000000000000002</v>
      </c>
      <c r="F48" s="11">
        <f>I48/D48</f>
        <v>26.29949498101378</v>
      </c>
      <c r="G48" s="10"/>
      <c r="H48" s="9">
        <f>SUM(H20:H46)/2</f>
        <v>557702.28999999992</v>
      </c>
      <c r="I48" s="9">
        <f>SUM(I20:I46)/2</f>
        <v>547842.14999999991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20830.899999999998</v>
      </c>
      <c r="E50" s="12">
        <f>D50/G2</f>
        <v>1.0000192026115551</v>
      </c>
      <c r="F50" s="11">
        <f>I50/D50</f>
        <v>26.29949498101378</v>
      </c>
      <c r="G50" s="10"/>
      <c r="H50" s="9">
        <f>H48+H19</f>
        <v>557702.28999999992</v>
      </c>
      <c r="I50" s="9">
        <f>I48+I19</f>
        <v>547842.14999999991</v>
      </c>
      <c r="J50" s="106">
        <f>D50-G2</f>
        <v>0.39999999999781721</v>
      </c>
      <c r="K50" s="8"/>
    </row>
    <row r="51" spans="1:11" ht="23.25" x14ac:dyDescent="0.35">
      <c r="A51" s="168" t="s">
        <v>132</v>
      </c>
      <c r="B51" s="169"/>
      <c r="C51" s="170"/>
      <c r="G51" s="7"/>
      <c r="H51" s="6"/>
      <c r="I51" s="6">
        <f>+I50/D50</f>
        <v>26.29949498101378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133</v>
      </c>
      <c r="D1" s="100" t="s">
        <v>1</v>
      </c>
      <c r="E1" s="168" t="s">
        <v>131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133</v>
      </c>
      <c r="D2" s="96" t="s">
        <v>3</v>
      </c>
      <c r="E2" s="95" t="s">
        <v>71</v>
      </c>
      <c r="F2" s="94" t="s">
        <v>5</v>
      </c>
      <c r="G2" s="93">
        <v>21932.5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240</v>
      </c>
      <c r="F3" s="88" t="s">
        <v>8</v>
      </c>
      <c r="G3" s="87">
        <v>27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91.385416666666671</v>
      </c>
      <c r="F4" s="81" t="s">
        <v>12</v>
      </c>
      <c r="G4" s="80">
        <f>G2*G3</f>
        <v>592177.5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1.5571582817231144E-2</v>
      </c>
      <c r="F6" s="69" t="s">
        <v>16</v>
      </c>
      <c r="G6" s="68">
        <f>(I50-I19)/(D50-(SUM(D42:D44)+D19))</f>
        <v>31.956219071928526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</v>
      </c>
      <c r="D10" s="30"/>
      <c r="E10" s="29" t="e">
        <f t="shared" ref="E10:E19" si="1">D10/$D$19</f>
        <v>#DIV/0!</v>
      </c>
      <c r="F10" s="28">
        <f t="shared" ref="F10:F18" si="2">C10-(C10*$E$6)</f>
        <v>26.579567263934759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28.1</v>
      </c>
      <c r="D11" s="30"/>
      <c r="E11" s="29" t="e">
        <f t="shared" si="1"/>
        <v>#DIV/0!</v>
      </c>
      <c r="F11" s="28">
        <f t="shared" si="2"/>
        <v>27.662438522835807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25.7</v>
      </c>
      <c r="D12" s="30"/>
      <c r="E12" s="29" t="e">
        <f t="shared" si="1"/>
        <v>#DIV/0!</v>
      </c>
      <c r="F12" s="28">
        <f t="shared" si="2"/>
        <v>25.29981032159716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28.1</v>
      </c>
      <c r="D13" s="30"/>
      <c r="E13" s="29" t="e">
        <f t="shared" si="1"/>
        <v>#DIV/0!</v>
      </c>
      <c r="F13" s="28">
        <f t="shared" si="2"/>
        <v>27.662438522835807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31.4</v>
      </c>
      <c r="D14" s="30"/>
      <c r="E14" s="29" t="e">
        <f t="shared" si="1"/>
        <v>#DIV/0!</v>
      </c>
      <c r="F14" s="28">
        <f t="shared" si="2"/>
        <v>30.911052299538941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25.9</v>
      </c>
      <c r="D15" s="30"/>
      <c r="E15" s="29" t="e">
        <f t="shared" si="1"/>
        <v>#DIV/0!</v>
      </c>
      <c r="F15" s="28">
        <f t="shared" si="2"/>
        <v>25.496696005033712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35.5</v>
      </c>
      <c r="D16" s="30"/>
      <c r="E16" s="29" t="e">
        <f t="shared" si="1"/>
        <v>#DIV/0!</v>
      </c>
      <c r="F16" s="28">
        <f t="shared" si="2"/>
        <v>34.947208809988297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52.2</v>
      </c>
      <c r="D17" s="30"/>
      <c r="E17" s="29" t="e">
        <f t="shared" si="1"/>
        <v>#DIV/0!</v>
      </c>
      <c r="F17" s="28">
        <f t="shared" si="2"/>
        <v>51.387163376940535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45.7</v>
      </c>
      <c r="D18" s="30"/>
      <c r="E18" s="29" t="e">
        <f t="shared" si="1"/>
        <v>#DIV/0!</v>
      </c>
      <c r="F18" s="28">
        <f t="shared" si="2"/>
        <v>44.98837866525254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67.900000000000006</v>
      </c>
      <c r="D21" s="30">
        <v>292.8</v>
      </c>
      <c r="E21" s="29">
        <f>D21/$D$48</f>
        <v>1.3349868689816165E-2</v>
      </c>
      <c r="F21" s="28">
        <f>C21-(C21*$E$6)</f>
        <v>66.842689526710018</v>
      </c>
      <c r="G21" s="27" t="str">
        <f>IF(C21&gt;=F21,"-","+")</f>
        <v>-</v>
      </c>
      <c r="H21" s="26">
        <f>C21*D21</f>
        <v>19881.120000000003</v>
      </c>
      <c r="I21" s="26">
        <f>F21*D21</f>
        <v>19571.539493420692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45.6</v>
      </c>
      <c r="D22" s="30">
        <v>716.4</v>
      </c>
      <c r="E22" s="29">
        <f>D22/$D$48</f>
        <v>3.2663408228771514E-2</v>
      </c>
      <c r="F22" s="28">
        <f>C22-(C22*$E$6)</f>
        <v>44.889935823534259</v>
      </c>
      <c r="G22" s="27" t="str">
        <f>IF(C22&gt;=F22,"-","+")</f>
        <v>-</v>
      </c>
      <c r="H22" s="26">
        <f>C22*D22</f>
        <v>32667.84</v>
      </c>
      <c r="I22" s="26">
        <f>F22*D22</f>
        <v>32159.150023979942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41.6</v>
      </c>
      <c r="D23" s="30">
        <v>573.4</v>
      </c>
      <c r="E23" s="29">
        <f>D23/$D$48</f>
        <v>2.6143492850889988E-2</v>
      </c>
      <c r="F23" s="28">
        <f>C23-(C23*$E$6)</f>
        <v>40.952222154803188</v>
      </c>
      <c r="G23" s="27" t="str">
        <f>IF(C23&gt;=F23,"-","+")</f>
        <v>-</v>
      </c>
      <c r="H23" s="26">
        <f>C23*D23</f>
        <v>23853.439999999999</v>
      </c>
      <c r="I23" s="26">
        <f>F23*D23</f>
        <v>23482.004183564146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48.276507013774811</v>
      </c>
      <c r="D24" s="22">
        <f>SUM(D21:D23)</f>
        <v>1582.6</v>
      </c>
      <c r="E24" s="21">
        <f>D24/$D$48</f>
        <v>7.2156769769477658E-2</v>
      </c>
      <c r="F24" s="20">
        <f>I24/D24</f>
        <v>47.524765386683171</v>
      </c>
      <c r="G24" s="19">
        <f>F24/C24-1</f>
        <v>-1.5571582817231255E-2</v>
      </c>
      <c r="H24" s="18">
        <f>SUM(H21:H23)</f>
        <v>76402.400000000009</v>
      </c>
      <c r="I24" s="18">
        <f>SUM(I21:I23)</f>
        <v>75212.693700964781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36.200000000000003</v>
      </c>
      <c r="D26" s="30">
        <v>4320.8999999999996</v>
      </c>
      <c r="E26" s="29">
        <f t="shared" ref="E26:E32" si="7">D26/$D$48</f>
        <v>0.19700631018383422</v>
      </c>
      <c r="F26" s="28">
        <f t="shared" ref="F26:F31" si="8">C26-(C26*$E$6)</f>
        <v>35.636308702016237</v>
      </c>
      <c r="G26" s="27" t="str">
        <f t="shared" ref="G26:G31" si="9">IF(C26&gt;=F26,"-","+")</f>
        <v>-</v>
      </c>
      <c r="H26" s="26">
        <f t="shared" ref="H26:H31" si="10">C26*D26</f>
        <v>156416.57999999999</v>
      </c>
      <c r="I26" s="26">
        <f t="shared" ref="I26:I31" si="11">F26*D26</f>
        <v>153980.92627054194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32.299999999999997</v>
      </c>
      <c r="D27" s="30">
        <v>3440</v>
      </c>
      <c r="E27" s="29">
        <f t="shared" si="7"/>
        <v>0.15684271957980739</v>
      </c>
      <c r="F27" s="28">
        <f t="shared" si="8"/>
        <v>31.797037875003433</v>
      </c>
      <c r="G27" s="27" t="str">
        <f t="shared" si="9"/>
        <v>-</v>
      </c>
      <c r="H27" s="26">
        <f t="shared" si="10"/>
        <v>111111.99999999999</v>
      </c>
      <c r="I27" s="26">
        <f t="shared" si="11"/>
        <v>109381.81029001181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32.299999999999997</v>
      </c>
      <c r="D28" s="30">
        <v>2383.5</v>
      </c>
      <c r="E28" s="29">
        <f t="shared" si="7"/>
        <v>0.10867285526699735</v>
      </c>
      <c r="F28" s="28">
        <f t="shared" si="8"/>
        <v>31.797037875003433</v>
      </c>
      <c r="G28" s="27" t="str">
        <f t="shared" si="9"/>
        <v>-</v>
      </c>
      <c r="H28" s="26">
        <f t="shared" si="10"/>
        <v>76987.049999999988</v>
      </c>
      <c r="I28" s="26">
        <f t="shared" si="11"/>
        <v>75788.239775070688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31.2</v>
      </c>
      <c r="D29" s="30">
        <v>2182</v>
      </c>
      <c r="E29" s="29">
        <f t="shared" si="7"/>
        <v>9.9485701779982477E-2</v>
      </c>
      <c r="F29" s="28">
        <f t="shared" si="8"/>
        <v>30.714166616102389</v>
      </c>
      <c r="G29" s="27" t="str">
        <f t="shared" si="9"/>
        <v>-</v>
      </c>
      <c r="H29" s="26">
        <f t="shared" si="10"/>
        <v>68078.399999999994</v>
      </c>
      <c r="I29" s="26">
        <f t="shared" si="11"/>
        <v>67018.311556335408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31.2</v>
      </c>
      <c r="D30" s="30">
        <v>1259</v>
      </c>
      <c r="E30" s="29">
        <f t="shared" si="7"/>
        <v>5.740261161365625E-2</v>
      </c>
      <c r="F30" s="28">
        <f t="shared" si="8"/>
        <v>30.714166616102389</v>
      </c>
      <c r="G30" s="27" t="str">
        <f t="shared" si="9"/>
        <v>-</v>
      </c>
      <c r="H30" s="26">
        <f t="shared" si="10"/>
        <v>39280.799999999996</v>
      </c>
      <c r="I30" s="26">
        <f t="shared" si="11"/>
        <v>38669.13576967291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31.7</v>
      </c>
      <c r="D31" s="30">
        <v>615.20000000000005</v>
      </c>
      <c r="E31" s="29">
        <f t="shared" si="7"/>
        <v>2.8049314269039977E-2</v>
      </c>
      <c r="F31" s="28">
        <f t="shared" si="8"/>
        <v>31.20638082469377</v>
      </c>
      <c r="G31" s="27" t="str">
        <f t="shared" si="9"/>
        <v>-</v>
      </c>
      <c r="H31" s="26">
        <f t="shared" si="10"/>
        <v>19501.84</v>
      </c>
      <c r="I31" s="26">
        <f t="shared" si="11"/>
        <v>19198.165483351608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33.194137571651893</v>
      </c>
      <c r="D32" s="22">
        <f>SUM(D26:D31)</f>
        <v>14200.6</v>
      </c>
      <c r="E32" s="21">
        <f t="shared" si="7"/>
        <v>0.6474595126933177</v>
      </c>
      <c r="F32" s="20">
        <f>I32/D32</f>
        <v>32.677252309408367</v>
      </c>
      <c r="G32" s="19">
        <f>F32/C32-1</f>
        <v>-1.55715828172307E-2</v>
      </c>
      <c r="H32" s="18">
        <f>SUM(H26:H31)</f>
        <v>471376.66999999993</v>
      </c>
      <c r="I32" s="18">
        <f>SUM(I26:I31)</f>
        <v>464036.58914498443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19.100000000000001</v>
      </c>
      <c r="D34" s="30">
        <v>2743.7</v>
      </c>
      <c r="E34" s="29">
        <f t="shared" ref="E34:E40" si="13">D34/$D$48</f>
        <v>0.1250957470090458</v>
      </c>
      <c r="F34" s="28">
        <f t="shared" ref="F34:F39" si="14">C34-(C34*$E$6)</f>
        <v>18.802582768190888</v>
      </c>
      <c r="G34" s="27" t="str">
        <f t="shared" ref="G34:G39" si="15">IF(C34&gt;=F34,"-","+")</f>
        <v>-</v>
      </c>
      <c r="H34" s="26">
        <f t="shared" ref="H34:H39" si="16">C34*D34</f>
        <v>52404.67</v>
      </c>
      <c r="I34" s="26">
        <f t="shared" ref="I34:I39" si="17">F34*D34</f>
        <v>51588.646341085339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14.7</v>
      </c>
      <c r="D35" s="30"/>
      <c r="E35" s="29">
        <f t="shared" si="13"/>
        <v>0</v>
      </c>
      <c r="F35" s="28">
        <f t="shared" si="14"/>
        <v>14.471097732586701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30"/>
      <c r="E36" s="29">
        <f t="shared" si="13"/>
        <v>0</v>
      </c>
      <c r="F36" s="28">
        <f t="shared" si="14"/>
        <v>11.616255322756674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31.2</v>
      </c>
      <c r="D37" s="30"/>
      <c r="E37" s="29">
        <f t="shared" si="13"/>
        <v>0</v>
      </c>
      <c r="F37" s="28">
        <f t="shared" si="14"/>
        <v>30.714166616102389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31.2</v>
      </c>
      <c r="D38" s="30"/>
      <c r="E38" s="29">
        <f t="shared" si="13"/>
        <v>0</v>
      </c>
      <c r="F38" s="28">
        <f t="shared" si="14"/>
        <v>30.714166616102389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32.299999999999997</v>
      </c>
      <c r="D39" s="30"/>
      <c r="E39" s="29">
        <f t="shared" si="13"/>
        <v>0</v>
      </c>
      <c r="F39" s="28">
        <f t="shared" si="14"/>
        <v>31.797037875003433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19.100000000000001</v>
      </c>
      <c r="D40" s="22">
        <f>SUM(D34:D39)</f>
        <v>2743.7</v>
      </c>
      <c r="E40" s="21">
        <f t="shared" si="13"/>
        <v>0.1250957470090458</v>
      </c>
      <c r="F40" s="20">
        <f>I40/D40</f>
        <v>18.802582768190888</v>
      </c>
      <c r="G40" s="19">
        <f>F40/C40-1</f>
        <v>-1.5571582817231033E-2</v>
      </c>
      <c r="H40" s="18">
        <f>SUM(H34:H39)</f>
        <v>52404.67</v>
      </c>
      <c r="I40" s="18">
        <f>SUM(I34:I39)</f>
        <v>51588.646341085339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3282.5</v>
      </c>
      <c r="E42" s="107">
        <f>D42/$D$48</f>
        <v>0.14966169390137143</v>
      </c>
      <c r="F42" s="28">
        <f>C42-(C42*$E$6)</f>
        <v>0.39377136687310754</v>
      </c>
      <c r="G42" s="27" t="str">
        <f>IF(C42&gt;=F42,"-","+")</f>
        <v>-</v>
      </c>
      <c r="H42" s="26">
        <f>C42*D42</f>
        <v>1313</v>
      </c>
      <c r="I42" s="26">
        <f>F42*D42</f>
        <v>1292.5545117609754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119.4</v>
      </c>
      <c r="E43" s="107">
        <f>D43/$D$48</f>
        <v>5.4439013714619195E-3</v>
      </c>
      <c r="F43" s="28">
        <f>C43-(C43*$E$6)</f>
        <v>0.39377136687310754</v>
      </c>
      <c r="G43" s="27" t="str">
        <f>IF(C43&gt;=F43,"-","+")</f>
        <v>-</v>
      </c>
      <c r="H43" s="26">
        <f>C43*D43</f>
        <v>47.760000000000005</v>
      </c>
      <c r="I43" s="26">
        <f>F43*D43</f>
        <v>47.016301204649039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1.8237525532535743E-4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0.3995302269591004</v>
      </c>
      <c r="D46" s="22">
        <f>SUM(D41:D45)</f>
        <v>3405.9</v>
      </c>
      <c r="E46" s="21">
        <f>D46/$D$48</f>
        <v>0.15528797052815874</v>
      </c>
      <c r="F46" s="20">
        <f>I46/D46</f>
        <v>0.39330890894201959</v>
      </c>
      <c r="G46" s="19">
        <f>F46/C46-1</f>
        <v>-1.5571582817231255E-2</v>
      </c>
      <c r="H46" s="18">
        <f>SUM(H41:H44)</f>
        <v>1360.76</v>
      </c>
      <c r="I46" s="18">
        <f>SUM(I41:I44)</f>
        <v>1339.5708129656246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100.97017481238579</v>
      </c>
      <c r="D48" s="13">
        <f>D24+D32+D40+D46</f>
        <v>21932.800000000003</v>
      </c>
      <c r="E48" s="12">
        <f>SUM(E20:E46)/2</f>
        <v>0.99999999999999989</v>
      </c>
      <c r="F48" s="11">
        <f>I48/D48</f>
        <v>26.999630690107974</v>
      </c>
      <c r="G48" s="10"/>
      <c r="H48" s="9">
        <f>SUM(H20:H46)/2</f>
        <v>601544.49999999988</v>
      </c>
      <c r="I48" s="9">
        <f>SUM(I20:I46)/2</f>
        <v>592177.50000000023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21932.799999999999</v>
      </c>
      <c r="E50" s="12">
        <f>D50/G2</f>
        <v>1.0000136783312437</v>
      </c>
      <c r="F50" s="11">
        <f>I50/D50</f>
        <v>26.999630690107978</v>
      </c>
      <c r="G50" s="10"/>
      <c r="H50" s="9">
        <f>H48+H19</f>
        <v>601544.49999999988</v>
      </c>
      <c r="I50" s="9">
        <f>I48+I19</f>
        <v>592177.50000000023</v>
      </c>
      <c r="J50" s="106">
        <f>D50-G2</f>
        <v>0.2999999999992724</v>
      </c>
      <c r="K50" s="8"/>
    </row>
    <row r="51" spans="1:11" ht="23.25" x14ac:dyDescent="0.35">
      <c r="A51" s="168" t="s">
        <v>134</v>
      </c>
      <c r="B51" s="169"/>
      <c r="C51" s="170"/>
      <c r="G51" s="7"/>
      <c r="H51" s="6"/>
      <c r="I51" s="6">
        <f>+I50/D50</f>
        <v>26.999630690107978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K56"/>
  <sheetViews>
    <sheetView topLeftCell="A16" workbookViewId="0">
      <selection activeCell="D26" sqref="D2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135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137</v>
      </c>
      <c r="D2" s="96" t="s">
        <v>3</v>
      </c>
      <c r="E2" s="95" t="s">
        <v>71</v>
      </c>
      <c r="F2" s="94" t="s">
        <v>5</v>
      </c>
      <c r="G2" s="93">
        <v>2956.9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138</v>
      </c>
      <c r="D3" s="90" t="s">
        <v>7</v>
      </c>
      <c r="E3" s="89">
        <v>44</v>
      </c>
      <c r="F3" s="88" t="s">
        <v>8</v>
      </c>
      <c r="G3" s="87">
        <v>25.3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15</v>
      </c>
      <c r="D4" s="83" t="s">
        <v>11</v>
      </c>
      <c r="E4" s="82">
        <f>G2/E3</f>
        <v>67.202272727272728</v>
      </c>
      <c r="F4" s="81" t="s">
        <v>12</v>
      </c>
      <c r="G4" s="80">
        <f>G2*G3</f>
        <v>74809.570000000007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2.502256627629984E-2</v>
      </c>
      <c r="F6" s="69" t="s">
        <v>16</v>
      </c>
      <c r="G6" s="68">
        <f>(I50-I19)/(D50-(SUM(D42:D44)+D19))</f>
        <v>30.255690554476505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>
        <f t="shared" ref="E10:E19" si="1">D10/$D$19</f>
        <v>0</v>
      </c>
      <c r="F10" s="28">
        <f t="shared" ref="F10:F18" si="2">C10-(C10*$E$6)</f>
        <v>24.666929073209616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>
        <f t="shared" si="1"/>
        <v>0</v>
      </c>
      <c r="F11" s="28">
        <f t="shared" si="2"/>
        <v>25.641906506933314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>
        <f t="shared" si="1"/>
        <v>0</v>
      </c>
      <c r="F12" s="28">
        <f t="shared" si="2"/>
        <v>23.496956152741177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>
        <f t="shared" si="1"/>
        <v>0</v>
      </c>
      <c r="F13" s="28">
        <f t="shared" si="2"/>
        <v>25.641906506933314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29.5</v>
      </c>
      <c r="D14" s="30"/>
      <c r="E14" s="29">
        <f t="shared" si="1"/>
        <v>0</v>
      </c>
      <c r="F14" s="28">
        <f t="shared" si="2"/>
        <v>28.761834294849155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24.3</v>
      </c>
      <c r="D15" s="30">
        <v>78</v>
      </c>
      <c r="E15" s="29">
        <f t="shared" si="1"/>
        <v>1</v>
      </c>
      <c r="F15" s="28">
        <f t="shared" si="2"/>
        <v>23.691951639485914</v>
      </c>
      <c r="G15" s="27" t="str">
        <f t="shared" si="3"/>
        <v>-</v>
      </c>
      <c r="H15" s="34">
        <f t="shared" si="4"/>
        <v>1895.4</v>
      </c>
      <c r="I15" s="34">
        <f t="shared" si="5"/>
        <v>1847.9722278799013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>
        <f t="shared" si="1"/>
        <v>0</v>
      </c>
      <c r="F16" s="28">
        <f t="shared" si="2"/>
        <v>32.369250799626847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48.9</v>
      </c>
      <c r="D17" s="30"/>
      <c r="E17" s="29">
        <f t="shared" si="1"/>
        <v>0</v>
      </c>
      <c r="F17" s="28">
        <f t="shared" si="2"/>
        <v>47.676396509088939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42.9</v>
      </c>
      <c r="D18" s="30"/>
      <c r="E18" s="29">
        <f t="shared" si="1"/>
        <v>0</v>
      </c>
      <c r="F18" s="28">
        <f t="shared" si="2"/>
        <v>41.826531906746737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24.3</v>
      </c>
      <c r="D19" s="49">
        <f>SUM(D10:D18)</f>
        <v>78</v>
      </c>
      <c r="E19" s="48">
        <f t="shared" si="1"/>
        <v>1</v>
      </c>
      <c r="F19" s="47">
        <f>I19/D19</f>
        <v>23.691951639485914</v>
      </c>
      <c r="G19" s="46">
        <f>F19/C19-1</f>
        <v>-2.502256627629984E-2</v>
      </c>
      <c r="H19" s="9">
        <f>SUM(H10:H18)</f>
        <v>1895.4</v>
      </c>
      <c r="I19" s="9">
        <f>SUM(I10:I18)</f>
        <v>1847.9722278799013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63.6</v>
      </c>
      <c r="D21" s="30">
        <v>39.200000000000003</v>
      </c>
      <c r="E21" s="29">
        <f>D21/$D$48</f>
        <v>1.3616311785751503E-2</v>
      </c>
      <c r="F21" s="28">
        <f>C21-(C21*$E$6)</f>
        <v>62.008564784827328</v>
      </c>
      <c r="G21" s="27" t="str">
        <f>IF(C21&gt;=F21,"-","+")</f>
        <v>-</v>
      </c>
      <c r="H21" s="26">
        <f>C21*D21</f>
        <v>2493.1200000000003</v>
      </c>
      <c r="I21" s="26">
        <f>F21*D21</f>
        <v>2430.7357395652316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42.7</v>
      </c>
      <c r="D22" s="30">
        <v>86.4</v>
      </c>
      <c r="E22" s="29">
        <f>D22/$D$48</f>
        <v>3.0011462711452292E-2</v>
      </c>
      <c r="F22" s="28">
        <f>C22-(C22*$E$6)</f>
        <v>41.631536420002</v>
      </c>
      <c r="G22" s="27" t="str">
        <f>IF(C22&gt;=F22,"-","+")</f>
        <v>-</v>
      </c>
      <c r="H22" s="26">
        <f>C22*D22</f>
        <v>3689.2800000000007</v>
      </c>
      <c r="I22" s="26">
        <f>F22*D22</f>
        <v>3596.9647466881729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</v>
      </c>
      <c r="D23" s="30">
        <v>76.8</v>
      </c>
      <c r="E23" s="29">
        <f>D23/$D$48</f>
        <v>2.6676855743513146E-2</v>
      </c>
      <c r="F23" s="28">
        <f>C23-(C23*$E$6)</f>
        <v>38.024119915224304</v>
      </c>
      <c r="G23" s="27" t="str">
        <f>IF(C23&gt;=F23,"-","+")</f>
        <v>-</v>
      </c>
      <c r="H23" s="26">
        <f>C23*D23</f>
        <v>2995.2</v>
      </c>
      <c r="I23" s="26">
        <f>F23*D23</f>
        <v>2920.2524094892265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45.343873517786569</v>
      </c>
      <c r="D24" s="22">
        <f>SUM(D21:D23)</f>
        <v>202.4</v>
      </c>
      <c r="E24" s="21">
        <f>D24/$D$48</f>
        <v>7.0304630240716939E-2</v>
      </c>
      <c r="F24" s="20">
        <f>I24/D24</f>
        <v>44.209253437463595</v>
      </c>
      <c r="G24" s="19">
        <f>F24/C24-1</f>
        <v>-2.5022566276299951E-2</v>
      </c>
      <c r="H24" s="18">
        <f>SUM(H21:H23)</f>
        <v>9177.6000000000022</v>
      </c>
      <c r="I24" s="18">
        <f>SUM(I21:I23)</f>
        <v>8947.9528957426319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</v>
      </c>
      <c r="D26" s="30">
        <v>675.5</v>
      </c>
      <c r="E26" s="29">
        <f t="shared" ref="E26:E32" si="7">D26/$D$48</f>
        <v>0.23463822987946784</v>
      </c>
      <c r="F26" s="28">
        <f t="shared" ref="F26:F31" si="8">C26-(C26*$E$6)</f>
        <v>33.149232746605804</v>
      </c>
      <c r="G26" s="27" t="str">
        <f t="shared" ref="G26:G31" si="9">IF(C26&gt;=F26,"-","+")</f>
        <v>-</v>
      </c>
      <c r="H26" s="26">
        <f t="shared" ref="H26:H31" si="10">C26*D26</f>
        <v>22967</v>
      </c>
      <c r="I26" s="26">
        <f t="shared" ref="I26:I31" si="11">F26*D26</f>
        <v>22392.306720332221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417</v>
      </c>
      <c r="E27" s="29">
        <f t="shared" si="7"/>
        <v>0.14484699016985653</v>
      </c>
      <c r="F27" s="28">
        <f t="shared" si="8"/>
        <v>29.444318498455743</v>
      </c>
      <c r="G27" s="27" t="str">
        <f t="shared" si="9"/>
        <v>-</v>
      </c>
      <c r="H27" s="26">
        <f t="shared" si="10"/>
        <v>12593.4</v>
      </c>
      <c r="I27" s="26">
        <f t="shared" si="11"/>
        <v>12278.280813856045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327</v>
      </c>
      <c r="E28" s="29">
        <f t="shared" si="7"/>
        <v>0.11358504984542707</v>
      </c>
      <c r="F28" s="28">
        <f t="shared" si="8"/>
        <v>29.444318498455743</v>
      </c>
      <c r="G28" s="27" t="str">
        <f t="shared" si="9"/>
        <v>-</v>
      </c>
      <c r="H28" s="26">
        <f t="shared" si="10"/>
        <v>9875.4</v>
      </c>
      <c r="I28" s="26">
        <f t="shared" si="11"/>
        <v>9628.2921489950277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250.8</v>
      </c>
      <c r="E29" s="29">
        <f t="shared" si="7"/>
        <v>8.7116607037410129E-2</v>
      </c>
      <c r="F29" s="28">
        <f t="shared" si="8"/>
        <v>28.469341064732046</v>
      </c>
      <c r="G29" s="27" t="str">
        <f t="shared" si="9"/>
        <v>-</v>
      </c>
      <c r="H29" s="26">
        <f t="shared" si="10"/>
        <v>7323.3600000000006</v>
      </c>
      <c r="I29" s="26">
        <f t="shared" si="11"/>
        <v>7140.110739034797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227</v>
      </c>
      <c r="E30" s="29">
        <f t="shared" si="7"/>
        <v>7.8849560596060991E-2</v>
      </c>
      <c r="F30" s="28">
        <f t="shared" si="8"/>
        <v>28.469341064732046</v>
      </c>
      <c r="G30" s="27" t="str">
        <f t="shared" si="9"/>
        <v>-</v>
      </c>
      <c r="H30" s="26">
        <f t="shared" si="10"/>
        <v>6628.4</v>
      </c>
      <c r="I30" s="26">
        <f t="shared" si="11"/>
        <v>6462.5404216941743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47.8</v>
      </c>
      <c r="E31" s="29">
        <f t="shared" si="7"/>
        <v>1.6603563861196984E-2</v>
      </c>
      <c r="F31" s="28">
        <f t="shared" si="8"/>
        <v>28.956829781593893</v>
      </c>
      <c r="G31" s="27" t="str">
        <f t="shared" si="9"/>
        <v>-</v>
      </c>
      <c r="H31" s="26">
        <f t="shared" si="10"/>
        <v>1419.6599999999999</v>
      </c>
      <c r="I31" s="26">
        <f t="shared" si="11"/>
        <v>1384.1364635601881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31.261744897434582</v>
      </c>
      <c r="D32" s="22">
        <f>SUM(D26:D31)</f>
        <v>1945.1</v>
      </c>
      <c r="E32" s="21">
        <f t="shared" si="7"/>
        <v>0.67564000138941949</v>
      </c>
      <c r="F32" s="20">
        <f>I32/D32</f>
        <v>30.479495813825739</v>
      </c>
      <c r="G32" s="19">
        <f>F32/C32-1</f>
        <v>-2.5022566276300062E-2</v>
      </c>
      <c r="H32" s="18">
        <f>SUM(H26:H31)</f>
        <v>60807.22</v>
      </c>
      <c r="I32" s="18">
        <f>SUM(I26:I31)</f>
        <v>59285.667307472446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v>260.8</v>
      </c>
      <c r="E34" s="29">
        <f t="shared" ref="E34:E40" si="13">D34/$D$48</f>
        <v>9.0590155962346736E-2</v>
      </c>
      <c r="F34" s="28">
        <f t="shared" ref="F34:F39" si="14">C34-(C34*$E$6)</f>
        <v>17.452096063654231</v>
      </c>
      <c r="G34" s="27" t="str">
        <f t="shared" ref="G34:G39" si="15">IF(C34&gt;=F34,"-","+")</f>
        <v>-</v>
      </c>
      <c r="H34" s="26">
        <f t="shared" ref="H34:H39" si="16">C34*D34</f>
        <v>4668.32</v>
      </c>
      <c r="I34" s="26">
        <f t="shared" ref="I34:I39" si="17">F34*D34</f>
        <v>4551.5066534010239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/>
      <c r="E35" s="29">
        <f t="shared" si="13"/>
        <v>0</v>
      </c>
      <c r="F35" s="28">
        <f t="shared" si="14"/>
        <v>13.454688585387062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10.724751770960701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28.469341064732046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28.469341064732046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29.444318498455743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17.899999999999999</v>
      </c>
      <c r="D40" s="22">
        <f>SUM(D34:D39)</f>
        <v>260.8</v>
      </c>
      <c r="E40" s="21">
        <f t="shared" si="13"/>
        <v>9.0590155962346736E-2</v>
      </c>
      <c r="F40" s="20">
        <f>I40/D40</f>
        <v>17.452096063654231</v>
      </c>
      <c r="G40" s="19">
        <f>F40/C40-1</f>
        <v>-2.502256627629984E-2</v>
      </c>
      <c r="H40" s="18">
        <f>SUM(H34:H39)</f>
        <v>4668.32</v>
      </c>
      <c r="I40" s="18">
        <f>SUM(I34:I39)</f>
        <v>4551.5066534010239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429.5</v>
      </c>
      <c r="E42" s="107">
        <f>D42/$D$48</f>
        <v>0.14918892632602729</v>
      </c>
      <c r="F42" s="28">
        <f>C42-(C42*$E$6)</f>
        <v>0.38999097348948009</v>
      </c>
      <c r="G42" s="27" t="str">
        <f>IF(C42&gt;=F42,"-","+")</f>
        <v>-</v>
      </c>
      <c r="H42" s="26">
        <f>C42*D42</f>
        <v>171.8</v>
      </c>
      <c r="I42" s="26">
        <f>F42*D42</f>
        <v>167.50112311373169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23</v>
      </c>
      <c r="E43" s="107">
        <f>D43/$D$48</f>
        <v>7.9891625273541978E-3</v>
      </c>
      <c r="F43" s="28">
        <f>C43-(C43*$E$6)</f>
        <v>0.38999097348948009</v>
      </c>
      <c r="G43" s="27" t="str">
        <f>IF(C43&gt;=F43,"-","+")</f>
        <v>-</v>
      </c>
      <c r="H43" s="26">
        <f>C43*D43</f>
        <v>9.2000000000000011</v>
      </c>
      <c r="I43" s="26">
        <f>F43*D43</f>
        <v>8.9697923902580428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14.9</v>
      </c>
      <c r="E44" s="107">
        <f>D44/$D$48</f>
        <v>5.1755878981555453E-3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3.2</v>
      </c>
      <c r="E45" s="107">
        <f>D45/$D$48</f>
        <v>1.1115356559797144E-3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0.38461538461538464</v>
      </c>
      <c r="D46" s="22">
        <f>SUM(D41:D45)</f>
        <v>470.59999999999997</v>
      </c>
      <c r="E46" s="21">
        <f>D46/$D$48</f>
        <v>0.16346521240751674</v>
      </c>
      <c r="F46" s="20">
        <f>I46/D46</f>
        <v>0.37499132066296165</v>
      </c>
      <c r="G46" s="19">
        <f>F46/C46-1</f>
        <v>-2.5022566276299729E-2</v>
      </c>
      <c r="H46" s="18">
        <f>SUM(H41:H44)</f>
        <v>181</v>
      </c>
      <c r="I46" s="18">
        <f>SUM(I41:I44)</f>
        <v>176.47091550398974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94.890233799836551</v>
      </c>
      <c r="D48" s="13">
        <f>D24+D32+D40+D46</f>
        <v>2878.9</v>
      </c>
      <c r="E48" s="12">
        <f>SUM(E20:E46)/2</f>
        <v>0.99999999999999989</v>
      </c>
      <c r="F48" s="11">
        <f>I48/D48</f>
        <v>25.343567950300493</v>
      </c>
      <c r="G48" s="10"/>
      <c r="H48" s="9">
        <f>SUM(H20:H46)/2</f>
        <v>74834.140000000014</v>
      </c>
      <c r="I48" s="9">
        <f>SUM(I20:I46)/2</f>
        <v>72961.597772120091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2956.9</v>
      </c>
      <c r="E50" s="12">
        <f>D50/G2</f>
        <v>1</v>
      </c>
      <c r="F50" s="11">
        <f>I50/D50</f>
        <v>25.299999999999997</v>
      </c>
      <c r="G50" s="10"/>
      <c r="H50" s="9">
        <f>H48+H19</f>
        <v>76729.540000000008</v>
      </c>
      <c r="I50" s="9">
        <f>I48+I19</f>
        <v>74809.569999999992</v>
      </c>
      <c r="J50" s="106">
        <f>D50-G2</f>
        <v>0</v>
      </c>
      <c r="K50" s="8"/>
    </row>
    <row r="51" spans="1:11" ht="23.25" x14ac:dyDescent="0.35">
      <c r="A51" s="168" t="s">
        <v>139</v>
      </c>
      <c r="B51" s="169"/>
      <c r="C51" s="170"/>
      <c r="G51" s="7"/>
      <c r="H51" s="6"/>
      <c r="I51" s="6">
        <f>+I50/D50</f>
        <v>25.299999999999997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92D050"/>
  </sheetPr>
  <dimension ref="A1:K56"/>
  <sheetViews>
    <sheetView workbookViewId="0">
      <selection activeCell="C1" sqref="C1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140</v>
      </c>
      <c r="D1" s="100" t="s">
        <v>1</v>
      </c>
      <c r="E1" s="168" t="s">
        <v>141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140</v>
      </c>
      <c r="D2" s="96" t="s">
        <v>3</v>
      </c>
      <c r="E2" s="95" t="s">
        <v>71</v>
      </c>
      <c r="F2" s="94" t="s">
        <v>5</v>
      </c>
      <c r="G2" s="93">
        <v>12906.9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140</v>
      </c>
      <c r="F3" s="88" t="s">
        <v>8</v>
      </c>
      <c r="G3" s="87">
        <v>26.8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92.192142857142855</v>
      </c>
      <c r="F4" s="81" t="s">
        <v>12</v>
      </c>
      <c r="G4" s="80">
        <f>G2*G3</f>
        <v>345904.92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1.8251381006054168E-2</v>
      </c>
      <c r="F6" s="69" t="s">
        <v>16</v>
      </c>
      <c r="G6" s="68">
        <f>(I50-I19)/(D50-(SUM(D42:D44)+D19))</f>
        <v>31.59670427038137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 t="e">
        <f t="shared" ref="E10:E19" si="1">D10/$D$19</f>
        <v>#DIV/0!</v>
      </c>
      <c r="F10" s="28">
        <f t="shared" ref="F10:F18" si="2">C10-(C10*$E$6)</f>
        <v>26.310862989037748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27.9</v>
      </c>
      <c r="D11" s="30"/>
      <c r="E11" s="29" t="e">
        <f t="shared" si="1"/>
        <v>#DIV/0!</v>
      </c>
      <c r="F11" s="28">
        <f t="shared" si="2"/>
        <v>27.390786469931086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25.5</v>
      </c>
      <c r="D12" s="30"/>
      <c r="E12" s="29" t="e">
        <f t="shared" si="1"/>
        <v>#DIV/0!</v>
      </c>
      <c r="F12" s="28">
        <f t="shared" si="2"/>
        <v>25.03458978434562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 t="e">
        <f t="shared" si="1"/>
        <v>#DIV/0!</v>
      </c>
      <c r="F13" s="28">
        <f t="shared" si="2"/>
        <v>27.390786469931086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31.2</v>
      </c>
      <c r="D14" s="30"/>
      <c r="E14" s="29" t="e">
        <f t="shared" si="1"/>
        <v>#DIV/0!</v>
      </c>
      <c r="F14" s="28">
        <f t="shared" si="2"/>
        <v>30.630556912611109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25.7</v>
      </c>
      <c r="D15" s="30"/>
      <c r="E15" s="29" t="e">
        <f t="shared" si="1"/>
        <v>#DIV/0!</v>
      </c>
      <c r="F15" s="28">
        <f t="shared" si="2"/>
        <v>25.230939508144406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 t="e">
        <f t="shared" si="1"/>
        <v>#DIV/0!</v>
      </c>
      <c r="F16" s="28">
        <f t="shared" si="2"/>
        <v>34.557551388586894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/>
      <c r="E17" s="29" t="e">
        <f t="shared" si="1"/>
        <v>#DIV/0!</v>
      </c>
      <c r="F17" s="28">
        <f t="shared" si="2"/>
        <v>50.854578463886391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/>
      <c r="E18" s="29" t="e">
        <f t="shared" si="1"/>
        <v>#DIV/0!</v>
      </c>
      <c r="F18" s="28">
        <f t="shared" si="2"/>
        <v>44.571387302325142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>
        <v>169.8</v>
      </c>
      <c r="E21" s="29">
        <f>D21/$D$48</f>
        <v>1.3156161623987915E-2</v>
      </c>
      <c r="F21" s="28">
        <f>C21-(C21*$E$6)</f>
        <v>66.169856920191961</v>
      </c>
      <c r="G21" s="27" t="str">
        <f>IF(C21&gt;=F21,"-","+")</f>
        <v>-</v>
      </c>
      <c r="H21" s="26">
        <f>C21*D21</f>
        <v>11444.520000000002</v>
      </c>
      <c r="I21" s="26">
        <f>F21*D21</f>
        <v>11235.641705048596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433.8</v>
      </c>
      <c r="E22" s="29">
        <f>D22/$D$48</f>
        <v>3.3610971216053928E-2</v>
      </c>
      <c r="F22" s="28">
        <f>C22-(C22*$E$6)</f>
        <v>44.473212440425741</v>
      </c>
      <c r="G22" s="27" t="str">
        <f>IF(C22&gt;=F22,"-","+")</f>
        <v>-</v>
      </c>
      <c r="H22" s="26">
        <f>C22*D22</f>
        <v>19651.14</v>
      </c>
      <c r="I22" s="26">
        <f>F22*D22</f>
        <v>19292.479556656686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338.4</v>
      </c>
      <c r="E23" s="29">
        <f>D23/$D$48</f>
        <v>2.621934684073916E-2</v>
      </c>
      <c r="F23" s="28">
        <f>C23-(C23*$E$6)</f>
        <v>40.546217964449959</v>
      </c>
      <c r="G23" s="27" t="str">
        <f>IF(C23&gt;=F23,"-","+")</f>
        <v>-</v>
      </c>
      <c r="H23" s="26">
        <f>C23*D23</f>
        <v>13975.919999999998</v>
      </c>
      <c r="I23" s="26">
        <f>F23*D23</f>
        <v>13720.840159169866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47.846687898089172</v>
      </c>
      <c r="D24" s="22">
        <f>SUM(D21:D23)</f>
        <v>942</v>
      </c>
      <c r="E24" s="21">
        <f>D24/$D$48</f>
        <v>7.2986479680781008E-2</v>
      </c>
      <c r="F24" s="20">
        <f>I24/D24</f>
        <v>46.973419767383383</v>
      </c>
      <c r="G24" s="19">
        <f>F24/C24-1</f>
        <v>-1.8251381006054168E-2</v>
      </c>
      <c r="H24" s="18">
        <f>SUM(H21:H23)</f>
        <v>45071.58</v>
      </c>
      <c r="I24" s="18">
        <f>SUM(I21:I23)</f>
        <v>44248.961420875145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v>2535.6999999999998</v>
      </c>
      <c r="E26" s="29">
        <f t="shared" ref="E26:E32" si="7">D26/$D$48</f>
        <v>0.19646689652500676</v>
      </c>
      <c r="F26" s="28">
        <f t="shared" ref="F26:F31" si="8">C26-(C26*$E$6)</f>
        <v>35.342950283782052</v>
      </c>
      <c r="G26" s="27" t="str">
        <f t="shared" ref="G26:G31" si="9">IF(C26&gt;=F26,"-","+")</f>
        <v>-</v>
      </c>
      <c r="H26" s="26">
        <f t="shared" ref="H26:H31" si="10">C26*D26</f>
        <v>91285.2</v>
      </c>
      <c r="I26" s="26">
        <f t="shared" ref="I26:I31" si="11">F26*D26</f>
        <v>89619.11903458614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2053.8000000000002</v>
      </c>
      <c r="E27" s="29">
        <f t="shared" si="7"/>
        <v>0.15912912098554993</v>
      </c>
      <c r="F27" s="28">
        <f t="shared" si="8"/>
        <v>31.415955807806267</v>
      </c>
      <c r="G27" s="27" t="str">
        <f t="shared" si="9"/>
        <v>-</v>
      </c>
      <c r="H27" s="26">
        <f t="shared" si="10"/>
        <v>65721.600000000006</v>
      </c>
      <c r="I27" s="26">
        <f t="shared" si="11"/>
        <v>64522.090038072514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1476.6</v>
      </c>
      <c r="E28" s="29">
        <f t="shared" si="7"/>
        <v>0.11440746910471467</v>
      </c>
      <c r="F28" s="28">
        <f t="shared" si="8"/>
        <v>31.415955807806267</v>
      </c>
      <c r="G28" s="27" t="str">
        <f t="shared" si="9"/>
        <v>-</v>
      </c>
      <c r="H28" s="26">
        <f t="shared" si="10"/>
        <v>47251.199999999997</v>
      </c>
      <c r="I28" s="26">
        <f t="shared" si="11"/>
        <v>46388.800345806732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1140.4000000000001</v>
      </c>
      <c r="E29" s="29">
        <f t="shared" si="7"/>
        <v>8.8358579010576074E-2</v>
      </c>
      <c r="F29" s="28">
        <f t="shared" si="8"/>
        <v>30.434207188812319</v>
      </c>
      <c r="G29" s="27" t="str">
        <f t="shared" si="9"/>
        <v>-</v>
      </c>
      <c r="H29" s="26">
        <f t="shared" si="10"/>
        <v>35352.400000000001</v>
      </c>
      <c r="I29" s="26">
        <f t="shared" si="11"/>
        <v>34707.169878121575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784</v>
      </c>
      <c r="E30" s="29">
        <f t="shared" si="7"/>
        <v>6.0744586061286951E-2</v>
      </c>
      <c r="F30" s="28">
        <f t="shared" si="8"/>
        <v>30.434207188812319</v>
      </c>
      <c r="G30" s="27" t="str">
        <f t="shared" si="9"/>
        <v>-</v>
      </c>
      <c r="H30" s="26">
        <f t="shared" si="10"/>
        <v>24304</v>
      </c>
      <c r="I30" s="26">
        <f t="shared" si="11"/>
        <v>23860.41843602886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362.8</v>
      </c>
      <c r="E31" s="29">
        <f t="shared" si="7"/>
        <v>2.8109867121217991E-2</v>
      </c>
      <c r="F31" s="28">
        <f t="shared" si="8"/>
        <v>30.925081498309293</v>
      </c>
      <c r="G31" s="27" t="str">
        <f t="shared" si="9"/>
        <v>-</v>
      </c>
      <c r="H31" s="26">
        <f t="shared" si="10"/>
        <v>11428.2</v>
      </c>
      <c r="I31" s="26">
        <f t="shared" si="11"/>
        <v>11219.619567586611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32.962134725198432</v>
      </c>
      <c r="D32" s="22">
        <f>SUM(D26:D31)</f>
        <v>8353.2999999999993</v>
      </c>
      <c r="E32" s="21">
        <f t="shared" si="7"/>
        <v>0.64721651880835229</v>
      </c>
      <c r="F32" s="20">
        <f>I32/D32</f>
        <v>32.360530245555942</v>
      </c>
      <c r="G32" s="19">
        <f>F32/C32-1</f>
        <v>-1.8251381006054279E-2</v>
      </c>
      <c r="H32" s="18">
        <f>SUM(H26:H31)</f>
        <v>275342.60000000003</v>
      </c>
      <c r="I32" s="18">
        <f>SUM(I26:I31)</f>
        <v>270317.21730020241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1647.5</v>
      </c>
      <c r="E34" s="29">
        <f t="shared" ref="E34:E40" si="13">D34/$D$48</f>
        <v>0.12764885910200285</v>
      </c>
      <c r="F34" s="28">
        <f t="shared" ref="F34:F39" si="14">C34-(C34*$E$6)</f>
        <v>18.555048898985575</v>
      </c>
      <c r="G34" s="27" t="str">
        <f t="shared" ref="G34:G39" si="15">IF(C34&gt;=F34,"-","+")</f>
        <v>-</v>
      </c>
      <c r="H34" s="26">
        <f t="shared" ref="H34:H39" si="16">C34*D34</f>
        <v>31137.749999999996</v>
      </c>
      <c r="I34" s="26">
        <f t="shared" ref="I34:I39" si="17">F34*D34</f>
        <v>30569.443061078735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14.333529837311609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11.486458842229165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30.434207188812319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30.434207188812319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31.415955807806267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1647.5</v>
      </c>
      <c r="E40" s="21">
        <f t="shared" si="13"/>
        <v>0.12764885910200285</v>
      </c>
      <c r="F40" s="20">
        <f>I40/D40</f>
        <v>18.555048898985575</v>
      </c>
      <c r="G40" s="19">
        <f>F40/C40-1</f>
        <v>-1.8251381006054168E-2</v>
      </c>
      <c r="H40" s="18">
        <f>SUM(H34:H39)</f>
        <v>31137.749999999996</v>
      </c>
      <c r="I40" s="18">
        <f>SUM(I34:I39)</f>
        <v>30569.443061078735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1915</v>
      </c>
      <c r="E42" s="107">
        <f>D42/$D$48</f>
        <v>0.14837484988184249</v>
      </c>
      <c r="F42" s="28">
        <f>C42-(C42*$E$6)</f>
        <v>0.39269944759757835</v>
      </c>
      <c r="G42" s="27" t="str">
        <f>IF(C42&gt;=F42,"-","+")</f>
        <v>-</v>
      </c>
      <c r="H42" s="26">
        <f>C42*D42</f>
        <v>766</v>
      </c>
      <c r="I42" s="26">
        <f>F42*D42</f>
        <v>752.01944214936259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44</v>
      </c>
      <c r="E43" s="107">
        <f>D43/$D$48</f>
        <v>3.4091349320110021E-3</v>
      </c>
      <c r="F43" s="28">
        <f>C43-(C43*$E$6)</f>
        <v>0.39269944759757835</v>
      </c>
      <c r="G43" s="27" t="str">
        <f>IF(C43&gt;=F43,"-","+")</f>
        <v>-</v>
      </c>
      <c r="H43" s="26">
        <f>C43*D43</f>
        <v>17.600000000000001</v>
      </c>
      <c r="I43" s="26">
        <f>F43*D43</f>
        <v>17.278775694293447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3.6415759501026615E-4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0.39904262361867904</v>
      </c>
      <c r="D46" s="22">
        <f>SUM(D41:D45)</f>
        <v>1963.7</v>
      </c>
      <c r="E46" s="21">
        <f>D46/$D$48</f>
        <v>0.15214814240886376</v>
      </c>
      <c r="F46" s="20">
        <f>I46/D46</f>
        <v>0.39175954465735907</v>
      </c>
      <c r="G46" s="19">
        <f>F46/C46-1</f>
        <v>-1.8251381006054168E-2</v>
      </c>
      <c r="H46" s="18">
        <f>SUM(H41:H44)</f>
        <v>783.6</v>
      </c>
      <c r="I46" s="18">
        <f>SUM(I41:I44)</f>
        <v>769.29821784365606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100.10786524690629</v>
      </c>
      <c r="D48" s="13">
        <f>D24+D32+D40+D46</f>
        <v>12906.5</v>
      </c>
      <c r="E48" s="12">
        <f>SUM(E20:E46)/2</f>
        <v>0.99999999999999989</v>
      </c>
      <c r="F48" s="11">
        <f>I48/D48</f>
        <v>26.800830589237982</v>
      </c>
      <c r="G48" s="10"/>
      <c r="H48" s="9">
        <f>SUM(H20:H46)/2</f>
        <v>352335.53</v>
      </c>
      <c r="I48" s="9">
        <f>SUM(I20:I46)/2</f>
        <v>345904.92000000004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12906.5</v>
      </c>
      <c r="E50" s="12">
        <f>D50/G2</f>
        <v>0.99996900882473716</v>
      </c>
      <c r="F50" s="11">
        <f>I50/D50</f>
        <v>26.800830589237982</v>
      </c>
      <c r="G50" s="10"/>
      <c r="H50" s="9">
        <f>H48+H19</f>
        <v>352335.53</v>
      </c>
      <c r="I50" s="9">
        <f>I48+I19</f>
        <v>345904.92000000004</v>
      </c>
      <c r="J50" s="106">
        <f>D50-G2</f>
        <v>-0.3999999999996362</v>
      </c>
      <c r="K50" s="8"/>
    </row>
    <row r="51" spans="1:11" ht="23.25" x14ac:dyDescent="0.35">
      <c r="A51" s="168" t="s">
        <v>142</v>
      </c>
      <c r="B51" s="169"/>
      <c r="C51" s="170"/>
      <c r="G51" s="7"/>
      <c r="H51" s="6"/>
      <c r="I51" s="6">
        <f>+I50/D50</f>
        <v>26.800830589237982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143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144</v>
      </c>
      <c r="D2" s="96" t="s">
        <v>3</v>
      </c>
      <c r="E2" s="95" t="s">
        <v>71</v>
      </c>
      <c r="F2" s="94" t="s">
        <v>5</v>
      </c>
      <c r="G2" s="93">
        <v>9500.2000000000007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140</v>
      </c>
      <c r="F3" s="88" t="s">
        <v>8</v>
      </c>
      <c r="G3" s="87">
        <v>25.5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67.858571428571437</v>
      </c>
      <c r="F4" s="81" t="s">
        <v>12</v>
      </c>
      <c r="G4" s="80">
        <f>G2*G3</f>
        <v>242255.1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-7.5036543852369242E-3</v>
      </c>
      <c r="F6" s="69" t="s">
        <v>16</v>
      </c>
      <c r="G6" s="68">
        <f>(I50-I19)/(D50-(SUM(D42:D44)+D19))</f>
        <v>30.483075800281849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25.5</v>
      </c>
      <c r="D10" s="30"/>
      <c r="E10" s="29" t="e">
        <f t="shared" ref="E10:E19" si="1">D10/$D$19</f>
        <v>#DIV/0!</v>
      </c>
      <c r="F10" s="28">
        <f t="shared" ref="F10:F18" si="2">C10-(C10*$E$6)</f>
        <v>25.691343186823541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26.6</v>
      </c>
      <c r="D11" s="30"/>
      <c r="E11" s="29" t="e">
        <f t="shared" si="1"/>
        <v>#DIV/0!</v>
      </c>
      <c r="F11" s="28">
        <f t="shared" si="2"/>
        <v>26.799597206647302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24.3</v>
      </c>
      <c r="D12" s="30"/>
      <c r="E12" s="29" t="e">
        <f t="shared" si="1"/>
        <v>#DIV/0!</v>
      </c>
      <c r="F12" s="28">
        <f t="shared" si="2"/>
        <v>24.482338801561259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26.6</v>
      </c>
      <c r="D13" s="30"/>
      <c r="E13" s="29" t="e">
        <f t="shared" si="1"/>
        <v>#DIV/0!</v>
      </c>
      <c r="F13" s="28">
        <f t="shared" si="2"/>
        <v>26.799597206647302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29.7</v>
      </c>
      <c r="D14" s="30"/>
      <c r="E14" s="29" t="e">
        <f t="shared" si="1"/>
        <v>#DIV/0!</v>
      </c>
      <c r="F14" s="28">
        <f t="shared" si="2"/>
        <v>29.922858535241534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24.5</v>
      </c>
      <c r="D15" s="30"/>
      <c r="E15" s="29" t="e">
        <f t="shared" si="1"/>
        <v>#DIV/0!</v>
      </c>
      <c r="F15" s="28">
        <f t="shared" si="2"/>
        <v>24.683839532438306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33.5</v>
      </c>
      <c r="D16" s="30"/>
      <c r="E16" s="29" t="e">
        <f t="shared" si="1"/>
        <v>#DIV/0!</v>
      </c>
      <c r="F16" s="28">
        <f t="shared" si="2"/>
        <v>33.751372421905437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49.3</v>
      </c>
      <c r="D17" s="30"/>
      <c r="E17" s="29" t="e">
        <f t="shared" si="1"/>
        <v>#DIV/0!</v>
      </c>
      <c r="F17" s="28">
        <f t="shared" si="2"/>
        <v>49.669930161192177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43.2</v>
      </c>
      <c r="D18" s="30"/>
      <c r="E18" s="29" t="e">
        <f t="shared" si="1"/>
        <v>#DIV/0!</v>
      </c>
      <c r="F18" s="28">
        <f t="shared" si="2"/>
        <v>43.524157869442234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64.099999999999994</v>
      </c>
      <c r="D21" s="30">
        <v>111.8</v>
      </c>
      <c r="E21" s="29">
        <f>D21/$D$48</f>
        <v>1.1768173301614702E-2</v>
      </c>
      <c r="F21" s="28">
        <f>C21-(C21*$E$6)</f>
        <v>64.580984246093678</v>
      </c>
      <c r="G21" s="27" t="str">
        <f>IF(C21&gt;=F21,"-","+")</f>
        <v>+</v>
      </c>
      <c r="H21" s="26">
        <f>C21*D21</f>
        <v>7166.3799999999992</v>
      </c>
      <c r="I21" s="26">
        <f>F21*D21</f>
        <v>7220.1540387132727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43.1</v>
      </c>
      <c r="D22" s="30">
        <v>319</v>
      </c>
      <c r="E22" s="29">
        <f>D22/$D$48</f>
        <v>3.3578240458095619E-2</v>
      </c>
      <c r="F22" s="28">
        <f>C22-(C22*$E$6)</f>
        <v>43.423407504003713</v>
      </c>
      <c r="G22" s="27" t="str">
        <f>IF(C22&gt;=F22,"-","+")</f>
        <v>+</v>
      </c>
      <c r="H22" s="26">
        <f>C22*D22</f>
        <v>13748.9</v>
      </c>
      <c r="I22" s="26">
        <f>F22*D22</f>
        <v>13852.066993777184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39.299999999999997</v>
      </c>
      <c r="D23" s="30">
        <v>231.4</v>
      </c>
      <c r="E23" s="29">
        <f>D23/$D$48</f>
        <v>2.4357381949853686E-2</v>
      </c>
      <c r="F23" s="28">
        <f>C23-(C23*$E$6)</f>
        <v>39.594893617339807</v>
      </c>
      <c r="G23" s="27" t="str">
        <f>IF(C23&gt;=F23,"-","+")</f>
        <v>+</v>
      </c>
      <c r="H23" s="26">
        <f>C23*D23</f>
        <v>9094.02</v>
      </c>
      <c r="I23" s="26">
        <f>F23*D23</f>
        <v>9162.2583830524309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45.317577771066141</v>
      </c>
      <c r="D24" s="22">
        <f>SUM(D21:D23)</f>
        <v>662.2</v>
      </c>
      <c r="E24" s="21">
        <f>D24/$D$48</f>
        <v>6.9703795709564004E-2</v>
      </c>
      <c r="F24" s="20">
        <f>I24/D24</f>
        <v>45.657625212236312</v>
      </c>
      <c r="G24" s="19">
        <f>F24/C24-1</f>
        <v>7.5036543852369242E-3</v>
      </c>
      <c r="H24" s="18">
        <f>SUM(H21:H23)</f>
        <v>30009.3</v>
      </c>
      <c r="I24" s="18">
        <f>SUM(I21:I23)</f>
        <v>30234.479415542886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34.200000000000003</v>
      </c>
      <c r="D26" s="30">
        <v>1741.4</v>
      </c>
      <c r="E26" s="29">
        <f t="shared" ref="E26:E32" si="7">D26/$D$48</f>
        <v>0.18330140418096461</v>
      </c>
      <c r="F26" s="28">
        <f t="shared" ref="F26:F31" si="8">C26-(C26*$E$6)</f>
        <v>34.456624979975103</v>
      </c>
      <c r="G26" s="27" t="str">
        <f t="shared" ref="G26:G31" si="9">IF(C26&gt;=F26,"-","+")</f>
        <v>+</v>
      </c>
      <c r="H26" s="26">
        <f t="shared" ref="H26:H31" si="10">C26*D26</f>
        <v>59555.880000000005</v>
      </c>
      <c r="I26" s="26">
        <f t="shared" ref="I26:I31" si="11">F26*D26</f>
        <v>60002.766740128645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30.5</v>
      </c>
      <c r="D27" s="30">
        <v>1562.8</v>
      </c>
      <c r="E27" s="29">
        <f t="shared" si="7"/>
        <v>0.16450179996210604</v>
      </c>
      <c r="F27" s="28">
        <f t="shared" si="8"/>
        <v>30.728861458749726</v>
      </c>
      <c r="G27" s="27" t="str">
        <f t="shared" si="9"/>
        <v>+</v>
      </c>
      <c r="H27" s="26">
        <f t="shared" si="10"/>
        <v>47665.4</v>
      </c>
      <c r="I27" s="26">
        <f t="shared" si="11"/>
        <v>48023.06468773407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30.5</v>
      </c>
      <c r="D28" s="30">
        <v>988.4</v>
      </c>
      <c r="E28" s="29">
        <f t="shared" si="7"/>
        <v>0.10403991494915896</v>
      </c>
      <c r="F28" s="28">
        <f t="shared" si="8"/>
        <v>30.728861458749726</v>
      </c>
      <c r="G28" s="27" t="str">
        <f t="shared" si="9"/>
        <v>+</v>
      </c>
      <c r="H28" s="26">
        <f t="shared" si="10"/>
        <v>30146.2</v>
      </c>
      <c r="I28" s="26">
        <f t="shared" si="11"/>
        <v>30372.406665828228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29.5</v>
      </c>
      <c r="D29" s="30">
        <v>883.6</v>
      </c>
      <c r="E29" s="29">
        <f t="shared" si="7"/>
        <v>9.300856824066861E-2</v>
      </c>
      <c r="F29" s="28">
        <f t="shared" si="8"/>
        <v>29.721357804364491</v>
      </c>
      <c r="G29" s="27" t="str">
        <f t="shared" si="9"/>
        <v>+</v>
      </c>
      <c r="H29" s="26">
        <f t="shared" si="10"/>
        <v>26066.2</v>
      </c>
      <c r="I29" s="26">
        <f t="shared" si="11"/>
        <v>26261.791755936465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29.5</v>
      </c>
      <c r="D30" s="30">
        <v>455</v>
      </c>
      <c r="E30" s="29">
        <f t="shared" si="7"/>
        <v>4.789372855308309E-2</v>
      </c>
      <c r="F30" s="28">
        <f t="shared" si="8"/>
        <v>29.721357804364491</v>
      </c>
      <c r="G30" s="27" t="str">
        <f t="shared" si="9"/>
        <v>+</v>
      </c>
      <c r="H30" s="26">
        <f t="shared" si="10"/>
        <v>13422.5</v>
      </c>
      <c r="I30" s="26">
        <f t="shared" si="11"/>
        <v>13523.217800985843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</v>
      </c>
      <c r="D31" s="30">
        <v>270</v>
      </c>
      <c r="E31" s="29">
        <f t="shared" si="7"/>
        <v>2.842045430622513E-2</v>
      </c>
      <c r="F31" s="28">
        <f t="shared" si="8"/>
        <v>30.225109631557107</v>
      </c>
      <c r="G31" s="27" t="str">
        <f t="shared" si="9"/>
        <v>+</v>
      </c>
      <c r="H31" s="26">
        <f t="shared" si="10"/>
        <v>8100</v>
      </c>
      <c r="I31" s="26">
        <f t="shared" si="11"/>
        <v>8160.7796005204191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31.342130414153058</v>
      </c>
      <c r="D32" s="22">
        <f>SUM(D26:D31)</f>
        <v>5901.2</v>
      </c>
      <c r="E32" s="21">
        <f t="shared" si="7"/>
        <v>0.62116587019220637</v>
      </c>
      <c r="F32" s="20">
        <f>I32/D32</f>
        <v>31.577310928477882</v>
      </c>
      <c r="G32" s="19">
        <f>F32/C32-1</f>
        <v>7.5036543852369242E-3</v>
      </c>
      <c r="H32" s="18">
        <f>SUM(H26:H31)</f>
        <v>184956.18000000002</v>
      </c>
      <c r="I32" s="18">
        <f>SUM(I26:I31)</f>
        <v>186344.02725113367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v>1381.8</v>
      </c>
      <c r="E34" s="29">
        <f t="shared" ref="E34:E40" si="13">D34/$D$48</f>
        <v>0.1454495694827477</v>
      </c>
      <c r="F34" s="28">
        <f t="shared" ref="F34:F39" si="14">C34-(C34*$E$6)</f>
        <v>18.135065778934266</v>
      </c>
      <c r="G34" s="27" t="str">
        <f t="shared" ref="G34:G39" si="15">IF(C34&gt;=F34,"-","+")</f>
        <v>+</v>
      </c>
      <c r="H34" s="26">
        <f t="shared" ref="H34:H39" si="16">C34*D34</f>
        <v>24872.399999999998</v>
      </c>
      <c r="I34" s="26">
        <f t="shared" ref="I34:I39" si="17">F34*D34</f>
        <v>25059.033893331369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/>
      <c r="E35" s="29">
        <f t="shared" si="13"/>
        <v>0</v>
      </c>
      <c r="F35" s="28">
        <f t="shared" si="14"/>
        <v>14.004300795954794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11.183290563676129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29.5</v>
      </c>
      <c r="D37" s="30"/>
      <c r="E37" s="29">
        <f t="shared" si="13"/>
        <v>0</v>
      </c>
      <c r="F37" s="28">
        <f t="shared" si="14"/>
        <v>29.721357804364491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29.5</v>
      </c>
      <c r="D38" s="30"/>
      <c r="E38" s="29">
        <f t="shared" si="13"/>
        <v>0</v>
      </c>
      <c r="F38" s="28">
        <f t="shared" si="14"/>
        <v>29.721357804364491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30.5</v>
      </c>
      <c r="D39" s="30"/>
      <c r="E39" s="29">
        <f t="shared" si="13"/>
        <v>0</v>
      </c>
      <c r="F39" s="28">
        <f t="shared" si="14"/>
        <v>30.728861458749726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</v>
      </c>
      <c r="D40" s="22">
        <f>SUM(D34:D39)</f>
        <v>1381.8</v>
      </c>
      <c r="E40" s="21">
        <f t="shared" si="13"/>
        <v>0.1454495694827477</v>
      </c>
      <c r="F40" s="20">
        <f>I40/D40</f>
        <v>18.135065778934266</v>
      </c>
      <c r="G40" s="19">
        <f>F40/C40-1</f>
        <v>7.5036543852369242E-3</v>
      </c>
      <c r="H40" s="18">
        <f>SUM(H34:H39)</f>
        <v>24872.399999999998</v>
      </c>
      <c r="I40" s="18">
        <f>SUM(I34:I39)</f>
        <v>25059.033893331369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1475</v>
      </c>
      <c r="E42" s="107">
        <f>D42/$D$48</f>
        <v>0.15525988926548914</v>
      </c>
      <c r="F42" s="28">
        <f>C42-(C42*$E$6)</f>
        <v>0.40300146175409479</v>
      </c>
      <c r="G42" s="27" t="str">
        <f>IF(C42&gt;=F42,"-","+")</f>
        <v>+</v>
      </c>
      <c r="H42" s="26">
        <f>C42*D42</f>
        <v>590</v>
      </c>
      <c r="I42" s="26">
        <f>F42*D42</f>
        <v>594.42715608728986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57.4</v>
      </c>
      <c r="E43" s="107">
        <f>D43/$D$48</f>
        <v>6.0419780636197127E-3</v>
      </c>
      <c r="F43" s="28">
        <f>C43-(C43*$E$6)</f>
        <v>0.40300146175409479</v>
      </c>
      <c r="G43" s="27" t="str">
        <f>IF(C43&gt;=F43,"-","+")</f>
        <v>+</v>
      </c>
      <c r="H43" s="26">
        <f>C43*D43</f>
        <v>22.96</v>
      </c>
      <c r="I43" s="26">
        <f>F43*D43</f>
        <v>23.132283904685039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20.6</v>
      </c>
      <c r="E44" s="107">
        <f>D44/$D$48</f>
        <v>2.1683754026231026E-3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</v>
      </c>
      <c r="E45" s="107">
        <f>D45/$D$48</f>
        <v>2.1052188374981579E-4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0.39418649517684889</v>
      </c>
      <c r="D46" s="22">
        <f>SUM(D41:D45)</f>
        <v>1555</v>
      </c>
      <c r="E46" s="21">
        <f>D46/$D$48</f>
        <v>0.16368076461548176</v>
      </c>
      <c r="F46" s="20">
        <f>I46/D46</f>
        <v>0.39714433439998381</v>
      </c>
      <c r="G46" s="19">
        <f>F46/C46-1</f>
        <v>7.5036543852369242E-3</v>
      </c>
      <c r="H46" s="18">
        <f>SUM(H41:H44)</f>
        <v>612.96</v>
      </c>
      <c r="I46" s="18">
        <f>SUM(I41:I44)</f>
        <v>617.55943999197484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95.053894680396056</v>
      </c>
      <c r="D48" s="13">
        <f>D24+D32+D40+D46</f>
        <v>9500.2000000000007</v>
      </c>
      <c r="E48" s="12">
        <f>SUM(E20:E46)/2</f>
        <v>0.99999999999999978</v>
      </c>
      <c r="F48" s="11">
        <f>I48/D48</f>
        <v>25.499999999999986</v>
      </c>
      <c r="G48" s="10"/>
      <c r="H48" s="9">
        <f>SUM(H20:H46)/2</f>
        <v>240450.84000000008</v>
      </c>
      <c r="I48" s="9">
        <f>SUM(I20:I46)/2</f>
        <v>242255.09999999989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9500.1999999999989</v>
      </c>
      <c r="E50" s="12">
        <f>D50/G2</f>
        <v>0.99999999999999978</v>
      </c>
      <c r="F50" s="11">
        <f>I50/D50</f>
        <v>25.499999999999993</v>
      </c>
      <c r="G50" s="10"/>
      <c r="H50" s="9">
        <f>H48+H19</f>
        <v>240450.84000000008</v>
      </c>
      <c r="I50" s="9">
        <f>I48+I19</f>
        <v>242255.09999999989</v>
      </c>
      <c r="J50" s="106">
        <f>D50-G2</f>
        <v>0</v>
      </c>
      <c r="K50" s="8"/>
    </row>
    <row r="51" spans="1:11" ht="23.25" x14ac:dyDescent="0.35">
      <c r="A51" s="168" t="s">
        <v>145</v>
      </c>
      <c r="B51" s="169"/>
      <c r="C51" s="170"/>
      <c r="G51" s="7"/>
      <c r="H51" s="6"/>
      <c r="I51" s="6">
        <f>+I50/D50</f>
        <v>25.499999999999993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143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144</v>
      </c>
      <c r="D2" s="96" t="s">
        <v>3</v>
      </c>
      <c r="E2" s="95" t="s">
        <v>71</v>
      </c>
      <c r="F2" s="94" t="s">
        <v>5</v>
      </c>
      <c r="G2" s="93">
        <v>1614.1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24</v>
      </c>
      <c r="F3" s="88" t="s">
        <v>8</v>
      </c>
      <c r="G3" s="87">
        <v>25.5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67.254166666666663</v>
      </c>
      <c r="F4" s="81" t="s">
        <v>12</v>
      </c>
      <c r="G4" s="80">
        <f>G2*G3</f>
        <v>41159.549999999996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1.8350089854384466E-2</v>
      </c>
      <c r="F6" s="69" t="s">
        <v>16</v>
      </c>
      <c r="G6" s="68">
        <f>(I50-I19)/(D50-(SUM(D42:D44)+D19))</f>
        <v>30.340225563909783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25.5</v>
      </c>
      <c r="D10" s="30"/>
      <c r="E10" s="29" t="e">
        <f t="shared" ref="E10:E19" si="1">D10/$D$19</f>
        <v>#DIV/0!</v>
      </c>
      <c r="F10" s="28">
        <f t="shared" ref="F10:F18" si="2">C10-(C10*$E$6)</f>
        <v>25.032072708713198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26.6</v>
      </c>
      <c r="D11" s="30"/>
      <c r="E11" s="29" t="e">
        <f t="shared" si="1"/>
        <v>#DIV/0!</v>
      </c>
      <c r="F11" s="28">
        <f t="shared" si="2"/>
        <v>26.111887609873374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24.3</v>
      </c>
      <c r="D12" s="30"/>
      <c r="E12" s="29" t="e">
        <f t="shared" si="1"/>
        <v>#DIV/0!</v>
      </c>
      <c r="F12" s="28">
        <f t="shared" si="2"/>
        <v>23.854092816538458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26.6</v>
      </c>
      <c r="D13" s="30"/>
      <c r="E13" s="29" t="e">
        <f t="shared" si="1"/>
        <v>#DIV/0!</v>
      </c>
      <c r="F13" s="28">
        <f t="shared" si="2"/>
        <v>26.111887609873374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29.7</v>
      </c>
      <c r="D14" s="30"/>
      <c r="E14" s="29" t="e">
        <f t="shared" si="1"/>
        <v>#DIV/0!</v>
      </c>
      <c r="F14" s="28">
        <f t="shared" si="2"/>
        <v>29.155002331324781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24.5</v>
      </c>
      <c r="D15" s="30"/>
      <c r="E15" s="29" t="e">
        <f t="shared" si="1"/>
        <v>#DIV/0!</v>
      </c>
      <c r="F15" s="28">
        <f t="shared" si="2"/>
        <v>24.050422798567581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33.5</v>
      </c>
      <c r="D16" s="30"/>
      <c r="E16" s="29" t="e">
        <f t="shared" si="1"/>
        <v>#DIV/0!</v>
      </c>
      <c r="F16" s="28">
        <f t="shared" si="2"/>
        <v>32.88527198987812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49.3</v>
      </c>
      <c r="D17" s="30"/>
      <c r="E17" s="29" t="e">
        <f t="shared" si="1"/>
        <v>#DIV/0!</v>
      </c>
      <c r="F17" s="28">
        <f t="shared" si="2"/>
        <v>48.395340570178845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43.2</v>
      </c>
      <c r="D18" s="30"/>
      <c r="E18" s="29" t="e">
        <f t="shared" si="1"/>
        <v>#DIV/0!</v>
      </c>
      <c r="F18" s="28">
        <f t="shared" si="2"/>
        <v>42.407276118290596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64.099999999999994</v>
      </c>
      <c r="D21" s="30">
        <v>28.7</v>
      </c>
      <c r="E21" s="29">
        <f>D21/$D$48</f>
        <v>1.7780806641472028E-2</v>
      </c>
      <c r="F21" s="28">
        <f>C21-(C21*$E$6)</f>
        <v>62.923759240333951</v>
      </c>
      <c r="G21" s="27" t="str">
        <f>IF(C21&gt;=F21,"-","+")</f>
        <v>-</v>
      </c>
      <c r="H21" s="26">
        <f>C21*D21</f>
        <v>1839.6699999999998</v>
      </c>
      <c r="I21" s="26">
        <f>F21*D21</f>
        <v>1805.9118901975844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43.1</v>
      </c>
      <c r="D22" s="30">
        <v>33.200000000000003</v>
      </c>
      <c r="E22" s="29">
        <f>D22/$D$48</f>
        <v>2.0568737996406669E-2</v>
      </c>
      <c r="F22" s="28">
        <f>C22-(C22*$E$6)</f>
        <v>42.309111127276033</v>
      </c>
      <c r="G22" s="27" t="str">
        <f>IF(C22&gt;=F22,"-","+")</f>
        <v>-</v>
      </c>
      <c r="H22" s="26">
        <f>C22*D22</f>
        <v>1430.92</v>
      </c>
      <c r="I22" s="26">
        <f>F22*D22</f>
        <v>1404.6624894255644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39.299999999999997</v>
      </c>
      <c r="D23" s="30">
        <v>56</v>
      </c>
      <c r="E23" s="29">
        <f>D23/$D$48</f>
        <v>3.469425686140884E-2</v>
      </c>
      <c r="F23" s="28">
        <f>C23-(C23*$E$6)</f>
        <v>38.578841468722686</v>
      </c>
      <c r="G23" s="27" t="str">
        <f>IF(C23&gt;=F23,"-","+")</f>
        <v>-</v>
      </c>
      <c r="H23" s="26">
        <f>C23*D23</f>
        <v>2200.7999999999997</v>
      </c>
      <c r="I23" s="26">
        <f>F23*D23</f>
        <v>2160.4151222484707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46.407039864291768</v>
      </c>
      <c r="D24" s="22">
        <f>SUM(D21:D23)</f>
        <v>117.9</v>
      </c>
      <c r="E24" s="21">
        <f>D24/$D$48</f>
        <v>7.3043801499287533E-2</v>
      </c>
      <c r="F24" s="20">
        <f>I24/D24</f>
        <v>45.555466512906015</v>
      </c>
      <c r="G24" s="19">
        <f>F24/C24-1</f>
        <v>-1.8350089854384355E-2</v>
      </c>
      <c r="H24" s="18">
        <f>SUM(H21:H23)</f>
        <v>5471.3899999999994</v>
      </c>
      <c r="I24" s="18">
        <f>SUM(I21:I23)</f>
        <v>5370.9895018716197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34.200000000000003</v>
      </c>
      <c r="D26" s="30">
        <f>111.6+349.2</f>
        <v>460.79999999999995</v>
      </c>
      <c r="E26" s="29">
        <f t="shared" ref="E26:E32" si="7">D26/$D$48</f>
        <v>0.28548417074530696</v>
      </c>
      <c r="F26" s="28">
        <f t="shared" ref="F26:F31" si="8">C26-(C26*$E$6)</f>
        <v>33.572426926980057</v>
      </c>
      <c r="G26" s="27" t="str">
        <f t="shared" ref="G26:G31" si="9">IF(C26&gt;=F26,"-","+")</f>
        <v>-</v>
      </c>
      <c r="H26" s="26">
        <f t="shared" ref="H26:H31" si="10">C26*D26</f>
        <v>15759.36</v>
      </c>
      <c r="I26" s="26">
        <f t="shared" ref="I26:I31" si="11">F26*D26</f>
        <v>15470.174327952409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30.5</v>
      </c>
      <c r="D27" s="30">
        <v>170</v>
      </c>
      <c r="E27" s="29">
        <f t="shared" si="7"/>
        <v>0.10532185118641968</v>
      </c>
      <c r="F27" s="28">
        <f t="shared" si="8"/>
        <v>29.940322259441274</v>
      </c>
      <c r="G27" s="27" t="str">
        <f t="shared" si="9"/>
        <v>-</v>
      </c>
      <c r="H27" s="26">
        <f t="shared" si="10"/>
        <v>5185</v>
      </c>
      <c r="I27" s="26">
        <f t="shared" si="11"/>
        <v>5089.8547841050167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30.5</v>
      </c>
      <c r="D28" s="30">
        <v>123</v>
      </c>
      <c r="E28" s="29">
        <f t="shared" si="7"/>
        <v>7.6203457034880129E-2</v>
      </c>
      <c r="F28" s="28">
        <f t="shared" si="8"/>
        <v>29.940322259441274</v>
      </c>
      <c r="G28" s="27" t="str">
        <f t="shared" si="9"/>
        <v>-</v>
      </c>
      <c r="H28" s="26">
        <f t="shared" si="10"/>
        <v>3751.5</v>
      </c>
      <c r="I28" s="26">
        <f t="shared" si="11"/>
        <v>3682.6596379112766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29.5</v>
      </c>
      <c r="D29" s="30">
        <v>93.6</v>
      </c>
      <c r="E29" s="29">
        <f t="shared" si="7"/>
        <v>5.7988972182640479E-2</v>
      </c>
      <c r="F29" s="28">
        <f t="shared" si="8"/>
        <v>28.958672349295657</v>
      </c>
      <c r="G29" s="27" t="str">
        <f t="shared" si="9"/>
        <v>-</v>
      </c>
      <c r="H29" s="26">
        <f t="shared" si="10"/>
        <v>2761.2</v>
      </c>
      <c r="I29" s="26">
        <f t="shared" si="11"/>
        <v>2710.5317318940733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29.5</v>
      </c>
      <c r="D30" s="30">
        <f>26.8+93</f>
        <v>119.8</v>
      </c>
      <c r="E30" s="29">
        <f t="shared" si="7"/>
        <v>7.422092807137104E-2</v>
      </c>
      <c r="F30" s="28">
        <f t="shared" si="8"/>
        <v>28.958672349295657</v>
      </c>
      <c r="G30" s="27" t="str">
        <f t="shared" si="9"/>
        <v>-</v>
      </c>
      <c r="H30" s="26">
        <f t="shared" si="10"/>
        <v>3534.1</v>
      </c>
      <c r="I30" s="26">
        <f t="shared" si="11"/>
        <v>3469.2489474456197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</v>
      </c>
      <c r="D31" s="30">
        <v>43.8</v>
      </c>
      <c r="E31" s="29">
        <f t="shared" si="7"/>
        <v>2.7135865188030482E-2</v>
      </c>
      <c r="F31" s="28">
        <f t="shared" si="8"/>
        <v>29.449497304368467</v>
      </c>
      <c r="G31" s="27" t="str">
        <f t="shared" si="9"/>
        <v>-</v>
      </c>
      <c r="H31" s="26">
        <f t="shared" si="10"/>
        <v>1314</v>
      </c>
      <c r="I31" s="26">
        <f t="shared" si="11"/>
        <v>1289.8879819313388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31.953669634025722</v>
      </c>
      <c r="D32" s="22">
        <f>SUM(D26:D31)</f>
        <v>1010.9999999999999</v>
      </c>
      <c r="E32" s="21">
        <f t="shared" si="7"/>
        <v>0.62635524440864876</v>
      </c>
      <c r="F32" s="20">
        <f>I32/D32</f>
        <v>31.367316925064031</v>
      </c>
      <c r="G32" s="19">
        <f>F32/C32-1</f>
        <v>-1.8350089854384577E-2</v>
      </c>
      <c r="H32" s="18">
        <f>SUM(H26:H31)</f>
        <v>32305.16</v>
      </c>
      <c r="I32" s="18">
        <f>SUM(I26:I31)</f>
        <v>31712.357411239733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v>225</v>
      </c>
      <c r="E34" s="29">
        <f t="shared" ref="E34:E40" si="13">D34/$D$48</f>
        <v>0.13939656774673193</v>
      </c>
      <c r="F34" s="28">
        <f t="shared" ref="F34:F39" si="14">C34-(C34*$E$6)</f>
        <v>17.669698382621078</v>
      </c>
      <c r="G34" s="27" t="str">
        <f t="shared" ref="G34:G39" si="15">IF(C34&gt;=F34,"-","+")</f>
        <v>-</v>
      </c>
      <c r="H34" s="26">
        <f t="shared" ref="H34:H39" si="16">C34*D34</f>
        <v>4050</v>
      </c>
      <c r="I34" s="26">
        <f t="shared" ref="I34:I39" si="17">F34*D34</f>
        <v>3975.6821360897425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/>
      <c r="E35" s="29">
        <f t="shared" si="13"/>
        <v>0</v>
      </c>
      <c r="F35" s="28">
        <f t="shared" si="14"/>
        <v>13.644933751024055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10.896314002616332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29.5</v>
      </c>
      <c r="D37" s="30"/>
      <c r="E37" s="29">
        <f t="shared" si="13"/>
        <v>0</v>
      </c>
      <c r="F37" s="28">
        <f t="shared" si="14"/>
        <v>28.958672349295657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29.5</v>
      </c>
      <c r="D38" s="30"/>
      <c r="E38" s="29">
        <f t="shared" si="13"/>
        <v>0</v>
      </c>
      <c r="F38" s="28">
        <f t="shared" si="14"/>
        <v>28.958672349295657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30.5</v>
      </c>
      <c r="D39" s="30"/>
      <c r="E39" s="29">
        <f t="shared" si="13"/>
        <v>0</v>
      </c>
      <c r="F39" s="28">
        <f t="shared" si="14"/>
        <v>29.940322259441274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</v>
      </c>
      <c r="D40" s="22">
        <f>SUM(D34:D39)</f>
        <v>225</v>
      </c>
      <c r="E40" s="21">
        <f t="shared" si="13"/>
        <v>0.13939656774673193</v>
      </c>
      <c r="F40" s="20">
        <f>I40/D40</f>
        <v>17.669698382621078</v>
      </c>
      <c r="G40" s="19">
        <f>F40/C40-1</f>
        <v>-1.8350089854384577E-2</v>
      </c>
      <c r="H40" s="18">
        <f>SUM(H34:H39)</f>
        <v>4050</v>
      </c>
      <c r="I40" s="18">
        <f>SUM(I34:I39)</f>
        <v>3975.6821360897425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243</v>
      </c>
      <c r="E42" s="107">
        <f>D42/$D$48</f>
        <v>0.15054829316647048</v>
      </c>
      <c r="F42" s="28">
        <f>C42-(C42*$E$6)</f>
        <v>0.39265996405824621</v>
      </c>
      <c r="G42" s="27" t="str">
        <f>IF(C42&gt;=F42,"-","+")</f>
        <v>-</v>
      </c>
      <c r="H42" s="26">
        <f>C42*D42</f>
        <v>97.2</v>
      </c>
      <c r="I42" s="26">
        <f>F42*D42</f>
        <v>95.416371266153831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</v>
      </c>
      <c r="E43" s="107">
        <f>D43/$D$48</f>
        <v>8.054023914255623E-3</v>
      </c>
      <c r="F43" s="28">
        <f>C43-(C43*$E$6)</f>
        <v>0.39265996405824621</v>
      </c>
      <c r="G43" s="27" t="str">
        <f>IF(C43&gt;=F43,"-","+")</f>
        <v>-</v>
      </c>
      <c r="H43" s="26">
        <f>C43*D43</f>
        <v>5.2</v>
      </c>
      <c r="I43" s="26">
        <f>F43*D43</f>
        <v>5.1045795327572012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1.5</v>
      </c>
      <c r="E44" s="107">
        <f>D44/$D$48</f>
        <v>9.2931045164487951E-4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2.7</v>
      </c>
      <c r="E45" s="107">
        <f>D45/$D$48</f>
        <v>1.6727588129607832E-3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0.39354342813220605</v>
      </c>
      <c r="D46" s="22">
        <f>SUM(D41:D45)</f>
        <v>260.2</v>
      </c>
      <c r="E46" s="21">
        <f>D46/$D$48</f>
        <v>0.16120438634533177</v>
      </c>
      <c r="F46" s="20">
        <f>I46/D46</f>
        <v>0.38632187086437753</v>
      </c>
      <c r="G46" s="19">
        <f>F46/C46-1</f>
        <v>-1.8350089854384577E-2</v>
      </c>
      <c r="H46" s="18">
        <f>SUM(H41:H44)</f>
        <v>102.4</v>
      </c>
      <c r="I46" s="18">
        <f>SUM(I41:I44)</f>
        <v>100.52095079891103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96.754252926449695</v>
      </c>
      <c r="D48" s="13">
        <f>D24+D32+D40+D46</f>
        <v>1614.1</v>
      </c>
      <c r="E48" s="12">
        <f>SUM(E20:E46)/2</f>
        <v>1</v>
      </c>
      <c r="F48" s="11">
        <f>I48/D48</f>
        <v>25.500000000000004</v>
      </c>
      <c r="G48" s="10"/>
      <c r="H48" s="9">
        <f>SUM(H20:H46)/2</f>
        <v>41928.94999999999</v>
      </c>
      <c r="I48" s="9">
        <f>SUM(I20:I46)/2</f>
        <v>41159.550000000003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1614.0999999999997</v>
      </c>
      <c r="E50" s="12">
        <f>D50/G2</f>
        <v>0.99999999999999989</v>
      </c>
      <c r="F50" s="11">
        <f>I50/D50</f>
        <v>25.500000000000007</v>
      </c>
      <c r="G50" s="10"/>
      <c r="H50" s="9">
        <f>H48+H19</f>
        <v>41928.94999999999</v>
      </c>
      <c r="I50" s="9">
        <f>I48+I19</f>
        <v>41159.550000000003</v>
      </c>
      <c r="J50" s="106">
        <f>D50-G2</f>
        <v>0</v>
      </c>
      <c r="K50" s="8"/>
    </row>
    <row r="51" spans="1:11" ht="23.25" x14ac:dyDescent="0.35">
      <c r="A51" s="168" t="s">
        <v>146</v>
      </c>
      <c r="B51" s="169"/>
      <c r="C51" s="170"/>
      <c r="G51" s="7"/>
      <c r="H51" s="6"/>
      <c r="I51" s="6">
        <f>+I50/D50</f>
        <v>25.500000000000007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147</v>
      </c>
      <c r="D1" s="100" t="s">
        <v>1</v>
      </c>
      <c r="E1" s="168" t="s">
        <v>148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147</v>
      </c>
      <c r="D2" s="96" t="s">
        <v>3</v>
      </c>
      <c r="E2" s="95" t="s">
        <v>71</v>
      </c>
      <c r="F2" s="94" t="s">
        <v>5</v>
      </c>
      <c r="G2" s="93">
        <v>20045.8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252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79.546825396825398</v>
      </c>
      <c r="F4" s="81" t="s">
        <v>12</v>
      </c>
      <c r="G4" s="80">
        <f>G2*G3</f>
        <v>526202.25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8.6085643306009763E-3</v>
      </c>
      <c r="F6" s="69" t="s">
        <v>16</v>
      </c>
      <c r="G6" s="68">
        <f>(I50-I19)/(D50-(SUM(D42:D44)+D19))</f>
        <v>31.372355838023463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 t="e">
        <f t="shared" ref="E10:E19" si="1">D10/$D$19</f>
        <v>#DIV/0!</v>
      </c>
      <c r="F10" s="28">
        <f t="shared" ref="F10:F18" si="2">C10-(C10*$E$6)</f>
        <v>26.073594758105195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 t="e">
        <f t="shared" si="1"/>
        <v>#DIV/0!</v>
      </c>
      <c r="F11" s="28">
        <f t="shared" si="2"/>
        <v>27.064986193774594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 t="e">
        <f t="shared" si="1"/>
        <v>#DIV/0!</v>
      </c>
      <c r="F12" s="28">
        <f t="shared" si="2"/>
        <v>24.784785891734977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 t="e">
        <f t="shared" si="1"/>
        <v>#DIV/0!</v>
      </c>
      <c r="F13" s="28">
        <f t="shared" si="2"/>
        <v>27.064986193774594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 t="e">
        <f t="shared" si="1"/>
        <v>#DIV/0!</v>
      </c>
      <c r="F14" s="28">
        <f t="shared" si="2"/>
        <v>30.33657793148361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24.983064178868855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 t="e">
        <f t="shared" si="1"/>
        <v>#DIV/0!</v>
      </c>
      <c r="F16" s="28">
        <f t="shared" si="2"/>
        <v>34.203004530594264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 t="e">
        <f t="shared" si="1"/>
        <v>#DIV/0!</v>
      </c>
      <c r="F17" s="28">
        <f t="shared" si="2"/>
        <v>50.362684932005465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 t="e">
        <f t="shared" si="1"/>
        <v>#DIV/0!</v>
      </c>
      <c r="F18" s="28">
        <f t="shared" si="2"/>
        <v>44.116918887288257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280.5</v>
      </c>
      <c r="E21" s="29">
        <f>D21/$D$48</f>
        <v>1.3993095741708905E-2</v>
      </c>
      <c r="F21" s="28">
        <f>C21-(C21*$E$6)</f>
        <v>65.431834754180329</v>
      </c>
      <c r="G21" s="27" t="str">
        <f>IF(C21&gt;=F21,"-","+")</f>
        <v>-</v>
      </c>
      <c r="H21" s="26">
        <f>C21*D21</f>
        <v>18513</v>
      </c>
      <c r="I21" s="26">
        <f>F21*D21</f>
        <v>18353.629648547583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644.6</v>
      </c>
      <c r="E22" s="29">
        <f>D22/$D$48</f>
        <v>3.2156682763299679E-2</v>
      </c>
      <c r="F22" s="28">
        <f>C22-(C22*$E$6)</f>
        <v>43.918640600154376</v>
      </c>
      <c r="G22" s="27" t="str">
        <f>IF(C22&gt;=F22,"-","+")</f>
        <v>-</v>
      </c>
      <c r="H22" s="26">
        <f>C22*D22</f>
        <v>28555.78</v>
      </c>
      <c r="I22" s="26">
        <f>F22*D22</f>
        <v>28309.95573085951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545.79999999999995</v>
      </c>
      <c r="E23" s="29">
        <f>D23/$D$48</f>
        <v>2.7227920341621102E-2</v>
      </c>
      <c r="F23" s="28">
        <f>C23-(C23*$E$6)</f>
        <v>40.052214001043723</v>
      </c>
      <c r="G23" s="27" t="str">
        <f>IF(C23&gt;=F23,"-","+")</f>
        <v>-</v>
      </c>
      <c r="H23" s="26">
        <f>C23*D23</f>
        <v>22050.319999999996</v>
      </c>
      <c r="I23" s="26">
        <f>F23*D23</f>
        <v>21860.498401769662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46.99102590250866</v>
      </c>
      <c r="D24" s="22">
        <f>SUM(D21:D23)</f>
        <v>1470.9</v>
      </c>
      <c r="E24" s="21">
        <f>D24/$D$48</f>
        <v>7.3377698846629688E-2</v>
      </c>
      <c r="F24" s="20">
        <f>I24/D24</f>
        <v>46.586500633065981</v>
      </c>
      <c r="G24" s="19">
        <f>F24/C24-1</f>
        <v>-8.6085643306008652E-3</v>
      </c>
      <c r="H24" s="18">
        <f>SUM(H21:H23)</f>
        <v>69119.099999999991</v>
      </c>
      <c r="I24" s="18">
        <f>SUM(I21:I23)</f>
        <v>68524.083781176756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v>3893.2</v>
      </c>
      <c r="E26" s="29">
        <f t="shared" ref="E26:E32" si="7">D26/$D$48</f>
        <v>0.19421718481861355</v>
      </c>
      <c r="F26" s="28">
        <f t="shared" ref="F26:F31" si="8">C26-(C26*$E$6)</f>
        <v>34.896978535562852</v>
      </c>
      <c r="G26" s="27" t="str">
        <f t="shared" ref="G26:G31" si="9">IF(C26&gt;=F26,"-","+")</f>
        <v>-</v>
      </c>
      <c r="H26" s="26">
        <f t="shared" ref="H26:H31" si="10">C26*D26</f>
        <v>137040.64000000001</v>
      </c>
      <c r="I26" s="26">
        <f t="shared" ref="I26:I31" si="11">F26*D26</f>
        <v>135860.9168346533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3257.4</v>
      </c>
      <c r="E27" s="29">
        <f t="shared" si="7"/>
        <v>0.16249950113740672</v>
      </c>
      <c r="F27" s="28">
        <f t="shared" si="8"/>
        <v>31.129691080019128</v>
      </c>
      <c r="G27" s="27" t="str">
        <f t="shared" si="9"/>
        <v>-</v>
      </c>
      <c r="H27" s="26">
        <f t="shared" si="10"/>
        <v>102282.36</v>
      </c>
      <c r="I27" s="26">
        <f t="shared" si="11"/>
        <v>101401.85572405432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2255.1999999999998</v>
      </c>
      <c r="E28" s="29">
        <f t="shared" si="7"/>
        <v>0.11250349203815301</v>
      </c>
      <c r="F28" s="28">
        <f t="shared" si="8"/>
        <v>31.129691080019128</v>
      </c>
      <c r="G28" s="27" t="str">
        <f t="shared" si="9"/>
        <v>-</v>
      </c>
      <c r="H28" s="26">
        <f t="shared" si="10"/>
        <v>70813.279999999984</v>
      </c>
      <c r="I28" s="26">
        <f t="shared" si="11"/>
        <v>70203.679323659133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1735.6</v>
      </c>
      <c r="E29" s="29">
        <f t="shared" si="7"/>
        <v>8.6582591690944649E-2</v>
      </c>
      <c r="F29" s="28">
        <f t="shared" si="8"/>
        <v>30.039160500782792</v>
      </c>
      <c r="G29" s="27" t="str">
        <f t="shared" si="9"/>
        <v>-</v>
      </c>
      <c r="H29" s="26">
        <f t="shared" si="10"/>
        <v>52588.68</v>
      </c>
      <c r="I29" s="26">
        <f t="shared" si="11"/>
        <v>52135.966965158608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1161.0999999999999</v>
      </c>
      <c r="E30" s="29">
        <f t="shared" si="7"/>
        <v>5.7922935706588977E-2</v>
      </c>
      <c r="F30" s="28">
        <f t="shared" si="8"/>
        <v>30.039160500782792</v>
      </c>
      <c r="G30" s="27" t="str">
        <f t="shared" si="9"/>
        <v>-</v>
      </c>
      <c r="H30" s="26">
        <f t="shared" si="10"/>
        <v>35181.329999999994</v>
      </c>
      <c r="I30" s="26">
        <f t="shared" si="11"/>
        <v>34878.469257458899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572.4</v>
      </c>
      <c r="E31" s="29">
        <f t="shared" si="7"/>
        <v>2.8554894839765334E-2</v>
      </c>
      <c r="F31" s="28">
        <f t="shared" si="8"/>
        <v>30.534856218617492</v>
      </c>
      <c r="G31" s="27" t="str">
        <f t="shared" si="9"/>
        <v>-</v>
      </c>
      <c r="H31" s="26">
        <f t="shared" si="10"/>
        <v>17629.919999999998</v>
      </c>
      <c r="I31" s="26">
        <f t="shared" si="11"/>
        <v>17478.151699536651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32.274907766273913</v>
      </c>
      <c r="D32" s="22">
        <f>SUM(D26:D31)</f>
        <v>12874.9</v>
      </c>
      <c r="E32" s="21">
        <f t="shared" si="7"/>
        <v>0.64228060023147227</v>
      </c>
      <c r="F32" s="20">
        <f>I32/D32</f>
        <v>31.997067146503738</v>
      </c>
      <c r="G32" s="19">
        <f>F32/C32-1</f>
        <v>-8.6085643306007542E-3</v>
      </c>
      <c r="H32" s="18">
        <f>SUM(H26:H31)</f>
        <v>415536.20999999996</v>
      </c>
      <c r="I32" s="18">
        <f>SUM(I26:I31)</f>
        <v>411959.03980452096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2422</v>
      </c>
      <c r="E34" s="29">
        <f t="shared" ref="E34:E40" si="13">D34/$D$48</f>
        <v>0.12082452009418526</v>
      </c>
      <c r="F34" s="28">
        <f t="shared" ref="F34:F39" si="14">C34-(C34*$E$6)</f>
        <v>18.340741559883881</v>
      </c>
      <c r="G34" s="27" t="str">
        <f t="shared" ref="G34:G39" si="15">IF(C34&gt;=F34,"-","+")</f>
        <v>-</v>
      </c>
      <c r="H34" s="26">
        <f t="shared" ref="H34:H39" si="16">C34*D34</f>
        <v>44807</v>
      </c>
      <c r="I34" s="26">
        <f t="shared" ref="I34:I39" si="17">F34*D34</f>
        <v>44421.276058038762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14.176897530072408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11.401001510198089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30.039160500782792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30.039160500782792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31.129691080019128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</v>
      </c>
      <c r="D40" s="22">
        <f>SUM(D34:D39)</f>
        <v>2422</v>
      </c>
      <c r="E40" s="21">
        <f t="shared" si="13"/>
        <v>0.12082452009418526</v>
      </c>
      <c r="F40" s="20">
        <f>I40/D40</f>
        <v>18.340741559883881</v>
      </c>
      <c r="G40" s="19">
        <f>F40/C40-1</f>
        <v>-8.6085643306009763E-3</v>
      </c>
      <c r="H40" s="18">
        <f>SUM(H34:H39)</f>
        <v>44807</v>
      </c>
      <c r="I40" s="18">
        <f>SUM(I34:I39)</f>
        <v>44421.276058038762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3157</v>
      </c>
      <c r="E42" s="107">
        <f>D42/$D$48</f>
        <v>0.15749092070080217</v>
      </c>
      <c r="F42" s="28">
        <f>C42-(C42*$E$6)</f>
        <v>0.39655657426775964</v>
      </c>
      <c r="G42" s="27" t="str">
        <f>IF(C42&gt;=F42,"-","+")</f>
        <v>-</v>
      </c>
      <c r="H42" s="26">
        <f>C42*D42</f>
        <v>1262.8000000000002</v>
      </c>
      <c r="I42" s="26">
        <f>F42*D42</f>
        <v>1251.9291049633173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115.8</v>
      </c>
      <c r="E43" s="107">
        <f>D43/$D$48</f>
        <v>5.7768288302669918E-3</v>
      </c>
      <c r="F43" s="28">
        <f>C43-(C43*$E$6)</f>
        <v>0.39655657426775964</v>
      </c>
      <c r="G43" s="27" t="str">
        <f>IF(C43&gt;=F43,"-","+")</f>
        <v>-</v>
      </c>
      <c r="H43" s="26">
        <f>C43*D43</f>
        <v>46.32</v>
      </c>
      <c r="I43" s="26">
        <f>F43*D43</f>
        <v>45.921251300206563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2.494312966436525E-4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0.39938983464518885</v>
      </c>
      <c r="D46" s="22">
        <f>SUM(D41:D45)</f>
        <v>3277.8</v>
      </c>
      <c r="E46" s="21">
        <f>D46/$D$48</f>
        <v>0.16351718082771283</v>
      </c>
      <c r="F46" s="20">
        <f>I46/D46</f>
        <v>0.39595166156065764</v>
      </c>
      <c r="G46" s="19">
        <f>F46/C46-1</f>
        <v>-8.6085643306009763E-3</v>
      </c>
      <c r="H46" s="18">
        <f>SUM(H41:H44)</f>
        <v>1309.1200000000001</v>
      </c>
      <c r="I46" s="18">
        <f>SUM(I41:I44)</f>
        <v>1297.8503562635237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98.165323503427757</v>
      </c>
      <c r="D48" s="13">
        <f>D24+D32+D40+D46</f>
        <v>20045.599999999999</v>
      </c>
      <c r="E48" s="12">
        <f>SUM(E20:E46)/2</f>
        <v>1.0000000000000002</v>
      </c>
      <c r="F48" s="11">
        <f>I48/D48</f>
        <v>26.250261902861478</v>
      </c>
      <c r="G48" s="10"/>
      <c r="H48" s="9">
        <f>SUM(H20:H46)/2</f>
        <v>530771.43000000005</v>
      </c>
      <c r="I48" s="9">
        <f>SUM(I20:I46)/2</f>
        <v>526202.25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20045.600000000002</v>
      </c>
      <c r="E50" s="12">
        <f>D50/G2</f>
        <v>0.99999002284767891</v>
      </c>
      <c r="F50" s="11">
        <f>I50/D50</f>
        <v>26.250261902861475</v>
      </c>
      <c r="G50" s="10"/>
      <c r="H50" s="9">
        <f>H48+H19</f>
        <v>530771.43000000005</v>
      </c>
      <c r="I50" s="9">
        <f>I48+I19</f>
        <v>526202.25</v>
      </c>
      <c r="J50" s="106">
        <f>D50-G2</f>
        <v>-0.19999999999708962</v>
      </c>
      <c r="K50" s="8"/>
    </row>
    <row r="51" spans="1:11" ht="23.25" x14ac:dyDescent="0.35">
      <c r="A51" s="168" t="s">
        <v>149</v>
      </c>
      <c r="B51" s="169"/>
      <c r="C51" s="170"/>
      <c r="G51" s="7"/>
      <c r="H51" s="6"/>
      <c r="I51" s="6">
        <f>+I50/D50</f>
        <v>26.250261902861475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150</v>
      </c>
      <c r="D1" s="100" t="s">
        <v>1</v>
      </c>
      <c r="E1" s="168" t="s">
        <v>148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150</v>
      </c>
      <c r="D2" s="96" t="s">
        <v>3</v>
      </c>
      <c r="E2" s="95" t="s">
        <v>71</v>
      </c>
      <c r="F2" s="94" t="s">
        <v>5</v>
      </c>
      <c r="G2" s="93">
        <v>15051.4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172</v>
      </c>
      <c r="F3" s="88" t="s">
        <v>8</v>
      </c>
      <c r="G3" s="87">
        <v>26.4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87.508139534883725</v>
      </c>
      <c r="F4" s="81" t="s">
        <v>12</v>
      </c>
      <c r="G4" s="80">
        <f>G2*G3</f>
        <v>397356.95999999996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1.6585179259015259E-2</v>
      </c>
      <c r="F6" s="69" t="s">
        <v>16</v>
      </c>
      <c r="G6" s="68">
        <f>(I50-I19)/(D50-(SUM(D42:D44)+D19))</f>
        <v>31.386805687203779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 t="e">
        <f t="shared" ref="E10:E19" si="1">D10/$D$19</f>
        <v>#DIV/0!</v>
      </c>
      <c r="F10" s="28">
        <f t="shared" ref="F10:F18" si="2">C10-(C10*$E$6)</f>
        <v>25.962151267561996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/>
      <c r="E11" s="29" t="e">
        <f t="shared" si="1"/>
        <v>#DIV/0!</v>
      </c>
      <c r="F11" s="28">
        <f t="shared" si="2"/>
        <v>27.04390757037708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 t="e">
        <f t="shared" si="1"/>
        <v>#DIV/0!</v>
      </c>
      <c r="F12" s="28">
        <f t="shared" si="2"/>
        <v>24.683712000598717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 t="e">
        <f t="shared" si="1"/>
        <v>#DIV/0!</v>
      </c>
      <c r="F13" s="28">
        <f t="shared" si="2"/>
        <v>27.04390757037708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 t="e">
        <f t="shared" si="1"/>
        <v>#DIV/0!</v>
      </c>
      <c r="F14" s="28">
        <f t="shared" si="2"/>
        <v>30.190834996748229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 t="e">
        <f t="shared" si="1"/>
        <v>#DIV/0!</v>
      </c>
      <c r="F15" s="28">
        <f t="shared" si="2"/>
        <v>24.880394964746916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 t="e">
        <f t="shared" si="1"/>
        <v>#DIV/0!</v>
      </c>
      <c r="F16" s="28">
        <f t="shared" si="2"/>
        <v>34.124494279712174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 t="e">
        <f t="shared" si="1"/>
        <v>#DIV/0!</v>
      </c>
      <c r="F17" s="28">
        <f t="shared" si="2"/>
        <v>50.25249733986432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 t="e">
        <f t="shared" si="1"/>
        <v>#DIV/0!</v>
      </c>
      <c r="F18" s="28">
        <f t="shared" si="2"/>
        <v>43.95864248712202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206.2</v>
      </c>
      <c r="E21" s="29">
        <f>D21/$D$48</f>
        <v>1.3699813305163008E-2</v>
      </c>
      <c r="F21" s="28">
        <f>C21-(C21*$E$6)</f>
        <v>65.298744097201393</v>
      </c>
      <c r="G21" s="27" t="str">
        <f>IF(C21&gt;=F21,"-","+")</f>
        <v>-</v>
      </c>
      <c r="H21" s="26">
        <f>C21*D21</f>
        <v>13691.68</v>
      </c>
      <c r="I21" s="26">
        <f>F21*D21</f>
        <v>13464.601032842926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482.7</v>
      </c>
      <c r="E22" s="29">
        <f>D22/$D$48</f>
        <v>3.2070319507285082E-2</v>
      </c>
      <c r="F22" s="28">
        <f>C22-(C22*$E$6)</f>
        <v>43.860301005047923</v>
      </c>
      <c r="G22" s="27" t="str">
        <f>IF(C22&gt;=F22,"-","+")</f>
        <v>-</v>
      </c>
      <c r="H22" s="26">
        <f>C22*D22</f>
        <v>21528.420000000002</v>
      </c>
      <c r="I22" s="26">
        <f>F22*D22</f>
        <v>21171.367295136632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40.700000000000003</v>
      </c>
      <c r="D23" s="30">
        <v>391.7</v>
      </c>
      <c r="E23" s="29">
        <f>D23/$D$48</f>
        <v>2.6024330124308197E-2</v>
      </c>
      <c r="F23" s="28">
        <f>C23-(C23*$E$6)</f>
        <v>40.024983204158083</v>
      </c>
      <c r="G23" s="27" t="str">
        <f>IF(C23&gt;=F23,"-","+")</f>
        <v>-</v>
      </c>
      <c r="H23" s="26">
        <f>C23*D23</f>
        <v>15942.19</v>
      </c>
      <c r="I23" s="26">
        <f>F23*D23</f>
        <v>15677.78592106872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47.34618730335</v>
      </c>
      <c r="D24" s="22">
        <f>SUM(D21:D23)</f>
        <v>1080.5999999999999</v>
      </c>
      <c r="E24" s="21">
        <f>D24/$D$48</f>
        <v>7.1794462936756287E-2</v>
      </c>
      <c r="F24" s="20">
        <f>I24/D24</f>
        <v>46.560942299693018</v>
      </c>
      <c r="G24" s="19">
        <f>F24/C24-1</f>
        <v>-1.6585179259015481E-2</v>
      </c>
      <c r="H24" s="18">
        <f>SUM(H21:H23)</f>
        <v>51162.290000000008</v>
      </c>
      <c r="I24" s="18">
        <f>SUM(I21:I23)</f>
        <v>50313.754249048274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v>3019.5</v>
      </c>
      <c r="E26" s="29">
        <f t="shared" ref="E26:E32" si="7">D26/$D$48</f>
        <v>0.20061390046042532</v>
      </c>
      <c r="F26" s="28">
        <f t="shared" ref="F26:F31" si="8">C26-(C26*$E$6)</f>
        <v>34.812884654230857</v>
      </c>
      <c r="G26" s="27" t="str">
        <f t="shared" ref="G26:G31" si="9">IF(C26&gt;=F26,"-","+")</f>
        <v>-</v>
      </c>
      <c r="H26" s="26">
        <f t="shared" ref="H26:H31" si="10">C26*D26</f>
        <v>106890.3</v>
      </c>
      <c r="I26" s="26">
        <f t="shared" ref="I26:I31" si="11">F26*D26</f>
        <v>105117.50521345007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2449.8000000000002</v>
      </c>
      <c r="E27" s="29">
        <f t="shared" si="7"/>
        <v>0.16276334934523928</v>
      </c>
      <c r="F27" s="28">
        <f t="shared" si="8"/>
        <v>30.97756685334102</v>
      </c>
      <c r="G27" s="27" t="str">
        <f t="shared" si="9"/>
        <v>-</v>
      </c>
      <c r="H27" s="26">
        <f t="shared" si="10"/>
        <v>77168.700000000012</v>
      </c>
      <c r="I27" s="26">
        <f t="shared" si="11"/>
        <v>75888.843277314838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1681.8</v>
      </c>
      <c r="E28" s="29">
        <f t="shared" si="7"/>
        <v>0.11173785653066512</v>
      </c>
      <c r="F28" s="28">
        <f t="shared" si="8"/>
        <v>30.97756685334102</v>
      </c>
      <c r="G28" s="27" t="str">
        <f t="shared" si="9"/>
        <v>-</v>
      </c>
      <c r="H28" s="26">
        <f t="shared" si="10"/>
        <v>52976.7</v>
      </c>
      <c r="I28" s="26">
        <f t="shared" si="11"/>
        <v>52098.07193394893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v>1445</v>
      </c>
      <c r="E29" s="29">
        <f t="shared" si="7"/>
        <v>9.6004996246171426E-2</v>
      </c>
      <c r="F29" s="28">
        <f t="shared" si="8"/>
        <v>29.994152032600034</v>
      </c>
      <c r="G29" s="27" t="str">
        <f t="shared" si="9"/>
        <v>-</v>
      </c>
      <c r="H29" s="26">
        <f t="shared" si="10"/>
        <v>44072.5</v>
      </c>
      <c r="I29" s="26">
        <f t="shared" si="11"/>
        <v>43341.54968710705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831.6</v>
      </c>
      <c r="E30" s="29">
        <f t="shared" si="7"/>
        <v>5.5251041438281079E-2</v>
      </c>
      <c r="F30" s="28">
        <f t="shared" si="8"/>
        <v>29.994152032600034</v>
      </c>
      <c r="G30" s="27" t="str">
        <f t="shared" si="9"/>
        <v>-</v>
      </c>
      <c r="H30" s="26">
        <f t="shared" si="10"/>
        <v>25363.8</v>
      </c>
      <c r="I30" s="26">
        <f t="shared" si="11"/>
        <v>24943.136830310188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428</v>
      </c>
      <c r="E31" s="29">
        <f t="shared" si="7"/>
        <v>2.8436081933122054E-2</v>
      </c>
      <c r="F31" s="28">
        <f t="shared" si="8"/>
        <v>30.485859442970526</v>
      </c>
      <c r="G31" s="27" t="str">
        <f t="shared" si="9"/>
        <v>-</v>
      </c>
      <c r="H31" s="26">
        <f t="shared" si="10"/>
        <v>13268</v>
      </c>
      <c r="I31" s="26">
        <f t="shared" si="11"/>
        <v>13047.947841591385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32.442140081374227</v>
      </c>
      <c r="D32" s="22">
        <f>SUM(D26:D31)</f>
        <v>9855.7000000000007</v>
      </c>
      <c r="E32" s="21">
        <f t="shared" si="7"/>
        <v>0.65480722595390428</v>
      </c>
      <c r="F32" s="20">
        <f>I32/D32</f>
        <v>31.904081372578549</v>
      </c>
      <c r="G32" s="19">
        <f>F32/C32-1</f>
        <v>-1.658517925901537E-2</v>
      </c>
      <c r="H32" s="18">
        <f>SUM(H26:H31)</f>
        <v>319740</v>
      </c>
      <c r="I32" s="18">
        <f>SUM(I26:I31)</f>
        <v>314437.05478372244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1721.9</v>
      </c>
      <c r="E34" s="29">
        <f t="shared" ref="E34:E40" si="13">D34/$D$48</f>
        <v>0.11440207822580109</v>
      </c>
      <c r="F34" s="28">
        <f t="shared" ref="F34:F39" si="14">C34-(C34*$E$6)</f>
        <v>18.389857147856414</v>
      </c>
      <c r="G34" s="27" t="str">
        <f t="shared" ref="G34:G39" si="15">IF(C34&gt;=F34,"-","+")</f>
        <v>-</v>
      </c>
      <c r="H34" s="26">
        <f t="shared" ref="H34:H39" si="16">C34*D34</f>
        <v>32199.53</v>
      </c>
      <c r="I34" s="26">
        <f t="shared" ref="I34:I39" si="17">F34*D34</f>
        <v>31665.495022893963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14.062831936596082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11.309270438521324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29.994152032600034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29.994152032600034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30.97756685334102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1721.9</v>
      </c>
      <c r="E40" s="21">
        <f t="shared" si="13"/>
        <v>0.11440207822580109</v>
      </c>
      <c r="F40" s="20">
        <f>I40/D40</f>
        <v>18.389857147856414</v>
      </c>
      <c r="G40" s="19">
        <f>F40/C40-1</f>
        <v>-1.6585179259015259E-2</v>
      </c>
      <c r="H40" s="18">
        <f>SUM(H34:H39)</f>
        <v>32199.53</v>
      </c>
      <c r="I40" s="18">
        <f>SUM(I34:I39)</f>
        <v>31665.495022893963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2284</v>
      </c>
      <c r="E42" s="107">
        <f>D42/$D$48</f>
        <v>0.15174768956834292</v>
      </c>
      <c r="F42" s="28">
        <f>C42-(C42*$E$6)</f>
        <v>0.39336592829639394</v>
      </c>
      <c r="G42" s="27" t="str">
        <f>IF(C42&gt;=F42,"-","+")</f>
        <v>-</v>
      </c>
      <c r="H42" s="26">
        <f>C42*D42</f>
        <v>913.6</v>
      </c>
      <c r="I42" s="26">
        <f>F42*D42</f>
        <v>898.44778022896378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107.3</v>
      </c>
      <c r="E43" s="107">
        <f>D43/$D$48</f>
        <v>7.1289523164112063E-3</v>
      </c>
      <c r="F43" s="28">
        <f>C43-(C43*$E$6)</f>
        <v>0.39336592829639394</v>
      </c>
      <c r="G43" s="27" t="str">
        <f>IF(C43&gt;=F43,"-","+")</f>
        <v>-</v>
      </c>
      <c r="H43" s="26">
        <f>C43*D43</f>
        <v>42.92</v>
      </c>
      <c r="I43" s="26">
        <f>F43*D43</f>
        <v>42.208164106203071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1.8</v>
      </c>
      <c r="E45" s="107">
        <f>D45/$D$48</f>
        <v>1.1959099878415817E-4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0.39969913501316279</v>
      </c>
      <c r="D46" s="22">
        <f>SUM(D41:D45)</f>
        <v>2393.1000000000004</v>
      </c>
      <c r="E46" s="21">
        <f>D46/$D$48</f>
        <v>0.15899623288353831</v>
      </c>
      <c r="F46" s="20">
        <f>I46/D46</f>
        <v>0.39307005320929617</v>
      </c>
      <c r="G46" s="19">
        <f>F46/C46-1</f>
        <v>-1.6585179259015148E-2</v>
      </c>
      <c r="H46" s="18">
        <f>SUM(H41:H44)</f>
        <v>956.52</v>
      </c>
      <c r="I46" s="18">
        <f>SUM(I41:I44)</f>
        <v>940.65594433516685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98.888026519737394</v>
      </c>
      <c r="D48" s="13">
        <f>D24+D32+D40+D46</f>
        <v>15051.300000000001</v>
      </c>
      <c r="E48" s="12">
        <f>SUM(E20:E46)/2</f>
        <v>1</v>
      </c>
      <c r="F48" s="11">
        <f>I48/D48</f>
        <v>26.400175400131538</v>
      </c>
      <c r="G48" s="10"/>
      <c r="H48" s="9">
        <f>SUM(H20:H46)/2</f>
        <v>404058.34000000008</v>
      </c>
      <c r="I48" s="9">
        <f>SUM(I20:I46)/2</f>
        <v>397356.95999999985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15051.3</v>
      </c>
      <c r="E50" s="12">
        <f>D50/G2</f>
        <v>0.99999335609976481</v>
      </c>
      <c r="F50" s="11">
        <f>I50/D50</f>
        <v>26.400175400131541</v>
      </c>
      <c r="G50" s="10"/>
      <c r="H50" s="9">
        <f>H48+H19</f>
        <v>404058.34000000008</v>
      </c>
      <c r="I50" s="9">
        <f>I48+I19</f>
        <v>397356.95999999985</v>
      </c>
      <c r="J50" s="106">
        <f>D50-G2</f>
        <v>-0.1000000000003638</v>
      </c>
      <c r="K50" s="8"/>
    </row>
    <row r="51" spans="1:11" ht="23.25" x14ac:dyDescent="0.35">
      <c r="A51" s="168" t="s">
        <v>151</v>
      </c>
      <c r="B51" s="169"/>
      <c r="C51" s="170"/>
      <c r="G51" s="7"/>
      <c r="H51" s="6"/>
      <c r="I51" s="6">
        <f>+I50/D50</f>
        <v>26.400175400131541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K56"/>
  <sheetViews>
    <sheetView topLeftCell="A16" workbookViewId="0">
      <selection activeCell="E29" sqref="E29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114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/>
      <c r="F2" s="94" t="s">
        <v>5</v>
      </c>
      <c r="G2" s="93"/>
      <c r="H2" s="62"/>
      <c r="I2" s="62"/>
      <c r="J2" s="61"/>
      <c r="K2" s="61"/>
    </row>
    <row r="3" spans="1:11" ht="21" x14ac:dyDescent="0.25">
      <c r="A3" s="92" t="s">
        <v>6</v>
      </c>
      <c r="B3" s="91"/>
      <c r="C3" s="89"/>
      <c r="D3" s="90" t="s">
        <v>7</v>
      </c>
      <c r="E3" s="89">
        <f>'MOL29-18112829'!E3+'MOL26-18112426'!E3+'ÖA22-18112021-1'!E3+'ÖA22-18112021'!E3+'MOL19-18111719'!E3+'G16-18111314'!E3+'MOL15-18111415'!E3+'MOL12-18111112'!E3+'ÖA9-18110607-1'!E3+'ÖA8-18110607'!E3+'BO8-18110608'!E3+'ÖA7-18110405-1'!E3+'ÖA5-18110405'!E3+'ÖA5-18113101-S'!E3+'ÖA5-18113101-1'!E3+'ÖA1-18113101'!E3+'B01-18102729'!E3</f>
        <v>1988</v>
      </c>
      <c r="F3" s="88" t="s">
        <v>8</v>
      </c>
      <c r="G3" s="87"/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J50/E3</f>
        <v>80.157997987927573</v>
      </c>
      <c r="F4" s="81" t="s">
        <v>12</v>
      </c>
      <c r="G4" s="80">
        <f>G2*G3</f>
        <v>0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e">
        <f>IF(G4=I50,"DOĞRU","HATA VAR")</f>
        <v>#DIV/0!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 t="e">
        <f>1-G4/H50</f>
        <v>#DIV/0!</v>
      </c>
      <c r="F6" s="69" t="s">
        <v>16</v>
      </c>
      <c r="G6" s="68" t="e">
        <f>(I50-I19)/(D50-(SUM(D42:D44)+D19))</f>
        <v>#DIV/0!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0</v>
      </c>
      <c r="D10" s="30">
        <f>'MOL29-18112829'!D10+'MOL26-18112426'!D10+'ÖA22-18112021-1'!D10+'ÖA22-18112021'!D10+'MOL19-18111719'!D10+'G16-18111314'!D10+'MOL15-18111415'!D10+'MOL12-18111112'!D10+'ÖA9-18110607-1'!D10+'ÖA8-18110607'!D10+'BO8-18110608'!D10+'ÖA7-18110405-1'!D10+'ÖA5-18110405'!D10+'ÖA5-18113101-S'!D10+'ÖA5-18113101-1'!D10+'ÖA1-18113101'!D10+'B01-18102729'!D10</f>
        <v>0</v>
      </c>
      <c r="E10" s="29">
        <f t="shared" ref="E10:E19" si="1">D10/$D$19</f>
        <v>0</v>
      </c>
      <c r="F10" s="28" t="e">
        <f t="shared" ref="F10:F18" si="2">C10-(C10*$E$6)</f>
        <v>#DIV/0!</v>
      </c>
      <c r="G10" s="27" t="e">
        <f t="shared" ref="G10:G18" si="3">IF(C10&gt;=F10,"-","+")</f>
        <v>#DIV/0!</v>
      </c>
      <c r="H10" s="34">
        <f t="shared" ref="H10:H18" si="4">C10*D10</f>
        <v>0</v>
      </c>
      <c r="I10" s="34" t="e">
        <f t="shared" ref="I10:I18" si="5">F10*D10</f>
        <v>#DIV/0!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0</v>
      </c>
      <c r="D11" s="30">
        <f>'MOL29-18112829'!D11+'MOL26-18112426'!D11+'ÖA22-18112021-1'!D11+'ÖA22-18112021'!D11+'MOL19-18111719'!D11+'G16-18111314'!D11+'MOL15-18111415'!D11+'MOL12-18111112'!D11+'ÖA9-18110607-1'!D11+'ÖA8-18110607'!D11+'BO8-18110608'!D11+'ÖA7-18110405-1'!D11+'ÖA5-18110405'!D11+'ÖA5-18113101-S'!D11+'ÖA5-18113101-1'!D11+'ÖA1-18113101'!D11+'B01-18102729'!D11</f>
        <v>0</v>
      </c>
      <c r="E11" s="29">
        <f t="shared" si="1"/>
        <v>0</v>
      </c>
      <c r="F11" s="28" t="e">
        <f t="shared" si="2"/>
        <v>#DIV/0!</v>
      </c>
      <c r="G11" s="27" t="e">
        <f t="shared" si="3"/>
        <v>#DIV/0!</v>
      </c>
      <c r="H11" s="34">
        <f t="shared" si="4"/>
        <v>0</v>
      </c>
      <c r="I11" s="34" t="e">
        <f t="shared" si="5"/>
        <v>#DIV/0!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0</v>
      </c>
      <c r="D12" s="30">
        <f>'MOL29-18112829'!D12+'MOL26-18112426'!D12+'ÖA22-18112021-1'!D12+'ÖA22-18112021'!D12+'MOL19-18111719'!D12+'G16-18111314'!D12+'MOL15-18111415'!D12+'MOL12-18111112'!D12+'ÖA9-18110607-1'!D12+'ÖA8-18110607'!D12+'BO8-18110608'!D12+'ÖA7-18110405-1'!D12+'ÖA5-18110405'!D12+'ÖA5-18113101-S'!D12+'ÖA5-18113101-1'!D12+'ÖA1-18113101'!D12+'B01-18102729'!D12</f>
        <v>2438.6999999999998</v>
      </c>
      <c r="E12" s="29">
        <f t="shared" si="1"/>
        <v>0.96479012541045217</v>
      </c>
      <c r="F12" s="28" t="e">
        <f t="shared" si="2"/>
        <v>#DIV/0!</v>
      </c>
      <c r="G12" s="27" t="e">
        <f t="shared" si="3"/>
        <v>#DIV/0!</v>
      </c>
      <c r="H12" s="34">
        <f t="shared" si="4"/>
        <v>0</v>
      </c>
      <c r="I12" s="34" t="e">
        <f t="shared" si="5"/>
        <v>#DIV/0!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0</v>
      </c>
      <c r="D13" s="30">
        <f>'MOL29-18112829'!D13+'MOL26-18112426'!D13+'ÖA22-18112021-1'!D13+'ÖA22-18112021'!D13+'MOL19-18111719'!D13+'G16-18111314'!D13+'MOL15-18111415'!D13+'MOL12-18111112'!D13+'ÖA9-18110607-1'!D13+'ÖA8-18110607'!D13+'BO8-18110608'!D13+'ÖA7-18110405-1'!D13+'ÖA5-18110405'!D13+'ÖA5-18113101-S'!D13+'ÖA5-18113101-1'!D13+'ÖA1-18113101'!D13+'B01-18102729'!D13</f>
        <v>0</v>
      </c>
      <c r="E13" s="29">
        <f t="shared" si="1"/>
        <v>0</v>
      </c>
      <c r="F13" s="28" t="e">
        <f t="shared" si="2"/>
        <v>#DIV/0!</v>
      </c>
      <c r="G13" s="27" t="e">
        <f t="shared" si="3"/>
        <v>#DIV/0!</v>
      </c>
      <c r="H13" s="34">
        <f t="shared" si="4"/>
        <v>0</v>
      </c>
      <c r="I13" s="34" t="e">
        <f t="shared" si="5"/>
        <v>#DIV/0!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0</v>
      </c>
      <c r="D14" s="30">
        <f>'MOL29-18112829'!D14+'MOL26-18112426'!D14+'ÖA22-18112021-1'!D14+'ÖA22-18112021'!D14+'MOL19-18111719'!D14+'G16-18111314'!D14+'MOL15-18111415'!D14+'MOL12-18111112'!D14+'ÖA9-18110607-1'!D14+'ÖA8-18110607'!D14+'BO8-18110608'!D14+'ÖA7-18110405-1'!D14+'ÖA5-18110405'!D14+'ÖA5-18113101-S'!D14+'ÖA5-18113101-1'!D14+'ÖA1-18113101'!D14+'B01-18102729'!D14</f>
        <v>0</v>
      </c>
      <c r="E14" s="29">
        <f t="shared" si="1"/>
        <v>0</v>
      </c>
      <c r="F14" s="28" t="e">
        <f t="shared" si="2"/>
        <v>#DIV/0!</v>
      </c>
      <c r="G14" s="27" t="e">
        <f t="shared" si="3"/>
        <v>#DIV/0!</v>
      </c>
      <c r="H14" s="34">
        <f t="shared" si="4"/>
        <v>0</v>
      </c>
      <c r="I14" s="34" t="e">
        <f t="shared" si="5"/>
        <v>#DIV/0!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0</v>
      </c>
      <c r="D15" s="30">
        <f>'MOL29-18112829'!D15+'MOL26-18112426'!D15+'ÖA22-18112021-1'!D15+'ÖA22-18112021'!D15+'MOL19-18111719'!D15+'G16-18111314'!D15+'MOL15-18111415'!D15+'MOL12-18111112'!D15+'ÖA9-18110607-1'!D15+'ÖA8-18110607'!D15+'BO8-18110608'!D15+'ÖA7-18110405-1'!D15+'ÖA5-18110405'!D15+'ÖA5-18113101-S'!D15+'ÖA5-18113101-1'!D15+'ÖA1-18113101'!D15+'B01-18102729'!D15</f>
        <v>89</v>
      </c>
      <c r="E15" s="29">
        <f t="shared" si="1"/>
        <v>3.5209874589547815E-2</v>
      </c>
      <c r="F15" s="28" t="e">
        <f t="shared" si="2"/>
        <v>#DIV/0!</v>
      </c>
      <c r="G15" s="27" t="e">
        <f t="shared" si="3"/>
        <v>#DIV/0!</v>
      </c>
      <c r="H15" s="34">
        <f t="shared" si="4"/>
        <v>0</v>
      </c>
      <c r="I15" s="34" t="e">
        <f t="shared" si="5"/>
        <v>#DIV/0!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0</v>
      </c>
      <c r="D16" s="30">
        <f>'MOL29-18112829'!D16+'MOL26-18112426'!D16+'ÖA22-18112021-1'!D16+'ÖA22-18112021'!D16+'MOL19-18111719'!D16+'G16-18111314'!D16+'MOL15-18111415'!D16+'MOL12-18111112'!D16+'ÖA9-18110607-1'!D16+'ÖA8-18110607'!D16+'BO8-18110608'!D16+'ÖA7-18110405-1'!D16+'ÖA5-18110405'!D16+'ÖA5-18113101-S'!D16+'ÖA5-18113101-1'!D16+'ÖA1-18113101'!D16+'B01-18102729'!D16</f>
        <v>0</v>
      </c>
      <c r="E16" s="29">
        <f t="shared" si="1"/>
        <v>0</v>
      </c>
      <c r="F16" s="28" t="e">
        <f t="shared" si="2"/>
        <v>#DIV/0!</v>
      </c>
      <c r="G16" s="27" t="e">
        <f t="shared" si="3"/>
        <v>#DIV/0!</v>
      </c>
      <c r="H16" s="34">
        <f t="shared" si="4"/>
        <v>0</v>
      </c>
      <c r="I16" s="34" t="e">
        <f t="shared" si="5"/>
        <v>#DIV/0!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0</v>
      </c>
      <c r="D17" s="30">
        <f>'MOL29-18112829'!D17+'MOL26-18112426'!D17+'ÖA22-18112021-1'!D17+'ÖA22-18112021'!D17+'MOL19-18111719'!D17+'G16-18111314'!D17+'MOL15-18111415'!D17+'MOL12-18111112'!D17+'ÖA9-18110607-1'!D17+'ÖA8-18110607'!D17+'BO8-18110608'!D17+'ÖA7-18110405-1'!D17+'ÖA5-18110405'!D17+'ÖA5-18113101-S'!D17+'ÖA5-18113101-1'!D17+'ÖA1-18113101'!D17+'B01-18102729'!D17</f>
        <v>0</v>
      </c>
      <c r="E17" s="29">
        <f t="shared" si="1"/>
        <v>0</v>
      </c>
      <c r="F17" s="28" t="e">
        <f t="shared" si="2"/>
        <v>#DIV/0!</v>
      </c>
      <c r="G17" s="27" t="e">
        <f t="shared" si="3"/>
        <v>#DIV/0!</v>
      </c>
      <c r="H17" s="34">
        <f t="shared" si="4"/>
        <v>0</v>
      </c>
      <c r="I17" s="34" t="e">
        <f t="shared" si="5"/>
        <v>#DIV/0!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0</v>
      </c>
      <c r="D18" s="30">
        <f>'MOL29-18112829'!D18+'MOL26-18112426'!D18+'ÖA22-18112021-1'!D18+'ÖA22-18112021'!D18+'MOL19-18111719'!D18+'G16-18111314'!D18+'MOL15-18111415'!D18+'MOL12-18111112'!D18+'ÖA9-18110607-1'!D18+'ÖA8-18110607'!D18+'BO8-18110608'!D18+'ÖA7-18110405-1'!D18+'ÖA5-18110405'!D18+'ÖA5-18113101-S'!D18+'ÖA5-18113101-1'!D18+'ÖA1-18113101'!D18+'B01-18102729'!D18</f>
        <v>0</v>
      </c>
      <c r="E18" s="29">
        <f t="shared" si="1"/>
        <v>0</v>
      </c>
      <c r="F18" s="28" t="e">
        <f t="shared" si="2"/>
        <v>#DIV/0!</v>
      </c>
      <c r="G18" s="27" t="e">
        <f t="shared" si="3"/>
        <v>#DIV/0!</v>
      </c>
      <c r="H18" s="34">
        <f t="shared" si="4"/>
        <v>0</v>
      </c>
      <c r="I18" s="34" t="e">
        <f t="shared" si="5"/>
        <v>#DIV/0!</v>
      </c>
      <c r="J18" s="52"/>
      <c r="K18" s="52"/>
    </row>
    <row r="19" spans="1:11" x14ac:dyDescent="0.25">
      <c r="A19" s="51" t="s">
        <v>34</v>
      </c>
      <c r="B19" s="50"/>
      <c r="C19" s="47">
        <f>H19/D19</f>
        <v>0</v>
      </c>
      <c r="D19" s="49">
        <f>SUM(D10:D18)</f>
        <v>2527.6999999999998</v>
      </c>
      <c r="E19" s="48">
        <f t="shared" si="1"/>
        <v>1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 t="e">
        <f>SUM(I10:I18)</f>
        <v>#DIV/0!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0</v>
      </c>
      <c r="D21" s="30">
        <f>'MOL29-18112829'!D21+'MOL26-18112426'!D21+'ÖA22-18112021-1'!D21+'ÖA22-18112021'!D21+'MOL19-18111719'!D21+'G16-18111314'!D21+'MOL15-18111415'!D21+'MOL12-18111112'!D21+'ÖA9-18110607-1'!D21+'ÖA8-18110607'!D21+'BO8-18110608'!D21+'ÖA7-18110405-1'!D21+'ÖA5-18110405'!D21+'ÖA5-18113101-S'!D21+'ÖA5-18113101-1'!D21+'ÖA1-18113101'!D21+'B01-18102729'!D21</f>
        <v>2079.2999999999997</v>
      </c>
      <c r="E21" s="29">
        <f>D21/$D$48</f>
        <v>1.3258609519825743E-2</v>
      </c>
      <c r="F21" s="28" t="e">
        <f>C21-(C21*$E$6)</f>
        <v>#DIV/0!</v>
      </c>
      <c r="G21" s="27" t="e">
        <f>IF(C21&gt;=F21,"-","+")</f>
        <v>#DIV/0!</v>
      </c>
      <c r="H21" s="26">
        <f>C21*D21</f>
        <v>0</v>
      </c>
      <c r="I21" s="26" t="e">
        <f>F21*D21</f>
        <v>#DIV/0!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0</v>
      </c>
      <c r="D22" s="30">
        <f>'MOL29-18112829'!D22+'MOL26-18112426'!D22+'ÖA22-18112021-1'!D22+'ÖA22-18112021'!D22+'MOL19-18111719'!D22+'G16-18111314'!D22+'MOL15-18111415'!D22+'MOL12-18111112'!D22+'ÖA9-18110607-1'!D22+'ÖA8-18110607'!D22+'BO8-18110608'!D22+'ÖA7-18110405-1'!D22+'ÖA5-18110405'!D22+'ÖA5-18113101-S'!D22+'ÖA5-18113101-1'!D22+'ÖA1-18113101'!D22+'B01-18102729'!D22</f>
        <v>4991.8</v>
      </c>
      <c r="E22" s="29">
        <f>D22/$D$48</f>
        <v>3.1830100034177924E-2</v>
      </c>
      <c r="F22" s="28" t="e">
        <f>C22-(C22*$E$6)</f>
        <v>#DIV/0!</v>
      </c>
      <c r="G22" s="27" t="e">
        <f>IF(C22&gt;=F22,"-","+")</f>
        <v>#DIV/0!</v>
      </c>
      <c r="H22" s="26">
        <f>C22*D22</f>
        <v>0</v>
      </c>
      <c r="I22" s="26" t="e">
        <f>F22*D22</f>
        <v>#DIV/0!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0</v>
      </c>
      <c r="D23" s="30">
        <f>'MOL29-18112829'!D23+'MOL26-18112426'!D23+'ÖA22-18112021-1'!D23+'ÖA22-18112021'!D23+'MOL19-18111719'!D23+'G16-18111314'!D23+'MOL15-18111415'!D23+'MOL12-18111112'!D23+'ÖA9-18110607-1'!D23+'ÖA8-18110607'!D23+'BO8-18110608'!D23+'ÖA7-18110405-1'!D23+'ÖA5-18110405'!D23+'ÖA5-18113101-S'!D23+'ÖA5-18113101-1'!D23+'ÖA1-18113101'!D23+'B01-18102729'!D23</f>
        <v>4156.6000000000004</v>
      </c>
      <c r="E23" s="29">
        <f>D23/$D$48</f>
        <v>2.6504466084791848E-2</v>
      </c>
      <c r="F23" s="28" t="e">
        <f>C23-(C23*$E$6)</f>
        <v>#DIV/0!</v>
      </c>
      <c r="G23" s="27" t="e">
        <f>IF(C23&gt;=F23,"-","+")</f>
        <v>#DIV/0!</v>
      </c>
      <c r="H23" s="26">
        <f>C23*D23</f>
        <v>0</v>
      </c>
      <c r="I23" s="26" t="e">
        <f>F23*D23</f>
        <v>#DIV/0!</v>
      </c>
      <c r="J23" s="25"/>
      <c r="K23" s="25"/>
    </row>
    <row r="24" spans="1:11" x14ac:dyDescent="0.25">
      <c r="A24" s="24" t="s">
        <v>34</v>
      </c>
      <c r="B24" s="23"/>
      <c r="C24" s="20">
        <f>H24/D24</f>
        <v>0</v>
      </c>
      <c r="D24" s="22">
        <f>SUM(D21:D23)</f>
        <v>11227.7</v>
      </c>
      <c r="E24" s="21">
        <f>D24/$D$48</f>
        <v>7.1593175638795511E-2</v>
      </c>
      <c r="F24" s="20" t="e">
        <f>I24/D24</f>
        <v>#DIV/0!</v>
      </c>
      <c r="G24" s="19" t="e">
        <f>F24/C24-1</f>
        <v>#DIV/0!</v>
      </c>
      <c r="H24" s="18">
        <f>SUM(H21:H23)</f>
        <v>0</v>
      </c>
      <c r="I24" s="18" t="e">
        <f>SUM(I21:I23)</f>
        <v>#DIV/0!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0</v>
      </c>
      <c r="D26" s="30">
        <f>'MOL29-18112829'!D26+'MOL26-18112426'!D26+'ÖA22-18112021-1'!D26+'ÖA22-18112021'!D26+'MOL19-18111719'!D26+'G16-18111314'!D26+'MOL15-18111415'!D26+'MOL12-18111112'!D26+'ÖA9-18110607-1'!D26+'ÖA8-18110607'!D26+'BO8-18110608'!D26+'ÖA7-18110405-1'!D26+'ÖA5-18110405'!D26+'ÖA5-18113101-S'!D26+'ÖA5-18113101-1'!D26+'ÖA1-18113101'!D26+'B01-18102729'!D26</f>
        <v>31336.999999999996</v>
      </c>
      <c r="E26" s="29">
        <f t="shared" ref="E26:E32" si="7">D26/$D$48</f>
        <v>0.19981967321828467</v>
      </c>
      <c r="F26" s="28" t="e">
        <f t="shared" ref="F26:F31" si="8">C26-(C26*$E$6)</f>
        <v>#DIV/0!</v>
      </c>
      <c r="G26" s="27" t="e">
        <f t="shared" ref="G26:G31" si="9">IF(C26&gt;=F26,"-","+")</f>
        <v>#DIV/0!</v>
      </c>
      <c r="H26" s="26">
        <f t="shared" ref="H26:H31" si="10">C26*D26</f>
        <v>0</v>
      </c>
      <c r="I26" s="26" t="e">
        <f t="shared" ref="I26:I31" si="11">F26*D26</f>
        <v>#DIV/0!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0</v>
      </c>
      <c r="D27" s="30">
        <f>'MOL29-18112829'!D27+'MOL26-18112426'!D27+'ÖA22-18112021-1'!D27+'ÖA22-18112021'!D27+'MOL19-18111719'!D27+'G16-18111314'!D27+'MOL15-18111415'!D27+'MOL12-18111112'!D27+'ÖA9-18110607-1'!D27+'ÖA8-18110607'!D27+'BO8-18110608'!D27+'ÖA7-18110405-1'!D27+'ÖA5-18110405'!D27+'ÖA5-18113101-S'!D27+'ÖA5-18113101-1'!D27+'ÖA1-18113101'!D27+'B01-18102729'!D27</f>
        <v>24394.6</v>
      </c>
      <c r="E27" s="29">
        <f t="shared" si="7"/>
        <v>0.1555516163094989</v>
      </c>
      <c r="F27" s="28" t="e">
        <f t="shared" si="8"/>
        <v>#DIV/0!</v>
      </c>
      <c r="G27" s="27" t="e">
        <f t="shared" si="9"/>
        <v>#DIV/0!</v>
      </c>
      <c r="H27" s="26">
        <f t="shared" si="10"/>
        <v>0</v>
      </c>
      <c r="I27" s="26" t="e">
        <f t="shared" si="11"/>
        <v>#DIV/0!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0</v>
      </c>
      <c r="D28" s="30">
        <f>'MOL29-18112829'!D28+'MOL26-18112426'!D28+'ÖA22-18112021-1'!D28+'ÖA22-18112021'!D28+'MOL19-18111719'!D28+'G16-18111314'!D28+'MOL15-18111415'!D28+'MOL12-18111112'!D28+'ÖA9-18110607-1'!D28+'ÖA8-18110607'!D28+'BO8-18110608'!D28+'ÖA7-18110405-1'!D28+'ÖA5-18110405'!D28+'ÖA5-18113101-S'!D28+'ÖA5-18113101-1'!D28+'ÖA1-18113101'!D28+'B01-18102729'!D28</f>
        <v>16541.600000000002</v>
      </c>
      <c r="E28" s="29">
        <f t="shared" si="7"/>
        <v>0.10547713905311863</v>
      </c>
      <c r="F28" s="28" t="e">
        <f t="shared" si="8"/>
        <v>#DIV/0!</v>
      </c>
      <c r="G28" s="27" t="e">
        <f t="shared" si="9"/>
        <v>#DIV/0!</v>
      </c>
      <c r="H28" s="26">
        <f t="shared" si="10"/>
        <v>0</v>
      </c>
      <c r="I28" s="26" t="e">
        <f t="shared" si="11"/>
        <v>#DIV/0!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0</v>
      </c>
      <c r="D29" s="30">
        <f>'MOL29-18112829'!D29+'MOL26-18112426'!D29+'ÖA22-18112021-1'!D29+'ÖA22-18112021'!D29+'MOL19-18111719'!D29+'G16-18111314'!D29+'MOL15-18111415'!D29+'MOL12-18111112'!D29+'ÖA9-18110607-1'!D29+'ÖA8-18110607'!D29+'BO8-18110608'!D29+'ÖA7-18110405-1'!D29+'ÖA5-18110405'!D29+'ÖA5-18113101-S'!D29+'ÖA5-18113101-1'!D29+'ÖA1-18113101'!D29+'B01-18102729'!D29</f>
        <v>14118.899999999998</v>
      </c>
      <c r="E29" s="29">
        <f t="shared" si="7"/>
        <v>9.0028847183892494E-2</v>
      </c>
      <c r="F29" s="28" t="e">
        <f t="shared" si="8"/>
        <v>#DIV/0!</v>
      </c>
      <c r="G29" s="27" t="e">
        <f t="shared" si="9"/>
        <v>#DIV/0!</v>
      </c>
      <c r="H29" s="26">
        <f t="shared" si="10"/>
        <v>0</v>
      </c>
      <c r="I29" s="26" t="e">
        <f t="shared" si="11"/>
        <v>#DIV/0!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0</v>
      </c>
      <c r="D30" s="30">
        <f>'MOL29-18112829'!D30+'MOL26-18112426'!D30+'ÖA22-18112021-1'!D30+'ÖA22-18112021'!D30+'MOL19-18111719'!D30+'G16-18111314'!D30+'MOL15-18111415'!D30+'MOL12-18111112'!D30+'ÖA9-18110607-1'!D30+'ÖA8-18110607'!D30+'BO8-18110608'!D30+'ÖA7-18110405-1'!D30+'ÖA5-18110405'!D30+'ÖA5-18113101-S'!D30+'ÖA5-18113101-1'!D30+'ÖA1-18113101'!D30+'B01-18102729'!D30</f>
        <v>9121.9</v>
      </c>
      <c r="E30" s="29">
        <f t="shared" si="7"/>
        <v>5.8165589467079525E-2</v>
      </c>
      <c r="F30" s="28" t="e">
        <f t="shared" si="8"/>
        <v>#DIV/0!</v>
      </c>
      <c r="G30" s="27" t="e">
        <f t="shared" si="9"/>
        <v>#DIV/0!</v>
      </c>
      <c r="H30" s="26">
        <f t="shared" si="10"/>
        <v>0</v>
      </c>
      <c r="I30" s="26" t="e">
        <f t="shared" si="11"/>
        <v>#DIV/0!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0</v>
      </c>
      <c r="D31" s="30">
        <f>'MOL29-18112829'!D31+'MOL26-18112426'!D31+'ÖA22-18112021-1'!D31+'ÖA22-18112021'!D31+'MOL19-18111719'!D31+'G16-18111314'!D31+'MOL15-18111415'!D31+'MOL12-18111112'!D31+'ÖA9-18110607-1'!D31+'ÖA8-18110607'!D31+'BO8-18110608'!D31+'ÖA7-18110405-1'!D31+'ÖA5-18110405'!D31+'ÖA5-18113101-S'!D31+'ÖA5-18113101-1'!D31+'ÖA1-18113101'!D31+'B01-18102729'!D31</f>
        <v>4113.6000000000004</v>
      </c>
      <c r="E31" s="29">
        <f t="shared" si="7"/>
        <v>2.6230277555309569E-2</v>
      </c>
      <c r="F31" s="28" t="e">
        <f t="shared" si="8"/>
        <v>#DIV/0!</v>
      </c>
      <c r="G31" s="27" t="e">
        <f t="shared" si="9"/>
        <v>#DIV/0!</v>
      </c>
      <c r="H31" s="26">
        <f t="shared" si="10"/>
        <v>0</v>
      </c>
      <c r="I31" s="26" t="e">
        <f t="shared" si="11"/>
        <v>#DIV/0!</v>
      </c>
      <c r="J31" s="25"/>
      <c r="K31" s="25"/>
    </row>
    <row r="32" spans="1:11" x14ac:dyDescent="0.25">
      <c r="A32" s="24" t="s">
        <v>34</v>
      </c>
      <c r="B32" s="23"/>
      <c r="C32" s="20">
        <f>H32/D32</f>
        <v>0</v>
      </c>
      <c r="D32" s="22">
        <f>SUM(D26:D31)</f>
        <v>99627.599999999991</v>
      </c>
      <c r="E32" s="21">
        <f t="shared" si="7"/>
        <v>0.63527314278718372</v>
      </c>
      <c r="F32" s="20" t="e">
        <f>I32/D32</f>
        <v>#DIV/0!</v>
      </c>
      <c r="G32" s="19" t="e">
        <f>F32/C32-1</f>
        <v>#DIV/0!</v>
      </c>
      <c r="H32" s="18">
        <f>SUM(H26:H31)</f>
        <v>0</v>
      </c>
      <c r="I32" s="18" t="e">
        <f>SUM(I26:I31)</f>
        <v>#DIV/0!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0</v>
      </c>
      <c r="D34" s="30">
        <f>'MOL29-18112829'!D34+'MOL26-18112426'!D34+'ÖA22-18112021-1'!D34+'ÖA22-18112021'!D34+'MOL19-18111719'!D34+'G16-18111314'!D34+'MOL15-18111415'!D34+'MOL12-18111112'!D34+'ÖA9-18110607-1'!D34+'ÖA8-18110607'!D34+'BO8-18110608'!D34+'ÖA7-18110405-1'!D34+'ÖA5-18110405'!D34+'ÖA5-18113101-S'!D34+'ÖA5-18113101-1'!D34+'ÖA1-18113101'!D34+'B01-18102729'!D34</f>
        <v>21256.500000000007</v>
      </c>
      <c r="E34" s="29">
        <f t="shared" ref="E34:E40" si="13">D34/$D$48</f>
        <v>0.13554159248697928</v>
      </c>
      <c r="F34" s="28" t="e">
        <f t="shared" ref="F34:F39" si="14">C34-(C34*$E$6)</f>
        <v>#DIV/0!</v>
      </c>
      <c r="G34" s="27" t="e">
        <f t="shared" ref="G34:G39" si="15">IF(C34&gt;=F34,"-","+")</f>
        <v>#DIV/0!</v>
      </c>
      <c r="H34" s="26">
        <f t="shared" ref="H34:H39" si="16">C34*D34</f>
        <v>0</v>
      </c>
      <c r="I34" s="26" t="e">
        <f t="shared" ref="I34:I39" si="17">F34*D34</f>
        <v>#DIV/0!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0</v>
      </c>
      <c r="D35" s="30">
        <f>'MOL29-18112829'!D35+'MOL26-18112426'!D35+'ÖA22-18112021-1'!D35+'ÖA22-18112021'!D35+'MOL19-18111719'!D35+'G16-18111314'!D35+'MOL15-18111415'!D35+'MOL12-18111112'!D35+'ÖA9-18110607-1'!D35+'ÖA8-18110607'!D35+'BO8-18110608'!D35+'ÖA7-18110405-1'!D35+'ÖA5-18110405'!D35+'ÖA5-18113101-S'!D35+'ÖA5-18113101-1'!D35+'ÖA1-18113101'!D35+'B01-18102729'!D35</f>
        <v>67</v>
      </c>
      <c r="E35" s="29">
        <f t="shared" si="13"/>
        <v>4.2722398779797282E-4</v>
      </c>
      <c r="F35" s="28" t="e">
        <f t="shared" si="14"/>
        <v>#DIV/0!</v>
      </c>
      <c r="G35" s="27" t="e">
        <f t="shared" si="15"/>
        <v>#DIV/0!</v>
      </c>
      <c r="H35" s="26">
        <f t="shared" si="16"/>
        <v>0</v>
      </c>
      <c r="I35" s="26" t="e">
        <f t="shared" si="17"/>
        <v>#DIV/0!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0</v>
      </c>
      <c r="D36" s="30">
        <f>'MOL29-18112829'!D36+'MOL26-18112426'!D36+'ÖA22-18112021-1'!D36+'ÖA22-18112021'!D36+'MOL19-18111719'!D36+'G16-18111314'!D36+'MOL15-18111415'!D36+'MOL12-18111112'!D36+'ÖA9-18110607-1'!D36+'ÖA8-18110607'!D36+'BO8-18110608'!D36+'ÖA7-18110405-1'!D36+'ÖA5-18110405'!D36+'ÖA5-18113101-S'!D36+'ÖA5-18113101-1'!D36+'ÖA1-18113101'!D36+'B01-18102729'!D36</f>
        <v>0</v>
      </c>
      <c r="E36" s="29">
        <f t="shared" si="13"/>
        <v>0</v>
      </c>
      <c r="F36" s="28" t="e">
        <f t="shared" si="14"/>
        <v>#DIV/0!</v>
      </c>
      <c r="G36" s="27" t="e">
        <f t="shared" si="15"/>
        <v>#DIV/0!</v>
      </c>
      <c r="H36" s="26">
        <f t="shared" si="16"/>
        <v>0</v>
      </c>
      <c r="I36" s="26" t="e">
        <f t="shared" si="17"/>
        <v>#DIV/0!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0</v>
      </c>
      <c r="D37" s="30">
        <f>'MOL29-18112829'!D37+'MOL26-18112426'!D37+'ÖA22-18112021-1'!D37+'ÖA22-18112021'!D37+'MOL19-18111719'!D37+'G16-18111314'!D37+'MOL15-18111415'!D37+'MOL12-18111112'!D37+'ÖA9-18110607-1'!D37+'ÖA8-18110607'!D37+'BO8-18110608'!D37+'ÖA7-18110405-1'!D37+'ÖA5-18110405'!D37+'ÖA5-18113101-S'!D37+'ÖA5-18113101-1'!D37+'ÖA1-18113101'!D37+'B01-18102729'!D37</f>
        <v>0</v>
      </c>
      <c r="E37" s="29">
        <f t="shared" si="13"/>
        <v>0</v>
      </c>
      <c r="F37" s="28" t="e">
        <f t="shared" si="14"/>
        <v>#DIV/0!</v>
      </c>
      <c r="G37" s="27" t="e">
        <f t="shared" si="15"/>
        <v>#DIV/0!</v>
      </c>
      <c r="H37" s="26">
        <f t="shared" si="16"/>
        <v>0</v>
      </c>
      <c r="I37" s="26" t="e">
        <f t="shared" si="17"/>
        <v>#DIV/0!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0</v>
      </c>
      <c r="D38" s="30">
        <f>'MOL29-18112829'!D38+'MOL26-18112426'!D38+'ÖA22-18112021-1'!D38+'ÖA22-18112021'!D38+'MOL19-18111719'!D38+'G16-18111314'!D38+'MOL15-18111415'!D38+'MOL12-18111112'!D38+'ÖA9-18110607-1'!D38+'ÖA8-18110607'!D38+'BO8-18110608'!D38+'ÖA7-18110405-1'!D38+'ÖA5-18110405'!D38+'ÖA5-18113101-S'!D38+'ÖA5-18113101-1'!D38+'ÖA1-18113101'!D38+'B01-18102729'!D38</f>
        <v>0</v>
      </c>
      <c r="E38" s="29">
        <f t="shared" si="13"/>
        <v>0</v>
      </c>
      <c r="F38" s="28" t="e">
        <f t="shared" si="14"/>
        <v>#DIV/0!</v>
      </c>
      <c r="G38" s="27" t="e">
        <f t="shared" si="15"/>
        <v>#DIV/0!</v>
      </c>
      <c r="H38" s="26">
        <f t="shared" si="16"/>
        <v>0</v>
      </c>
      <c r="I38" s="26" t="e">
        <f t="shared" si="17"/>
        <v>#DIV/0!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0</v>
      </c>
      <c r="D39" s="30">
        <f>'MOL29-18112829'!D39+'MOL26-18112426'!D39+'ÖA22-18112021-1'!D39+'ÖA22-18112021'!D39+'MOL19-18111719'!D39+'G16-18111314'!D39+'MOL15-18111415'!D39+'MOL12-18111112'!D39+'ÖA9-18110607-1'!D39+'ÖA8-18110607'!D39+'BO8-18110608'!D39+'ÖA7-18110405-1'!D39+'ÖA5-18110405'!D39+'ÖA5-18113101-S'!D39+'ÖA5-18113101-1'!D39+'ÖA1-18113101'!D39+'B01-18102729'!D39</f>
        <v>0</v>
      </c>
      <c r="E39" s="29">
        <f t="shared" si="13"/>
        <v>0</v>
      </c>
      <c r="F39" s="28" t="e">
        <f t="shared" si="14"/>
        <v>#DIV/0!</v>
      </c>
      <c r="G39" s="27" t="e">
        <f t="shared" si="15"/>
        <v>#DIV/0!</v>
      </c>
      <c r="H39" s="26">
        <f t="shared" si="16"/>
        <v>0</v>
      </c>
      <c r="I39" s="26" t="e">
        <f t="shared" si="17"/>
        <v>#DIV/0!</v>
      </c>
      <c r="J39" s="25"/>
      <c r="K39" s="25"/>
    </row>
    <row r="40" spans="1:11" x14ac:dyDescent="0.25">
      <c r="A40" s="24" t="s">
        <v>34</v>
      </c>
      <c r="B40" s="23"/>
      <c r="C40" s="20">
        <f>H40/D40</f>
        <v>0</v>
      </c>
      <c r="D40" s="22">
        <f>SUM(D34:D39)</f>
        <v>21323.500000000007</v>
      </c>
      <c r="E40" s="21">
        <f t="shared" si="13"/>
        <v>0.13596881647477727</v>
      </c>
      <c r="F40" s="20" t="e">
        <f>I40/D40</f>
        <v>#DIV/0!</v>
      </c>
      <c r="G40" s="19" t="e">
        <f>F40/C40-1</f>
        <v>#DIV/0!</v>
      </c>
      <c r="H40" s="18">
        <f>SUM(H34:H39)</f>
        <v>0</v>
      </c>
      <c r="I40" s="18" t="e">
        <f>SUM(I34:I39)</f>
        <v>#DIV/0!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</v>
      </c>
      <c r="D42" s="30">
        <f>'MOL29-18112829'!D42+'MOL26-18112426'!D42+'ÖA22-18112021-1'!D42+'ÖA22-18112021'!D42+'MOL19-18111719'!D42+'G16-18111314'!D42+'MOL15-18111415'!D42+'MOL12-18111112'!D42+'ÖA9-18110607-1'!D42+'ÖA8-18110607'!D42+'BO8-18110608'!D42+'ÖA7-18110405-1'!D42+'ÖA5-18110405'!D42+'ÖA5-18113101-S'!D42+'ÖA5-18113101-1'!D42+'ÖA1-18113101'!D42+'B01-18102729'!D42</f>
        <v>23609.4</v>
      </c>
      <c r="E42" s="29">
        <f>D42/$D$48</f>
        <v>0.15054480623160388</v>
      </c>
      <c r="F42" s="28" t="e">
        <f>C42-(C42*$E$6)</f>
        <v>#DIV/0!</v>
      </c>
      <c r="G42" s="27" t="e">
        <f>IF(C42&gt;=F42,"-","+")</f>
        <v>#DIV/0!</v>
      </c>
      <c r="H42" s="26">
        <f>C42*D42</f>
        <v>0</v>
      </c>
      <c r="I42" s="26" t="e">
        <f>F42*D42</f>
        <v>#DIV/0!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</v>
      </c>
      <c r="D43" s="30">
        <f>'MOL29-18112829'!D43+'MOL26-18112426'!D43+'ÖA22-18112021-1'!D43+'ÖA22-18112021'!D43+'MOL19-18111719'!D43+'G16-18111314'!D43+'MOL15-18111415'!D43+'MOL12-18111112'!D43+'ÖA9-18110607-1'!D43+'ÖA8-18110607'!D43+'BO8-18110608'!D43+'ÖA7-18110405-1'!D43+'ÖA5-18110405'!D43+'ÖA5-18113101-S'!D43+'ÖA5-18113101-1'!D43+'ÖA1-18113101'!D43+'B01-18102729'!D43</f>
        <v>826.19999999999993</v>
      </c>
      <c r="E43" s="29">
        <f>D43/$D$48</f>
        <v>5.2682456525176878E-3</v>
      </c>
      <c r="F43" s="28" t="e">
        <f>C43-(C43*$E$6)</f>
        <v>#DIV/0!</v>
      </c>
      <c r="G43" s="27" t="e">
        <f>IF(C43&gt;=F43,"-","+")</f>
        <v>#DIV/0!</v>
      </c>
      <c r="H43" s="26">
        <f>C43*D43</f>
        <v>0</v>
      </c>
      <c r="I43" s="26" t="e">
        <f>F43*D43</f>
        <v>#DIV/0!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f>'MOL29-18112829'!D44+'MOL26-18112426'!D44+'ÖA22-18112021-1'!D44+'ÖA22-18112021'!D44+'MOL19-18111719'!D44+'G16-18111314'!D44+'MOL15-18111415'!D44+'MOL12-18111112'!D44+'ÖA9-18110607-1'!D44+'ÖA8-18110607'!D44+'BO8-18110608'!D44+'ÖA7-18110405-1'!D44+'ÖA5-18110405'!D44+'ÖA5-18113101-S'!D44+'ÖA5-18113101-1'!D44+'ÖA1-18113101'!D44+'B01-18102729'!D44</f>
        <v>142.5</v>
      </c>
      <c r="E44" s="29">
        <f>D44/$D$48</f>
        <v>9.0864803374941978E-4</v>
      </c>
      <c r="F44" s="28" t="e">
        <f>C44-(C44*$E$6)</f>
        <v>#DIV/0!</v>
      </c>
      <c r="G44" s="27" t="e">
        <f>IF(C44&gt;=F44,"-","+")</f>
        <v>#DIV/0!</v>
      </c>
      <c r="H44" s="26">
        <f>C44*D44</f>
        <v>0</v>
      </c>
      <c r="I44" s="26" t="e">
        <f>F44*D44</f>
        <v>#DIV/0!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f>'MOL29-18112829'!D45+'MOL26-18112426'!D45+'ÖA22-18112021-1'!D45+'ÖA22-18112021'!D45+'MOL19-18111719'!D45+'G16-18111314'!D45+'MOL15-18111415'!D45+'MOL12-18111112'!D45+'ÖA9-18110607-1'!D45+'ÖA8-18110607'!D45+'BO8-18110608'!D45+'ÖA7-18110405-1'!D45+'ÖA5-18110405'!D45+'ÖA5-18113101-S'!D45+'ÖA5-18113101-1'!D45+'ÖA1-18113101'!D45+'B01-18102729'!D45</f>
        <v>69.5</v>
      </c>
      <c r="E45" s="29">
        <f>D45/$D$48</f>
        <v>4.4316518137252402E-4</v>
      </c>
      <c r="F45" s="28" t="e">
        <f>C45-(C45*$E$6)</f>
        <v>#DIV/0!</v>
      </c>
      <c r="G45" s="27" t="e">
        <f>IF(C45&gt;=F45,"-","+")</f>
        <v>#DIV/0!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</v>
      </c>
      <c r="D46" s="22">
        <f>SUM(D41:D45)</f>
        <v>24647.600000000002</v>
      </c>
      <c r="E46" s="21">
        <f>D46/$D$48</f>
        <v>0.15716486509924352</v>
      </c>
      <c r="F46" s="20" t="e">
        <f>I46/D46</f>
        <v>#DIV/0!</v>
      </c>
      <c r="G46" s="19" t="e">
        <f>F46/C46-1</f>
        <v>#DIV/0!</v>
      </c>
      <c r="H46" s="18">
        <f>SUM(H41:H44)</f>
        <v>0</v>
      </c>
      <c r="I46" s="18" t="e">
        <f>SUM(I41:I44)</f>
        <v>#DIV/0!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0</v>
      </c>
      <c r="D48" s="13">
        <f>D24+D32+D40+D46</f>
        <v>156826.4</v>
      </c>
      <c r="E48" s="12">
        <f>SUM(E20:E46)/2</f>
        <v>1</v>
      </c>
      <c r="F48" s="11" t="e">
        <f>I48/D48</f>
        <v>#DIV/0!</v>
      </c>
      <c r="G48" s="10"/>
      <c r="H48" s="9">
        <f>SUM(H20:H46)/2</f>
        <v>0</v>
      </c>
      <c r="I48" s="9" t="e">
        <f>SUM(I20:I46)/2</f>
        <v>#DIV/0!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159354.1</v>
      </c>
      <c r="E50" s="12" t="e">
        <f>D50/G2</f>
        <v>#DIV/0!</v>
      </c>
      <c r="F50" s="11" t="e">
        <f>I50/D50</f>
        <v>#DIV/0!</v>
      </c>
      <c r="G50" s="10"/>
      <c r="H50" s="9">
        <f>H48+H19</f>
        <v>0</v>
      </c>
      <c r="I50" s="9" t="e">
        <f>I48+I19</f>
        <v>#DIV/0!</v>
      </c>
      <c r="J50" s="106">
        <f>D50-G2</f>
        <v>159354.1</v>
      </c>
      <c r="K50" s="8"/>
    </row>
    <row r="51" spans="1:11" ht="23.25" x14ac:dyDescent="0.35">
      <c r="A51" s="168"/>
      <c r="B51" s="169"/>
      <c r="C51" s="170"/>
      <c r="G51" s="7"/>
      <c r="H51" s="6"/>
      <c r="I51" s="6" t="e">
        <f>+I50/D50</f>
        <v>#DIV/0!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e">
        <f>IF(I50&lt;H50,"MALİYET İYİ","MALİYET YÜKSEK")</f>
        <v>#DIV/0!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</sheetPr>
  <dimension ref="A1:K56"/>
  <sheetViews>
    <sheetView topLeftCell="A4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152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152</v>
      </c>
      <c r="D2" s="96" t="s">
        <v>3</v>
      </c>
      <c r="E2" s="95" t="s">
        <v>71</v>
      </c>
      <c r="F2" s="94" t="s">
        <v>5</v>
      </c>
      <c r="G2" s="93">
        <v>12774.4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190</v>
      </c>
      <c r="F3" s="88" t="s">
        <v>8</v>
      </c>
      <c r="G3" s="87">
        <v>24.5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67.23368421052632</v>
      </c>
      <c r="F4" s="81" t="s">
        <v>12</v>
      </c>
      <c r="G4" s="80">
        <f>G2*G3</f>
        <v>312972.79999999999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7.3148225122880994E-3</v>
      </c>
      <c r="F6" s="69" t="s">
        <v>16</v>
      </c>
      <c r="G6" s="68">
        <f>(I50-I19)/(D50-(SUM(D42:D44)+D19))</f>
        <v>29.262374478747891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24.5</v>
      </c>
      <c r="D10" s="30"/>
      <c r="E10" s="29" t="e">
        <f t="shared" ref="E10:E19" si="1">D10/$D$19</f>
        <v>#DIV/0!</v>
      </c>
      <c r="F10" s="28">
        <f t="shared" ref="F10:F18" si="2">C10-(C10*$E$6)</f>
        <v>24.320786848448943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25.5</v>
      </c>
      <c r="D11" s="30"/>
      <c r="E11" s="29" t="e">
        <f t="shared" si="1"/>
        <v>#DIV/0!</v>
      </c>
      <c r="F11" s="28">
        <f t="shared" si="2"/>
        <v>25.313472025936655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23.3</v>
      </c>
      <c r="D12" s="30"/>
      <c r="E12" s="29" t="e">
        <f t="shared" si="1"/>
        <v>#DIV/0!</v>
      </c>
      <c r="F12" s="28">
        <f t="shared" si="2"/>
        <v>23.129564635463687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25.5</v>
      </c>
      <c r="D13" s="30"/>
      <c r="E13" s="29" t="e">
        <f t="shared" si="1"/>
        <v>#DIV/0!</v>
      </c>
      <c r="F13" s="28">
        <f t="shared" si="2"/>
        <v>25.313472025936655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28.5</v>
      </c>
      <c r="D14" s="30"/>
      <c r="E14" s="29" t="e">
        <f t="shared" si="1"/>
        <v>#DIV/0!</v>
      </c>
      <c r="F14" s="28">
        <f t="shared" si="2"/>
        <v>28.291527558399789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23.5</v>
      </c>
      <c r="D15" s="30"/>
      <c r="E15" s="29" t="e">
        <f t="shared" si="1"/>
        <v>#DIV/0!</v>
      </c>
      <c r="F15" s="28">
        <f t="shared" si="2"/>
        <v>23.328101670961228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32.200000000000003</v>
      </c>
      <c r="D16" s="30"/>
      <c r="E16" s="29" t="e">
        <f t="shared" si="1"/>
        <v>#DIV/0!</v>
      </c>
      <c r="F16" s="28">
        <f t="shared" si="2"/>
        <v>31.964462715104325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47.4</v>
      </c>
      <c r="D17" s="30"/>
      <c r="E17" s="29" t="e">
        <f t="shared" si="1"/>
        <v>#DIV/0!</v>
      </c>
      <c r="F17" s="28">
        <f t="shared" si="2"/>
        <v>47.053277412917545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41.5</v>
      </c>
      <c r="D18" s="30"/>
      <c r="E18" s="29" t="e">
        <f t="shared" si="1"/>
        <v>#DIV/0!</v>
      </c>
      <c r="F18" s="28">
        <f t="shared" si="2"/>
        <v>41.196434865740045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61.6</v>
      </c>
      <c r="D21" s="30">
        <v>172.6</v>
      </c>
      <c r="E21" s="29">
        <f>D21/$D$48</f>
        <v>1.3511397795591183E-2</v>
      </c>
      <c r="F21" s="28">
        <f>C21-(C21*$E$6)</f>
        <v>61.149406933243057</v>
      </c>
      <c r="G21" s="27" t="str">
        <f>IF(C21&gt;=F21,"-","+")</f>
        <v>-</v>
      </c>
      <c r="H21" s="26">
        <f>C21*D21</f>
        <v>10632.16</v>
      </c>
      <c r="I21" s="26">
        <f>F21*D21</f>
        <v>10554.387636677751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41.4</v>
      </c>
      <c r="D22" s="30">
        <v>386.2</v>
      </c>
      <c r="E22" s="29">
        <f>D22/$D$48</f>
        <v>3.0232339679358719E-2</v>
      </c>
      <c r="F22" s="28">
        <f>C22-(C22*$E$6)</f>
        <v>41.097166347991269</v>
      </c>
      <c r="G22" s="27" t="str">
        <f>IF(C22&gt;=F22,"-","+")</f>
        <v>-</v>
      </c>
      <c r="H22" s="26">
        <f>C22*D22</f>
        <v>15988.679999999998</v>
      </c>
      <c r="I22" s="26">
        <f>F22*D22</f>
        <v>15871.725643594227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37.700000000000003</v>
      </c>
      <c r="D23" s="30">
        <v>387.3</v>
      </c>
      <c r="E23" s="29">
        <f>D23/$D$48</f>
        <v>3.0318449398797596E-2</v>
      </c>
      <c r="F23" s="28">
        <f>C23-(C23*$E$6)</f>
        <v>37.424231191286744</v>
      </c>
      <c r="G23" s="27" t="str">
        <f>IF(C23&gt;=F23,"-","+")</f>
        <v>-</v>
      </c>
      <c r="H23" s="26">
        <f>C23*D23</f>
        <v>14601.210000000001</v>
      </c>
      <c r="I23" s="26">
        <f>F23*D23</f>
        <v>14494.404740385356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43.570499947151461</v>
      </c>
      <c r="D24" s="22">
        <f>SUM(D21:D23)</f>
        <v>946.09999999999991</v>
      </c>
      <c r="E24" s="21">
        <f>D24/$D$48</f>
        <v>7.4062186873747493E-2</v>
      </c>
      <c r="F24" s="20">
        <f>I24/D24</f>
        <v>43.251789473266399</v>
      </c>
      <c r="G24" s="19">
        <f>F24/C24-1</f>
        <v>-7.3148225122878774E-3</v>
      </c>
      <c r="H24" s="18">
        <f>SUM(H21:H23)</f>
        <v>41222.049999999996</v>
      </c>
      <c r="I24" s="18">
        <f>SUM(I21:I23)</f>
        <v>40920.518020657335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32.9</v>
      </c>
      <c r="D26" s="30">
        <v>2457.1999999999998</v>
      </c>
      <c r="E26" s="29">
        <f t="shared" ref="E26:E32" si="7">D26/$D$48</f>
        <v>0.19235345691382766</v>
      </c>
      <c r="F26" s="28">
        <f t="shared" ref="F26:F31" si="8">C26-(C26*$E$6)</f>
        <v>32.65934233934572</v>
      </c>
      <c r="G26" s="27" t="str">
        <f t="shared" ref="G26:G31" si="9">IF(C26&gt;=F26,"-","+")</f>
        <v>-</v>
      </c>
      <c r="H26" s="26">
        <f t="shared" ref="H26:H31" si="10">C26*D26</f>
        <v>80841.87999999999</v>
      </c>
      <c r="I26" s="26">
        <f t="shared" ref="I26:I31" si="11">F26*D26</f>
        <v>80250.535996240302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29.3</v>
      </c>
      <c r="D27" s="30">
        <v>2069.4</v>
      </c>
      <c r="E27" s="29">
        <f t="shared" si="7"/>
        <v>0.16199586673346694</v>
      </c>
      <c r="F27" s="28">
        <f t="shared" si="8"/>
        <v>29.08567570038996</v>
      </c>
      <c r="G27" s="27" t="str">
        <f t="shared" si="9"/>
        <v>-</v>
      </c>
      <c r="H27" s="26">
        <f t="shared" si="10"/>
        <v>60633.420000000006</v>
      </c>
      <c r="I27" s="26">
        <f t="shared" si="11"/>
        <v>60189.897294386989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29.3</v>
      </c>
      <c r="D28" s="30">
        <v>1308.2</v>
      </c>
      <c r="E28" s="29">
        <f t="shared" si="7"/>
        <v>0.10240794088176354</v>
      </c>
      <c r="F28" s="28">
        <f t="shared" si="8"/>
        <v>29.08567570038996</v>
      </c>
      <c r="G28" s="27" t="str">
        <f t="shared" si="9"/>
        <v>-</v>
      </c>
      <c r="H28" s="26">
        <f t="shared" si="10"/>
        <v>38330.26</v>
      </c>
      <c r="I28" s="26">
        <f t="shared" si="11"/>
        <v>38049.880951250147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28.3</v>
      </c>
      <c r="D29" s="30">
        <v>1202.8</v>
      </c>
      <c r="E29" s="29">
        <f t="shared" si="7"/>
        <v>9.4157064128256515E-2</v>
      </c>
      <c r="F29" s="28">
        <f t="shared" si="8"/>
        <v>28.092990522902248</v>
      </c>
      <c r="G29" s="27" t="str">
        <f t="shared" si="9"/>
        <v>-</v>
      </c>
      <c r="H29" s="26">
        <f t="shared" si="10"/>
        <v>34039.24</v>
      </c>
      <c r="I29" s="26">
        <f t="shared" si="11"/>
        <v>33790.249000946824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28.3</v>
      </c>
      <c r="D30" s="30">
        <v>770.4</v>
      </c>
      <c r="E30" s="29">
        <f t="shared" si="7"/>
        <v>6.0308116232464931E-2</v>
      </c>
      <c r="F30" s="28">
        <f t="shared" si="8"/>
        <v>28.092990522902248</v>
      </c>
      <c r="G30" s="27" t="str">
        <f t="shared" si="9"/>
        <v>-</v>
      </c>
      <c r="H30" s="26">
        <f t="shared" si="10"/>
        <v>21802.32</v>
      </c>
      <c r="I30" s="26">
        <f t="shared" si="11"/>
        <v>21642.839898843893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28.8</v>
      </c>
      <c r="D31" s="30">
        <v>353.3</v>
      </c>
      <c r="E31" s="29">
        <f t="shared" si="7"/>
        <v>2.765687625250501E-2</v>
      </c>
      <c r="F31" s="28">
        <f t="shared" si="8"/>
        <v>28.589333111646102</v>
      </c>
      <c r="G31" s="27" t="str">
        <f t="shared" si="9"/>
        <v>-</v>
      </c>
      <c r="H31" s="26">
        <f t="shared" si="10"/>
        <v>10175.040000000001</v>
      </c>
      <c r="I31" s="26">
        <f t="shared" si="11"/>
        <v>10100.611388344569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30.120466102214106</v>
      </c>
      <c r="D32" s="22">
        <f>SUM(D26:D31)</f>
        <v>8161.3</v>
      </c>
      <c r="E32" s="21">
        <f t="shared" si="7"/>
        <v>0.63887932114228463</v>
      </c>
      <c r="F32" s="20">
        <f>I32/D32</f>
        <v>29.900140238689023</v>
      </c>
      <c r="G32" s="19">
        <f>F32/C32-1</f>
        <v>-7.3148225122879884E-3</v>
      </c>
      <c r="H32" s="18">
        <f>SUM(H26:H31)</f>
        <v>245822.16</v>
      </c>
      <c r="I32" s="18">
        <f>SUM(I26:I31)</f>
        <v>244024.01453001273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</v>
      </c>
      <c r="D34" s="30">
        <v>1584</v>
      </c>
      <c r="E34" s="29">
        <f t="shared" ref="E34:E40" si="13">D34/$D$48</f>
        <v>0.12399799599198397</v>
      </c>
      <c r="F34" s="28">
        <f t="shared" ref="F34:F39" si="14">C34-(C34*$E$6)</f>
        <v>17.173453570537415</v>
      </c>
      <c r="G34" s="27" t="str">
        <f t="shared" ref="G34:G39" si="15">IF(C34&gt;=F34,"-","+")</f>
        <v>-</v>
      </c>
      <c r="H34" s="26">
        <f t="shared" ref="H34:H39" si="16">C34*D34</f>
        <v>27403.200000000001</v>
      </c>
      <c r="I34" s="26">
        <f t="shared" ref="I34:I39" si="17">F34*D34</f>
        <v>27202.750455731264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/>
      <c r="E35" s="29">
        <f t="shared" si="13"/>
        <v>0</v>
      </c>
      <c r="F35" s="28">
        <f t="shared" si="14"/>
        <v>13.202712860586569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10.621731399118516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28.3</v>
      </c>
      <c r="D37" s="30"/>
      <c r="E37" s="29">
        <f t="shared" si="13"/>
        <v>0</v>
      </c>
      <c r="F37" s="28">
        <f t="shared" si="14"/>
        <v>28.092990522902248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28.3</v>
      </c>
      <c r="D38" s="30"/>
      <c r="E38" s="29">
        <f t="shared" si="13"/>
        <v>0</v>
      </c>
      <c r="F38" s="28">
        <f t="shared" si="14"/>
        <v>28.092990522902248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29.3</v>
      </c>
      <c r="D39" s="30"/>
      <c r="E39" s="29">
        <f t="shared" si="13"/>
        <v>0</v>
      </c>
      <c r="F39" s="28">
        <f t="shared" si="14"/>
        <v>29.08567570038996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</v>
      </c>
      <c r="D40" s="22">
        <f>SUM(D34:D39)</f>
        <v>1584</v>
      </c>
      <c r="E40" s="21">
        <f t="shared" si="13"/>
        <v>0.12399799599198397</v>
      </c>
      <c r="F40" s="20">
        <f>I40/D40</f>
        <v>17.173453570537415</v>
      </c>
      <c r="G40" s="19">
        <f>F40/C40-1</f>
        <v>-7.3148225122882105E-3</v>
      </c>
      <c r="H40" s="18">
        <f>SUM(H34:H39)</f>
        <v>27403.200000000001</v>
      </c>
      <c r="I40" s="18">
        <f>SUM(I34:I39)</f>
        <v>27202.750455731264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1988</v>
      </c>
      <c r="E42" s="107">
        <f>D42/$D$48</f>
        <v>0.15562374749498997</v>
      </c>
      <c r="F42" s="28">
        <f>C42-(C42*$E$6)</f>
        <v>0.39707407099508479</v>
      </c>
      <c r="G42" s="27" t="str">
        <f>IF(C42&gt;=F42,"-","+")</f>
        <v>-</v>
      </c>
      <c r="H42" s="26">
        <f>C42*D42</f>
        <v>795.2</v>
      </c>
      <c r="I42" s="26">
        <f>F42*D42</f>
        <v>789.38325313822861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91</v>
      </c>
      <c r="E43" s="107">
        <f>D43/$D$48</f>
        <v>7.1236222444889781E-3</v>
      </c>
      <c r="F43" s="28">
        <f>C43-(C43*$E$6)</f>
        <v>0.39707407099508479</v>
      </c>
      <c r="G43" s="27" t="str">
        <f>IF(C43&gt;=F43,"-","+")</f>
        <v>-</v>
      </c>
      <c r="H43" s="26">
        <f>C43*D43</f>
        <v>36.4</v>
      </c>
      <c r="I43" s="26">
        <f>F43*D43</f>
        <v>36.133740460552715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3.1312625250501001E-4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0.39923187710033609</v>
      </c>
      <c r="D46" s="22">
        <f>SUM(D41:D45)</f>
        <v>2083</v>
      </c>
      <c r="E46" s="21">
        <f>D46/$D$48</f>
        <v>0.16306049599198397</v>
      </c>
      <c r="F46" s="20">
        <f>I46/D46</f>
        <v>0.39631156677809953</v>
      </c>
      <c r="G46" s="19">
        <f>F46/C46-1</f>
        <v>-7.3148225122880994E-3</v>
      </c>
      <c r="H46" s="18">
        <f>SUM(H41:H44)</f>
        <v>831.6</v>
      </c>
      <c r="I46" s="18">
        <f>SUM(I41:I44)</f>
        <v>825.51699359878137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91.390197926465902</v>
      </c>
      <c r="D48" s="13">
        <f>D24+D32+D40+D46</f>
        <v>12774.4</v>
      </c>
      <c r="E48" s="12">
        <f>SUM(E20:E46)/2</f>
        <v>1</v>
      </c>
      <c r="F48" s="11">
        <f>I48/D48</f>
        <v>24.500000000000014</v>
      </c>
      <c r="G48" s="10"/>
      <c r="H48" s="9">
        <f>SUM(H20:H46)/2</f>
        <v>315279.00999999989</v>
      </c>
      <c r="I48" s="9">
        <f>SUM(I20:I46)/2</f>
        <v>312972.80000000016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12774.4</v>
      </c>
      <c r="E50" s="12">
        <f>D50/G2</f>
        <v>1</v>
      </c>
      <c r="F50" s="11">
        <f>I50/D50</f>
        <v>24.500000000000014</v>
      </c>
      <c r="G50" s="10"/>
      <c r="H50" s="9">
        <f>H48+H19</f>
        <v>315279.00999999989</v>
      </c>
      <c r="I50" s="9">
        <f>I48+I19</f>
        <v>312972.80000000016</v>
      </c>
      <c r="J50" s="106">
        <f>D50-G2</f>
        <v>0</v>
      </c>
      <c r="K50" s="8"/>
    </row>
    <row r="51" spans="1:11" ht="23.25" x14ac:dyDescent="0.35">
      <c r="A51" s="168" t="s">
        <v>153</v>
      </c>
      <c r="B51" s="169"/>
      <c r="C51" s="170"/>
      <c r="G51" s="7"/>
      <c r="H51" s="6"/>
      <c r="I51" s="6">
        <f>+I50/D50</f>
        <v>24.500000000000014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154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154</v>
      </c>
      <c r="D2" s="96" t="s">
        <v>3</v>
      </c>
      <c r="E2" s="95" t="s">
        <v>71</v>
      </c>
      <c r="F2" s="94" t="s">
        <v>5</v>
      </c>
      <c r="G2" s="93">
        <v>13167.9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164</v>
      </c>
      <c r="F3" s="88" t="s">
        <v>8</v>
      </c>
      <c r="G3" s="87">
        <v>25.25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80.292073170731712</v>
      </c>
      <c r="F4" s="81" t="s">
        <v>12</v>
      </c>
      <c r="G4" s="80">
        <f>G2*G3</f>
        <v>332489.47499999998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1.3738025992755976E-2</v>
      </c>
      <c r="F6" s="69" t="s">
        <v>16</v>
      </c>
      <c r="G6" s="68">
        <f>(I50-I19)/(D50-(SUM(D42:D44)+D19))</f>
        <v>29.801508945217268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24.952427942383274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 t="e">
        <f t="shared" si="1"/>
        <v>#DIV/0!</v>
      </c>
      <c r="F11" s="28">
        <f t="shared" si="2"/>
        <v>25.938689916390519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 t="e">
        <f t="shared" si="1"/>
        <v>#DIV/0!</v>
      </c>
      <c r="F12" s="28">
        <f t="shared" si="2"/>
        <v>23.670287376173857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 t="e">
        <f t="shared" si="1"/>
        <v>#DIV/0!</v>
      </c>
      <c r="F13" s="28">
        <f t="shared" si="2"/>
        <v>25.938689916390519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 t="e">
        <f t="shared" si="1"/>
        <v>#DIV/0!</v>
      </c>
      <c r="F14" s="28">
        <f t="shared" si="2"/>
        <v>28.996102035812974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 t="e">
        <f t="shared" si="1"/>
        <v>#DIV/0!</v>
      </c>
      <c r="F15" s="28">
        <f t="shared" si="2"/>
        <v>23.867539770975306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 t="e">
        <f t="shared" si="1"/>
        <v>#DIV/0!</v>
      </c>
      <c r="F16" s="28">
        <f t="shared" si="2"/>
        <v>32.743897537040503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48.8</v>
      </c>
      <c r="D17" s="30"/>
      <c r="E17" s="29" t="e">
        <f t="shared" si="1"/>
        <v>#DIV/0!</v>
      </c>
      <c r="F17" s="28">
        <f t="shared" si="2"/>
        <v>48.129584331553502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 t="e">
        <f t="shared" si="1"/>
        <v>#DIV/0!</v>
      </c>
      <c r="F18" s="28">
        <f t="shared" si="2"/>
        <v>42.212012487510044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63.5</v>
      </c>
      <c r="D21" s="30">
        <v>168.8</v>
      </c>
      <c r="E21" s="29">
        <f>D21/$D$48</f>
        <v>1.28190523925607E-2</v>
      </c>
      <c r="F21" s="28">
        <f>C21-(C21*$E$6)</f>
        <v>62.627635349459993</v>
      </c>
      <c r="G21" s="27" t="str">
        <f>IF(C21&gt;=F21,"-","+")</f>
        <v>-</v>
      </c>
      <c r="H21" s="26">
        <f>C21*D21</f>
        <v>10718.800000000001</v>
      </c>
      <c r="I21" s="26">
        <f>F21*D21</f>
        <v>10571.544846988847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42.6</v>
      </c>
      <c r="D22" s="30">
        <v>457.7</v>
      </c>
      <c r="E22" s="29">
        <f>D22/$D$48</f>
        <v>3.4758769431724124E-2</v>
      </c>
      <c r="F22" s="28">
        <f>C22-(C22*$E$6)</f>
        <v>42.014760092708599</v>
      </c>
      <c r="G22" s="27" t="str">
        <f>IF(C22&gt;=F22,"-","+")</f>
        <v>-</v>
      </c>
      <c r="H22" s="26">
        <f>C22*D22</f>
        <v>19498.02</v>
      </c>
      <c r="I22" s="26">
        <f>F22*D22</f>
        <v>19230.155694432724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v>311</v>
      </c>
      <c r="E23" s="29">
        <f>D23/$D$48</f>
        <v>2.3618040841743942E-2</v>
      </c>
      <c r="F23" s="28">
        <f>C23-(C23*$E$6)</f>
        <v>38.365590788881789</v>
      </c>
      <c r="G23" s="27" t="str">
        <f>IF(C23&gt;=F23,"-","+")</f>
        <v>-</v>
      </c>
      <c r="H23" s="26">
        <f>C23*D23</f>
        <v>12097.9</v>
      </c>
      <c r="I23" s="26">
        <f>F23*D23</f>
        <v>11931.698735342237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45.135701333333337</v>
      </c>
      <c r="D24" s="22">
        <f>SUM(D21:D23)</f>
        <v>937.5</v>
      </c>
      <c r="E24" s="21">
        <f>D24/$D$48</f>
        <v>7.1195862666028759E-2</v>
      </c>
      <c r="F24" s="20">
        <f>I24/D24</f>
        <v>44.515625895214733</v>
      </c>
      <c r="G24" s="19">
        <f>F24/C24-1</f>
        <v>-1.3738025992755976E-2</v>
      </c>
      <c r="H24" s="18">
        <f>SUM(H21:H23)</f>
        <v>42314.720000000001</v>
      </c>
      <c r="I24" s="18">
        <f>SUM(I21:I23)</f>
        <v>41733.399276763812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v>2510.9</v>
      </c>
      <c r="E26" s="29">
        <f t="shared" ref="E26:E32" si="7">D26/$D$48</f>
        <v>0.19068340433934042</v>
      </c>
      <c r="F26" s="28">
        <f t="shared" ref="F26:F31" si="8">C26-(C26*$E$6)</f>
        <v>33.434280918845573</v>
      </c>
      <c r="G26" s="27" t="str">
        <f t="shared" ref="G26:G31" si="9">IF(C26&gt;=F26,"-","+")</f>
        <v>-</v>
      </c>
      <c r="H26" s="26">
        <f t="shared" ref="H26:H31" si="10">C26*D26</f>
        <v>85119.51</v>
      </c>
      <c r="I26" s="26">
        <f t="shared" ref="I26:I31" si="11">F26*D26</f>
        <v>83950.135959129359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2103.6</v>
      </c>
      <c r="E27" s="29">
        <f t="shared" si="7"/>
        <v>0.15975212448454199</v>
      </c>
      <c r="F27" s="28">
        <f t="shared" si="8"/>
        <v>29.785111615018767</v>
      </c>
      <c r="G27" s="27" t="str">
        <f t="shared" si="9"/>
        <v>-</v>
      </c>
      <c r="H27" s="26">
        <f t="shared" si="10"/>
        <v>63528.719999999994</v>
      </c>
      <c r="I27" s="26">
        <f t="shared" si="11"/>
        <v>62655.960793353479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1472.4</v>
      </c>
      <c r="E28" s="29">
        <f t="shared" si="7"/>
        <v>0.11181737406875814</v>
      </c>
      <c r="F28" s="28">
        <f t="shared" si="8"/>
        <v>29.785111615018767</v>
      </c>
      <c r="G28" s="27" t="str">
        <f t="shared" si="9"/>
        <v>-</v>
      </c>
      <c r="H28" s="26">
        <f t="shared" si="10"/>
        <v>44466.48</v>
      </c>
      <c r="I28" s="26">
        <f t="shared" si="11"/>
        <v>43855.598341953635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1238.8</v>
      </c>
      <c r="E29" s="29">
        <f t="shared" si="7"/>
        <v>9.4077263648721529E-2</v>
      </c>
      <c r="F29" s="28">
        <f t="shared" si="8"/>
        <v>28.798849641011525</v>
      </c>
      <c r="G29" s="27" t="str">
        <f t="shared" si="9"/>
        <v>-</v>
      </c>
      <c r="H29" s="26">
        <f t="shared" si="10"/>
        <v>36172.959999999999</v>
      </c>
      <c r="I29" s="26">
        <f t="shared" si="11"/>
        <v>35676.014935285079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780.7</v>
      </c>
      <c r="E30" s="29">
        <f t="shared" si="7"/>
        <v>5.9288117315593233E-2</v>
      </c>
      <c r="F30" s="28">
        <f t="shared" si="8"/>
        <v>28.798849641011525</v>
      </c>
      <c r="G30" s="27" t="str">
        <f t="shared" si="9"/>
        <v>-</v>
      </c>
      <c r="H30" s="26">
        <f t="shared" si="10"/>
        <v>22796.440000000002</v>
      </c>
      <c r="I30" s="26">
        <f t="shared" si="11"/>
        <v>22483.261914737701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366.8</v>
      </c>
      <c r="E31" s="29">
        <f t="shared" si="7"/>
        <v>2.7855618587625974E-2</v>
      </c>
      <c r="F31" s="28">
        <f t="shared" si="8"/>
        <v>29.291980628015146</v>
      </c>
      <c r="G31" s="27" t="str">
        <f t="shared" si="9"/>
        <v>-</v>
      </c>
      <c r="H31" s="26">
        <f t="shared" si="10"/>
        <v>10893.960000000001</v>
      </c>
      <c r="I31" s="26">
        <f t="shared" si="11"/>
        <v>10744.298494355957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31.036452579898981</v>
      </c>
      <c r="D32" s="22">
        <f>SUM(D26:D31)</f>
        <v>8473.1999999999989</v>
      </c>
      <c r="E32" s="21">
        <f t="shared" si="7"/>
        <v>0.64347390244458114</v>
      </c>
      <c r="F32" s="20">
        <f>I32/D32</f>
        <v>30.610072987633391</v>
      </c>
      <c r="G32" s="19">
        <f>F32/C32-1</f>
        <v>-1.3738025992755976E-2</v>
      </c>
      <c r="H32" s="18">
        <f>SUM(H26:H31)</f>
        <v>262978.07</v>
      </c>
      <c r="I32" s="18">
        <f>SUM(I26:I31)</f>
        <v>259365.27043881521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v>1742.9</v>
      </c>
      <c r="E34" s="29">
        <f t="shared" ref="E34:E40" si="13">D34/$D$48</f>
        <v>0.13235975364332964</v>
      </c>
      <c r="F34" s="28">
        <f t="shared" ref="F34:F39" si="14">C34-(C34*$E$6)</f>
        <v>17.555463137328946</v>
      </c>
      <c r="G34" s="27" t="str">
        <f t="shared" ref="G34:G39" si="15">IF(C34&gt;=F34,"-","+")</f>
        <v>-</v>
      </c>
      <c r="H34" s="26">
        <f t="shared" ref="H34:H39" si="16">C34*D34</f>
        <v>31023.620000000003</v>
      </c>
      <c r="I34" s="26">
        <f t="shared" ref="I34:I39" si="17">F34*D34</f>
        <v>30597.416702050621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/>
      <c r="E35" s="29">
        <f t="shared" si="13"/>
        <v>0</v>
      </c>
      <c r="F35" s="28">
        <f t="shared" si="14"/>
        <v>13.511789043899242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10.848881714079685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28.798849641011525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28.798849641011525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29.785111615018767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</v>
      </c>
      <c r="D40" s="22">
        <f>SUM(D34:D39)</f>
        <v>1742.9</v>
      </c>
      <c r="E40" s="21">
        <f t="shared" si="13"/>
        <v>0.13235975364332964</v>
      </c>
      <c r="F40" s="20">
        <f>I40/D40</f>
        <v>17.555463137328946</v>
      </c>
      <c r="G40" s="19">
        <f>F40/C40-1</f>
        <v>-1.3738025992755865E-2</v>
      </c>
      <c r="H40" s="18">
        <f>SUM(H34:H39)</f>
        <v>31023.620000000003</v>
      </c>
      <c r="I40" s="18">
        <f>SUM(I34:I39)</f>
        <v>30597.416702050621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1923</v>
      </c>
      <c r="E42" s="107">
        <f>D42/$D$48</f>
        <v>0.1460369535005582</v>
      </c>
      <c r="F42" s="28">
        <f>C42-(C42*$E$6)</f>
        <v>0.39450478960289764</v>
      </c>
      <c r="G42" s="27" t="str">
        <f>IF(C42&gt;=F42,"-","+")</f>
        <v>-</v>
      </c>
      <c r="H42" s="26">
        <f>C42*D42</f>
        <v>769.2</v>
      </c>
      <c r="I42" s="26">
        <f>F42*D42</f>
        <v>758.63271040637221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88.1</v>
      </c>
      <c r="E43" s="107">
        <f>D43/$D$48</f>
        <v>6.6905125342689425E-3</v>
      </c>
      <c r="F43" s="28">
        <f>C43-(C43*$E$6)</f>
        <v>0.39450478960289764</v>
      </c>
      <c r="G43" s="27" t="str">
        <f>IF(C43&gt;=F43,"-","+")</f>
        <v>-</v>
      </c>
      <c r="H43" s="26">
        <f>C43*D43</f>
        <v>35.24</v>
      </c>
      <c r="I43" s="26">
        <f>F43*D43</f>
        <v>34.755871964015277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3.2</v>
      </c>
      <c r="E45" s="107">
        <f>D45/$D$48</f>
        <v>2.4301521123337819E-4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0.39936454351387585</v>
      </c>
      <c r="D46" s="22">
        <f>SUM(D41:D45)</f>
        <v>2014.3</v>
      </c>
      <c r="E46" s="21">
        <f>D46/$D$48</f>
        <v>0.15297048124606052</v>
      </c>
      <c r="F46" s="20">
        <f>I46/D46</f>
        <v>0.39387806303449707</v>
      </c>
      <c r="G46" s="19">
        <f>F46/C46-1</f>
        <v>-1.3738025992756087E-2</v>
      </c>
      <c r="H46" s="18">
        <f>SUM(H41:H44)</f>
        <v>804.44</v>
      </c>
      <c r="I46" s="18">
        <f>SUM(I41:I44)</f>
        <v>793.38858237038744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94.371518456746188</v>
      </c>
      <c r="D48" s="13">
        <f>D24+D32+D40+D46</f>
        <v>13167.899999999998</v>
      </c>
      <c r="E48" s="12">
        <f>SUM(E20:E46)/2</f>
        <v>1</v>
      </c>
      <c r="F48" s="11">
        <f>I48/D48</f>
        <v>25.250000000000004</v>
      </c>
      <c r="G48" s="10"/>
      <c r="H48" s="9">
        <f>SUM(H20:H46)/2</f>
        <v>337120.85</v>
      </c>
      <c r="I48" s="9">
        <f>SUM(I20:I46)/2</f>
        <v>332489.47499999998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13167.9</v>
      </c>
      <c r="E50" s="12">
        <f>D50/G2</f>
        <v>1</v>
      </c>
      <c r="F50" s="11">
        <f>I50/D50</f>
        <v>25.25</v>
      </c>
      <c r="G50" s="10"/>
      <c r="H50" s="9">
        <f>H48+H19</f>
        <v>337120.85</v>
      </c>
      <c r="I50" s="9">
        <f>I48+I19</f>
        <v>332489.47499999998</v>
      </c>
      <c r="J50" s="106">
        <f>D50-G2</f>
        <v>0</v>
      </c>
      <c r="K50" s="8"/>
    </row>
    <row r="51" spans="1:11" ht="23.25" x14ac:dyDescent="0.35">
      <c r="A51" s="168" t="s">
        <v>156</v>
      </c>
      <c r="B51" s="169"/>
      <c r="C51" s="170"/>
      <c r="G51" s="7"/>
      <c r="H51" s="6"/>
      <c r="I51" s="6">
        <f>+I50/D50</f>
        <v>25.25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154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154</v>
      </c>
      <c r="D2" s="96" t="s">
        <v>3</v>
      </c>
      <c r="E2" s="95" t="s">
        <v>71</v>
      </c>
      <c r="F2" s="94" t="s">
        <v>5</v>
      </c>
      <c r="G2" s="93">
        <v>3815.6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48</v>
      </c>
      <c r="F3" s="88" t="s">
        <v>8</v>
      </c>
      <c r="G3" s="87">
        <v>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79.49166666666666</v>
      </c>
      <c r="F4" s="81" t="s">
        <v>12</v>
      </c>
      <c r="G4" s="80">
        <f>G2*G3</f>
        <v>95390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5.0576323938800183E-3</v>
      </c>
      <c r="F6" s="69" t="s">
        <v>16</v>
      </c>
      <c r="G6" s="68">
        <f>(I50-I19)/(D50-(SUM(D42:D44)+D19))</f>
        <v>29.638030138263176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24.873559190152999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25.868501557759121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23.679628349025656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25.868501557759121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 t="e">
        <f t="shared" si="1"/>
        <v>#DIV/0!</v>
      </c>
      <c r="F14" s="28">
        <f t="shared" si="2"/>
        <v>28.952822897338091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23.878616822546881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32.9</v>
      </c>
      <c r="D16" s="30"/>
      <c r="E16" s="29" t="e">
        <f t="shared" si="1"/>
        <v>#DIV/0!</v>
      </c>
      <c r="F16" s="28">
        <f t="shared" si="2"/>
        <v>32.733603894241348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48.4</v>
      </c>
      <c r="D17" s="30"/>
      <c r="E17" s="29" t="e">
        <f t="shared" si="1"/>
        <v>#DIV/0!</v>
      </c>
      <c r="F17" s="28">
        <f t="shared" si="2"/>
        <v>48.155210592136207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42.4</v>
      </c>
      <c r="D18" s="30"/>
      <c r="E18" s="29" t="e">
        <f t="shared" si="1"/>
        <v>#DIV/0!</v>
      </c>
      <c r="F18" s="28">
        <f t="shared" si="2"/>
        <v>42.185556386499485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62.9</v>
      </c>
      <c r="D21" s="30">
        <v>47.5</v>
      </c>
      <c r="E21" s="29">
        <f>D21/$D$48</f>
        <v>1.2449872880245329E-2</v>
      </c>
      <c r="F21" s="28">
        <f>C21-(C21*$E$6)</f>
        <v>62.581874922424944</v>
      </c>
      <c r="G21" s="27" t="str">
        <f>IF(C21&gt;=F21,"-","+")</f>
        <v>-</v>
      </c>
      <c r="H21" s="26">
        <f>C21*D21</f>
        <v>2987.75</v>
      </c>
      <c r="I21" s="26">
        <f>F21*D21</f>
        <v>2972.6390588151849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122.2</v>
      </c>
      <c r="E22" s="29">
        <f>D22/$D$48</f>
        <v>3.2028936125599559E-2</v>
      </c>
      <c r="F22" s="28">
        <f>C22-(C22*$E$6)</f>
        <v>41.986567912978266</v>
      </c>
      <c r="G22" s="27" t="str">
        <f>IF(C22&gt;=F22,"-","+")</f>
        <v>-</v>
      </c>
      <c r="H22" s="26">
        <f>C22*D22</f>
        <v>5156.84</v>
      </c>
      <c r="I22" s="26">
        <f>F22*D22</f>
        <v>5130.7585989659447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>
        <v>99.1</v>
      </c>
      <c r="E23" s="29">
        <f>D23/$D$48</f>
        <v>2.5974366366996043E-2</v>
      </c>
      <c r="F23" s="28">
        <f>C23-(C23*$E$6)</f>
        <v>38.305281152835619</v>
      </c>
      <c r="G23" s="27" t="str">
        <f>IF(C23&gt;=F23,"-","+")</f>
        <v>-</v>
      </c>
      <c r="H23" s="26">
        <f>C23*D23</f>
        <v>3815.35</v>
      </c>
      <c r="I23" s="26">
        <f>F23*D23</f>
        <v>3796.0533622460098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44.493824404761916</v>
      </c>
      <c r="D24" s="22">
        <f>SUM(D21:D23)</f>
        <v>268.79999999999995</v>
      </c>
      <c r="E24" s="21">
        <f>D24/$D$48</f>
        <v>7.0453175372840918E-2</v>
      </c>
      <c r="F24" s="20">
        <f>I24/D24</f>
        <v>44.268790997124782</v>
      </c>
      <c r="G24" s="19">
        <f>F24/C24-1</f>
        <v>-5.0576323938800183E-3</v>
      </c>
      <c r="H24" s="18">
        <f>SUM(H21:H23)</f>
        <v>11959.94</v>
      </c>
      <c r="I24" s="18">
        <f>SUM(I21:I23)</f>
        <v>11899.45102002714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33.6</v>
      </c>
      <c r="D26" s="30">
        <v>713.1</v>
      </c>
      <c r="E26" s="29">
        <f t="shared" ref="E26:E32" si="7">D26/$D$48</f>
        <v>0.18690535475585146</v>
      </c>
      <c r="F26" s="28">
        <f t="shared" ref="F26:F31" si="8">C26-(C26*$E$6)</f>
        <v>33.430063551565631</v>
      </c>
      <c r="G26" s="27" t="str">
        <f t="shared" ref="G26:G31" si="9">IF(C26&gt;=F26,"-","+")</f>
        <v>-</v>
      </c>
      <c r="H26" s="26">
        <f t="shared" ref="H26:H31" si="10">C26*D26</f>
        <v>23960.160000000003</v>
      </c>
      <c r="I26" s="26">
        <f t="shared" ref="I26:I31" si="11">F26*D26</f>
        <v>23838.978318621452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615.9</v>
      </c>
      <c r="E27" s="29">
        <f t="shared" si="7"/>
        <v>0.16142898330406522</v>
      </c>
      <c r="F27" s="28">
        <f t="shared" si="8"/>
        <v>29.748776791422987</v>
      </c>
      <c r="G27" s="27" t="str">
        <f t="shared" si="9"/>
        <v>-</v>
      </c>
      <c r="H27" s="26">
        <f t="shared" si="10"/>
        <v>18415.41</v>
      </c>
      <c r="I27" s="26">
        <f t="shared" si="11"/>
        <v>18322.271625837417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402.6</v>
      </c>
      <c r="E28" s="29">
        <f t="shared" si="7"/>
        <v>0.10552250150708989</v>
      </c>
      <c r="F28" s="28">
        <f t="shared" si="8"/>
        <v>29.748776791422987</v>
      </c>
      <c r="G28" s="27" t="str">
        <f t="shared" si="9"/>
        <v>-</v>
      </c>
      <c r="H28" s="26">
        <f t="shared" si="10"/>
        <v>12037.74</v>
      </c>
      <c r="I28" s="26">
        <f t="shared" si="11"/>
        <v>11976.857536226895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359.9</v>
      </c>
      <c r="E29" s="29">
        <f t="shared" si="7"/>
        <v>9.4330721044216706E-2</v>
      </c>
      <c r="F29" s="28">
        <f t="shared" si="8"/>
        <v>28.753834423816865</v>
      </c>
      <c r="G29" s="27" t="str">
        <f t="shared" si="9"/>
        <v>-</v>
      </c>
      <c r="H29" s="26">
        <f t="shared" si="10"/>
        <v>10401.109999999999</v>
      </c>
      <c r="I29" s="26">
        <f t="shared" si="11"/>
        <v>10348.50500913169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220.9</v>
      </c>
      <c r="E30" s="29">
        <f t="shared" si="7"/>
        <v>5.7898461457814597E-2</v>
      </c>
      <c r="F30" s="28">
        <f t="shared" si="8"/>
        <v>28.753834423816865</v>
      </c>
      <c r="G30" s="27" t="str">
        <f t="shared" si="9"/>
        <v>-</v>
      </c>
      <c r="H30" s="26">
        <f t="shared" si="10"/>
        <v>6384.01</v>
      </c>
      <c r="I30" s="26">
        <f t="shared" si="11"/>
        <v>6351.7220242211461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107.2</v>
      </c>
      <c r="E31" s="29">
        <f t="shared" si="7"/>
        <v>2.8097397321311564E-2</v>
      </c>
      <c r="F31" s="28">
        <f t="shared" si="8"/>
        <v>29.251305607619926</v>
      </c>
      <c r="G31" s="27" t="str">
        <f t="shared" si="9"/>
        <v>-</v>
      </c>
      <c r="H31" s="26">
        <f t="shared" si="10"/>
        <v>3151.68</v>
      </c>
      <c r="I31" s="26">
        <f t="shared" si="11"/>
        <v>3135.739961136856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30.728265002479748</v>
      </c>
      <c r="D32" s="22">
        <f>SUM(D26:D31)</f>
        <v>2419.6</v>
      </c>
      <c r="E32" s="21">
        <f t="shared" si="7"/>
        <v>0.63418341939034939</v>
      </c>
      <c r="F32" s="20">
        <f>I32/D32</f>
        <v>30.572852733995479</v>
      </c>
      <c r="G32" s="19">
        <f>F32/C32-1</f>
        <v>-5.0576323938800183E-3</v>
      </c>
      <c r="H32" s="18">
        <f>SUM(H26:H31)</f>
        <v>74350.11</v>
      </c>
      <c r="I32" s="18">
        <f>SUM(I26:I31)</f>
        <v>73974.074475175454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v>526.9</v>
      </c>
      <c r="E34" s="29">
        <f t="shared" ref="E34:E40" si="13">D34/$D$48</f>
        <v>0.13810185306528977</v>
      </c>
      <c r="F34" s="28">
        <f t="shared" ref="F34:F39" si="14">C34-(C34*$E$6)</f>
        <v>17.610479906628324</v>
      </c>
      <c r="G34" s="27" t="str">
        <f t="shared" ref="G34:G39" si="15">IF(C34&gt;=F34,"-","+")</f>
        <v>-</v>
      </c>
      <c r="H34" s="26">
        <f t="shared" ref="H34:H39" si="16">C34*D34</f>
        <v>9326.1299999999992</v>
      </c>
      <c r="I34" s="26">
        <f t="shared" ref="I34:I39" si="17">F34*D34</f>
        <v>9278.9618628024637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/>
      <c r="E35" s="29">
        <f t="shared" si="13"/>
        <v>0</v>
      </c>
      <c r="F35" s="28">
        <f t="shared" si="14"/>
        <v>13.531216199443232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10.844871806906708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28.753834423816865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28.753834423816865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29.748776791422987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17.7</v>
      </c>
      <c r="D40" s="22">
        <f>SUM(D34:D39)</f>
        <v>526.9</v>
      </c>
      <c r="E40" s="21">
        <f t="shared" si="13"/>
        <v>0.13810185306528977</v>
      </c>
      <c r="F40" s="20">
        <f>I40/D40</f>
        <v>17.610479906628324</v>
      </c>
      <c r="G40" s="19">
        <f>F40/C40-1</f>
        <v>-5.0576323938799073E-3</v>
      </c>
      <c r="H40" s="18">
        <f>SUM(H34:H39)</f>
        <v>9326.1299999999992</v>
      </c>
      <c r="I40" s="18">
        <f>SUM(I34:I39)</f>
        <v>9278.9618628024637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575</v>
      </c>
      <c r="E42" s="107">
        <f>D42/$D$48</f>
        <v>0.15070898749770661</v>
      </c>
      <c r="F42" s="28">
        <f>C42-(C42*$E$6)</f>
        <v>0.39797694704244801</v>
      </c>
      <c r="G42" s="27" t="str">
        <f>IF(C42&gt;=F42,"-","+")</f>
        <v>-</v>
      </c>
      <c r="H42" s="26">
        <f>C42*D42</f>
        <v>230</v>
      </c>
      <c r="I42" s="26">
        <f>F42*D42</f>
        <v>228.8367445494076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21.8</v>
      </c>
      <c r="E43" s="107">
        <f>D43/$D$48</f>
        <v>5.7138363955652246E-3</v>
      </c>
      <c r="F43" s="28">
        <f>C43-(C43*$E$6)</f>
        <v>0.39797694704244801</v>
      </c>
      <c r="G43" s="27" t="str">
        <f>IF(C43&gt;=F43,"-","+")</f>
        <v>-</v>
      </c>
      <c r="H43" s="26">
        <f>C43*D43</f>
        <v>8.7200000000000006</v>
      </c>
      <c r="I43" s="26">
        <f>F43*D43</f>
        <v>8.6758974455253668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3.2</v>
      </c>
      <c r="E45" s="107">
        <f>D45/$D$48</f>
        <v>8.3872827824810637E-4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0.39786666666666665</v>
      </c>
      <c r="D46" s="22">
        <f>SUM(D41:D45)</f>
        <v>600</v>
      </c>
      <c r="E46" s="21">
        <f>D46/$D$48</f>
        <v>0.15726155217151994</v>
      </c>
      <c r="F46" s="20">
        <f>I46/D46</f>
        <v>0.3958544033248883</v>
      </c>
      <c r="G46" s="19">
        <f>F46/C46-1</f>
        <v>-5.0576323938799073E-3</v>
      </c>
      <c r="H46" s="18">
        <f>SUM(H41:H44)</f>
        <v>238.72</v>
      </c>
      <c r="I46" s="18">
        <f>SUM(I41:I44)</f>
        <v>237.51264199493298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93.319956073908344</v>
      </c>
      <c r="D48" s="13">
        <f>D24+D32+D40+D46</f>
        <v>3815.2999999999997</v>
      </c>
      <c r="E48" s="12">
        <f>SUM(E20:E46)/2</f>
        <v>1</v>
      </c>
      <c r="F48" s="11">
        <f>I48/D48</f>
        <v>25.001965769402148</v>
      </c>
      <c r="G48" s="10"/>
      <c r="H48" s="9">
        <f>SUM(H20:H46)/2</f>
        <v>95874.900000000009</v>
      </c>
      <c r="I48" s="9">
        <f>SUM(I20:I46)/2</f>
        <v>95390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3815.2999999999993</v>
      </c>
      <c r="E50" s="12">
        <f>D50/G2</f>
        <v>0.99992137540622694</v>
      </c>
      <c r="F50" s="11">
        <f>I50/D50</f>
        <v>25.001965769402148</v>
      </c>
      <c r="G50" s="10"/>
      <c r="H50" s="9">
        <f>H48+H19</f>
        <v>95874.900000000009</v>
      </c>
      <c r="I50" s="9">
        <f>I48+I19</f>
        <v>95390</v>
      </c>
      <c r="J50" s="106">
        <f>D50-G2</f>
        <v>-0.30000000000063665</v>
      </c>
      <c r="K50" s="8"/>
    </row>
    <row r="51" spans="1:11" ht="23.25" x14ac:dyDescent="0.35">
      <c r="A51" s="168" t="s">
        <v>158</v>
      </c>
      <c r="B51" s="169"/>
      <c r="C51" s="170"/>
      <c r="G51" s="7"/>
      <c r="H51" s="6"/>
      <c r="I51" s="6">
        <f>+I50/D50</f>
        <v>25.001965769402148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159</v>
      </c>
      <c r="D1" s="100" t="s">
        <v>1</v>
      </c>
      <c r="E1" s="168" t="s">
        <v>97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160</v>
      </c>
      <c r="D2" s="96" t="s">
        <v>3</v>
      </c>
      <c r="E2" s="95" t="s">
        <v>71</v>
      </c>
      <c r="F2" s="94" t="s">
        <v>5</v>
      </c>
      <c r="G2" s="93">
        <v>19799.900000000001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216</v>
      </c>
      <c r="F3" s="88" t="s">
        <v>8</v>
      </c>
      <c r="G3" s="87">
        <v>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91.666203703703715</v>
      </c>
      <c r="F4" s="81" t="s">
        <v>12</v>
      </c>
      <c r="G4" s="80">
        <f>G2*G3</f>
        <v>514797.4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1.6060203352407654E-2</v>
      </c>
      <c r="F6" s="69" t="s">
        <v>16</v>
      </c>
      <c r="G6" s="68">
        <f>(I50-I19)/(D50-(SUM(D42:D44)+D19))</f>
        <v>30.904841662914599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 t="e">
        <f t="shared" ref="E10:E19" si="1">D10/$D$19</f>
        <v>#DIV/0!</v>
      </c>
      <c r="F10" s="28">
        <f t="shared" ref="F10:F18" si="2">C10-(C10*$E$6)</f>
        <v>25.582434712837401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/>
      <c r="E11" s="29" t="e">
        <f t="shared" si="1"/>
        <v>#DIV/0!</v>
      </c>
      <c r="F11" s="28">
        <f t="shared" si="2"/>
        <v>26.664768489149754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24.303312977195532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 t="e">
        <f t="shared" si="1"/>
        <v>#DIV/0!</v>
      </c>
      <c r="F13" s="28">
        <f t="shared" si="2"/>
        <v>26.664768489149754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 t="e">
        <f t="shared" si="1"/>
        <v>#DIV/0!</v>
      </c>
      <c r="F14" s="28">
        <f t="shared" si="2"/>
        <v>29.813375838422047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 t="e">
        <f t="shared" si="1"/>
        <v>#DIV/0!</v>
      </c>
      <c r="F15" s="28">
        <f t="shared" si="2"/>
        <v>24.598494916189807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/>
      <c r="E16" s="29" t="e">
        <f t="shared" si="1"/>
        <v>#DIV/0!</v>
      </c>
      <c r="F16" s="28">
        <f t="shared" si="2"/>
        <v>33.650741045347658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/>
      <c r="E17" s="29" t="e">
        <f t="shared" si="1"/>
        <v>#DIV/0!</v>
      </c>
      <c r="F17" s="28">
        <f t="shared" si="2"/>
        <v>49.49217177137389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 t="e">
        <f t="shared" si="1"/>
        <v>#DIV/0!</v>
      </c>
      <c r="F18" s="28">
        <f t="shared" si="2"/>
        <v>43.29335105249406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266.89999999999998</v>
      </c>
      <c r="E21" s="29">
        <f>D21/$D$48</f>
        <v>1.3480070304450592E-2</v>
      </c>
      <c r="F21" s="28">
        <f>C21-(C21*$E$6)</f>
        <v>64.349662700752546</v>
      </c>
      <c r="G21" s="27" t="str">
        <f>IF(C21&gt;=F21,"-","+")</f>
        <v>-</v>
      </c>
      <c r="H21" s="26">
        <f>C21*D21</f>
        <v>17455.259999999998</v>
      </c>
      <c r="I21" s="26">
        <f>F21*D21</f>
        <v>17174.924974830854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668.4</v>
      </c>
      <c r="E22" s="29">
        <f>D22/$D$48</f>
        <v>3.3758257742580657E-2</v>
      </c>
      <c r="F22" s="28">
        <f>C22-(C22*$E$6)</f>
        <v>43.194957072829304</v>
      </c>
      <c r="G22" s="27" t="str">
        <f>IF(C22&gt;=F22,"-","+")</f>
        <v>-</v>
      </c>
      <c r="H22" s="26">
        <f>C22*D22</f>
        <v>29342.76</v>
      </c>
      <c r="I22" s="26">
        <f>F22*D22</f>
        <v>28871.509307479108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507.3</v>
      </c>
      <c r="E23" s="29">
        <f>D23/$D$48</f>
        <v>2.5621729731913775E-2</v>
      </c>
      <c r="F23" s="28">
        <f>C23-(C23*$E$6)</f>
        <v>39.357591865903693</v>
      </c>
      <c r="G23" s="27" t="str">
        <f>IF(C23&gt;=F23,"-","+")</f>
        <v>-</v>
      </c>
      <c r="H23" s="26">
        <f>C23*D23</f>
        <v>20292</v>
      </c>
      <c r="I23" s="26">
        <f>F23*D23</f>
        <v>19966.106353572944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46.506321918757791</v>
      </c>
      <c r="D24" s="22">
        <f>SUM(D21:D23)</f>
        <v>1442.6</v>
      </c>
      <c r="E24" s="21">
        <f>D24/$D$48</f>
        <v>7.2860057778945012E-2</v>
      </c>
      <c r="F24" s="20">
        <f>I24/D24</f>
        <v>45.75942093157002</v>
      </c>
      <c r="G24" s="19">
        <f>F24/C24-1</f>
        <v>-1.6060203352407432E-2</v>
      </c>
      <c r="H24" s="18">
        <f>SUM(H21:H23)</f>
        <v>67090.01999999999</v>
      </c>
      <c r="I24" s="18">
        <f>SUM(I21:I23)</f>
        <v>66012.540635882906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v>3988.4</v>
      </c>
      <c r="E26" s="29">
        <f t="shared" ref="E26:E32" si="7">D26/$D$48</f>
        <v>0.20143841289723022</v>
      </c>
      <c r="F26" s="28">
        <f t="shared" ref="F26:F31" si="8">C26-(C26*$E$6)</f>
        <v>34.339498903000973</v>
      </c>
      <c r="G26" s="27" t="str">
        <f t="shared" ref="G26:G31" si="9">IF(C26&gt;=F26,"-","+")</f>
        <v>-</v>
      </c>
      <c r="H26" s="26">
        <f t="shared" ref="H26:H31" si="10">C26*D26</f>
        <v>139195.16</v>
      </c>
      <c r="I26" s="26">
        <f t="shared" ref="I26:I31" si="11">F26*D26</f>
        <v>136959.65742472908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2853.2</v>
      </c>
      <c r="E27" s="29">
        <f t="shared" si="7"/>
        <v>0.1441039212913392</v>
      </c>
      <c r="F27" s="28">
        <f t="shared" si="8"/>
        <v>30.600527675740125</v>
      </c>
      <c r="G27" s="27" t="str">
        <f t="shared" si="9"/>
        <v>-</v>
      </c>
      <c r="H27" s="26">
        <f t="shared" si="10"/>
        <v>88734.52</v>
      </c>
      <c r="I27" s="26">
        <f t="shared" si="11"/>
        <v>87309.425564421719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2140.4</v>
      </c>
      <c r="E28" s="29">
        <f t="shared" si="7"/>
        <v>0.10810319400391927</v>
      </c>
      <c r="F28" s="28">
        <f t="shared" si="8"/>
        <v>30.600527675740125</v>
      </c>
      <c r="G28" s="27" t="str">
        <f t="shared" si="9"/>
        <v>-</v>
      </c>
      <c r="H28" s="26">
        <f t="shared" si="10"/>
        <v>66566.44</v>
      </c>
      <c r="I28" s="26">
        <f t="shared" si="11"/>
        <v>65497.369437154164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2218.5</v>
      </c>
      <c r="E29" s="29">
        <f t="shared" si="7"/>
        <v>0.1120477181357199</v>
      </c>
      <c r="F29" s="28">
        <f t="shared" si="8"/>
        <v>29.518193899427771</v>
      </c>
      <c r="G29" s="27" t="str">
        <f t="shared" si="9"/>
        <v>-</v>
      </c>
      <c r="H29" s="26">
        <f t="shared" si="10"/>
        <v>66555</v>
      </c>
      <c r="I29" s="26">
        <f t="shared" si="11"/>
        <v>65486.11316588051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1143.7</v>
      </c>
      <c r="E30" s="29">
        <f t="shared" si="7"/>
        <v>5.7763793207943594E-2</v>
      </c>
      <c r="F30" s="28">
        <f t="shared" si="8"/>
        <v>29.518193899427771</v>
      </c>
      <c r="G30" s="27" t="str">
        <f t="shared" si="9"/>
        <v>-</v>
      </c>
      <c r="H30" s="26">
        <f t="shared" si="10"/>
        <v>34311</v>
      </c>
      <c r="I30" s="26">
        <f t="shared" si="11"/>
        <v>33759.958362775542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557.6</v>
      </c>
      <c r="E31" s="29">
        <f t="shared" si="7"/>
        <v>2.8162185094648375E-2</v>
      </c>
      <c r="F31" s="28">
        <f t="shared" si="8"/>
        <v>30.108557777416326</v>
      </c>
      <c r="G31" s="27" t="str">
        <f t="shared" si="9"/>
        <v>-</v>
      </c>
      <c r="H31" s="26">
        <f t="shared" si="10"/>
        <v>17062.560000000001</v>
      </c>
      <c r="I31" s="26">
        <f t="shared" si="11"/>
        <v>16788.531816687344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31.966444992171631</v>
      </c>
      <c r="D32" s="22">
        <f>SUM(D26:D31)</f>
        <v>12901.800000000001</v>
      </c>
      <c r="E32" s="21">
        <f t="shared" si="7"/>
        <v>0.65161922463080058</v>
      </c>
      <c r="F32" s="20">
        <f>I32/D32</f>
        <v>31.453057385143804</v>
      </c>
      <c r="G32" s="19">
        <f>F32/C32-1</f>
        <v>-1.6060203352407543E-2</v>
      </c>
      <c r="H32" s="18">
        <f>SUM(H26:H31)</f>
        <v>412424.68</v>
      </c>
      <c r="I32" s="18">
        <f>SUM(I26:I31)</f>
        <v>405801.05577164836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v>2305.9</v>
      </c>
      <c r="E34" s="29">
        <f t="shared" ref="E34:E40" si="13">D34/$D$48</f>
        <v>0.11646194872623689</v>
      </c>
      <c r="F34" s="28">
        <f t="shared" ref="F34:F39" si="14">C34-(C34*$E$6)</f>
        <v>18.104492258315698</v>
      </c>
      <c r="G34" s="27" t="str">
        <f t="shared" ref="G34:G39" si="15">IF(C34&gt;=F34,"-","+")</f>
        <v>-</v>
      </c>
      <c r="H34" s="26">
        <f t="shared" ref="H34:H39" si="16">C34*D34</f>
        <v>42428.56</v>
      </c>
      <c r="I34" s="26">
        <f t="shared" ref="I34:I39" si="17">F34*D34</f>
        <v>41747.148698450168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13.873551132731052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11.216913681782554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29.518193899427771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29.518193899427771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30.600527675740125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18.399999999999999</v>
      </c>
      <c r="D40" s="22">
        <f>SUM(D34:D39)</f>
        <v>2305.9</v>
      </c>
      <c r="E40" s="21">
        <f t="shared" si="13"/>
        <v>0.11646194872623689</v>
      </c>
      <c r="F40" s="20">
        <f>I40/D40</f>
        <v>18.104492258315698</v>
      </c>
      <c r="G40" s="19">
        <f>F40/C40-1</f>
        <v>-1.6060203352407654E-2</v>
      </c>
      <c r="H40" s="18">
        <f>SUM(H34:H39)</f>
        <v>42428.56</v>
      </c>
      <c r="I40" s="18">
        <f>SUM(I34:I39)</f>
        <v>41747.148698450168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3037</v>
      </c>
      <c r="E42" s="107">
        <f>D42/$D$48</f>
        <v>0.15338693710984058</v>
      </c>
      <c r="F42" s="28">
        <f>C42-(C42*$E$6)</f>
        <v>0.39357591865903696</v>
      </c>
      <c r="G42" s="27" t="str">
        <f>IF(C42&gt;=F42,"-","+")</f>
        <v>-</v>
      </c>
      <c r="H42" s="26">
        <f>C42*D42</f>
        <v>1214.8</v>
      </c>
      <c r="I42" s="26">
        <f>F42*D42</f>
        <v>1195.2900649674953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105.1</v>
      </c>
      <c r="E43" s="107">
        <f>D43/$D$48</f>
        <v>5.3081880442029123E-3</v>
      </c>
      <c r="F43" s="28">
        <f>C43-(C43*$E$6)</f>
        <v>0.39357591865903696</v>
      </c>
      <c r="G43" s="27" t="str">
        <f>IF(C43&gt;=F43,"-","+")</f>
        <v>-</v>
      </c>
      <c r="H43" s="26">
        <f>C43*D43</f>
        <v>42.04</v>
      </c>
      <c r="I43" s="26">
        <f>F43*D43</f>
        <v>41.364829051064781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7.2</v>
      </c>
      <c r="E45" s="107">
        <f>D45/$D$48</f>
        <v>3.6364370997393883E-4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0.39908551106595119</v>
      </c>
      <c r="D46" s="22">
        <f>SUM(D41:D45)</f>
        <v>3149.2999999999997</v>
      </c>
      <c r="E46" s="21">
        <f>D46/$D$48</f>
        <v>0.15905876886401743</v>
      </c>
      <c r="F46" s="20">
        <f>I46/D46</f>
        <v>0.39267611660323254</v>
      </c>
      <c r="G46" s="19">
        <f>F46/C46-1</f>
        <v>-1.6060203352407543E-2</v>
      </c>
      <c r="H46" s="18">
        <f>SUM(H41:H44)</f>
        <v>1256.8399999999999</v>
      </c>
      <c r="I46" s="18">
        <f>SUM(I41:I44)</f>
        <v>1236.6548940185601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97.271852421995362</v>
      </c>
      <c r="D48" s="13">
        <f>D24+D32+D40+D46</f>
        <v>19799.600000000002</v>
      </c>
      <c r="E48" s="12">
        <f>SUM(E20:E46)/2</f>
        <v>0.99999999999999989</v>
      </c>
      <c r="F48" s="11">
        <f>I48/D48</f>
        <v>26.000393947352471</v>
      </c>
      <c r="G48" s="10"/>
      <c r="H48" s="9">
        <f>SUM(H20:H46)/2</f>
        <v>523200.10000000003</v>
      </c>
      <c r="I48" s="9">
        <f>SUM(I20:I46)/2</f>
        <v>514797.4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19799.600000000002</v>
      </c>
      <c r="E50" s="12">
        <f>D50/G2</f>
        <v>0.99998484840832536</v>
      </c>
      <c r="F50" s="11">
        <f>I50/D50</f>
        <v>26.000393947352471</v>
      </c>
      <c r="G50" s="10"/>
      <c r="H50" s="9">
        <f>H48+H19</f>
        <v>523200.10000000003</v>
      </c>
      <c r="I50" s="9">
        <f>I48+I19</f>
        <v>514797.4</v>
      </c>
      <c r="J50" s="106">
        <f>D50-G2</f>
        <v>-0.2999999999992724</v>
      </c>
      <c r="K50" s="8"/>
    </row>
    <row r="51" spans="1:11" ht="23.25" x14ac:dyDescent="0.35">
      <c r="A51" s="168" t="s">
        <v>161</v>
      </c>
      <c r="B51" s="169"/>
      <c r="C51" s="170"/>
      <c r="G51" s="7"/>
      <c r="H51" s="6"/>
      <c r="I51" s="6">
        <f>+I50/D50</f>
        <v>26.000393947352471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162</v>
      </c>
      <c r="D1" s="100" t="s">
        <v>1</v>
      </c>
      <c r="E1" s="168" t="s">
        <v>97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163</v>
      </c>
      <c r="D2" s="96" t="s">
        <v>3</v>
      </c>
      <c r="E2" s="95" t="s">
        <v>71</v>
      </c>
      <c r="F2" s="94" t="s">
        <v>5</v>
      </c>
      <c r="G2" s="93">
        <v>21577.8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240</v>
      </c>
      <c r="F3" s="88" t="s">
        <v>8</v>
      </c>
      <c r="G3" s="87">
        <v>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89.907499999999999</v>
      </c>
      <c r="F4" s="81" t="s">
        <v>12</v>
      </c>
      <c r="G4" s="80">
        <f>G2*G3</f>
        <v>561022.79999999993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1.9867115105535071E-2</v>
      </c>
      <c r="F6" s="69" t="s">
        <v>16</v>
      </c>
      <c r="G6" s="68">
        <f>(I50-I19)/(D50-(SUM(D42:D44)+D19))</f>
        <v>30.986832512206433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 t="e">
        <f t="shared" ref="E10:E19" si="1">D10/$D$19</f>
        <v>#DIV/0!</v>
      </c>
      <c r="F10" s="28">
        <f t="shared" ref="F10:F18" si="2">C10-(C10*$E$6)</f>
        <v>25.483455007256087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/>
      <c r="E11" s="29" t="e">
        <f t="shared" si="1"/>
        <v>#DIV/0!</v>
      </c>
      <c r="F11" s="28">
        <f t="shared" si="2"/>
        <v>26.56160118064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24.209282256893282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 t="e">
        <f t="shared" si="1"/>
        <v>#DIV/0!</v>
      </c>
      <c r="F13" s="28">
        <f t="shared" si="2"/>
        <v>26.56160118064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 t="e">
        <f t="shared" si="1"/>
        <v>#DIV/0!</v>
      </c>
      <c r="F14" s="28">
        <f t="shared" si="2"/>
        <v>29.698026412302287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 t="e">
        <f t="shared" si="1"/>
        <v>#DIV/0!</v>
      </c>
      <c r="F15" s="28">
        <f t="shared" si="2"/>
        <v>24.503322122361624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/>
      <c r="E16" s="29" t="e">
        <f t="shared" si="1"/>
        <v>#DIV/0!</v>
      </c>
      <c r="F16" s="28">
        <f t="shared" si="2"/>
        <v>33.520544663390702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/>
      <c r="E17" s="29" t="e">
        <f t="shared" si="1"/>
        <v>#DIV/0!</v>
      </c>
      <c r="F17" s="28">
        <f t="shared" si="2"/>
        <v>49.300684110191582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 t="e">
        <f t="shared" si="1"/>
        <v>#DIV/0!</v>
      </c>
      <c r="F18" s="28">
        <f t="shared" si="2"/>
        <v>43.125846935356456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298</v>
      </c>
      <c r="E21" s="29">
        <f>D21/$D$48</f>
        <v>1.381049041144139E-2</v>
      </c>
      <c r="F21" s="28">
        <f>C21-(C21*$E$6)</f>
        <v>64.100690672098011</v>
      </c>
      <c r="G21" s="27" t="str">
        <f>IF(C21&gt;=F21,"-","+")</f>
        <v>-</v>
      </c>
      <c r="H21" s="26">
        <f>C21*D21</f>
        <v>19489.2</v>
      </c>
      <c r="I21" s="26">
        <f>F21*D21</f>
        <v>19102.005820285209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700.8</v>
      </c>
      <c r="E22" s="29">
        <f>D22/$D$48</f>
        <v>3.2477824430664846E-2</v>
      </c>
      <c r="F22" s="28">
        <f>C22-(C22*$E$6)</f>
        <v>43.027833646867009</v>
      </c>
      <c r="G22" s="27" t="str">
        <f>IF(C22&gt;=F22,"-","+")</f>
        <v>-</v>
      </c>
      <c r="H22" s="26">
        <f>C22*D22</f>
        <v>30765.119999999995</v>
      </c>
      <c r="I22" s="26">
        <f>F22*D22</f>
        <v>30153.905819724398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558.1</v>
      </c>
      <c r="E23" s="29">
        <f>D23/$D$48</f>
        <v>2.5864545968541743E-2</v>
      </c>
      <c r="F23" s="28">
        <f>C23-(C23*$E$6)</f>
        <v>39.205315395778598</v>
      </c>
      <c r="G23" s="27" t="str">
        <f>IF(C23&gt;=F23,"-","+")</f>
        <v>-</v>
      </c>
      <c r="H23" s="26">
        <f>C23*D23</f>
        <v>22324</v>
      </c>
      <c r="I23" s="26">
        <f>F23*D23</f>
        <v>21880.486522384035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46.617200847838646</v>
      </c>
      <c r="D24" s="22">
        <f>SUM(D21:D23)</f>
        <v>1556.9</v>
      </c>
      <c r="E24" s="21">
        <f>D24/$D$48</f>
        <v>7.2152860810647992E-2</v>
      </c>
      <c r="F24" s="20">
        <f>I24/D24</f>
        <v>45.691051552696791</v>
      </c>
      <c r="G24" s="19">
        <f>F24/C24-1</f>
        <v>-1.986711510553496E-2</v>
      </c>
      <c r="H24" s="18">
        <f>SUM(H21:H23)</f>
        <v>72578.319999999992</v>
      </c>
      <c r="I24" s="18">
        <f>SUM(I21:I23)</f>
        <v>71136.398162393642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v>4362.1000000000004</v>
      </c>
      <c r="E26" s="29">
        <f t="shared" ref="E26:E32" si="7">D26/$D$48</f>
        <v>0.20215684638841774</v>
      </c>
      <c r="F26" s="28">
        <f t="shared" ref="F26:F31" si="8">C26-(C26*$E$6)</f>
        <v>34.206637682816826</v>
      </c>
      <c r="G26" s="27" t="str">
        <f t="shared" ref="G26:G31" si="9">IF(C26&gt;=F26,"-","+")</f>
        <v>-</v>
      </c>
      <c r="H26" s="26">
        <f t="shared" ref="H26:H31" si="10">C26*D26</f>
        <v>152237.29</v>
      </c>
      <c r="I26" s="26">
        <f t="shared" ref="I26:I31" si="11">F26*D26</f>
        <v>149212.77423621528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3491.6</v>
      </c>
      <c r="E27" s="29">
        <f t="shared" si="7"/>
        <v>0.16181445745164011</v>
      </c>
      <c r="F27" s="28">
        <f t="shared" si="8"/>
        <v>30.482132720217862</v>
      </c>
      <c r="G27" s="27" t="str">
        <f t="shared" si="9"/>
        <v>-</v>
      </c>
      <c r="H27" s="26">
        <f t="shared" si="10"/>
        <v>108588.76000000001</v>
      </c>
      <c r="I27" s="26">
        <f t="shared" si="11"/>
        <v>106431.41460591268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2405.4</v>
      </c>
      <c r="E28" s="29">
        <f t="shared" si="7"/>
        <v>0.11147568334121181</v>
      </c>
      <c r="F28" s="28">
        <f t="shared" si="8"/>
        <v>30.482132720217862</v>
      </c>
      <c r="G28" s="27" t="str">
        <f t="shared" si="9"/>
        <v>-</v>
      </c>
      <c r="H28" s="26">
        <f t="shared" si="10"/>
        <v>74807.94</v>
      </c>
      <c r="I28" s="26">
        <f t="shared" si="11"/>
        <v>73321.722045212053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2142.1</v>
      </c>
      <c r="E29" s="29">
        <f t="shared" si="7"/>
        <v>9.927332721593489E-2</v>
      </c>
      <c r="F29" s="28">
        <f t="shared" si="8"/>
        <v>29.403986546833949</v>
      </c>
      <c r="G29" s="27" t="str">
        <f t="shared" si="9"/>
        <v>-</v>
      </c>
      <c r="H29" s="26">
        <f t="shared" si="10"/>
        <v>64263</v>
      </c>
      <c r="I29" s="26">
        <f t="shared" si="11"/>
        <v>62986.279581973002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1266.8</v>
      </c>
      <c r="E30" s="29">
        <f t="shared" si="7"/>
        <v>5.8708487426892456E-2</v>
      </c>
      <c r="F30" s="28">
        <f t="shared" si="8"/>
        <v>29.403986546833949</v>
      </c>
      <c r="G30" s="27" t="str">
        <f t="shared" si="9"/>
        <v>-</v>
      </c>
      <c r="H30" s="26">
        <f t="shared" si="10"/>
        <v>38004</v>
      </c>
      <c r="I30" s="26">
        <f t="shared" si="11"/>
        <v>37248.970157529242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624.20000000000005</v>
      </c>
      <c r="E31" s="29">
        <f t="shared" si="7"/>
        <v>2.8927879579938642E-2</v>
      </c>
      <c r="F31" s="28">
        <f t="shared" si="8"/>
        <v>29.992066277770629</v>
      </c>
      <c r="G31" s="27" t="str">
        <f t="shared" si="9"/>
        <v>-</v>
      </c>
      <c r="H31" s="26">
        <f t="shared" si="10"/>
        <v>19100.520000000004</v>
      </c>
      <c r="I31" s="26">
        <f t="shared" si="11"/>
        <v>18721.047770584428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31.975588782692657</v>
      </c>
      <c r="D32" s="22">
        <f>SUM(D26:D31)</f>
        <v>14292.2</v>
      </c>
      <c r="E32" s="21">
        <f t="shared" si="7"/>
        <v>0.6623566814040357</v>
      </c>
      <c r="F32" s="20">
        <f>I32/D32</f>
        <v>31.340326079779643</v>
      </c>
      <c r="G32" s="19">
        <f>F32/C32-1</f>
        <v>-1.9867115105535182E-2</v>
      </c>
      <c r="H32" s="18">
        <f>SUM(H26:H31)</f>
        <v>457001.51</v>
      </c>
      <c r="I32" s="18">
        <f>SUM(I26:I31)</f>
        <v>447922.20839742664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v>2251.4</v>
      </c>
      <c r="E34" s="29">
        <f t="shared" ref="E34:E40" si="13">D34/$D$48</f>
        <v>0.10433871849771525</v>
      </c>
      <c r="F34" s="28">
        <f t="shared" ref="F34:F39" si="14">C34-(C34*$E$6)</f>
        <v>18.034445082058152</v>
      </c>
      <c r="G34" s="27" t="str">
        <f t="shared" ref="G34:G39" si="15">IF(C34&gt;=F34,"-","+")</f>
        <v>-</v>
      </c>
      <c r="H34" s="26">
        <f t="shared" ref="H34:H39" si="16">C34*D34</f>
        <v>41425.760000000002</v>
      </c>
      <c r="I34" s="26">
        <f t="shared" ref="I34:I39" si="17">F34*D34</f>
        <v>40602.749657745728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13.819873677011955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11.1735148877969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29.403986546833949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29.403986546833949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30.482132720217862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18.399999999999999</v>
      </c>
      <c r="D40" s="22">
        <f>SUM(D34:D39)</f>
        <v>2251.4</v>
      </c>
      <c r="E40" s="21">
        <f t="shared" si="13"/>
        <v>0.10433871849771525</v>
      </c>
      <c r="F40" s="20">
        <f>I40/D40</f>
        <v>18.034445082058152</v>
      </c>
      <c r="G40" s="19">
        <f>F40/C40-1</f>
        <v>-1.9867115105535182E-2</v>
      </c>
      <c r="H40" s="18">
        <f>SUM(H34:H39)</f>
        <v>41425.760000000002</v>
      </c>
      <c r="I40" s="18">
        <f>SUM(I34:I39)</f>
        <v>40602.749657745728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3320</v>
      </c>
      <c r="E42" s="107">
        <f>D42/$D$48</f>
        <v>0.15386183948317253</v>
      </c>
      <c r="F42" s="28">
        <f>C42-(C42*$E$6)</f>
        <v>0.392053153957786</v>
      </c>
      <c r="G42" s="27" t="str">
        <f>IF(C42&gt;=F42,"-","+")</f>
        <v>-</v>
      </c>
      <c r="H42" s="26">
        <f>C42*D42</f>
        <v>1328</v>
      </c>
      <c r="I42" s="26">
        <f>F42*D42</f>
        <v>1301.6164711398496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152.6</v>
      </c>
      <c r="E43" s="107">
        <f>D43/$D$48</f>
        <v>7.0720833449193152E-3</v>
      </c>
      <c r="F43" s="28">
        <f>C43-(C43*$E$6)</f>
        <v>0.392053153957786</v>
      </c>
      <c r="G43" s="27" t="str">
        <f>IF(C43&gt;=F43,"-","+")</f>
        <v>-</v>
      </c>
      <c r="H43" s="26">
        <f>C43*D43</f>
        <v>61.04</v>
      </c>
      <c r="I43" s="26">
        <f>F43*D43</f>
        <v>59.82731129395814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2.178164595093105E-4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0.39945935064561588</v>
      </c>
      <c r="D46" s="22">
        <f>SUM(D41:D45)</f>
        <v>3477.2999999999997</v>
      </c>
      <c r="E46" s="21">
        <f>D46/$D$48</f>
        <v>0.16115173928760113</v>
      </c>
      <c r="F46" s="20">
        <f>I46/D46</f>
        <v>0.39152324574635722</v>
      </c>
      <c r="G46" s="19">
        <f>F46/C46-1</f>
        <v>-1.9867115105534849E-2</v>
      </c>
      <c r="H46" s="18">
        <f>SUM(H41:H44)</f>
        <v>1389.04</v>
      </c>
      <c r="I46" s="18">
        <f>SUM(I41:I44)</f>
        <v>1361.4437824338079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97.392248981176905</v>
      </c>
      <c r="D48" s="13">
        <f>D24+D32+D40+D46</f>
        <v>21577.8</v>
      </c>
      <c r="E48" s="12">
        <f>SUM(E20:E46)/2</f>
        <v>1.0000000000000002</v>
      </c>
      <c r="F48" s="11">
        <f>I48/D48</f>
        <v>25.999999999999996</v>
      </c>
      <c r="G48" s="10"/>
      <c r="H48" s="9">
        <f>SUM(H20:H46)/2</f>
        <v>572394.63000000012</v>
      </c>
      <c r="I48" s="9">
        <f>SUM(I20:I46)/2</f>
        <v>561022.79999999993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21577.8</v>
      </c>
      <c r="E50" s="12">
        <f>D50/G2</f>
        <v>1</v>
      </c>
      <c r="F50" s="11">
        <f>I50/D50</f>
        <v>25.999999999999996</v>
      </c>
      <c r="G50" s="10"/>
      <c r="H50" s="9">
        <f>H48+H19</f>
        <v>572394.63000000012</v>
      </c>
      <c r="I50" s="9">
        <f>I48+I19</f>
        <v>561022.79999999993</v>
      </c>
      <c r="J50" s="106">
        <f>D50-G2</f>
        <v>0</v>
      </c>
      <c r="K50" s="8"/>
    </row>
    <row r="51" spans="1:11" ht="23.25" x14ac:dyDescent="0.35">
      <c r="A51" s="168" t="s">
        <v>164</v>
      </c>
      <c r="B51" s="169"/>
      <c r="C51" s="170"/>
      <c r="G51" s="7"/>
      <c r="H51" s="6"/>
      <c r="I51" s="6">
        <f>+I50/D50</f>
        <v>25.999999999999996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</sheetPr>
  <dimension ref="A1:K56"/>
  <sheetViews>
    <sheetView topLeftCell="A3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165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167</v>
      </c>
      <c r="D2" s="96" t="s">
        <v>3</v>
      </c>
      <c r="E2" s="95" t="s">
        <v>71</v>
      </c>
      <c r="F2" s="94" t="s">
        <v>5</v>
      </c>
      <c r="G2" s="93">
        <v>16964.3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192</v>
      </c>
      <c r="F3" s="88" t="s">
        <v>8</v>
      </c>
      <c r="G3" s="87">
        <v>25.9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88.355729166666663</v>
      </c>
      <c r="F4" s="81" t="s">
        <v>12</v>
      </c>
      <c r="G4" s="80">
        <f>G2*G3</f>
        <v>439375.36999999994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1.8162328818301932E-3</v>
      </c>
      <c r="F6" s="69" t="s">
        <v>16</v>
      </c>
      <c r="G6" s="68">
        <f>(I50-I19)/(D50-(SUM(D42:D44)+D19))</f>
        <v>31.252471388230951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25.852959568360596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26.950961712190583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24.6</v>
      </c>
      <c r="D12" s="30"/>
      <c r="E12" s="29" t="e">
        <f t="shared" si="1"/>
        <v>#DIV/0!</v>
      </c>
      <c r="F12" s="28">
        <f t="shared" si="2"/>
        <v>24.55532067110698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26.950961712190583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/>
      <c r="E14" s="29" t="e">
        <f t="shared" si="1"/>
        <v>#DIV/0!</v>
      </c>
      <c r="F14" s="28">
        <f t="shared" si="2"/>
        <v>30.145149766968728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24.854775801242425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</v>
      </c>
      <c r="D16" s="30"/>
      <c r="E16" s="29" t="e">
        <f t="shared" si="1"/>
        <v>#DIV/0!</v>
      </c>
      <c r="F16" s="28">
        <f t="shared" si="2"/>
        <v>33.938248082017772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50.1</v>
      </c>
      <c r="D17" s="30"/>
      <c r="E17" s="29" t="e">
        <f t="shared" si="1"/>
        <v>#DIV/0!</v>
      </c>
      <c r="F17" s="28">
        <f t="shared" si="2"/>
        <v>50.009006732620307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43.9</v>
      </c>
      <c r="D18" s="30"/>
      <c r="E18" s="29" t="e">
        <f t="shared" si="1"/>
        <v>#DIV/0!</v>
      </c>
      <c r="F18" s="28">
        <f t="shared" si="2"/>
        <v>43.820267376487656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65.099999999999994</v>
      </c>
      <c r="D21" s="30">
        <v>234.2</v>
      </c>
      <c r="E21" s="29">
        <f>D21/$D$48</f>
        <v>1.3805462058558267E-2</v>
      </c>
      <c r="F21" s="28">
        <f>C21-(C21*$E$6)</f>
        <v>64.981763239392848</v>
      </c>
      <c r="G21" s="27" t="str">
        <f>IF(C21&gt;=F21,"-","+")</f>
        <v>-</v>
      </c>
      <c r="H21" s="26">
        <f>C21*D21</f>
        <v>15246.419999999998</v>
      </c>
      <c r="I21" s="26">
        <f>F21*D21</f>
        <v>15218.728950665803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43.7</v>
      </c>
      <c r="D22" s="30">
        <v>582</v>
      </c>
      <c r="E22" s="29">
        <f>D22/$D$48</f>
        <v>3.4307339530661451E-2</v>
      </c>
      <c r="F22" s="28">
        <f>C22-(C22*$E$6)</f>
        <v>43.620630623064024</v>
      </c>
      <c r="G22" s="27" t="str">
        <f>IF(C22&gt;=F22,"-","+")</f>
        <v>-</v>
      </c>
      <c r="H22" s="26">
        <f>C22*D22</f>
        <v>25433.4</v>
      </c>
      <c r="I22" s="26">
        <f>F22*D22</f>
        <v>25387.207022623261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39.9</v>
      </c>
      <c r="D23" s="30">
        <v>420.8</v>
      </c>
      <c r="E23" s="29">
        <f>D23/$D$48</f>
        <v>2.4805031743131166E-2</v>
      </c>
      <c r="F23" s="28">
        <f>C23-(C23*$E$6)</f>
        <v>39.827532308014973</v>
      </c>
      <c r="G23" s="27" t="str">
        <f>IF(C23&gt;=F23,"-","+")</f>
        <v>-</v>
      </c>
      <c r="H23" s="26">
        <f>C23*D23</f>
        <v>16789.919999999998</v>
      </c>
      <c r="I23" s="26">
        <f>F23*D23</f>
        <v>16759.425595212702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46.458965238480189</v>
      </c>
      <c r="D24" s="22">
        <f>SUM(D21:D23)</f>
        <v>1237</v>
      </c>
      <c r="E24" s="21">
        <f>D24/$D$48</f>
        <v>7.2917833332350884E-2</v>
      </c>
      <c r="F24" s="20">
        <f>I24/D24</f>
        <v>46.374584938158264</v>
      </c>
      <c r="G24" s="19">
        <f>F24/C24-1</f>
        <v>-1.8162328818299711E-3</v>
      </c>
      <c r="H24" s="18">
        <f>SUM(H21:H23)</f>
        <v>57469.74</v>
      </c>
      <c r="I24" s="18">
        <f>SUM(I21:I23)</f>
        <v>57365.361568501772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34.799999999999997</v>
      </c>
      <c r="D26" s="30">
        <f>3006+279.4</f>
        <v>3285.4</v>
      </c>
      <c r="E26" s="29">
        <f t="shared" ref="E26:E32" si="7">D26/$D$48</f>
        <v>0.19366552112377169</v>
      </c>
      <c r="F26" s="28">
        <f t="shared" ref="F26:F31" si="8">C26-(C26*$E$6)</f>
        <v>34.73679509571231</v>
      </c>
      <c r="G26" s="27" t="str">
        <f t="shared" ref="G26:G31" si="9">IF(C26&gt;=F26,"-","+")</f>
        <v>-</v>
      </c>
      <c r="H26" s="26">
        <f t="shared" ref="H26:H31" si="10">C26*D26</f>
        <v>114331.92</v>
      </c>
      <c r="I26" s="26">
        <f t="shared" ref="I26:I31" si="11">F26*D26</f>
        <v>114124.26660745323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v>2689.2</v>
      </c>
      <c r="E27" s="29">
        <f t="shared" si="7"/>
        <v>0.15852112966641713</v>
      </c>
      <c r="F27" s="28">
        <f t="shared" si="8"/>
        <v>30.943696780663263</v>
      </c>
      <c r="G27" s="27" t="str">
        <f t="shared" si="9"/>
        <v>-</v>
      </c>
      <c r="H27" s="26">
        <f t="shared" si="10"/>
        <v>83365.2</v>
      </c>
      <c r="I27" s="26">
        <f t="shared" si="11"/>
        <v>83213.78938255964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v>1840.4</v>
      </c>
      <c r="E28" s="29">
        <f t="shared" si="7"/>
        <v>0.10848664548493013</v>
      </c>
      <c r="F28" s="28">
        <f t="shared" si="8"/>
        <v>30.943696780663263</v>
      </c>
      <c r="G28" s="27" t="str">
        <f t="shared" si="9"/>
        <v>-</v>
      </c>
      <c r="H28" s="26">
        <f t="shared" si="10"/>
        <v>57052.4</v>
      </c>
      <c r="I28" s="26">
        <f t="shared" si="11"/>
        <v>56948.779555132671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29.9</v>
      </c>
      <c r="D29" s="30">
        <v>1571</v>
      </c>
      <c r="E29" s="29">
        <f t="shared" si="7"/>
        <v>9.2606237805273425E-2</v>
      </c>
      <c r="F29" s="28">
        <f t="shared" si="8"/>
        <v>29.845694636833276</v>
      </c>
      <c r="G29" s="27" t="str">
        <f t="shared" si="9"/>
        <v>-</v>
      </c>
      <c r="H29" s="26">
        <f t="shared" si="10"/>
        <v>46972.899999999994</v>
      </c>
      <c r="I29" s="26">
        <f t="shared" si="11"/>
        <v>46887.586274465073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29.9</v>
      </c>
      <c r="D30" s="30">
        <v>1006</v>
      </c>
      <c r="E30" s="29">
        <f t="shared" si="7"/>
        <v>5.930100269389247E-2</v>
      </c>
      <c r="F30" s="28">
        <f t="shared" si="8"/>
        <v>29.845694636833276</v>
      </c>
      <c r="G30" s="27" t="str">
        <f t="shared" si="9"/>
        <v>-</v>
      </c>
      <c r="H30" s="26">
        <f t="shared" si="10"/>
        <v>30079.399999999998</v>
      </c>
      <c r="I30" s="26">
        <f t="shared" si="11"/>
        <v>30024.768804654275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30.4</v>
      </c>
      <c r="D31" s="30">
        <v>440.4</v>
      </c>
      <c r="E31" s="29">
        <f t="shared" si="7"/>
        <v>2.5960399191242788E-2</v>
      </c>
      <c r="F31" s="28">
        <f t="shared" si="8"/>
        <v>30.344786520392361</v>
      </c>
      <c r="G31" s="27" t="str">
        <f t="shared" si="9"/>
        <v>-</v>
      </c>
      <c r="H31" s="26">
        <f t="shared" si="10"/>
        <v>13388.159999999998</v>
      </c>
      <c r="I31" s="26">
        <f t="shared" si="11"/>
        <v>13363.843983580795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31.866435877552526</v>
      </c>
      <c r="D32" s="22">
        <f>SUM(D26:D31)</f>
        <v>10832.4</v>
      </c>
      <c r="E32" s="21">
        <f t="shared" si="7"/>
        <v>0.63854093596552763</v>
      </c>
      <c r="F32" s="20">
        <f>I32/D32</f>
        <v>31.808559008884984</v>
      </c>
      <c r="G32" s="19">
        <f>F32/C32-1</f>
        <v>-1.8162328818300821E-3</v>
      </c>
      <c r="H32" s="18">
        <f>SUM(H26:H31)</f>
        <v>345189.98</v>
      </c>
      <c r="I32" s="18">
        <f>SUM(I26:I31)</f>
        <v>344563.03460784571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v>1986.5</v>
      </c>
      <c r="E34" s="29">
        <f t="shared" ref="E34:E40" si="13">D34/$D$48</f>
        <v>0.11709884875886421</v>
      </c>
      <c r="F34" s="28">
        <f t="shared" ref="F34:F39" si="14">C34-(C34*$E$6)</f>
        <v>18.266762938262509</v>
      </c>
      <c r="G34" s="27" t="str">
        <f t="shared" ref="G34:G39" si="15">IF(C34&gt;=F34,"-","+")</f>
        <v>-</v>
      </c>
      <c r="H34" s="26">
        <f t="shared" ref="H34:H39" si="16">C34*D34</f>
        <v>36352.950000000004</v>
      </c>
      <c r="I34" s="26">
        <f t="shared" ref="I34:I39" si="17">F34*D34</f>
        <v>36286.924576858473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14.074391116366193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11.279476568435319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29.9</v>
      </c>
      <c r="D37" s="30"/>
      <c r="E37" s="29">
        <f t="shared" si="13"/>
        <v>0</v>
      </c>
      <c r="F37" s="28">
        <f t="shared" si="14"/>
        <v>29.845694636833276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29.9</v>
      </c>
      <c r="D38" s="30"/>
      <c r="E38" s="29">
        <f t="shared" si="13"/>
        <v>0</v>
      </c>
      <c r="F38" s="28">
        <f t="shared" si="14"/>
        <v>29.845694636833276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/>
      <c r="E39" s="29">
        <f t="shared" si="13"/>
        <v>0</v>
      </c>
      <c r="F39" s="28">
        <f t="shared" si="14"/>
        <v>30.943696780663263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</v>
      </c>
      <c r="D40" s="22">
        <f>SUM(D34:D39)</f>
        <v>1986.5</v>
      </c>
      <c r="E40" s="21">
        <f t="shared" si="13"/>
        <v>0.11709884875886421</v>
      </c>
      <c r="F40" s="20">
        <f>I40/D40</f>
        <v>18.266762938262509</v>
      </c>
      <c r="G40" s="19">
        <f>F40/C40-1</f>
        <v>-1.8162328818300821E-3</v>
      </c>
      <c r="H40" s="18">
        <f>SUM(H34:H39)</f>
        <v>36352.950000000004</v>
      </c>
      <c r="I40" s="18">
        <f>SUM(I34:I39)</f>
        <v>36286.924576858473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2797</v>
      </c>
      <c r="E42" s="107">
        <f>D42/$D$48</f>
        <v>0.16487565063103105</v>
      </c>
      <c r="F42" s="28">
        <f>C42-(C42*$E$6)</f>
        <v>0.39927350684726792</v>
      </c>
      <c r="G42" s="27" t="str">
        <f>IF(C42&gt;=F42,"-","+")</f>
        <v>-</v>
      </c>
      <c r="H42" s="26">
        <f>C42*D42</f>
        <v>1118.8</v>
      </c>
      <c r="I42" s="26">
        <f>F42*D42</f>
        <v>1116.7679986518083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108.4</v>
      </c>
      <c r="E43" s="107">
        <f>D43/$D$48</f>
        <v>6.3898893558826482E-3</v>
      </c>
      <c r="F43" s="28">
        <f>C43-(C43*$E$6)</f>
        <v>0.39927350684726792</v>
      </c>
      <c r="G43" s="27" t="str">
        <f>IF(C43&gt;=F43,"-","+")</f>
        <v>-</v>
      </c>
      <c r="H43" s="26">
        <f>C43*D43</f>
        <v>43.360000000000007</v>
      </c>
      <c r="I43" s="26">
        <f>F43*D43</f>
        <v>43.281248142243847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</v>
      </c>
      <c r="E45" s="107">
        <f>D45/$D$48</f>
        <v>1.7684195634361572E-4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0.39958740200797682</v>
      </c>
      <c r="D46" s="22">
        <f>SUM(D41:D45)</f>
        <v>2908.4</v>
      </c>
      <c r="E46" s="21">
        <f>D46/$D$48</f>
        <v>0.17144238194325731</v>
      </c>
      <c r="F46" s="20">
        <f>I46/D46</f>
        <v>0.39886165822928488</v>
      </c>
      <c r="G46" s="19">
        <f>F46/C46-1</f>
        <v>-1.8162328818300821E-3</v>
      </c>
      <c r="H46" s="18">
        <f>SUM(H41:H44)</f>
        <v>1162.1599999999999</v>
      </c>
      <c r="I46" s="18">
        <f>SUM(I41:I44)</f>
        <v>1160.0492467940521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97.024988518040686</v>
      </c>
      <c r="D48" s="13">
        <f>D24+D32+D40+D46</f>
        <v>16964.3</v>
      </c>
      <c r="E48" s="12">
        <f>SUM(E20:E46)/2</f>
        <v>1</v>
      </c>
      <c r="F48" s="11">
        <f>I48/D48</f>
        <v>25.900000000000009</v>
      </c>
      <c r="G48" s="10"/>
      <c r="H48" s="9">
        <f>SUM(H20:H46)/2</f>
        <v>440174.82999999996</v>
      </c>
      <c r="I48" s="9">
        <f>SUM(I20:I46)/2</f>
        <v>439375.37000000011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16964.3</v>
      </c>
      <c r="E50" s="12">
        <f>D50/G2</f>
        <v>1</v>
      </c>
      <c r="F50" s="11">
        <f>I50/D50</f>
        <v>25.900000000000009</v>
      </c>
      <c r="G50" s="10"/>
      <c r="H50" s="9">
        <f>H48+H19</f>
        <v>440174.82999999996</v>
      </c>
      <c r="I50" s="9">
        <f>I48+I19</f>
        <v>439375.37000000011</v>
      </c>
      <c r="J50" s="106">
        <f>D50-G2</f>
        <v>0</v>
      </c>
      <c r="K50" s="8"/>
    </row>
    <row r="51" spans="1:11" ht="23.25" x14ac:dyDescent="0.35">
      <c r="A51" s="168" t="s">
        <v>169</v>
      </c>
      <c r="B51" s="169"/>
      <c r="C51" s="170"/>
      <c r="G51" s="7"/>
      <c r="H51" s="6"/>
      <c r="I51" s="6">
        <f>+I50/D50</f>
        <v>25.900000000000009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170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171</v>
      </c>
      <c r="D2" s="96" t="s">
        <v>3</v>
      </c>
      <c r="E2" s="95" t="s">
        <v>71</v>
      </c>
      <c r="F2" s="94" t="s">
        <v>5</v>
      </c>
      <c r="G2" s="93">
        <v>16896.099999999999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200</v>
      </c>
      <c r="F3" s="88" t="s">
        <v>8</v>
      </c>
      <c r="G3" s="87">
        <v>25.9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84.480499999999992</v>
      </c>
      <c r="F4" s="81" t="s">
        <v>12</v>
      </c>
      <c r="G4" s="80">
        <f>G2*G3</f>
        <v>437608.98999999993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1.6390871045086408E-2</v>
      </c>
      <c r="F6" s="69" t="s">
        <v>16</v>
      </c>
      <c r="G6" s="68">
        <f>(I50-I19)/(D50-(SUM(D42:D44)+D19))</f>
        <v>31.004214814552395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25.475476439932262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26.557446481782666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24.6</v>
      </c>
      <c r="D12" s="30"/>
      <c r="E12" s="29" t="e">
        <f t="shared" si="1"/>
        <v>#DIV/0!</v>
      </c>
      <c r="F12" s="28">
        <f t="shared" si="2"/>
        <v>24.196784572290877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26.557446481782666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/>
      <c r="E14" s="29" t="e">
        <f t="shared" si="1"/>
        <v>#DIV/0!</v>
      </c>
      <c r="F14" s="28">
        <f t="shared" si="2"/>
        <v>29.704995694438391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24.491867310977348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</v>
      </c>
      <c r="D16" s="30"/>
      <c r="E16" s="29" t="e">
        <f t="shared" si="1"/>
        <v>#DIV/0!</v>
      </c>
      <c r="F16" s="28">
        <f t="shared" si="2"/>
        <v>33.442710384467063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50.1</v>
      </c>
      <c r="D17" s="30"/>
      <c r="E17" s="29" t="e">
        <f t="shared" si="1"/>
        <v>#DIV/0!</v>
      </c>
      <c r="F17" s="28">
        <f t="shared" si="2"/>
        <v>49.27881736064117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43.9</v>
      </c>
      <c r="D18" s="30"/>
      <c r="E18" s="29" t="e">
        <f t="shared" si="1"/>
        <v>#DIV/0!</v>
      </c>
      <c r="F18" s="28">
        <f t="shared" si="2"/>
        <v>43.180440761120707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65.099999999999994</v>
      </c>
      <c r="D21" s="30">
        <v>229.9</v>
      </c>
      <c r="E21" s="29">
        <f>D21/$D$48</f>
        <v>1.3606529240129497E-2</v>
      </c>
      <c r="F21" s="28">
        <f>C21-(C21*$E$6)</f>
        <v>64.032954294964867</v>
      </c>
      <c r="G21" s="27" t="str">
        <f>IF(C21&gt;=F21,"-","+")</f>
        <v>-</v>
      </c>
      <c r="H21" s="26">
        <f>C21*D21</f>
        <v>14966.49</v>
      </c>
      <c r="I21" s="26">
        <f>F21*D21</f>
        <v>14721.176192412424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43.7</v>
      </c>
      <c r="D22" s="30">
        <v>565</v>
      </c>
      <c r="E22" s="29">
        <f>D22/$D$48</f>
        <v>3.3439273687138608E-2</v>
      </c>
      <c r="F22" s="28">
        <f>C22-(C22*$E$6)</f>
        <v>42.983718935329726</v>
      </c>
      <c r="G22" s="27" t="str">
        <f>IF(C22&gt;=F22,"-","+")</f>
        <v>-</v>
      </c>
      <c r="H22" s="26">
        <f>C22*D22</f>
        <v>24690.5</v>
      </c>
      <c r="I22" s="26">
        <f>F22*D22</f>
        <v>24285.801198461297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39.9</v>
      </c>
      <c r="D23" s="30">
        <v>439.4</v>
      </c>
      <c r="E23" s="29">
        <f>D23/$D$48</f>
        <v>2.6005693554210094E-2</v>
      </c>
      <c r="F23" s="28">
        <f>C23-(C23*$E$6)</f>
        <v>39.246004245301052</v>
      </c>
      <c r="G23" s="27" t="str">
        <f>IF(C23&gt;=F23,"-","+")</f>
        <v>-</v>
      </c>
      <c r="H23" s="26">
        <f>C23*D23</f>
        <v>17532.059999999998</v>
      </c>
      <c r="I23" s="26">
        <f>F23*D23</f>
        <v>17244.694265385282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46.333184801101837</v>
      </c>
      <c r="D24" s="22">
        <f>SUM(D21:D23)</f>
        <v>1234.3</v>
      </c>
      <c r="E24" s="21">
        <f>D24/$D$48</f>
        <v>7.3051496481478198E-2</v>
      </c>
      <c r="F24" s="20">
        <f>I24/D24</f>
        <v>45.573743543918823</v>
      </c>
      <c r="G24" s="19">
        <f>F24/C24-1</f>
        <v>-1.6390871045086297E-2</v>
      </c>
      <c r="H24" s="18">
        <f>SUM(H21:H23)</f>
        <v>57189.049999999996</v>
      </c>
      <c r="I24" s="18">
        <f>SUM(I21:I23)</f>
        <v>56251.671656259001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34.799999999999997</v>
      </c>
      <c r="D26" s="30">
        <v>3316.9</v>
      </c>
      <c r="E26" s="29">
        <f t="shared" ref="E26:E32" si="7">D26/$D$48</f>
        <v>0.19630925113782308</v>
      </c>
      <c r="F26" s="28">
        <f t="shared" ref="F26:F31" si="8">C26-(C26*$E$6)</f>
        <v>34.229597687630992</v>
      </c>
      <c r="G26" s="27" t="str">
        <f t="shared" ref="G26:G31" si="9">IF(C26&gt;=F26,"-","+")</f>
        <v>-</v>
      </c>
      <c r="H26" s="26">
        <f t="shared" ref="H26:H31" si="10">C26*D26</f>
        <v>115428.12</v>
      </c>
      <c r="I26" s="26">
        <f t="shared" ref="I26:I31" si="11">F26*D26</f>
        <v>113536.15257010324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v>2706</v>
      </c>
      <c r="E27" s="29">
        <f t="shared" si="7"/>
        <v>0.16015340636707445</v>
      </c>
      <c r="F27" s="28">
        <f t="shared" si="8"/>
        <v>30.491882997602321</v>
      </c>
      <c r="G27" s="27" t="str">
        <f t="shared" si="9"/>
        <v>-</v>
      </c>
      <c r="H27" s="26">
        <f t="shared" si="10"/>
        <v>83886</v>
      </c>
      <c r="I27" s="26">
        <f t="shared" si="11"/>
        <v>82511.035391511876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v>1925.1</v>
      </c>
      <c r="E28" s="29">
        <f t="shared" si="7"/>
        <v>0.113936187212585</v>
      </c>
      <c r="F28" s="28">
        <f t="shared" si="8"/>
        <v>30.491882997602321</v>
      </c>
      <c r="G28" s="27" t="str">
        <f t="shared" si="9"/>
        <v>-</v>
      </c>
      <c r="H28" s="26">
        <f t="shared" si="10"/>
        <v>59678.1</v>
      </c>
      <c r="I28" s="26">
        <f t="shared" si="11"/>
        <v>58699.923958684223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29.9</v>
      </c>
      <c r="D29" s="30">
        <v>1701.9</v>
      </c>
      <c r="E29" s="29">
        <f t="shared" si="7"/>
        <v>0.1007261944922853</v>
      </c>
      <c r="F29" s="28">
        <f t="shared" si="8"/>
        <v>29.409912955751913</v>
      </c>
      <c r="G29" s="27" t="str">
        <f t="shared" si="9"/>
        <v>-</v>
      </c>
      <c r="H29" s="26">
        <f t="shared" si="10"/>
        <v>50886.81</v>
      </c>
      <c r="I29" s="26">
        <f t="shared" si="11"/>
        <v>50052.730859394185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29.9</v>
      </c>
      <c r="D30" s="30">
        <v>1080.2</v>
      </c>
      <c r="E30" s="29">
        <f t="shared" si="7"/>
        <v>6.3931156525393135E-2</v>
      </c>
      <c r="F30" s="28">
        <f t="shared" si="8"/>
        <v>29.409912955751913</v>
      </c>
      <c r="G30" s="27" t="str">
        <f t="shared" si="9"/>
        <v>-</v>
      </c>
      <c r="H30" s="26">
        <f t="shared" si="10"/>
        <v>32297.98</v>
      </c>
      <c r="I30" s="26">
        <f t="shared" si="11"/>
        <v>31768.587974803217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30.4</v>
      </c>
      <c r="D31" s="30">
        <v>426.2</v>
      </c>
      <c r="E31" s="29">
        <f t="shared" si="7"/>
        <v>2.5224457425590218E-2</v>
      </c>
      <c r="F31" s="28">
        <f t="shared" si="8"/>
        <v>29.901717520229372</v>
      </c>
      <c r="G31" s="27" t="str">
        <f t="shared" si="9"/>
        <v>-</v>
      </c>
      <c r="H31" s="26">
        <f t="shared" si="10"/>
        <v>12956.48</v>
      </c>
      <c r="I31" s="26">
        <f t="shared" si="11"/>
        <v>12744.112007121757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31.832551114616848</v>
      </c>
      <c r="D32" s="22">
        <f>SUM(D26:D31)</f>
        <v>11156.300000000001</v>
      </c>
      <c r="E32" s="21">
        <f t="shared" si="7"/>
        <v>0.66028065316075124</v>
      </c>
      <c r="F32" s="20">
        <f>I32/D32</f>
        <v>31.310787874261042</v>
      </c>
      <c r="G32" s="19">
        <f>F32/C32-1</f>
        <v>-1.6390871045086408E-2</v>
      </c>
      <c r="H32" s="18">
        <f>SUM(H26:H31)</f>
        <v>355133.49</v>
      </c>
      <c r="I32" s="18">
        <f>SUM(I26:I31)</f>
        <v>349312.5427616185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v>1721.9</v>
      </c>
      <c r="E34" s="29">
        <f t="shared" ref="E34:E40" si="13">D34/$D$48</f>
        <v>0.10190988559625482</v>
      </c>
      <c r="F34" s="28">
        <f t="shared" ref="F34:F39" si="14">C34-(C34*$E$6)</f>
        <v>18.00004705987492</v>
      </c>
      <c r="G34" s="27" t="str">
        <f t="shared" ref="G34:G39" si="15">IF(C34&gt;=F34,"-","+")</f>
        <v>-</v>
      </c>
      <c r="H34" s="26">
        <f t="shared" ref="H34:H39" si="16">C34*D34</f>
        <v>31510.770000000004</v>
      </c>
      <c r="I34" s="26">
        <f t="shared" ref="I34:I39" si="17">F34*D34</f>
        <v>30994.281032398627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13.868888718264282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11.114783157190525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29.9</v>
      </c>
      <c r="D37" s="30"/>
      <c r="E37" s="29">
        <f t="shared" si="13"/>
        <v>0</v>
      </c>
      <c r="F37" s="28">
        <f t="shared" si="14"/>
        <v>29.409912955751913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29.9</v>
      </c>
      <c r="D38" s="30"/>
      <c r="E38" s="29">
        <f t="shared" si="13"/>
        <v>0</v>
      </c>
      <c r="F38" s="28">
        <f t="shared" si="14"/>
        <v>29.409912955751913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/>
      <c r="E39" s="29">
        <f t="shared" si="13"/>
        <v>0</v>
      </c>
      <c r="F39" s="28">
        <f t="shared" si="14"/>
        <v>30.491882997602321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</v>
      </c>
      <c r="D40" s="22">
        <f>SUM(D34:D39)</f>
        <v>1721.9</v>
      </c>
      <c r="E40" s="21">
        <f t="shared" si="13"/>
        <v>0.10190988559625482</v>
      </c>
      <c r="F40" s="20">
        <f>I40/D40</f>
        <v>18.00004705987492</v>
      </c>
      <c r="G40" s="19">
        <f>F40/C40-1</f>
        <v>-1.6390871045086408E-2</v>
      </c>
      <c r="H40" s="18">
        <f>SUM(H34:H39)</f>
        <v>31510.770000000004</v>
      </c>
      <c r="I40" s="18">
        <f>SUM(I34:I39)</f>
        <v>30994.281032398627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2670</v>
      </c>
      <c r="E42" s="107">
        <f>D42/$D$48</f>
        <v>0.15802276237992935</v>
      </c>
      <c r="F42" s="28">
        <f>C42-(C42*$E$6)</f>
        <v>0.39344365158196548</v>
      </c>
      <c r="G42" s="27" t="str">
        <f>IF(C42&gt;=F42,"-","+")</f>
        <v>-</v>
      </c>
      <c r="H42" s="26">
        <f>C42*D42</f>
        <v>1068</v>
      </c>
      <c r="I42" s="26">
        <f>F42*D42</f>
        <v>1050.4945497238477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/>
      <c r="E43" s="107">
        <f>D43/$D$48</f>
        <v>0</v>
      </c>
      <c r="F43" s="28">
        <f>C43-(C43*$E$6)</f>
        <v>0.39344365158196548</v>
      </c>
      <c r="G43" s="27" t="str">
        <f>IF(C43&gt;=F43,"-","+")</f>
        <v>-</v>
      </c>
      <c r="H43" s="26">
        <f>C43*D43</f>
        <v>0</v>
      </c>
      <c r="I43" s="26">
        <f>F43*D43</f>
        <v>0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111.8</v>
      </c>
      <c r="E44" s="107">
        <f>D44/$D$48</f>
        <v>6.6168332711895508E-3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</v>
      </c>
      <c r="E45" s="107">
        <f>D45/$D$48</f>
        <v>1.1836911039695082E-4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0.38364825059271496</v>
      </c>
      <c r="D46" s="22">
        <f>SUM(D41:D45)</f>
        <v>2783.8</v>
      </c>
      <c r="E46" s="21">
        <f>D46/$D$48</f>
        <v>0.16475796476151586</v>
      </c>
      <c r="F46" s="20">
        <f>I46/D46</f>
        <v>0.3773599215905768</v>
      </c>
      <c r="G46" s="19">
        <f>F46/C46-1</f>
        <v>-1.6390871045086297E-2</v>
      </c>
      <c r="H46" s="18">
        <f>SUM(H41:H44)</f>
        <v>1068</v>
      </c>
      <c r="I46" s="18">
        <f>SUM(I41:I44)</f>
        <v>1050.4945497238477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96.849384166311395</v>
      </c>
      <c r="D48" s="13">
        <f>D24+D32+D40+D46</f>
        <v>16896.3</v>
      </c>
      <c r="E48" s="12">
        <f>SUM(E20:E46)/2</f>
        <v>1</v>
      </c>
      <c r="F48" s="11">
        <f>I48/D48</f>
        <v>25.899693424004067</v>
      </c>
      <c r="G48" s="10"/>
      <c r="H48" s="9">
        <f>SUM(H20:H46)/2</f>
        <v>444901.30999999994</v>
      </c>
      <c r="I48" s="9">
        <f>SUM(I20:I46)/2</f>
        <v>437608.98999999987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16896.300000000003</v>
      </c>
      <c r="E50" s="12">
        <f>D50/G2</f>
        <v>1.0000118370511542</v>
      </c>
      <c r="F50" s="11">
        <f>I50/D50</f>
        <v>25.899693424004059</v>
      </c>
      <c r="G50" s="10"/>
      <c r="H50" s="9">
        <f>H48+H19</f>
        <v>444901.30999999994</v>
      </c>
      <c r="I50" s="9">
        <f>I48+I19</f>
        <v>437608.98999999987</v>
      </c>
      <c r="J50" s="106">
        <f>D50-G2</f>
        <v>0.20000000000436557</v>
      </c>
      <c r="K50" s="8"/>
    </row>
    <row r="51" spans="1:11" ht="23.25" x14ac:dyDescent="0.35">
      <c r="A51" s="168" t="s">
        <v>172</v>
      </c>
      <c r="B51" s="169"/>
      <c r="C51" s="170"/>
      <c r="G51" s="7"/>
      <c r="H51" s="6"/>
      <c r="I51" s="6">
        <f>+I50/D50</f>
        <v>25.899693424004059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173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173</v>
      </c>
      <c r="D2" s="96" t="s">
        <v>3</v>
      </c>
      <c r="E2" s="95" t="s">
        <v>71</v>
      </c>
      <c r="F2" s="94" t="s">
        <v>5</v>
      </c>
      <c r="G2" s="93">
        <v>16998.400000000001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176</v>
      </c>
      <c r="F3" s="88" t="s">
        <v>8</v>
      </c>
      <c r="G3" s="87">
        <v>25.4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96.581818181818193</v>
      </c>
      <c r="F4" s="81" t="s">
        <v>12</v>
      </c>
      <c r="G4" s="80">
        <f>G2*G3</f>
        <v>431759.35999999999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7.2167968240270941E-3</v>
      </c>
      <c r="F6" s="69" t="s">
        <v>16</v>
      </c>
      <c r="G6" s="68">
        <f>(I50-I19)/(D50-(SUM(D42:D44)+D19))</f>
        <v>29.7869843876122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25.216693360669712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26.5</v>
      </c>
      <c r="D11" s="30"/>
      <c r="E11" s="29" t="e">
        <f t="shared" si="1"/>
        <v>#DIV/0!</v>
      </c>
      <c r="F11" s="28">
        <f t="shared" si="2"/>
        <v>26.308754884163282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 t="e">
        <f t="shared" si="1"/>
        <v>#DIV/0!</v>
      </c>
      <c r="F12" s="28">
        <f t="shared" si="2"/>
        <v>24.025353516858544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26.5</v>
      </c>
      <c r="D13" s="30"/>
      <c r="E13" s="29" t="e">
        <f t="shared" si="1"/>
        <v>#DIV/0!</v>
      </c>
      <c r="F13" s="28">
        <f t="shared" si="2"/>
        <v>26.308754884163282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29.6</v>
      </c>
      <c r="D14" s="30"/>
      <c r="E14" s="29" t="e">
        <f t="shared" si="1"/>
        <v>#DIV/0!</v>
      </c>
      <c r="F14" s="28">
        <f t="shared" si="2"/>
        <v>29.386382814008801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24.223910157493737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33.158958986077494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49.1</v>
      </c>
      <c r="D17" s="30"/>
      <c r="E17" s="29" t="e">
        <f t="shared" si="1"/>
        <v>#DIV/0!</v>
      </c>
      <c r="F17" s="28">
        <f t="shared" si="2"/>
        <v>48.745655275940273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</v>
      </c>
      <c r="D18" s="30"/>
      <c r="E18" s="29" t="e">
        <f t="shared" si="1"/>
        <v>#DIV/0!</v>
      </c>
      <c r="F18" s="28">
        <f t="shared" si="2"/>
        <v>42.689677736566836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63.9</v>
      </c>
      <c r="D21" s="30">
        <v>218</v>
      </c>
      <c r="E21" s="29">
        <f>D21/$D$48</f>
        <v>1.2824736445783131E-2</v>
      </c>
      <c r="F21" s="28">
        <f>C21-(C21*$E$6)</f>
        <v>63.438846682944664</v>
      </c>
      <c r="G21" s="27" t="str">
        <f>IF(C21&gt;=F21,"-","+")</f>
        <v>-</v>
      </c>
      <c r="H21" s="26">
        <f>C21*D21</f>
        <v>13930.199999999999</v>
      </c>
      <c r="I21" s="26">
        <f>F21*D21</f>
        <v>13829.668576881937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42.9</v>
      </c>
      <c r="D22" s="30">
        <v>574.79999999999995</v>
      </c>
      <c r="E22" s="29">
        <f>D22/$D$48</f>
        <v>3.381494728915662E-2</v>
      </c>
      <c r="F22" s="28">
        <f>C22-(C22*$E$6)</f>
        <v>42.590399416249234</v>
      </c>
      <c r="G22" s="27" t="str">
        <f>IF(C22&gt;=F22,"-","+")</f>
        <v>-</v>
      </c>
      <c r="H22" s="26">
        <f>C22*D22</f>
        <v>24658.92</v>
      </c>
      <c r="I22" s="26">
        <f>F22*D22</f>
        <v>24480.961584460059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39.1</v>
      </c>
      <c r="D23" s="30">
        <v>415.8</v>
      </c>
      <c r="E23" s="29">
        <f>D23/$D$48</f>
        <v>2.4461125753012045E-2</v>
      </c>
      <c r="F23" s="28">
        <f>C23-(C23*$E$6)</f>
        <v>38.817823244180545</v>
      </c>
      <c r="G23" s="27" t="str">
        <f>IF(C23&gt;=F23,"-","+")</f>
        <v>-</v>
      </c>
      <c r="H23" s="26">
        <f>C23*D23</f>
        <v>16257.78</v>
      </c>
      <c r="I23" s="26">
        <f>F23*D23</f>
        <v>16140.450904930271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45.380522919079922</v>
      </c>
      <c r="D24" s="22">
        <f>SUM(D21:D23)</f>
        <v>1208.5999999999999</v>
      </c>
      <c r="E24" s="21">
        <f>D24/$D$48</f>
        <v>7.1100809487951791E-2</v>
      </c>
      <c r="F24" s="20">
        <f>I24/D24</f>
        <v>45.053020905404821</v>
      </c>
      <c r="G24" s="19">
        <f>F24/C24-1</f>
        <v>-7.2167968240269831E-3</v>
      </c>
      <c r="H24" s="18">
        <f>SUM(H21:H23)</f>
        <v>54846.899999999994</v>
      </c>
      <c r="I24" s="18">
        <f>SUM(I21:I23)</f>
        <v>54451.081066272265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f>3034.4</f>
        <v>3034.4</v>
      </c>
      <c r="E26" s="29">
        <f t="shared" ref="E26:E32" si="7">D26/$D$48</f>
        <v>0.17851091867469879</v>
      </c>
      <c r="F26" s="28">
        <f t="shared" ref="F26:F31" si="8">C26-(C26*$E$6)</f>
        <v>33.853907228300677</v>
      </c>
      <c r="G26" s="27" t="str">
        <f t="shared" ref="G26:G31" si="9">IF(C26&gt;=F26,"-","+")</f>
        <v>-</v>
      </c>
      <c r="H26" s="26">
        <f t="shared" ref="H26:H31" si="10">C26*D26</f>
        <v>103473.04000000001</v>
      </c>
      <c r="I26" s="26">
        <f t="shared" ref="I26:I31" si="11">F26*D26</f>
        <v>102726.29609355557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30">
        <v>2456</v>
      </c>
      <c r="E27" s="29">
        <f t="shared" si="7"/>
        <v>0.14448418674698793</v>
      </c>
      <c r="F27" s="28">
        <f t="shared" si="8"/>
        <v>30.180609376549576</v>
      </c>
      <c r="G27" s="27" t="str">
        <f t="shared" si="9"/>
        <v>-</v>
      </c>
      <c r="H27" s="26">
        <f t="shared" si="10"/>
        <v>74662.399999999994</v>
      </c>
      <c r="I27" s="26">
        <f t="shared" si="11"/>
        <v>74123.576628805764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30">
        <v>2012.2</v>
      </c>
      <c r="E28" s="29">
        <f t="shared" si="7"/>
        <v>0.11837584713855422</v>
      </c>
      <c r="F28" s="28">
        <f t="shared" si="8"/>
        <v>30.180609376549576</v>
      </c>
      <c r="G28" s="27" t="str">
        <f t="shared" si="9"/>
        <v>-</v>
      </c>
      <c r="H28" s="26">
        <f t="shared" si="10"/>
        <v>61170.879999999997</v>
      </c>
      <c r="I28" s="26">
        <f t="shared" si="11"/>
        <v>60729.422187493059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1778.5</v>
      </c>
      <c r="E29" s="29">
        <f t="shared" si="7"/>
        <v>0.10462749435240963</v>
      </c>
      <c r="F29" s="28">
        <f t="shared" si="8"/>
        <v>29.088547853056006</v>
      </c>
      <c r="G29" s="27" t="str">
        <f t="shared" si="9"/>
        <v>-</v>
      </c>
      <c r="H29" s="26">
        <f t="shared" si="10"/>
        <v>52110.05</v>
      </c>
      <c r="I29" s="26">
        <f t="shared" si="11"/>
        <v>51733.982356660104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975.1</v>
      </c>
      <c r="E30" s="29">
        <f t="shared" si="7"/>
        <v>5.7364222515060237E-2</v>
      </c>
      <c r="F30" s="28">
        <f t="shared" si="8"/>
        <v>29.088547853056006</v>
      </c>
      <c r="G30" s="27" t="str">
        <f t="shared" si="9"/>
        <v>-</v>
      </c>
      <c r="H30" s="26">
        <f t="shared" si="10"/>
        <v>28570.43</v>
      </c>
      <c r="I30" s="26">
        <f t="shared" si="11"/>
        <v>28364.243011514911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29.8</v>
      </c>
      <c r="D31" s="30">
        <v>412</v>
      </c>
      <c r="E31" s="29">
        <f t="shared" si="7"/>
        <v>2.4237575301204819E-2</v>
      </c>
      <c r="F31" s="28">
        <f t="shared" si="8"/>
        <v>29.584939454643994</v>
      </c>
      <c r="G31" s="27" t="str">
        <f t="shared" si="9"/>
        <v>-</v>
      </c>
      <c r="H31" s="26">
        <f t="shared" si="10"/>
        <v>12277.6</v>
      </c>
      <c r="I31" s="26">
        <f t="shared" si="11"/>
        <v>12188.995055313326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31.145310361635516</v>
      </c>
      <c r="D32" s="22">
        <f>SUM(D26:D31)</f>
        <v>10668.199999999999</v>
      </c>
      <c r="E32" s="21">
        <f t="shared" si="7"/>
        <v>0.62760024472891551</v>
      </c>
      <c r="F32" s="20">
        <f>I32/D32</f>
        <v>30.920540984734334</v>
      </c>
      <c r="G32" s="19">
        <f>F32/C32-1</f>
        <v>-7.2167968240268721E-3</v>
      </c>
      <c r="H32" s="18">
        <f>SUM(H26:H31)</f>
        <v>332264.39999999997</v>
      </c>
      <c r="I32" s="18">
        <f>SUM(I26:I31)</f>
        <v>329866.51533334277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v>2613.6999999999998</v>
      </c>
      <c r="E34" s="29">
        <f t="shared" ref="E34:E40" si="13">D34/$D$48</f>
        <v>0.15376153049698793</v>
      </c>
      <c r="F34" s="28">
        <f t="shared" ref="F34:F39" si="14">C34-(C34*$E$6)</f>
        <v>17.770819336849915</v>
      </c>
      <c r="G34" s="27" t="str">
        <f t="shared" ref="G34:G39" si="15">IF(C34&gt;=F34,"-","+")</f>
        <v>-</v>
      </c>
      <c r="H34" s="26">
        <f t="shared" ref="H34:H39" si="16">C34*D34</f>
        <v>46785.229999999996</v>
      </c>
      <c r="I34" s="26">
        <f t="shared" ref="I34:I39" si="17">F34*D34</f>
        <v>46447.590500724618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/>
      <c r="E35" s="29">
        <f t="shared" si="13"/>
        <v>0</v>
      </c>
      <c r="F35" s="28">
        <f t="shared" si="14"/>
        <v>13.700408203828427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11.019893555253299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29.088547853056006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29.088547853056006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30"/>
      <c r="E39" s="29">
        <f t="shared" si="13"/>
        <v>0</v>
      </c>
      <c r="F39" s="28">
        <f t="shared" si="14"/>
        <v>30.180609376549576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17.899999999999999</v>
      </c>
      <c r="D40" s="22">
        <f>SUM(D34:D39)</f>
        <v>2613.6999999999998</v>
      </c>
      <c r="E40" s="21">
        <f t="shared" si="13"/>
        <v>0.15376153049698793</v>
      </c>
      <c r="F40" s="20">
        <f>I40/D40</f>
        <v>17.770819336849915</v>
      </c>
      <c r="G40" s="19">
        <f>F40/C40-1</f>
        <v>-7.2167968240270941E-3</v>
      </c>
      <c r="H40" s="18">
        <f>SUM(H34:H39)</f>
        <v>46785.229999999996</v>
      </c>
      <c r="I40" s="18">
        <f>SUM(I34:I39)</f>
        <v>46447.590500724618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2407</v>
      </c>
      <c r="E42" s="107">
        <f>D42/$D$48</f>
        <v>0.1416015625</v>
      </c>
      <c r="F42" s="28">
        <f>C42-(C42*$E$6)</f>
        <v>0.3971132812703892</v>
      </c>
      <c r="G42" s="27" t="str">
        <f>IF(C42&gt;=F42,"-","+")</f>
        <v>-</v>
      </c>
      <c r="H42" s="26">
        <f>C42*D42</f>
        <v>962.80000000000007</v>
      </c>
      <c r="I42" s="26">
        <f>F42*D42</f>
        <v>955.8516680178268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96.5</v>
      </c>
      <c r="E43" s="107">
        <f>D43/$D$48</f>
        <v>5.6770048945783127E-3</v>
      </c>
      <c r="F43" s="28">
        <f>C43-(C43*$E$6)</f>
        <v>0.3971132812703892</v>
      </c>
      <c r="G43" s="27" t="str">
        <f>IF(C43&gt;=F43,"-","+")</f>
        <v>-</v>
      </c>
      <c r="H43" s="26">
        <f>C43*D43</f>
        <v>38.6</v>
      </c>
      <c r="I43" s="26">
        <f>F43*D43</f>
        <v>38.321431642592557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4.4000000000000004</v>
      </c>
      <c r="E45" s="107">
        <f>D45/$D$48</f>
        <v>2.5884789156626508E-4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0.39929821763228202</v>
      </c>
      <c r="D46" s="22">
        <f>SUM(D41:D45)</f>
        <v>2507.9</v>
      </c>
      <c r="E46" s="21">
        <f>D46/$D$48</f>
        <v>0.14753741528614456</v>
      </c>
      <c r="F46" s="20">
        <f>I46/D46</f>
        <v>0.39641656352343368</v>
      </c>
      <c r="G46" s="19">
        <f>F46/C46-1</f>
        <v>-7.2167968240270941E-3</v>
      </c>
      <c r="H46" s="18">
        <f>SUM(H41:H44)</f>
        <v>1001.4000000000001</v>
      </c>
      <c r="I46" s="18">
        <f>SUM(I41:I44)</f>
        <v>994.17309966041933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94.825131498347716</v>
      </c>
      <c r="D48" s="13">
        <f>D24+D32+D40+D46</f>
        <v>16998.400000000001</v>
      </c>
      <c r="E48" s="12">
        <f>SUM(E20:E46)/2</f>
        <v>0.99999999999999978</v>
      </c>
      <c r="F48" s="11">
        <f>I48/D48</f>
        <v>25.400000000000002</v>
      </c>
      <c r="G48" s="10"/>
      <c r="H48" s="9">
        <f>SUM(H20:H46)/2</f>
        <v>434897.92999999993</v>
      </c>
      <c r="I48" s="9">
        <f>SUM(I20:I46)/2</f>
        <v>431759.3600000001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16998.400000000001</v>
      </c>
      <c r="E50" s="12">
        <f>D50/G2</f>
        <v>1</v>
      </c>
      <c r="F50" s="11">
        <f>I50/D50</f>
        <v>25.400000000000002</v>
      </c>
      <c r="G50" s="10"/>
      <c r="H50" s="9">
        <f>H48+H19</f>
        <v>434897.92999999993</v>
      </c>
      <c r="I50" s="9">
        <f>I48+I19</f>
        <v>431759.3600000001</v>
      </c>
      <c r="J50" s="106">
        <f>D50-G2</f>
        <v>0</v>
      </c>
      <c r="K50" s="8"/>
    </row>
    <row r="51" spans="1:11" ht="23.25" x14ac:dyDescent="0.35">
      <c r="A51" s="168" t="s">
        <v>174</v>
      </c>
      <c r="B51" s="169"/>
      <c r="C51" s="170"/>
      <c r="G51" s="7"/>
      <c r="H51" s="6"/>
      <c r="I51" s="6">
        <f>+I50/D50</f>
        <v>25.400000000000002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92D050"/>
  </sheetPr>
  <dimension ref="A1:K56"/>
  <sheetViews>
    <sheetView topLeftCell="A16" workbookViewId="0">
      <selection activeCell="E29" sqref="E29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173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173</v>
      </c>
      <c r="D2" s="96" t="s">
        <v>3</v>
      </c>
      <c r="E2" s="95" t="s">
        <v>71</v>
      </c>
      <c r="F2" s="94" t="s">
        <v>5</v>
      </c>
      <c r="G2" s="93">
        <v>2218.5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24</v>
      </c>
      <c r="F3" s="88" t="s">
        <v>8</v>
      </c>
      <c r="G3" s="87">
        <v>25.4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92.4375</v>
      </c>
      <c r="F4" s="81" t="s">
        <v>12</v>
      </c>
      <c r="G4" s="80">
        <f>G2*G3</f>
        <v>56349.899999999994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4.8320252709843636E-2</v>
      </c>
      <c r="F6" s="69" t="s">
        <v>16</v>
      </c>
      <c r="G6" s="68">
        <f>(I50-I19)/(D50-(SUM(D42:D44)+D19))</f>
        <v>26.595205347425168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>
        <f t="shared" ref="E10:E19" si="1">D10/$D$19</f>
        <v>0</v>
      </c>
      <c r="F10" s="28">
        <f t="shared" ref="F10:F18" si="2">C10-(C10*$E$6)</f>
        <v>24.172665581169969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26.5</v>
      </c>
      <c r="D11" s="30"/>
      <c r="E11" s="29">
        <f t="shared" si="1"/>
        <v>0</v>
      </c>
      <c r="F11" s="28">
        <f t="shared" si="2"/>
        <v>25.219513303189142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>
        <f t="shared" si="1"/>
        <v>0</v>
      </c>
      <c r="F12" s="28">
        <f t="shared" si="2"/>
        <v>23.030649884421784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26.5</v>
      </c>
      <c r="D13" s="30"/>
      <c r="E13" s="29">
        <f t="shared" si="1"/>
        <v>0</v>
      </c>
      <c r="F13" s="28">
        <f t="shared" si="2"/>
        <v>25.219513303189142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29.6</v>
      </c>
      <c r="D14" s="30"/>
      <c r="E14" s="29">
        <f t="shared" si="1"/>
        <v>0</v>
      </c>
      <c r="F14" s="28">
        <f t="shared" si="2"/>
        <v>28.16972051978863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30"/>
      <c r="E15" s="29">
        <f t="shared" si="1"/>
        <v>0</v>
      </c>
      <c r="F15" s="28">
        <f t="shared" si="2"/>
        <v>23.220985833879816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30">
        <v>127.4</v>
      </c>
      <c r="E16" s="29">
        <f t="shared" si="1"/>
        <v>0.51662611516626111</v>
      </c>
      <c r="F16" s="28">
        <f t="shared" si="2"/>
        <v>31.78610355949122</v>
      </c>
      <c r="G16" s="27" t="str">
        <f t="shared" si="3"/>
        <v>-</v>
      </c>
      <c r="H16" s="34">
        <f t="shared" si="4"/>
        <v>4255.16</v>
      </c>
      <c r="I16" s="34">
        <f t="shared" si="5"/>
        <v>4049.5495934791816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49.1</v>
      </c>
      <c r="D17" s="30">
        <v>119.2</v>
      </c>
      <c r="E17" s="29">
        <f t="shared" si="1"/>
        <v>0.48337388483373883</v>
      </c>
      <c r="F17" s="28">
        <f t="shared" si="2"/>
        <v>46.727475591946678</v>
      </c>
      <c r="G17" s="27" t="str">
        <f t="shared" si="3"/>
        <v>-</v>
      </c>
      <c r="H17" s="34">
        <f t="shared" si="4"/>
        <v>5852.72</v>
      </c>
      <c r="I17" s="34">
        <f t="shared" si="5"/>
        <v>5569.9150905600445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</v>
      </c>
      <c r="D18" s="30"/>
      <c r="E18" s="29">
        <f t="shared" si="1"/>
        <v>0</v>
      </c>
      <c r="F18" s="28">
        <f t="shared" si="2"/>
        <v>40.922229133476726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40.988969991889704</v>
      </c>
      <c r="D19" s="49">
        <f>SUM(D10:D18)</f>
        <v>246.60000000000002</v>
      </c>
      <c r="E19" s="48">
        <f t="shared" si="1"/>
        <v>1</v>
      </c>
      <c r="F19" s="47">
        <f>I19/D19</f>
        <v>39.008372603565391</v>
      </c>
      <c r="G19" s="46">
        <f>F19/C19-1</f>
        <v>-4.8320252709843747E-2</v>
      </c>
      <c r="H19" s="9">
        <f>SUM(H10:H18)</f>
        <v>10107.880000000001</v>
      </c>
      <c r="I19" s="9">
        <f>SUM(I10:I18)</f>
        <v>9619.464684039227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63.9</v>
      </c>
      <c r="D21" s="30"/>
      <c r="E21" s="29">
        <f>D21/$D$48</f>
        <v>0</v>
      </c>
      <c r="F21" s="28">
        <f>C21-(C21*$E$6)</f>
        <v>60.812335851840992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42.9</v>
      </c>
      <c r="D22" s="30"/>
      <c r="E22" s="29">
        <f>D22/$D$48</f>
        <v>0</v>
      </c>
      <c r="F22" s="28">
        <f>C22-(C22*$E$6)</f>
        <v>40.827061158747703</v>
      </c>
      <c r="G22" s="27" t="str">
        <f>IF(C22&gt;=F22,"-","+")</f>
        <v>-</v>
      </c>
      <c r="H22" s="26">
        <f>C22*D22</f>
        <v>0</v>
      </c>
      <c r="I22" s="26">
        <f>F22*D22</f>
        <v>0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39.1</v>
      </c>
      <c r="D23" s="30"/>
      <c r="E23" s="29">
        <f>D23/$D$48</f>
        <v>0</v>
      </c>
      <c r="F23" s="28">
        <f>C23-(C23*$E$6)</f>
        <v>37.210678119045113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 t="e">
        <f>H24/D24</f>
        <v>#DIV/0!</v>
      </c>
      <c r="D24" s="22">
        <f>SUM(D21:D23)</f>
        <v>0</v>
      </c>
      <c r="E24" s="21">
        <f>D24/$D$48</f>
        <v>0</v>
      </c>
      <c r="F24" s="20" t="e">
        <f>I24/D24</f>
        <v>#DIV/0!</v>
      </c>
      <c r="G24" s="19" t="e">
        <f>F24/C24-1</f>
        <v>#DIV/0!</v>
      </c>
      <c r="H24" s="18">
        <f>SUM(H21:H23)</f>
        <v>0</v>
      </c>
      <c r="I24" s="18">
        <f>SUM(I21:I23)</f>
        <v>0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v>380.5</v>
      </c>
      <c r="E26" s="29">
        <f t="shared" ref="E26:E32" si="7">D26/$D$48</f>
        <v>0.19298067657351525</v>
      </c>
      <c r="F26" s="28">
        <f t="shared" ref="F26:F31" si="8">C26-(C26*$E$6)</f>
        <v>32.452279382594334</v>
      </c>
      <c r="G26" s="27" t="str">
        <f t="shared" ref="G26:G31" si="9">IF(C26&gt;=F26,"-","+")</f>
        <v>-</v>
      </c>
      <c r="H26" s="26">
        <f t="shared" ref="H26:H31" si="10">C26*D26</f>
        <v>12975.050000000001</v>
      </c>
      <c r="I26" s="26">
        <f t="shared" ref="I26:I31" si="11">F26*D26</f>
        <v>12348.092305077143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30">
        <v>320</v>
      </c>
      <c r="E27" s="29">
        <f t="shared" si="7"/>
        <v>0.16229649541005225</v>
      </c>
      <c r="F27" s="28">
        <f t="shared" si="8"/>
        <v>28.931064317620752</v>
      </c>
      <c r="G27" s="27" t="str">
        <f t="shared" si="9"/>
        <v>-</v>
      </c>
      <c r="H27" s="26">
        <f t="shared" si="10"/>
        <v>9728</v>
      </c>
      <c r="I27" s="26">
        <f t="shared" si="11"/>
        <v>9257.9405816386407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30">
        <v>258</v>
      </c>
      <c r="E28" s="29">
        <f t="shared" si="7"/>
        <v>0.13085154942435462</v>
      </c>
      <c r="F28" s="28">
        <f t="shared" si="8"/>
        <v>28.931064317620752</v>
      </c>
      <c r="G28" s="27" t="str">
        <f t="shared" si="9"/>
        <v>-</v>
      </c>
      <c r="H28" s="26">
        <f t="shared" si="10"/>
        <v>7843.2</v>
      </c>
      <c r="I28" s="26">
        <f t="shared" si="11"/>
        <v>7464.2145939461543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272</v>
      </c>
      <c r="E29" s="29">
        <f t="shared" si="7"/>
        <v>0.1379520210985444</v>
      </c>
      <c r="F29" s="28">
        <f t="shared" si="8"/>
        <v>27.884216595601583</v>
      </c>
      <c r="G29" s="27" t="str">
        <f t="shared" si="9"/>
        <v>-</v>
      </c>
      <c r="H29" s="26">
        <f t="shared" si="10"/>
        <v>7969.6</v>
      </c>
      <c r="I29" s="26">
        <f t="shared" si="11"/>
        <v>7584.5069140036303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85</v>
      </c>
      <c r="E30" s="29">
        <f t="shared" si="7"/>
        <v>4.3110006593295128E-2</v>
      </c>
      <c r="F30" s="28">
        <f t="shared" si="8"/>
        <v>27.884216595601583</v>
      </c>
      <c r="G30" s="27" t="str">
        <f t="shared" si="9"/>
        <v>-</v>
      </c>
      <c r="H30" s="26">
        <f t="shared" si="10"/>
        <v>2490.5</v>
      </c>
      <c r="I30" s="26">
        <f t="shared" si="11"/>
        <v>2370.1584106261344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29.8</v>
      </c>
      <c r="D31" s="30">
        <v>22.8</v>
      </c>
      <c r="E31" s="29">
        <f t="shared" si="7"/>
        <v>1.1563625297966224E-2</v>
      </c>
      <c r="F31" s="28">
        <f t="shared" si="8"/>
        <v>28.360056469246661</v>
      </c>
      <c r="G31" s="27" t="str">
        <f t="shared" si="9"/>
        <v>-</v>
      </c>
      <c r="H31" s="26">
        <f t="shared" si="10"/>
        <v>679.44</v>
      </c>
      <c r="I31" s="26">
        <f t="shared" si="11"/>
        <v>646.60928749882385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31.148315026526198</v>
      </c>
      <c r="D32" s="22">
        <f>SUM(D26:D31)</f>
        <v>1338.3</v>
      </c>
      <c r="E32" s="21">
        <f t="shared" si="7"/>
        <v>0.6787543743977279</v>
      </c>
      <c r="F32" s="20">
        <f>I32/D32</f>
        <v>29.643220572958629</v>
      </c>
      <c r="G32" s="19">
        <f>F32/C32-1</f>
        <v>-4.8320252709843747E-2</v>
      </c>
      <c r="H32" s="18">
        <f>SUM(H26:H31)</f>
        <v>41685.790000000008</v>
      </c>
      <c r="I32" s="18">
        <f>SUM(I26:I31)</f>
        <v>39671.522092790532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v>390.4</v>
      </c>
      <c r="E34" s="29">
        <f t="shared" ref="E34:E40" si="13">D34/$D$48</f>
        <v>0.19800172440026373</v>
      </c>
      <c r="F34" s="28">
        <f t="shared" ref="F34:F39" si="14">C34-(C34*$E$6)</f>
        <v>17.035067476493797</v>
      </c>
      <c r="G34" s="27" t="str">
        <f t="shared" ref="G34:G39" si="15">IF(C34&gt;=F34,"-","+")</f>
        <v>-</v>
      </c>
      <c r="H34" s="26">
        <f t="shared" ref="H34:H39" si="16">C34*D34</f>
        <v>6988.1599999999989</v>
      </c>
      <c r="I34" s="26">
        <f t="shared" ref="I34:I39" si="17">F34*D34</f>
        <v>6650.4903428231783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25</v>
      </c>
      <c r="E35" s="29">
        <f t="shared" si="13"/>
        <v>1.2679413703910332E-2</v>
      </c>
      <c r="F35" s="28">
        <f t="shared" si="14"/>
        <v>13.133180512604159</v>
      </c>
      <c r="G35" s="27" t="str">
        <f t="shared" si="15"/>
        <v>-</v>
      </c>
      <c r="H35" s="26">
        <f t="shared" si="16"/>
        <v>345</v>
      </c>
      <c r="I35" s="26">
        <f t="shared" si="17"/>
        <v>328.32951281510401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10.563645194920735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27.884216595601583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27.884216595601583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30"/>
      <c r="E39" s="29">
        <f t="shared" si="13"/>
        <v>0</v>
      </c>
      <c r="F39" s="28">
        <f t="shared" si="14"/>
        <v>28.931064317620752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17.653249879634085</v>
      </c>
      <c r="D40" s="22">
        <f>SUM(D34:D39)</f>
        <v>415.4</v>
      </c>
      <c r="E40" s="21">
        <f t="shared" si="13"/>
        <v>0.21068113810417408</v>
      </c>
      <c r="F40" s="20">
        <f>I40/D40</f>
        <v>16.80024038430015</v>
      </c>
      <c r="G40" s="19">
        <f>F40/C40-1</f>
        <v>-4.8320252709843636E-2</v>
      </c>
      <c r="H40" s="18">
        <f>SUM(H34:H39)</f>
        <v>7333.1599999999989</v>
      </c>
      <c r="I40" s="18">
        <f>SUM(I34:I39)</f>
        <v>6978.8198556382822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199</v>
      </c>
      <c r="E42" s="107">
        <f>D42/$D$48</f>
        <v>0.10092813308312625</v>
      </c>
      <c r="F42" s="28">
        <f>C42-(C42*$E$6)</f>
        <v>0.38067189891606257</v>
      </c>
      <c r="G42" s="27" t="str">
        <f>IF(C42&gt;=F42,"-","+")</f>
        <v>-</v>
      </c>
      <c r="H42" s="26">
        <f>C42*D42</f>
        <v>79.600000000000009</v>
      </c>
      <c r="I42" s="26">
        <f>F42*D42</f>
        <v>75.753707884296446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11.4</v>
      </c>
      <c r="E43" s="107">
        <f>D43/$D$48</f>
        <v>5.7818126489831119E-3</v>
      </c>
      <c r="F43" s="28">
        <f>C43-(C43*$E$6)</f>
        <v>0.38067189891606257</v>
      </c>
      <c r="G43" s="27" t="str">
        <f>IF(C43&gt;=F43,"-","+")</f>
        <v>-</v>
      </c>
      <c r="H43" s="26">
        <f>C43*D43</f>
        <v>4.5600000000000005</v>
      </c>
      <c r="I43" s="26">
        <f>F43*D43</f>
        <v>4.3396596476431135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4.2</v>
      </c>
      <c r="E44" s="107">
        <f>D44/$D$48</f>
        <v>2.130141502256936E-3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3.4</v>
      </c>
      <c r="E45" s="107">
        <f>D45/$D$48</f>
        <v>1.7244002637318051E-3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0.3860550458715597</v>
      </c>
      <c r="D46" s="22">
        <f>SUM(D41:D45)</f>
        <v>218</v>
      </c>
      <c r="E46" s="21">
        <f>D46/$D$48</f>
        <v>0.11056448749809809</v>
      </c>
      <c r="F46" s="20">
        <f>I46/D46</f>
        <v>0.36740076849513559</v>
      </c>
      <c r="G46" s="19">
        <f>F46/C46-1</f>
        <v>-4.8320252709843858E-2</v>
      </c>
      <c r="H46" s="18">
        <f>SUM(H41:H44)</f>
        <v>84.160000000000011</v>
      </c>
      <c r="I46" s="18">
        <f>SUM(I41:I44)</f>
        <v>80.093367531939563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 t="e">
        <f>C24+C32+C40+C46</f>
        <v>#DIV/0!</v>
      </c>
      <c r="D48" s="13">
        <f>D24+D32+D40+D46</f>
        <v>1971.6999999999998</v>
      </c>
      <c r="E48" s="12">
        <f>SUM(E20:E46)/2</f>
        <v>0.99999999999999978</v>
      </c>
      <c r="F48" s="11">
        <f>I48/D48</f>
        <v>23.700580877395527</v>
      </c>
      <c r="G48" s="10"/>
      <c r="H48" s="9">
        <f>SUM(H20:H46)/2</f>
        <v>49103.110000000015</v>
      </c>
      <c r="I48" s="9">
        <f>SUM(I20:I46)/2</f>
        <v>46730.435315960756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2218.2999999999997</v>
      </c>
      <c r="E50" s="12">
        <f>D50/G2</f>
        <v>0.99990984899706992</v>
      </c>
      <c r="F50" s="11">
        <f>I50/D50</f>
        <v>25.40229004192399</v>
      </c>
      <c r="G50" s="10"/>
      <c r="H50" s="9">
        <f>H48+H19</f>
        <v>59210.99000000002</v>
      </c>
      <c r="I50" s="9">
        <f>I48+I19</f>
        <v>56349.89999999998</v>
      </c>
      <c r="J50" s="106">
        <f>D50-G2</f>
        <v>-0.20000000000027285</v>
      </c>
      <c r="K50" s="8"/>
    </row>
    <row r="51" spans="1:11" ht="23.25" x14ac:dyDescent="0.35">
      <c r="A51" s="168" t="s">
        <v>175</v>
      </c>
      <c r="B51" s="169"/>
      <c r="C51" s="170"/>
      <c r="G51" s="7"/>
      <c r="H51" s="6"/>
      <c r="I51" s="6">
        <f>+I50/D50</f>
        <v>25.40229004192399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92D050"/>
  </sheetPr>
  <dimension ref="A1:K56"/>
  <sheetViews>
    <sheetView workbookViewId="0">
      <selection activeCell="A29" sqref="A29:E29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176</v>
      </c>
      <c r="D1" s="100" t="s">
        <v>1</v>
      </c>
      <c r="E1" s="168" t="s">
        <v>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177</v>
      </c>
      <c r="D2" s="96" t="s">
        <v>3</v>
      </c>
      <c r="E2" s="95" t="s">
        <v>71</v>
      </c>
      <c r="F2" s="94" t="s">
        <v>5</v>
      </c>
      <c r="G2" s="93">
        <v>11344.3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160</v>
      </c>
      <c r="F3" s="88" t="s">
        <v>8</v>
      </c>
      <c r="G3" s="87">
        <v>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70.90187499999999</v>
      </c>
      <c r="F4" s="81" t="s">
        <v>12</v>
      </c>
      <c r="G4" s="80">
        <f>G2*G3</f>
        <v>294951.8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-2.2409692676297333E-3</v>
      </c>
      <c r="F6" s="69" t="s">
        <v>16</v>
      </c>
      <c r="G6" s="68">
        <f>(I50-I19)/(D50-(SUM(D42:D44)+D19))</f>
        <v>31.336846466857203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 t="e">
        <f t="shared" ref="E10:E19" si="1">D10/$D$19</f>
        <v>#DIV/0!</v>
      </c>
      <c r="F10" s="28">
        <f t="shared" ref="F10:F18" si="2">C10-(C10*$E$6)</f>
        <v>26.058265200958374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/>
      <c r="E11" s="29" t="e">
        <f t="shared" si="1"/>
        <v>#DIV/0!</v>
      </c>
      <c r="F11" s="28">
        <f t="shared" si="2"/>
        <v>27.160730267152768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24.755351940910455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 t="e">
        <f t="shared" si="1"/>
        <v>#DIV/0!</v>
      </c>
      <c r="F13" s="28">
        <f t="shared" si="2"/>
        <v>27.160730267152768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 t="e">
        <f t="shared" si="1"/>
        <v>#DIV/0!</v>
      </c>
      <c r="F14" s="28">
        <f t="shared" si="2"/>
        <v>30.367901368809182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 t="e">
        <f t="shared" si="1"/>
        <v>#DIV/0!</v>
      </c>
      <c r="F15" s="28">
        <f t="shared" si="2"/>
        <v>25.056024231690742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/>
      <c r="E16" s="29" t="e">
        <f t="shared" si="1"/>
        <v>#DIV/0!</v>
      </c>
      <c r="F16" s="28">
        <f t="shared" si="2"/>
        <v>34.27664114895294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/>
      <c r="E17" s="29" t="e">
        <f t="shared" si="1"/>
        <v>#DIV/0!</v>
      </c>
      <c r="F17" s="28">
        <f t="shared" si="2"/>
        <v>50.412720754161775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 t="e">
        <f t="shared" si="1"/>
        <v>#DIV/0!</v>
      </c>
      <c r="F18" s="28">
        <f t="shared" si="2"/>
        <v>44.098602647775706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145.19999999999999</v>
      </c>
      <c r="E21" s="29">
        <f>D21/$D$48</f>
        <v>1.2799379424027925E-2</v>
      </c>
      <c r="F21" s="28">
        <f>C21-(C21*$E$6)</f>
        <v>65.546559390102985</v>
      </c>
      <c r="G21" s="27" t="str">
        <f>IF(C21&gt;=F21,"-","+")</f>
        <v>+</v>
      </c>
      <c r="H21" s="26">
        <f>C21*D21</f>
        <v>9496.08</v>
      </c>
      <c r="I21" s="26">
        <f>F21*D21</f>
        <v>9517.3604234429531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369.2</v>
      </c>
      <c r="E22" s="29">
        <f>D22/$D$48</f>
        <v>3.2544978535475964E-2</v>
      </c>
      <c r="F22" s="28">
        <f>C22-(C22*$E$6)</f>
        <v>43.99837855084894</v>
      </c>
      <c r="G22" s="27" t="str">
        <f>IF(C22&gt;=F22,"-","+")</f>
        <v>+</v>
      </c>
      <c r="H22" s="26">
        <f>C22*D22</f>
        <v>16207.88</v>
      </c>
      <c r="I22" s="26">
        <f>F22*D22</f>
        <v>16244.201360973428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289.5</v>
      </c>
      <c r="E23" s="29">
        <f>D23/$D$48</f>
        <v>2.5519423851625929E-2</v>
      </c>
      <c r="F23" s="28">
        <f>C23-(C23*$E$6)</f>
        <v>40.089638770705193</v>
      </c>
      <c r="G23" s="27" t="str">
        <f>IF(C23&gt;=F23,"-","+")</f>
        <v>+</v>
      </c>
      <c r="H23" s="26">
        <f>C23*D23</f>
        <v>11580</v>
      </c>
      <c r="I23" s="26">
        <f>F23*D23</f>
        <v>11605.950424119153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46.378853091180495</v>
      </c>
      <c r="D24" s="22">
        <f>SUM(D21:D23)</f>
        <v>803.9</v>
      </c>
      <c r="E24" s="21">
        <f>D24/$D$48</f>
        <v>7.0863781811129817E-2</v>
      </c>
      <c r="F24" s="20">
        <f>I24/D24</f>
        <v>46.482786675625739</v>
      </c>
      <c r="G24" s="19">
        <f>F24/C24-1</f>
        <v>2.2409692676295112E-3</v>
      </c>
      <c r="H24" s="18">
        <f>SUM(H21:H23)</f>
        <v>37283.96</v>
      </c>
      <c r="I24" s="18">
        <f>SUM(I21:I23)</f>
        <v>37367.512208535532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v>2142.4</v>
      </c>
      <c r="E26" s="29">
        <f t="shared" ref="E26:E32" si="7">D26/$D$48</f>
        <v>0.18885255150163521</v>
      </c>
      <c r="F26" s="28">
        <f t="shared" ref="F26:F31" si="8">C26-(C26*$E$6)</f>
        <v>34.978209827440274</v>
      </c>
      <c r="G26" s="27" t="str">
        <f t="shared" ref="G26:G31" si="9">IF(C26&gt;=F26,"-","+")</f>
        <v>+</v>
      </c>
      <c r="H26" s="26">
        <f t="shared" ref="H26:H31" si="10">C26*D26</f>
        <v>74769.759999999995</v>
      </c>
      <c r="I26" s="26">
        <f t="shared" ref="I26:I31" si="11">F26*D26</f>
        <v>74937.316734308042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1814.4</v>
      </c>
      <c r="E27" s="29">
        <f t="shared" si="7"/>
        <v>0.15993935280272914</v>
      </c>
      <c r="F27" s="28">
        <f t="shared" si="8"/>
        <v>31.169694144223286</v>
      </c>
      <c r="G27" s="27" t="str">
        <f t="shared" si="9"/>
        <v>+</v>
      </c>
      <c r="H27" s="26">
        <f t="shared" si="10"/>
        <v>56427.840000000004</v>
      </c>
      <c r="I27" s="26">
        <f t="shared" si="11"/>
        <v>56554.293055278729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1068.5999999999999</v>
      </c>
      <c r="E28" s="29">
        <f t="shared" si="7"/>
        <v>9.4197085761131144E-2</v>
      </c>
      <c r="F28" s="28">
        <f t="shared" si="8"/>
        <v>31.169694144223286</v>
      </c>
      <c r="G28" s="27" t="str">
        <f t="shared" si="9"/>
        <v>+</v>
      </c>
      <c r="H28" s="26">
        <f t="shared" si="10"/>
        <v>33233.46</v>
      </c>
      <c r="I28" s="26">
        <f t="shared" si="11"/>
        <v>33307.935162517002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1141.2</v>
      </c>
      <c r="E29" s="29">
        <f t="shared" si="7"/>
        <v>0.10059677547314512</v>
      </c>
      <c r="F29" s="28">
        <f t="shared" si="8"/>
        <v>30.067229078028891</v>
      </c>
      <c r="G29" s="27" t="str">
        <f t="shared" si="9"/>
        <v>+</v>
      </c>
      <c r="H29" s="26">
        <f t="shared" si="10"/>
        <v>34236</v>
      </c>
      <c r="I29" s="26">
        <f t="shared" si="11"/>
        <v>34312.721823846572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779.9</v>
      </c>
      <c r="E30" s="29">
        <f t="shared" si="7"/>
        <v>6.8748181906331821E-2</v>
      </c>
      <c r="F30" s="28">
        <f t="shared" si="8"/>
        <v>30.067229078028891</v>
      </c>
      <c r="G30" s="27" t="str">
        <f t="shared" si="9"/>
        <v>+</v>
      </c>
      <c r="H30" s="26">
        <f t="shared" si="10"/>
        <v>23397</v>
      </c>
      <c r="I30" s="26">
        <f t="shared" si="11"/>
        <v>23449.43195795473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301.60000000000002</v>
      </c>
      <c r="E31" s="29">
        <f t="shared" si="7"/>
        <v>2.6586038803628257E-2</v>
      </c>
      <c r="F31" s="28">
        <f t="shared" si="8"/>
        <v>30.66857365958947</v>
      </c>
      <c r="G31" s="27" t="str">
        <f t="shared" si="9"/>
        <v>+</v>
      </c>
      <c r="H31" s="26">
        <f t="shared" si="10"/>
        <v>9228.9600000000009</v>
      </c>
      <c r="I31" s="26">
        <f t="shared" si="11"/>
        <v>9249.6418157321841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31.91084836025993</v>
      </c>
      <c r="D32" s="22">
        <f>SUM(D26:D31)</f>
        <v>7248.0999999999995</v>
      </c>
      <c r="E32" s="21">
        <f t="shared" si="7"/>
        <v>0.63891998624860058</v>
      </c>
      <c r="F32" s="20">
        <f>I32/D32</f>
        <v>31.982359590739268</v>
      </c>
      <c r="G32" s="19">
        <f>F32/C32-1</f>
        <v>2.2409692676297333E-3</v>
      </c>
      <c r="H32" s="18">
        <f>SUM(H26:H31)</f>
        <v>231293.02</v>
      </c>
      <c r="I32" s="18">
        <f>SUM(I26:I31)</f>
        <v>231811.34054963727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v>1356.2</v>
      </c>
      <c r="E34" s="29">
        <f t="shared" ref="E34:E40" si="13">D34/$D$48</f>
        <v>0.1195490246202939</v>
      </c>
      <c r="F34" s="28">
        <f t="shared" ref="F34:F39" si="14">C34-(C34*$E$6)</f>
        <v>18.441233834524386</v>
      </c>
      <c r="G34" s="27" t="str">
        <f t="shared" ref="G34:G39" si="15">IF(C34&gt;=F34,"-","+")</f>
        <v>+</v>
      </c>
      <c r="H34" s="26">
        <f t="shared" ref="H34:H39" si="16">C34*D34</f>
        <v>24954.079999999998</v>
      </c>
      <c r="I34" s="26">
        <f t="shared" ref="I34:I39" si="17">F34*D34</f>
        <v>25010.001326381975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14.13159766667358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11.42554704965098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30.067229078028891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30.067229078028891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31.169694144223286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18.399999999999999</v>
      </c>
      <c r="D40" s="22">
        <f>SUM(D34:D39)</f>
        <v>1356.2</v>
      </c>
      <c r="E40" s="21">
        <f t="shared" si="13"/>
        <v>0.1195490246202939</v>
      </c>
      <c r="F40" s="20">
        <f>I40/D40</f>
        <v>18.441233834524386</v>
      </c>
      <c r="G40" s="19">
        <f>F40/C40-1</f>
        <v>2.2409692676297333E-3</v>
      </c>
      <c r="H40" s="18">
        <f>SUM(H34:H39)</f>
        <v>24954.079999999998</v>
      </c>
      <c r="I40" s="18">
        <f>SUM(I34:I39)</f>
        <v>25010.001326381975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1809</v>
      </c>
      <c r="E42" s="107">
        <f>D42/$D$48</f>
        <v>0.15946334282414959</v>
      </c>
      <c r="F42" s="28">
        <f>C42-(C42*$E$6)</f>
        <v>0.40089638770705194</v>
      </c>
      <c r="G42" s="27" t="str">
        <f>IF(C42&gt;=F42,"-","+")</f>
        <v>+</v>
      </c>
      <c r="H42" s="26">
        <f>C42*D42</f>
        <v>723.6</v>
      </c>
      <c r="I42" s="26">
        <f>F42*D42</f>
        <v>725.22156536205694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94.1</v>
      </c>
      <c r="E43" s="107">
        <f>D43/$D$48</f>
        <v>8.2949146267288412E-3</v>
      </c>
      <c r="F43" s="28">
        <f>C43-(C43*$E$6)</f>
        <v>0.40089638770705194</v>
      </c>
      <c r="G43" s="27" t="str">
        <f>IF(C43&gt;=F43,"-","+")</f>
        <v>+</v>
      </c>
      <c r="H43" s="26">
        <f>C43*D43</f>
        <v>37.64</v>
      </c>
      <c r="I43" s="26">
        <f>F43*D43</f>
        <v>37.724350083233588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28.9</v>
      </c>
      <c r="E44" s="107">
        <f>D44/$D$48</f>
        <v>2.5475348853609301E-3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3.6141498373632575E-4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0.39318217034244102</v>
      </c>
      <c r="D46" s="22">
        <f>SUM(D41:D45)</f>
        <v>1936.1</v>
      </c>
      <c r="E46" s="21">
        <f>D46/$D$48</f>
        <v>0.17066720731997567</v>
      </c>
      <c r="F46" s="20">
        <f>I46/D46</f>
        <v>0.39406327950275843</v>
      </c>
      <c r="G46" s="19">
        <f>F46/C46-1</f>
        <v>2.2409692676299553E-3</v>
      </c>
      <c r="H46" s="18">
        <f>SUM(H41:H44)</f>
        <v>761.24</v>
      </c>
      <c r="I46" s="18">
        <f>SUM(I41:I44)</f>
        <v>762.94591544529055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97.082883621782855</v>
      </c>
      <c r="D48" s="13">
        <f>D24+D32+D40+D46</f>
        <v>11344.3</v>
      </c>
      <c r="E48" s="12">
        <f>SUM(E20:E46)/2</f>
        <v>1.0000000000000002</v>
      </c>
      <c r="F48" s="11">
        <f>I48/D48</f>
        <v>26.000000000000007</v>
      </c>
      <c r="G48" s="10"/>
      <c r="H48" s="9">
        <f>SUM(H20:H46)/2</f>
        <v>294292.29999999993</v>
      </c>
      <c r="I48" s="9">
        <f>SUM(I20:I46)/2</f>
        <v>294951.80000000005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11344.3</v>
      </c>
      <c r="E50" s="12">
        <f>D50/G2</f>
        <v>1</v>
      </c>
      <c r="F50" s="11">
        <f>I50/D50</f>
        <v>26.000000000000007</v>
      </c>
      <c r="G50" s="10"/>
      <c r="H50" s="9">
        <f>H48+H19</f>
        <v>294292.29999999993</v>
      </c>
      <c r="I50" s="9">
        <f>I48+I19</f>
        <v>294951.80000000005</v>
      </c>
      <c r="J50" s="106">
        <f>D50-G2</f>
        <v>0</v>
      </c>
      <c r="K50" s="8"/>
    </row>
    <row r="51" spans="1:11" ht="23.25" x14ac:dyDescent="0.35">
      <c r="A51" s="168" t="s">
        <v>178</v>
      </c>
      <c r="B51" s="169"/>
      <c r="C51" s="170"/>
      <c r="G51" s="7"/>
      <c r="H51" s="6"/>
      <c r="I51" s="6">
        <f>+I50/D50</f>
        <v>26.000000000000007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92D050"/>
  </sheetPr>
  <dimension ref="A1:K56"/>
  <sheetViews>
    <sheetView topLeftCell="A18" workbookViewId="0">
      <selection activeCell="E29" sqref="E29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176</v>
      </c>
      <c r="D1" s="100" t="s">
        <v>1</v>
      </c>
      <c r="E1" s="168" t="s">
        <v>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177</v>
      </c>
      <c r="D2" s="96" t="s">
        <v>3</v>
      </c>
      <c r="E2" s="95" t="s">
        <v>71</v>
      </c>
      <c r="F2" s="94" t="s">
        <v>5</v>
      </c>
      <c r="G2" s="93">
        <v>10441.299999999999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120</v>
      </c>
      <c r="F3" s="88" t="s">
        <v>8</v>
      </c>
      <c r="G3" s="87">
        <v>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87.010833333333323</v>
      </c>
      <c r="F4" s="81" t="s">
        <v>12</v>
      </c>
      <c r="G4" s="80">
        <f>G2*G3</f>
        <v>271473.8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-8.25860202799511E-3</v>
      </c>
      <c r="F6" s="69" t="s">
        <v>16</v>
      </c>
      <c r="G6" s="68">
        <f>(I50-I19)/(D50-(SUM(D42:D44)+D19))</f>
        <v>31.57663452479267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 t="e">
        <f t="shared" ref="E10:E19" si="1">D10/$D$19</f>
        <v>#DIV/0!</v>
      </c>
      <c r="F10" s="28">
        <f t="shared" ref="F10:F18" si="2">C10-(C10*$E$6)</f>
        <v>26.214723652727873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/>
      <c r="E11" s="29" t="e">
        <f t="shared" si="1"/>
        <v>#DIV/0!</v>
      </c>
      <c r="F11" s="28">
        <f t="shared" si="2"/>
        <v>27.32380811495867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24.903987470091479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 t="e">
        <f t="shared" si="1"/>
        <v>#DIV/0!</v>
      </c>
      <c r="F13" s="28">
        <f t="shared" si="2"/>
        <v>27.32380811495867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 t="e">
        <f t="shared" si="1"/>
        <v>#DIV/0!</v>
      </c>
      <c r="F14" s="28">
        <f t="shared" si="2"/>
        <v>30.550235641448253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 t="e">
        <f t="shared" si="1"/>
        <v>#DIV/0!</v>
      </c>
      <c r="F15" s="28">
        <f t="shared" si="2"/>
        <v>25.206465050699876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/>
      <c r="E16" s="29" t="e">
        <f t="shared" si="1"/>
        <v>#DIV/0!</v>
      </c>
      <c r="F16" s="28">
        <f t="shared" si="2"/>
        <v>34.482444189357437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/>
      <c r="E17" s="29" t="e">
        <f t="shared" si="1"/>
        <v>#DIV/0!</v>
      </c>
      <c r="F17" s="28">
        <f t="shared" si="2"/>
        <v>50.715407682008149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 t="e">
        <f t="shared" si="1"/>
        <v>#DIV/0!</v>
      </c>
      <c r="F18" s="28">
        <f t="shared" si="2"/>
        <v>44.363378489231785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140.19999999999999</v>
      </c>
      <c r="E21" s="29">
        <f>D21/$D$48</f>
        <v>1.3427446773869154E-2</v>
      </c>
      <c r="F21" s="28">
        <f>C21-(C21*$E$6)</f>
        <v>65.940112572630881</v>
      </c>
      <c r="G21" s="27" t="str">
        <f>IF(C21&gt;=F21,"-","+")</f>
        <v>+</v>
      </c>
      <c r="H21" s="26">
        <f>C21*D21</f>
        <v>9169.08</v>
      </c>
      <c r="I21" s="26">
        <f>F21*D21</f>
        <v>9244.8037826828495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323</v>
      </c>
      <c r="E22" s="29">
        <f>D22/$D$48</f>
        <v>3.0934845277886855E-2</v>
      </c>
      <c r="F22" s="28">
        <f>C22-(C22*$E$6)</f>
        <v>44.262552629028981</v>
      </c>
      <c r="G22" s="27" t="str">
        <f>IF(C22&gt;=F22,"-","+")</f>
        <v>+</v>
      </c>
      <c r="H22" s="26">
        <f>C22*D22</f>
        <v>14179.699999999999</v>
      </c>
      <c r="I22" s="26">
        <f>F22*D22</f>
        <v>14296.804499176362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278.2</v>
      </c>
      <c r="E23" s="29">
        <f>D23/$D$48</f>
        <v>2.6644191815195426E-2</v>
      </c>
      <c r="F23" s="28">
        <f>C23-(C23*$E$6)</f>
        <v>40.330344081119804</v>
      </c>
      <c r="G23" s="27" t="str">
        <f>IF(C23&gt;=F23,"-","+")</f>
        <v>+</v>
      </c>
      <c r="H23" s="26">
        <f>C23*D23</f>
        <v>11128</v>
      </c>
      <c r="I23" s="26">
        <f>F23*D23</f>
        <v>11219.901723367529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46.502265983274889</v>
      </c>
      <c r="D24" s="22">
        <f>SUM(D21:D23)</f>
        <v>741.4</v>
      </c>
      <c r="E24" s="21">
        <f>D24/$D$48</f>
        <v>7.1006483866951436E-2</v>
      </c>
      <c r="F24" s="20">
        <f>I24/D24</f>
        <v>46.886309691430725</v>
      </c>
      <c r="G24" s="19">
        <f>F24/C24-1</f>
        <v>8.258602027994888E-3</v>
      </c>
      <c r="H24" s="18">
        <f>SUM(H21:H23)</f>
        <v>34476.78</v>
      </c>
      <c r="I24" s="18">
        <f>SUM(I21:I23)</f>
        <v>34761.510005226737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v>2033.6</v>
      </c>
      <c r="E26" s="29">
        <f t="shared" ref="E26:E32" si="7">D26/$D$48</f>
        <v>0.19476501968145729</v>
      </c>
      <c r="F26" s="28">
        <f t="shared" ref="F26:F31" si="8">C26-(C26*$E$6)</f>
        <v>35.188225210777027</v>
      </c>
      <c r="G26" s="27" t="str">
        <f t="shared" ref="G26:G31" si="9">IF(C26&gt;=F26,"-","+")</f>
        <v>+</v>
      </c>
      <c r="H26" s="26">
        <f t="shared" ref="H26:H31" si="10">C26*D26</f>
        <v>70972.639999999999</v>
      </c>
      <c r="I26" s="26">
        <f t="shared" ref="I26:I31" si="11">F26*D26</f>
        <v>71558.774788636161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1581.6</v>
      </c>
      <c r="E27" s="29">
        <f t="shared" si="7"/>
        <v>0.15147539099537413</v>
      </c>
      <c r="F27" s="28">
        <f t="shared" si="8"/>
        <v>31.35684252307065</v>
      </c>
      <c r="G27" s="27" t="str">
        <f t="shared" si="9"/>
        <v>+</v>
      </c>
      <c r="H27" s="26">
        <f t="shared" si="10"/>
        <v>49187.76</v>
      </c>
      <c r="I27" s="26">
        <f t="shared" si="11"/>
        <v>49593.982134488535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1039.0999999999999</v>
      </c>
      <c r="E28" s="29">
        <f t="shared" si="7"/>
        <v>9.9518259220595137E-2</v>
      </c>
      <c r="F28" s="28">
        <f t="shared" si="8"/>
        <v>31.35684252307065</v>
      </c>
      <c r="G28" s="27" t="str">
        <f t="shared" si="9"/>
        <v>+</v>
      </c>
      <c r="H28" s="26">
        <f t="shared" si="10"/>
        <v>32316.01</v>
      </c>
      <c r="I28" s="26">
        <f t="shared" si="11"/>
        <v>32582.895065722711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1066.8</v>
      </c>
      <c r="E29" s="29">
        <f t="shared" si="7"/>
        <v>0.10217118558033962</v>
      </c>
      <c r="F29" s="28">
        <f t="shared" si="8"/>
        <v>30.247758060839853</v>
      </c>
      <c r="G29" s="27" t="str">
        <f t="shared" si="9"/>
        <v>+</v>
      </c>
      <c r="H29" s="26">
        <f t="shared" si="10"/>
        <v>32004</v>
      </c>
      <c r="I29" s="26">
        <f t="shared" si="11"/>
        <v>32268.308299303953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546.1</v>
      </c>
      <c r="E30" s="29">
        <f t="shared" si="7"/>
        <v>5.2301916428030996E-2</v>
      </c>
      <c r="F30" s="28">
        <f t="shared" si="8"/>
        <v>30.247758060839853</v>
      </c>
      <c r="G30" s="27" t="str">
        <f t="shared" si="9"/>
        <v>+</v>
      </c>
      <c r="H30" s="26">
        <f t="shared" si="10"/>
        <v>16383</v>
      </c>
      <c r="I30" s="26">
        <f t="shared" si="11"/>
        <v>16518.300677024643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327.5</v>
      </c>
      <c r="E31" s="29">
        <f t="shared" si="7"/>
        <v>3.1365826094451842E-2</v>
      </c>
      <c r="F31" s="28">
        <f t="shared" si="8"/>
        <v>30.85271322205665</v>
      </c>
      <c r="G31" s="27" t="str">
        <f t="shared" si="9"/>
        <v>+</v>
      </c>
      <c r="H31" s="26">
        <f t="shared" si="10"/>
        <v>10021.5</v>
      </c>
      <c r="I31" s="26">
        <f t="shared" si="11"/>
        <v>10104.263580223553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31.977938344428104</v>
      </c>
      <c r="D32" s="22">
        <f>SUM(D26:D31)</f>
        <v>6594.7</v>
      </c>
      <c r="E32" s="21">
        <f t="shared" si="7"/>
        <v>0.63159759800024906</v>
      </c>
      <c r="F32" s="20">
        <f>I32/D32</f>
        <v>32.242031410890498</v>
      </c>
      <c r="G32" s="19">
        <f>F32/C32-1</f>
        <v>8.25860202799511E-3</v>
      </c>
      <c r="H32" s="18">
        <f>SUM(H26:H31)</f>
        <v>210884.91</v>
      </c>
      <c r="I32" s="18">
        <f>SUM(I26:I31)</f>
        <v>212626.52454539956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v>1258.2</v>
      </c>
      <c r="E34" s="29">
        <f t="shared" ref="E34:E40" si="13">D34/$D$48</f>
        <v>0.12050223631157041</v>
      </c>
      <c r="F34" s="28">
        <f t="shared" ref="F34:F39" si="14">C34-(C34*$E$6)</f>
        <v>18.551958277315109</v>
      </c>
      <c r="G34" s="27" t="str">
        <f t="shared" ref="G34:G39" si="15">IF(C34&gt;=F34,"-","+")</f>
        <v>+</v>
      </c>
      <c r="H34" s="26">
        <f t="shared" ref="H34:H39" si="16">C34*D34</f>
        <v>23150.879999999997</v>
      </c>
      <c r="I34" s="26">
        <f t="shared" ref="I34:I39" si="17">F34*D34</f>
        <v>23342.073904517871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14.216446288594732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11.494148063119145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30.247758060839853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30.247758060839853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31.35684252307065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18.399999999999999</v>
      </c>
      <c r="D40" s="22">
        <f>SUM(D34:D39)</f>
        <v>1258.2</v>
      </c>
      <c r="E40" s="21">
        <f t="shared" si="13"/>
        <v>0.12050223631157041</v>
      </c>
      <c r="F40" s="20">
        <f>I40/D40</f>
        <v>18.551958277315109</v>
      </c>
      <c r="G40" s="19">
        <f>F40/C40-1</f>
        <v>8.25860202799511E-3</v>
      </c>
      <c r="H40" s="18">
        <f>SUM(H34:H39)</f>
        <v>23150.879999999997</v>
      </c>
      <c r="I40" s="18">
        <f>SUM(I34:I39)</f>
        <v>23342.073904517871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1785</v>
      </c>
      <c r="E42" s="107">
        <f>D42/$D$48</f>
        <v>0.17095572390411157</v>
      </c>
      <c r="F42" s="28">
        <f>C42-(C42*$E$6)</f>
        <v>0.40330344081119807</v>
      </c>
      <c r="G42" s="27" t="str">
        <f>IF(C42&gt;=F42,"-","+")</f>
        <v>+</v>
      </c>
      <c r="H42" s="26">
        <f>C42*D42</f>
        <v>714</v>
      </c>
      <c r="I42" s="26">
        <f>F42*D42</f>
        <v>719.89664184798858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59</v>
      </c>
      <c r="E43" s="107">
        <f>D43/$D$48</f>
        <v>5.6506373727409423E-3</v>
      </c>
      <c r="F43" s="28">
        <f>C43-(C43*$E$6)</f>
        <v>0.40330344081119807</v>
      </c>
      <c r="G43" s="27" t="str">
        <f>IF(C43&gt;=F43,"-","+")</f>
        <v>+</v>
      </c>
      <c r="H43" s="26">
        <f>C43*D43</f>
        <v>23.6</v>
      </c>
      <c r="I43" s="26">
        <f>F43*D43</f>
        <v>23.794903007860686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</v>
      </c>
      <c r="E45" s="107">
        <f>D45/$D$48</f>
        <v>2.873205443766581E-4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0.3993502977801841</v>
      </c>
      <c r="D46" s="22">
        <f>SUM(D41:D45)</f>
        <v>1847</v>
      </c>
      <c r="E46" s="21">
        <f>D46/$D$48</f>
        <v>0.17689368182122917</v>
      </c>
      <c r="F46" s="20">
        <f>I46/D46</f>
        <v>0.40264837295931205</v>
      </c>
      <c r="G46" s="19">
        <f>F46/C46-1</f>
        <v>8.2586020279953321E-3</v>
      </c>
      <c r="H46" s="18">
        <f>SUM(H41:H44)</f>
        <v>737.6</v>
      </c>
      <c r="I46" s="18">
        <f>SUM(I41:I44)</f>
        <v>743.69154485584932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97.279554625483172</v>
      </c>
      <c r="D48" s="13">
        <f>D24+D32+D40+D46</f>
        <v>10441.299999999999</v>
      </c>
      <c r="E48" s="12">
        <f>SUM(E20:E46)/2</f>
        <v>1</v>
      </c>
      <c r="F48" s="11">
        <f>I48/D48</f>
        <v>26.000000000000007</v>
      </c>
      <c r="G48" s="10"/>
      <c r="H48" s="9">
        <f>SUM(H20:H46)/2</f>
        <v>269250.17</v>
      </c>
      <c r="I48" s="9">
        <f>SUM(I20:I46)/2</f>
        <v>271473.80000000005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10441.300000000001</v>
      </c>
      <c r="E50" s="12">
        <f>D50/G2</f>
        <v>1.0000000000000002</v>
      </c>
      <c r="F50" s="11">
        <f>I50/D50</f>
        <v>26</v>
      </c>
      <c r="G50" s="10"/>
      <c r="H50" s="9">
        <f>H48+H19</f>
        <v>269250.17</v>
      </c>
      <c r="I50" s="9">
        <f>I48+I19</f>
        <v>271473.80000000005</v>
      </c>
      <c r="J50" s="106">
        <f>D50-G2</f>
        <v>0</v>
      </c>
      <c r="K50" s="8"/>
    </row>
    <row r="51" spans="1:11" ht="23.25" x14ac:dyDescent="0.35">
      <c r="A51" s="168" t="s">
        <v>179</v>
      </c>
      <c r="B51" s="169"/>
      <c r="C51" s="170"/>
      <c r="G51" s="7"/>
      <c r="H51" s="6"/>
      <c r="I51" s="6">
        <f>+I50/D50</f>
        <v>26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6.14062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/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'BO28-18122728'!G2+'BO28-18122627'!G2+'ÖA27-18122324-1'!G2+'ÖA24-18122324'!G2+'YIL20-18121920'!G2+'YIL17-18121617'!G2+'MOL13-18121213'!G2+'MOL10-18120810'!G2+'BO06-18120406'!G2+'ÜN06-18120506'!G2+'ÖA03-18120203'!G2</f>
        <v>145998.5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30">
        <f>'BO28-18122728'!E3+'BO28-18122627'!E3+'ÖA27-18122324-1'!E3+'ÖA24-18122324'!E3+'YIL20-18121920'!E3+'YIL17-18121617'!E3+'MOL13-18121213'!E3+'MOL10-18120810'!E3+'BO06-18120406'!E3+'ÜN06-18120506'!E3+'ÖA03-18120203'!E3</f>
        <v>1730</v>
      </c>
      <c r="F3" s="111" t="s">
        <v>8</v>
      </c>
      <c r="G3" s="109">
        <v>25.54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84.39219653179191</v>
      </c>
      <c r="F4" s="81" t="s">
        <v>12</v>
      </c>
      <c r="G4" s="112">
        <f>G2*G3</f>
        <v>3728801.69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9.4581824517432356E-3</v>
      </c>
      <c r="F6" s="69" t="s">
        <v>16</v>
      </c>
      <c r="G6" s="68">
        <f>(I50-I19)/(D50-(SUM(D42:D44)+D19))</f>
        <v>30.414471371117404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25.5</v>
      </c>
      <c r="D10" s="30">
        <f>'BO28-18122728'!D10+'BO28-18122627'!D10+'ÖA27-18122324-1'!D10+'ÖA24-18122324'!D10+'YIL20-18121920'!D10+'YIL17-18121617'!D10+'MOL13-18121213'!D10+'MOL10-18120810'!D10+'BO06-18120406'!D10+'ÜN06-18120506'!D10+'ÖA03-18120203'!D10</f>
        <v>0</v>
      </c>
      <c r="E10" s="29">
        <f t="shared" ref="E10:E19" si="1">D10/$D$19</f>
        <v>0</v>
      </c>
      <c r="F10" s="28">
        <f t="shared" ref="F10:F18" si="2">C10-(C10*$E$6)</f>
        <v>25.258816347480547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26.6</v>
      </c>
      <c r="D11" s="30">
        <f>'BO28-18122728'!D11+'BO28-18122627'!D11+'ÖA27-18122324-1'!D11+'ÖA24-18122324'!D11+'YIL20-18121920'!D11+'YIL17-18121617'!D11+'MOL13-18121213'!D11+'MOL10-18120810'!D11+'BO06-18120406'!D11+'ÜN06-18120506'!D11+'ÖA03-18120203'!D11</f>
        <v>0</v>
      </c>
      <c r="E11" s="29">
        <f t="shared" si="1"/>
        <v>0</v>
      </c>
      <c r="F11" s="28">
        <f t="shared" si="2"/>
        <v>26.348412346783633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24.3</v>
      </c>
      <c r="D12" s="30">
        <f>'BO28-18122728'!D12+'BO28-18122627'!D12+'ÖA27-18122324-1'!D12+'ÖA24-18122324'!D12+'YIL20-18121920'!D12+'YIL17-18121617'!D12+'MOL13-18121213'!D12+'MOL10-18120810'!D12+'BO06-18120406'!D12+'ÜN06-18120506'!D12+'ÖA03-18120203'!D12</f>
        <v>0</v>
      </c>
      <c r="E12" s="29">
        <f t="shared" si="1"/>
        <v>0</v>
      </c>
      <c r="F12" s="28">
        <f t="shared" si="2"/>
        <v>24.070166166422641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26.6</v>
      </c>
      <c r="D13" s="30">
        <f>'BO28-18122728'!D13+'BO28-18122627'!D13+'ÖA27-18122324-1'!D13+'ÖA24-18122324'!D13+'YIL20-18121920'!D13+'YIL17-18121617'!D13+'MOL13-18121213'!D13+'MOL10-18120810'!D13+'BO06-18120406'!D13+'ÜN06-18120506'!D13+'ÖA03-18120203'!D13</f>
        <v>0</v>
      </c>
      <c r="E13" s="29">
        <f t="shared" si="1"/>
        <v>0</v>
      </c>
      <c r="F13" s="28">
        <f t="shared" si="2"/>
        <v>26.348412346783633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29.7</v>
      </c>
      <c r="D14" s="30">
        <f>'BO28-18122728'!D14+'BO28-18122627'!D14+'ÖA27-18122324-1'!D14+'ÖA24-18122324'!D14+'YIL20-18121920'!D14+'YIL17-18121617'!D14+'MOL13-18121213'!D14+'MOL10-18120810'!D14+'BO06-18120406'!D14+'ÜN06-18120506'!D14+'ÖA03-18120203'!D14</f>
        <v>0</v>
      </c>
      <c r="E14" s="29">
        <f t="shared" si="1"/>
        <v>0</v>
      </c>
      <c r="F14" s="28">
        <f t="shared" si="2"/>
        <v>29.419091981183225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24.5</v>
      </c>
      <c r="D15" s="30">
        <f>'BO28-18122728'!D15+'BO28-18122627'!D15+'ÖA27-18122324-1'!D15+'ÖA24-18122324'!D15+'YIL20-18121920'!D15+'YIL17-18121617'!D15+'MOL13-18121213'!D15+'MOL10-18120810'!D15+'BO06-18120406'!D15+'ÜN06-18120506'!D15+'ÖA03-18120203'!D15</f>
        <v>0</v>
      </c>
      <c r="E15" s="29">
        <f t="shared" si="1"/>
        <v>0</v>
      </c>
      <c r="F15" s="28">
        <f t="shared" si="2"/>
        <v>24.268274529932292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33.6</v>
      </c>
      <c r="D16" s="30">
        <f>'BO28-18122728'!D16+'BO28-18122627'!D16+'ÖA27-18122324-1'!D16+'ÖA24-18122324'!D16+'YIL20-18121920'!D16+'YIL17-18121617'!D16+'MOL13-18121213'!D16+'MOL10-18120810'!D16+'BO06-18120406'!D16+'ÜN06-18120506'!D16+'ÖA03-18120203'!D16</f>
        <v>127.4</v>
      </c>
      <c r="E16" s="29">
        <f t="shared" si="1"/>
        <v>0.51662611516626111</v>
      </c>
      <c r="F16" s="28">
        <f t="shared" si="2"/>
        <v>33.282205069621426</v>
      </c>
      <c r="G16" s="27" t="str">
        <f t="shared" si="3"/>
        <v>-</v>
      </c>
      <c r="H16" s="34">
        <f t="shared" si="4"/>
        <v>4280.6400000000003</v>
      </c>
      <c r="I16" s="34">
        <f t="shared" si="5"/>
        <v>4240.1529258697701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49.4</v>
      </c>
      <c r="D17" s="30">
        <f>'BO28-18122728'!D17+'BO28-18122627'!D17+'ÖA27-18122324-1'!D17+'ÖA24-18122324'!D17+'YIL20-18121920'!D17+'YIL17-18121617'!D17+'MOL13-18121213'!D17+'MOL10-18120810'!D17+'BO06-18120406'!D17+'ÜN06-18120506'!D17+'ÖA03-18120203'!D17</f>
        <v>119.2</v>
      </c>
      <c r="E17" s="29">
        <f t="shared" si="1"/>
        <v>0.48337388483373883</v>
      </c>
      <c r="F17" s="28">
        <f t="shared" si="2"/>
        <v>48.932765786883884</v>
      </c>
      <c r="G17" s="27" t="str">
        <f t="shared" si="3"/>
        <v>-</v>
      </c>
      <c r="H17" s="34">
        <f t="shared" si="4"/>
        <v>5888.48</v>
      </c>
      <c r="I17" s="34">
        <f t="shared" si="5"/>
        <v>5832.7856817965594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43.3</v>
      </c>
      <c r="D18" s="30">
        <f>'BO28-18122728'!D18+'BO28-18122627'!D18+'ÖA27-18122324-1'!D18+'ÖA24-18122324'!D18+'YIL20-18121920'!D18+'YIL17-18121617'!D18+'MOL13-18121213'!D18+'MOL10-18120810'!D18+'BO06-18120406'!D18+'ÜN06-18120506'!D18+'ÖA03-18120203'!D18</f>
        <v>0</v>
      </c>
      <c r="E18" s="29">
        <f t="shared" si="1"/>
        <v>0</v>
      </c>
      <c r="F18" s="28">
        <f t="shared" si="2"/>
        <v>42.890460699839515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41.237307380373068</v>
      </c>
      <c r="D19" s="49">
        <f>SUM(D10:D18)</f>
        <v>246.60000000000002</v>
      </c>
      <c r="E19" s="48">
        <f t="shared" si="1"/>
        <v>1</v>
      </c>
      <c r="F19" s="47">
        <f>I19/D19</f>
        <v>40.84727740335088</v>
      </c>
      <c r="G19" s="46">
        <f>F19/C19-1</f>
        <v>-9.4581824517432356E-3</v>
      </c>
      <c r="H19" s="9">
        <f>SUM(H10:H18)</f>
        <v>10169.119999999999</v>
      </c>
      <c r="I19" s="9">
        <f>SUM(I10:I18)</f>
        <v>10072.938607666329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64.2</v>
      </c>
      <c r="D21" s="30">
        <f>'BO28-18122728'!D21+'BO28-18122627'!D21+'ÖA27-18122324-1'!D21+'ÖA24-18122324'!D21+'YIL20-18121920'!D21+'YIL17-18121617'!D21+'MOL13-18121213'!D21+'MOL10-18120810'!D21+'BO06-18120406'!D21+'ÜN06-18120506'!D21+'ÖA03-18120203'!D21</f>
        <v>1921.3</v>
      </c>
      <c r="E21" s="29">
        <f>D21/$D$48</f>
        <v>1.3182043659301836E-2</v>
      </c>
      <c r="F21" s="28">
        <f>C21-(C21*$E$6)</f>
        <v>63.592784686598087</v>
      </c>
      <c r="G21" s="27" t="str">
        <f>IF(C21&gt;=F21,"-","+")</f>
        <v>-</v>
      </c>
      <c r="H21" s="26">
        <f>C21*D21</f>
        <v>123347.46</v>
      </c>
      <c r="I21" s="26">
        <f>F21*D21</f>
        <v>122180.8172183609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43.1</v>
      </c>
      <c r="D22" s="30">
        <f>'BO28-18122728'!D22+'BO28-18122627'!D22+'ÖA27-18122324-1'!D22+'ÖA24-18122324'!D22+'YIL20-18121920'!D22+'YIL17-18121617'!D22+'MOL13-18121213'!D22+'MOL10-18120810'!D22+'BO06-18120406'!D22+'ÜN06-18120506'!D22+'ÖA03-18120203'!D22</f>
        <v>4749.3</v>
      </c>
      <c r="E22" s="29">
        <f>D22/$D$48</f>
        <v>3.2584958075845633E-2</v>
      </c>
      <c r="F22" s="28">
        <f>C22-(C22*$E$6)</f>
        <v>42.692352336329868</v>
      </c>
      <c r="G22" s="27" t="str">
        <f>IF(C22&gt;=F22,"-","+")</f>
        <v>-</v>
      </c>
      <c r="H22" s="26">
        <f>C22*D22</f>
        <v>204694.83000000002</v>
      </c>
      <c r="I22" s="26">
        <f>F22*D22</f>
        <v>202758.78895093146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39.299999999999997</v>
      </c>
      <c r="D23" s="30">
        <f>'BO28-18122728'!D23+'BO28-18122627'!D23+'ÖA27-18122324-1'!D23+'ÖA24-18122324'!D23+'YIL20-18121920'!D23+'YIL17-18121617'!D23+'MOL13-18121213'!D23+'MOL10-18120810'!D23+'BO06-18120406'!D23+'ÜN06-18120506'!D23+'ÖA03-18120203'!D23</f>
        <v>3706.5000000000005</v>
      </c>
      <c r="E23" s="29">
        <f>D23/$D$48</f>
        <v>2.5430304909801835E-2</v>
      </c>
      <c r="F23" s="28">
        <f>C23-(C23*$E$6)</f>
        <v>38.928293429646487</v>
      </c>
      <c r="G23" s="27" t="str">
        <f>IF(C23&gt;=F23,"-","+")</f>
        <v>-</v>
      </c>
      <c r="H23" s="26">
        <f>C23*D23</f>
        <v>145665.45000000001</v>
      </c>
      <c r="I23" s="26">
        <f>F23*D23</f>
        <v>144287.71959698471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45.64933748349732</v>
      </c>
      <c r="D24" s="22">
        <f>SUM(D21:D23)</f>
        <v>10377.1</v>
      </c>
      <c r="E24" s="21">
        <f>D24/$D$48</f>
        <v>7.1197306644949304E-2</v>
      </c>
      <c r="F24" s="20">
        <f>I24/D24</f>
        <v>45.217577720777193</v>
      </c>
      <c r="G24" s="19">
        <f>F24/C24-1</f>
        <v>-9.4581824517433466E-3</v>
      </c>
      <c r="H24" s="18">
        <f>SUM(H21:H23)</f>
        <v>473707.74000000005</v>
      </c>
      <c r="I24" s="18">
        <f>SUM(I21:I23)</f>
        <v>469227.32576627703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34.299999999999997</v>
      </c>
      <c r="D26" s="30">
        <f>'BO28-18122728'!D26+'BO28-18122627'!D26+'ÖA27-18122324-1'!D26+'ÖA24-18122324'!D26+'YIL20-18121920'!D26+'YIL17-18121617'!D26+'MOL13-18121213'!D26+'MOL10-18120810'!D26+'BO06-18120406'!D26+'ÜN06-18120506'!D26+'ÖA03-18120203'!D26</f>
        <v>28224.9</v>
      </c>
      <c r="E26" s="29">
        <f t="shared" ref="E26:E32" si="7">D26/$D$48</f>
        <v>0.19365110294041973</v>
      </c>
      <c r="F26" s="28">
        <f t="shared" ref="F26:F31" si="8">C26-(C26*$E$6)</f>
        <v>33.975584341905204</v>
      </c>
      <c r="G26" s="27" t="str">
        <f t="shared" ref="G26:G31" si="9">IF(C26&gt;=F26,"-","+")</f>
        <v>-</v>
      </c>
      <c r="H26" s="26">
        <f t="shared" ref="H26:H31" si="10">C26*D26</f>
        <v>968114.07</v>
      </c>
      <c r="I26" s="26">
        <f t="shared" ref="I26:I31" si="11">F26*D26</f>
        <v>958957.47049184027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30.5</v>
      </c>
      <c r="D27" s="30">
        <f>'BO28-18122728'!D27+'BO28-18122627'!D27+'ÖA27-18122324-1'!D27+'ÖA24-18122324'!D27+'YIL20-18121920'!D27+'YIL17-18121617'!D27+'MOL13-18121213'!D27+'MOL10-18120810'!D27+'BO06-18120406'!D27+'ÜN06-18120506'!D27+'ÖA03-18120203'!D27</f>
        <v>22700.9</v>
      </c>
      <c r="E27" s="29">
        <f t="shared" si="7"/>
        <v>0.15575092640683136</v>
      </c>
      <c r="F27" s="28">
        <f t="shared" si="8"/>
        <v>30.21152543522183</v>
      </c>
      <c r="G27" s="27" t="str">
        <f t="shared" si="9"/>
        <v>-</v>
      </c>
      <c r="H27" s="26">
        <f t="shared" si="10"/>
        <v>692377.45000000007</v>
      </c>
      <c r="I27" s="26">
        <f t="shared" si="11"/>
        <v>685828.81775242731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30.5</v>
      </c>
      <c r="D28" s="30">
        <f>'BO28-18122728'!D28+'BO28-18122627'!D28+'ÖA27-18122324-1'!D28+'ÖA24-18122324'!D28+'YIL20-18121920'!D28+'YIL17-18121617'!D28+'MOL13-18121213'!D28+'MOL10-18120810'!D28+'BO06-18120406'!D28+'ÜN06-18120506'!D28+'ÖA03-18120203'!D28</f>
        <v>15872.4</v>
      </c>
      <c r="E28" s="29">
        <f t="shared" si="7"/>
        <v>0.10890057241341929</v>
      </c>
      <c r="F28" s="28">
        <f t="shared" si="8"/>
        <v>30.21152543522183</v>
      </c>
      <c r="G28" s="27" t="str">
        <f t="shared" si="9"/>
        <v>-</v>
      </c>
      <c r="H28" s="26">
        <f t="shared" si="10"/>
        <v>484108.2</v>
      </c>
      <c r="I28" s="26">
        <f t="shared" si="11"/>
        <v>479529.41631801496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29.5</v>
      </c>
      <c r="D29" s="30">
        <f>'BO28-18122728'!D29+'BO28-18122627'!D29+'ÖA27-18122324-1'!D29+'ÖA24-18122324'!D29+'YIL20-18121920'!D29+'YIL17-18121617'!D29+'MOL13-18121213'!D29+'MOL10-18120810'!D29+'BO06-18120406'!D29+'ÜN06-18120506'!D29+'ÖA03-18120203'!D29</f>
        <v>14693.499999999998</v>
      </c>
      <c r="E29" s="29">
        <f t="shared" si="7"/>
        <v>0.10081213683857362</v>
      </c>
      <c r="F29" s="28">
        <f t="shared" si="8"/>
        <v>29.220983617673575</v>
      </c>
      <c r="G29" s="27" t="str">
        <f t="shared" si="9"/>
        <v>-</v>
      </c>
      <c r="H29" s="26">
        <f t="shared" si="10"/>
        <v>433458.24999999994</v>
      </c>
      <c r="I29" s="26">
        <f t="shared" si="11"/>
        <v>429358.5227862866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29.5</v>
      </c>
      <c r="D30" s="30">
        <f>'BO28-18122728'!D30+'BO28-18122627'!D30+'ÖA27-18122324-1'!D30+'ÖA24-18122324'!D30+'YIL20-18121920'!D30+'YIL17-18121617'!D30+'MOL13-18121213'!D30+'MOL10-18120810'!D30+'BO06-18120406'!D30+'ÜN06-18120506'!D30+'ÖA03-18120203'!D30</f>
        <v>8654.7999999999993</v>
      </c>
      <c r="E30" s="29">
        <f t="shared" si="7"/>
        <v>5.9380602437165211E-2</v>
      </c>
      <c r="F30" s="28">
        <f t="shared" si="8"/>
        <v>29.220983617673575</v>
      </c>
      <c r="G30" s="27" t="str">
        <f t="shared" si="9"/>
        <v>-</v>
      </c>
      <c r="H30" s="26">
        <f t="shared" si="10"/>
        <v>255316.59999999998</v>
      </c>
      <c r="I30" s="26">
        <f t="shared" si="11"/>
        <v>252901.76901424123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</v>
      </c>
      <c r="D31" s="30">
        <f>'BO28-18122728'!D31+'BO28-18122627'!D31+'ÖA27-18122324-1'!D31+'ÖA24-18122324'!D31+'YIL20-18121920'!D31+'YIL17-18121617'!D31+'MOL13-18121213'!D31+'MOL10-18120810'!D31+'BO06-18120406'!D31+'ÜN06-18120506'!D31+'ÖA03-18120203'!D31</f>
        <v>3939.6</v>
      </c>
      <c r="E31" s="29">
        <f t="shared" si="7"/>
        <v>2.7029604538690216E-2</v>
      </c>
      <c r="F31" s="28">
        <f t="shared" si="8"/>
        <v>29.716254526447702</v>
      </c>
      <c r="G31" s="27" t="str">
        <f t="shared" si="9"/>
        <v>-</v>
      </c>
      <c r="H31" s="26">
        <f t="shared" si="10"/>
        <v>118188</v>
      </c>
      <c r="I31" s="26">
        <f t="shared" si="11"/>
        <v>117070.15633239337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31.370867428876316</v>
      </c>
      <c r="D32" s="22">
        <f>SUM(D26:D31)</f>
        <v>94086.1</v>
      </c>
      <c r="E32" s="21">
        <f t="shared" si="7"/>
        <v>0.64552494557509943</v>
      </c>
      <c r="F32" s="20">
        <f>I32/D32</f>
        <v>31.074156041064548</v>
      </c>
      <c r="G32" s="19">
        <f>F32/C32-1</f>
        <v>-9.4581824517434576E-3</v>
      </c>
      <c r="H32" s="18">
        <f>SUM(H26:H31)</f>
        <v>2951562.5700000003</v>
      </c>
      <c r="I32" s="18">
        <f>SUM(I26:I31)</f>
        <v>2923646.1526952032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f>'BO28-18122728'!D34+'BO28-18122627'!D34+'ÖA27-18122324-1'!D34+'ÖA24-18122324'!D34+'YIL20-18121920'!D34+'YIL17-18121617'!D34+'MOL13-18121213'!D34+'MOL10-18120810'!D34+'BO06-18120406'!D34+'ÜN06-18120506'!D34+'ÖA03-18120203'!D34</f>
        <v>17738</v>
      </c>
      <c r="E34" s="29">
        <f t="shared" ref="E34:E40" si="13">D34/$D$48</f>
        <v>0.12170045824634153</v>
      </c>
      <c r="F34" s="28">
        <f t="shared" ref="F34:F39" si="14">C34-(C34*$E$6)</f>
        <v>17.829752715868622</v>
      </c>
      <c r="G34" s="27" t="str">
        <f t="shared" ref="G34:G39" si="15">IF(C34&gt;=F34,"-","+")</f>
        <v>-</v>
      </c>
      <c r="H34" s="26">
        <f t="shared" ref="H34:H39" si="16">C34*D34</f>
        <v>319284</v>
      </c>
      <c r="I34" s="26">
        <f t="shared" ref="I34:I39" si="17">F34*D34</f>
        <v>316264.15367407759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>
        <f>'BO28-18122728'!D35+'BO28-18122627'!D35+'ÖA27-18122324-1'!D35+'ÖA24-18122324'!D35+'YIL20-18121920'!D35+'YIL17-18121617'!D35+'MOL13-18121213'!D35+'MOL10-18120810'!D35+'BO06-18120406'!D35+'ÜN06-18120506'!D35+'ÖA03-18120203'!D35</f>
        <v>25</v>
      </c>
      <c r="E35" s="29">
        <f t="shared" si="13"/>
        <v>1.7152505672333624E-4</v>
      </c>
      <c r="F35" s="28">
        <f t="shared" si="14"/>
        <v>13.768531263920769</v>
      </c>
      <c r="G35" s="27" t="str">
        <f t="shared" si="15"/>
        <v>-</v>
      </c>
      <c r="H35" s="26">
        <f t="shared" si="16"/>
        <v>347.5</v>
      </c>
      <c r="I35" s="26">
        <f t="shared" si="17"/>
        <v>344.21328159801925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>
        <f>'BO28-18122728'!D36+'BO28-18122627'!D36+'ÖA27-18122324-1'!D36+'ÖA24-18122324'!D36+'YIL20-18121920'!D36+'YIL17-18121617'!D36+'MOL13-18121213'!D36+'MOL10-18120810'!D36+'BO06-18120406'!D36+'ÜN06-18120506'!D36+'ÖA03-18120203'!D36</f>
        <v>0</v>
      </c>
      <c r="E36" s="29">
        <f t="shared" si="13"/>
        <v>0</v>
      </c>
      <c r="F36" s="28">
        <f t="shared" si="14"/>
        <v>11.094068356540475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29.5</v>
      </c>
      <c r="D37" s="30">
        <f>'BO28-18122728'!D37+'BO28-18122627'!D37+'ÖA27-18122324-1'!D37+'ÖA24-18122324'!D37+'YIL20-18121920'!D37+'YIL17-18121617'!D37+'MOL13-18121213'!D37+'MOL10-18120810'!D37+'BO06-18120406'!D37+'ÜN06-18120506'!D37+'ÖA03-18120203'!D37</f>
        <v>0</v>
      </c>
      <c r="E37" s="29">
        <f t="shared" si="13"/>
        <v>0</v>
      </c>
      <c r="F37" s="28">
        <f t="shared" si="14"/>
        <v>29.220983617673575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29.5</v>
      </c>
      <c r="D38" s="30">
        <f>'BO28-18122728'!D38+'BO28-18122627'!D38+'ÖA27-18122324-1'!D38+'ÖA24-18122324'!D38+'YIL20-18121920'!D38+'YIL17-18121617'!D38+'MOL13-18121213'!D38+'MOL10-18120810'!D38+'BO06-18120406'!D38+'ÜN06-18120506'!D38+'ÖA03-18120203'!D38</f>
        <v>0</v>
      </c>
      <c r="E38" s="29">
        <f t="shared" si="13"/>
        <v>0</v>
      </c>
      <c r="F38" s="28">
        <f t="shared" si="14"/>
        <v>29.220983617673575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30.5</v>
      </c>
      <c r="D39" s="30">
        <f>'BO28-18122728'!D39+'BO28-18122627'!D39+'ÖA27-18122324-1'!D39+'ÖA24-18122324'!D39+'YIL20-18121920'!D39+'YIL17-18121617'!D39+'MOL13-18121213'!D39+'MOL10-18120810'!D39+'BO06-18120406'!D39+'ÜN06-18120506'!D39+'ÖA03-18120203'!D39</f>
        <v>0</v>
      </c>
      <c r="E39" s="29">
        <f t="shared" si="13"/>
        <v>0</v>
      </c>
      <c r="F39" s="28">
        <f t="shared" si="14"/>
        <v>30.21152543522183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17.994229578336991</v>
      </c>
      <c r="D40" s="22">
        <f>SUM(D34:D39)</f>
        <v>17763</v>
      </c>
      <c r="E40" s="21">
        <f t="shared" si="13"/>
        <v>0.12187198330306487</v>
      </c>
      <c r="F40" s="20">
        <f>I40/D40</f>
        <v>17.824036871906525</v>
      </c>
      <c r="G40" s="19">
        <f>F40/C40-1</f>
        <v>-9.4581824517432356E-3</v>
      </c>
      <c r="H40" s="18">
        <f>SUM(H34:H39)</f>
        <v>319631.5</v>
      </c>
      <c r="I40" s="18">
        <f>SUM(I34:I39)</f>
        <v>316608.36695567559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'BO28-18122728'!D42+'BO28-18122627'!D42+'ÖA27-18122324-1'!D42+'ÖA24-18122324'!D42+'YIL20-18121920'!D42+'YIL17-18121617'!D42+'MOL13-18121213'!D42+'MOL10-18120810'!D42+'BO06-18120406'!D42+'ÜN06-18120506'!D42+'ÖA03-18120203'!D42</f>
        <v>22510</v>
      </c>
      <c r="E42" s="107">
        <f>D42/$D$48</f>
        <v>0.15444116107369193</v>
      </c>
      <c r="F42" s="28">
        <f>C42-(C42*$E$6)</f>
        <v>0.39621672701930272</v>
      </c>
      <c r="G42" s="27" t="str">
        <f>IF(C42&gt;=F42,"-","+")</f>
        <v>-</v>
      </c>
      <c r="H42" s="26">
        <f>C42*D42</f>
        <v>9004</v>
      </c>
      <c r="I42" s="26">
        <f>F42*D42</f>
        <v>8918.8385252045045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f>'BO28-18122728'!D43+'BO28-18122627'!D43+'ÖA27-18122324-1'!D43+'ÖA24-18122324'!D43+'YIL20-18121920'!D43+'YIL17-18121617'!D43+'MOL13-18121213'!D43+'MOL10-18120810'!D43+'BO06-18120406'!D43+'ÜN06-18120506'!D43+'ÖA03-18120203'!D43</f>
        <v>828</v>
      </c>
      <c r="E43" s="107">
        <f>D43/$D$48</f>
        <v>5.6809098786768965E-3</v>
      </c>
      <c r="F43" s="28">
        <f>C43-(C43*$E$6)</f>
        <v>0.39621672701930272</v>
      </c>
      <c r="G43" s="27" t="str">
        <f>IF(C43&gt;=F43,"-","+")</f>
        <v>-</v>
      </c>
      <c r="H43" s="26">
        <f>C43*D43</f>
        <v>331.20000000000005</v>
      </c>
      <c r="I43" s="26">
        <f>F43*D43</f>
        <v>328.06744997198263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f>'BO28-18122728'!D44+'BO28-18122627'!D44+'ÖA27-18122324-1'!D44+'ÖA24-18122324'!D44+'YIL20-18121920'!D44+'YIL17-18121617'!D44+'MOL13-18121213'!D44+'MOL10-18120810'!D44+'BO06-18120406'!D44+'ÜN06-18120506'!D44+'ÖA03-18120203'!D44</f>
        <v>144.9</v>
      </c>
      <c r="E44" s="107">
        <f>D44/$D$48</f>
        <v>9.9415922876845697E-4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f>'BO28-18122728'!D45+'BO28-18122627'!D45+'ÖA27-18122324-1'!D45+'ÖA24-18122324'!D45+'YIL20-18121920'!D45+'YIL17-18121617'!D45+'MOL13-18121213'!D45+'MOL10-18120810'!D45+'BO06-18120406'!D45+'ÜN06-18120506'!D45+'ÖA03-18120203'!D45</f>
        <v>42.2</v>
      </c>
      <c r="E45" s="107">
        <f>D45/$D$48</f>
        <v>2.8953429574899158E-4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0.39681871702989574</v>
      </c>
      <c r="D46" s="22">
        <f>SUM(D41:D45)</f>
        <v>23525.100000000002</v>
      </c>
      <c r="E46" s="21">
        <f>D46/$D$48</f>
        <v>0.16140576447688632</v>
      </c>
      <c r="F46" s="20">
        <f>I46/D46</f>
        <v>0.39306553320396032</v>
      </c>
      <c r="G46" s="19">
        <f>F46/C46-1</f>
        <v>-9.4581824517432356E-3</v>
      </c>
      <c r="H46" s="18">
        <f>SUM(H41:H44)</f>
        <v>9335.2000000000007</v>
      </c>
      <c r="I46" s="18">
        <f>SUM(I41:I44)</f>
        <v>9246.9059751764871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95.411253207740515</v>
      </c>
      <c r="D48" s="13">
        <f>D24+D32+D40+D46</f>
        <v>145751.30000000002</v>
      </c>
      <c r="E48" s="12">
        <f>SUM(E20:E46)/2</f>
        <v>0.99999999999999989</v>
      </c>
      <c r="F48" s="11">
        <f>I48/D48</f>
        <v>25.514206400850842</v>
      </c>
      <c r="G48" s="10"/>
      <c r="H48" s="9">
        <f>SUM(H20:H46)/2</f>
        <v>3754237.0100000007</v>
      </c>
      <c r="I48" s="9">
        <f>SUM(I20:I46)/2</f>
        <v>3718728.7513923319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145997.90000000002</v>
      </c>
      <c r="E50" s="12">
        <f>D50/G2</f>
        <v>0.99999589036873682</v>
      </c>
      <c r="F50" s="11">
        <f>I50/D50</f>
        <v>25.540104960413796</v>
      </c>
      <c r="G50" s="10"/>
      <c r="H50" s="9">
        <f>H48+H19</f>
        <v>3764406.1300000008</v>
      </c>
      <c r="I50" s="9">
        <f>I48+I19</f>
        <v>3728801.6899999981</v>
      </c>
      <c r="J50" s="106">
        <f>D50-G2</f>
        <v>-0.59999999997671694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25.540104960413796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92D050"/>
  </sheetPr>
  <dimension ref="A1:K56"/>
  <sheetViews>
    <sheetView workbookViewId="0">
      <selection activeCell="K7" sqref="K7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180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180</v>
      </c>
      <c r="D2" s="96" t="s">
        <v>3</v>
      </c>
      <c r="E2" s="95" t="s">
        <v>71</v>
      </c>
      <c r="F2" s="94" t="s">
        <v>5</v>
      </c>
      <c r="G2" s="93">
        <v>16519.8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208</v>
      </c>
      <c r="F3" s="88" t="s">
        <v>8</v>
      </c>
      <c r="G3" s="87">
        <v>25.5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79.422115384615381</v>
      </c>
      <c r="F4" s="81" t="s">
        <v>12</v>
      </c>
      <c r="G4" s="80">
        <f>G2*G3</f>
        <v>421254.89999999997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4.6012760284287468E-3</v>
      </c>
      <c r="F6" s="69" t="s">
        <v>16</v>
      </c>
      <c r="G6" s="68">
        <f>(I50-I19)/(D50-(SUM(D42:D44)+D19))</f>
        <v>30.25604395604395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25.5</v>
      </c>
      <c r="D10" s="30"/>
      <c r="E10" s="29" t="e">
        <f t="shared" ref="E10:E19" si="1">D10/$D$19</f>
        <v>#DIV/0!</v>
      </c>
      <c r="F10" s="28">
        <f t="shared" ref="F10:F18" si="2">C10-(C10*$E$6)</f>
        <v>25.382667461275066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26.6</v>
      </c>
      <c r="D11" s="30"/>
      <c r="E11" s="29" t="e">
        <f t="shared" si="1"/>
        <v>#DIV/0!</v>
      </c>
      <c r="F11" s="28">
        <f t="shared" si="2"/>
        <v>26.477606057643797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24.3</v>
      </c>
      <c r="D12" s="30"/>
      <c r="E12" s="29" t="e">
        <f t="shared" si="1"/>
        <v>#DIV/0!</v>
      </c>
      <c r="F12" s="28">
        <f t="shared" si="2"/>
        <v>24.188188992509183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26.6</v>
      </c>
      <c r="D13" s="30"/>
      <c r="E13" s="29" t="e">
        <f t="shared" si="1"/>
        <v>#DIV/0!</v>
      </c>
      <c r="F13" s="28">
        <f t="shared" si="2"/>
        <v>26.477606057643797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29.7</v>
      </c>
      <c r="D14" s="30"/>
      <c r="E14" s="29" t="e">
        <f t="shared" si="1"/>
        <v>#DIV/0!</v>
      </c>
      <c r="F14" s="28">
        <f t="shared" si="2"/>
        <v>29.563342101955666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24.5</v>
      </c>
      <c r="D15" s="30"/>
      <c r="E15" s="29" t="e">
        <f t="shared" si="1"/>
        <v>#DIV/0!</v>
      </c>
      <c r="F15" s="28">
        <f t="shared" si="2"/>
        <v>24.387268737303497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33.5</v>
      </c>
      <c r="D16" s="30"/>
      <c r="E16" s="29" t="e">
        <f t="shared" si="1"/>
        <v>#DIV/0!</v>
      </c>
      <c r="F16" s="28">
        <f t="shared" si="2"/>
        <v>33.34585725304764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49.3</v>
      </c>
      <c r="D17" s="30"/>
      <c r="E17" s="29" t="e">
        <f t="shared" si="1"/>
        <v>#DIV/0!</v>
      </c>
      <c r="F17" s="28">
        <f t="shared" si="2"/>
        <v>49.073157091798457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43.2</v>
      </c>
      <c r="D18" s="30"/>
      <c r="E18" s="29" t="e">
        <f t="shared" si="1"/>
        <v>#DIV/0!</v>
      </c>
      <c r="F18" s="28">
        <f t="shared" si="2"/>
        <v>43.001224875571879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64.099999999999994</v>
      </c>
      <c r="D21" s="30">
        <v>205.4</v>
      </c>
      <c r="E21" s="29">
        <f>D21/$D$48</f>
        <v>1.243356457099965E-2</v>
      </c>
      <c r="F21" s="28">
        <f>C21-(C21*$E$6)</f>
        <v>63.805058206577712</v>
      </c>
      <c r="G21" s="27" t="str">
        <f>IF(C21&gt;=F21,"-","+")</f>
        <v>-</v>
      </c>
      <c r="H21" s="26">
        <f>C21*D21</f>
        <v>13166.14</v>
      </c>
      <c r="I21" s="26">
        <f>F21*D21</f>
        <v>13105.558955631062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43.1</v>
      </c>
      <c r="D22" s="30">
        <v>566.4</v>
      </c>
      <c r="E22" s="29">
        <f>D22/$D$48</f>
        <v>3.4286129372026297E-2</v>
      </c>
      <c r="F22" s="28">
        <f>C22-(C22*$E$6)</f>
        <v>42.90168500317472</v>
      </c>
      <c r="G22" s="27" t="str">
        <f>IF(C22&gt;=F22,"-","+")</f>
        <v>-</v>
      </c>
      <c r="H22" s="26">
        <f>C22*D22</f>
        <v>24411.84</v>
      </c>
      <c r="I22" s="26">
        <f>F22*D22</f>
        <v>24299.51438579816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39.299999999999997</v>
      </c>
      <c r="D23" s="30">
        <v>413.2</v>
      </c>
      <c r="E23" s="29">
        <f>D23/$D$48</f>
        <v>2.5012409351202799E-2</v>
      </c>
      <c r="F23" s="28">
        <f>C23-(C23*$E$6)</f>
        <v>39.119169852082749</v>
      </c>
      <c r="G23" s="27" t="str">
        <f>IF(C23&gt;=F23,"-","+")</f>
        <v>-</v>
      </c>
      <c r="H23" s="26">
        <f>C23*D23</f>
        <v>16238.759999999998</v>
      </c>
      <c r="I23" s="26">
        <f>F23*D23</f>
        <v>16164.040982880591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45.41497046413501</v>
      </c>
      <c r="D24" s="22">
        <f>SUM(D21:D23)</f>
        <v>1185</v>
      </c>
      <c r="E24" s="21">
        <f>D24/$D$48</f>
        <v>7.1732103294228744E-2</v>
      </c>
      <c r="F24" s="20">
        <f>I24/D24</f>
        <v>45.206003649206593</v>
      </c>
      <c r="G24" s="19">
        <f>F24/C24-1</f>
        <v>-4.6012760284286358E-3</v>
      </c>
      <c r="H24" s="18">
        <f>SUM(H21:H23)</f>
        <v>53816.739999999991</v>
      </c>
      <c r="I24" s="18">
        <f>SUM(I21:I23)</f>
        <v>53569.114324309812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34.200000000000003</v>
      </c>
      <c r="D26" s="30">
        <v>3020.8</v>
      </c>
      <c r="E26" s="29">
        <f t="shared" ref="E26:E32" si="7">D26/$D$48</f>
        <v>0.18285935665080694</v>
      </c>
      <c r="F26" s="28">
        <f t="shared" ref="F26:F31" si="8">C26-(C26*$E$6)</f>
        <v>34.042636359827739</v>
      </c>
      <c r="G26" s="27" t="str">
        <f t="shared" ref="G26:G31" si="9">IF(C26&gt;=F26,"-","+")</f>
        <v>-</v>
      </c>
      <c r="H26" s="26">
        <f t="shared" ref="H26:H31" si="10">C26*D26</f>
        <v>103311.36000000002</v>
      </c>
      <c r="I26" s="26">
        <f t="shared" ref="I26:I31" si="11">F26*D26</f>
        <v>102835.99591576763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30.5</v>
      </c>
      <c r="D27" s="30">
        <v>2705.6</v>
      </c>
      <c r="E27" s="29">
        <f t="shared" si="7"/>
        <v>0.16377922250874707</v>
      </c>
      <c r="F27" s="28">
        <f t="shared" si="8"/>
        <v>30.359661081132923</v>
      </c>
      <c r="G27" s="27" t="str">
        <f t="shared" si="9"/>
        <v>-</v>
      </c>
      <c r="H27" s="26">
        <f t="shared" si="10"/>
        <v>82520.800000000003</v>
      </c>
      <c r="I27" s="26">
        <f t="shared" si="11"/>
        <v>82141.09902111323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30.5</v>
      </c>
      <c r="D28" s="30">
        <v>1551.6</v>
      </c>
      <c r="E28" s="29">
        <f t="shared" si="7"/>
        <v>9.3923655250063562E-2</v>
      </c>
      <c r="F28" s="28">
        <f t="shared" si="8"/>
        <v>30.359661081132923</v>
      </c>
      <c r="G28" s="27" t="str">
        <f t="shared" si="9"/>
        <v>-</v>
      </c>
      <c r="H28" s="26">
        <f t="shared" si="10"/>
        <v>47323.799999999996</v>
      </c>
      <c r="I28" s="26">
        <f t="shared" si="11"/>
        <v>47106.050133485842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29.5</v>
      </c>
      <c r="D29" s="30">
        <v>1680.1</v>
      </c>
      <c r="E29" s="29">
        <f t="shared" si="7"/>
        <v>0.10170219978450103</v>
      </c>
      <c r="F29" s="28">
        <f t="shared" si="8"/>
        <v>29.364262357161351</v>
      </c>
      <c r="G29" s="27" t="str">
        <f t="shared" si="9"/>
        <v>-</v>
      </c>
      <c r="H29" s="26">
        <f t="shared" si="10"/>
        <v>49562.95</v>
      </c>
      <c r="I29" s="26">
        <f t="shared" si="11"/>
        <v>49334.897186266782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29.5</v>
      </c>
      <c r="D30" s="30">
        <v>1076.4000000000001</v>
      </c>
      <c r="E30" s="29">
        <f t="shared" si="7"/>
        <v>6.5158173827770324E-2</v>
      </c>
      <c r="F30" s="28">
        <f t="shared" si="8"/>
        <v>29.364262357161351</v>
      </c>
      <c r="G30" s="27" t="str">
        <f t="shared" si="9"/>
        <v>-</v>
      </c>
      <c r="H30" s="26">
        <f t="shared" si="10"/>
        <v>31753.800000000003</v>
      </c>
      <c r="I30" s="26">
        <f t="shared" si="11"/>
        <v>31607.692001248481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</v>
      </c>
      <c r="D31" s="30">
        <v>445.8</v>
      </c>
      <c r="E31" s="29">
        <f t="shared" si="7"/>
        <v>2.698579885955036E-2</v>
      </c>
      <c r="F31" s="28">
        <f t="shared" si="8"/>
        <v>29.861961719147139</v>
      </c>
      <c r="G31" s="27" t="str">
        <f t="shared" si="9"/>
        <v>-</v>
      </c>
      <c r="H31" s="26">
        <f t="shared" si="10"/>
        <v>13374</v>
      </c>
      <c r="I31" s="26">
        <f t="shared" si="11"/>
        <v>13312.462534395794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31.282187532799639</v>
      </c>
      <c r="D32" s="22">
        <f>SUM(D26:D31)</f>
        <v>10480.299999999999</v>
      </c>
      <c r="E32" s="21">
        <f t="shared" si="7"/>
        <v>0.63440840688143918</v>
      </c>
      <c r="F32" s="20">
        <f>I32/D32</f>
        <v>31.138249553188157</v>
      </c>
      <c r="G32" s="19">
        <f>F32/C32-1</f>
        <v>-4.6012760284287468E-3</v>
      </c>
      <c r="H32" s="18">
        <f>SUM(H26:H31)</f>
        <v>327846.71000000002</v>
      </c>
      <c r="I32" s="18">
        <f>SUM(I26:I31)</f>
        <v>326338.1967922778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v>2250</v>
      </c>
      <c r="E34" s="29">
        <f t="shared" ref="E34:E40" si="13">D34/$D$48</f>
        <v>0.13620019612828244</v>
      </c>
      <c r="F34" s="28">
        <f t="shared" ref="F34:F39" si="14">C34-(C34*$E$6)</f>
        <v>17.917177031488283</v>
      </c>
      <c r="G34" s="27" t="str">
        <f t="shared" ref="G34:G39" si="15">IF(C34&gt;=F34,"-","+")</f>
        <v>-</v>
      </c>
      <c r="H34" s="26">
        <f t="shared" ref="H34:H39" si="16">C34*D34</f>
        <v>40500</v>
      </c>
      <c r="I34" s="26">
        <f t="shared" ref="I34:I39" si="17">F34*D34</f>
        <v>40313.648320848639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/>
      <c r="E35" s="29">
        <f t="shared" si="13"/>
        <v>0</v>
      </c>
      <c r="F35" s="28">
        <f t="shared" si="14"/>
        <v>13.83604226320484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11.048925836084441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29.5</v>
      </c>
      <c r="D37" s="30"/>
      <c r="E37" s="29">
        <f t="shared" si="13"/>
        <v>0</v>
      </c>
      <c r="F37" s="28">
        <f t="shared" si="14"/>
        <v>29.364262357161351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29.5</v>
      </c>
      <c r="D38" s="30"/>
      <c r="E38" s="29">
        <f t="shared" si="13"/>
        <v>0</v>
      </c>
      <c r="F38" s="28">
        <f t="shared" si="14"/>
        <v>29.364262357161351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30.5</v>
      </c>
      <c r="D39" s="30"/>
      <c r="E39" s="29">
        <f t="shared" si="13"/>
        <v>0</v>
      </c>
      <c r="F39" s="28">
        <f t="shared" si="14"/>
        <v>30.359661081132923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</v>
      </c>
      <c r="D40" s="22">
        <f>SUM(D34:D39)</f>
        <v>2250</v>
      </c>
      <c r="E40" s="21">
        <f t="shared" si="13"/>
        <v>0.13620019612828244</v>
      </c>
      <c r="F40" s="20">
        <f>I40/D40</f>
        <v>17.917177031488283</v>
      </c>
      <c r="G40" s="19">
        <f>F40/C40-1</f>
        <v>-4.6012760284287468E-3</v>
      </c>
      <c r="H40" s="18">
        <f>SUM(H34:H39)</f>
        <v>40500</v>
      </c>
      <c r="I40" s="18">
        <f>SUM(I34:I39)</f>
        <v>40313.648320848639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2481</v>
      </c>
      <c r="E42" s="107">
        <f>D42/$D$48</f>
        <v>0.15018341626411943</v>
      </c>
      <c r="F42" s="28">
        <f>C42-(C42*$E$6)</f>
        <v>0.39815948958862851</v>
      </c>
      <c r="G42" s="27" t="str">
        <f>IF(C42&gt;=F42,"-","+")</f>
        <v>-</v>
      </c>
      <c r="H42" s="26">
        <f>C42*D42</f>
        <v>992.40000000000009</v>
      </c>
      <c r="I42" s="26">
        <f>F42*D42</f>
        <v>987.83369366938734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115.8</v>
      </c>
      <c r="E43" s="107">
        <f>D43/$D$48</f>
        <v>7.0097700940689352E-3</v>
      </c>
      <c r="F43" s="28">
        <f>C43-(C43*$E$6)</f>
        <v>0.39815948958862851</v>
      </c>
      <c r="G43" s="27" t="str">
        <f>IF(C43&gt;=F43,"-","+")</f>
        <v>-</v>
      </c>
      <c r="H43" s="26">
        <f>C43*D43</f>
        <v>46.32</v>
      </c>
      <c r="I43" s="26">
        <f>F43*D43</f>
        <v>46.106868894363181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7.7</v>
      </c>
      <c r="E45" s="107">
        <f>D45/$D$48</f>
        <v>4.6610733786123324E-4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0.39881743136878478</v>
      </c>
      <c r="D46" s="22">
        <f>SUM(D41:D45)</f>
        <v>2604.5</v>
      </c>
      <c r="E46" s="21">
        <f>D46/$D$48</f>
        <v>0.15765929369604958</v>
      </c>
      <c r="F46" s="20">
        <f>I46/D46</f>
        <v>0.39698236228210809</v>
      </c>
      <c r="G46" s="19">
        <f>F46/C46-1</f>
        <v>-4.6012760284286358E-3</v>
      </c>
      <c r="H46" s="18">
        <f>SUM(H41:H44)</f>
        <v>1038.72</v>
      </c>
      <c r="I46" s="18">
        <f>SUM(I41:I44)</f>
        <v>1033.9405625637505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95.095975428303433</v>
      </c>
      <c r="D48" s="13">
        <f>D24+D32+D40+D46</f>
        <v>16519.8</v>
      </c>
      <c r="E48" s="12">
        <f>SUM(E20:E46)/2</f>
        <v>1</v>
      </c>
      <c r="F48" s="11">
        <f>I48/D48</f>
        <v>25.499999999999996</v>
      </c>
      <c r="G48" s="10"/>
      <c r="H48" s="9">
        <f>SUM(H20:H46)/2</f>
        <v>423202.17</v>
      </c>
      <c r="I48" s="9">
        <f>SUM(I20:I46)/2</f>
        <v>421254.89999999991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16519.8</v>
      </c>
      <c r="E50" s="12">
        <f>D50/G2</f>
        <v>1</v>
      </c>
      <c r="F50" s="11">
        <f>I50/D50</f>
        <v>25.499999999999996</v>
      </c>
      <c r="G50" s="10"/>
      <c r="H50" s="9">
        <f>H48+H19</f>
        <v>423202.17</v>
      </c>
      <c r="I50" s="9">
        <f>I48+I19</f>
        <v>421254.89999999991</v>
      </c>
      <c r="J50" s="106">
        <f>D50-G2</f>
        <v>0</v>
      </c>
      <c r="K50" s="8"/>
    </row>
    <row r="51" spans="1:11" ht="23.25" x14ac:dyDescent="0.35">
      <c r="A51" s="168" t="s">
        <v>181</v>
      </c>
      <c r="B51" s="169"/>
      <c r="C51" s="170"/>
      <c r="G51" s="7"/>
      <c r="H51" s="6"/>
      <c r="I51" s="6">
        <f>+I50/D50</f>
        <v>25.499999999999996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182</v>
      </c>
      <c r="D1" s="100" t="s">
        <v>1</v>
      </c>
      <c r="E1" s="168" t="s">
        <v>148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182</v>
      </c>
      <c r="D2" s="96" t="s">
        <v>3</v>
      </c>
      <c r="E2" s="95" t="s">
        <v>71</v>
      </c>
      <c r="F2" s="94" t="s">
        <v>5</v>
      </c>
      <c r="G2" s="93">
        <v>20227.8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196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103.20306122448979</v>
      </c>
      <c r="F4" s="81" t="s">
        <v>12</v>
      </c>
      <c r="G4" s="80">
        <f>G2*G3</f>
        <v>544127.81999999995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2.7138515465677471E-2</v>
      </c>
      <c r="F6" s="69" t="s">
        <v>16</v>
      </c>
      <c r="G6" s="68">
        <f>(I50-I19)/(D50-(SUM(D42:D44)+D19))</f>
        <v>31.518244429126682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 t="e">
        <f t="shared" ref="E10:E19" si="1">D10/$D$19</f>
        <v>#DIV/0!</v>
      </c>
      <c r="F10" s="28">
        <f t="shared" ref="F10:F18" si="2">C10-(C10*$E$6)</f>
        <v>26.169973933973274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/>
      <c r="E11" s="29" t="e">
        <f t="shared" si="1"/>
        <v>#DIV/0!</v>
      </c>
      <c r="F11" s="28">
        <f t="shared" si="2"/>
        <v>27.240121566961029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/>
      <c r="E12" s="29" t="e">
        <f t="shared" si="1"/>
        <v>#DIV/0!</v>
      </c>
      <c r="F12" s="28">
        <f t="shared" si="2"/>
        <v>24.905254004078657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 t="e">
        <f t="shared" si="1"/>
        <v>#DIV/0!</v>
      </c>
      <c r="F13" s="28">
        <f t="shared" si="2"/>
        <v>27.240121566961029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 t="e">
        <f t="shared" si="1"/>
        <v>#DIV/0!</v>
      </c>
      <c r="F14" s="28">
        <f t="shared" si="2"/>
        <v>30.450564465924295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 t="e">
        <f t="shared" si="1"/>
        <v>#DIV/0!</v>
      </c>
      <c r="F15" s="28">
        <f t="shared" si="2"/>
        <v>25.099826300985523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/>
      <c r="E16" s="29" t="e">
        <f t="shared" si="1"/>
        <v>#DIV/0!</v>
      </c>
      <c r="F16" s="28">
        <f t="shared" si="2"/>
        <v>34.439296552515017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 t="e">
        <f t="shared" si="1"/>
        <v>#DIV/0!</v>
      </c>
      <c r="F17" s="28">
        <f t="shared" si="2"/>
        <v>50.588797195784771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 t="e">
        <f t="shared" si="1"/>
        <v>#DIV/0!</v>
      </c>
      <c r="F18" s="28">
        <f t="shared" si="2"/>
        <v>44.36248369476511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255.8</v>
      </c>
      <c r="E21" s="29">
        <f>D21/$D$48</f>
        <v>1.2646150043257944E-2</v>
      </c>
      <c r="F21" s="28">
        <f>C21-(C21*$E$6)</f>
        <v>65.862722502973639</v>
      </c>
      <c r="G21" s="27" t="str">
        <f>IF(C21&gt;=F21,"-","+")</f>
        <v>-</v>
      </c>
      <c r="H21" s="26">
        <f>C21*D21</f>
        <v>17317.66</v>
      </c>
      <c r="I21" s="26">
        <f>F21*D21</f>
        <v>16847.684416260658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686.2</v>
      </c>
      <c r="E22" s="29">
        <f>D22/$D$48</f>
        <v>3.3924113212211109E-2</v>
      </c>
      <c r="F22" s="28">
        <f>C22-(C22*$E$6)</f>
        <v>44.167911397858241</v>
      </c>
      <c r="G22" s="27" t="str">
        <f>IF(C22&gt;=F22,"-","+")</f>
        <v>-</v>
      </c>
      <c r="H22" s="26">
        <f>C22*D22</f>
        <v>31153.48</v>
      </c>
      <c r="I22" s="26">
        <f>F22*D22</f>
        <v>30308.020801210329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519.6</v>
      </c>
      <c r="E23" s="29">
        <f>D23/$D$48</f>
        <v>2.5687801260659997E-2</v>
      </c>
      <c r="F23" s="28">
        <f>C23-(C23*$E$6)</f>
        <v>40.276465459720953</v>
      </c>
      <c r="G23" s="27" t="str">
        <f>IF(C23&gt;=F23,"-","+")</f>
        <v>-</v>
      </c>
      <c r="H23" s="26">
        <f>C23*D23</f>
        <v>21511.439999999999</v>
      </c>
      <c r="I23" s="26">
        <f>F23*D23</f>
        <v>20927.651452871007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47.88080186097428</v>
      </c>
      <c r="D24" s="22">
        <f>SUM(D21:D23)</f>
        <v>1461.6</v>
      </c>
      <c r="E24" s="21">
        <f>D24/$D$48</f>
        <v>7.2258064516129039E-2</v>
      </c>
      <c r="F24" s="20">
        <f>I24/D24</f>
        <v>46.581387979161192</v>
      </c>
      <c r="G24" s="19">
        <f>F24/C24-1</f>
        <v>-2.7138515465677471E-2</v>
      </c>
      <c r="H24" s="18">
        <f>SUM(H21:H23)</f>
        <v>69982.58</v>
      </c>
      <c r="I24" s="18">
        <f>SUM(I21:I23)</f>
        <v>68083.356670341993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v>4010.6</v>
      </c>
      <c r="E26" s="29">
        <f t="shared" ref="E26:E32" si="7">D26/$D$48</f>
        <v>0.19827462612779634</v>
      </c>
      <c r="F26" s="28">
        <f t="shared" ref="F26:F31" si="8">C26-(C26*$E$6)</f>
        <v>35.120299591689047</v>
      </c>
      <c r="G26" s="27" t="str">
        <f t="shared" ref="G26:G31" si="9">IF(C26&gt;=F26,"-","+")</f>
        <v>-</v>
      </c>
      <c r="H26" s="26">
        <f t="shared" ref="H26:H31" si="10">C26*D26</f>
        <v>144782.66</v>
      </c>
      <c r="I26" s="26">
        <f t="shared" ref="I26:I31" si="11">F26*D26</f>
        <v>140853.47354242808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3302.5</v>
      </c>
      <c r="E27" s="29">
        <f t="shared" si="7"/>
        <v>0.16326782845136575</v>
      </c>
      <c r="F27" s="28">
        <f t="shared" si="8"/>
        <v>31.228853653551756</v>
      </c>
      <c r="G27" s="27" t="str">
        <f t="shared" si="9"/>
        <v>-</v>
      </c>
      <c r="H27" s="26">
        <f t="shared" si="10"/>
        <v>106010.25</v>
      </c>
      <c r="I27" s="26">
        <f t="shared" si="11"/>
        <v>103133.28919085467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2403.1999999999998</v>
      </c>
      <c r="E28" s="29">
        <f t="shared" si="7"/>
        <v>0.11880855271289088</v>
      </c>
      <c r="F28" s="28">
        <f t="shared" si="8"/>
        <v>31.228853653551756</v>
      </c>
      <c r="G28" s="27" t="str">
        <f t="shared" si="9"/>
        <v>-</v>
      </c>
      <c r="H28" s="26">
        <f t="shared" si="10"/>
        <v>77142.720000000001</v>
      </c>
      <c r="I28" s="26">
        <f t="shared" si="11"/>
        <v>75049.181100215574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1819.8</v>
      </c>
      <c r="E29" s="29">
        <f t="shared" si="7"/>
        <v>8.9966629588431601E-2</v>
      </c>
      <c r="F29" s="28">
        <f t="shared" si="8"/>
        <v>30.255992169017432</v>
      </c>
      <c r="G29" s="27" t="str">
        <f t="shared" si="9"/>
        <v>-</v>
      </c>
      <c r="H29" s="26">
        <f t="shared" si="10"/>
        <v>56595.78</v>
      </c>
      <c r="I29" s="26">
        <f t="shared" si="11"/>
        <v>55059.854549177922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1291</v>
      </c>
      <c r="E30" s="29">
        <f t="shared" si="7"/>
        <v>6.3824001977505887E-2</v>
      </c>
      <c r="F30" s="28">
        <f t="shared" si="8"/>
        <v>30.255992169017432</v>
      </c>
      <c r="G30" s="27" t="str">
        <f t="shared" si="9"/>
        <v>-</v>
      </c>
      <c r="H30" s="26">
        <f t="shared" si="10"/>
        <v>40150.1</v>
      </c>
      <c r="I30" s="26">
        <f t="shared" si="11"/>
        <v>39060.485890201504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557.4</v>
      </c>
      <c r="E31" s="29">
        <f t="shared" si="7"/>
        <v>2.7556544308490919E-2</v>
      </c>
      <c r="F31" s="28">
        <f t="shared" si="8"/>
        <v>30.742422911284592</v>
      </c>
      <c r="G31" s="27" t="str">
        <f t="shared" si="9"/>
        <v>-</v>
      </c>
      <c r="H31" s="26">
        <f t="shared" si="10"/>
        <v>17613.84</v>
      </c>
      <c r="I31" s="26">
        <f t="shared" si="11"/>
        <v>17135.82653075003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33.045339758676086</v>
      </c>
      <c r="D32" s="22">
        <f>SUM(D26:D31)</f>
        <v>13384.499999999998</v>
      </c>
      <c r="E32" s="21">
        <f t="shared" si="7"/>
        <v>0.66169818316648132</v>
      </c>
      <c r="F32" s="20">
        <f>I32/D32</f>
        <v>32.148538294566691</v>
      </c>
      <c r="G32" s="19">
        <f>F32/C32-1</f>
        <v>-2.713851546567736E-2</v>
      </c>
      <c r="H32" s="18">
        <f>SUM(H26:H31)</f>
        <v>442295.35000000003</v>
      </c>
      <c r="I32" s="18">
        <f>SUM(I26:I31)</f>
        <v>430292.11080362782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2412.8000000000002</v>
      </c>
      <c r="E34" s="29">
        <f t="shared" ref="E34:E40" si="13">D34/$D$48</f>
        <v>0.11928315412186383</v>
      </c>
      <c r="F34" s="28">
        <f t="shared" ref="F34:F39" si="14">C34-(C34*$E$6)</f>
        <v>18.484368206152126</v>
      </c>
      <c r="G34" s="27" t="str">
        <f t="shared" ref="G34:G39" si="15">IF(C34&gt;=F34,"-","+")</f>
        <v>-</v>
      </c>
      <c r="H34" s="26">
        <f t="shared" ref="H34:H39" si="16">C34*D34</f>
        <v>45843.200000000004</v>
      </c>
      <c r="I34" s="26">
        <f t="shared" ref="I34:I39" si="17">F34*D34</f>
        <v>44599.083607803856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14.203777674201108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11.382479369051573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30.255992169017432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30.255992169017432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31.228853653551756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</v>
      </c>
      <c r="D40" s="22">
        <f>SUM(D34:D39)</f>
        <v>2412.8000000000002</v>
      </c>
      <c r="E40" s="21">
        <f t="shared" si="13"/>
        <v>0.11928315412186383</v>
      </c>
      <c r="F40" s="20">
        <f>I40/D40</f>
        <v>18.484368206152126</v>
      </c>
      <c r="G40" s="19">
        <f>F40/C40-1</f>
        <v>-2.7138515465677582E-2</v>
      </c>
      <c r="H40" s="18">
        <f>SUM(H34:H39)</f>
        <v>45843.200000000004</v>
      </c>
      <c r="I40" s="18">
        <f>SUM(I34:I39)</f>
        <v>44599.083607803856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2830</v>
      </c>
      <c r="E42" s="107">
        <f>D42/$D$48</f>
        <v>0.13990854035347919</v>
      </c>
      <c r="F42" s="28">
        <f>C42-(C42*$E$6)</f>
        <v>0.38914459381372901</v>
      </c>
      <c r="G42" s="27" t="str">
        <f>IF(C42&gt;=F42,"-","+")</f>
        <v>-</v>
      </c>
      <c r="H42" s="26">
        <f>C42*D42</f>
        <v>1132</v>
      </c>
      <c r="I42" s="26">
        <f>F42*D42</f>
        <v>1101.2792004928531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133.6</v>
      </c>
      <c r="E43" s="107">
        <f>D43/$D$48</f>
        <v>6.6048696082066502E-3</v>
      </c>
      <c r="F43" s="28">
        <f>C43-(C43*$E$6)</f>
        <v>0.38914459381372901</v>
      </c>
      <c r="G43" s="27" t="str">
        <f>IF(C43&gt;=F43,"-","+")</f>
        <v>-</v>
      </c>
      <c r="H43" s="26">
        <f>C43*D43</f>
        <v>53.44</v>
      </c>
      <c r="I43" s="26">
        <f>F43*D43</f>
        <v>51.98971773351419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2.4718823384006923E-4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0.39932628174897261</v>
      </c>
      <c r="D46" s="22">
        <f>SUM(D41:D45)</f>
        <v>2968.6</v>
      </c>
      <c r="E46" s="21">
        <f>D46/$D$48</f>
        <v>0.14676059819552592</v>
      </c>
      <c r="F46" s="20">
        <f>I46/D46</f>
        <v>0.38848915927587663</v>
      </c>
      <c r="G46" s="19">
        <f>F46/C46-1</f>
        <v>-2.7138515465677471E-2</v>
      </c>
      <c r="H46" s="18">
        <f>SUM(H41:H44)</f>
        <v>1185.44</v>
      </c>
      <c r="I46" s="18">
        <f>SUM(I41:I44)</f>
        <v>1153.2689182263673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100.32546790139934</v>
      </c>
      <c r="D48" s="13">
        <f>D24+D32+D40+D46</f>
        <v>20227.499999999996</v>
      </c>
      <c r="E48" s="12">
        <f>SUM(E20:E46)/2</f>
        <v>1.0000000000000002</v>
      </c>
      <c r="F48" s="11">
        <f>I48/D48</f>
        <v>26.900398961809426</v>
      </c>
      <c r="G48" s="10"/>
      <c r="H48" s="9">
        <f>SUM(H20:H46)/2</f>
        <v>559306.56999999995</v>
      </c>
      <c r="I48" s="9">
        <f>SUM(I20:I46)/2</f>
        <v>544127.82000000007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20227.499999999996</v>
      </c>
      <c r="E50" s="12">
        <f>D50/G2</f>
        <v>0.99998516892593348</v>
      </c>
      <c r="F50" s="11">
        <f>I50/D50</f>
        <v>26.900398961809426</v>
      </c>
      <c r="G50" s="10"/>
      <c r="H50" s="9">
        <f>H48+H19</f>
        <v>559306.56999999995</v>
      </c>
      <c r="I50" s="9">
        <f>I48+I19</f>
        <v>544127.82000000007</v>
      </c>
      <c r="J50" s="106">
        <f>D50-G2</f>
        <v>-0.30000000000291038</v>
      </c>
      <c r="K50" s="8"/>
    </row>
    <row r="51" spans="1:11" ht="23.25" x14ac:dyDescent="0.35">
      <c r="A51" s="168" t="s">
        <v>183</v>
      </c>
      <c r="B51" s="169"/>
      <c r="C51" s="170"/>
      <c r="G51" s="7"/>
      <c r="H51" s="6"/>
      <c r="I51" s="6">
        <f>+I50/D50</f>
        <v>26.900398961809426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184</v>
      </c>
      <c r="D1" s="100" t="s">
        <v>1</v>
      </c>
      <c r="E1" s="168" t="s">
        <v>185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186</v>
      </c>
      <c r="D2" s="96" t="s">
        <v>3</v>
      </c>
      <c r="E2" s="95" t="s">
        <v>112</v>
      </c>
      <c r="F2" s="94" t="s">
        <v>5</v>
      </c>
      <c r="G2" s="93">
        <v>12378.7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188</v>
      </c>
      <c r="F3" s="88" t="s">
        <v>8</v>
      </c>
      <c r="G3" s="87">
        <v>20.68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65.844148936170214</v>
      </c>
      <c r="F4" s="81" t="s">
        <v>12</v>
      </c>
      <c r="G4" s="80">
        <f>G2*G3</f>
        <v>255991.516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-7.5785172701181125E-2</v>
      </c>
      <c r="F6" s="69" t="s">
        <v>16</v>
      </c>
      <c r="G6" s="68">
        <f>(I50-I19)/(D50-(SUM(D42:D44)+D19))</f>
        <v>26.60426056411216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20.7</v>
      </c>
      <c r="D10" s="30"/>
      <c r="E10" s="29" t="e">
        <f t="shared" ref="E10:E19" si="1">D10/$D$19</f>
        <v>#DIV/0!</v>
      </c>
      <c r="F10" s="28">
        <f t="shared" ref="F10:F18" si="2">C10-(C10*$E$6)</f>
        <v>22.26875307491445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21.5</v>
      </c>
      <c r="D11" s="30"/>
      <c r="E11" s="29" t="e">
        <f t="shared" si="1"/>
        <v>#DIV/0!</v>
      </c>
      <c r="F11" s="28">
        <f t="shared" si="2"/>
        <v>23.129381213075394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19.7</v>
      </c>
      <c r="D12" s="30"/>
      <c r="E12" s="29" t="e">
        <f t="shared" si="1"/>
        <v>#DIV/0!</v>
      </c>
      <c r="F12" s="28">
        <f t="shared" si="2"/>
        <v>21.192967902213269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21.5</v>
      </c>
      <c r="D13" s="30"/>
      <c r="E13" s="29" t="e">
        <f t="shared" si="1"/>
        <v>#DIV/0!</v>
      </c>
      <c r="F13" s="28">
        <f t="shared" si="2"/>
        <v>23.129381213075394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24.1</v>
      </c>
      <c r="D14" s="30"/>
      <c r="E14" s="29" t="e">
        <f t="shared" si="1"/>
        <v>#DIV/0!</v>
      </c>
      <c r="F14" s="28">
        <f t="shared" si="2"/>
        <v>25.926422662098467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19.899999999999999</v>
      </c>
      <c r="D15" s="30"/>
      <c r="E15" s="29" t="e">
        <f t="shared" si="1"/>
        <v>#DIV/0!</v>
      </c>
      <c r="F15" s="28">
        <f t="shared" si="2"/>
        <v>21.408124936753502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27.2</v>
      </c>
      <c r="D16" s="30"/>
      <c r="E16" s="29" t="e">
        <f t="shared" si="1"/>
        <v>#DIV/0!</v>
      </c>
      <c r="F16" s="28">
        <f t="shared" si="2"/>
        <v>29.261356697472127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40</v>
      </c>
      <c r="D17" s="30"/>
      <c r="E17" s="29" t="e">
        <f t="shared" si="1"/>
        <v>#DIV/0!</v>
      </c>
      <c r="F17" s="28">
        <f t="shared" si="2"/>
        <v>43.031406908047245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35</v>
      </c>
      <c r="D18" s="30"/>
      <c r="E18" s="29" t="e">
        <f t="shared" si="1"/>
        <v>#DIV/0!</v>
      </c>
      <c r="F18" s="28">
        <f t="shared" si="2"/>
        <v>37.652481044541339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52</v>
      </c>
      <c r="D21" s="30">
        <v>172.1</v>
      </c>
      <c r="E21" s="29">
        <f>D21/$D$48</f>
        <v>1.3902689253487789E-2</v>
      </c>
      <c r="F21" s="28">
        <f>C21-(C21*$E$6)</f>
        <v>55.940828980461418</v>
      </c>
      <c r="G21" s="27" t="str">
        <f>IF(C21&gt;=F21,"-","+")</f>
        <v>+</v>
      </c>
      <c r="H21" s="26">
        <f>C21*D21</f>
        <v>8949.1999999999989</v>
      </c>
      <c r="I21" s="26">
        <f>F21*D21</f>
        <v>9627.416667537409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34.9</v>
      </c>
      <c r="D22" s="30">
        <v>320.10000000000002</v>
      </c>
      <c r="E22" s="29">
        <f>D22/$D$48</f>
        <v>2.5858517315755038E-2</v>
      </c>
      <c r="F22" s="28">
        <f>C22-(C22*$E$6)</f>
        <v>37.544902527271219</v>
      </c>
      <c r="G22" s="27" t="str">
        <f>IF(C22&gt;=F22,"-","+")</f>
        <v>+</v>
      </c>
      <c r="H22" s="26">
        <f>C22*D22</f>
        <v>11171.49</v>
      </c>
      <c r="I22" s="26">
        <f>F22*D22</f>
        <v>12018.123298979519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31.8</v>
      </c>
      <c r="D23" s="30">
        <v>279.5</v>
      </c>
      <c r="E23" s="29">
        <f>D23/$D$48</f>
        <v>2.2578742860835777E-2</v>
      </c>
      <c r="F23" s="28">
        <f>C23-(C23*$E$6)</f>
        <v>34.209968491897563</v>
      </c>
      <c r="G23" s="27" t="str">
        <f>IF(C23&gt;=F23,"-","+")</f>
        <v>+</v>
      </c>
      <c r="H23" s="26">
        <f>C23*D23</f>
        <v>8888.1</v>
      </c>
      <c r="I23" s="26">
        <f>F23*D23</f>
        <v>9561.6861934853696</v>
      </c>
      <c r="J23" s="25"/>
      <c r="K23" s="25"/>
    </row>
    <row r="24" spans="1:11" x14ac:dyDescent="0.25">
      <c r="A24" s="24" t="s">
        <v>34</v>
      </c>
      <c r="B24" s="23"/>
      <c r="C24" s="20">
        <f>H24/D24</f>
        <v>37.590760658286897</v>
      </c>
      <c r="D24" s="22">
        <f>SUM(D21:D23)</f>
        <v>771.7</v>
      </c>
      <c r="E24" s="21">
        <f>D24/$D$48</f>
        <v>6.233994943007861E-2</v>
      </c>
      <c r="F24" s="20">
        <f>I24/D24</f>
        <v>40.43958294674394</v>
      </c>
      <c r="G24" s="19">
        <f>F24/C24-1</f>
        <v>7.5785172701181347E-2</v>
      </c>
      <c r="H24" s="18">
        <f>SUM(H21:H23)</f>
        <v>29008.79</v>
      </c>
      <c r="I24" s="18">
        <f>SUM(I21:I23)</f>
        <v>31207.226160002298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27.8</v>
      </c>
      <c r="D26" s="30">
        <f>2353.5+68</f>
        <v>2421.5</v>
      </c>
      <c r="E26" s="29">
        <f t="shared" ref="E26:E32" si="7">D26/$D$48</f>
        <v>0.19561511927554145</v>
      </c>
      <c r="F26" s="28">
        <f t="shared" ref="F26:F31" si="8">C26-(C26*$E$6)</f>
        <v>29.906827801092835</v>
      </c>
      <c r="G26" s="27" t="str">
        <f t="shared" ref="G26:G31" si="9">IF(C26&gt;=F26,"-","+")</f>
        <v>+</v>
      </c>
      <c r="H26" s="26">
        <f t="shared" ref="H26:H31" si="10">C26*D26</f>
        <v>67317.7</v>
      </c>
      <c r="I26" s="26">
        <f t="shared" ref="I26:I31" si="11">F26*D26</f>
        <v>72419.383520346295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24.7</v>
      </c>
      <c r="D27" s="30">
        <v>1536.2</v>
      </c>
      <c r="E27" s="29">
        <f t="shared" si="7"/>
        <v>0.12409826398145232</v>
      </c>
      <c r="F27" s="28">
        <f t="shared" si="8"/>
        <v>26.571893765719174</v>
      </c>
      <c r="G27" s="27" t="str">
        <f t="shared" si="9"/>
        <v>+</v>
      </c>
      <c r="H27" s="26">
        <f t="shared" si="10"/>
        <v>37944.14</v>
      </c>
      <c r="I27" s="26">
        <f t="shared" si="11"/>
        <v>40819.7432028978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24.7</v>
      </c>
      <c r="D28" s="30">
        <v>1316.6</v>
      </c>
      <c r="E28" s="29">
        <f t="shared" si="7"/>
        <v>0.10635840018095306</v>
      </c>
      <c r="F28" s="28">
        <f t="shared" si="8"/>
        <v>26.571893765719174</v>
      </c>
      <c r="G28" s="27" t="str">
        <f t="shared" si="9"/>
        <v>+</v>
      </c>
      <c r="H28" s="26">
        <f t="shared" si="10"/>
        <v>32520.019999999997</v>
      </c>
      <c r="I28" s="26">
        <f t="shared" si="11"/>
        <v>34984.555331945863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23.9</v>
      </c>
      <c r="D29" s="30">
        <v>1127.8</v>
      </c>
      <c r="E29" s="29">
        <f t="shared" si="7"/>
        <v>9.1106641139358097E-2</v>
      </c>
      <c r="F29" s="28">
        <f t="shared" si="8"/>
        <v>25.711265627558227</v>
      </c>
      <c r="G29" s="27" t="str">
        <f t="shared" si="9"/>
        <v>+</v>
      </c>
      <c r="H29" s="26">
        <f t="shared" si="10"/>
        <v>26954.42</v>
      </c>
      <c r="I29" s="26">
        <f t="shared" si="11"/>
        <v>28997.165374760167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23.9</v>
      </c>
      <c r="D30" s="30">
        <v>643.79999999999995</v>
      </c>
      <c r="E30" s="29">
        <f t="shared" si="7"/>
        <v>5.2007852070862511E-2</v>
      </c>
      <c r="F30" s="28">
        <f t="shared" si="8"/>
        <v>25.711265627558227</v>
      </c>
      <c r="G30" s="27" t="str">
        <f t="shared" si="9"/>
        <v>+</v>
      </c>
      <c r="H30" s="26">
        <f t="shared" si="10"/>
        <v>15386.819999999998</v>
      </c>
      <c r="I30" s="26">
        <f t="shared" si="11"/>
        <v>16552.912811021986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24.3</v>
      </c>
      <c r="D31" s="30">
        <v>206</v>
      </c>
      <c r="E31" s="29">
        <f t="shared" si="7"/>
        <v>1.6641220140723327E-2</v>
      </c>
      <c r="F31" s="28">
        <f t="shared" si="8"/>
        <v>26.141579696638701</v>
      </c>
      <c r="G31" s="27" t="str">
        <f t="shared" si="9"/>
        <v>+</v>
      </c>
      <c r="H31" s="26">
        <f t="shared" si="10"/>
        <v>5005.8</v>
      </c>
      <c r="I31" s="26">
        <f t="shared" si="11"/>
        <v>5385.1654175075728</v>
      </c>
      <c r="J31" s="25"/>
      <c r="K31" s="25"/>
    </row>
    <row r="32" spans="1:11" x14ac:dyDescent="0.25">
      <c r="A32" s="24" t="s">
        <v>34</v>
      </c>
      <c r="B32" s="23"/>
      <c r="C32" s="20">
        <f>H32/D32</f>
        <v>25.528330506487951</v>
      </c>
      <c r="D32" s="22">
        <f>SUM(D26:D31)</f>
        <v>7251.9</v>
      </c>
      <c r="E32" s="21">
        <f t="shared" si="7"/>
        <v>0.58582749678889079</v>
      </c>
      <c r="F32" s="20">
        <f>I32/D32</f>
        <v>27.462999442694976</v>
      </c>
      <c r="G32" s="19">
        <f>F32/C32-1</f>
        <v>7.5785172701181347E-2</v>
      </c>
      <c r="H32" s="18">
        <f>SUM(H26:H31)</f>
        <v>185128.89999999997</v>
      </c>
      <c r="I32" s="18">
        <f>SUM(I26:I31)</f>
        <v>199158.92565847968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14.6</v>
      </c>
      <c r="D34" s="30">
        <v>1523</v>
      </c>
      <c r="E34" s="29">
        <f t="shared" ref="E34:E40" si="13">D34/$D$48</f>
        <v>0.12303193337049334</v>
      </c>
      <c r="F34" s="28">
        <f t="shared" ref="F34:F39" si="14">C34-(C34*$E$6)</f>
        <v>15.706463521437245</v>
      </c>
      <c r="G34" s="27" t="str">
        <f t="shared" ref="G34:G39" si="15">IF(C34&gt;=F34,"-","+")</f>
        <v>+</v>
      </c>
      <c r="H34" s="26">
        <f t="shared" ref="H34:H39" si="16">C34*D34</f>
        <v>22235.8</v>
      </c>
      <c r="I34" s="26">
        <f t="shared" ref="I34:I39" si="17">F34*D34</f>
        <v>23920.943943148923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11.2</v>
      </c>
      <c r="D35" s="30">
        <v>69.2</v>
      </c>
      <c r="E35" s="29">
        <f t="shared" si="13"/>
        <v>5.5901574453303612E-3</v>
      </c>
      <c r="F35" s="28">
        <f t="shared" si="14"/>
        <v>12.048793934253228</v>
      </c>
      <c r="G35" s="27" t="str">
        <f t="shared" si="15"/>
        <v>+</v>
      </c>
      <c r="H35" s="26">
        <f t="shared" si="16"/>
        <v>775.04</v>
      </c>
      <c r="I35" s="26">
        <f t="shared" si="17"/>
        <v>833.77654025032336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</v>
      </c>
      <c r="D36" s="30"/>
      <c r="E36" s="29">
        <f t="shared" si="13"/>
        <v>0</v>
      </c>
      <c r="F36" s="28">
        <f t="shared" si="14"/>
        <v>9.6820665543106301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23.9</v>
      </c>
      <c r="D37" s="30"/>
      <c r="E37" s="29">
        <f t="shared" si="13"/>
        <v>0</v>
      </c>
      <c r="F37" s="28">
        <f t="shared" si="14"/>
        <v>25.711265627558227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23.9</v>
      </c>
      <c r="D38" s="30"/>
      <c r="E38" s="29">
        <f t="shared" si="13"/>
        <v>0</v>
      </c>
      <c r="F38" s="28">
        <f t="shared" si="14"/>
        <v>25.711265627558227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24.7</v>
      </c>
      <c r="D39" s="30"/>
      <c r="E39" s="29">
        <f t="shared" si="13"/>
        <v>0</v>
      </c>
      <c r="F39" s="28">
        <f t="shared" si="14"/>
        <v>26.571893765719174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14.452229619394549</v>
      </c>
      <c r="D40" s="22">
        <f>SUM(D34:D39)</f>
        <v>1592.2</v>
      </c>
      <c r="E40" s="21">
        <f t="shared" si="13"/>
        <v>0.12862209081582371</v>
      </c>
      <c r="F40" s="20">
        <f>I40/D40</f>
        <v>15.54749433701749</v>
      </c>
      <c r="G40" s="19">
        <f>F40/C40-1</f>
        <v>7.5785172701181125E-2</v>
      </c>
      <c r="H40" s="18">
        <f>SUM(H34:H39)</f>
        <v>23010.84</v>
      </c>
      <c r="I40" s="18">
        <f>SUM(I34:I39)</f>
        <v>24754.720483399247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v>2634</v>
      </c>
      <c r="E42" s="107">
        <f>D42/$D$48</f>
        <v>0.21278142645954004</v>
      </c>
      <c r="F42" s="28">
        <f>C42-(C42*$E$6)</f>
        <v>0.32273555181035435</v>
      </c>
      <c r="G42" s="27" t="str">
        <f>IF(C42&gt;=F42,"-","+")</f>
        <v>+</v>
      </c>
      <c r="H42" s="26">
        <f>C42*D42</f>
        <v>790.19999999999993</v>
      </c>
      <c r="I42" s="26">
        <f>F42*D42</f>
        <v>850.08544346847339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63.7</v>
      </c>
      <c r="E43" s="107">
        <f>D43/$D$48</f>
        <v>5.1458530240974564E-3</v>
      </c>
      <c r="F43" s="28">
        <f>C43-(C43*$E$6)</f>
        <v>0.32273555181035435</v>
      </c>
      <c r="G43" s="27" t="str">
        <f>IF(C43&gt;=F43,"-","+")</f>
        <v>+</v>
      </c>
      <c r="H43" s="26">
        <f>C43*D43</f>
        <v>19.11</v>
      </c>
      <c r="I43" s="26">
        <f>F43*D43</f>
        <v>20.558254650319572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59</v>
      </c>
      <c r="E44" s="107">
        <f>D44/$D$48</f>
        <v>4.766174700498429E-3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6.4</v>
      </c>
      <c r="E45" s="107">
        <f>D45/$D$48</f>
        <v>5.1700878107101603E-4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0.29289927979443375</v>
      </c>
      <c r="D46" s="22">
        <f>SUM(D41:D45)</f>
        <v>2763.1</v>
      </c>
      <c r="E46" s="21">
        <f>D46/$D$48</f>
        <v>0.22321046296520691</v>
      </c>
      <c r="F46" s="20">
        <f>I46/D46</f>
        <v>0.31509670229770653</v>
      </c>
      <c r="G46" s="19">
        <f>F46/C46-1</f>
        <v>7.5785172701181347E-2</v>
      </c>
      <c r="H46" s="18">
        <f>SUM(H41:H44)</f>
        <v>809.31</v>
      </c>
      <c r="I46" s="18">
        <f>SUM(I41:I44)</f>
        <v>870.64369811879294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77.864220063963828</v>
      </c>
      <c r="D48" s="13">
        <f>D24+D32+D40+D46</f>
        <v>12378.9</v>
      </c>
      <c r="E48" s="12">
        <f>SUM(E20:E46)/2</f>
        <v>1.0000000000000002</v>
      </c>
      <c r="F48" s="11">
        <f>I48/D48</f>
        <v>20.679665883075238</v>
      </c>
      <c r="G48" s="10"/>
      <c r="H48" s="9">
        <f>SUM(H20:H46)/2</f>
        <v>237957.83999999997</v>
      </c>
      <c r="I48" s="9">
        <f>SUM(I20:I46)/2</f>
        <v>255991.51600000003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12378.900000000001</v>
      </c>
      <c r="E50" s="12">
        <f>D50/G2</f>
        <v>1.000016156785446</v>
      </c>
      <c r="F50" s="11">
        <f>I50/D50</f>
        <v>20.679665883075234</v>
      </c>
      <c r="G50" s="10"/>
      <c r="H50" s="9">
        <f>H48+H19</f>
        <v>237957.83999999997</v>
      </c>
      <c r="I50" s="9">
        <f>I48+I19</f>
        <v>255991.51600000003</v>
      </c>
      <c r="J50" s="106">
        <f>D50-G2</f>
        <v>0.2000000000007276</v>
      </c>
      <c r="K50" s="8"/>
    </row>
    <row r="51" spans="1:11" ht="23.25" x14ac:dyDescent="0.35">
      <c r="A51" s="168" t="s">
        <v>188</v>
      </c>
      <c r="B51" s="169"/>
      <c r="C51" s="170"/>
      <c r="G51" s="7"/>
      <c r="H51" s="6"/>
      <c r="I51" s="6">
        <f>+I50/D50</f>
        <v>20.679665883075234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189</v>
      </c>
      <c r="D1" s="100" t="s">
        <v>1</v>
      </c>
      <c r="E1" s="168" t="s">
        <v>148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190</v>
      </c>
      <c r="D2" s="96" t="s">
        <v>3</v>
      </c>
      <c r="E2" s="95" t="s">
        <v>71</v>
      </c>
      <c r="F2" s="94" t="s">
        <v>5</v>
      </c>
      <c r="G2" s="93">
        <v>18117.2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200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90.585999999999999</v>
      </c>
      <c r="F4" s="81" t="s">
        <v>12</v>
      </c>
      <c r="G4" s="80">
        <f>G2*G3</f>
        <v>487352.68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7.7531444289765661E-3</v>
      </c>
      <c r="F6" s="69" t="s">
        <v>16</v>
      </c>
      <c r="G6" s="68">
        <f>(I50-I19)/(D50-(SUM(D42:D44)+D19))</f>
        <v>31.940796958972346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 t="e">
        <f t="shared" ref="E10:E19" si="1">D10/$D$19</f>
        <v>#DIV/0!</v>
      </c>
      <c r="F10" s="28">
        <f t="shared" ref="F10:F18" si="2">C10-(C10*$E$6)</f>
        <v>26.69144041486053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/>
      <c r="E11" s="29" t="e">
        <f t="shared" si="1"/>
        <v>#DIV/0!</v>
      </c>
      <c r="F11" s="28">
        <f t="shared" si="2"/>
        <v>27.782911955988656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/>
      <c r="E12" s="29" t="e">
        <f t="shared" si="1"/>
        <v>#DIV/0!</v>
      </c>
      <c r="F12" s="28">
        <f t="shared" si="2"/>
        <v>25.4015195026182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 t="e">
        <f t="shared" si="1"/>
        <v>#DIV/0!</v>
      </c>
      <c r="F13" s="28">
        <f t="shared" si="2"/>
        <v>27.782911955988656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 t="e">
        <f t="shared" si="1"/>
        <v>#DIV/0!</v>
      </c>
      <c r="F14" s="28">
        <f t="shared" si="2"/>
        <v>31.057326579373033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 t="e">
        <f t="shared" si="1"/>
        <v>#DIV/0!</v>
      </c>
      <c r="F15" s="28">
        <f t="shared" si="2"/>
        <v>25.599968873732404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/>
      <c r="E16" s="29" t="e">
        <f t="shared" si="1"/>
        <v>#DIV/0!</v>
      </c>
      <c r="F16" s="28">
        <f t="shared" si="2"/>
        <v>35.125538687214231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 t="e">
        <f t="shared" si="1"/>
        <v>#DIV/0!</v>
      </c>
      <c r="F17" s="28">
        <f t="shared" si="2"/>
        <v>51.596836489693217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 t="e">
        <f t="shared" si="1"/>
        <v>#DIV/0!</v>
      </c>
      <c r="F18" s="28">
        <f t="shared" si="2"/>
        <v>45.246456614038671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230.3</v>
      </c>
      <c r="E21" s="29">
        <f>D21/$D$48</f>
        <v>1.271167730112821E-2</v>
      </c>
      <c r="F21" s="28">
        <f>C21-(C21*$E$6)</f>
        <v>67.175112122158296</v>
      </c>
      <c r="G21" s="27" t="str">
        <f>IF(C21&gt;=F21,"-","+")</f>
        <v>-</v>
      </c>
      <c r="H21" s="26">
        <f>C21*D21</f>
        <v>15591.310000000001</v>
      </c>
      <c r="I21" s="26">
        <f>F21*D21</f>
        <v>15470.428321733056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621</v>
      </c>
      <c r="E22" s="29">
        <f>D22/$D$48</f>
        <v>3.4276819817631865E-2</v>
      </c>
      <c r="F22" s="28">
        <f>C22-(C22*$E$6)</f>
        <v>45.048007242924463</v>
      </c>
      <c r="G22" s="27" t="str">
        <f>IF(C22&gt;=F22,"-","+")</f>
        <v>-</v>
      </c>
      <c r="H22" s="26">
        <f>C22*D22</f>
        <v>28193.399999999998</v>
      </c>
      <c r="I22" s="26">
        <f>F22*D22</f>
        <v>27974.812497856092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460</v>
      </c>
      <c r="E23" s="29">
        <f>D23/$D$48</f>
        <v>2.5390236901949529E-2</v>
      </c>
      <c r="F23" s="28">
        <f>C23-(C23*$E$6)</f>
        <v>41.079019820640369</v>
      </c>
      <c r="G23" s="27" t="str">
        <f>IF(C23&gt;=F23,"-","+")</f>
        <v>-</v>
      </c>
      <c r="H23" s="26">
        <f>C23*D23</f>
        <v>19044</v>
      </c>
      <c r="I23" s="26">
        <f>F23*D23</f>
        <v>18896.34911749457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47.91329977884542</v>
      </c>
      <c r="D24" s="22">
        <f>SUM(D21:D23)</f>
        <v>1311.3</v>
      </c>
      <c r="E24" s="21">
        <f>D24/$D$48</f>
        <v>7.2378734020709601E-2</v>
      </c>
      <c r="F24" s="20">
        <f>I24/D24</f>
        <v>47.541821045591185</v>
      </c>
      <c r="G24" s="19">
        <f>F24/C24-1</f>
        <v>-7.7531444289764551E-3</v>
      </c>
      <c r="H24" s="18">
        <f>SUM(H21:H23)</f>
        <v>62828.71</v>
      </c>
      <c r="I24" s="18">
        <f>SUM(I21:I23)</f>
        <v>62341.589937083714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v>3413.2</v>
      </c>
      <c r="E26" s="29">
        <f t="shared" ref="E26:E32" si="7">D26/$D$48</f>
        <v>0.18839555781246548</v>
      </c>
      <c r="F26" s="28">
        <f t="shared" ref="F26:F31" si="8">C26-(C26*$E$6)</f>
        <v>35.820111486113944</v>
      </c>
      <c r="G26" s="27" t="str">
        <f t="shared" ref="G26:G31" si="9">IF(C26&gt;=F26,"-","+")</f>
        <v>-</v>
      </c>
      <c r="H26" s="26">
        <f t="shared" ref="H26:H31" si="10">C26*D26</f>
        <v>123216.52</v>
      </c>
      <c r="I26" s="26">
        <f t="shared" ref="I26:I31" si="11">F26*D26</f>
        <v>122261.20452440411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2922.9</v>
      </c>
      <c r="E27" s="29">
        <f t="shared" si="7"/>
        <v>0.161332877045018</v>
      </c>
      <c r="F27" s="28">
        <f t="shared" si="8"/>
        <v>31.851124063829854</v>
      </c>
      <c r="G27" s="27" t="str">
        <f t="shared" si="9"/>
        <v>-</v>
      </c>
      <c r="H27" s="26">
        <f t="shared" si="10"/>
        <v>93825.090000000011</v>
      </c>
      <c r="I27" s="26">
        <f t="shared" si="11"/>
        <v>93097.650526168276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2005.2</v>
      </c>
      <c r="E28" s="29">
        <f t="shared" si="7"/>
        <v>0.11067935442562868</v>
      </c>
      <c r="F28" s="28">
        <f t="shared" si="8"/>
        <v>31.851124063829854</v>
      </c>
      <c r="G28" s="27" t="str">
        <f t="shared" si="9"/>
        <v>-</v>
      </c>
      <c r="H28" s="26">
        <f t="shared" si="10"/>
        <v>64366.920000000006</v>
      </c>
      <c r="I28" s="26">
        <f t="shared" si="11"/>
        <v>63867.873972791625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1649.5</v>
      </c>
      <c r="E29" s="29">
        <f t="shared" si="7"/>
        <v>9.1046077760360319E-2</v>
      </c>
      <c r="F29" s="28">
        <f t="shared" si="8"/>
        <v>30.858877208258829</v>
      </c>
      <c r="G29" s="27" t="str">
        <f t="shared" si="9"/>
        <v>-</v>
      </c>
      <c r="H29" s="26">
        <f t="shared" si="10"/>
        <v>51299.450000000004</v>
      </c>
      <c r="I29" s="26">
        <f t="shared" si="11"/>
        <v>50901.717955022941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1094.0999999999999</v>
      </c>
      <c r="E30" s="29">
        <f t="shared" si="7"/>
        <v>6.0390126509615165E-2</v>
      </c>
      <c r="F30" s="28">
        <f t="shared" si="8"/>
        <v>30.858877208258829</v>
      </c>
      <c r="G30" s="27" t="str">
        <f t="shared" si="9"/>
        <v>-</v>
      </c>
      <c r="H30" s="26">
        <f t="shared" si="10"/>
        <v>34026.51</v>
      </c>
      <c r="I30" s="26">
        <f t="shared" si="11"/>
        <v>33762.697553555983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489.9</v>
      </c>
      <c r="E31" s="29">
        <f t="shared" si="7"/>
        <v>2.7040602300576245E-2</v>
      </c>
      <c r="F31" s="28">
        <f t="shared" si="8"/>
        <v>31.355000636044341</v>
      </c>
      <c r="G31" s="27" t="str">
        <f t="shared" si="9"/>
        <v>-</v>
      </c>
      <c r="H31" s="26">
        <f t="shared" si="10"/>
        <v>15480.84</v>
      </c>
      <c r="I31" s="26">
        <f t="shared" si="11"/>
        <v>15360.814811598122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33.021333413968279</v>
      </c>
      <c r="D32" s="22">
        <f>SUM(D26:D31)</f>
        <v>11574.800000000001</v>
      </c>
      <c r="E32" s="21">
        <f t="shared" si="7"/>
        <v>0.63888459585366397</v>
      </c>
      <c r="F32" s="20">
        <f>I32/D32</f>
        <v>32.765314246772384</v>
      </c>
      <c r="G32" s="19">
        <f>F32/C32-1</f>
        <v>-7.7531444289767881E-3</v>
      </c>
      <c r="H32" s="18">
        <f>SUM(H26:H31)</f>
        <v>382215.33000000007</v>
      </c>
      <c r="I32" s="18">
        <f>SUM(I26:I31)</f>
        <v>379251.95934354106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2367</v>
      </c>
      <c r="E34" s="29">
        <f t="shared" ref="E34:E40" si="13">D34/$D$48</f>
        <v>0.13064932771068377</v>
      </c>
      <c r="F34" s="28">
        <f t="shared" ref="F34:F39" si="14">C34-(C34*$E$6)</f>
        <v>18.852690255849446</v>
      </c>
      <c r="G34" s="27" t="str">
        <f t="shared" ref="G34:G39" si="15">IF(C34&gt;=F34,"-","+")</f>
        <v>-</v>
      </c>
      <c r="H34" s="26">
        <f t="shared" ref="H34:H39" si="16">C34*D34</f>
        <v>44973</v>
      </c>
      <c r="I34" s="26">
        <f t="shared" ref="I34:I39" si="17">F34*D34</f>
        <v>44624.317835595641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14.486804091336941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11.609288210180974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30.858877208258829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30.858877208258829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31.851124063829854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</v>
      </c>
      <c r="D40" s="22">
        <f>SUM(D34:D39)</f>
        <v>2367</v>
      </c>
      <c r="E40" s="21">
        <f t="shared" si="13"/>
        <v>0.13064932771068377</v>
      </c>
      <c r="F40" s="20">
        <f>I40/D40</f>
        <v>18.852690255849446</v>
      </c>
      <c r="G40" s="19">
        <f>F40/C40-1</f>
        <v>-7.7531444289765661E-3</v>
      </c>
      <c r="H40" s="18">
        <f>SUM(H34:H39)</f>
        <v>44973</v>
      </c>
      <c r="I40" s="18">
        <f>SUM(I34:I39)</f>
        <v>44624.317835595641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2746</v>
      </c>
      <c r="E42" s="107">
        <f>D42/$D$48</f>
        <v>0.15156867507120306</v>
      </c>
      <c r="F42" s="28">
        <f>C42-(C42*$E$6)</f>
        <v>0.39689874222840937</v>
      </c>
      <c r="G42" s="27" t="str">
        <f>IF(C42&gt;=F42,"-","+")</f>
        <v>-</v>
      </c>
      <c r="H42" s="26">
        <f>C42*D42</f>
        <v>1098.4000000000001</v>
      </c>
      <c r="I42" s="26">
        <f>F42*D42</f>
        <v>1089.8839461592122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113.2</v>
      </c>
      <c r="E43" s="107">
        <f>D43/$D$48</f>
        <v>6.2482061245667103E-3</v>
      </c>
      <c r="F43" s="28">
        <f>C43-(C43*$E$6)</f>
        <v>0.39689874222840937</v>
      </c>
      <c r="G43" s="27" t="str">
        <f>IF(C43&gt;=F43,"-","+")</f>
        <v>-</v>
      </c>
      <c r="H43" s="26">
        <f>C43*D43</f>
        <v>45.28</v>
      </c>
      <c r="I43" s="26">
        <f>F43*D43</f>
        <v>44.928937620255944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4.9000000000000004</v>
      </c>
      <c r="E45" s="107">
        <f>D45/$D$48</f>
        <v>2.7046121917294064E-4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0.39931566635243188</v>
      </c>
      <c r="D46" s="22">
        <f>SUM(D41:D45)</f>
        <v>2864.1</v>
      </c>
      <c r="E46" s="21">
        <f>D46/$D$48</f>
        <v>0.15808734241494268</v>
      </c>
      <c r="F46" s="20">
        <f>I46/D46</f>
        <v>0.39621971431844843</v>
      </c>
      <c r="G46" s="19">
        <f>F46/C46-1</f>
        <v>-7.7531444289765661E-3</v>
      </c>
      <c r="H46" s="18">
        <f>SUM(H41:H44)</f>
        <v>1143.68</v>
      </c>
      <c r="I46" s="18">
        <f>SUM(I41:I44)</f>
        <v>1134.8128837794682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100.33394885916613</v>
      </c>
      <c r="D48" s="13">
        <f>D24+D32+D40+D46</f>
        <v>18117.2</v>
      </c>
      <c r="E48" s="12">
        <f>SUM(E20:E46)/2</f>
        <v>1</v>
      </c>
      <c r="F48" s="11">
        <f>I48/D48</f>
        <v>26.899999999999995</v>
      </c>
      <c r="G48" s="10"/>
      <c r="H48" s="9">
        <f>SUM(H20:H46)/2</f>
        <v>491160.72000000009</v>
      </c>
      <c r="I48" s="9">
        <f>SUM(I20:I46)/2</f>
        <v>487352.67999999993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18117.199999999997</v>
      </c>
      <c r="E50" s="12">
        <f>D50/G2</f>
        <v>0.99999999999999978</v>
      </c>
      <c r="F50" s="11">
        <f>I50/D50</f>
        <v>26.900000000000002</v>
      </c>
      <c r="G50" s="10"/>
      <c r="H50" s="9">
        <f>H48+H19</f>
        <v>491160.72000000009</v>
      </c>
      <c r="I50" s="9">
        <f>I48+I19</f>
        <v>487352.67999999993</v>
      </c>
      <c r="J50" s="106">
        <f>D50-G2</f>
        <v>0</v>
      </c>
      <c r="K50" s="8"/>
    </row>
    <row r="51" spans="1:11" ht="23.25" x14ac:dyDescent="0.35">
      <c r="A51" s="168" t="s">
        <v>191</v>
      </c>
      <c r="B51" s="169"/>
      <c r="C51" s="170"/>
      <c r="G51" s="7"/>
      <c r="H51" s="6"/>
      <c r="I51" s="6">
        <f>+I50/D50</f>
        <v>26.900000000000002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192</v>
      </c>
      <c r="D1" s="100" t="s">
        <v>1</v>
      </c>
      <c r="E1" s="168" t="s">
        <v>193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189</v>
      </c>
      <c r="D2" s="96" t="s">
        <v>3</v>
      </c>
      <c r="E2" s="95" t="s">
        <v>112</v>
      </c>
      <c r="F2" s="94" t="s">
        <v>5</v>
      </c>
      <c r="G2" s="93">
        <v>3222.7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194</v>
      </c>
      <c r="D3" s="90" t="s">
        <v>7</v>
      </c>
      <c r="E3" s="89">
        <v>48</v>
      </c>
      <c r="F3" s="88" t="s">
        <v>8</v>
      </c>
      <c r="G3" s="87">
        <v>21.1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67.139583333333334</v>
      </c>
      <c r="F4" s="81" t="s">
        <v>12</v>
      </c>
      <c r="G4" s="80">
        <f>G2*G3</f>
        <v>67998.97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-9.1213862220608677E-2</v>
      </c>
      <c r="F6" s="69" t="s">
        <v>16</v>
      </c>
      <c r="G6" s="68">
        <f>(I50-I19)/(D50-(SUM(D42:D44)+D19))</f>
        <v>27.331874271473932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21.1</v>
      </c>
      <c r="D10" s="30"/>
      <c r="E10" s="29" t="e">
        <f t="shared" ref="E10:E19" si="1">D10/$D$19</f>
        <v>#DIV/0!</v>
      </c>
      <c r="F10" s="28">
        <f t="shared" ref="F10:F18" si="2">C10-(C10*$E$6)</f>
        <v>23.024612492854846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</v>
      </c>
      <c r="D11" s="30"/>
      <c r="E11" s="29" t="e">
        <f t="shared" si="1"/>
        <v>#DIV/0!</v>
      </c>
      <c r="F11" s="28">
        <f t="shared" si="2"/>
        <v>24.006704968853391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20.100000000000001</v>
      </c>
      <c r="D12" s="30"/>
      <c r="E12" s="29" t="e">
        <f t="shared" si="1"/>
        <v>#DIV/0!</v>
      </c>
      <c r="F12" s="28">
        <f t="shared" si="2"/>
        <v>21.933398630634237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</v>
      </c>
      <c r="D13" s="30"/>
      <c r="E13" s="29" t="e">
        <f t="shared" si="1"/>
        <v>#DIV/0!</v>
      </c>
      <c r="F13" s="28">
        <f t="shared" si="2"/>
        <v>24.006704968853391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24.6</v>
      </c>
      <c r="D14" s="30"/>
      <c r="E14" s="29" t="e">
        <f t="shared" si="1"/>
        <v>#DIV/0!</v>
      </c>
      <c r="F14" s="28">
        <f t="shared" si="2"/>
        <v>26.843861010626973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20.3</v>
      </c>
      <c r="D15" s="30"/>
      <c r="E15" s="29" t="e">
        <f t="shared" si="1"/>
        <v>#DIV/0!</v>
      </c>
      <c r="F15" s="28">
        <f t="shared" si="2"/>
        <v>22.151641403078358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27.7</v>
      </c>
      <c r="D16" s="30"/>
      <c r="E16" s="29" t="e">
        <f t="shared" si="1"/>
        <v>#DIV/0!</v>
      </c>
      <c r="F16" s="28">
        <f t="shared" si="2"/>
        <v>30.226623983510859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40.799999999999997</v>
      </c>
      <c r="D17" s="30"/>
      <c r="E17" s="29" t="e">
        <f t="shared" si="1"/>
        <v>#DIV/0!</v>
      </c>
      <c r="F17" s="28">
        <f t="shared" si="2"/>
        <v>44.52152557860083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35.700000000000003</v>
      </c>
      <c r="D18" s="30"/>
      <c r="E18" s="29" t="e">
        <f t="shared" si="1"/>
        <v>#DIV/0!</v>
      </c>
      <c r="F18" s="28">
        <f t="shared" si="2"/>
        <v>38.95633488127573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53.1</v>
      </c>
      <c r="D21" s="30">
        <v>40</v>
      </c>
      <c r="E21" s="29">
        <f>D21/$D$48</f>
        <v>1.2411952710460172E-2</v>
      </c>
      <c r="F21" s="28">
        <f>C21-(C21*$E$6)</f>
        <v>57.94345608391432</v>
      </c>
      <c r="G21" s="27" t="str">
        <f>IF(C21&gt;=F21,"-","+")</f>
        <v>+</v>
      </c>
      <c r="H21" s="26">
        <f>C21*D21</f>
        <v>2124</v>
      </c>
      <c r="I21" s="26">
        <f>F21*D21</f>
        <v>2317.7382433565726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35.6</v>
      </c>
      <c r="D22" s="30">
        <v>82.6</v>
      </c>
      <c r="E22" s="29">
        <f>D22/$D$48</f>
        <v>2.5630682347100253E-2</v>
      </c>
      <c r="F22" s="28">
        <f>C22-(C22*$E$6)</f>
        <v>38.847213495053673</v>
      </c>
      <c r="G22" s="27" t="str">
        <f>IF(C22&gt;=F22,"-","+")</f>
        <v>+</v>
      </c>
      <c r="H22" s="26">
        <f>C22*D22</f>
        <v>2940.56</v>
      </c>
      <c r="I22" s="26">
        <f>F22*D22</f>
        <v>3208.7798346914333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32.5</v>
      </c>
      <c r="D23" s="30">
        <v>73.8</v>
      </c>
      <c r="E23" s="29">
        <f>D23/$D$48</f>
        <v>2.2900052750799017E-2</v>
      </c>
      <c r="F23" s="28">
        <f>C23-(C23*$E$6)</f>
        <v>35.464450522169784</v>
      </c>
      <c r="G23" s="27" t="str">
        <f>IF(C23&gt;=F23,"-","+")</f>
        <v>+</v>
      </c>
      <c r="H23" s="26">
        <f>C23*D23</f>
        <v>2398.5</v>
      </c>
      <c r="I23" s="26">
        <f>F23*D23</f>
        <v>2617.2764485361299</v>
      </c>
      <c r="J23" s="25"/>
      <c r="K23" s="25"/>
    </row>
    <row r="24" spans="1:11" x14ac:dyDescent="0.25">
      <c r="A24" s="24" t="s">
        <v>34</v>
      </c>
      <c r="B24" s="23"/>
      <c r="C24" s="20">
        <f>H24/D24</f>
        <v>37.999287169042773</v>
      </c>
      <c r="D24" s="22">
        <f>SUM(D21:D23)</f>
        <v>196.39999999999998</v>
      </c>
      <c r="E24" s="21">
        <f>D24/$D$48</f>
        <v>6.0942687808359437E-2</v>
      </c>
      <c r="F24" s="20">
        <f>I24/D24</f>
        <v>41.465348913361183</v>
      </c>
      <c r="G24" s="19">
        <f>F24/C24-1</f>
        <v>9.1213862220608677E-2</v>
      </c>
      <c r="H24" s="18">
        <f>SUM(H21:H23)</f>
        <v>7463.0599999999995</v>
      </c>
      <c r="I24" s="18">
        <f>SUM(I21:I23)</f>
        <v>8143.7945265841354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28.3</v>
      </c>
      <c r="D26" s="30">
        <v>630</v>
      </c>
      <c r="E26" s="29">
        <f t="shared" ref="E26:E32" si="7">D26/$D$48</f>
        <v>0.19548825518974772</v>
      </c>
      <c r="F26" s="28">
        <f t="shared" ref="F26:F31" si="8">C26-(C26*$E$6)</f>
        <v>30.881352300843226</v>
      </c>
      <c r="G26" s="27" t="str">
        <f t="shared" ref="G26:G31" si="9">IF(C26&gt;=F26,"-","+")</f>
        <v>+</v>
      </c>
      <c r="H26" s="26">
        <f t="shared" ref="H26:H31" si="10">C26*D26</f>
        <v>17829</v>
      </c>
      <c r="I26" s="26">
        <f t="shared" ref="I26:I31" si="11">F26*D26</f>
        <v>19455.251949531234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25.2</v>
      </c>
      <c r="D27" s="30">
        <v>414.6</v>
      </c>
      <c r="E27" s="29">
        <f t="shared" si="7"/>
        <v>0.1286498898439197</v>
      </c>
      <c r="F27" s="28">
        <f t="shared" si="8"/>
        <v>27.498589327959337</v>
      </c>
      <c r="G27" s="27" t="str">
        <f t="shared" si="9"/>
        <v>+</v>
      </c>
      <c r="H27" s="26">
        <f t="shared" si="10"/>
        <v>10447.92</v>
      </c>
      <c r="I27" s="26">
        <f t="shared" si="11"/>
        <v>11400.915135371943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25.2</v>
      </c>
      <c r="D28" s="30">
        <v>280.2</v>
      </c>
      <c r="E28" s="29">
        <f t="shared" si="7"/>
        <v>8.6945728736773503E-2</v>
      </c>
      <c r="F28" s="28">
        <f t="shared" si="8"/>
        <v>27.498589327959337</v>
      </c>
      <c r="G28" s="27" t="str">
        <f t="shared" si="9"/>
        <v>+</v>
      </c>
      <c r="H28" s="26">
        <f t="shared" si="10"/>
        <v>7061.04</v>
      </c>
      <c r="I28" s="26">
        <f t="shared" si="11"/>
        <v>7705.1047296942061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24.4</v>
      </c>
      <c r="D29" s="30">
        <v>277.60000000000002</v>
      </c>
      <c r="E29" s="29">
        <f t="shared" si="7"/>
        <v>8.6138951810593598E-2</v>
      </c>
      <c r="F29" s="28">
        <f t="shared" si="8"/>
        <v>26.625618238182849</v>
      </c>
      <c r="G29" s="27" t="str">
        <f t="shared" si="9"/>
        <v>+</v>
      </c>
      <c r="H29" s="26">
        <f t="shared" si="10"/>
        <v>6773.4400000000005</v>
      </c>
      <c r="I29" s="26">
        <f t="shared" si="11"/>
        <v>7391.2716229195594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24.4</v>
      </c>
      <c r="D30" s="30">
        <v>194.4</v>
      </c>
      <c r="E30" s="29">
        <f t="shared" si="7"/>
        <v>6.0322090172836441E-2</v>
      </c>
      <c r="F30" s="28">
        <f t="shared" si="8"/>
        <v>26.625618238182849</v>
      </c>
      <c r="G30" s="27" t="str">
        <f t="shared" si="9"/>
        <v>+</v>
      </c>
      <c r="H30" s="26">
        <f t="shared" si="10"/>
        <v>4743.3599999999997</v>
      </c>
      <c r="I30" s="26">
        <f t="shared" si="11"/>
        <v>5176.0201855027462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24.8</v>
      </c>
      <c r="D31" s="30">
        <v>60</v>
      </c>
      <c r="E31" s="29">
        <f t="shared" si="7"/>
        <v>1.8617929065690257E-2</v>
      </c>
      <c r="F31" s="28">
        <f t="shared" si="8"/>
        <v>27.062103783071095</v>
      </c>
      <c r="G31" s="27" t="str">
        <f t="shared" si="9"/>
        <v>+</v>
      </c>
      <c r="H31" s="26">
        <f t="shared" si="10"/>
        <v>1488</v>
      </c>
      <c r="I31" s="26">
        <f t="shared" si="11"/>
        <v>1623.7262269842656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26.035523481258078</v>
      </c>
      <c r="D32" s="22">
        <f>SUM(D26:D31)</f>
        <v>1856.8000000000002</v>
      </c>
      <c r="E32" s="21">
        <f t="shared" si="7"/>
        <v>0.57616284481956126</v>
      </c>
      <c r="F32" s="20">
        <f>I32/D32</f>
        <v>28.410324132918976</v>
      </c>
      <c r="G32" s="19">
        <f>F32/C32-1</f>
        <v>9.1213862220608677E-2</v>
      </c>
      <c r="H32" s="18">
        <f>SUM(H26:H31)</f>
        <v>48342.76</v>
      </c>
      <c r="I32" s="18">
        <f>SUM(I26:I31)</f>
        <v>52752.289850003959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14.9</v>
      </c>
      <c r="D34" s="30">
        <f>201+194.1</f>
        <v>395.1</v>
      </c>
      <c r="E34" s="29">
        <f t="shared" ref="E34:E40" si="13">D34/$D$48</f>
        <v>0.12259906289757036</v>
      </c>
      <c r="F34" s="28">
        <f t="shared" ref="F34:F39" si="14">C34-(C34*$E$6)</f>
        <v>16.259086547087069</v>
      </c>
      <c r="G34" s="27" t="str">
        <f t="shared" ref="G34:G39" si="15">IF(C34&gt;=F34,"-","+")</f>
        <v>+</v>
      </c>
      <c r="H34" s="26">
        <f t="shared" ref="H34:H39" si="16">C34*D34</f>
        <v>5886.9900000000007</v>
      </c>
      <c r="I34" s="26">
        <f t="shared" ref="I34:I39" si="17">F34*D34</f>
        <v>6423.9650947541013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11.5</v>
      </c>
      <c r="D35" s="30">
        <v>35.4</v>
      </c>
      <c r="E35" s="29">
        <f t="shared" si="13"/>
        <v>1.0984578148757251E-2</v>
      </c>
      <c r="F35" s="28">
        <f t="shared" si="14"/>
        <v>12.548959415537</v>
      </c>
      <c r="G35" s="27" t="str">
        <f t="shared" si="15"/>
        <v>+</v>
      </c>
      <c r="H35" s="26">
        <f t="shared" si="16"/>
        <v>407.09999999999997</v>
      </c>
      <c r="I35" s="26">
        <f t="shared" si="17"/>
        <v>444.23316331000979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9.1999999999999993</v>
      </c>
      <c r="D36" s="30"/>
      <c r="E36" s="29">
        <f t="shared" si="13"/>
        <v>0</v>
      </c>
      <c r="F36" s="28">
        <f t="shared" si="14"/>
        <v>10.039167532429598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24.4</v>
      </c>
      <c r="D37" s="30"/>
      <c r="E37" s="29">
        <f t="shared" si="13"/>
        <v>0</v>
      </c>
      <c r="F37" s="28">
        <f t="shared" si="14"/>
        <v>26.625618238182849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24.4</v>
      </c>
      <c r="D38" s="30"/>
      <c r="E38" s="29">
        <f t="shared" si="13"/>
        <v>0</v>
      </c>
      <c r="F38" s="28">
        <f t="shared" si="14"/>
        <v>26.625618238182849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25.2</v>
      </c>
      <c r="D39" s="30"/>
      <c r="E39" s="29">
        <f t="shared" si="13"/>
        <v>0</v>
      </c>
      <c r="F39" s="28">
        <f t="shared" si="14"/>
        <v>27.498589327959337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14.620418118466901</v>
      </c>
      <c r="D40" s="22">
        <f>SUM(D34:D39)</f>
        <v>430.5</v>
      </c>
      <c r="E40" s="21">
        <f t="shared" si="13"/>
        <v>0.13358364104632761</v>
      </c>
      <c r="F40" s="20">
        <f>I40/D40</f>
        <v>15.954002922332428</v>
      </c>
      <c r="G40" s="19">
        <f>F40/C40-1</f>
        <v>9.1213862220608455E-2</v>
      </c>
      <c r="H40" s="18">
        <f>SUM(H34:H39)</f>
        <v>6294.0900000000011</v>
      </c>
      <c r="I40" s="18">
        <f>SUM(I34:I39)</f>
        <v>6868.1982580641106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f>344+302.8+44.1</f>
        <v>690.9</v>
      </c>
      <c r="E42" s="107">
        <f>D42/$D$48</f>
        <v>0.21438545319142333</v>
      </c>
      <c r="F42" s="28">
        <f>C42-(C42*$E$6)</f>
        <v>0.32736415866618257</v>
      </c>
      <c r="G42" s="27" t="str">
        <f>IF(C42&gt;=F42,"-","+")</f>
        <v>+</v>
      </c>
      <c r="H42" s="26">
        <f>C42*D42</f>
        <v>207.26999999999998</v>
      </c>
      <c r="I42" s="26">
        <f>F42*D42</f>
        <v>226.17589722246552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26</v>
      </c>
      <c r="E43" s="107">
        <f>D43/$D$48</f>
        <v>8.0677692617991126E-3</v>
      </c>
      <c r="F43" s="28">
        <f>C43-(C43*$E$6)</f>
        <v>0.32736415866618257</v>
      </c>
      <c r="G43" s="27" t="str">
        <f>IF(C43&gt;=F43,"-","+")</f>
        <v>+</v>
      </c>
      <c r="H43" s="26">
        <f>C43*D43</f>
        <v>7.8</v>
      </c>
      <c r="I43" s="26">
        <f>F43*D43</f>
        <v>8.5114681253207465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17.899999999999999</v>
      </c>
      <c r="E44" s="107">
        <f>D44/$D$48</f>
        <v>5.5543488379309267E-3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4.2</v>
      </c>
      <c r="E45" s="107">
        <f>D45/$D$48</f>
        <v>1.303255034598318E-3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0.29102841677943164</v>
      </c>
      <c r="D46" s="22">
        <f>SUM(D41:D45)</f>
        <v>739</v>
      </c>
      <c r="E46" s="21">
        <f>D46/$D$48</f>
        <v>0.22931082632575167</v>
      </c>
      <c r="F46" s="20">
        <f>I46/D46</f>
        <v>0.31757424268983259</v>
      </c>
      <c r="G46" s="19">
        <f>F46/C46-1</f>
        <v>9.1213862220608677E-2</v>
      </c>
      <c r="H46" s="18">
        <f>SUM(H41:H44)</f>
        <v>215.07</v>
      </c>
      <c r="I46" s="18">
        <f>SUM(I41:I44)</f>
        <v>234.68736534778628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78.946257185547182</v>
      </c>
      <c r="D48" s="13">
        <f>D24+D32+D40+D46</f>
        <v>3222.7000000000003</v>
      </c>
      <c r="E48" s="12">
        <f>SUM(E20:E46)/2</f>
        <v>1</v>
      </c>
      <c r="F48" s="11">
        <f>I48/D48</f>
        <v>21.099999999999994</v>
      </c>
      <c r="G48" s="10"/>
      <c r="H48" s="9">
        <f>SUM(H20:H46)/2</f>
        <v>62314.980000000018</v>
      </c>
      <c r="I48" s="9">
        <f>SUM(I20:I46)/2</f>
        <v>67998.969999999987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3222.7</v>
      </c>
      <c r="E50" s="12">
        <f>D50/G2</f>
        <v>1</v>
      </c>
      <c r="F50" s="11">
        <f>I50/D50</f>
        <v>21.099999999999998</v>
      </c>
      <c r="G50" s="10"/>
      <c r="H50" s="9">
        <f>H48+H19</f>
        <v>62314.980000000018</v>
      </c>
      <c r="I50" s="9">
        <f>I48+I19</f>
        <v>67998.969999999987</v>
      </c>
      <c r="J50" s="106">
        <f>D50-G2</f>
        <v>0</v>
      </c>
      <c r="K50" s="8"/>
    </row>
    <row r="51" spans="1:11" ht="23.25" x14ac:dyDescent="0.35">
      <c r="A51" s="168" t="s">
        <v>195</v>
      </c>
      <c r="B51" s="169"/>
      <c r="C51" s="170"/>
      <c r="G51" s="7"/>
      <c r="H51" s="6"/>
      <c r="I51" s="6">
        <f>+I50/D50</f>
        <v>21.099999999999998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189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189</v>
      </c>
      <c r="D2" s="96" t="s">
        <v>3</v>
      </c>
      <c r="E2" s="95" t="s">
        <v>112</v>
      </c>
      <c r="F2" s="94" t="s">
        <v>5</v>
      </c>
      <c r="G2" s="93">
        <v>4522.1000000000004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72</v>
      </c>
      <c r="F3" s="88" t="s">
        <v>8</v>
      </c>
      <c r="G3" s="87">
        <v>20.67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62.806944444444447</v>
      </c>
      <c r="F4" s="81" t="s">
        <v>12</v>
      </c>
      <c r="G4" s="80">
        <f>G2*G3</f>
        <v>93471.807000000015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-5.4001174748257386E-2</v>
      </c>
      <c r="F6" s="69" t="s">
        <v>16</v>
      </c>
      <c r="G6" s="68">
        <f>(I50-I19)/(D50-(SUM(D42:D44)+D19))</f>
        <v>25.992549428547591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20.7</v>
      </c>
      <c r="D10" s="30"/>
      <c r="E10" s="29" t="e">
        <f t="shared" ref="E10:E19" si="1">D10/$D$19</f>
        <v>#DIV/0!</v>
      </c>
      <c r="F10" s="28">
        <f t="shared" ref="F10:F18" si="2">C10-(C10*$E$6)</f>
        <v>21.817824317288927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21.5</v>
      </c>
      <c r="D11" s="30"/>
      <c r="E11" s="29" t="e">
        <f t="shared" si="1"/>
        <v>#DIV/0!</v>
      </c>
      <c r="F11" s="28">
        <f t="shared" si="2"/>
        <v>22.661025257087534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19.7</v>
      </c>
      <c r="D12" s="30"/>
      <c r="E12" s="29" t="e">
        <f t="shared" si="1"/>
        <v>#DIV/0!</v>
      </c>
      <c r="F12" s="28">
        <f t="shared" si="2"/>
        <v>20.763823142540669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21.5</v>
      </c>
      <c r="D13" s="30"/>
      <c r="E13" s="29" t="e">
        <f t="shared" si="1"/>
        <v>#DIV/0!</v>
      </c>
      <c r="F13" s="28">
        <f t="shared" si="2"/>
        <v>22.661025257087534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24.1</v>
      </c>
      <c r="D14" s="30"/>
      <c r="E14" s="29" t="e">
        <f t="shared" si="1"/>
        <v>#DIV/0!</v>
      </c>
      <c r="F14" s="28">
        <f t="shared" si="2"/>
        <v>25.401428311433005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19.8</v>
      </c>
      <c r="D15" s="30"/>
      <c r="E15" s="29" t="e">
        <f t="shared" si="1"/>
        <v>#DIV/0!</v>
      </c>
      <c r="F15" s="28">
        <f t="shared" si="2"/>
        <v>20.869223260015495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27.2</v>
      </c>
      <c r="D16" s="30"/>
      <c r="E16" s="29" t="e">
        <f t="shared" si="1"/>
        <v>#DIV/0!</v>
      </c>
      <c r="F16" s="28">
        <f t="shared" si="2"/>
        <v>28.668831953152601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40</v>
      </c>
      <c r="D17" s="30"/>
      <c r="E17" s="29" t="e">
        <f t="shared" si="1"/>
        <v>#DIV/0!</v>
      </c>
      <c r="F17" s="28">
        <f t="shared" si="2"/>
        <v>42.160046989930294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35</v>
      </c>
      <c r="D18" s="30"/>
      <c r="E18" s="29" t="e">
        <f t="shared" si="1"/>
        <v>#DIV/0!</v>
      </c>
      <c r="F18" s="28">
        <f t="shared" si="2"/>
        <v>36.89004111618901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52</v>
      </c>
      <c r="D21" s="30">
        <v>61.2</v>
      </c>
      <c r="E21" s="29">
        <f>D21/$D$48</f>
        <v>1.3534732512108278E-2</v>
      </c>
      <c r="F21" s="28">
        <f>C21-(C21*$E$6)</f>
        <v>54.808061086909383</v>
      </c>
      <c r="G21" s="27" t="str">
        <f>IF(C21&gt;=F21,"-","+")</f>
        <v>+</v>
      </c>
      <c r="H21" s="26">
        <f>C21*D21</f>
        <v>3182.4</v>
      </c>
      <c r="I21" s="26">
        <f>F21*D21</f>
        <v>3354.2533385188544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34.9</v>
      </c>
      <c r="D22" s="30">
        <v>127.6</v>
      </c>
      <c r="E22" s="29">
        <f>D22/$D$48</f>
        <v>2.8219474976225754E-2</v>
      </c>
      <c r="F22" s="28">
        <f>C22-(C22*$E$6)</f>
        <v>36.784640998714181</v>
      </c>
      <c r="G22" s="27" t="str">
        <f>IF(C22&gt;=F22,"-","+")</f>
        <v>+</v>
      </c>
      <c r="H22" s="26">
        <f>C22*D22</f>
        <v>4453.24</v>
      </c>
      <c r="I22" s="26">
        <f>F22*D22</f>
        <v>4693.7201914359293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31.8</v>
      </c>
      <c r="D23" s="30">
        <v>102</v>
      </c>
      <c r="E23" s="29">
        <f>D23/$D$48</f>
        <v>2.2557887520180463E-2</v>
      </c>
      <c r="F23" s="28">
        <f>C23-(C23*$E$6)</f>
        <v>33.517237356994585</v>
      </c>
      <c r="G23" s="27" t="str">
        <f>IF(C23&gt;=F23,"-","+")</f>
        <v>+</v>
      </c>
      <c r="H23" s="26">
        <f>C23*D23</f>
        <v>3243.6</v>
      </c>
      <c r="I23" s="26">
        <f>F23*D23</f>
        <v>3418.7582104134476</v>
      </c>
      <c r="J23" s="25"/>
      <c r="K23" s="25"/>
    </row>
    <row r="24" spans="1:11" x14ac:dyDescent="0.25">
      <c r="A24" s="24" t="s">
        <v>34</v>
      </c>
      <c r="B24" s="23"/>
      <c r="C24" s="20">
        <f>H24/D24</f>
        <v>37.411416781292985</v>
      </c>
      <c r="D24" s="22">
        <f>SUM(D21:D23)</f>
        <v>290.8</v>
      </c>
      <c r="E24" s="21">
        <f>D24/$D$48</f>
        <v>6.4312095008514508E-2</v>
      </c>
      <c r="F24" s="20">
        <f>I24/D24</f>
        <v>39.431677236479473</v>
      </c>
      <c r="G24" s="19">
        <f>F24/C24-1</f>
        <v>5.4001174748257386E-2</v>
      </c>
      <c r="H24" s="18">
        <f>SUM(H21:H23)</f>
        <v>10879.24</v>
      </c>
      <c r="I24" s="18">
        <f>SUM(I21:I23)</f>
        <v>11466.731740368232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27.7</v>
      </c>
      <c r="D26" s="30">
        <v>1047</v>
      </c>
      <c r="E26" s="29">
        <f t="shared" ref="E26:E32" si="7">D26/$D$48</f>
        <v>0.2315500807218524</v>
      </c>
      <c r="F26" s="28">
        <f t="shared" ref="F26:F31" si="8">C26-(C26*$E$6)</f>
        <v>29.19583254052673</v>
      </c>
      <c r="G26" s="27" t="str">
        <f t="shared" ref="G26:G31" si="9">IF(C26&gt;=F26,"-","+")</f>
        <v>+</v>
      </c>
      <c r="H26" s="26">
        <f t="shared" ref="H26:H31" si="10">C26*D26</f>
        <v>29001.899999999998</v>
      </c>
      <c r="I26" s="26">
        <f t="shared" ref="I26:I31" si="11">F26*D26</f>
        <v>30568.036669931487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24.7</v>
      </c>
      <c r="D27" s="30">
        <v>510.6</v>
      </c>
      <c r="E27" s="29">
        <f t="shared" si="7"/>
        <v>0.11292213105690338</v>
      </c>
      <c r="F27" s="28">
        <f t="shared" si="8"/>
        <v>26.033829016281956</v>
      </c>
      <c r="G27" s="27" t="str">
        <f t="shared" si="9"/>
        <v>+</v>
      </c>
      <c r="H27" s="26">
        <f t="shared" si="10"/>
        <v>12611.82</v>
      </c>
      <c r="I27" s="26">
        <f t="shared" si="11"/>
        <v>13292.873095713567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24.7</v>
      </c>
      <c r="D28" s="30">
        <v>395.1</v>
      </c>
      <c r="E28" s="29">
        <f t="shared" si="7"/>
        <v>8.7378640776699032E-2</v>
      </c>
      <c r="F28" s="28">
        <f t="shared" si="8"/>
        <v>26.033829016281956</v>
      </c>
      <c r="G28" s="27" t="str">
        <f t="shared" si="9"/>
        <v>+</v>
      </c>
      <c r="H28" s="26">
        <f t="shared" si="10"/>
        <v>9758.9700000000012</v>
      </c>
      <c r="I28" s="26">
        <f t="shared" si="11"/>
        <v>10285.965844333001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23.9</v>
      </c>
      <c r="D29" s="30">
        <v>391.2</v>
      </c>
      <c r="E29" s="29">
        <f t="shared" si="7"/>
        <v>8.6516133312692131E-2</v>
      </c>
      <c r="F29" s="28">
        <f t="shared" si="8"/>
        <v>25.19062807648335</v>
      </c>
      <c r="G29" s="27" t="str">
        <f t="shared" si="9"/>
        <v>+</v>
      </c>
      <c r="H29" s="26">
        <f t="shared" si="10"/>
        <v>9349.6799999999985</v>
      </c>
      <c r="I29" s="26">
        <f t="shared" si="11"/>
        <v>9854.5737035202856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23.9</v>
      </c>
      <c r="D30" s="30">
        <v>330.4</v>
      </c>
      <c r="E30" s="29">
        <f t="shared" si="7"/>
        <v>7.3069863104584562E-2</v>
      </c>
      <c r="F30" s="28">
        <f t="shared" si="8"/>
        <v>25.19062807648335</v>
      </c>
      <c r="G30" s="27" t="str">
        <f t="shared" si="9"/>
        <v>+</v>
      </c>
      <c r="H30" s="26">
        <f t="shared" si="10"/>
        <v>7896.5599999999986</v>
      </c>
      <c r="I30" s="26">
        <f t="shared" si="11"/>
        <v>8322.983516470098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24.3</v>
      </c>
      <c r="D31" s="30"/>
      <c r="E31" s="29">
        <f t="shared" si="7"/>
        <v>0</v>
      </c>
      <c r="F31" s="28">
        <f t="shared" si="8"/>
        <v>25.612228546382656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25.658650861907795</v>
      </c>
      <c r="D32" s="22">
        <f>SUM(D26:D31)</f>
        <v>2674.2999999999997</v>
      </c>
      <c r="E32" s="21">
        <f t="shared" si="7"/>
        <v>0.59143684897273141</v>
      </c>
      <c r="F32" s="20">
        <f>I32/D32</f>
        <v>27.044248150906199</v>
      </c>
      <c r="G32" s="19">
        <f>F32/C32-1</f>
        <v>5.4001174748257164E-2</v>
      </c>
      <c r="H32" s="18">
        <f>SUM(H26:H31)</f>
        <v>68618.930000000008</v>
      </c>
      <c r="I32" s="18">
        <f>SUM(I26:I31)</f>
        <v>72324.432829968442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14.6</v>
      </c>
      <c r="D34" s="30">
        <f>330+245.7</f>
        <v>575.70000000000005</v>
      </c>
      <c r="E34" s="29">
        <f t="shared" ref="E34:E40" si="13">D34/$D$48</f>
        <v>0.12731937103301857</v>
      </c>
      <c r="F34" s="28">
        <f t="shared" ref="F34:F39" si="14">C34-(C34*$E$6)</f>
        <v>15.388417151324557</v>
      </c>
      <c r="G34" s="27" t="str">
        <f t="shared" ref="G34:G39" si="15">IF(C34&gt;=F34,"-","+")</f>
        <v>+</v>
      </c>
      <c r="H34" s="26">
        <f t="shared" ref="H34:H39" si="16">C34*D34</f>
        <v>8405.2200000000012</v>
      </c>
      <c r="I34" s="26">
        <f t="shared" ref="I34:I39" si="17">F34*D34</f>
        <v>8859.1117540175474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11.2</v>
      </c>
      <c r="D35" s="30">
        <v>44.8</v>
      </c>
      <c r="E35" s="29">
        <f t="shared" si="13"/>
        <v>9.9077780480792618E-3</v>
      </c>
      <c r="F35" s="28">
        <f t="shared" si="14"/>
        <v>11.804813157180481</v>
      </c>
      <c r="G35" s="27" t="str">
        <f t="shared" si="15"/>
        <v>+</v>
      </c>
      <c r="H35" s="26">
        <f t="shared" si="16"/>
        <v>501.75999999999993</v>
      </c>
      <c r="I35" s="26">
        <f t="shared" si="17"/>
        <v>528.85562944168555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</v>
      </c>
      <c r="D36" s="30"/>
      <c r="E36" s="29">
        <f t="shared" si="13"/>
        <v>0</v>
      </c>
      <c r="F36" s="28">
        <f t="shared" si="14"/>
        <v>9.4860105727343171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23.9</v>
      </c>
      <c r="D37" s="30"/>
      <c r="E37" s="29">
        <f t="shared" si="13"/>
        <v>0</v>
      </c>
      <c r="F37" s="28">
        <f t="shared" si="14"/>
        <v>25.19062807648335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23.9</v>
      </c>
      <c r="D38" s="30"/>
      <c r="E38" s="29">
        <f t="shared" si="13"/>
        <v>0</v>
      </c>
      <c r="F38" s="28">
        <f t="shared" si="14"/>
        <v>25.19062807648335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24.7</v>
      </c>
      <c r="D39" s="30"/>
      <c r="E39" s="29">
        <f t="shared" si="13"/>
        <v>0</v>
      </c>
      <c r="F39" s="28">
        <f t="shared" si="14"/>
        <v>26.033829016281956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14.354520547945208</v>
      </c>
      <c r="D40" s="22">
        <f>SUM(D34:D39)</f>
        <v>620.5</v>
      </c>
      <c r="E40" s="21">
        <f t="shared" si="13"/>
        <v>0.13722714908109782</v>
      </c>
      <c r="F40" s="20">
        <f>I40/D40</f>
        <v>15.129681520482244</v>
      </c>
      <c r="G40" s="19">
        <f>F40/C40-1</f>
        <v>5.4001174748256942E-2</v>
      </c>
      <c r="H40" s="18">
        <f>SUM(H34:H39)</f>
        <v>8906.9800000000014</v>
      </c>
      <c r="I40" s="18">
        <f>SUM(I34:I39)</f>
        <v>9387.9673834592322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f>450+41.8+12.5+374.8</f>
        <v>879.1</v>
      </c>
      <c r="E42" s="107">
        <f>D42/$D$48</f>
        <v>0.19441802861755536</v>
      </c>
      <c r="F42" s="28">
        <f>C42-(C42*$E$6)</f>
        <v>0.31620035242447719</v>
      </c>
      <c r="G42" s="27" t="str">
        <f>IF(C42&gt;=F42,"-","+")</f>
        <v>+</v>
      </c>
      <c r="H42" s="26">
        <f>C42*D42</f>
        <v>263.73</v>
      </c>
      <c r="I42" s="26">
        <f>F42*D42</f>
        <v>277.97172981635794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46.5</v>
      </c>
      <c r="E43" s="107">
        <f>D43/$D$48</f>
        <v>1.028374284008227E-2</v>
      </c>
      <c r="F43" s="28">
        <f>C43-(C43*$E$6)</f>
        <v>0.31620035242447719</v>
      </c>
      <c r="G43" s="27" t="str">
        <f>IF(C43&gt;=F43,"-","+")</f>
        <v>+</v>
      </c>
      <c r="H43" s="26">
        <f>C43*D43</f>
        <v>13.95</v>
      </c>
      <c r="I43" s="26">
        <f>F43*D43</f>
        <v>14.703316387738189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10.5</v>
      </c>
      <c r="E45" s="107">
        <f>D45/$D$48</f>
        <v>2.3221354800185773E-3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0.29663497489584445</v>
      </c>
      <c r="D46" s="22">
        <f>SUM(D41:D45)</f>
        <v>936.1</v>
      </c>
      <c r="E46" s="21">
        <f>D46/$D$48</f>
        <v>0.20702390693765621</v>
      </c>
      <c r="F46" s="20">
        <f>I46/D46</f>
        <v>0.31265361201163994</v>
      </c>
      <c r="G46" s="19">
        <f>F46/C46-1</f>
        <v>5.4001174748257608E-2</v>
      </c>
      <c r="H46" s="18">
        <f>SUM(H41:H44)</f>
        <v>277.68</v>
      </c>
      <c r="I46" s="18">
        <f>SUM(I41:I44)</f>
        <v>292.67504620409613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77.721223166041824</v>
      </c>
      <c r="D48" s="13">
        <f>D24+D32+D40+D46</f>
        <v>4521.7</v>
      </c>
      <c r="E48" s="12">
        <f>SUM(E20:E46)/2</f>
        <v>1</v>
      </c>
      <c r="F48" s="11">
        <f>I48/D48</f>
        <v>20.671828515823691</v>
      </c>
      <c r="G48" s="10"/>
      <c r="H48" s="9">
        <f>SUM(H20:H46)/2</f>
        <v>88682.830000000016</v>
      </c>
      <c r="I48" s="9">
        <f>SUM(I20:I46)/2</f>
        <v>93471.806999999986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4521.7</v>
      </c>
      <c r="E50" s="12">
        <f>D50/G2</f>
        <v>0.99991154552088624</v>
      </c>
      <c r="F50" s="11">
        <f>I50/D50</f>
        <v>20.671828515823691</v>
      </c>
      <c r="G50" s="10"/>
      <c r="H50" s="9">
        <f>H48+H19</f>
        <v>88682.830000000016</v>
      </c>
      <c r="I50" s="9">
        <f>I48+I19</f>
        <v>93471.806999999986</v>
      </c>
      <c r="J50" s="106">
        <f>D50-G2</f>
        <v>-0.4000000000005457</v>
      </c>
      <c r="K50" s="8"/>
    </row>
    <row r="51" spans="1:11" ht="23.25" x14ac:dyDescent="0.35">
      <c r="A51" s="168" t="s">
        <v>197</v>
      </c>
      <c r="B51" s="169"/>
      <c r="C51" s="170"/>
      <c r="G51" s="7"/>
      <c r="H51" s="6"/>
      <c r="I51" s="6">
        <f>+I50/D50</f>
        <v>20.671828515823691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189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189</v>
      </c>
      <c r="D2" s="96" t="s">
        <v>3</v>
      </c>
      <c r="E2" s="95" t="s">
        <v>71</v>
      </c>
      <c r="F2" s="94" t="s">
        <v>5</v>
      </c>
      <c r="G2" s="93">
        <v>364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4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91</v>
      </c>
      <c r="F4" s="81" t="s">
        <v>12</v>
      </c>
      <c r="G4" s="80">
        <f>G2*G3</f>
        <v>9555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-1.3745777385458791E-2</v>
      </c>
      <c r="F6" s="69" t="s">
        <v>16</v>
      </c>
      <c r="G6" s="68" t="e">
        <f>(I50-I19)/(D50-(SUM(D42:D44)+D19))</f>
        <v>#DIV/0!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>
        <f t="shared" ref="E10:E19" si="1">D10/$D$19</f>
        <v>0</v>
      </c>
      <c r="F10" s="28">
        <f t="shared" ref="F10:F18" si="2">C10-(C10*$E$6)</f>
        <v>26.661513945237566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>
        <v>157.80000000000001</v>
      </c>
      <c r="E11" s="29">
        <f t="shared" si="1"/>
        <v>0.43531034482758624</v>
      </c>
      <c r="F11" s="28">
        <f t="shared" si="2"/>
        <v>27.675259722623025</v>
      </c>
      <c r="G11" s="27" t="str">
        <f t="shared" si="3"/>
        <v>+</v>
      </c>
      <c r="H11" s="34">
        <f t="shared" si="4"/>
        <v>4307.9400000000005</v>
      </c>
      <c r="I11" s="34">
        <f t="shared" si="5"/>
        <v>4367.1559842299139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>
        <v>204.7</v>
      </c>
      <c r="E12" s="29">
        <f t="shared" si="1"/>
        <v>0.56468965517241376</v>
      </c>
      <c r="F12" s="28">
        <f t="shared" si="2"/>
        <v>25.34364443463647</v>
      </c>
      <c r="G12" s="27" t="str">
        <f t="shared" si="3"/>
        <v>+</v>
      </c>
      <c r="H12" s="34">
        <f t="shared" si="4"/>
        <v>5117.5</v>
      </c>
      <c r="I12" s="34">
        <f t="shared" si="5"/>
        <v>5187.8440157700852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>
        <f t="shared" si="1"/>
        <v>0</v>
      </c>
      <c r="F13" s="28">
        <f t="shared" si="2"/>
        <v>27.675259722623025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>
        <f t="shared" si="1"/>
        <v>0</v>
      </c>
      <c r="F14" s="28">
        <f t="shared" si="2"/>
        <v>31.020620787995039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>
        <f t="shared" si="1"/>
        <v>0</v>
      </c>
      <c r="F15" s="28">
        <f t="shared" si="2"/>
        <v>25.54639359011356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>
        <f t="shared" si="1"/>
        <v>0</v>
      </c>
      <c r="F16" s="28">
        <f t="shared" si="2"/>
        <v>34.974229319798326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>
        <f t="shared" si="1"/>
        <v>0</v>
      </c>
      <c r="F17" s="28">
        <f t="shared" si="2"/>
        <v>51.498285491181306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>
        <f t="shared" si="1"/>
        <v>0</v>
      </c>
      <c r="F18" s="28">
        <f t="shared" si="2"/>
        <v>45.111687093652918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26.001213793103449</v>
      </c>
      <c r="D19" s="49">
        <f>SUM(D10:D18)</f>
        <v>362.5</v>
      </c>
      <c r="E19" s="48">
        <f t="shared" si="1"/>
        <v>1</v>
      </c>
      <c r="F19" s="47">
        <f>I19/D19</f>
        <v>26.358620689655172</v>
      </c>
      <c r="G19" s="46">
        <f>F19/C19-1</f>
        <v>1.3745777385458791E-2</v>
      </c>
      <c r="H19" s="9">
        <f>SUM(H10:H18)</f>
        <v>9425.44</v>
      </c>
      <c r="I19" s="9">
        <f>SUM(I10:I18)</f>
        <v>9555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/>
      <c r="E21" s="29">
        <f>D21/$D$48</f>
        <v>0</v>
      </c>
      <c r="F21" s="28">
        <f>C21-(C21*$E$6)</f>
        <v>66.907221307440281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/>
      <c r="E22" s="29">
        <f>D22/$D$48</f>
        <v>0</v>
      </c>
      <c r="F22" s="28">
        <f>C22-(C22*$E$6)</f>
        <v>44.908937938175825</v>
      </c>
      <c r="G22" s="27" t="str">
        <f>IF(C22&gt;=F22,"-","+")</f>
        <v>+</v>
      </c>
      <c r="H22" s="26">
        <f>C22*D22</f>
        <v>0</v>
      </c>
      <c r="I22" s="26">
        <f>F22*D22</f>
        <v>0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/>
      <c r="E23" s="29">
        <f>D23/$D$48</f>
        <v>0</v>
      </c>
      <c r="F23" s="28">
        <f>C23-(C23*$E$6)</f>
        <v>40.955329406372535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 t="e">
        <f>H24/D24</f>
        <v>#DIV/0!</v>
      </c>
      <c r="D24" s="22">
        <f>SUM(D21:D23)</f>
        <v>0</v>
      </c>
      <c r="E24" s="21">
        <f>D24/$D$48</f>
        <v>0</v>
      </c>
      <c r="F24" s="20" t="e">
        <f>I24/D24</f>
        <v>#DIV/0!</v>
      </c>
      <c r="G24" s="19" t="e">
        <f>F24/C24-1</f>
        <v>#DIV/0!</v>
      </c>
      <c r="H24" s="18">
        <f>SUM(H21:H23)</f>
        <v>0</v>
      </c>
      <c r="I24" s="18">
        <f>SUM(I21:I23)</f>
        <v>0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/>
      <c r="E26" s="29">
        <f t="shared" ref="E26:E32" si="7">D26/$D$48</f>
        <v>0</v>
      </c>
      <c r="F26" s="28">
        <f t="shared" ref="F26:F31" si="8">C26-(C26*$E$6)</f>
        <v>35.683851363968152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/>
      <c r="E27" s="29">
        <f t="shared" si="7"/>
        <v>0</v>
      </c>
      <c r="F27" s="28">
        <f t="shared" si="8"/>
        <v>31.831617409903405</v>
      </c>
      <c r="G27" s="27" t="str">
        <f t="shared" si="9"/>
        <v>+</v>
      </c>
      <c r="H27" s="26">
        <f t="shared" si="10"/>
        <v>0</v>
      </c>
      <c r="I27" s="26">
        <f t="shared" si="11"/>
        <v>0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/>
      <c r="E28" s="29">
        <f t="shared" si="7"/>
        <v>0</v>
      </c>
      <c r="F28" s="28">
        <f t="shared" si="8"/>
        <v>31.831617409903405</v>
      </c>
      <c r="G28" s="27" t="str">
        <f t="shared" si="9"/>
        <v>+</v>
      </c>
      <c r="H28" s="26">
        <f t="shared" si="10"/>
        <v>0</v>
      </c>
      <c r="I28" s="26">
        <f t="shared" si="11"/>
        <v>0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/>
      <c r="E29" s="29">
        <f t="shared" si="7"/>
        <v>0</v>
      </c>
      <c r="F29" s="28">
        <f t="shared" si="8"/>
        <v>30.716497054779403</v>
      </c>
      <c r="G29" s="27" t="str">
        <f t="shared" si="9"/>
        <v>+</v>
      </c>
      <c r="H29" s="26">
        <f t="shared" si="10"/>
        <v>0</v>
      </c>
      <c r="I29" s="26">
        <f t="shared" si="11"/>
        <v>0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/>
      <c r="E30" s="29">
        <f t="shared" si="7"/>
        <v>0</v>
      </c>
      <c r="F30" s="28">
        <f t="shared" si="8"/>
        <v>30.716497054779403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/>
      <c r="E31" s="29">
        <f t="shared" si="7"/>
        <v>0</v>
      </c>
      <c r="F31" s="28">
        <f t="shared" si="8"/>
        <v>31.223369943472132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 t="e">
        <f>H32/D32</f>
        <v>#DIV/0!</v>
      </c>
      <c r="D32" s="22">
        <f>SUM(D26:D31)</f>
        <v>0</v>
      </c>
      <c r="E32" s="21">
        <f t="shared" si="7"/>
        <v>0</v>
      </c>
      <c r="F32" s="20" t="e">
        <f>I32/D32</f>
        <v>#DIV/0!</v>
      </c>
      <c r="G32" s="19" t="e">
        <f>F32/C32-1</f>
        <v>#DIV/0!</v>
      </c>
      <c r="H32" s="18">
        <f>SUM(H26:H31)</f>
        <v>0</v>
      </c>
      <c r="I32" s="18">
        <f>SUM(I26:I31)</f>
        <v>0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/>
      <c r="E34" s="29">
        <f t="shared" ref="E34:E40" si="13">D34/$D$48</f>
        <v>0</v>
      </c>
      <c r="F34" s="28">
        <f t="shared" ref="F34:F39" si="14">C34-(C34*$E$6)</f>
        <v>18.754296881630989</v>
      </c>
      <c r="G34" s="27" t="str">
        <f t="shared" ref="G34:G39" si="15">IF(C34&gt;=F34,"-","+")</f>
        <v>+</v>
      </c>
      <c r="H34" s="26">
        <f t="shared" ref="H34:H39" si="16">C34*D34</f>
        <v>0</v>
      </c>
      <c r="I34" s="26">
        <f t="shared" ref="I34:I39" si="17">F34*D34</f>
        <v>0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14.496564616612062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11.658076439932776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30.716497054779403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30.716497054779403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31.831617409903405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 t="e">
        <f>H40/D40</f>
        <v>#DIV/0!</v>
      </c>
      <c r="D40" s="22">
        <f>SUM(D34:D39)</f>
        <v>0</v>
      </c>
      <c r="E40" s="21">
        <f t="shared" si="13"/>
        <v>0</v>
      </c>
      <c r="F40" s="20" t="e">
        <f>I40/D40</f>
        <v>#DIV/0!</v>
      </c>
      <c r="G40" s="19" t="e">
        <f>F40/C40-1</f>
        <v>#DIV/0!</v>
      </c>
      <c r="H40" s="18">
        <f>SUM(H34:H39)</f>
        <v>0</v>
      </c>
      <c r="I40" s="18">
        <f>SUM(I34:I39)</f>
        <v>0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/>
      <c r="E42" s="107">
        <f>D42/$D$48</f>
        <v>0</v>
      </c>
      <c r="F42" s="28">
        <f>C42-(C42*$E$6)</f>
        <v>0.40549831095418354</v>
      </c>
      <c r="G42" s="27" t="str">
        <f>IF(C42&gt;=F42,"-","+")</f>
        <v>+</v>
      </c>
      <c r="H42" s="26">
        <f>C42*D42</f>
        <v>0</v>
      </c>
      <c r="I42" s="26">
        <f>F42*D42</f>
        <v>0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/>
      <c r="E43" s="107">
        <f>D43/$D$48</f>
        <v>0</v>
      </c>
      <c r="F43" s="28">
        <f>C43-(C43*$E$6)</f>
        <v>0.40549831095418354</v>
      </c>
      <c r="G43" s="27" t="str">
        <f>IF(C43&gt;=F43,"-","+")</f>
        <v>+</v>
      </c>
      <c r="H43" s="26">
        <f>C43*D43</f>
        <v>0</v>
      </c>
      <c r="I43" s="26">
        <f>F43*D43</f>
        <v>0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1.5</v>
      </c>
      <c r="E44" s="107">
        <f>D44/$D$48</f>
        <v>1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/>
      <c r="E45" s="107">
        <f>D45/$D$48</f>
        <v>0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</v>
      </c>
      <c r="D46" s="22">
        <f>SUM(D41:D45)</f>
        <v>1.5</v>
      </c>
      <c r="E46" s="21">
        <f>D46/$D$48</f>
        <v>1</v>
      </c>
      <c r="F46" s="20">
        <f>I46/D46</f>
        <v>0</v>
      </c>
      <c r="G46" s="19" t="e">
        <f>F46/C46-1</f>
        <v>#DIV/0!</v>
      </c>
      <c r="H46" s="18">
        <f>SUM(H41:H44)</f>
        <v>0</v>
      </c>
      <c r="I46" s="18">
        <f>SUM(I41:I44)</f>
        <v>0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 t="e">
        <f>C24+C32+C40+C46</f>
        <v>#DIV/0!</v>
      </c>
      <c r="D48" s="13">
        <f>D24+D32+D40+D46</f>
        <v>1.5</v>
      </c>
      <c r="E48" s="12">
        <f>SUM(E20:E46)/2</f>
        <v>1</v>
      </c>
      <c r="F48" s="11">
        <f>I48/D48</f>
        <v>0</v>
      </c>
      <c r="G48" s="10"/>
      <c r="H48" s="9">
        <f>SUM(H20:H46)/2</f>
        <v>0</v>
      </c>
      <c r="I48" s="9">
        <f>SUM(I20:I46)/2</f>
        <v>0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364</v>
      </c>
      <c r="E50" s="12">
        <f>D50/G2</f>
        <v>1</v>
      </c>
      <c r="F50" s="11">
        <f>I50/D50</f>
        <v>26.25</v>
      </c>
      <c r="G50" s="10"/>
      <c r="H50" s="9">
        <f>H48+H19</f>
        <v>9425.44</v>
      </c>
      <c r="I50" s="9">
        <f>I48+I19</f>
        <v>9555</v>
      </c>
      <c r="J50" s="106">
        <f>D50-G2</f>
        <v>0</v>
      </c>
      <c r="K50" s="8"/>
    </row>
    <row r="51" spans="1:11" ht="23.25" x14ac:dyDescent="0.35">
      <c r="A51" s="168" t="s">
        <v>198</v>
      </c>
      <c r="B51" s="169"/>
      <c r="C51" s="170"/>
      <c r="G51" s="7"/>
      <c r="H51" s="6"/>
      <c r="I51" s="6">
        <f>+I50/D50</f>
        <v>26.25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189</v>
      </c>
      <c r="D1" s="100" t="s">
        <v>1</v>
      </c>
      <c r="E1" s="168" t="s">
        <v>199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200</v>
      </c>
      <c r="D2" s="96" t="s">
        <v>3</v>
      </c>
      <c r="E2" s="95" t="s">
        <v>112</v>
      </c>
      <c r="F2" s="94" t="s">
        <v>5</v>
      </c>
      <c r="G2" s="93">
        <v>2832.1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40</v>
      </c>
      <c r="F3" s="88" t="s">
        <v>8</v>
      </c>
      <c r="G3" s="87">
        <v>21.26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70.802499999999995</v>
      </c>
      <c r="F4" s="81" t="s">
        <v>12</v>
      </c>
      <c r="G4" s="80">
        <f>G2*G3</f>
        <v>60210.446000000004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-6.5026185900792122E-2</v>
      </c>
      <c r="F6" s="69" t="s">
        <v>16</v>
      </c>
      <c r="G6" s="68">
        <f>(I50-I19)/(D50-(SUM(D42:D44)+D19))</f>
        <v>27.028076491448584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21.3</v>
      </c>
      <c r="D10" s="30"/>
      <c r="E10" s="29" t="e">
        <f t="shared" ref="E10:E19" si="1">D10/$D$19</f>
        <v>#DIV/0!</v>
      </c>
      <c r="F10" s="28">
        <f t="shared" ref="F10:F18" si="2">C10-(C10*$E$6)</f>
        <v>22.685057759686874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22.1</v>
      </c>
      <c r="D11" s="30"/>
      <c r="E11" s="29" t="e">
        <f t="shared" si="1"/>
        <v>#DIV/0!</v>
      </c>
      <c r="F11" s="28">
        <f t="shared" si="2"/>
        <v>23.537078708407506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20.2</v>
      </c>
      <c r="D12" s="30"/>
      <c r="E12" s="29" t="e">
        <f t="shared" si="1"/>
        <v>#DIV/0!</v>
      </c>
      <c r="F12" s="28">
        <f t="shared" si="2"/>
        <v>21.513528955196001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22.1</v>
      </c>
      <c r="D13" s="30"/>
      <c r="E13" s="29" t="e">
        <f t="shared" si="1"/>
        <v>#DIV/0!</v>
      </c>
      <c r="F13" s="28">
        <f t="shared" si="2"/>
        <v>23.537078708407506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24.8</v>
      </c>
      <c r="D14" s="30"/>
      <c r="E14" s="29" t="e">
        <f t="shared" si="1"/>
        <v>#DIV/0!</v>
      </c>
      <c r="F14" s="28">
        <f t="shared" si="2"/>
        <v>26.412649410339647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20.399999999999999</v>
      </c>
      <c r="D15" s="30"/>
      <c r="E15" s="29" t="e">
        <f t="shared" si="1"/>
        <v>#DIV/0!</v>
      </c>
      <c r="F15" s="28">
        <f t="shared" si="2"/>
        <v>21.726534192376157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27.9</v>
      </c>
      <c r="D16" s="30"/>
      <c r="E16" s="29" t="e">
        <f t="shared" si="1"/>
        <v>#DIV/0!</v>
      </c>
      <c r="F16" s="28">
        <f t="shared" si="2"/>
        <v>29.714230586632098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41.1</v>
      </c>
      <c r="D17" s="30"/>
      <c r="E17" s="29" t="e">
        <f t="shared" si="1"/>
        <v>#DIV/0!</v>
      </c>
      <c r="F17" s="28">
        <f t="shared" si="2"/>
        <v>43.772576240522561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36</v>
      </c>
      <c r="D18" s="30"/>
      <c r="E18" s="29" t="e">
        <f t="shared" si="1"/>
        <v>#DIV/0!</v>
      </c>
      <c r="F18" s="28">
        <f t="shared" si="2"/>
        <v>38.340942692428513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53.5</v>
      </c>
      <c r="D21" s="30">
        <v>38</v>
      </c>
      <c r="E21" s="29">
        <f>D21/$D$48</f>
        <v>1.3415710503089144E-2</v>
      </c>
      <c r="F21" s="28">
        <f>C21-(C21*$E$6)</f>
        <v>56.978900945692381</v>
      </c>
      <c r="G21" s="27" t="str">
        <f>IF(C21&gt;=F21,"-","+")</f>
        <v>+</v>
      </c>
      <c r="H21" s="26">
        <f>C21*D21</f>
        <v>2033</v>
      </c>
      <c r="I21" s="26">
        <f>F21*D21</f>
        <v>2165.1982359363105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35.9</v>
      </c>
      <c r="D22" s="30">
        <v>74.8</v>
      </c>
      <c r="E22" s="29">
        <f>D22/$D$48</f>
        <v>2.6407766990291261E-2</v>
      </c>
      <c r="F22" s="28">
        <f>C22-(C22*$E$6)</f>
        <v>38.234440073838435</v>
      </c>
      <c r="G22" s="27" t="str">
        <f>IF(C22&gt;=F22,"-","+")</f>
        <v>+</v>
      </c>
      <c r="H22" s="26">
        <f>C22*D22</f>
        <v>2685.3199999999997</v>
      </c>
      <c r="I22" s="26">
        <f>F22*D22</f>
        <v>2859.9361175231147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32.700000000000003</v>
      </c>
      <c r="D23" s="30">
        <v>66.599999999999994</v>
      </c>
      <c r="E23" s="29">
        <f>D23/$D$48</f>
        <v>2.351279788172992E-2</v>
      </c>
      <c r="F23" s="28">
        <f>C23-(C23*$E$6)</f>
        <v>34.826356278955906</v>
      </c>
      <c r="G23" s="27" t="str">
        <f>IF(C23&gt;=F23,"-","+")</f>
        <v>+</v>
      </c>
      <c r="H23" s="26">
        <f>C23*D23</f>
        <v>2177.8200000000002</v>
      </c>
      <c r="I23" s="26">
        <f>F23*D23</f>
        <v>2319.4353281784634</v>
      </c>
      <c r="J23" s="25"/>
      <c r="K23" s="25"/>
    </row>
    <row r="24" spans="1:11" x14ac:dyDescent="0.25">
      <c r="A24" s="24" t="s">
        <v>34</v>
      </c>
      <c r="B24" s="23"/>
      <c r="C24" s="20">
        <f>H24/D24</f>
        <v>38.440022296544036</v>
      </c>
      <c r="D24" s="22">
        <f>SUM(D21:D23)</f>
        <v>179.39999999999998</v>
      </c>
      <c r="E24" s="21">
        <f>D24/$D$48</f>
        <v>6.3336275375110315E-2</v>
      </c>
      <c r="F24" s="20">
        <f>I24/D24</f>
        <v>40.939630332429708</v>
      </c>
      <c r="G24" s="19">
        <f>F24/C24-1</f>
        <v>6.5026185900792344E-2</v>
      </c>
      <c r="H24" s="18">
        <f>SUM(H21:H23)</f>
        <v>6896.1399999999994</v>
      </c>
      <c r="I24" s="18">
        <f>SUM(I21:I23)</f>
        <v>7344.5696816378886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28.5</v>
      </c>
      <c r="D26" s="30">
        <v>520</v>
      </c>
      <c r="E26" s="29">
        <f t="shared" ref="E26:E32" si="7">D26/$D$48</f>
        <v>0.18358340688437777</v>
      </c>
      <c r="F26" s="28">
        <f t="shared" ref="F26:F31" si="8">C26-(C26*$E$6)</f>
        <v>30.353246298172575</v>
      </c>
      <c r="G26" s="27" t="str">
        <f t="shared" ref="G26:G31" si="9">IF(C26&gt;=F26,"-","+")</f>
        <v>+</v>
      </c>
      <c r="H26" s="26">
        <f t="shared" ref="H26:H31" si="10">C26*D26</f>
        <v>14820</v>
      </c>
      <c r="I26" s="26">
        <f t="shared" ref="I26:I31" si="11">F26*D26</f>
        <v>15783.688075049738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25.4</v>
      </c>
      <c r="D27" s="30">
        <v>367.4</v>
      </c>
      <c r="E27" s="29">
        <f t="shared" si="7"/>
        <v>0.12970873786407766</v>
      </c>
      <c r="F27" s="28">
        <f t="shared" si="8"/>
        <v>27.05166512188012</v>
      </c>
      <c r="G27" s="27" t="str">
        <f t="shared" si="9"/>
        <v>+</v>
      </c>
      <c r="H27" s="26">
        <f t="shared" si="10"/>
        <v>9331.9599999999991</v>
      </c>
      <c r="I27" s="26">
        <f t="shared" si="11"/>
        <v>9938.7817657787564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25.4</v>
      </c>
      <c r="D28" s="30">
        <v>313.39999999999998</v>
      </c>
      <c r="E28" s="29">
        <f t="shared" si="7"/>
        <v>0.11064430714916151</v>
      </c>
      <c r="F28" s="28">
        <f t="shared" si="8"/>
        <v>27.05166512188012</v>
      </c>
      <c r="G28" s="27" t="str">
        <f t="shared" si="9"/>
        <v>+</v>
      </c>
      <c r="H28" s="26">
        <f t="shared" si="10"/>
        <v>7960.3599999999988</v>
      </c>
      <c r="I28" s="26">
        <f t="shared" si="11"/>
        <v>8477.9918491972294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24.6</v>
      </c>
      <c r="D29" s="30">
        <v>331.4</v>
      </c>
      <c r="E29" s="29">
        <f t="shared" si="7"/>
        <v>0.11699911738746689</v>
      </c>
      <c r="F29" s="28">
        <f t="shared" si="8"/>
        <v>26.199644173159488</v>
      </c>
      <c r="G29" s="27" t="str">
        <f t="shared" si="9"/>
        <v>+</v>
      </c>
      <c r="H29" s="26">
        <f t="shared" si="10"/>
        <v>8152.44</v>
      </c>
      <c r="I29" s="26">
        <f t="shared" si="11"/>
        <v>8682.5620789850545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24.6</v>
      </c>
      <c r="D30" s="30">
        <v>122.4</v>
      </c>
      <c r="E30" s="29">
        <f t="shared" si="7"/>
        <v>4.321270962047661E-2</v>
      </c>
      <c r="F30" s="28">
        <f t="shared" si="8"/>
        <v>26.199644173159488</v>
      </c>
      <c r="G30" s="27" t="str">
        <f t="shared" si="9"/>
        <v>+</v>
      </c>
      <c r="H30" s="26">
        <f t="shared" si="10"/>
        <v>3011.0400000000004</v>
      </c>
      <c r="I30" s="26">
        <f t="shared" si="11"/>
        <v>3206.8364467947213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</v>
      </c>
      <c r="D31" s="30">
        <v>37.1</v>
      </c>
      <c r="E31" s="29">
        <f t="shared" si="7"/>
        <v>1.3097969991173875E-2</v>
      </c>
      <c r="F31" s="28">
        <f t="shared" si="8"/>
        <v>26.625654647519802</v>
      </c>
      <c r="G31" s="27" t="str">
        <f t="shared" si="9"/>
        <v>+</v>
      </c>
      <c r="H31" s="26">
        <f t="shared" si="10"/>
        <v>927.5</v>
      </c>
      <c r="I31" s="26">
        <f t="shared" si="11"/>
        <v>987.81178742298471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26.129514689365731</v>
      </c>
      <c r="D32" s="22">
        <f>SUM(D26:D31)</f>
        <v>1691.6999999999998</v>
      </c>
      <c r="E32" s="21">
        <f t="shared" si="7"/>
        <v>0.59724624889673428</v>
      </c>
      <c r="F32" s="20">
        <f>I32/D32</f>
        <v>27.828617369053905</v>
      </c>
      <c r="G32" s="19">
        <f>F32/C32-1</f>
        <v>6.5026185900792122E-2</v>
      </c>
      <c r="H32" s="18">
        <f>SUM(H26:H31)</f>
        <v>44203.3</v>
      </c>
      <c r="I32" s="18">
        <f>SUM(I26:I31)</f>
        <v>47077.672003228487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</v>
      </c>
      <c r="D34" s="30">
        <v>325.60000000000002</v>
      </c>
      <c r="E34" s="29">
        <f t="shared" ref="E34:E40" si="13">D34/$D$48</f>
        <v>0.11495145631067961</v>
      </c>
      <c r="F34" s="28">
        <f t="shared" ref="F34:F39" si="14">C34-(C34*$E$6)</f>
        <v>15.975392788511883</v>
      </c>
      <c r="G34" s="27" t="str">
        <f t="shared" ref="G34:G39" si="15">IF(C34&gt;=F34,"-","+")</f>
        <v>+</v>
      </c>
      <c r="H34" s="26">
        <f t="shared" ref="H34:H39" si="16">C34*D34</f>
        <v>4884</v>
      </c>
      <c r="I34" s="26">
        <f t="shared" ref="I34:I39" si="17">F34*D34</f>
        <v>5201.587891939469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11.6</v>
      </c>
      <c r="D35" s="30">
        <v>27</v>
      </c>
      <c r="E35" s="29">
        <f t="shared" si="13"/>
        <v>9.5322153574580754E-3</v>
      </c>
      <c r="F35" s="28">
        <f t="shared" si="14"/>
        <v>12.354303756449188</v>
      </c>
      <c r="G35" s="27" t="str">
        <f t="shared" si="15"/>
        <v>+</v>
      </c>
      <c r="H35" s="26">
        <f t="shared" si="16"/>
        <v>313.2</v>
      </c>
      <c r="I35" s="26">
        <f t="shared" si="17"/>
        <v>333.56620142412805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9.3000000000000007</v>
      </c>
      <c r="D36" s="30"/>
      <c r="E36" s="29">
        <f t="shared" si="13"/>
        <v>0</v>
      </c>
      <c r="F36" s="28">
        <f t="shared" si="14"/>
        <v>9.9047435288773684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24.6</v>
      </c>
      <c r="D37" s="30"/>
      <c r="E37" s="29">
        <f t="shared" si="13"/>
        <v>0</v>
      </c>
      <c r="F37" s="28">
        <f t="shared" si="14"/>
        <v>26.199644173159488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24.6</v>
      </c>
      <c r="D38" s="30"/>
      <c r="E38" s="29">
        <f t="shared" si="13"/>
        <v>0</v>
      </c>
      <c r="F38" s="28">
        <f t="shared" si="14"/>
        <v>26.199644173159488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25.4</v>
      </c>
      <c r="D39" s="30"/>
      <c r="E39" s="29">
        <f t="shared" si="13"/>
        <v>0</v>
      </c>
      <c r="F39" s="28">
        <f t="shared" si="14"/>
        <v>27.05166512188012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14.739648326715823</v>
      </c>
      <c r="D40" s="22">
        <f>SUM(D34:D39)</f>
        <v>352.6</v>
      </c>
      <c r="E40" s="21">
        <f t="shared" si="13"/>
        <v>0.1244836716681377</v>
      </c>
      <c r="F40" s="20">
        <f>I40/D40</f>
        <v>15.698111438921147</v>
      </c>
      <c r="G40" s="19">
        <f>F40/C40-1</f>
        <v>6.5026185900792122E-2</v>
      </c>
      <c r="H40" s="18">
        <f>SUM(H34:H39)</f>
        <v>5197.2</v>
      </c>
      <c r="I40" s="18">
        <f>SUM(I34:I39)</f>
        <v>5535.154093363597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580</v>
      </c>
      <c r="E42" s="107">
        <f>D42/$D$48</f>
        <v>0.20476610767872905</v>
      </c>
      <c r="F42" s="28">
        <f>C42-(C42*$E$6)</f>
        <v>0.42601047436031686</v>
      </c>
      <c r="G42" s="27" t="str">
        <f>IF(C42&gt;=F42,"-","+")</f>
        <v>+</v>
      </c>
      <c r="H42" s="26">
        <f>C42*D42</f>
        <v>232</v>
      </c>
      <c r="I42" s="26">
        <f>F42*D42</f>
        <v>247.08607512898377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14</v>
      </c>
      <c r="E43" s="107">
        <f>D43/$D$48</f>
        <v>4.9426301853486322E-3</v>
      </c>
      <c r="F43" s="28">
        <f>C43-(C43*$E$6)</f>
        <v>0.42601047436031686</v>
      </c>
      <c r="G43" s="27" t="str">
        <f>IF(C43&gt;=F43,"-","+")</f>
        <v>+</v>
      </c>
      <c r="H43" s="26">
        <f>C43*D43</f>
        <v>5.6000000000000005</v>
      </c>
      <c r="I43" s="26">
        <f>F43*D43</f>
        <v>5.9641466410444357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10.8</v>
      </c>
      <c r="E44" s="107">
        <f>D44/$D$48</f>
        <v>3.8128861429832304E-3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1.4121800529567519E-3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0.39027595269382392</v>
      </c>
      <c r="D46" s="22">
        <f>SUM(D41:D45)</f>
        <v>608.79999999999995</v>
      </c>
      <c r="E46" s="21">
        <f>D46/$D$48</f>
        <v>0.21493380406001764</v>
      </c>
      <c r="F46" s="20">
        <f>I46/D46</f>
        <v>0.41565410934630126</v>
      </c>
      <c r="G46" s="19">
        <f>F46/C46-1</f>
        <v>6.5026185900792122E-2</v>
      </c>
      <c r="H46" s="18">
        <f>SUM(H41:H44)</f>
        <v>237.6</v>
      </c>
      <c r="I46" s="18">
        <f>SUM(I41:I44)</f>
        <v>253.0502217700282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79.699461265319414</v>
      </c>
      <c r="D48" s="13">
        <f>D24+D32+D40+D46</f>
        <v>2832.5</v>
      </c>
      <c r="E48" s="12">
        <f>SUM(E20:E46)/2</f>
        <v>1</v>
      </c>
      <c r="F48" s="11">
        <f>I48/D48</f>
        <v>21.256997705207414</v>
      </c>
      <c r="G48" s="10"/>
      <c r="H48" s="9">
        <f>SUM(H20:H46)/2</f>
        <v>56534.240000000005</v>
      </c>
      <c r="I48" s="9">
        <f>SUM(I20:I46)/2</f>
        <v>60210.446000000004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2832.5</v>
      </c>
      <c r="E50" s="12">
        <f>D50/G2</f>
        <v>1.0001412379506374</v>
      </c>
      <c r="F50" s="11">
        <f>I50/D50</f>
        <v>21.256997705207414</v>
      </c>
      <c r="G50" s="10"/>
      <c r="H50" s="9">
        <f>H48+H19</f>
        <v>56534.240000000005</v>
      </c>
      <c r="I50" s="9">
        <f>I48+I19</f>
        <v>60210.446000000004</v>
      </c>
      <c r="J50" s="106">
        <f>D50-G2</f>
        <v>0.40000000000009095</v>
      </c>
      <c r="K50" s="8"/>
    </row>
    <row r="51" spans="1:11" ht="23.25" x14ac:dyDescent="0.35">
      <c r="A51" s="168" t="s">
        <v>201</v>
      </c>
      <c r="B51" s="169"/>
      <c r="C51" s="170"/>
      <c r="G51" s="7"/>
      <c r="H51" s="6"/>
      <c r="I51" s="6">
        <f>+I50/D50</f>
        <v>21.256997705207414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200</v>
      </c>
      <c r="D1" s="100" t="s">
        <v>1</v>
      </c>
      <c r="E1" s="168" t="s">
        <v>202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200</v>
      </c>
      <c r="D2" s="96" t="s">
        <v>3</v>
      </c>
      <c r="E2" s="95" t="s">
        <v>112</v>
      </c>
      <c r="F2" s="94" t="s">
        <v>5</v>
      </c>
      <c r="G2" s="93">
        <v>15992.7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224</v>
      </c>
      <c r="F3" s="88" t="s">
        <v>8</v>
      </c>
      <c r="G3" s="87">
        <v>21.18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5</v>
      </c>
      <c r="D4" s="83" t="s">
        <v>11</v>
      </c>
      <c r="E4" s="82">
        <f>G2/E3</f>
        <v>71.39598214285715</v>
      </c>
      <c r="F4" s="81" t="s">
        <v>12</v>
      </c>
      <c r="G4" s="80">
        <f>G2*G3</f>
        <v>338725.386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-7.1941287969891299E-2</v>
      </c>
      <c r="F6" s="69" t="s">
        <v>16</v>
      </c>
      <c r="G6" s="68">
        <f>(I50-I19)/(D50-(SUM(D42:D44)+D19))</f>
        <v>26.769303828980131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21.2</v>
      </c>
      <c r="D10" s="30"/>
      <c r="E10" s="29" t="e">
        <f t="shared" ref="E10:E19" si="1">D10/$D$19</f>
        <v>#DIV/0!</v>
      </c>
      <c r="F10" s="28">
        <f t="shared" ref="F10:F18" si="2">C10-(C10*$E$6)</f>
        <v>22.725155304961696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22.1</v>
      </c>
      <c r="D11" s="30"/>
      <c r="E11" s="29" t="e">
        <f t="shared" si="1"/>
        <v>#DIV/0!</v>
      </c>
      <c r="F11" s="28">
        <f t="shared" si="2"/>
        <v>23.689902464134597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20.2</v>
      </c>
      <c r="D12" s="30"/>
      <c r="E12" s="29" t="e">
        <f t="shared" si="1"/>
        <v>#DIV/0!</v>
      </c>
      <c r="F12" s="28">
        <f t="shared" si="2"/>
        <v>21.653214016991804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22.1</v>
      </c>
      <c r="D13" s="30"/>
      <c r="E13" s="29" t="e">
        <f t="shared" si="1"/>
        <v>#DIV/0!</v>
      </c>
      <c r="F13" s="28">
        <f t="shared" si="2"/>
        <v>23.689902464134597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24.7</v>
      </c>
      <c r="D14" s="30"/>
      <c r="E14" s="29" t="e">
        <f t="shared" si="1"/>
        <v>#DIV/0!</v>
      </c>
      <c r="F14" s="28">
        <f t="shared" si="2"/>
        <v>26.476949812856315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20.3</v>
      </c>
      <c r="D15" s="30"/>
      <c r="E15" s="29" t="e">
        <f t="shared" si="1"/>
        <v>#DIV/0!</v>
      </c>
      <c r="F15" s="28">
        <f t="shared" si="2"/>
        <v>21.760408145788794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27.8</v>
      </c>
      <c r="D16" s="30"/>
      <c r="E16" s="29" t="e">
        <f t="shared" si="1"/>
        <v>#DIV/0!</v>
      </c>
      <c r="F16" s="28">
        <f t="shared" si="2"/>
        <v>29.799967805562979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41</v>
      </c>
      <c r="D17" s="30"/>
      <c r="E17" s="29" t="e">
        <f t="shared" si="1"/>
        <v>#DIV/0!</v>
      </c>
      <c r="F17" s="28">
        <f t="shared" si="2"/>
        <v>43.949592806765544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35.9</v>
      </c>
      <c r="D18" s="30"/>
      <c r="E18" s="29" t="e">
        <f t="shared" si="1"/>
        <v>#DIV/0!</v>
      </c>
      <c r="F18" s="28">
        <f t="shared" si="2"/>
        <v>38.4826922381191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53.3</v>
      </c>
      <c r="D21" s="30">
        <v>204.8</v>
      </c>
      <c r="E21" s="29">
        <f>D21/$D$48</f>
        <v>1.2805682521618969E-2</v>
      </c>
      <c r="F21" s="28">
        <f>C21-(C21*$E$6)</f>
        <v>57.134470648795201</v>
      </c>
      <c r="G21" s="27" t="str">
        <f>IF(C21&gt;=F21,"-","+")</f>
        <v>+</v>
      </c>
      <c r="H21" s="26">
        <f>C21*D21</f>
        <v>10915.84</v>
      </c>
      <c r="I21" s="26">
        <f>F21*D21</f>
        <v>11701.139588873259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35.799999999999997</v>
      </c>
      <c r="D22" s="30">
        <v>451.8</v>
      </c>
      <c r="E22" s="29">
        <f>D22/$D$48</f>
        <v>2.8250035953454346E-2</v>
      </c>
      <c r="F22" s="28">
        <f>C22-(C22*$E$6)</f>
        <v>38.375498109322109</v>
      </c>
      <c r="G22" s="27" t="str">
        <f>IF(C22&gt;=F22,"-","+")</f>
        <v>+</v>
      </c>
      <c r="H22" s="26">
        <f>C22*D22</f>
        <v>16174.439999999999</v>
      </c>
      <c r="I22" s="26">
        <f>F22*D22</f>
        <v>17338.05004579173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32.6</v>
      </c>
      <c r="D23" s="30">
        <v>380.5</v>
      </c>
      <c r="E23" s="29">
        <f>D23/$D$48</f>
        <v>2.3791807614628992E-2</v>
      </c>
      <c r="F23" s="28">
        <f>C23-(C23*$E$6)</f>
        <v>34.945285987818458</v>
      </c>
      <c r="G23" s="27" t="str">
        <f>IF(C23&gt;=F23,"-","+")</f>
        <v>+</v>
      </c>
      <c r="H23" s="26">
        <f>C23*D23</f>
        <v>12404.300000000001</v>
      </c>
      <c r="I23" s="26">
        <f>F23*D23</f>
        <v>13296.681318364923</v>
      </c>
      <c r="J23" s="25"/>
      <c r="K23" s="25"/>
    </row>
    <row r="24" spans="1:11" x14ac:dyDescent="0.25">
      <c r="A24" s="24" t="s">
        <v>34</v>
      </c>
      <c r="B24" s="23"/>
      <c r="C24" s="20">
        <f>H24/D24</f>
        <v>38.081747179635528</v>
      </c>
      <c r="D24" s="22">
        <f>SUM(D21:D23)</f>
        <v>1037.0999999999999</v>
      </c>
      <c r="E24" s="21">
        <f>D24/$D$48</f>
        <v>6.4847526089702304E-2</v>
      </c>
      <c r="F24" s="20">
        <f>I24/D24</f>
        <v>40.821397119882278</v>
      </c>
      <c r="G24" s="19">
        <f>F24/C24-1</f>
        <v>7.1941287969891077E-2</v>
      </c>
      <c r="H24" s="18">
        <f>SUM(H21:H23)</f>
        <v>39494.58</v>
      </c>
      <c r="I24" s="18">
        <f>SUM(I21:I23)</f>
        <v>42335.870953029909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28.4</v>
      </c>
      <c r="D26" s="30">
        <v>2957</v>
      </c>
      <c r="E26" s="29">
        <f t="shared" ref="E26:E32" si="7">D26/$D$48</f>
        <v>0.18489454695521138</v>
      </c>
      <c r="F26" s="28">
        <f t="shared" ref="F26:F31" si="8">C26-(C26*$E$6)</f>
        <v>30.443132578344912</v>
      </c>
      <c r="G26" s="27" t="str">
        <f t="shared" ref="G26:G31" si="9">IF(C26&gt;=F26,"-","+")</f>
        <v>+</v>
      </c>
      <c r="H26" s="26">
        <f t="shared" ref="H26:H31" si="10">C26*D26</f>
        <v>83978.8</v>
      </c>
      <c r="I26" s="26">
        <f t="shared" ref="I26:I31" si="11">F26*D26</f>
        <v>90020.343034165911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25.3</v>
      </c>
      <c r="D27" s="30">
        <v>2274.1</v>
      </c>
      <c r="E27" s="29">
        <f t="shared" si="7"/>
        <v>0.14219434874225437</v>
      </c>
      <c r="F27" s="28">
        <f t="shared" si="8"/>
        <v>27.120114585638252</v>
      </c>
      <c r="G27" s="27" t="str">
        <f t="shared" si="9"/>
        <v>+</v>
      </c>
      <c r="H27" s="26">
        <f t="shared" si="10"/>
        <v>57534.729999999996</v>
      </c>
      <c r="I27" s="26">
        <f t="shared" si="11"/>
        <v>61673.852579199949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25.3</v>
      </c>
      <c r="D28" s="30">
        <v>1618.4</v>
      </c>
      <c r="E28" s="29">
        <f t="shared" si="7"/>
        <v>0.1011949052391999</v>
      </c>
      <c r="F28" s="28">
        <f t="shared" si="8"/>
        <v>27.120114585638252</v>
      </c>
      <c r="G28" s="27" t="str">
        <f t="shared" si="9"/>
        <v>+</v>
      </c>
      <c r="H28" s="26">
        <f t="shared" si="10"/>
        <v>40945.520000000004</v>
      </c>
      <c r="I28" s="26">
        <f t="shared" si="11"/>
        <v>43891.193445396952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24.5</v>
      </c>
      <c r="D29" s="30">
        <v>1424.4</v>
      </c>
      <c r="E29" s="29">
        <f t="shared" si="7"/>
        <v>8.906452238180694E-2</v>
      </c>
      <c r="F29" s="28">
        <f t="shared" si="8"/>
        <v>26.262561555262337</v>
      </c>
      <c r="G29" s="27" t="str">
        <f t="shared" si="9"/>
        <v>+</v>
      </c>
      <c r="H29" s="26">
        <f t="shared" si="10"/>
        <v>34897.800000000003</v>
      </c>
      <c r="I29" s="26">
        <f t="shared" si="11"/>
        <v>37408.392679315679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24.5</v>
      </c>
      <c r="D30" s="30">
        <v>696.8</v>
      </c>
      <c r="E30" s="29">
        <f t="shared" si="7"/>
        <v>4.3569333891914537E-2</v>
      </c>
      <c r="F30" s="28">
        <f t="shared" si="8"/>
        <v>26.262561555262337</v>
      </c>
      <c r="G30" s="27" t="str">
        <f t="shared" si="9"/>
        <v>+</v>
      </c>
      <c r="H30" s="26">
        <f t="shared" si="10"/>
        <v>17071.599999999999</v>
      </c>
      <c r="I30" s="26">
        <f t="shared" si="11"/>
        <v>18299.752891706794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24.9</v>
      </c>
      <c r="D31" s="30">
        <v>210.7</v>
      </c>
      <c r="E31" s="29">
        <f t="shared" si="7"/>
        <v>1.3174596227075765E-2</v>
      </c>
      <c r="F31" s="28">
        <f t="shared" si="8"/>
        <v>26.691338070450293</v>
      </c>
      <c r="G31" s="27" t="str">
        <f t="shared" si="9"/>
        <v>+</v>
      </c>
      <c r="H31" s="26">
        <f t="shared" si="10"/>
        <v>5246.4299999999994</v>
      </c>
      <c r="I31" s="26">
        <f t="shared" si="11"/>
        <v>5623.8649314438762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26.104393665454069</v>
      </c>
      <c r="D32" s="22">
        <f>SUM(D26:D31)</f>
        <v>9181.4</v>
      </c>
      <c r="E32" s="21">
        <f t="shared" si="7"/>
        <v>0.57409225343746284</v>
      </c>
      <c r="F32" s="20">
        <f>I32/D32</f>
        <v>27.982377367419911</v>
      </c>
      <c r="G32" s="19">
        <f>F32/C32-1</f>
        <v>7.1941287969891521E-2</v>
      </c>
      <c r="H32" s="18">
        <f>SUM(H26:H31)</f>
        <v>239674.87999999998</v>
      </c>
      <c r="I32" s="18">
        <f>SUM(I26:I31)</f>
        <v>256917.39956122916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</v>
      </c>
      <c r="D34" s="30">
        <f>1246.9+1013.3</f>
        <v>2260.1999999999998</v>
      </c>
      <c r="E34" s="29">
        <f t="shared" ref="E34:E40" si="13">D34/$D$48</f>
        <v>0.14132521306329682</v>
      </c>
      <c r="F34" s="28">
        <f t="shared" ref="F34:F39" si="14">C34-(C34*$E$6)</f>
        <v>16.079119319548369</v>
      </c>
      <c r="G34" s="27" t="str">
        <f t="shared" ref="G34:G39" si="15">IF(C34&gt;=F34,"-","+")</f>
        <v>+</v>
      </c>
      <c r="H34" s="26">
        <f t="shared" ref="H34:H39" si="16">C34*D34</f>
        <v>33903</v>
      </c>
      <c r="I34" s="26">
        <f t="shared" ref="I34:I39" si="17">F34*D34</f>
        <v>36342.025486043218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11.5</v>
      </c>
      <c r="D35" s="30">
        <v>166.8</v>
      </c>
      <c r="E35" s="29">
        <f t="shared" si="13"/>
        <v>1.042962814749045E-2</v>
      </c>
      <c r="F35" s="28">
        <f t="shared" si="14"/>
        <v>12.327324811653749</v>
      </c>
      <c r="G35" s="27" t="str">
        <f t="shared" si="15"/>
        <v>+</v>
      </c>
      <c r="H35" s="26">
        <f t="shared" si="16"/>
        <v>1918.2</v>
      </c>
      <c r="I35" s="26">
        <f t="shared" si="17"/>
        <v>2056.1977785838458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9.1999999999999993</v>
      </c>
      <c r="D36" s="30"/>
      <c r="E36" s="29">
        <f t="shared" si="13"/>
        <v>0</v>
      </c>
      <c r="F36" s="28">
        <f t="shared" si="14"/>
        <v>9.8618598493229985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24.5</v>
      </c>
      <c r="D37" s="30"/>
      <c r="E37" s="29">
        <f t="shared" si="13"/>
        <v>0</v>
      </c>
      <c r="F37" s="28">
        <f t="shared" si="14"/>
        <v>26.262561555262337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24.5</v>
      </c>
      <c r="D38" s="30"/>
      <c r="E38" s="29">
        <f t="shared" si="13"/>
        <v>0</v>
      </c>
      <c r="F38" s="28">
        <f t="shared" si="14"/>
        <v>26.262561555262337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25.3</v>
      </c>
      <c r="D39" s="30"/>
      <c r="E39" s="29">
        <f t="shared" si="13"/>
        <v>0</v>
      </c>
      <c r="F39" s="28">
        <f t="shared" si="14"/>
        <v>27.120114585638252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14.759456118665017</v>
      </c>
      <c r="D40" s="22">
        <f>SUM(D34:D39)</f>
        <v>2427</v>
      </c>
      <c r="E40" s="21">
        <f t="shared" si="13"/>
        <v>0.15175484121078728</v>
      </c>
      <c r="F40" s="20">
        <f>I40/D40</f>
        <v>15.82127040157687</v>
      </c>
      <c r="G40" s="19">
        <f>F40/C40-1</f>
        <v>7.1941287969891077E-2</v>
      </c>
      <c r="H40" s="18">
        <f>SUM(H34:H39)</f>
        <v>35821.199999999997</v>
      </c>
      <c r="I40" s="18">
        <f>SUM(I34:I39)</f>
        <v>38398.223264627064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f>217.5+1668.6+1353</f>
        <v>3239.1</v>
      </c>
      <c r="E42" s="107">
        <f>D42/$D$48</f>
        <v>0.20253362429578126</v>
      </c>
      <c r="F42" s="28">
        <f>C42-(C42*$E$6)</f>
        <v>0.32158238639096737</v>
      </c>
      <c r="G42" s="27" t="str">
        <f>IF(C42&gt;=F42,"-","+")</f>
        <v>+</v>
      </c>
      <c r="H42" s="26">
        <f>C42*D42</f>
        <v>971.7299999999999</v>
      </c>
      <c r="I42" s="26">
        <f>F42*D42</f>
        <v>1041.6375077589823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100.3</v>
      </c>
      <c r="E43" s="107">
        <f>D43/$D$48</f>
        <v>6.2715329927655397E-3</v>
      </c>
      <c r="F43" s="28">
        <f>C43-(C43*$E$6)</f>
        <v>0.32158238639096737</v>
      </c>
      <c r="G43" s="27" t="str">
        <f>IF(C43&gt;=F43,"-","+")</f>
        <v>+</v>
      </c>
      <c r="H43" s="26">
        <f>C43*D43</f>
        <v>30.089999999999996</v>
      </c>
      <c r="I43" s="26">
        <f>F43*D43</f>
        <v>32.254713355014026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5.0022197350074098E-4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0.29928302563183362</v>
      </c>
      <c r="D46" s="22">
        <f>SUM(D41:D45)</f>
        <v>3347.4</v>
      </c>
      <c r="E46" s="21">
        <f>D46/$D$48</f>
        <v>0.20930537926204754</v>
      </c>
      <c r="F46" s="20">
        <f>I46/D46</f>
        <v>0.3208138319633137</v>
      </c>
      <c r="G46" s="19">
        <f>F46/C46-1</f>
        <v>7.1941287969891299E-2</v>
      </c>
      <c r="H46" s="18">
        <f>SUM(H41:H44)</f>
        <v>1001.8199999999999</v>
      </c>
      <c r="I46" s="18">
        <f>SUM(I41:I44)</f>
        <v>1073.8922211139964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79.244879989386448</v>
      </c>
      <c r="D48" s="13">
        <f>D24+D32+D40+D46</f>
        <v>15992.9</v>
      </c>
      <c r="E48" s="12">
        <f>SUM(E20:E46)/2</f>
        <v>1</v>
      </c>
      <c r="F48" s="11">
        <f>I48/D48</f>
        <v>21.179735132465041</v>
      </c>
      <c r="G48" s="10"/>
      <c r="H48" s="9">
        <f>SUM(H20:H46)/2</f>
        <v>315992.47999999986</v>
      </c>
      <c r="I48" s="9">
        <f>SUM(I20:I46)/2</f>
        <v>338725.38600000012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15992.9</v>
      </c>
      <c r="E50" s="12">
        <f>D50/G2</f>
        <v>1.0000125057057281</v>
      </c>
      <c r="F50" s="11">
        <f>I50/D50</f>
        <v>21.179735132465041</v>
      </c>
      <c r="G50" s="10"/>
      <c r="H50" s="9">
        <f>H48+H19</f>
        <v>315992.47999999986</v>
      </c>
      <c r="I50" s="9">
        <f>I48+I19</f>
        <v>338725.38600000012</v>
      </c>
      <c r="J50" s="106">
        <f>D50-G2</f>
        <v>0.19999999999890861</v>
      </c>
      <c r="K50" s="8"/>
    </row>
    <row r="51" spans="1:11" ht="23.25" x14ac:dyDescent="0.35">
      <c r="A51" s="174" t="s">
        <v>203</v>
      </c>
      <c r="B51" s="169"/>
      <c r="C51" s="170"/>
      <c r="G51" s="7"/>
      <c r="H51" s="6"/>
      <c r="I51" s="6">
        <f>+I50/D50</f>
        <v>21.179735132465041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192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204</v>
      </c>
      <c r="D2" s="96" t="s">
        <v>3</v>
      </c>
      <c r="E2" s="95" t="s">
        <v>205</v>
      </c>
      <c r="F2" s="94" t="s">
        <v>5</v>
      </c>
      <c r="G2" s="93">
        <v>9365.7999999999993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128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73.170312499999994</v>
      </c>
      <c r="F4" s="81" t="s">
        <v>12</v>
      </c>
      <c r="G4" s="80">
        <f>G2*G3</f>
        <v>245852.24999999997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-1.3504488771742595E-2</v>
      </c>
      <c r="F6" s="69" t="s">
        <v>16</v>
      </c>
      <c r="G6" s="68">
        <f>(I50-I19)/(D50-(SUM(D42:D44)+D19))</f>
        <v>31.113952269919629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>
        <f t="shared" ref="E10:E19" si="1">D10/$D$19</f>
        <v>0</v>
      </c>
      <c r="F10" s="28">
        <f t="shared" ref="F10:F18" si="2">C10-(C10*$E$6)</f>
        <v>26.65516805469683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>
        <v>537.79999999999995</v>
      </c>
      <c r="E11" s="29">
        <f t="shared" si="1"/>
        <v>0.38313029849682984</v>
      </c>
      <c r="F11" s="28">
        <f t="shared" si="2"/>
        <v>27.668672543468574</v>
      </c>
      <c r="G11" s="27" t="str">
        <f t="shared" si="3"/>
        <v>+</v>
      </c>
      <c r="H11" s="34">
        <f t="shared" si="4"/>
        <v>14681.939999999999</v>
      </c>
      <c r="I11" s="34">
        <f t="shared" si="5"/>
        <v>14880.212093877399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>
        <v>570.5</v>
      </c>
      <c r="E12" s="29">
        <f t="shared" si="1"/>
        <v>0.40642587447460288</v>
      </c>
      <c r="F12" s="28">
        <f t="shared" si="2"/>
        <v>25.337612219293565</v>
      </c>
      <c r="G12" s="27" t="str">
        <f t="shared" si="3"/>
        <v>+</v>
      </c>
      <c r="H12" s="34">
        <f t="shared" si="4"/>
        <v>14262.5</v>
      </c>
      <c r="I12" s="34">
        <f t="shared" si="5"/>
        <v>14455.107771106979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>
        <f t="shared" si="1"/>
        <v>0</v>
      </c>
      <c r="F13" s="28">
        <f t="shared" si="2"/>
        <v>27.668672543468574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>
        <v>105.8</v>
      </c>
      <c r="E14" s="29">
        <f t="shared" si="1"/>
        <v>7.537223053358981E-2</v>
      </c>
      <c r="F14" s="28">
        <f t="shared" si="2"/>
        <v>31.013237356415324</v>
      </c>
      <c r="G14" s="27" t="str">
        <f t="shared" si="3"/>
        <v>+</v>
      </c>
      <c r="H14" s="34">
        <f t="shared" si="4"/>
        <v>3237.48</v>
      </c>
      <c r="I14" s="34">
        <f t="shared" si="5"/>
        <v>3281.2005123087411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>
        <f>148+22.6</f>
        <v>170.6</v>
      </c>
      <c r="E15" s="29">
        <f t="shared" si="1"/>
        <v>0.12153594072807582</v>
      </c>
      <c r="F15" s="28">
        <f t="shared" si="2"/>
        <v>25.540313117047912</v>
      </c>
      <c r="G15" s="27" t="str">
        <f t="shared" si="3"/>
        <v>+</v>
      </c>
      <c r="H15" s="34">
        <f t="shared" si="4"/>
        <v>4299.12</v>
      </c>
      <c r="I15" s="34">
        <f t="shared" si="5"/>
        <v>4357.1774177683737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>
        <f t="shared" si="1"/>
        <v>0</v>
      </c>
      <c r="F16" s="28">
        <f t="shared" si="2"/>
        <v>34.965904862625116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>
        <v>19</v>
      </c>
      <c r="E17" s="29">
        <f t="shared" si="1"/>
        <v>1.3535655766901761E-2</v>
      </c>
      <c r="F17" s="28">
        <f t="shared" si="2"/>
        <v>51.486028029604519</v>
      </c>
      <c r="G17" s="27" t="str">
        <f t="shared" si="3"/>
        <v>+</v>
      </c>
      <c r="H17" s="34">
        <f t="shared" si="4"/>
        <v>965.19999999999993</v>
      </c>
      <c r="I17" s="34">
        <f t="shared" si="5"/>
        <v>978.23453256248581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>
        <f t="shared" si="1"/>
        <v>0</v>
      </c>
      <c r="F18" s="28">
        <f t="shared" si="2"/>
        <v>45.100949750342544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26.676811284462495</v>
      </c>
      <c r="D19" s="49">
        <f>SUM(D10:D18)</f>
        <v>1403.6999999999998</v>
      </c>
      <c r="E19" s="48">
        <f t="shared" si="1"/>
        <v>1</v>
      </c>
      <c r="F19" s="47">
        <f>I19/D19</f>
        <v>27.037067982919414</v>
      </c>
      <c r="G19" s="46">
        <f>F19/C19-1</f>
        <v>1.3504488771742595E-2</v>
      </c>
      <c r="H19" s="9">
        <f>SUM(H10:H18)</f>
        <v>37446.239999999998</v>
      </c>
      <c r="I19" s="9">
        <f>SUM(I10:I18)</f>
        <v>37951.932327623974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101.5</v>
      </c>
      <c r="E21" s="29">
        <f>D21/$D$48</f>
        <v>1.2747893143768603E-2</v>
      </c>
      <c r="F21" s="28">
        <f>C21-(C21*$E$6)</f>
        <v>66.891296258935014</v>
      </c>
      <c r="G21" s="27" t="str">
        <f>IF(C21&gt;=F21,"-","+")</f>
        <v>+</v>
      </c>
      <c r="H21" s="26">
        <f>C21*D21</f>
        <v>6699</v>
      </c>
      <c r="I21" s="26">
        <f>F21*D21</f>
        <v>6789.4665702819038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233</v>
      </c>
      <c r="E22" s="29">
        <f>D22/$D$48</f>
        <v>2.9263636477813642E-2</v>
      </c>
      <c r="F22" s="28">
        <f>C22-(C22*$E$6)</f>
        <v>44.898248852588196</v>
      </c>
      <c r="G22" s="27" t="str">
        <f>IF(C22&gt;=F22,"-","+")</f>
        <v>+</v>
      </c>
      <c r="H22" s="26">
        <f>C22*D22</f>
        <v>10321.9</v>
      </c>
      <c r="I22" s="26">
        <f>F22*D22</f>
        <v>10461.291982653051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201.8</v>
      </c>
      <c r="E23" s="29">
        <f>D23/$D$48</f>
        <v>2.5345072279926151E-2</v>
      </c>
      <c r="F23" s="28">
        <f>C23-(C23*$E$6)</f>
        <v>40.945581346378397</v>
      </c>
      <c r="G23" s="27" t="str">
        <f>IF(C23&gt;=F23,"-","+")</f>
        <v>+</v>
      </c>
      <c r="H23" s="26">
        <f>C23*D23</f>
        <v>8152.72</v>
      </c>
      <c r="I23" s="26">
        <f>F23*D23</f>
        <v>8262.8183156991618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46.93943688234198</v>
      </c>
      <c r="D24" s="22">
        <f>SUM(D21:D23)</f>
        <v>536.29999999999995</v>
      </c>
      <c r="E24" s="21">
        <f>D24/$D$48</f>
        <v>6.7356601901508384E-2</v>
      </c>
      <c r="F24" s="20">
        <f>I24/D24</f>
        <v>47.573329980671481</v>
      </c>
      <c r="G24" s="19">
        <f>F24/C24-1</f>
        <v>1.3504488771742373E-2</v>
      </c>
      <c r="H24" s="18">
        <f>SUM(H21:H23)</f>
        <v>25173.620000000003</v>
      </c>
      <c r="I24" s="18">
        <f>SUM(I21:I23)</f>
        <v>25513.576868634114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v>1623.2</v>
      </c>
      <c r="E26" s="29">
        <f t="shared" ref="E26:E32" si="7">D26/$D$48</f>
        <v>0.20386581429522363</v>
      </c>
      <c r="F26" s="28">
        <f t="shared" ref="F26:F31" si="8">C26-(C26*$E$6)</f>
        <v>35.675358004765343</v>
      </c>
      <c r="G26" s="27" t="str">
        <f t="shared" ref="G26:G31" si="9">IF(C26&gt;=F26,"-","+")</f>
        <v>+</v>
      </c>
      <c r="H26" s="26">
        <f t="shared" ref="H26:H31" si="10">C26*D26</f>
        <v>57136.640000000007</v>
      </c>
      <c r="I26" s="26">
        <f t="shared" ref="I26:I31" si="11">F26*D26</f>
        <v>57908.241113335105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1030.5999999999999</v>
      </c>
      <c r="E27" s="29">
        <f t="shared" si="7"/>
        <v>0.12943821353662976</v>
      </c>
      <c r="F27" s="28">
        <f t="shared" si="8"/>
        <v>31.824040947432717</v>
      </c>
      <c r="G27" s="27" t="str">
        <f t="shared" si="9"/>
        <v>+</v>
      </c>
      <c r="H27" s="26">
        <f t="shared" si="10"/>
        <v>32360.839999999997</v>
      </c>
      <c r="I27" s="26">
        <f t="shared" si="11"/>
        <v>32797.856600424158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766.4</v>
      </c>
      <c r="E28" s="29">
        <f t="shared" si="7"/>
        <v>9.6256012860928636E-2</v>
      </c>
      <c r="F28" s="28">
        <f t="shared" si="8"/>
        <v>31.824040947432717</v>
      </c>
      <c r="G28" s="27" t="str">
        <f t="shared" si="9"/>
        <v>+</v>
      </c>
      <c r="H28" s="26">
        <f t="shared" si="10"/>
        <v>24064.959999999999</v>
      </c>
      <c r="I28" s="26">
        <f t="shared" si="11"/>
        <v>24389.944982112433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690.6</v>
      </c>
      <c r="E29" s="29">
        <f t="shared" si="7"/>
        <v>8.6735911380163525E-2</v>
      </c>
      <c r="F29" s="28">
        <f t="shared" si="8"/>
        <v>30.709186009783803</v>
      </c>
      <c r="G29" s="27" t="str">
        <f t="shared" si="9"/>
        <v>+</v>
      </c>
      <c r="H29" s="26">
        <f t="shared" si="10"/>
        <v>20925.18</v>
      </c>
      <c r="I29" s="26">
        <f t="shared" si="11"/>
        <v>21207.763858356695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537.20000000000005</v>
      </c>
      <c r="E30" s="29">
        <f t="shared" si="7"/>
        <v>6.746963740721669E-2</v>
      </c>
      <c r="F30" s="28">
        <f t="shared" si="8"/>
        <v>30.709186009783803</v>
      </c>
      <c r="G30" s="27" t="str">
        <f t="shared" si="9"/>
        <v>+</v>
      </c>
      <c r="H30" s="26">
        <f t="shared" si="10"/>
        <v>16277.160000000002</v>
      </c>
      <c r="I30" s="26">
        <f t="shared" si="11"/>
        <v>16496.97472445586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107.3</v>
      </c>
      <c r="E31" s="29">
        <f t="shared" si="7"/>
        <v>1.3476344180555381E-2</v>
      </c>
      <c r="F31" s="28">
        <f t="shared" si="8"/>
        <v>31.215938254169671</v>
      </c>
      <c r="G31" s="27" t="str">
        <f t="shared" si="9"/>
        <v>+</v>
      </c>
      <c r="H31" s="26">
        <f t="shared" si="10"/>
        <v>3304.84</v>
      </c>
      <c r="I31" s="26">
        <f t="shared" si="11"/>
        <v>3349.4701746724058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32.399558387483438</v>
      </c>
      <c r="D32" s="22">
        <f>SUM(D26:D31)</f>
        <v>4755.3</v>
      </c>
      <c r="E32" s="21">
        <f t="shared" si="7"/>
        <v>0.59724193366071765</v>
      </c>
      <c r="F32" s="20">
        <f>I32/D32</f>
        <v>32.837097859936627</v>
      </c>
      <c r="G32" s="19">
        <f>F32/C32-1</f>
        <v>1.3504488771742595E-2</v>
      </c>
      <c r="H32" s="18">
        <f>SUM(H26:H31)</f>
        <v>154069.62</v>
      </c>
      <c r="I32" s="18">
        <f>SUM(I26:I31)</f>
        <v>156150.25145335664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1318.2</v>
      </c>
      <c r="E34" s="29">
        <f t="shared" ref="E34:E40" si="13">D34/$D$48</f>
        <v>0.16555933736074654</v>
      </c>
      <c r="F34" s="28">
        <f t="shared" ref="F34:F39" si="14">C34-(C34*$E$6)</f>
        <v>18.749833042277238</v>
      </c>
      <c r="G34" s="27" t="str">
        <f t="shared" ref="G34:G39" si="15">IF(C34&gt;=F34,"-","+")</f>
        <v>+</v>
      </c>
      <c r="H34" s="26">
        <f t="shared" ref="H34:H39" si="16">C34*D34</f>
        <v>24386.7</v>
      </c>
      <c r="I34" s="26">
        <f t="shared" ref="I34:I39" si="17">F34*D34</f>
        <v>24716.029916329855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70</v>
      </c>
      <c r="E35" s="29">
        <f t="shared" si="13"/>
        <v>8.791650443978347E-3</v>
      </c>
      <c r="F35" s="28">
        <f t="shared" si="14"/>
        <v>14.49311418943592</v>
      </c>
      <c r="G35" s="27" t="str">
        <f t="shared" si="15"/>
        <v>+</v>
      </c>
      <c r="H35" s="26">
        <f t="shared" si="16"/>
        <v>1001</v>
      </c>
      <c r="I35" s="26">
        <f t="shared" si="17"/>
        <v>1014.5179932605143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11.65530162087504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30.709186009783803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30.709186009783803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31.824040947432717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18.288214954617491</v>
      </c>
      <c r="D40" s="22">
        <f>SUM(D34:D39)</f>
        <v>1388.2</v>
      </c>
      <c r="E40" s="21">
        <f t="shared" si="13"/>
        <v>0.17435098780472488</v>
      </c>
      <c r="F40" s="20">
        <f>I40/D40</f>
        <v>18.535187948127337</v>
      </c>
      <c r="G40" s="19">
        <f>F40/C40-1</f>
        <v>1.3504488771742595E-2</v>
      </c>
      <c r="H40" s="18">
        <f>SUM(H34:H39)</f>
        <v>25387.7</v>
      </c>
      <c r="I40" s="18">
        <f>SUM(I34:I39)</f>
        <v>25730.547909590368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1205</v>
      </c>
      <c r="E42" s="107">
        <f>D42/$D$48</f>
        <v>0.15134198264277013</v>
      </c>
      <c r="F42" s="28">
        <f>C42-(C42*$E$6)</f>
        <v>0.40540179550869704</v>
      </c>
      <c r="G42" s="27" t="str">
        <f>IF(C42&gt;=F42,"-","+")</f>
        <v>+</v>
      </c>
      <c r="H42" s="26">
        <f>C42*D42</f>
        <v>482</v>
      </c>
      <c r="I42" s="26">
        <f>F42*D42</f>
        <v>488.50916358797991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43</v>
      </c>
      <c r="E43" s="107">
        <f>D43/$D$48</f>
        <v>5.4005852727295562E-3</v>
      </c>
      <c r="F43" s="28">
        <f>C43-(C43*$E$6)</f>
        <v>0.40540179550869704</v>
      </c>
      <c r="G43" s="27" t="str">
        <f>IF(C43&gt;=F43,"-","+")</f>
        <v>+</v>
      </c>
      <c r="H43" s="26">
        <f>C43*D43</f>
        <v>17.2</v>
      </c>
      <c r="I43" s="26">
        <f>F43*D43</f>
        <v>17.432277206873973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32.200000000000003</v>
      </c>
      <c r="E44" s="107">
        <f>D44/$D$48</f>
        <v>4.0441592042300403E-3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2.1</v>
      </c>
      <c r="E45" s="107">
        <f>D45/$D$48</f>
        <v>2.6374951331935043E-4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0.3893004757077127</v>
      </c>
      <c r="D46" s="22">
        <f>SUM(D41:D45)</f>
        <v>1282.3</v>
      </c>
      <c r="E46" s="21">
        <f>D46/$D$48</f>
        <v>0.16105047663304906</v>
      </c>
      <c r="F46" s="20">
        <f>I46/D46</f>
        <v>0.39455777961074157</v>
      </c>
      <c r="G46" s="19">
        <f>F46/C46-1</f>
        <v>1.3504488771742595E-2</v>
      </c>
      <c r="H46" s="18">
        <f>SUM(H41:H44)</f>
        <v>499.2</v>
      </c>
      <c r="I46" s="18">
        <f>SUM(I41:I44)</f>
        <v>505.94144079485386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98.016510700150619</v>
      </c>
      <c r="D48" s="13">
        <f>D24+D32+D40+D46</f>
        <v>7962.1</v>
      </c>
      <c r="E48" s="12">
        <f>SUM(E20:E46)/2</f>
        <v>1</v>
      </c>
      <c r="F48" s="11">
        <f>I48/D48</f>
        <v>26.111241716679764</v>
      </c>
      <c r="G48" s="10"/>
      <c r="H48" s="9">
        <f>SUM(H20:H46)/2</f>
        <v>205130.14</v>
      </c>
      <c r="I48" s="9">
        <f>SUM(I20:I46)/2</f>
        <v>207900.31767237597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9365.7999999999993</v>
      </c>
      <c r="E50" s="12">
        <f>D50/G2</f>
        <v>1</v>
      </c>
      <c r="F50" s="11">
        <f>I50/D50</f>
        <v>26.249999999999996</v>
      </c>
      <c r="G50" s="10"/>
      <c r="H50" s="9">
        <f>H48+H19</f>
        <v>242576.38</v>
      </c>
      <c r="I50" s="9">
        <f>I48+I19</f>
        <v>245852.24999999994</v>
      </c>
      <c r="J50" s="106">
        <f>D50-G2</f>
        <v>0</v>
      </c>
      <c r="K50" s="8"/>
    </row>
    <row r="51" spans="1:11" ht="23.25" x14ac:dyDescent="0.35">
      <c r="A51" s="174" t="s">
        <v>207</v>
      </c>
      <c r="B51" s="169"/>
      <c r="C51" s="170"/>
      <c r="G51" s="7"/>
      <c r="H51" s="6"/>
      <c r="I51" s="6">
        <f>+I50/D50</f>
        <v>26.249999999999996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208</v>
      </c>
      <c r="D1" s="100" t="s">
        <v>1</v>
      </c>
      <c r="E1" s="168" t="s">
        <v>103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208</v>
      </c>
      <c r="D2" s="96" t="s">
        <v>3</v>
      </c>
      <c r="E2" s="95" t="s">
        <v>205</v>
      </c>
      <c r="F2" s="94" t="s">
        <v>5</v>
      </c>
      <c r="G2" s="93">
        <v>10066.200000000001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104</v>
      </c>
      <c r="D3" s="90" t="s">
        <v>7</v>
      </c>
      <c r="E3" s="89">
        <v>140</v>
      </c>
      <c r="F3" s="88" t="s">
        <v>8</v>
      </c>
      <c r="G3" s="87">
        <v>27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71.901428571428582</v>
      </c>
      <c r="F4" s="81" t="s">
        <v>12</v>
      </c>
      <c r="G4" s="80">
        <f>G2*G3</f>
        <v>271787.40000000002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-4.7581861526424518E-4</v>
      </c>
      <c r="F6" s="69" t="s">
        <v>16</v>
      </c>
      <c r="G6" s="68">
        <f>(I50-I19)/(D50-(SUM(D42:D44)+D19))</f>
        <v>32.554067650440786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</v>
      </c>
      <c r="D10" s="30"/>
      <c r="E10" s="29" t="e">
        <f t="shared" ref="E10:E19" si="1">D10/$D$19</f>
        <v>#DIV/0!</v>
      </c>
      <c r="F10" s="28">
        <f t="shared" ref="F10:F18" si="2">C10-(C10*$E$6)</f>
        <v>27.012847102612135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28.1</v>
      </c>
      <c r="D11" s="30"/>
      <c r="E11" s="29" t="e">
        <f t="shared" si="1"/>
        <v>#DIV/0!</v>
      </c>
      <c r="F11" s="28">
        <f t="shared" si="2"/>
        <v>28.113370503088927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25.7</v>
      </c>
      <c r="D12" s="30"/>
      <c r="E12" s="29" t="e">
        <f t="shared" si="1"/>
        <v>#DIV/0!</v>
      </c>
      <c r="F12" s="28">
        <f t="shared" si="2"/>
        <v>25.71222853841229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28.1</v>
      </c>
      <c r="D13" s="30"/>
      <c r="E13" s="29" t="e">
        <f t="shared" si="1"/>
        <v>#DIV/0!</v>
      </c>
      <c r="F13" s="28">
        <f t="shared" si="2"/>
        <v>28.113370503088927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31.4</v>
      </c>
      <c r="D14" s="30"/>
      <c r="E14" s="29" t="e">
        <f t="shared" si="1"/>
        <v>#DIV/0!</v>
      </c>
      <c r="F14" s="28">
        <f t="shared" si="2"/>
        <v>31.414940704519296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25.9</v>
      </c>
      <c r="D15" s="30"/>
      <c r="E15" s="29" t="e">
        <f t="shared" si="1"/>
        <v>#DIV/0!</v>
      </c>
      <c r="F15" s="28">
        <f t="shared" si="2"/>
        <v>25.912323702135343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35.5</v>
      </c>
      <c r="D16" s="30"/>
      <c r="E16" s="29" t="e">
        <f t="shared" si="1"/>
        <v>#DIV/0!</v>
      </c>
      <c r="F16" s="28">
        <f t="shared" si="2"/>
        <v>35.516891560841884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52.2</v>
      </c>
      <c r="D17" s="30"/>
      <c r="E17" s="29" t="e">
        <f t="shared" si="1"/>
        <v>#DIV/0!</v>
      </c>
      <c r="F17" s="28">
        <f t="shared" si="2"/>
        <v>52.224837731716796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45.7</v>
      </c>
      <c r="D18" s="30"/>
      <c r="E18" s="29" t="e">
        <f t="shared" si="1"/>
        <v>#DIV/0!</v>
      </c>
      <c r="F18" s="28">
        <f t="shared" si="2"/>
        <v>45.721744910717575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67.900000000000006</v>
      </c>
      <c r="D21" s="30">
        <v>133</v>
      </c>
      <c r="E21" s="29">
        <f>D21/$D$48</f>
        <v>1.3212533031332577E-2</v>
      </c>
      <c r="F21" s="28">
        <f>C21-(C21*$E$6)</f>
        <v>67.932308083976451</v>
      </c>
      <c r="G21" s="27" t="str">
        <f>IF(C21&gt;=F21,"-","+")</f>
        <v>+</v>
      </c>
      <c r="H21" s="26">
        <f>C21*D21</f>
        <v>9030.7000000000007</v>
      </c>
      <c r="I21" s="26">
        <f>F21*D21</f>
        <v>9034.9969751688677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45.6</v>
      </c>
      <c r="D22" s="30">
        <v>343</v>
      </c>
      <c r="E22" s="29">
        <f>D22/$D$48</f>
        <v>3.4074427291331387E-2</v>
      </c>
      <c r="F22" s="28">
        <f>C22-(C22*$E$6)</f>
        <v>45.621697328856051</v>
      </c>
      <c r="G22" s="27" t="str">
        <f>IF(C22&gt;=F22,"-","+")</f>
        <v>+</v>
      </c>
      <c r="H22" s="26">
        <f>C22*D22</f>
        <v>15640.800000000001</v>
      </c>
      <c r="I22" s="26">
        <f>F22*D22</f>
        <v>15648.242183797625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41.6</v>
      </c>
      <c r="D23" s="30">
        <v>261.39999999999998</v>
      </c>
      <c r="E23" s="29">
        <f>D23/$D$48</f>
        <v>2.5968091236017558E-2</v>
      </c>
      <c r="F23" s="28">
        <f>C23-(C23*$E$6)</f>
        <v>41.619794054394994</v>
      </c>
      <c r="G23" s="27" t="str">
        <f>IF(C23&gt;=F23,"-","+")</f>
        <v>+</v>
      </c>
      <c r="H23" s="26">
        <f>C23*D23</f>
        <v>10874.24</v>
      </c>
      <c r="I23" s="26">
        <f>F23*D23</f>
        <v>10879.414165818851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48.204149715215621</v>
      </c>
      <c r="D24" s="22">
        <f>SUM(D21:D23)</f>
        <v>737.4</v>
      </c>
      <c r="E24" s="21">
        <f>D24/$D$48</f>
        <v>7.3255051558681519E-2</v>
      </c>
      <c r="F24" s="20">
        <f>I24/D24</f>
        <v>48.227086146983112</v>
      </c>
      <c r="G24" s="19">
        <f>F24/C24-1</f>
        <v>4.7581861526446723E-4</v>
      </c>
      <c r="H24" s="18">
        <f>SUM(H21:H23)</f>
        <v>35545.74</v>
      </c>
      <c r="I24" s="18">
        <f>SUM(I21:I23)</f>
        <v>35562.653324785344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36.200000000000003</v>
      </c>
      <c r="D26" s="30">
        <v>1967</v>
      </c>
      <c r="E26" s="29">
        <f t="shared" ref="E26:E32" si="7">D26/$D$48</f>
        <v>0.19540640956865549</v>
      </c>
      <c r="F26" s="28">
        <f t="shared" ref="F26:F31" si="8">C26-(C26*$E$6)</f>
        <v>36.217224633872569</v>
      </c>
      <c r="G26" s="27" t="str">
        <f t="shared" ref="G26:G31" si="9">IF(C26&gt;=F26,"-","+")</f>
        <v>+</v>
      </c>
      <c r="H26" s="26">
        <f t="shared" ref="H26:H31" si="10">C26*D26</f>
        <v>71205.400000000009</v>
      </c>
      <c r="I26" s="26">
        <f t="shared" ref="I26:I31" si="11">F26*D26</f>
        <v>71239.280854827346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32.299999999999997</v>
      </c>
      <c r="D27" s="30">
        <v>1581.6</v>
      </c>
      <c r="E27" s="29">
        <f t="shared" si="7"/>
        <v>0.15711986648387671</v>
      </c>
      <c r="F27" s="28">
        <f t="shared" si="8"/>
        <v>32.315368941273036</v>
      </c>
      <c r="G27" s="27" t="str">
        <f t="shared" si="9"/>
        <v>+</v>
      </c>
      <c r="H27" s="26">
        <f t="shared" si="10"/>
        <v>51085.679999999993</v>
      </c>
      <c r="I27" s="26">
        <f t="shared" si="11"/>
        <v>51109.987517517431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32.299999999999997</v>
      </c>
      <c r="D28" s="30">
        <v>1113.5999999999999</v>
      </c>
      <c r="E28" s="29">
        <f t="shared" si="7"/>
        <v>0.11062764499016509</v>
      </c>
      <c r="F28" s="28">
        <f t="shared" si="8"/>
        <v>32.315368941273036</v>
      </c>
      <c r="G28" s="27" t="str">
        <f t="shared" si="9"/>
        <v>+</v>
      </c>
      <c r="H28" s="26">
        <f t="shared" si="10"/>
        <v>35969.279999999992</v>
      </c>
      <c r="I28" s="26">
        <f t="shared" si="11"/>
        <v>35986.39485300165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31.2</v>
      </c>
      <c r="D29" s="30">
        <v>826.6</v>
      </c>
      <c r="E29" s="29">
        <f t="shared" si="7"/>
        <v>8.2116389501500062E-2</v>
      </c>
      <c r="F29" s="28">
        <f t="shared" si="8"/>
        <v>31.214845540796244</v>
      </c>
      <c r="G29" s="27" t="str">
        <f t="shared" si="9"/>
        <v>+</v>
      </c>
      <c r="H29" s="26">
        <f t="shared" si="10"/>
        <v>25789.920000000002</v>
      </c>
      <c r="I29" s="26">
        <f t="shared" si="11"/>
        <v>25802.191324022177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31.2</v>
      </c>
      <c r="D30" s="30">
        <v>606.4</v>
      </c>
      <c r="E30" s="29">
        <f t="shared" si="7"/>
        <v>6.024120323458703E-2</v>
      </c>
      <c r="F30" s="28">
        <f t="shared" si="8"/>
        <v>31.214845540796244</v>
      </c>
      <c r="G30" s="27" t="str">
        <f t="shared" si="9"/>
        <v>+</v>
      </c>
      <c r="H30" s="26">
        <f t="shared" si="10"/>
        <v>18919.68</v>
      </c>
      <c r="I30" s="26">
        <f t="shared" si="11"/>
        <v>18928.68233593884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31.7</v>
      </c>
      <c r="D31" s="30">
        <v>280.8</v>
      </c>
      <c r="E31" s="29">
        <f t="shared" si="7"/>
        <v>2.7895332896226976E-2</v>
      </c>
      <c r="F31" s="28">
        <f t="shared" si="8"/>
        <v>31.715083450103876</v>
      </c>
      <c r="G31" s="27" t="str">
        <f t="shared" si="9"/>
        <v>+</v>
      </c>
      <c r="H31" s="26">
        <f t="shared" si="10"/>
        <v>8901.36</v>
      </c>
      <c r="I31" s="26">
        <f t="shared" si="11"/>
        <v>8905.5954327891686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33.229504391468005</v>
      </c>
      <c r="D32" s="22">
        <f>SUM(D26:D31)</f>
        <v>6376</v>
      </c>
      <c r="E32" s="21">
        <f t="shared" si="7"/>
        <v>0.63340684667501135</v>
      </c>
      <c r="F32" s="20">
        <f>I32/D32</f>
        <v>33.245315608233476</v>
      </c>
      <c r="G32" s="19">
        <f>F32/C32-1</f>
        <v>4.7581861526446723E-4</v>
      </c>
      <c r="H32" s="18">
        <f>SUM(H26:H31)</f>
        <v>211871.32</v>
      </c>
      <c r="I32" s="18">
        <f>SUM(I26:I31)</f>
        <v>211972.13231809664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19.100000000000001</v>
      </c>
      <c r="D34" s="30">
        <v>1233.2</v>
      </c>
      <c r="E34" s="29">
        <f t="shared" ref="E34:E40" si="13">D34/$D$48</f>
        <v>0.12250899048300253</v>
      </c>
      <c r="F34" s="28">
        <f t="shared" ref="F34:F39" si="14">C34-(C34*$E$6)</f>
        <v>19.109088135551549</v>
      </c>
      <c r="G34" s="27" t="str">
        <f t="shared" ref="G34:G39" si="15">IF(C34&gt;=F34,"-","+")</f>
        <v>+</v>
      </c>
      <c r="H34" s="26">
        <f t="shared" ref="H34:H39" si="16">C34*D34</f>
        <v>23554.120000000003</v>
      </c>
      <c r="I34" s="26">
        <f t="shared" ref="I34:I39" si="17">F34*D34</f>
        <v>23565.32748876217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14.7</v>
      </c>
      <c r="D35" s="30"/>
      <c r="E35" s="29">
        <f t="shared" si="13"/>
        <v>0</v>
      </c>
      <c r="F35" s="28">
        <f t="shared" si="14"/>
        <v>14.706994533644384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30"/>
      <c r="E36" s="29">
        <f t="shared" si="13"/>
        <v>0</v>
      </c>
      <c r="F36" s="28">
        <f t="shared" si="14"/>
        <v>11.805614659660119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31.2</v>
      </c>
      <c r="D37" s="30"/>
      <c r="E37" s="29">
        <f t="shared" si="13"/>
        <v>0</v>
      </c>
      <c r="F37" s="28">
        <f t="shared" si="14"/>
        <v>31.214845540796244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31.2</v>
      </c>
      <c r="D38" s="30"/>
      <c r="E38" s="29">
        <f t="shared" si="13"/>
        <v>0</v>
      </c>
      <c r="F38" s="28">
        <f t="shared" si="14"/>
        <v>31.214845540796244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32.299999999999997</v>
      </c>
      <c r="D39" s="30"/>
      <c r="E39" s="29">
        <f t="shared" si="13"/>
        <v>0</v>
      </c>
      <c r="F39" s="28">
        <f t="shared" si="14"/>
        <v>32.315368941273036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19.100000000000001</v>
      </c>
      <c r="D40" s="22">
        <f>SUM(D34:D39)</f>
        <v>1233.2</v>
      </c>
      <c r="E40" s="21">
        <f t="shared" si="13"/>
        <v>0.12250899048300253</v>
      </c>
      <c r="F40" s="20">
        <f>I40/D40</f>
        <v>19.109088135551549</v>
      </c>
      <c r="G40" s="19">
        <f>F40/C40-1</f>
        <v>4.7581861526424518E-4</v>
      </c>
      <c r="H40" s="18">
        <f>SUM(H34:H39)</f>
        <v>23554.120000000003</v>
      </c>
      <c r="I40" s="18">
        <f>SUM(I34:I39)</f>
        <v>23565.32748876217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1638</v>
      </c>
      <c r="E42" s="107">
        <f>D42/$D$48</f>
        <v>0.1627227752279907</v>
      </c>
      <c r="F42" s="28">
        <f>C42-(C42*$E$6)</f>
        <v>0.40019032744610572</v>
      </c>
      <c r="G42" s="27" t="str">
        <f>IF(C42&gt;=F42,"-","+")</f>
        <v>+</v>
      </c>
      <c r="H42" s="26">
        <f>C42*D42</f>
        <v>655.20000000000005</v>
      </c>
      <c r="I42" s="26">
        <f>F42*D42</f>
        <v>655.51175635672121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79.400000000000006</v>
      </c>
      <c r="E43" s="107">
        <f>D43/$D$48</f>
        <v>7.8877828773519301E-3</v>
      </c>
      <c r="F43" s="28">
        <f>C43-(C43*$E$6)</f>
        <v>0.40019032744610572</v>
      </c>
      <c r="G43" s="27" t="str">
        <f>IF(C43&gt;=F43,"-","+")</f>
        <v>+</v>
      </c>
      <c r="H43" s="26">
        <f>C43*D43</f>
        <v>31.760000000000005</v>
      </c>
      <c r="I43" s="26">
        <f>F43*D43</f>
        <v>31.775111999220798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2.2000000000000002</v>
      </c>
      <c r="E45" s="107">
        <f>D45/$D$48</f>
        <v>2.1855317796189229E-4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0.39948825308211211</v>
      </c>
      <c r="D46" s="22">
        <f>SUM(D41:D45)</f>
        <v>1719.6000000000001</v>
      </c>
      <c r="E46" s="21">
        <f>D46/$D$48</f>
        <v>0.17082911128330452</v>
      </c>
      <c r="F46" s="20">
        <f>I46/D46</f>
        <v>0.399678337029508</v>
      </c>
      <c r="G46" s="19">
        <f>F46/C46-1</f>
        <v>4.7581861526424518E-4</v>
      </c>
      <c r="H46" s="18">
        <f>SUM(H41:H44)</f>
        <v>686.96</v>
      </c>
      <c r="I46" s="18">
        <f>SUM(I41:I44)</f>
        <v>687.28686835594203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100.93314235976574</v>
      </c>
      <c r="D48" s="13">
        <f>D24+D32+D40+D46</f>
        <v>10066.200000000001</v>
      </c>
      <c r="E48" s="12">
        <f>SUM(E20:E46)/2</f>
        <v>1</v>
      </c>
      <c r="F48" s="11">
        <f>I48/D48</f>
        <v>27.000000000000007</v>
      </c>
      <c r="G48" s="10"/>
      <c r="H48" s="9">
        <f>SUM(H20:H46)/2</f>
        <v>271658.13999999996</v>
      </c>
      <c r="I48" s="9">
        <f>SUM(I20:I46)/2</f>
        <v>271787.40000000008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10066.200000000001</v>
      </c>
      <c r="E50" s="12">
        <f>D50/G2</f>
        <v>1</v>
      </c>
      <c r="F50" s="11">
        <f>I50/D50</f>
        <v>27.000000000000007</v>
      </c>
      <c r="G50" s="10"/>
      <c r="H50" s="9">
        <f>H48+H19</f>
        <v>271658.13999999996</v>
      </c>
      <c r="I50" s="9">
        <f>I48+I19</f>
        <v>271787.40000000008</v>
      </c>
      <c r="J50" s="106">
        <f>D50-G2</f>
        <v>0</v>
      </c>
      <c r="K50" s="8"/>
    </row>
    <row r="51" spans="1:11" ht="23.25" x14ac:dyDescent="0.35">
      <c r="A51" s="174" t="s">
        <v>209</v>
      </c>
      <c r="B51" s="169"/>
      <c r="C51" s="170"/>
      <c r="G51" s="7"/>
      <c r="H51" s="6"/>
      <c r="I51" s="6">
        <f>+I50/D50</f>
        <v>27.000000000000007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208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208</v>
      </c>
      <c r="D2" s="96" t="s">
        <v>3</v>
      </c>
      <c r="E2" s="95" t="s">
        <v>205</v>
      </c>
      <c r="F2" s="94" t="s">
        <v>5</v>
      </c>
      <c r="G2" s="93">
        <v>2933.2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44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66.663636363636357</v>
      </c>
      <c r="F4" s="81" t="s">
        <v>12</v>
      </c>
      <c r="G4" s="80">
        <f>G2*G3</f>
        <v>76996.5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-1.3924048632641517E-2</v>
      </c>
      <c r="F6" s="69" t="s">
        <v>16</v>
      </c>
      <c r="G6" s="68">
        <f>(I50-I19)/(D50-(SUM(D42:D44)+D19))</f>
        <v>31.654538727183045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 t="e">
        <f t="shared" ref="E10:E19" si="1">D10/$D$19</f>
        <v>#DIV/0!</v>
      </c>
      <c r="F10" s="28">
        <f t="shared" ref="F10:F18" si="2">C10-(C10*$E$6)</f>
        <v>26.666202479038471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 t="e">
        <f t="shared" si="1"/>
        <v>#DIV/0!</v>
      </c>
      <c r="F11" s="28">
        <f t="shared" si="2"/>
        <v>27.680126527671113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 t="e">
        <f t="shared" si="1"/>
        <v>#DIV/0!</v>
      </c>
      <c r="F12" s="28">
        <f t="shared" si="2"/>
        <v>25.348101215816037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 t="e">
        <f t="shared" si="1"/>
        <v>#DIV/0!</v>
      </c>
      <c r="F13" s="28">
        <f t="shared" si="2"/>
        <v>27.680126527671113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 t="e">
        <f t="shared" si="1"/>
        <v>#DIV/0!</v>
      </c>
      <c r="F14" s="28">
        <f t="shared" si="2"/>
        <v>31.026075888158832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25.550886025542564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 t="e">
        <f t="shared" si="1"/>
        <v>#DIV/0!</v>
      </c>
      <c r="F16" s="28">
        <f t="shared" si="2"/>
        <v>34.980379677826136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 t="e">
        <f t="shared" si="1"/>
        <v>#DIV/0!</v>
      </c>
      <c r="F17" s="28">
        <f t="shared" si="2"/>
        <v>51.507341670538189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 t="e">
        <f t="shared" si="1"/>
        <v>#DIV/0!</v>
      </c>
      <c r="F18" s="28">
        <f t="shared" si="2"/>
        <v>45.119620164152551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37.799999999999997</v>
      </c>
      <c r="E21" s="29">
        <f>D21/$D$48</f>
        <v>1.2886949406791217E-2</v>
      </c>
      <c r="F21" s="28">
        <f>C21-(C21*$E$6)</f>
        <v>66.918987209754334</v>
      </c>
      <c r="G21" s="27" t="str">
        <f>IF(C21&gt;=F21,"-","+")</f>
        <v>+</v>
      </c>
      <c r="H21" s="26">
        <f>C21*D21</f>
        <v>2494.7999999999997</v>
      </c>
      <c r="I21" s="26">
        <f>F21*D21</f>
        <v>2529.5377165287136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87.8</v>
      </c>
      <c r="E22" s="29">
        <f>D22/$D$48</f>
        <v>2.9933178780853675E-2</v>
      </c>
      <c r="F22" s="28">
        <f>C22-(C22*$E$6)</f>
        <v>44.916835354426013</v>
      </c>
      <c r="G22" s="27" t="str">
        <f>IF(C22&gt;=F22,"-","+")</f>
        <v>+</v>
      </c>
      <c r="H22" s="26">
        <f>C22*D22</f>
        <v>3889.5399999999995</v>
      </c>
      <c r="I22" s="26">
        <f>F22*D22</f>
        <v>3943.698144118604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73.400000000000006</v>
      </c>
      <c r="E23" s="29">
        <f>D23/$D$48</f>
        <v>2.5023864721123692E-2</v>
      </c>
      <c r="F23" s="28">
        <f>C23-(C23*$E$6)</f>
        <v>40.962531564758713</v>
      </c>
      <c r="G23" s="27" t="str">
        <f>IF(C23&gt;=F23,"-","+")</f>
        <v>+</v>
      </c>
      <c r="H23" s="26">
        <f>C23*D23</f>
        <v>2965.36</v>
      </c>
      <c r="I23" s="26">
        <f>F23*D23</f>
        <v>3006.6498168532898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46.983417085427128</v>
      </c>
      <c r="D24" s="22">
        <f>SUM(D21:D23)</f>
        <v>199</v>
      </c>
      <c r="E24" s="21">
        <f>D24/$D$48</f>
        <v>6.784399290876858E-2</v>
      </c>
      <c r="F24" s="20">
        <f>I24/D24</f>
        <v>47.63761646985229</v>
      </c>
      <c r="G24" s="19">
        <f>F24/C24-1</f>
        <v>1.3924048632641295E-2</v>
      </c>
      <c r="H24" s="18">
        <f>SUM(H21:H23)</f>
        <v>9349.6999999999989</v>
      </c>
      <c r="I24" s="18">
        <f>SUM(I21:I23)</f>
        <v>9479.8856775006061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v>581</v>
      </c>
      <c r="E26" s="29">
        <f t="shared" ref="E26:E32" si="7">D26/$D$48</f>
        <v>0.19807718532660576</v>
      </c>
      <c r="F26" s="28">
        <f t="shared" ref="F26:F31" si="8">C26-(C26*$E$6)</f>
        <v>35.690126511868982</v>
      </c>
      <c r="G26" s="27" t="str">
        <f t="shared" ref="G26:G31" si="9">IF(C26&gt;=F26,"-","+")</f>
        <v>+</v>
      </c>
      <c r="H26" s="26">
        <f t="shared" ref="H26:H31" si="10">C26*D26</f>
        <v>20451.2</v>
      </c>
      <c r="I26" s="26">
        <f t="shared" ref="I26:I31" si="11">F26*D26</f>
        <v>20735.96350339588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442.4</v>
      </c>
      <c r="E27" s="29">
        <f t="shared" si="7"/>
        <v>0.15082503750170462</v>
      </c>
      <c r="F27" s="28">
        <f t="shared" si="8"/>
        <v>31.837215127064944</v>
      </c>
      <c r="G27" s="27" t="str">
        <f t="shared" si="9"/>
        <v>+</v>
      </c>
      <c r="H27" s="26">
        <f t="shared" si="10"/>
        <v>13891.359999999999</v>
      </c>
      <c r="I27" s="26">
        <f t="shared" si="11"/>
        <v>14084.78397221353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297.8</v>
      </c>
      <c r="E28" s="29">
        <f t="shared" si="7"/>
        <v>0.101527342151916</v>
      </c>
      <c r="F28" s="28">
        <f t="shared" si="8"/>
        <v>31.837215127064944</v>
      </c>
      <c r="G28" s="27" t="str">
        <f t="shared" si="9"/>
        <v>+</v>
      </c>
      <c r="H28" s="26">
        <f t="shared" si="10"/>
        <v>9350.92</v>
      </c>
      <c r="I28" s="26">
        <f t="shared" si="11"/>
        <v>9481.1226648399406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215.8</v>
      </c>
      <c r="E29" s="29">
        <f t="shared" si="7"/>
        <v>7.3571525978453581E-2</v>
      </c>
      <c r="F29" s="28">
        <f t="shared" si="8"/>
        <v>30.72189867356904</v>
      </c>
      <c r="G29" s="27" t="str">
        <f t="shared" si="9"/>
        <v>+</v>
      </c>
      <c r="H29" s="26">
        <f t="shared" si="10"/>
        <v>6538.7400000000007</v>
      </c>
      <c r="I29" s="26">
        <f t="shared" si="11"/>
        <v>6629.7857337561991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193.4</v>
      </c>
      <c r="E30" s="29">
        <f t="shared" si="7"/>
        <v>6.5934815218873594E-2</v>
      </c>
      <c r="F30" s="28">
        <f t="shared" si="8"/>
        <v>30.72189867356904</v>
      </c>
      <c r="G30" s="27" t="str">
        <f t="shared" si="9"/>
        <v>+</v>
      </c>
      <c r="H30" s="26">
        <f t="shared" si="10"/>
        <v>5860.02</v>
      </c>
      <c r="I30" s="26">
        <f t="shared" si="11"/>
        <v>5941.6152034682527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81.2</v>
      </c>
      <c r="E31" s="29">
        <f t="shared" si="7"/>
        <v>2.7683076503477434E-2</v>
      </c>
      <c r="F31" s="28">
        <f t="shared" si="8"/>
        <v>31.228860697885359</v>
      </c>
      <c r="G31" s="27" t="str">
        <f t="shared" si="9"/>
        <v>+</v>
      </c>
      <c r="H31" s="26">
        <f t="shared" si="10"/>
        <v>2500.96</v>
      </c>
      <c r="I31" s="26">
        <f t="shared" si="11"/>
        <v>2535.7834886682913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32.343342901302705</v>
      </c>
      <c r="D32" s="22">
        <f>SUM(D26:D31)</f>
        <v>1811.6000000000001</v>
      </c>
      <c r="E32" s="21">
        <f t="shared" si="7"/>
        <v>0.61761898268103099</v>
      </c>
      <c r="F32" s="20">
        <f>I32/D32</f>
        <v>32.793693180802656</v>
      </c>
      <c r="G32" s="19">
        <f>F32/C32-1</f>
        <v>1.3924048632641961E-2</v>
      </c>
      <c r="H32" s="18">
        <f>SUM(H26:H31)</f>
        <v>58593.19999999999</v>
      </c>
      <c r="I32" s="18">
        <f>SUM(I26:I31)</f>
        <v>59409.054566342093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421.4</v>
      </c>
      <c r="E34" s="29">
        <f t="shared" ref="E34:E40" si="13">D34/$D$48</f>
        <v>0.14366562116459838</v>
      </c>
      <c r="F34" s="28">
        <f t="shared" ref="F34:F39" si="14">C34-(C34*$E$6)</f>
        <v>18.757594899703868</v>
      </c>
      <c r="G34" s="27" t="str">
        <f t="shared" ref="G34:G39" si="15">IF(C34&gt;=F34,"-","+")</f>
        <v>+</v>
      </c>
      <c r="H34" s="26">
        <f t="shared" ref="H34:H39" si="16">C34*D34</f>
        <v>7795.9</v>
      </c>
      <c r="I34" s="26">
        <f t="shared" ref="I34:I39" si="17">F34*D34</f>
        <v>7904.4504907352093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14.499113895446774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11.660126559275378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30.72189867356904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30.72189867356904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31.837215127064944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</v>
      </c>
      <c r="D40" s="22">
        <f>SUM(D34:D39)</f>
        <v>421.4</v>
      </c>
      <c r="E40" s="21">
        <f t="shared" si="13"/>
        <v>0.14366562116459838</v>
      </c>
      <c r="F40" s="20">
        <f>I40/D40</f>
        <v>18.757594899703868</v>
      </c>
      <c r="G40" s="19">
        <f>F40/C40-1</f>
        <v>1.3924048632641517E-2</v>
      </c>
      <c r="H40" s="18">
        <f>SUM(H34:H39)</f>
        <v>7795.9</v>
      </c>
      <c r="I40" s="18">
        <f>SUM(I34:I39)</f>
        <v>7904.4504907352093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480</v>
      </c>
      <c r="E42" s="107">
        <f>D42/$D$48</f>
        <v>0.16364380199099959</v>
      </c>
      <c r="F42" s="28">
        <f>C42-(C42*$E$6)</f>
        <v>0.40556961945305664</v>
      </c>
      <c r="G42" s="27" t="str">
        <f>IF(C42&gt;=F42,"-","+")</f>
        <v>+</v>
      </c>
      <c r="H42" s="26">
        <f>C42*D42</f>
        <v>192</v>
      </c>
      <c r="I42" s="26">
        <f>F42*D42</f>
        <v>194.67341733746719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20.8</v>
      </c>
      <c r="E43" s="107">
        <f>D43/$D$48</f>
        <v>7.091231419609983E-3</v>
      </c>
      <c r="F43" s="28">
        <f>C43-(C43*$E$6)</f>
        <v>0.40556961945305664</v>
      </c>
      <c r="G43" s="27" t="str">
        <f>IF(C43&gt;=F43,"-","+")</f>
        <v>+</v>
      </c>
      <c r="H43" s="26">
        <f>C43*D43</f>
        <v>8.32</v>
      </c>
      <c r="I43" s="26">
        <f>F43*D43</f>
        <v>8.4358480846235793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0.4</v>
      </c>
      <c r="E45" s="107">
        <f>D45/$D$48</f>
        <v>1.3636983499249968E-4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0.39968076616121306</v>
      </c>
      <c r="D46" s="22">
        <f>SUM(D41:D45)</f>
        <v>501.2</v>
      </c>
      <c r="E46" s="21">
        <f>D46/$D$48</f>
        <v>0.17087140324560207</v>
      </c>
      <c r="F46" s="20">
        <f>I46/D46</f>
        <v>0.40524594058677332</v>
      </c>
      <c r="G46" s="19">
        <f>F46/C46-1</f>
        <v>1.3924048632641739E-2</v>
      </c>
      <c r="H46" s="18">
        <f>SUM(H41:H44)</f>
        <v>200.32</v>
      </c>
      <c r="I46" s="18">
        <f>SUM(I41:I44)</f>
        <v>203.10926542209077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98.226440752891037</v>
      </c>
      <c r="D48" s="13">
        <f>D24+D32+D40+D46</f>
        <v>2933.2</v>
      </c>
      <c r="E48" s="12">
        <f>SUM(E20:E46)/2</f>
        <v>1</v>
      </c>
      <c r="F48" s="11">
        <f>I48/D48</f>
        <v>26.250000000000007</v>
      </c>
      <c r="G48" s="10"/>
      <c r="H48" s="9">
        <f>SUM(H20:H46)/2</f>
        <v>75939.12</v>
      </c>
      <c r="I48" s="9">
        <f>SUM(I20:I46)/2</f>
        <v>76996.500000000015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2933.1999999999994</v>
      </c>
      <c r="E50" s="12">
        <f>D50/G2</f>
        <v>0.99999999999999989</v>
      </c>
      <c r="F50" s="11">
        <f>I50/D50</f>
        <v>26.250000000000011</v>
      </c>
      <c r="G50" s="10"/>
      <c r="H50" s="9">
        <f>H48+H19</f>
        <v>75939.12</v>
      </c>
      <c r="I50" s="9">
        <f>I48+I19</f>
        <v>76996.500000000015</v>
      </c>
      <c r="J50" s="106">
        <f>D50-G2</f>
        <v>0</v>
      </c>
      <c r="K50" s="8"/>
    </row>
    <row r="51" spans="1:11" ht="23.25" x14ac:dyDescent="0.35">
      <c r="A51" s="174" t="s">
        <v>210</v>
      </c>
      <c r="B51" s="169"/>
      <c r="C51" s="170"/>
      <c r="G51" s="7"/>
      <c r="H51" s="6"/>
      <c r="I51" s="6">
        <f>+I50/D50</f>
        <v>26.250000000000011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208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208</v>
      </c>
      <c r="D2" s="96" t="s">
        <v>3</v>
      </c>
      <c r="E2" s="95" t="s">
        <v>205</v>
      </c>
      <c r="F2" s="94" t="s">
        <v>5</v>
      </c>
      <c r="G2" s="93">
        <v>8207.2999999999993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120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68.394166666666663</v>
      </c>
      <c r="F4" s="81" t="s">
        <v>12</v>
      </c>
      <c r="G4" s="80">
        <f>G2*G3</f>
        <v>215441.62499999997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-1.2207746724655077E-3</v>
      </c>
      <c r="F6" s="69" t="s">
        <v>16</v>
      </c>
      <c r="G6" s="68">
        <f>(I50-I19)/(D50-(SUM(D42:D44)+D19))</f>
        <v>31.421370544467038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>
        <f t="shared" ref="E10:E19" si="1">D10/$D$19</f>
        <v>0</v>
      </c>
      <c r="F10" s="28">
        <f t="shared" ref="F10:F18" si="2">C10-(C10*$E$6)</f>
        <v>26.332106373885843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>
        <f t="shared" si="1"/>
        <v>0</v>
      </c>
      <c r="F11" s="28">
        <f t="shared" si="2"/>
        <v>27.333327148558308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>
        <v>380.5</v>
      </c>
      <c r="E12" s="29">
        <f t="shared" si="1"/>
        <v>0.64601018675721567</v>
      </c>
      <c r="F12" s="28">
        <f t="shared" si="2"/>
        <v>25.030519366811639</v>
      </c>
      <c r="G12" s="27" t="str">
        <f t="shared" si="3"/>
        <v>+</v>
      </c>
      <c r="H12" s="34">
        <f t="shared" si="4"/>
        <v>9512.5</v>
      </c>
      <c r="I12" s="34">
        <f t="shared" si="5"/>
        <v>9524.1126190718278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>
        <v>137.5</v>
      </c>
      <c r="E13" s="29">
        <f t="shared" si="1"/>
        <v>0.23344651952461801</v>
      </c>
      <c r="F13" s="28">
        <f t="shared" si="2"/>
        <v>27.333327148558308</v>
      </c>
      <c r="G13" s="27" t="str">
        <f t="shared" si="3"/>
        <v>+</v>
      </c>
      <c r="H13" s="34">
        <f t="shared" si="4"/>
        <v>3753.75</v>
      </c>
      <c r="I13" s="34">
        <f t="shared" si="5"/>
        <v>3758.3324829267672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>
        <f t="shared" si="1"/>
        <v>0</v>
      </c>
      <c r="F14" s="28">
        <f t="shared" si="2"/>
        <v>30.637355704977445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>
        <v>71</v>
      </c>
      <c r="E15" s="29">
        <f t="shared" si="1"/>
        <v>0.12054329371816638</v>
      </c>
      <c r="F15" s="28">
        <f t="shared" si="2"/>
        <v>25.23076352174613</v>
      </c>
      <c r="G15" s="27" t="str">
        <f t="shared" si="3"/>
        <v>+</v>
      </c>
      <c r="H15" s="34">
        <f t="shared" si="4"/>
        <v>1789.2</v>
      </c>
      <c r="I15" s="34">
        <f t="shared" si="5"/>
        <v>1791.3842100439751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>
        <f t="shared" si="1"/>
        <v>0</v>
      </c>
      <c r="F16" s="28">
        <f t="shared" si="2"/>
        <v>34.542116726200057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>
        <f t="shared" si="1"/>
        <v>0</v>
      </c>
      <c r="F17" s="28">
        <f t="shared" si="2"/>
        <v>50.862015353361244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>
        <f t="shared" si="1"/>
        <v>0</v>
      </c>
      <c r="F18" s="28">
        <f t="shared" si="2"/>
        <v>44.554324472924712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25.561035653650254</v>
      </c>
      <c r="D19" s="49">
        <f>SUM(D10:D18)</f>
        <v>589</v>
      </c>
      <c r="E19" s="48">
        <f t="shared" si="1"/>
        <v>1</v>
      </c>
      <c r="F19" s="47">
        <f>I19/D19</f>
        <v>25.592239918578215</v>
      </c>
      <c r="G19" s="46">
        <f>F19/C19-1</f>
        <v>1.2207746724652857E-3</v>
      </c>
      <c r="H19" s="9">
        <f>SUM(H10:H18)</f>
        <v>15055.45</v>
      </c>
      <c r="I19" s="9">
        <f>SUM(I10:I18)</f>
        <v>15073.82931204257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102.4</v>
      </c>
      <c r="E21" s="29">
        <f>D21/$D$48</f>
        <v>1.3441318929419951E-2</v>
      </c>
      <c r="F21" s="28">
        <f>C21-(C21*$E$6)</f>
        <v>66.080571128382729</v>
      </c>
      <c r="G21" s="27" t="str">
        <f>IF(C21&gt;=F21,"-","+")</f>
        <v>+</v>
      </c>
      <c r="H21" s="26">
        <f>C21*D21</f>
        <v>6758.4000000000005</v>
      </c>
      <c r="I21" s="26">
        <f>F21*D21</f>
        <v>6766.650483546392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238.2</v>
      </c>
      <c r="E22" s="29">
        <f>D22/$D$48</f>
        <v>3.1266818056521796E-2</v>
      </c>
      <c r="F22" s="28">
        <f>C22-(C22*$E$6)</f>
        <v>44.354080317990217</v>
      </c>
      <c r="G22" s="27" t="str">
        <f>IF(C22&gt;=F22,"-","+")</f>
        <v>+</v>
      </c>
      <c r="H22" s="26">
        <f>C22*D22</f>
        <v>10552.259999999998</v>
      </c>
      <c r="I22" s="26">
        <f>F22*D22</f>
        <v>10565.141931745269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220</v>
      </c>
      <c r="E23" s="29">
        <f>D23/$D$48</f>
        <v>2.8877833637425677E-2</v>
      </c>
      <c r="F23" s="28">
        <f>C23-(C23*$E$6)</f>
        <v>40.449319296767605</v>
      </c>
      <c r="G23" s="27" t="str">
        <f>IF(C23&gt;=F23,"-","+")</f>
        <v>+</v>
      </c>
      <c r="H23" s="26">
        <f>C23*D23</f>
        <v>8888</v>
      </c>
      <c r="I23" s="26">
        <f>F23*D23</f>
        <v>8898.8502452888733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46.73325008919015</v>
      </c>
      <c r="D24" s="22">
        <f>SUM(D21:D23)</f>
        <v>560.6</v>
      </c>
      <c r="E24" s="21">
        <f>D24/$D$48</f>
        <v>7.3585970623367428E-2</v>
      </c>
      <c r="F24" s="20">
        <f>I24/D24</f>
        <v>46.790300857261023</v>
      </c>
      <c r="G24" s="19">
        <f>F24/C24-1</f>
        <v>1.2207746724652857E-3</v>
      </c>
      <c r="H24" s="18">
        <f>SUM(H21:H23)</f>
        <v>26198.66</v>
      </c>
      <c r="I24" s="18">
        <f>SUM(I21:I23)</f>
        <v>26230.642660580532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f>147+49+1348.4</f>
        <v>1544.4</v>
      </c>
      <c r="E26" s="29">
        <f t="shared" ref="E26:E32" si="7">D26/$D$48</f>
        <v>0.20272239213472826</v>
      </c>
      <c r="F26" s="28">
        <f t="shared" ref="F26:F31" si="8">C26-(C26*$E$6)</f>
        <v>35.242971268470789</v>
      </c>
      <c r="G26" s="27" t="str">
        <f t="shared" ref="G26:G31" si="9">IF(C26&gt;=F26,"-","+")</f>
        <v>+</v>
      </c>
      <c r="H26" s="26">
        <f t="shared" ref="H26:H31" si="10">C26*D26</f>
        <v>54362.880000000005</v>
      </c>
      <c r="I26" s="26">
        <f t="shared" ref="I26:I31" si="11">F26*D26</f>
        <v>54429.24482702629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1077</v>
      </c>
      <c r="E27" s="29">
        <f t="shared" si="7"/>
        <v>0.14137012194321569</v>
      </c>
      <c r="F27" s="28">
        <f t="shared" si="8"/>
        <v>31.438332324715415</v>
      </c>
      <c r="G27" s="27" t="str">
        <f t="shared" si="9"/>
        <v>+</v>
      </c>
      <c r="H27" s="26">
        <f t="shared" si="10"/>
        <v>33817.799999999996</v>
      </c>
      <c r="I27" s="26">
        <f t="shared" si="11"/>
        <v>33859.083913718503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787.8</v>
      </c>
      <c r="E28" s="29">
        <f t="shared" si="7"/>
        <v>0.10340889699801793</v>
      </c>
      <c r="F28" s="28">
        <f t="shared" si="8"/>
        <v>31.438332324715415</v>
      </c>
      <c r="G28" s="27" t="str">
        <f t="shared" si="9"/>
        <v>+</v>
      </c>
      <c r="H28" s="26">
        <f t="shared" si="10"/>
        <v>24736.92</v>
      </c>
      <c r="I28" s="26">
        <f t="shared" si="11"/>
        <v>24767.118205410803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789.6</v>
      </c>
      <c r="E29" s="29">
        <f t="shared" si="7"/>
        <v>0.10364517018232415</v>
      </c>
      <c r="F29" s="28">
        <f t="shared" si="8"/>
        <v>30.336989472575706</v>
      </c>
      <c r="G29" s="27" t="str">
        <f t="shared" si="9"/>
        <v>+</v>
      </c>
      <c r="H29" s="26">
        <f t="shared" si="10"/>
        <v>23924.880000000001</v>
      </c>
      <c r="I29" s="26">
        <f t="shared" si="11"/>
        <v>23954.086887545778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550</v>
      </c>
      <c r="E30" s="29">
        <f t="shared" si="7"/>
        <v>7.219458409356419E-2</v>
      </c>
      <c r="F30" s="28">
        <f t="shared" si="8"/>
        <v>30.336989472575706</v>
      </c>
      <c r="G30" s="27" t="str">
        <f t="shared" si="9"/>
        <v>+</v>
      </c>
      <c r="H30" s="26">
        <f t="shared" si="10"/>
        <v>16665</v>
      </c>
      <c r="I30" s="26">
        <f t="shared" si="11"/>
        <v>16685.344209916639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31.4</v>
      </c>
      <c r="E31" s="29">
        <f t="shared" si="7"/>
        <v>4.1216544373416644E-3</v>
      </c>
      <c r="F31" s="28">
        <f t="shared" si="8"/>
        <v>30.83759985991194</v>
      </c>
      <c r="G31" s="27" t="str">
        <f t="shared" si="9"/>
        <v>+</v>
      </c>
      <c r="H31" s="26">
        <f t="shared" si="10"/>
        <v>967.12</v>
      </c>
      <c r="I31" s="26">
        <f t="shared" si="11"/>
        <v>968.30063560123483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32.315509811304963</v>
      </c>
      <c r="D32" s="22">
        <f>SUM(D26:D31)</f>
        <v>4780.2</v>
      </c>
      <c r="E32" s="21">
        <f t="shared" si="7"/>
        <v>0.62746281978919183</v>
      </c>
      <c r="F32" s="20">
        <f>I32/D32</f>
        <v>32.354959767210417</v>
      </c>
      <c r="G32" s="19">
        <f>F32/C32-1</f>
        <v>1.2207746724655077E-3</v>
      </c>
      <c r="H32" s="18">
        <f>SUM(H26:H31)</f>
        <v>154474.59999999998</v>
      </c>
      <c r="I32" s="18">
        <f>SUM(I26:I31)</f>
        <v>154663.17867921924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1000</v>
      </c>
      <c r="E34" s="29">
        <f t="shared" ref="E34:E40" si="13">D34/$D$48</f>
        <v>0.1312628801701167</v>
      </c>
      <c r="F34" s="28">
        <f t="shared" ref="F34:F39" si="14">C34-(C34*$E$6)</f>
        <v>18.522584331440612</v>
      </c>
      <c r="G34" s="27" t="str">
        <f t="shared" ref="G34:G39" si="15">IF(C34&gt;=F34,"-","+")</f>
        <v>+</v>
      </c>
      <c r="H34" s="26">
        <f t="shared" ref="H34:H39" si="16">C34*D34</f>
        <v>18500</v>
      </c>
      <c r="I34" s="26">
        <f t="shared" ref="I34:I39" si="17">F34*D34</f>
        <v>18522.584331440612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32.1</v>
      </c>
      <c r="E35" s="29">
        <f t="shared" si="13"/>
        <v>4.2135384534607466E-3</v>
      </c>
      <c r="F35" s="28">
        <f t="shared" si="14"/>
        <v>14.317457077816258</v>
      </c>
      <c r="G35" s="27" t="str">
        <f t="shared" si="15"/>
        <v>+</v>
      </c>
      <c r="H35" s="26">
        <f t="shared" si="16"/>
        <v>459.03000000000003</v>
      </c>
      <c r="I35" s="26">
        <f t="shared" si="17"/>
        <v>459.5903721979019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11.514038908733353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30.336989472575706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30.336989472575706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31.438332324715415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18.369373122759423</v>
      </c>
      <c r="D40" s="22">
        <f>SUM(D34:D39)</f>
        <v>1032.0999999999999</v>
      </c>
      <c r="E40" s="21">
        <f t="shared" si="13"/>
        <v>0.13547641862357743</v>
      </c>
      <c r="F40" s="20">
        <f>I40/D40</f>
        <v>18.391797988216759</v>
      </c>
      <c r="G40" s="19">
        <f>F40/C40-1</f>
        <v>1.2207746724655077E-3</v>
      </c>
      <c r="H40" s="18">
        <f>SUM(H34:H39)</f>
        <v>18959.03</v>
      </c>
      <c r="I40" s="18">
        <f>SUM(I34:I39)</f>
        <v>18982.174703638513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1175</v>
      </c>
      <c r="E42" s="107">
        <f>D42/$D$48</f>
        <v>0.15423388419988712</v>
      </c>
      <c r="F42" s="28">
        <f>C42-(C42*$E$6)</f>
        <v>0.4004883098689862</v>
      </c>
      <c r="G42" s="27" t="str">
        <f>IF(C42&gt;=F42,"-","+")</f>
        <v>+</v>
      </c>
      <c r="H42" s="26">
        <f>C42*D42</f>
        <v>470</v>
      </c>
      <c r="I42" s="26">
        <f>F42*D42</f>
        <v>470.57376409605877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53</v>
      </c>
      <c r="E43" s="107">
        <f>D43/$D$48</f>
        <v>6.9569326490161853E-3</v>
      </c>
      <c r="F43" s="28">
        <f>C43-(C43*$E$6)</f>
        <v>0.4004883098689862</v>
      </c>
      <c r="G43" s="27" t="str">
        <f>IF(C43&gt;=F43,"-","+")</f>
        <v>+</v>
      </c>
      <c r="H43" s="26">
        <f>C43*D43</f>
        <v>21.200000000000003</v>
      </c>
      <c r="I43" s="26">
        <f>F43*D43</f>
        <v>21.225880423056267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13.5</v>
      </c>
      <c r="E44" s="107">
        <f>D44/$D$48</f>
        <v>1.7720488822965755E-3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3.9</v>
      </c>
      <c r="E45" s="107">
        <f>D45/$D$48</f>
        <v>5.1192523266345511E-4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0.39441143407740481</v>
      </c>
      <c r="D46" s="22">
        <f>SUM(D41:D45)</f>
        <v>1245.4000000000001</v>
      </c>
      <c r="E46" s="21">
        <f>D46/$D$48</f>
        <v>0.16347479096386336</v>
      </c>
      <c r="F46" s="20">
        <f>I46/D46</f>
        <v>0.39489292156665728</v>
      </c>
      <c r="G46" s="19">
        <f>F46/C46-1</f>
        <v>1.2207746724655077E-3</v>
      </c>
      <c r="H46" s="18">
        <f>SUM(H41:H44)</f>
        <v>491.2</v>
      </c>
      <c r="I46" s="18">
        <f>SUM(I41:I44)</f>
        <v>491.79964451911502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97.812544457331938</v>
      </c>
      <c r="D48" s="13">
        <f>D24+D32+D40+D46</f>
        <v>7618.2999999999993</v>
      </c>
      <c r="E48" s="12">
        <f>SUM(E20:E46)/2</f>
        <v>1.0000000000000002</v>
      </c>
      <c r="F48" s="11">
        <f>I48/D48</f>
        <v>26.300853955338784</v>
      </c>
      <c r="G48" s="10"/>
      <c r="H48" s="9">
        <f>SUM(H20:H46)/2</f>
        <v>200123.49</v>
      </c>
      <c r="I48" s="9">
        <f>SUM(I20:I46)/2</f>
        <v>200367.79568795743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8207.3000000000011</v>
      </c>
      <c r="E50" s="12">
        <f>D50/G2</f>
        <v>1.0000000000000002</v>
      </c>
      <c r="F50" s="11">
        <f>I50/D50</f>
        <v>26.249999999999996</v>
      </c>
      <c r="G50" s="10"/>
      <c r="H50" s="9">
        <f>H48+H19</f>
        <v>215178.94</v>
      </c>
      <c r="I50" s="9">
        <f>I48+I19</f>
        <v>215441.625</v>
      </c>
      <c r="J50" s="106">
        <f>D50-G2</f>
        <v>0</v>
      </c>
      <c r="K50" s="8"/>
    </row>
    <row r="51" spans="1:11" ht="23.25" x14ac:dyDescent="0.35">
      <c r="A51" s="174" t="s">
        <v>211</v>
      </c>
      <c r="B51" s="169"/>
      <c r="C51" s="170"/>
      <c r="G51" s="7"/>
      <c r="H51" s="6"/>
      <c r="I51" s="6">
        <f>+I50/D50</f>
        <v>26.249999999999996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208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208</v>
      </c>
      <c r="D2" s="96" t="s">
        <v>3</v>
      </c>
      <c r="E2" s="95" t="s">
        <v>71</v>
      </c>
      <c r="F2" s="94" t="s">
        <v>5</v>
      </c>
      <c r="G2" s="93">
        <v>437.9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8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54.737499999999997</v>
      </c>
      <c r="F4" s="81" t="s">
        <v>12</v>
      </c>
      <c r="G4" s="80">
        <f>G2*G3</f>
        <v>11494.875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-4.2000935499485914E-2</v>
      </c>
      <c r="F6" s="69" t="s">
        <v>16</v>
      </c>
      <c r="G6" s="68">
        <f>(I50-I19)/(D50-(SUM(D42:D44)+D19))</f>
        <v>32.325295275590541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 t="e">
        <f t="shared" ref="E10:E19" si="1">D10/$D$19</f>
        <v>#DIV/0!</v>
      </c>
      <c r="F10" s="28">
        <f t="shared" ref="F10:F18" si="2">C10-(C10*$E$6)</f>
        <v>27.404624603636481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 t="e">
        <f t="shared" si="1"/>
        <v>#DIV/0!</v>
      </c>
      <c r="F11" s="28">
        <f t="shared" si="2"/>
        <v>28.446625539135965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 t="e">
        <f t="shared" si="1"/>
        <v>#DIV/0!</v>
      </c>
      <c r="F12" s="28">
        <f t="shared" si="2"/>
        <v>26.050023387487148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 t="e">
        <f t="shared" si="1"/>
        <v>#DIV/0!</v>
      </c>
      <c r="F13" s="28">
        <f t="shared" si="2"/>
        <v>28.446625539135965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 t="e">
        <f t="shared" si="1"/>
        <v>#DIV/0!</v>
      </c>
      <c r="F14" s="28">
        <f t="shared" si="2"/>
        <v>31.88522862628427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26.258423574587045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 t="e">
        <f t="shared" si="1"/>
        <v>#DIV/0!</v>
      </c>
      <c r="F16" s="28">
        <f t="shared" si="2"/>
        <v>35.949032274732261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 t="e">
        <f t="shared" si="1"/>
        <v>#DIV/0!</v>
      </c>
      <c r="F17" s="28">
        <f t="shared" si="2"/>
        <v>52.933647523373878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 t="e">
        <f t="shared" si="1"/>
        <v>#DIV/0!</v>
      </c>
      <c r="F18" s="28">
        <f t="shared" si="2"/>
        <v>46.369041629727121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3.4</v>
      </c>
      <c r="E21" s="29">
        <f>D21/$D$48</f>
        <v>7.7572438968742854E-3</v>
      </c>
      <c r="F21" s="28">
        <f>C21-(C21*$E$6)</f>
        <v>68.772061742966073</v>
      </c>
      <c r="G21" s="27" t="str">
        <f>IF(C21&gt;=F21,"-","+")</f>
        <v>+</v>
      </c>
      <c r="H21" s="26">
        <f>C21*D21</f>
        <v>224.4</v>
      </c>
      <c r="I21" s="26">
        <f>F21*D21</f>
        <v>233.82500992608465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14.6</v>
      </c>
      <c r="E22" s="29">
        <f>D22/$D$48</f>
        <v>3.3310517910107224E-2</v>
      </c>
      <c r="F22" s="28">
        <f>C22-(C22*$E$6)</f>
        <v>46.160641442627224</v>
      </c>
      <c r="G22" s="27" t="str">
        <f>IF(C22&gt;=F22,"-","+")</f>
        <v>+</v>
      </c>
      <c r="H22" s="26">
        <f>C22*D22</f>
        <v>646.78</v>
      </c>
      <c r="I22" s="26">
        <f>F22*D22</f>
        <v>673.9453650623575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6.3</v>
      </c>
      <c r="E23" s="29">
        <f>D23/$D$48</f>
        <v>1.437371663244353E-2</v>
      </c>
      <c r="F23" s="28">
        <f>C23-(C23*$E$6)</f>
        <v>42.09683779417923</v>
      </c>
      <c r="G23" s="27" t="str">
        <f>IF(C23&gt;=F23,"-","+")</f>
        <v>+</v>
      </c>
      <c r="H23" s="26">
        <f>C23*D23</f>
        <v>254.51999999999998</v>
      </c>
      <c r="I23" s="26">
        <f>F23*D23</f>
        <v>265.21007810332912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46.325102880658427</v>
      </c>
      <c r="D24" s="22">
        <f>SUM(D21:D23)</f>
        <v>24.3</v>
      </c>
      <c r="E24" s="21">
        <f>D24/$D$48</f>
        <v>5.5441478439425047E-2</v>
      </c>
      <c r="F24" s="20">
        <f>I24/D24</f>
        <v>48.270800538756021</v>
      </c>
      <c r="G24" s="19">
        <f>F24/C24-1</f>
        <v>4.2000935499486136E-2</v>
      </c>
      <c r="H24" s="18">
        <f>SUM(H21:H23)</f>
        <v>1125.6999999999998</v>
      </c>
      <c r="I24" s="18">
        <f>SUM(I21:I23)</f>
        <v>1172.9804530917713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v>91.1</v>
      </c>
      <c r="E26" s="29">
        <f t="shared" ref="E26:E32" si="7">D26/$D$48</f>
        <v>0.20784850558977863</v>
      </c>
      <c r="F26" s="28">
        <f t="shared" ref="F26:F31" si="8">C26-(C26*$E$6)</f>
        <v>36.678432929581909</v>
      </c>
      <c r="G26" s="27" t="str">
        <f t="shared" ref="G26:G31" si="9">IF(C26&gt;=F26,"-","+")</f>
        <v>+</v>
      </c>
      <c r="H26" s="26">
        <f t="shared" ref="H26:H31" si="10">C26*D26</f>
        <v>3206.7200000000003</v>
      </c>
      <c r="I26" s="26">
        <f t="shared" ref="I26:I31" si="11">F26*D26</f>
        <v>3341.4052398849117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61</v>
      </c>
      <c r="E27" s="29">
        <f t="shared" si="7"/>
        <v>0.13917408167921513</v>
      </c>
      <c r="F27" s="28">
        <f t="shared" si="8"/>
        <v>32.718829374683857</v>
      </c>
      <c r="G27" s="27" t="str">
        <f t="shared" si="9"/>
        <v>+</v>
      </c>
      <c r="H27" s="26">
        <f t="shared" si="10"/>
        <v>1915.3999999999999</v>
      </c>
      <c r="I27" s="26">
        <f t="shared" si="11"/>
        <v>1995.8485918557153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46</v>
      </c>
      <c r="E28" s="29">
        <f t="shared" si="7"/>
        <v>0.10495094684006387</v>
      </c>
      <c r="F28" s="28">
        <f t="shared" si="8"/>
        <v>32.718829374683857</v>
      </c>
      <c r="G28" s="27" t="str">
        <f t="shared" si="9"/>
        <v>+</v>
      </c>
      <c r="H28" s="26">
        <f t="shared" si="10"/>
        <v>1444.3999999999999</v>
      </c>
      <c r="I28" s="26">
        <f t="shared" si="11"/>
        <v>1505.0661512354575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40</v>
      </c>
      <c r="E29" s="29">
        <f t="shared" si="7"/>
        <v>9.1261692904403363E-2</v>
      </c>
      <c r="F29" s="28">
        <f t="shared" si="8"/>
        <v>31.572628345634424</v>
      </c>
      <c r="G29" s="27" t="str">
        <f t="shared" si="9"/>
        <v>+</v>
      </c>
      <c r="H29" s="26">
        <f t="shared" si="10"/>
        <v>1212</v>
      </c>
      <c r="I29" s="26">
        <f t="shared" si="11"/>
        <v>1262.9051338253769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27.2</v>
      </c>
      <c r="E30" s="29">
        <f t="shared" si="7"/>
        <v>6.2057951174994283E-2</v>
      </c>
      <c r="F30" s="28">
        <f t="shared" si="8"/>
        <v>31.572628345634424</v>
      </c>
      <c r="G30" s="27" t="str">
        <f t="shared" si="9"/>
        <v>+</v>
      </c>
      <c r="H30" s="26">
        <f t="shared" si="10"/>
        <v>824.16</v>
      </c>
      <c r="I30" s="26">
        <f t="shared" si="11"/>
        <v>858.77549100125634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7.6</v>
      </c>
      <c r="E31" s="29">
        <f t="shared" si="7"/>
        <v>1.7339721651836639E-2</v>
      </c>
      <c r="F31" s="28">
        <f t="shared" si="8"/>
        <v>32.093628813384164</v>
      </c>
      <c r="G31" s="27" t="str">
        <f t="shared" si="9"/>
        <v>+</v>
      </c>
      <c r="H31" s="26">
        <f t="shared" si="10"/>
        <v>234.07999999999998</v>
      </c>
      <c r="I31" s="26">
        <f t="shared" si="11"/>
        <v>243.91157898171963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32.380945401245874</v>
      </c>
      <c r="D32" s="22">
        <f>SUM(D26:D31)</f>
        <v>272.90000000000003</v>
      </c>
      <c r="E32" s="21">
        <f t="shared" si="7"/>
        <v>0.62263289984029202</v>
      </c>
      <c r="F32" s="20">
        <f>I32/D32</f>
        <v>33.740975400455973</v>
      </c>
      <c r="G32" s="19">
        <f>F32/C32-1</f>
        <v>4.2000935499485692E-2</v>
      </c>
      <c r="H32" s="18">
        <f>SUM(H26:H31)</f>
        <v>8836.76</v>
      </c>
      <c r="I32" s="18">
        <f>SUM(I26:I31)</f>
        <v>9207.9121867844369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56</v>
      </c>
      <c r="E34" s="29">
        <f t="shared" ref="E34:E40" si="13">D34/$D$48</f>
        <v>0.1277663700661647</v>
      </c>
      <c r="F34" s="28">
        <f t="shared" ref="F34:F39" si="14">C34-(C34*$E$6)</f>
        <v>19.27701730674049</v>
      </c>
      <c r="G34" s="27" t="str">
        <f t="shared" ref="G34:G39" si="15">IF(C34&gt;=F34,"-","+")</f>
        <v>+</v>
      </c>
      <c r="H34" s="26">
        <f t="shared" ref="H34:H39" si="16">C34*D34</f>
        <v>1036</v>
      </c>
      <c r="I34" s="26">
        <f t="shared" ref="I34:I39" si="17">F34*D34</f>
        <v>1079.5129691774673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14.900613377642649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11.983010758244088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31.572628345634424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31.572628345634424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32.718829374683857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</v>
      </c>
      <c r="D40" s="22">
        <f>SUM(D34:D39)</f>
        <v>56</v>
      </c>
      <c r="E40" s="21">
        <f t="shared" si="13"/>
        <v>0.1277663700661647</v>
      </c>
      <c r="F40" s="20">
        <f>I40/D40</f>
        <v>19.277017306740486</v>
      </c>
      <c r="G40" s="19">
        <f>F40/C40-1</f>
        <v>4.2000935499485692E-2</v>
      </c>
      <c r="H40" s="18">
        <f>SUM(H34:H39)</f>
        <v>1036</v>
      </c>
      <c r="I40" s="18">
        <f>SUM(I34:I39)</f>
        <v>1079.5129691774673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80</v>
      </c>
      <c r="E42" s="107">
        <f>D42/$D$48</f>
        <v>0.18252338580880673</v>
      </c>
      <c r="F42" s="28">
        <f>C42-(C42*$E$6)</f>
        <v>0.41680037419979438</v>
      </c>
      <c r="G42" s="27" t="str">
        <f>IF(C42&gt;=F42,"-","+")</f>
        <v>+</v>
      </c>
      <c r="H42" s="26">
        <f>C42*D42</f>
        <v>32</v>
      </c>
      <c r="I42" s="26">
        <f>F42*D42</f>
        <v>33.344029935983549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2.7</v>
      </c>
      <c r="E43" s="107">
        <f>D43/$D$48</f>
        <v>6.1601642710472273E-3</v>
      </c>
      <c r="F43" s="28">
        <f>C43-(C43*$E$6)</f>
        <v>0.41680037419979438</v>
      </c>
      <c r="G43" s="27" t="str">
        <f>IF(C43&gt;=F43,"-","+")</f>
        <v>+</v>
      </c>
      <c r="H43" s="26">
        <f>C43*D43</f>
        <v>1.08</v>
      </c>
      <c r="I43" s="26">
        <f>F43*D43</f>
        <v>1.1253610103394449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2.4</v>
      </c>
      <c r="E45" s="107">
        <f>D45/$D$48</f>
        <v>5.4757015742642016E-3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0.38871915393654516</v>
      </c>
      <c r="D46" s="22">
        <f>SUM(D41:D45)</f>
        <v>85.100000000000009</v>
      </c>
      <c r="E46" s="21">
        <f>D46/$D$48</f>
        <v>0.19415925165411818</v>
      </c>
      <c r="F46" s="20">
        <f>I46/D46</f>
        <v>0.4050457220484488</v>
      </c>
      <c r="G46" s="19">
        <f>F46/C46-1</f>
        <v>4.2000935499486136E-2</v>
      </c>
      <c r="H46" s="18">
        <f>SUM(H41:H44)</f>
        <v>33.08</v>
      </c>
      <c r="I46" s="18">
        <f>SUM(I41:I44)</f>
        <v>34.469390946322996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97.594767435840851</v>
      </c>
      <c r="D48" s="13">
        <f>D24+D32+D40+D46</f>
        <v>438.30000000000007</v>
      </c>
      <c r="E48" s="12">
        <f>SUM(E20:E46)/2</f>
        <v>0.99999999999999967</v>
      </c>
      <c r="F48" s="11">
        <f>I48/D48</f>
        <v>26.226043805612587</v>
      </c>
      <c r="G48" s="10"/>
      <c r="H48" s="9">
        <f>SUM(H20:H46)/2</f>
        <v>11031.54</v>
      </c>
      <c r="I48" s="9">
        <f>SUM(I20:I46)/2</f>
        <v>11494.874999999998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438.30000000000007</v>
      </c>
      <c r="E50" s="12">
        <f>D50/G2</f>
        <v>1.0009134505594888</v>
      </c>
      <c r="F50" s="11">
        <f>I50/D50</f>
        <v>26.226043805612587</v>
      </c>
      <c r="G50" s="10"/>
      <c r="H50" s="9">
        <f>H48+H19</f>
        <v>11031.54</v>
      </c>
      <c r="I50" s="9">
        <f>I48+I19</f>
        <v>11494.874999999998</v>
      </c>
      <c r="J50" s="106">
        <f>D50-G2</f>
        <v>0.40000000000009095</v>
      </c>
      <c r="K50" s="8"/>
    </row>
    <row r="51" spans="1:11" ht="23.25" x14ac:dyDescent="0.35">
      <c r="A51" s="174" t="s">
        <v>212</v>
      </c>
      <c r="B51" s="169"/>
      <c r="C51" s="170"/>
      <c r="G51" s="7"/>
      <c r="H51" s="6"/>
      <c r="I51" s="6">
        <f>+I50/D50</f>
        <v>26.226043805612587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92D050"/>
  </sheetPr>
  <dimension ref="A1:K56"/>
  <sheetViews>
    <sheetView topLeftCell="A3"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208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208</v>
      </c>
      <c r="D2" s="96" t="s">
        <v>3</v>
      </c>
      <c r="E2" s="95" t="s">
        <v>112</v>
      </c>
      <c r="F2" s="94" t="s">
        <v>5</v>
      </c>
      <c r="G2" s="93">
        <v>1768.1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28</v>
      </c>
      <c r="F3" s="88" t="s">
        <v>8</v>
      </c>
      <c r="G3" s="87">
        <v>21.87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63.146428571428565</v>
      </c>
      <c r="F4" s="81" t="s">
        <v>12</v>
      </c>
      <c r="G4" s="80">
        <f>G2*G3</f>
        <v>38668.347000000002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-3.3309612782268516E-2</v>
      </c>
      <c r="F6" s="69" t="s">
        <v>16</v>
      </c>
      <c r="G6" s="68">
        <f>(I50-I19)/(D50-(SUM(D42:D44)+D19))</f>
        <v>27.26771525280305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21.9</v>
      </c>
      <c r="D10" s="30"/>
      <c r="E10" s="29" t="e">
        <f t="shared" ref="E10:E19" si="1">D10/$D$19</f>
        <v>#DIV/0!</v>
      </c>
      <c r="F10" s="28">
        <f t="shared" ref="F10:F18" si="2">C10-(C10*$E$6)</f>
        <v>22.629480519931679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22.8</v>
      </c>
      <c r="D11" s="30"/>
      <c r="E11" s="29" t="e">
        <f t="shared" si="1"/>
        <v>#DIV/0!</v>
      </c>
      <c r="F11" s="28">
        <f t="shared" si="2"/>
        <v>23.559459171435723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20.8</v>
      </c>
      <c r="D12" s="30"/>
      <c r="E12" s="29" t="e">
        <f t="shared" si="1"/>
        <v>#DIV/0!</v>
      </c>
      <c r="F12" s="28">
        <f t="shared" si="2"/>
        <v>21.492839945871186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22.8</v>
      </c>
      <c r="D13" s="30"/>
      <c r="E13" s="29" t="e">
        <f t="shared" si="1"/>
        <v>#DIV/0!</v>
      </c>
      <c r="F13" s="28">
        <f t="shared" si="2"/>
        <v>23.559459171435723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25.5</v>
      </c>
      <c r="D14" s="30"/>
      <c r="E14" s="29" t="e">
        <f t="shared" si="1"/>
        <v>#DIV/0!</v>
      </c>
      <c r="F14" s="28">
        <f t="shared" si="2"/>
        <v>26.349395125947847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21</v>
      </c>
      <c r="D15" s="30"/>
      <c r="E15" s="29" t="e">
        <f t="shared" si="1"/>
        <v>#DIV/0!</v>
      </c>
      <c r="F15" s="28">
        <f t="shared" si="2"/>
        <v>21.699501868427639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28.7</v>
      </c>
      <c r="D16" s="30"/>
      <c r="E16" s="29" t="e">
        <f t="shared" si="1"/>
        <v>#DIV/0!</v>
      </c>
      <c r="F16" s="28">
        <f t="shared" si="2"/>
        <v>29.655985886851106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42.3</v>
      </c>
      <c r="D17" s="30"/>
      <c r="E17" s="29" t="e">
        <f t="shared" si="1"/>
        <v>#DIV/0!</v>
      </c>
      <c r="F17" s="28">
        <f t="shared" si="2"/>
        <v>43.708996620689959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37.1</v>
      </c>
      <c r="D18" s="30"/>
      <c r="E18" s="29" t="e">
        <f t="shared" si="1"/>
        <v>#DIV/0!</v>
      </c>
      <c r="F18" s="28">
        <f t="shared" si="2"/>
        <v>38.33578663422216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55</v>
      </c>
      <c r="D21" s="30">
        <v>27.5</v>
      </c>
      <c r="E21" s="29">
        <f>D21/$D$48</f>
        <v>1.5553418924268989E-2</v>
      </c>
      <c r="F21" s="28">
        <f>C21-(C21*$E$6)</f>
        <v>56.832028703024768</v>
      </c>
      <c r="G21" s="27" t="str">
        <f>IF(C21&gt;=F21,"-","+")</f>
        <v>+</v>
      </c>
      <c r="H21" s="26">
        <f>C21*D21</f>
        <v>1512.5</v>
      </c>
      <c r="I21" s="26">
        <f>F21*D21</f>
        <v>1562.8807893331812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36.9</v>
      </c>
      <c r="D22" s="30">
        <v>54.1</v>
      </c>
      <c r="E22" s="29">
        <f>D22/$D$48</f>
        <v>3.05978168655619E-2</v>
      </c>
      <c r="F22" s="28">
        <f>C22-(C22*$E$6)</f>
        <v>38.12912471166571</v>
      </c>
      <c r="G22" s="27" t="str">
        <f>IF(C22&gt;=F22,"-","+")</f>
        <v>+</v>
      </c>
      <c r="H22" s="26">
        <f>C22*D22</f>
        <v>1996.29</v>
      </c>
      <c r="I22" s="26">
        <f>F22*D22</f>
        <v>2062.7856469011149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33.700000000000003</v>
      </c>
      <c r="D23" s="30">
        <v>36.299999999999997</v>
      </c>
      <c r="E23" s="29">
        <f>D23/$D$48</f>
        <v>2.0530512980035064E-2</v>
      </c>
      <c r="F23" s="28">
        <f>C23-(C23*$E$6)</f>
        <v>34.822533950762448</v>
      </c>
      <c r="G23" s="27" t="str">
        <f>IF(C23&gt;=F23,"-","+")</f>
        <v>+</v>
      </c>
      <c r="H23" s="26">
        <f>C23*D23</f>
        <v>1223.31</v>
      </c>
      <c r="I23" s="26">
        <f>F23*D23</f>
        <v>1264.0579824126767</v>
      </c>
      <c r="J23" s="25"/>
      <c r="K23" s="25"/>
    </row>
    <row r="24" spans="1:11" x14ac:dyDescent="0.25">
      <c r="A24" s="24" t="s">
        <v>34</v>
      </c>
      <c r="B24" s="23"/>
      <c r="C24" s="20">
        <f>H24/D24</f>
        <v>40.13655640373198</v>
      </c>
      <c r="D24" s="22">
        <f>SUM(D21:D23)</f>
        <v>117.89999999999999</v>
      </c>
      <c r="E24" s="21">
        <f>D24/$D$48</f>
        <v>6.6681748769865948E-2</v>
      </c>
      <c r="F24" s="20">
        <f>I24/D24</f>
        <v>41.473489555953968</v>
      </c>
      <c r="G24" s="19">
        <f>F24/C24-1</f>
        <v>3.3309612782268516E-2</v>
      </c>
      <c r="H24" s="18">
        <f>SUM(H21:H23)</f>
        <v>4732.1000000000004</v>
      </c>
      <c r="I24" s="18">
        <f>SUM(I21:I23)</f>
        <v>4889.7244186469725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29.3</v>
      </c>
      <c r="D26" s="30">
        <v>348</v>
      </c>
      <c r="E26" s="29">
        <f t="shared" ref="E26:E32" si="7">D26/$D$48</f>
        <v>0.19682144675074939</v>
      </c>
      <c r="F26" s="28">
        <f t="shared" ref="F26:F31" si="8">C26-(C26*$E$6)</f>
        <v>30.275971654520468</v>
      </c>
      <c r="G26" s="27" t="str">
        <f t="shared" ref="G26:G31" si="9">IF(C26&gt;=F26,"-","+")</f>
        <v>+</v>
      </c>
      <c r="H26" s="26">
        <f t="shared" ref="H26:H31" si="10">C26*D26</f>
        <v>10196.4</v>
      </c>
      <c r="I26" s="26">
        <f t="shared" ref="I26:I31" si="11">F26*D26</f>
        <v>10536.038135773122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26.1</v>
      </c>
      <c r="D27" s="30">
        <v>235</v>
      </c>
      <c r="E27" s="29">
        <f t="shared" si="7"/>
        <v>0.13291103444375318</v>
      </c>
      <c r="F27" s="28">
        <f t="shared" si="8"/>
        <v>26.96938089361721</v>
      </c>
      <c r="G27" s="27" t="str">
        <f t="shared" si="9"/>
        <v>+</v>
      </c>
      <c r="H27" s="26">
        <f t="shared" si="10"/>
        <v>6133.5</v>
      </c>
      <c r="I27" s="26">
        <f t="shared" si="11"/>
        <v>6337.8045100000445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26.1</v>
      </c>
      <c r="D28" s="30">
        <v>189</v>
      </c>
      <c r="E28" s="29">
        <f t="shared" si="7"/>
        <v>0.10689440642497595</v>
      </c>
      <c r="F28" s="28">
        <f t="shared" si="8"/>
        <v>26.96938089361721</v>
      </c>
      <c r="G28" s="27" t="str">
        <f t="shared" si="9"/>
        <v>+</v>
      </c>
      <c r="H28" s="26">
        <f t="shared" si="10"/>
        <v>4932.9000000000005</v>
      </c>
      <c r="I28" s="26">
        <f t="shared" si="11"/>
        <v>5097.2129888936524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25.3</v>
      </c>
      <c r="D29" s="30">
        <v>186</v>
      </c>
      <c r="E29" s="29">
        <f t="shared" si="7"/>
        <v>0.1051976698150557</v>
      </c>
      <c r="F29" s="28">
        <f t="shared" si="8"/>
        <v>26.142733203391394</v>
      </c>
      <c r="G29" s="27" t="str">
        <f t="shared" si="9"/>
        <v>+</v>
      </c>
      <c r="H29" s="26">
        <f t="shared" si="10"/>
        <v>4705.8</v>
      </c>
      <c r="I29" s="26">
        <f t="shared" si="11"/>
        <v>4862.5483758307992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25.3</v>
      </c>
      <c r="D30" s="30">
        <v>112</v>
      </c>
      <c r="E30" s="29">
        <f t="shared" si="7"/>
        <v>6.3344833437022782E-2</v>
      </c>
      <c r="F30" s="28">
        <f t="shared" si="8"/>
        <v>26.142733203391394</v>
      </c>
      <c r="G30" s="27" t="str">
        <f t="shared" si="9"/>
        <v>+</v>
      </c>
      <c r="H30" s="26">
        <f t="shared" si="10"/>
        <v>2833.6</v>
      </c>
      <c r="I30" s="26">
        <f t="shared" si="11"/>
        <v>2927.986118779836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25.7</v>
      </c>
      <c r="D31" s="30">
        <v>27.2</v>
      </c>
      <c r="E31" s="29">
        <f t="shared" si="7"/>
        <v>1.5383745263276962E-2</v>
      </c>
      <c r="F31" s="28">
        <f t="shared" si="8"/>
        <v>26.5560570485043</v>
      </c>
      <c r="G31" s="27" t="str">
        <f t="shared" si="9"/>
        <v>+</v>
      </c>
      <c r="H31" s="26">
        <f t="shared" si="10"/>
        <v>699.04</v>
      </c>
      <c r="I31" s="26">
        <f t="shared" si="11"/>
        <v>722.32475171931696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26.887750637987601</v>
      </c>
      <c r="D32" s="22">
        <f>SUM(D26:D31)</f>
        <v>1097.2</v>
      </c>
      <c r="E32" s="21">
        <f t="shared" si="7"/>
        <v>0.62055313613483398</v>
      </c>
      <c r="F32" s="20">
        <f>I32/D32</f>
        <v>27.78337120032516</v>
      </c>
      <c r="G32" s="19">
        <f>F32/C32-1</f>
        <v>3.3309612782268516E-2</v>
      </c>
      <c r="H32" s="18">
        <f>SUM(H26:H31)</f>
        <v>29501.239999999998</v>
      </c>
      <c r="I32" s="18">
        <f>SUM(I26:I31)</f>
        <v>30483.914880996766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15.5</v>
      </c>
      <c r="D34" s="30">
        <v>189</v>
      </c>
      <c r="E34" s="29">
        <f t="shared" ref="E34:E40" si="13">D34/$D$48</f>
        <v>0.10689440642497595</v>
      </c>
      <c r="F34" s="28">
        <f t="shared" ref="F34:F39" si="14">C34-(C34*$E$6)</f>
        <v>16.016298998125162</v>
      </c>
      <c r="G34" s="27" t="str">
        <f t="shared" ref="G34:G39" si="15">IF(C34&gt;=F34,"-","+")</f>
        <v>+</v>
      </c>
      <c r="H34" s="26">
        <f t="shared" ref="H34:H39" si="16">C34*D34</f>
        <v>2929.5</v>
      </c>
      <c r="I34" s="26">
        <f t="shared" ref="I34:I39" si="17">F34*D34</f>
        <v>3027.0805106456555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11.9</v>
      </c>
      <c r="D35" s="30">
        <v>10</v>
      </c>
      <c r="E35" s="29">
        <f t="shared" si="13"/>
        <v>5.6557886997341779E-3</v>
      </c>
      <c r="F35" s="28">
        <f t="shared" si="14"/>
        <v>12.296384392108996</v>
      </c>
      <c r="G35" s="27" t="str">
        <f t="shared" si="15"/>
        <v>+</v>
      </c>
      <c r="H35" s="26">
        <f t="shared" si="16"/>
        <v>119</v>
      </c>
      <c r="I35" s="26">
        <f t="shared" si="17"/>
        <v>122.96384392108996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9.6</v>
      </c>
      <c r="D36" s="30"/>
      <c r="E36" s="29">
        <f t="shared" si="13"/>
        <v>0</v>
      </c>
      <c r="F36" s="28">
        <f t="shared" si="14"/>
        <v>9.9197722827097774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25.3</v>
      </c>
      <c r="D37" s="30"/>
      <c r="E37" s="29">
        <f t="shared" si="13"/>
        <v>0</v>
      </c>
      <c r="F37" s="28">
        <f t="shared" si="14"/>
        <v>26.142733203391394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25.3</v>
      </c>
      <c r="D38" s="30"/>
      <c r="E38" s="29">
        <f t="shared" si="13"/>
        <v>0</v>
      </c>
      <c r="F38" s="28">
        <f t="shared" si="14"/>
        <v>26.142733203391394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26.1</v>
      </c>
      <c r="D39" s="30"/>
      <c r="E39" s="29">
        <f t="shared" si="13"/>
        <v>0</v>
      </c>
      <c r="F39" s="28">
        <f t="shared" si="14"/>
        <v>26.96938089361721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15.319095477386934</v>
      </c>
      <c r="D40" s="22">
        <f>SUM(D34:D39)</f>
        <v>199</v>
      </c>
      <c r="E40" s="21">
        <f t="shared" si="13"/>
        <v>0.11255019512471014</v>
      </c>
      <c r="F40" s="20">
        <f>I40/D40</f>
        <v>15.829368615913292</v>
      </c>
      <c r="G40" s="19">
        <f>F40/C40-1</f>
        <v>3.3309612782268516E-2</v>
      </c>
      <c r="H40" s="18">
        <f>SUM(H34:H39)</f>
        <v>3048.5</v>
      </c>
      <c r="I40" s="18">
        <f>SUM(I34:I39)</f>
        <v>3150.0443545667454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345</v>
      </c>
      <c r="E42" s="107">
        <f>D42/$D$48</f>
        <v>0.19512471014082913</v>
      </c>
      <c r="F42" s="28">
        <f>C42-(C42*$E$6)</f>
        <v>0.41332384511290743</v>
      </c>
      <c r="G42" s="27" t="str">
        <f>IF(C42&gt;=F42,"-","+")</f>
        <v>+</v>
      </c>
      <c r="H42" s="26">
        <f>C42*D42</f>
        <v>138</v>
      </c>
      <c r="I42" s="26">
        <f>F42*D42</f>
        <v>142.59672656395307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</v>
      </c>
      <c r="E43" s="107">
        <f>D43/$D$48</f>
        <v>2.8278943498670889E-3</v>
      </c>
      <c r="F43" s="28">
        <f>C43-(C43*$E$6)</f>
        <v>0.41332384511290743</v>
      </c>
      <c r="G43" s="27" t="str">
        <f>IF(C43&gt;=F43,"-","+")</f>
        <v>+</v>
      </c>
      <c r="H43" s="26">
        <f>C43*D43</f>
        <v>2</v>
      </c>
      <c r="I43" s="26">
        <f>F43*D43</f>
        <v>2.066619225564537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2.2623154798936708E-3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0.39548022598870058</v>
      </c>
      <c r="D46" s="22">
        <f>SUM(D41:D45)</f>
        <v>354</v>
      </c>
      <c r="E46" s="21">
        <f>D46/$D$48</f>
        <v>0.20021491997058988</v>
      </c>
      <c r="F46" s="20">
        <f>I46/D46</f>
        <v>0.40865351917942833</v>
      </c>
      <c r="G46" s="19">
        <f>F46/C46-1</f>
        <v>3.3309612782268738E-2</v>
      </c>
      <c r="H46" s="18">
        <f>SUM(H41:H44)</f>
        <v>140</v>
      </c>
      <c r="I46" s="18">
        <f>SUM(I41:I44)</f>
        <v>144.66334578951762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82.738882745095225</v>
      </c>
      <c r="D48" s="13">
        <f>D24+D32+D40+D46</f>
        <v>1768.1000000000001</v>
      </c>
      <c r="E48" s="12">
        <f>SUM(E20:E46)/2</f>
        <v>1</v>
      </c>
      <c r="F48" s="11">
        <f>I48/D48</f>
        <v>21.869999999999997</v>
      </c>
      <c r="G48" s="10"/>
      <c r="H48" s="9">
        <f>SUM(H20:H46)/2</f>
        <v>37421.839999999997</v>
      </c>
      <c r="I48" s="9">
        <f>SUM(I20:I46)/2</f>
        <v>38668.347000000002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1768.1</v>
      </c>
      <c r="E50" s="12">
        <f>D50/G2</f>
        <v>1</v>
      </c>
      <c r="F50" s="11">
        <f>I50/D50</f>
        <v>21.87</v>
      </c>
      <c r="G50" s="10"/>
      <c r="H50" s="9">
        <f>H48+H19</f>
        <v>37421.839999999997</v>
      </c>
      <c r="I50" s="9">
        <f>I48+I19</f>
        <v>38668.347000000002</v>
      </c>
      <c r="J50" s="106">
        <f>D50-G2</f>
        <v>0</v>
      </c>
      <c r="K50" s="8"/>
    </row>
    <row r="51" spans="1:11" ht="23.25" x14ac:dyDescent="0.35">
      <c r="A51" s="174" t="s">
        <v>213</v>
      </c>
      <c r="B51" s="169"/>
      <c r="C51" s="170"/>
      <c r="G51" s="7"/>
      <c r="H51" s="6"/>
      <c r="I51" s="6">
        <f>+I50/D50</f>
        <v>21.87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208</v>
      </c>
      <c r="D1" s="100" t="s">
        <v>1</v>
      </c>
      <c r="E1" s="168" t="s">
        <v>202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214</v>
      </c>
      <c r="D2" s="96" t="s">
        <v>3</v>
      </c>
      <c r="E2" s="95" t="s">
        <v>112</v>
      </c>
      <c r="F2" s="94" t="s">
        <v>5</v>
      </c>
      <c r="G2" s="93">
        <v>18199.099999999999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308</v>
      </c>
      <c r="F3" s="88" t="s">
        <v>8</v>
      </c>
      <c r="G3" s="87">
        <v>20.5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5</v>
      </c>
      <c r="D4" s="83" t="s">
        <v>11</v>
      </c>
      <c r="E4" s="82">
        <f>G2/E3</f>
        <v>59.087987012987007</v>
      </c>
      <c r="F4" s="81" t="s">
        <v>12</v>
      </c>
      <c r="G4" s="80">
        <f>G2*G3</f>
        <v>373081.55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-0.10271325802945586</v>
      </c>
      <c r="F6" s="69" t="s">
        <v>16</v>
      </c>
      <c r="G6" s="68">
        <f>(I50-I19)/(D50-(SUM(D42:D44)+D19))</f>
        <v>26.398275642477074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20.5</v>
      </c>
      <c r="D10" s="30"/>
      <c r="E10" s="29" t="e">
        <f t="shared" ref="E10:E19" si="1">D10/$D$19</f>
        <v>#DIV/0!</v>
      </c>
      <c r="F10" s="28">
        <f t="shared" ref="F10:F18" si="2">C10-(C10*$E$6)</f>
        <v>22.605621789603845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21.3</v>
      </c>
      <c r="D11" s="30"/>
      <c r="E11" s="29" t="e">
        <f t="shared" si="1"/>
        <v>#DIV/0!</v>
      </c>
      <c r="F11" s="28">
        <f t="shared" si="2"/>
        <v>23.487792396027409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19.5</v>
      </c>
      <c r="D12" s="30"/>
      <c r="E12" s="29" t="e">
        <f t="shared" si="1"/>
        <v>#DIV/0!</v>
      </c>
      <c r="F12" s="28">
        <f t="shared" si="2"/>
        <v>21.502908531574388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21.3</v>
      </c>
      <c r="D13" s="30"/>
      <c r="E13" s="29" t="e">
        <f t="shared" si="1"/>
        <v>#DIV/0!</v>
      </c>
      <c r="F13" s="28">
        <f t="shared" si="2"/>
        <v>23.487792396027409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23.9</v>
      </c>
      <c r="D14" s="30"/>
      <c r="E14" s="29" t="e">
        <f t="shared" si="1"/>
        <v>#DIV/0!</v>
      </c>
      <c r="F14" s="28">
        <f t="shared" si="2"/>
        <v>26.354846866903994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19.7</v>
      </c>
      <c r="D15" s="30"/>
      <c r="E15" s="29" t="e">
        <f t="shared" si="1"/>
        <v>#DIV/0!</v>
      </c>
      <c r="F15" s="28">
        <f t="shared" si="2"/>
        <v>21.723451183180281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26.9</v>
      </c>
      <c r="D16" s="30"/>
      <c r="E16" s="29" t="e">
        <f t="shared" si="1"/>
        <v>#DIV/0!</v>
      </c>
      <c r="F16" s="28">
        <f t="shared" si="2"/>
        <v>29.662986640992361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39.700000000000003</v>
      </c>
      <c r="D17" s="30"/>
      <c r="E17" s="29" t="e">
        <f t="shared" si="1"/>
        <v>#DIV/0!</v>
      </c>
      <c r="F17" s="28">
        <f t="shared" si="2"/>
        <v>43.777716343769399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34.700000000000003</v>
      </c>
      <c r="D18" s="30"/>
      <c r="E18" s="29" t="e">
        <f t="shared" si="1"/>
        <v>#DIV/0!</v>
      </c>
      <c r="F18" s="28">
        <f t="shared" si="2"/>
        <v>38.264150053622124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51.6</v>
      </c>
      <c r="D21" s="30">
        <v>237.6</v>
      </c>
      <c r="E21" s="29">
        <f>D21/$D$48</f>
        <v>1.3055590661076647E-2</v>
      </c>
      <c r="F21" s="28">
        <f>C21-(C21*$E$6)</f>
        <v>56.900004114319927</v>
      </c>
      <c r="G21" s="27" t="str">
        <f>IF(C21&gt;=F21,"-","+")</f>
        <v>+</v>
      </c>
      <c r="H21" s="26">
        <f>C21*D21</f>
        <v>12260.16</v>
      </c>
      <c r="I21" s="26">
        <f>F21*D21</f>
        <v>13519.440977562414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34.6</v>
      </c>
      <c r="D22" s="30">
        <v>443.6</v>
      </c>
      <c r="E22" s="29">
        <f>D22/$D$48</f>
        <v>2.4374831722447816E-2</v>
      </c>
      <c r="F22" s="28">
        <f>C22-(C22*$E$6)</f>
        <v>38.153878727819176</v>
      </c>
      <c r="G22" s="27" t="str">
        <f>IF(C22&gt;=F22,"-","+")</f>
        <v>+</v>
      </c>
      <c r="H22" s="26">
        <f>C22*D22</f>
        <v>15348.560000000001</v>
      </c>
      <c r="I22" s="26">
        <f>F22*D22</f>
        <v>16925.060603660586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31.6</v>
      </c>
      <c r="D23" s="30">
        <v>406.6</v>
      </c>
      <c r="E23" s="29">
        <f>D23/$D$48</f>
        <v>2.2341764153172412E-2</v>
      </c>
      <c r="F23" s="28">
        <f>C23-(C23*$E$6)</f>
        <v>34.845738953730809</v>
      </c>
      <c r="G23" s="27" t="str">
        <f>IF(C23&gt;=F23,"-","+")</f>
        <v>+</v>
      </c>
      <c r="H23" s="26">
        <f>C23*D23</f>
        <v>12848.560000000001</v>
      </c>
      <c r="I23" s="26">
        <f>F23*D23</f>
        <v>14168.277458586948</v>
      </c>
      <c r="J23" s="25"/>
      <c r="K23" s="25"/>
    </row>
    <row r="24" spans="1:11" x14ac:dyDescent="0.25">
      <c r="A24" s="24" t="s">
        <v>34</v>
      </c>
      <c r="B24" s="23"/>
      <c r="C24" s="20">
        <f>H24/D24</f>
        <v>37.191836734693872</v>
      </c>
      <c r="D24" s="22">
        <f>SUM(D21:D23)</f>
        <v>1087.8000000000002</v>
      </c>
      <c r="E24" s="21">
        <f>D24/$D$48</f>
        <v>5.9772186536696886E-2</v>
      </c>
      <c r="F24" s="20">
        <f>I24/D24</f>
        <v>41.01193145781388</v>
      </c>
      <c r="G24" s="19">
        <f>F24/C24-1</f>
        <v>0.10271325802945586</v>
      </c>
      <c r="H24" s="18">
        <f>SUM(H21:H23)</f>
        <v>40457.279999999999</v>
      </c>
      <c r="I24" s="18">
        <f>SUM(I21:I23)</f>
        <v>44612.779039809946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27.5</v>
      </c>
      <c r="D26" s="30">
        <f>324.4+2846</f>
        <v>3170.4</v>
      </c>
      <c r="E26" s="29">
        <f t="shared" ref="E26:E32" si="7">D26/$D$48</f>
        <v>0.17420641680083082</v>
      </c>
      <c r="F26" s="28">
        <f t="shared" ref="F26:F31" si="8">C26-(C26*$E$6)</f>
        <v>30.324614595810036</v>
      </c>
      <c r="G26" s="27" t="str">
        <f t="shared" ref="G26:G31" si="9">IF(C26&gt;=F26,"-","+")</f>
        <v>+</v>
      </c>
      <c r="H26" s="26">
        <f t="shared" ref="H26:H31" si="10">C26*D26</f>
        <v>87186</v>
      </c>
      <c r="I26" s="26">
        <f t="shared" ref="I26:I31" si="11">F26*D26</f>
        <v>96141.158114556136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24.5</v>
      </c>
      <c r="D27" s="30">
        <f>1838.3+200</f>
        <v>2038.3</v>
      </c>
      <c r="E27" s="29">
        <f t="shared" si="7"/>
        <v>0.11200004395821772</v>
      </c>
      <c r="F27" s="28">
        <f t="shared" si="8"/>
        <v>27.016474821721669</v>
      </c>
      <c r="G27" s="27" t="str">
        <f t="shared" si="9"/>
        <v>+</v>
      </c>
      <c r="H27" s="26">
        <f t="shared" si="10"/>
        <v>49938.35</v>
      </c>
      <c r="I27" s="26">
        <f t="shared" si="11"/>
        <v>55067.680629115275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24.5</v>
      </c>
      <c r="D28" s="30">
        <f>1324.1+463.6</f>
        <v>1787.6999999999998</v>
      </c>
      <c r="E28" s="29">
        <f t="shared" si="7"/>
        <v>9.8230132259287548E-2</v>
      </c>
      <c r="F28" s="28">
        <f t="shared" si="8"/>
        <v>27.016474821721669</v>
      </c>
      <c r="G28" s="27" t="str">
        <f t="shared" si="9"/>
        <v>+</v>
      </c>
      <c r="H28" s="26">
        <f t="shared" si="10"/>
        <v>43798.649999999994</v>
      </c>
      <c r="I28" s="26">
        <f t="shared" si="11"/>
        <v>48297.352038791825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23.7</v>
      </c>
      <c r="D29" s="30">
        <v>1693.7</v>
      </c>
      <c r="E29" s="29">
        <f t="shared" si="7"/>
        <v>9.306504167788518E-2</v>
      </c>
      <c r="F29" s="28">
        <f t="shared" si="8"/>
        <v>26.134304215298101</v>
      </c>
      <c r="G29" s="27" t="str">
        <f t="shared" si="9"/>
        <v>+</v>
      </c>
      <c r="H29" s="26">
        <f t="shared" si="10"/>
        <v>40140.69</v>
      </c>
      <c r="I29" s="26">
        <f t="shared" si="11"/>
        <v>44263.671049450393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23.7</v>
      </c>
      <c r="D30" s="30">
        <v>1168.5999999999999</v>
      </c>
      <c r="E30" s="29">
        <f t="shared" si="7"/>
        <v>6.4211966525817205E-2</v>
      </c>
      <c r="F30" s="28">
        <f t="shared" si="8"/>
        <v>26.134304215298101</v>
      </c>
      <c r="G30" s="27" t="str">
        <f t="shared" si="9"/>
        <v>+</v>
      </c>
      <c r="H30" s="26">
        <f t="shared" si="10"/>
        <v>27695.819999999996</v>
      </c>
      <c r="I30" s="26">
        <f t="shared" si="11"/>
        <v>30540.547905997359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24.1</v>
      </c>
      <c r="D31" s="30">
        <v>258.8</v>
      </c>
      <c r="E31" s="29">
        <f t="shared" si="7"/>
        <v>1.4220483430499312E-2</v>
      </c>
      <c r="F31" s="28">
        <f t="shared" si="8"/>
        <v>26.575389518509887</v>
      </c>
      <c r="G31" s="27" t="str">
        <f t="shared" si="9"/>
        <v>+</v>
      </c>
      <c r="H31" s="26">
        <f t="shared" si="10"/>
        <v>6237.0800000000008</v>
      </c>
      <c r="I31" s="26">
        <f t="shared" si="11"/>
        <v>6877.7108073903592</v>
      </c>
      <c r="J31" s="25"/>
      <c r="K31" s="25"/>
    </row>
    <row r="32" spans="1:11" x14ac:dyDescent="0.25">
      <c r="A32" s="24" t="s">
        <v>34</v>
      </c>
      <c r="B32" s="23"/>
      <c r="C32" s="20">
        <f>H32/D32</f>
        <v>25.203517667407954</v>
      </c>
      <c r="D32" s="22">
        <f>SUM(D26:D31)</f>
        <v>10117.5</v>
      </c>
      <c r="E32" s="21">
        <f t="shared" si="7"/>
        <v>0.5559340846525378</v>
      </c>
      <c r="F32" s="20">
        <f>I32/D32</f>
        <v>27.792253080830378</v>
      </c>
      <c r="G32" s="19">
        <f>F32/C32-1</f>
        <v>0.10271325802945586</v>
      </c>
      <c r="H32" s="18">
        <f>SUM(H26:H31)</f>
        <v>254996.59</v>
      </c>
      <c r="I32" s="18">
        <f>SUM(I26:I31)</f>
        <v>281188.12054530135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14.5</v>
      </c>
      <c r="D34" s="30">
        <f>2185+1187.2-463.6-200</f>
        <v>2708.6</v>
      </c>
      <c r="E34" s="29">
        <f t="shared" ref="E34:E40" si="13">D34/$D$48</f>
        <v>0.14883153562538806</v>
      </c>
      <c r="F34" s="28">
        <f t="shared" ref="F34:F39" si="14">C34-(C34*$E$6)</f>
        <v>15.98934224142711</v>
      </c>
      <c r="G34" s="27" t="str">
        <f t="shared" ref="G34:G39" si="15">IF(C34&gt;=F34,"-","+")</f>
        <v>+</v>
      </c>
      <c r="H34" s="26">
        <f t="shared" ref="H34:H39" si="16">C34*D34</f>
        <v>39274.699999999997</v>
      </c>
      <c r="I34" s="26">
        <f t="shared" ref="I34:I39" si="17">F34*D34</f>
        <v>43308.732395129467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11.1</v>
      </c>
      <c r="D35" s="30">
        <v>214.6</v>
      </c>
      <c r="E35" s="29">
        <f t="shared" si="13"/>
        <v>1.1791791901797343E-2</v>
      </c>
      <c r="F35" s="28">
        <f t="shared" si="14"/>
        <v>12.240117164126961</v>
      </c>
      <c r="G35" s="27" t="str">
        <f t="shared" si="15"/>
        <v>+</v>
      </c>
      <c r="H35" s="26">
        <f t="shared" si="16"/>
        <v>2382.06</v>
      </c>
      <c r="I35" s="26">
        <f t="shared" si="17"/>
        <v>2626.7291434216459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</v>
      </c>
      <c r="D36" s="30"/>
      <c r="E36" s="29">
        <f t="shared" si="13"/>
        <v>0</v>
      </c>
      <c r="F36" s="28">
        <f t="shared" si="14"/>
        <v>9.924419322265102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23.7</v>
      </c>
      <c r="D37" s="30"/>
      <c r="E37" s="29">
        <f t="shared" si="13"/>
        <v>0</v>
      </c>
      <c r="F37" s="28">
        <f t="shared" si="14"/>
        <v>26.134304215298101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23.7</v>
      </c>
      <c r="D38" s="30"/>
      <c r="E38" s="29">
        <f t="shared" si="13"/>
        <v>0</v>
      </c>
      <c r="F38" s="28">
        <f t="shared" si="14"/>
        <v>26.134304215298101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24.5</v>
      </c>
      <c r="D39" s="30"/>
      <c r="E39" s="29">
        <f t="shared" si="13"/>
        <v>0</v>
      </c>
      <c r="F39" s="28">
        <f t="shared" si="14"/>
        <v>27.016474821721669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14.250396825396825</v>
      </c>
      <c r="D40" s="22">
        <f>SUM(D34:D39)</f>
        <v>2923.2</v>
      </c>
      <c r="E40" s="21">
        <f t="shared" si="13"/>
        <v>0.16062332752718542</v>
      </c>
      <c r="F40" s="20">
        <f>I40/D40</f>
        <v>15.714101511545948</v>
      </c>
      <c r="G40" s="19">
        <f>F40/C40-1</f>
        <v>0.10271325802945586</v>
      </c>
      <c r="H40" s="18">
        <f>SUM(H34:H39)</f>
        <v>41656.759999999995</v>
      </c>
      <c r="I40" s="18">
        <f>SUM(I34:I39)</f>
        <v>45935.461538551113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f>1980+230.2+1736</f>
        <v>3946.2</v>
      </c>
      <c r="E42" s="107">
        <f>D42/$D$48</f>
        <v>0.21683489842904319</v>
      </c>
      <c r="F42" s="28">
        <f>C42-(C42*$E$6)</f>
        <v>0.33081397740883672</v>
      </c>
      <c r="G42" s="27" t="str">
        <f>IF(C42&gt;=F42,"-","+")</f>
        <v>+</v>
      </c>
      <c r="H42" s="26">
        <f>C42*D42</f>
        <v>1183.8599999999999</v>
      </c>
      <c r="I42" s="26">
        <f>F42*D42</f>
        <v>1305.4581176507513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120.1</v>
      </c>
      <c r="E43" s="107">
        <f>D43/$D$48</f>
        <v>6.5992274343236752E-3</v>
      </c>
      <c r="F43" s="28">
        <f>C43-(C43*$E$6)</f>
        <v>0.33081397740883672</v>
      </c>
      <c r="G43" s="27" t="str">
        <f>IF(C43&gt;=F43,"-","+")</f>
        <v>+</v>
      </c>
      <c r="H43" s="26">
        <f>C43*D43</f>
        <v>36.029999999999994</v>
      </c>
      <c r="I43" s="26">
        <f>F43*D43</f>
        <v>39.730758686801288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4.3</v>
      </c>
      <c r="E45" s="107">
        <f>D45/$D$48</f>
        <v>2.3627542021308748E-4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0.29968309340146415</v>
      </c>
      <c r="D46" s="22">
        <f>SUM(D41:D45)</f>
        <v>4070.6</v>
      </c>
      <c r="E46" s="21">
        <f>D46/$D$48</f>
        <v>0.22367040128357998</v>
      </c>
      <c r="F46" s="20">
        <f>I46/D46</f>
        <v>0.3304645203010742</v>
      </c>
      <c r="G46" s="19">
        <f>F46/C46-1</f>
        <v>0.10271325802945563</v>
      </c>
      <c r="H46" s="18">
        <f>SUM(H41:H44)</f>
        <v>1219.8899999999999</v>
      </c>
      <c r="I46" s="18">
        <f>SUM(I41:I44)</f>
        <v>1345.1888763375525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76.945434320900119</v>
      </c>
      <c r="D48" s="13">
        <f>D24+D32+D40+D46</f>
        <v>18199.099999999999</v>
      </c>
      <c r="E48" s="12">
        <f>SUM(E20:E46)/2</f>
        <v>0.99999999999999989</v>
      </c>
      <c r="F48" s="11">
        <f>I48/D48</f>
        <v>20.5</v>
      </c>
      <c r="G48" s="10"/>
      <c r="H48" s="9">
        <f>SUM(H20:H46)/2</f>
        <v>338330.52</v>
      </c>
      <c r="I48" s="9">
        <f>SUM(I20:I46)/2</f>
        <v>373081.55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18199.099999999999</v>
      </c>
      <c r="E50" s="12">
        <f>D50/G2</f>
        <v>1</v>
      </c>
      <c r="F50" s="11">
        <f>I50/D50</f>
        <v>20.5</v>
      </c>
      <c r="G50" s="10"/>
      <c r="H50" s="9">
        <f>H48+H19</f>
        <v>338330.52</v>
      </c>
      <c r="I50" s="9">
        <f>I48+I19</f>
        <v>373081.55</v>
      </c>
      <c r="J50" s="106">
        <f>D50-G2</f>
        <v>0</v>
      </c>
      <c r="K50" s="8"/>
    </row>
    <row r="51" spans="1:11" ht="23.25" x14ac:dyDescent="0.35">
      <c r="A51" s="174" t="s">
        <v>215</v>
      </c>
      <c r="B51" s="169"/>
      <c r="C51" s="170"/>
      <c r="G51" s="7"/>
      <c r="H51" s="6"/>
      <c r="I51" s="6">
        <f>+I50/D50</f>
        <v>20.5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214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214</v>
      </c>
      <c r="D2" s="96" t="s">
        <v>3</v>
      </c>
      <c r="E2" s="95" t="s">
        <v>112</v>
      </c>
      <c r="F2" s="94" t="s">
        <v>5</v>
      </c>
      <c r="G2" s="93">
        <v>11286.6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196</v>
      </c>
      <c r="F3" s="88" t="s">
        <v>8</v>
      </c>
      <c r="G3" s="87">
        <v>19.78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57.584693877551025</v>
      </c>
      <c r="F4" s="81" t="s">
        <v>12</v>
      </c>
      <c r="G4" s="80">
        <f>G2*G3</f>
        <v>223248.94800000003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-9.932616528260918E-2</v>
      </c>
      <c r="F6" s="69" t="s">
        <v>16</v>
      </c>
      <c r="G6" s="68">
        <f>(I50-I19)/(D50-(SUM(D42:D44)+D19))</f>
        <v>25.903687242056371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19.8</v>
      </c>
      <c r="D10" s="30"/>
      <c r="E10" s="29">
        <f t="shared" ref="E10:E19" si="1">D10/$D$19</f>
        <v>0</v>
      </c>
      <c r="F10" s="28">
        <f t="shared" ref="F10:F18" si="2">C10-(C10*$E$6)</f>
        <v>21.766658072595664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20.6</v>
      </c>
      <c r="D11" s="30"/>
      <c r="E11" s="29">
        <f t="shared" si="1"/>
        <v>0</v>
      </c>
      <c r="F11" s="28">
        <f t="shared" si="2"/>
        <v>22.646119004821749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18.8</v>
      </c>
      <c r="D12" s="30"/>
      <c r="E12" s="29">
        <f t="shared" si="1"/>
        <v>0</v>
      </c>
      <c r="F12" s="28">
        <f t="shared" si="2"/>
        <v>20.667331907313052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20.6</v>
      </c>
      <c r="D13" s="30"/>
      <c r="E13" s="29">
        <f t="shared" si="1"/>
        <v>0</v>
      </c>
      <c r="F13" s="28">
        <f t="shared" si="2"/>
        <v>22.646119004821749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23</v>
      </c>
      <c r="D14" s="30"/>
      <c r="E14" s="29">
        <f t="shared" si="1"/>
        <v>0</v>
      </c>
      <c r="F14" s="28">
        <f t="shared" si="2"/>
        <v>25.28450180150001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19</v>
      </c>
      <c r="D15" s="30">
        <v>63</v>
      </c>
      <c r="E15" s="29">
        <f t="shared" si="1"/>
        <v>0.55263157894736847</v>
      </c>
      <c r="F15" s="28">
        <f t="shared" si="2"/>
        <v>20.887197140369576</v>
      </c>
      <c r="G15" s="27" t="str">
        <f t="shared" si="3"/>
        <v>+</v>
      </c>
      <c r="H15" s="34">
        <f t="shared" si="4"/>
        <v>1197</v>
      </c>
      <c r="I15" s="34">
        <f t="shared" si="5"/>
        <v>1315.8934198432833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26</v>
      </c>
      <c r="D16" s="30">
        <v>26</v>
      </c>
      <c r="E16" s="29">
        <f t="shared" si="1"/>
        <v>0.22807017543859648</v>
      </c>
      <c r="F16" s="28">
        <f t="shared" si="2"/>
        <v>28.582480297347839</v>
      </c>
      <c r="G16" s="27" t="str">
        <f t="shared" si="3"/>
        <v>+</v>
      </c>
      <c r="H16" s="34">
        <f t="shared" si="4"/>
        <v>676</v>
      </c>
      <c r="I16" s="34">
        <f t="shared" si="5"/>
        <v>743.1444877310438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38.299999999999997</v>
      </c>
      <c r="D17" s="30">
        <v>25</v>
      </c>
      <c r="E17" s="29">
        <f t="shared" si="1"/>
        <v>0.21929824561403508</v>
      </c>
      <c r="F17" s="28">
        <f t="shared" si="2"/>
        <v>42.104192130323931</v>
      </c>
      <c r="G17" s="27" t="str">
        <f t="shared" si="3"/>
        <v>+</v>
      </c>
      <c r="H17" s="34">
        <f t="shared" si="4"/>
        <v>957.49999999999989</v>
      </c>
      <c r="I17" s="34">
        <f t="shared" si="5"/>
        <v>1052.6048032580982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33.5</v>
      </c>
      <c r="D18" s="30"/>
      <c r="E18" s="29">
        <f t="shared" si="1"/>
        <v>0</v>
      </c>
      <c r="F18" s="28">
        <f t="shared" si="2"/>
        <v>36.827426536967408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24.828947368421051</v>
      </c>
      <c r="D19" s="49">
        <f>SUM(D10:D18)</f>
        <v>114</v>
      </c>
      <c r="E19" s="48">
        <f t="shared" si="1"/>
        <v>1</v>
      </c>
      <c r="F19" s="47">
        <f>I19/D19</f>
        <v>27.295111498530044</v>
      </c>
      <c r="G19" s="46">
        <f>F19/C19-1</f>
        <v>9.932616528260918E-2</v>
      </c>
      <c r="H19" s="9">
        <f>SUM(H10:H18)</f>
        <v>2830.5</v>
      </c>
      <c r="I19" s="9">
        <f>SUM(I10:I18)</f>
        <v>3111.6427108324251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49.7</v>
      </c>
      <c r="D21" s="30">
        <v>135.6</v>
      </c>
      <c r="E21" s="29">
        <f>D21/$D$48</f>
        <v>1.2136617499641988E-2</v>
      </c>
      <c r="F21" s="28">
        <f>C21-(C21*$E$6)</f>
        <v>54.636510414545683</v>
      </c>
      <c r="G21" s="27" t="str">
        <f>IF(C21&gt;=F21,"-","+")</f>
        <v>+</v>
      </c>
      <c r="H21" s="26">
        <f>C21*D21</f>
        <v>6739.32</v>
      </c>
      <c r="I21" s="26">
        <f>F21*D21</f>
        <v>7408.7108122123946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33.4</v>
      </c>
      <c r="D22" s="30">
        <v>317.60000000000002</v>
      </c>
      <c r="E22" s="29">
        <f>D22/$D$48</f>
        <v>2.8426177860518407E-2</v>
      </c>
      <c r="F22" s="28">
        <f>C22-(C22*$E$6)</f>
        <v>36.717493920439146</v>
      </c>
      <c r="G22" s="27" t="str">
        <f>IF(C22&gt;=F22,"-","+")</f>
        <v>+</v>
      </c>
      <c r="H22" s="26">
        <f>C22*D22</f>
        <v>10607.84</v>
      </c>
      <c r="I22" s="26">
        <f>F22*D22</f>
        <v>11661.476069131473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30.5</v>
      </c>
      <c r="D23" s="30">
        <v>159.4</v>
      </c>
      <c r="E23" s="29">
        <f>D23/$D$48</f>
        <v>1.4266790777602751E-2</v>
      </c>
      <c r="F23" s="28">
        <f>C23-(C23*$E$6)</f>
        <v>33.529448041119579</v>
      </c>
      <c r="G23" s="27" t="str">
        <f>IF(C23&gt;=F23,"-","+")</f>
        <v>+</v>
      </c>
      <c r="H23" s="26">
        <f>C23*D23</f>
        <v>4861.7</v>
      </c>
      <c r="I23" s="26">
        <f>F23*D23</f>
        <v>5344.5940177544608</v>
      </c>
      <c r="J23" s="25"/>
      <c r="K23" s="25"/>
    </row>
    <row r="24" spans="1:11" x14ac:dyDescent="0.25">
      <c r="A24" s="24" t="s">
        <v>34</v>
      </c>
      <c r="B24" s="23"/>
      <c r="C24" s="20">
        <f>H24/D24</f>
        <v>36.253444335618674</v>
      </c>
      <c r="D24" s="22">
        <f>SUM(D21:D23)</f>
        <v>612.6</v>
      </c>
      <c r="E24" s="21">
        <f>D24/$D$48</f>
        <v>5.4829586137763148E-2</v>
      </c>
      <c r="F24" s="20">
        <f>I24/D24</f>
        <v>39.854359939762205</v>
      </c>
      <c r="G24" s="19">
        <f>F24/C24-1</f>
        <v>9.932616528260918E-2</v>
      </c>
      <c r="H24" s="18">
        <f>SUM(H21:H23)</f>
        <v>22208.86</v>
      </c>
      <c r="I24" s="18">
        <f>SUM(I21:I23)</f>
        <v>24414.780899098329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26.5</v>
      </c>
      <c r="D26" s="30">
        <v>2100</v>
      </c>
      <c r="E26" s="29">
        <f t="shared" ref="E26:E32" si="7">D26/$D$48</f>
        <v>0.18795646570242017</v>
      </c>
      <c r="F26" s="28">
        <f t="shared" ref="F26:F31" si="8">C26-(C26*$E$6)</f>
        <v>29.132143379989145</v>
      </c>
      <c r="G26" s="27" t="str">
        <f t="shared" ref="G26:G31" si="9">IF(C26&gt;=F26,"-","+")</f>
        <v>+</v>
      </c>
      <c r="H26" s="26">
        <f t="shared" ref="H26:H31" si="10">C26*D26</f>
        <v>55650</v>
      </c>
      <c r="I26" s="26">
        <f t="shared" ref="I26:I31" si="11">F26*D26</f>
        <v>61177.501097977205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23.6</v>
      </c>
      <c r="D27" s="30">
        <v>1406</v>
      </c>
      <c r="E27" s="29">
        <f t="shared" si="7"/>
        <v>0.1258413289417156</v>
      </c>
      <c r="F27" s="28">
        <f t="shared" si="8"/>
        <v>25.944097500669578</v>
      </c>
      <c r="G27" s="27" t="str">
        <f t="shared" si="9"/>
        <v>+</v>
      </c>
      <c r="H27" s="26">
        <f t="shared" si="10"/>
        <v>33181.599999999999</v>
      </c>
      <c r="I27" s="26">
        <f t="shared" si="11"/>
        <v>36477.401085941427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23.6</v>
      </c>
      <c r="D28" s="30">
        <v>1090.4000000000001</v>
      </c>
      <c r="E28" s="29">
        <f t="shared" si="7"/>
        <v>9.7594157239009036E-2</v>
      </c>
      <c r="F28" s="28">
        <f t="shared" si="8"/>
        <v>25.944097500669578</v>
      </c>
      <c r="G28" s="27" t="str">
        <f t="shared" si="9"/>
        <v>+</v>
      </c>
      <c r="H28" s="26">
        <f t="shared" si="10"/>
        <v>25733.440000000002</v>
      </c>
      <c r="I28" s="26">
        <f t="shared" si="11"/>
        <v>28289.443914730109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22.8</v>
      </c>
      <c r="D29" s="30">
        <v>1029.5</v>
      </c>
      <c r="E29" s="29">
        <f t="shared" si="7"/>
        <v>9.2143419733638848E-2</v>
      </c>
      <c r="F29" s="28">
        <f t="shared" si="8"/>
        <v>25.06463656844349</v>
      </c>
      <c r="G29" s="27" t="str">
        <f t="shared" si="9"/>
        <v>+</v>
      </c>
      <c r="H29" s="26">
        <f t="shared" si="10"/>
        <v>23472.600000000002</v>
      </c>
      <c r="I29" s="26">
        <f t="shared" si="11"/>
        <v>25804.043347212573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22.8</v>
      </c>
      <c r="D30" s="30">
        <v>710.8</v>
      </c>
      <c r="E30" s="29">
        <f t="shared" si="7"/>
        <v>6.3618788486323935E-2</v>
      </c>
      <c r="F30" s="28">
        <f t="shared" si="8"/>
        <v>25.06463656844349</v>
      </c>
      <c r="G30" s="27" t="str">
        <f t="shared" si="9"/>
        <v>+</v>
      </c>
      <c r="H30" s="26">
        <f t="shared" si="10"/>
        <v>16206.24</v>
      </c>
      <c r="I30" s="26">
        <f t="shared" si="11"/>
        <v>17815.943672849633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23.2</v>
      </c>
      <c r="D31" s="30">
        <v>175</v>
      </c>
      <c r="E31" s="29">
        <f t="shared" si="7"/>
        <v>1.5663038808535014E-2</v>
      </c>
      <c r="F31" s="28">
        <f t="shared" si="8"/>
        <v>25.50436703455653</v>
      </c>
      <c r="G31" s="27" t="str">
        <f t="shared" si="9"/>
        <v>+</v>
      </c>
      <c r="H31" s="26">
        <f t="shared" si="10"/>
        <v>4060</v>
      </c>
      <c r="I31" s="26">
        <f t="shared" si="11"/>
        <v>4463.264231047393</v>
      </c>
      <c r="J31" s="25"/>
      <c r="K31" s="25"/>
    </row>
    <row r="32" spans="1:11" x14ac:dyDescent="0.25">
      <c r="A32" s="24" t="s">
        <v>34</v>
      </c>
      <c r="B32" s="23"/>
      <c r="C32" s="20">
        <f>H32/D32</f>
        <v>24.310683846000277</v>
      </c>
      <c r="D32" s="22">
        <f>SUM(D26:D31)</f>
        <v>6511.7</v>
      </c>
      <c r="E32" s="21">
        <f t="shared" si="7"/>
        <v>0.58281719891164263</v>
      </c>
      <c r="F32" s="20">
        <f>I32/D32</f>
        <v>26.725370847821356</v>
      </c>
      <c r="G32" s="19">
        <f>F32/C32-1</f>
        <v>9.932616528260918E-2</v>
      </c>
      <c r="H32" s="18">
        <f>SUM(H26:H31)</f>
        <v>158303.88</v>
      </c>
      <c r="I32" s="18">
        <f>SUM(I26:I31)</f>
        <v>174027.59734975832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</v>
      </c>
      <c r="D34" s="30">
        <v>1296</v>
      </c>
      <c r="E34" s="29">
        <f t="shared" ref="E34:E40" si="13">D34/$D$48</f>
        <v>0.11599599026206502</v>
      </c>
      <c r="F34" s="28">
        <f t="shared" ref="F34:F39" si="14">C34-(C34*$E$6)</f>
        <v>15.390566313956528</v>
      </c>
      <c r="G34" s="27" t="str">
        <f t="shared" ref="G34:G39" si="15">IF(C34&gt;=F34,"-","+")</f>
        <v>+</v>
      </c>
      <c r="H34" s="26">
        <f t="shared" ref="H34:H39" si="16">C34*D34</f>
        <v>18144</v>
      </c>
      <c r="I34" s="26">
        <f t="shared" ref="I34:I39" si="17">F34*D34</f>
        <v>19946.173942887661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10.8</v>
      </c>
      <c r="D35" s="30">
        <v>73</v>
      </c>
      <c r="E35" s="29">
        <f t="shared" si="13"/>
        <v>6.5337247601317486E-3</v>
      </c>
      <c r="F35" s="28">
        <f t="shared" si="14"/>
        <v>11.87272258505218</v>
      </c>
      <c r="G35" s="27" t="str">
        <f t="shared" si="15"/>
        <v>+</v>
      </c>
      <c r="H35" s="26">
        <f t="shared" si="16"/>
        <v>788.40000000000009</v>
      </c>
      <c r="I35" s="26">
        <f t="shared" si="17"/>
        <v>866.70874870880914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8.6</v>
      </c>
      <c r="D36" s="30"/>
      <c r="E36" s="29">
        <f t="shared" si="13"/>
        <v>0</v>
      </c>
      <c r="F36" s="28">
        <f t="shared" si="14"/>
        <v>9.4542050214304378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22.8</v>
      </c>
      <c r="D37" s="30"/>
      <c r="E37" s="29">
        <f t="shared" si="13"/>
        <v>0</v>
      </c>
      <c r="F37" s="28">
        <f t="shared" si="14"/>
        <v>25.06463656844349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22.8</v>
      </c>
      <c r="D38" s="30"/>
      <c r="E38" s="29">
        <f t="shared" si="13"/>
        <v>0</v>
      </c>
      <c r="F38" s="28">
        <f t="shared" si="14"/>
        <v>25.06463656844349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23.6</v>
      </c>
      <c r="D39" s="30"/>
      <c r="E39" s="29">
        <f t="shared" si="13"/>
        <v>0</v>
      </c>
      <c r="F39" s="28">
        <f t="shared" si="14"/>
        <v>25.944097500669578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13.829364499634771</v>
      </c>
      <c r="D40" s="22">
        <f>SUM(D34:D39)</f>
        <v>1369</v>
      </c>
      <c r="E40" s="21">
        <f t="shared" si="13"/>
        <v>0.12252971502219677</v>
      </c>
      <c r="F40" s="20">
        <f>I40/D40</f>
        <v>15.202982243678942</v>
      </c>
      <c r="G40" s="19">
        <f>F40/C40-1</f>
        <v>9.932616528260918E-2</v>
      </c>
      <c r="H40" s="18">
        <f>SUM(H34:H39)</f>
        <v>18932.400000000001</v>
      </c>
      <c r="I40" s="18">
        <f>SUM(I34:I39)</f>
        <v>20812.882691596471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v>2605</v>
      </c>
      <c r="E42" s="107">
        <f>D42/$D$48</f>
        <v>0.23315552054990693</v>
      </c>
      <c r="F42" s="28">
        <f>C42-(C42*$E$6)</f>
        <v>0.32979784958478275</v>
      </c>
      <c r="G42" s="27" t="str">
        <f>IF(C42&gt;=F42,"-","+")</f>
        <v>+</v>
      </c>
      <c r="H42" s="26">
        <f>C42*D42</f>
        <v>781.5</v>
      </c>
      <c r="I42" s="26">
        <f>F42*D42</f>
        <v>859.12339816835913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69.5</v>
      </c>
      <c r="E43" s="107">
        <f>D43/$D$48</f>
        <v>6.2204639839610488E-3</v>
      </c>
      <c r="F43" s="28">
        <f>C43-(C43*$E$6)</f>
        <v>0.32979784958478275</v>
      </c>
      <c r="G43" s="27" t="str">
        <f>IF(C43&gt;=F43,"-","+")</f>
        <v>+</v>
      </c>
      <c r="H43" s="26">
        <f>C43*D43</f>
        <v>20.849999999999998</v>
      </c>
      <c r="I43" s="26">
        <f>F43*D43</f>
        <v>22.9209505461424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4.4751539452957183E-4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0.2994401940660571</v>
      </c>
      <c r="D46" s="22">
        <f>SUM(D41:D45)</f>
        <v>2679.5</v>
      </c>
      <c r="E46" s="21">
        <f>D46/$D$48</f>
        <v>0.23982349992839755</v>
      </c>
      <c r="F46" s="20">
        <f>I46/D46</f>
        <v>0.32918244027411886</v>
      </c>
      <c r="G46" s="19">
        <f>F46/C46-1</f>
        <v>9.932616528260918E-2</v>
      </c>
      <c r="H46" s="18">
        <f>SUM(H41:H44)</f>
        <v>802.35</v>
      </c>
      <c r="I46" s="18">
        <f>SUM(I41:I44)</f>
        <v>882.04434871450155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74.692932875319769</v>
      </c>
      <c r="D48" s="13">
        <f>D24+D32+D40+D46</f>
        <v>11172.8</v>
      </c>
      <c r="E48" s="12">
        <f>SUM(E20:E46)/2</f>
        <v>1.0000000000000002</v>
      </c>
      <c r="F48" s="11">
        <f>I48/D48</f>
        <v>19.702966605431733</v>
      </c>
      <c r="G48" s="10"/>
      <c r="H48" s="9">
        <f>SUM(H20:H46)/2</f>
        <v>200247.49</v>
      </c>
      <c r="I48" s="9">
        <f>SUM(I20:I46)/2</f>
        <v>220137.30528916765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11286.8</v>
      </c>
      <c r="E50" s="12">
        <f>D50/G2</f>
        <v>1.0000177201282936</v>
      </c>
      <c r="F50" s="11">
        <f>I50/D50</f>
        <v>19.779649502073227</v>
      </c>
      <c r="G50" s="10"/>
      <c r="H50" s="9">
        <f>H48+H19</f>
        <v>203077.99</v>
      </c>
      <c r="I50" s="9">
        <f>I48+I19</f>
        <v>223248.94800000006</v>
      </c>
      <c r="J50" s="106">
        <f>D50-G2</f>
        <v>0.19999999999890861</v>
      </c>
      <c r="K50" s="8"/>
    </row>
    <row r="51" spans="1:11" ht="23.25" x14ac:dyDescent="0.35">
      <c r="A51" s="174" t="s">
        <v>216</v>
      </c>
      <c r="B51" s="169"/>
      <c r="C51" s="170"/>
      <c r="G51" s="7"/>
      <c r="H51" s="6"/>
      <c r="I51" s="6">
        <f>+I50/D50</f>
        <v>19.779649502073227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217</v>
      </c>
      <c r="D1" s="100" t="s">
        <v>1</v>
      </c>
      <c r="E1" s="168" t="s">
        <v>218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217</v>
      </c>
      <c r="D2" s="96" t="s">
        <v>3</v>
      </c>
      <c r="E2" s="95" t="s">
        <v>112</v>
      </c>
      <c r="F2" s="94" t="s">
        <v>5</v>
      </c>
      <c r="G2" s="93">
        <v>7944.9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194</v>
      </c>
      <c r="D3" s="90" t="s">
        <v>7</v>
      </c>
      <c r="E3" s="89">
        <v>124</v>
      </c>
      <c r="F3" s="88" t="s">
        <v>8</v>
      </c>
      <c r="G3" s="87">
        <v>21.33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64.071774193548379</v>
      </c>
      <c r="F4" s="81" t="s">
        <v>12</v>
      </c>
      <c r="G4" s="80">
        <f>G2*G3</f>
        <v>169464.71699999998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-4.6720100654289443E-2</v>
      </c>
      <c r="F6" s="69" t="s">
        <v>16</v>
      </c>
      <c r="G6" s="68">
        <f>(I50-I19)/(D50-(SUM(D42:D44)+D19))</f>
        <v>26.392537462614964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21.3</v>
      </c>
      <c r="D10" s="30"/>
      <c r="E10" s="29">
        <f t="shared" ref="E10:E19" si="1">D10/$D$19</f>
        <v>0</v>
      </c>
      <c r="F10" s="28">
        <f t="shared" ref="F10:F18" si="2">C10-(C10*$E$6)</f>
        <v>22.295138143936367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22.2</v>
      </c>
      <c r="D11" s="30">
        <v>254.9</v>
      </c>
      <c r="E11" s="29">
        <f t="shared" si="1"/>
        <v>0.52643535729037583</v>
      </c>
      <c r="F11" s="28">
        <f t="shared" si="2"/>
        <v>23.237186234525225</v>
      </c>
      <c r="G11" s="27" t="str">
        <f t="shared" si="3"/>
        <v>+</v>
      </c>
      <c r="H11" s="34">
        <f t="shared" si="4"/>
        <v>5658.78</v>
      </c>
      <c r="I11" s="34">
        <f t="shared" si="5"/>
        <v>5923.1587711804805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20.3</v>
      </c>
      <c r="D12" s="30">
        <v>229.3</v>
      </c>
      <c r="E12" s="29">
        <f t="shared" si="1"/>
        <v>0.47356464270962412</v>
      </c>
      <c r="F12" s="28">
        <f t="shared" si="2"/>
        <v>21.248418043282076</v>
      </c>
      <c r="G12" s="27" t="str">
        <f t="shared" si="3"/>
        <v>+</v>
      </c>
      <c r="H12" s="34">
        <f t="shared" si="4"/>
        <v>4654.79</v>
      </c>
      <c r="I12" s="34">
        <f t="shared" si="5"/>
        <v>4872.2622573245799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22.2</v>
      </c>
      <c r="D13" s="30"/>
      <c r="E13" s="29">
        <f t="shared" si="1"/>
        <v>0</v>
      </c>
      <c r="F13" s="28">
        <f t="shared" si="2"/>
        <v>23.237186234525225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24.8</v>
      </c>
      <c r="D14" s="30"/>
      <c r="E14" s="29">
        <f t="shared" si="1"/>
        <v>0</v>
      </c>
      <c r="F14" s="28">
        <f t="shared" si="2"/>
        <v>25.958658496226377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20.5</v>
      </c>
      <c r="D15" s="30"/>
      <c r="E15" s="29">
        <f t="shared" si="1"/>
        <v>0</v>
      </c>
      <c r="F15" s="28">
        <f t="shared" si="2"/>
        <v>21.457762063412932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28</v>
      </c>
      <c r="D16" s="30"/>
      <c r="E16" s="29">
        <f t="shared" si="1"/>
        <v>0</v>
      </c>
      <c r="F16" s="28">
        <f t="shared" si="2"/>
        <v>29.308162818320106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41.3</v>
      </c>
      <c r="D17" s="30"/>
      <c r="E17" s="29">
        <f t="shared" si="1"/>
        <v>0</v>
      </c>
      <c r="F17" s="28">
        <f t="shared" si="2"/>
        <v>43.22954015702215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36.1</v>
      </c>
      <c r="D18" s="30"/>
      <c r="E18" s="29">
        <f t="shared" si="1"/>
        <v>0</v>
      </c>
      <c r="F18" s="28">
        <f t="shared" si="2"/>
        <v>37.786595633619854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21.30022717885171</v>
      </c>
      <c r="D19" s="49">
        <f>SUM(D10:D18)</f>
        <v>484.20000000000005</v>
      </c>
      <c r="E19" s="48">
        <f t="shared" si="1"/>
        <v>1</v>
      </c>
      <c r="F19" s="47">
        <f>I19/D19</f>
        <v>22.295375936606899</v>
      </c>
      <c r="G19" s="46">
        <f>F19/C19-1</f>
        <v>4.6720100654289665E-2</v>
      </c>
      <c r="H19" s="9">
        <f>SUM(H10:H18)</f>
        <v>10313.57</v>
      </c>
      <c r="I19" s="9">
        <f>SUM(I10:I18)</f>
        <v>10795.421028505061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53.6</v>
      </c>
      <c r="D21" s="30">
        <v>96.8</v>
      </c>
      <c r="E21" s="29">
        <f>D21/$D$48</f>
        <v>1.2974653852855631E-2</v>
      </c>
      <c r="F21" s="28">
        <f>C21-(C21*$E$6)</f>
        <v>56.104197395069917</v>
      </c>
      <c r="G21" s="27" t="str">
        <f>IF(C21&gt;=F21,"-","+")</f>
        <v>+</v>
      </c>
      <c r="H21" s="26">
        <f>C21*D21</f>
        <v>5188.4799999999996</v>
      </c>
      <c r="I21" s="26">
        <f>F21*D21</f>
        <v>5430.8863078427676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36</v>
      </c>
      <c r="D22" s="30">
        <v>203.8</v>
      </c>
      <c r="E22" s="29">
        <f>D22/$D$48</f>
        <v>2.7316471644751834E-2</v>
      </c>
      <c r="F22" s="28">
        <f>C22-(C22*$E$6)</f>
        <v>37.681923623554418</v>
      </c>
      <c r="G22" s="27" t="str">
        <f>IF(C22&gt;=F22,"-","+")</f>
        <v>+</v>
      </c>
      <c r="H22" s="26">
        <f>C22*D22</f>
        <v>7336.8</v>
      </c>
      <c r="I22" s="26">
        <f>F22*D22</f>
        <v>7679.5760344803912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32.799999999999997</v>
      </c>
      <c r="D23" s="30">
        <v>193</v>
      </c>
      <c r="E23" s="29">
        <f>D23/$D$48</f>
        <v>2.5868886297532402E-2</v>
      </c>
      <c r="F23" s="28">
        <f>C23-(C23*$E$6)</f>
        <v>34.332419301460689</v>
      </c>
      <c r="G23" s="27" t="str">
        <f>IF(C23&gt;=F23,"-","+")</f>
        <v>+</v>
      </c>
      <c r="H23" s="26">
        <f>C23*D23</f>
        <v>6330.4</v>
      </c>
      <c r="I23" s="26">
        <f>F23*D23</f>
        <v>6626.1569251819128</v>
      </c>
      <c r="J23" s="25"/>
      <c r="K23" s="25"/>
    </row>
    <row r="24" spans="1:11" x14ac:dyDescent="0.25">
      <c r="A24" s="24" t="s">
        <v>34</v>
      </c>
      <c r="B24" s="23"/>
      <c r="C24" s="20">
        <f>H24/D24</f>
        <v>38.200324149108589</v>
      </c>
      <c r="D24" s="22">
        <f>SUM(D21:D23)</f>
        <v>493.6</v>
      </c>
      <c r="E24" s="21">
        <f>D24/$D$48</f>
        <v>6.6160011795139875E-2</v>
      </c>
      <c r="F24" s="20">
        <f>I24/D24</f>
        <v>39.985047138381418</v>
      </c>
      <c r="G24" s="19">
        <f>F24/C24-1</f>
        <v>4.6720100654289221E-2</v>
      </c>
      <c r="H24" s="18">
        <f>SUM(H21:H23)</f>
        <v>18855.68</v>
      </c>
      <c r="I24" s="18">
        <f>SUM(I21:I23)</f>
        <v>19736.61926750507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28.6</v>
      </c>
      <c r="D26" s="30">
        <v>1395</v>
      </c>
      <c r="E26" s="29">
        <f t="shared" ref="E26:E32" si="7">D26/$D$48</f>
        <v>0.18697977401584301</v>
      </c>
      <c r="F26" s="28">
        <f t="shared" ref="F26:F31" si="8">C26-(C26*$E$6)</f>
        <v>29.93619487871268</v>
      </c>
      <c r="G26" s="27" t="str">
        <f t="shared" ref="G26:G31" si="9">IF(C26&gt;=F26,"-","+")</f>
        <v>+</v>
      </c>
      <c r="H26" s="26">
        <f t="shared" ref="H26:H31" si="10">C26*D26</f>
        <v>39897</v>
      </c>
      <c r="I26" s="26">
        <f t="shared" ref="I26:I31" si="11">F26*D26</f>
        <v>41760.99185580419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25.5</v>
      </c>
      <c r="D27" s="30">
        <v>1074.0999999999999</v>
      </c>
      <c r="E27" s="29">
        <f t="shared" si="7"/>
        <v>0.14396772420818421</v>
      </c>
      <c r="F27" s="28">
        <f t="shared" si="8"/>
        <v>26.691362566684379</v>
      </c>
      <c r="G27" s="27" t="str">
        <f t="shared" si="9"/>
        <v>+</v>
      </c>
      <c r="H27" s="26">
        <f t="shared" si="10"/>
        <v>27389.55</v>
      </c>
      <c r="I27" s="26">
        <f t="shared" si="11"/>
        <v>28669.192532875688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25.5</v>
      </c>
      <c r="D28" s="30">
        <v>690</v>
      </c>
      <c r="E28" s="29">
        <f t="shared" si="7"/>
        <v>9.2484619405685795E-2</v>
      </c>
      <c r="F28" s="28">
        <f t="shared" si="8"/>
        <v>26.691362566684379</v>
      </c>
      <c r="G28" s="27" t="str">
        <f t="shared" si="9"/>
        <v>+</v>
      </c>
      <c r="H28" s="26">
        <f t="shared" si="10"/>
        <v>17595</v>
      </c>
      <c r="I28" s="26">
        <f t="shared" si="11"/>
        <v>18417.040171012221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24.6</v>
      </c>
      <c r="D29" s="30">
        <v>668.6</v>
      </c>
      <c r="E29" s="29">
        <f t="shared" si="7"/>
        <v>8.9616255847306564E-2</v>
      </c>
      <c r="F29" s="28">
        <f t="shared" si="8"/>
        <v>25.74931447609552</v>
      </c>
      <c r="G29" s="27" t="str">
        <f t="shared" si="9"/>
        <v>+</v>
      </c>
      <c r="H29" s="26">
        <f t="shared" si="10"/>
        <v>16447.560000000001</v>
      </c>
      <c r="I29" s="26">
        <f t="shared" si="11"/>
        <v>17215.991658717467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24.6</v>
      </c>
      <c r="D30" s="30">
        <v>453.4</v>
      </c>
      <c r="E30" s="29">
        <f t="shared" si="7"/>
        <v>6.0771777447156429E-2</v>
      </c>
      <c r="F30" s="28">
        <f t="shared" si="8"/>
        <v>25.74931447609552</v>
      </c>
      <c r="G30" s="27" t="str">
        <f t="shared" si="9"/>
        <v>+</v>
      </c>
      <c r="H30" s="26">
        <f t="shared" si="10"/>
        <v>11153.64</v>
      </c>
      <c r="I30" s="26">
        <f t="shared" si="11"/>
        <v>11674.739183461708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25.1</v>
      </c>
      <c r="D31" s="30">
        <v>118.8</v>
      </c>
      <c r="E31" s="29">
        <f t="shared" si="7"/>
        <v>1.5923438819413729E-2</v>
      </c>
      <c r="F31" s="28">
        <f t="shared" si="8"/>
        <v>26.272674526422666</v>
      </c>
      <c r="G31" s="27" t="str">
        <f t="shared" si="9"/>
        <v>+</v>
      </c>
      <c r="H31" s="26">
        <f t="shared" si="10"/>
        <v>2981.88</v>
      </c>
      <c r="I31" s="26">
        <f t="shared" si="11"/>
        <v>3121.1937337390127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26.242557785404216</v>
      </c>
      <c r="D32" s="22">
        <f>SUM(D26:D31)</f>
        <v>4399.8999999999996</v>
      </c>
      <c r="E32" s="21">
        <f t="shared" si="7"/>
        <v>0.58974358974358976</v>
      </c>
      <c r="F32" s="20">
        <f>I32/D32</f>
        <v>27.468612726564306</v>
      </c>
      <c r="G32" s="19">
        <f>F32/C32-1</f>
        <v>4.6720100654289443E-2</v>
      </c>
      <c r="H32" s="18">
        <f>SUM(H26:H31)</f>
        <v>115464.63</v>
      </c>
      <c r="I32" s="18">
        <f>SUM(I26:I31)</f>
        <v>120859.14913561028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15.1</v>
      </c>
      <c r="D34" s="30">
        <v>1079</v>
      </c>
      <c r="E34" s="29">
        <f t="shared" ref="E34:E40" si="13">D34/$D$48</f>
        <v>0.1446244990416449</v>
      </c>
      <c r="F34" s="28">
        <f t="shared" ref="F34:F39" si="14">C34-(C34*$E$6)</f>
        <v>15.80547351987977</v>
      </c>
      <c r="G34" s="27" t="str">
        <f t="shared" ref="G34:G39" si="15">IF(C34&gt;=F34,"-","+")</f>
        <v>+</v>
      </c>
      <c r="H34" s="26">
        <f t="shared" ref="H34:H39" si="16">C34*D34</f>
        <v>16292.9</v>
      </c>
      <c r="I34" s="26">
        <f t="shared" ref="I34:I39" si="17">F34*D34</f>
        <v>17054.105927950273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11.6</v>
      </c>
      <c r="D35" s="30">
        <v>34</v>
      </c>
      <c r="E35" s="29">
        <f t="shared" si="13"/>
        <v>4.5572131301352421E-3</v>
      </c>
      <c r="F35" s="28">
        <f t="shared" si="14"/>
        <v>12.141953167589758</v>
      </c>
      <c r="G35" s="27" t="str">
        <f t="shared" si="15"/>
        <v>+</v>
      </c>
      <c r="H35" s="26">
        <f t="shared" si="16"/>
        <v>394.4</v>
      </c>
      <c r="I35" s="26">
        <f t="shared" si="17"/>
        <v>412.82640769805175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9.3000000000000007</v>
      </c>
      <c r="D36" s="30"/>
      <c r="E36" s="29">
        <f t="shared" si="13"/>
        <v>0</v>
      </c>
      <c r="F36" s="28">
        <f t="shared" si="14"/>
        <v>9.7344969360848932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24.6</v>
      </c>
      <c r="D37" s="30"/>
      <c r="E37" s="29">
        <f t="shared" si="13"/>
        <v>0</v>
      </c>
      <c r="F37" s="28">
        <f t="shared" si="14"/>
        <v>25.74931447609552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24.6</v>
      </c>
      <c r="D38" s="30"/>
      <c r="E38" s="29">
        <f t="shared" si="13"/>
        <v>0</v>
      </c>
      <c r="F38" s="28">
        <f t="shared" si="14"/>
        <v>25.74931447609552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25.5</v>
      </c>
      <c r="D39" s="30"/>
      <c r="E39" s="29">
        <f t="shared" si="13"/>
        <v>0</v>
      </c>
      <c r="F39" s="28">
        <f t="shared" si="14"/>
        <v>26.691362566684379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14.993081761006289</v>
      </c>
      <c r="D40" s="22">
        <f>SUM(D34:D39)</f>
        <v>1113</v>
      </c>
      <c r="E40" s="21">
        <f t="shared" si="13"/>
        <v>0.14918171217178014</v>
      </c>
      <c r="F40" s="20">
        <f>I40/D40</f>
        <v>15.693560049998496</v>
      </c>
      <c r="G40" s="19">
        <f>F40/C40-1</f>
        <v>4.6720100654289443E-2</v>
      </c>
      <c r="H40" s="18">
        <f>SUM(H34:H39)</f>
        <v>16687.3</v>
      </c>
      <c r="I40" s="18">
        <f>SUM(I34:I39)</f>
        <v>17466.932335648326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1401</v>
      </c>
      <c r="E42" s="107">
        <f>D42/$D$48</f>
        <v>0.18778398809763158</v>
      </c>
      <c r="F42" s="28">
        <f>C42-(C42*$E$6)</f>
        <v>0.4186880402617158</v>
      </c>
      <c r="G42" s="27" t="str">
        <f>IF(C42&gt;=F42,"-","+")</f>
        <v>+</v>
      </c>
      <c r="H42" s="26">
        <f>C42*D42</f>
        <v>560.4</v>
      </c>
      <c r="I42" s="26">
        <f>F42*D42</f>
        <v>586.58194440666387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47.8</v>
      </c>
      <c r="E43" s="107">
        <f>D43/$D$48</f>
        <v>6.4069055182489577E-3</v>
      </c>
      <c r="F43" s="28">
        <f>C43-(C43*$E$6)</f>
        <v>0.4186880402617158</v>
      </c>
      <c r="G43" s="27" t="str">
        <f>IF(C43&gt;=F43,"-","+")</f>
        <v>+</v>
      </c>
      <c r="H43" s="26">
        <f>C43*D43</f>
        <v>19.12</v>
      </c>
      <c r="I43" s="26">
        <f>F43*D43</f>
        <v>20.013288324510015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7.23792673609715E-4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0.39851464722871682</v>
      </c>
      <c r="D46" s="22">
        <f>SUM(D41:D45)</f>
        <v>1454.2</v>
      </c>
      <c r="E46" s="21">
        <f>D46/$D$48</f>
        <v>0.19491468628949027</v>
      </c>
      <c r="F46" s="20">
        <f>I46/D46</f>
        <v>0.41713329165945112</v>
      </c>
      <c r="G46" s="19">
        <f>F46/C46-1</f>
        <v>4.6720100654289443E-2</v>
      </c>
      <c r="H46" s="18">
        <f>SUM(H41:H44)</f>
        <v>579.52</v>
      </c>
      <c r="I46" s="18">
        <f>SUM(I41:I44)</f>
        <v>606.59523273117384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79.834478342747815</v>
      </c>
      <c r="D48" s="13">
        <f>D24+D32+D40+D46</f>
        <v>7460.7</v>
      </c>
      <c r="E48" s="12">
        <f>SUM(E20:E46)/2</f>
        <v>1</v>
      </c>
      <c r="F48" s="11">
        <f>I48/D48</f>
        <v>21.267347027959158</v>
      </c>
      <c r="G48" s="10"/>
      <c r="H48" s="9">
        <f>SUM(H20:H46)/2</f>
        <v>151587.13000000003</v>
      </c>
      <c r="I48" s="9">
        <f>SUM(I20:I46)/2</f>
        <v>158669.2959714949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7944.9</v>
      </c>
      <c r="E50" s="12">
        <f>D50/G2</f>
        <v>1</v>
      </c>
      <c r="F50" s="11">
        <f>I50/D50</f>
        <v>21.329999999999995</v>
      </c>
      <c r="G50" s="10"/>
      <c r="H50" s="9">
        <f>H48+H19</f>
        <v>161900.70000000004</v>
      </c>
      <c r="I50" s="9">
        <f>I48+I19</f>
        <v>169464.71699999995</v>
      </c>
      <c r="J50" s="106">
        <f>D50-G2</f>
        <v>0</v>
      </c>
      <c r="K50" s="8"/>
    </row>
    <row r="51" spans="1:11" ht="23.25" x14ac:dyDescent="0.35">
      <c r="A51" s="174" t="s">
        <v>219</v>
      </c>
      <c r="B51" s="169"/>
      <c r="C51" s="170"/>
      <c r="G51" s="7"/>
      <c r="H51" s="6"/>
      <c r="I51" s="6">
        <f>+I50/D50</f>
        <v>21.329999999999995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92D050"/>
  </sheetPr>
  <dimension ref="A1:K56"/>
  <sheetViews>
    <sheetView workbookViewId="0">
      <selection activeCell="E3" sqref="E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217</v>
      </c>
      <c r="D1" s="100" t="s">
        <v>1</v>
      </c>
      <c r="E1" s="168" t="s">
        <v>220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217</v>
      </c>
      <c r="D2" s="96" t="s">
        <v>3</v>
      </c>
      <c r="E2" s="95" t="s">
        <v>112</v>
      </c>
      <c r="F2" s="94" t="s">
        <v>5</v>
      </c>
      <c r="G2" s="93">
        <v>810.3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221</v>
      </c>
      <c r="D3" s="90" t="s">
        <v>7</v>
      </c>
      <c r="E3" s="89">
        <v>12</v>
      </c>
      <c r="F3" s="88" t="s">
        <v>8</v>
      </c>
      <c r="G3" s="87">
        <v>21.6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67.524999999999991</v>
      </c>
      <c r="F4" s="81" t="s">
        <v>12</v>
      </c>
      <c r="G4" s="80">
        <f>G2*G3</f>
        <v>17502.48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-0.12731945316651383</v>
      </c>
      <c r="F6" s="69" t="s">
        <v>16</v>
      </c>
      <c r="G6" s="68">
        <f>(I50-I19)/(D50-(SUM(D42:D44)+D19))</f>
        <v>28.30284605433377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21.6</v>
      </c>
      <c r="D10" s="30"/>
      <c r="E10" s="29" t="e">
        <f t="shared" ref="E10:E19" si="1">D10/$D$19</f>
        <v>#DIV/0!</v>
      </c>
      <c r="F10" s="28">
        <f t="shared" ref="F10:F18" si="2">C10-(C10*$E$6)</f>
        <v>24.350100188396702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22.5</v>
      </c>
      <c r="D11" s="30"/>
      <c r="E11" s="29" t="e">
        <f t="shared" si="1"/>
        <v>#DIV/0!</v>
      </c>
      <c r="F11" s="28">
        <f t="shared" si="2"/>
        <v>25.364687696246563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20.5</v>
      </c>
      <c r="D12" s="30"/>
      <c r="E12" s="29" t="e">
        <f t="shared" si="1"/>
        <v>#DIV/0!</v>
      </c>
      <c r="F12" s="28">
        <f t="shared" si="2"/>
        <v>23.110048789913535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22.5</v>
      </c>
      <c r="D13" s="30"/>
      <c r="E13" s="29" t="e">
        <f t="shared" si="1"/>
        <v>#DIV/0!</v>
      </c>
      <c r="F13" s="28">
        <f t="shared" si="2"/>
        <v>25.364687696246563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25.1</v>
      </c>
      <c r="D14" s="30"/>
      <c r="E14" s="29" t="e">
        <f t="shared" si="1"/>
        <v>#DIV/0!</v>
      </c>
      <c r="F14" s="28">
        <f t="shared" si="2"/>
        <v>28.295718274479498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20.7</v>
      </c>
      <c r="D15" s="30"/>
      <c r="E15" s="29" t="e">
        <f t="shared" si="1"/>
        <v>#DIV/0!</v>
      </c>
      <c r="F15" s="28">
        <f t="shared" si="2"/>
        <v>23.335512680546834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28.4</v>
      </c>
      <c r="D16" s="30"/>
      <c r="E16" s="29" t="e">
        <f t="shared" si="1"/>
        <v>#DIV/0!</v>
      </c>
      <c r="F16" s="28">
        <f t="shared" si="2"/>
        <v>32.015872469928993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41.8</v>
      </c>
      <c r="D17" s="30"/>
      <c r="E17" s="29" t="e">
        <f t="shared" si="1"/>
        <v>#DIV/0!</v>
      </c>
      <c r="F17" s="28">
        <f t="shared" si="2"/>
        <v>47.121953142360276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36.6</v>
      </c>
      <c r="D18" s="30"/>
      <c r="E18" s="29" t="e">
        <f t="shared" si="1"/>
        <v>#DIV/0!</v>
      </c>
      <c r="F18" s="28">
        <f t="shared" si="2"/>
        <v>41.259891985894406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54.3</v>
      </c>
      <c r="D21" s="30">
        <v>9</v>
      </c>
      <c r="E21" s="29">
        <f>D21/$D$48</f>
        <v>1.1106997408367273E-2</v>
      </c>
      <c r="F21" s="28">
        <f>C21-(C21*$E$6)</f>
        <v>61.213446306941698</v>
      </c>
      <c r="G21" s="27" t="str">
        <f>IF(C21&gt;=F21,"-","+")</f>
        <v>+</v>
      </c>
      <c r="H21" s="26">
        <f>C21*D21</f>
        <v>488.7</v>
      </c>
      <c r="I21" s="26">
        <f>F21*D21</f>
        <v>550.92101676247523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36.5</v>
      </c>
      <c r="D22" s="30">
        <v>20.8</v>
      </c>
      <c r="E22" s="29">
        <f>D22/$D$48</f>
        <v>2.5669505121559917E-2</v>
      </c>
      <c r="F22" s="28">
        <f>C22-(C22*$E$6)</f>
        <v>41.147160040577752</v>
      </c>
      <c r="G22" s="27" t="str">
        <f>IF(C22&gt;=F22,"-","+")</f>
        <v>+</v>
      </c>
      <c r="H22" s="26">
        <f>C22*D22</f>
        <v>759.2</v>
      </c>
      <c r="I22" s="26">
        <f>F22*D22</f>
        <v>855.86092884401728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33.299999999999997</v>
      </c>
      <c r="D23" s="30">
        <v>13</v>
      </c>
      <c r="E23" s="29">
        <f>D23/$D$48</f>
        <v>1.6043440700974947E-2</v>
      </c>
      <c r="F23" s="28">
        <f>C23-(C23*$E$6)</f>
        <v>37.53973779044491</v>
      </c>
      <c r="G23" s="27" t="str">
        <f>IF(C23&gt;=F23,"-","+")</f>
        <v>+</v>
      </c>
      <c r="H23" s="26">
        <f>C23*D23</f>
        <v>432.9</v>
      </c>
      <c r="I23" s="26">
        <f>F23*D23</f>
        <v>488.01659127578381</v>
      </c>
      <c r="J23" s="25"/>
      <c r="K23" s="25"/>
    </row>
    <row r="24" spans="1:11" x14ac:dyDescent="0.25">
      <c r="A24" s="24" t="s">
        <v>34</v>
      </c>
      <c r="B24" s="23"/>
      <c r="C24" s="20">
        <f>H24/D24</f>
        <v>39.271028037383182</v>
      </c>
      <c r="D24" s="22">
        <f>SUM(D21:D23)</f>
        <v>42.8</v>
      </c>
      <c r="E24" s="21">
        <f>D24/$D$48</f>
        <v>5.2819943230902132E-2</v>
      </c>
      <c r="F24" s="20">
        <f>I24/D24</f>
        <v>44.270993852389644</v>
      </c>
      <c r="G24" s="19">
        <f>F24/C24-1</f>
        <v>0.12731945316651383</v>
      </c>
      <c r="H24" s="18">
        <f>SUM(H21:H23)</f>
        <v>1680.8000000000002</v>
      </c>
      <c r="I24" s="18">
        <f>SUM(I21:I23)</f>
        <v>1894.7985368822765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29</v>
      </c>
      <c r="D26" s="30">
        <v>154</v>
      </c>
      <c r="E26" s="29">
        <f t="shared" ref="E26:E32" si="7">D26/$D$48</f>
        <v>0.19005306676539555</v>
      </c>
      <c r="F26" s="28">
        <f t="shared" ref="F26:F31" si="8">C26-(C26*$E$6)</f>
        <v>32.6922641418289</v>
      </c>
      <c r="G26" s="27" t="str">
        <f t="shared" ref="G26:G31" si="9">IF(C26&gt;=F26,"-","+")</f>
        <v>+</v>
      </c>
      <c r="H26" s="26">
        <f t="shared" ref="H26:H31" si="10">C26*D26</f>
        <v>4466</v>
      </c>
      <c r="I26" s="26">
        <f t="shared" ref="I26:I31" si="11">F26*D26</f>
        <v>5034.6086778416502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25.8</v>
      </c>
      <c r="D27" s="30">
        <v>98.2</v>
      </c>
      <c r="E27" s="29">
        <f t="shared" si="7"/>
        <v>0.12118968283351846</v>
      </c>
      <c r="F27" s="28">
        <f t="shared" si="8"/>
        <v>29.084841891696058</v>
      </c>
      <c r="G27" s="27" t="str">
        <f t="shared" si="9"/>
        <v>+</v>
      </c>
      <c r="H27" s="26">
        <f t="shared" si="10"/>
        <v>2533.56</v>
      </c>
      <c r="I27" s="26">
        <f t="shared" si="11"/>
        <v>2856.131473764553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25.8</v>
      </c>
      <c r="D28" s="30">
        <v>72.2</v>
      </c>
      <c r="E28" s="29">
        <f t="shared" si="7"/>
        <v>8.9102801431568568E-2</v>
      </c>
      <c r="F28" s="28">
        <f t="shared" si="8"/>
        <v>29.084841891696058</v>
      </c>
      <c r="G28" s="27" t="str">
        <f t="shared" si="9"/>
        <v>+</v>
      </c>
      <c r="H28" s="26">
        <f t="shared" si="10"/>
        <v>1862.7600000000002</v>
      </c>
      <c r="I28" s="26">
        <f t="shared" si="11"/>
        <v>2099.9255845804555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24.9</v>
      </c>
      <c r="D29" s="30">
        <v>62.4</v>
      </c>
      <c r="E29" s="29">
        <f t="shared" si="7"/>
        <v>7.7008515364679744E-2</v>
      </c>
      <c r="F29" s="28">
        <f t="shared" si="8"/>
        <v>28.070254383846194</v>
      </c>
      <c r="G29" s="27" t="str">
        <f t="shared" si="9"/>
        <v>+</v>
      </c>
      <c r="H29" s="26">
        <f t="shared" si="10"/>
        <v>1553.7599999999998</v>
      </c>
      <c r="I29" s="26">
        <f t="shared" si="11"/>
        <v>1751.5838735520024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24.9</v>
      </c>
      <c r="D30" s="30">
        <v>39</v>
      </c>
      <c r="E30" s="29">
        <f t="shared" si="7"/>
        <v>4.8130322102924845E-2</v>
      </c>
      <c r="F30" s="28">
        <f t="shared" si="8"/>
        <v>28.070254383846194</v>
      </c>
      <c r="G30" s="27" t="str">
        <f t="shared" si="9"/>
        <v>+</v>
      </c>
      <c r="H30" s="26">
        <f t="shared" si="10"/>
        <v>971.09999999999991</v>
      </c>
      <c r="I30" s="26">
        <f t="shared" si="11"/>
        <v>1094.7399209700015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25.4</v>
      </c>
      <c r="D31" s="30">
        <v>12</v>
      </c>
      <c r="E31" s="29">
        <f t="shared" si="7"/>
        <v>1.4809329877823029E-2</v>
      </c>
      <c r="F31" s="28">
        <f t="shared" si="8"/>
        <v>28.633914110429451</v>
      </c>
      <c r="G31" s="27" t="str">
        <f t="shared" si="9"/>
        <v>+</v>
      </c>
      <c r="H31" s="26">
        <f t="shared" si="10"/>
        <v>304.79999999999995</v>
      </c>
      <c r="I31" s="26">
        <f t="shared" si="11"/>
        <v>343.60696932515339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26.706212882594794</v>
      </c>
      <c r="D32" s="22">
        <f>SUM(D26:D31)</f>
        <v>437.79999999999995</v>
      </c>
      <c r="E32" s="21">
        <f t="shared" si="7"/>
        <v>0.54029371837591011</v>
      </c>
      <c r="F32" s="20">
        <f>I32/D32</f>
        <v>30.106433302955274</v>
      </c>
      <c r="G32" s="19">
        <f>F32/C32-1</f>
        <v>0.12731945316651405</v>
      </c>
      <c r="H32" s="18">
        <f>SUM(H26:H31)</f>
        <v>11691.98</v>
      </c>
      <c r="I32" s="18">
        <f>SUM(I26:I31)</f>
        <v>13180.596500033818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15.3</v>
      </c>
      <c r="D34" s="30">
        <v>135.69999999999999</v>
      </c>
      <c r="E34" s="29">
        <f t="shared" ref="E34:E40" si="13">D34/$D$48</f>
        <v>0.16746883870171542</v>
      </c>
      <c r="F34" s="28">
        <f t="shared" ref="F34:F39" si="14">C34-(C34*$E$6)</f>
        <v>17.247987633447664</v>
      </c>
      <c r="G34" s="27" t="str">
        <f t="shared" ref="G34:G39" si="15">IF(C34&gt;=F34,"-","+")</f>
        <v>+</v>
      </c>
      <c r="H34" s="26">
        <f t="shared" ref="H34:H39" si="16">C34*D34</f>
        <v>2076.21</v>
      </c>
      <c r="I34" s="26">
        <f t="shared" ref="I34:I39" si="17">F34*D34</f>
        <v>2340.5519218588479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11.7</v>
      </c>
      <c r="D35" s="30"/>
      <c r="E35" s="29">
        <f t="shared" si="13"/>
        <v>0</v>
      </c>
      <c r="F35" s="28">
        <f t="shared" si="14"/>
        <v>13.189637602048212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9.4</v>
      </c>
      <c r="D36" s="30"/>
      <c r="E36" s="29">
        <f t="shared" si="13"/>
        <v>0</v>
      </c>
      <c r="F36" s="28">
        <f t="shared" si="14"/>
        <v>10.59680285976523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24.9</v>
      </c>
      <c r="D37" s="30"/>
      <c r="E37" s="29">
        <f t="shared" si="13"/>
        <v>0</v>
      </c>
      <c r="F37" s="28">
        <f t="shared" si="14"/>
        <v>28.070254383846194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24.9</v>
      </c>
      <c r="D38" s="30"/>
      <c r="E38" s="29">
        <f t="shared" si="13"/>
        <v>0</v>
      </c>
      <c r="F38" s="28">
        <f t="shared" si="14"/>
        <v>28.070254383846194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25.8</v>
      </c>
      <c r="D39" s="30"/>
      <c r="E39" s="29">
        <f t="shared" si="13"/>
        <v>0</v>
      </c>
      <c r="F39" s="28">
        <f t="shared" si="14"/>
        <v>29.084841891696058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15.3</v>
      </c>
      <c r="D40" s="22">
        <f>SUM(D34:D39)</f>
        <v>135.69999999999999</v>
      </c>
      <c r="E40" s="21">
        <f t="shared" si="13"/>
        <v>0.16746883870171542</v>
      </c>
      <c r="F40" s="20">
        <f>I40/D40</f>
        <v>17.247987633447664</v>
      </c>
      <c r="G40" s="19">
        <f>F40/C40-1</f>
        <v>0.12731945316651405</v>
      </c>
      <c r="H40" s="18">
        <f>SUM(H34:H39)</f>
        <v>2076.21</v>
      </c>
      <c r="I40" s="18">
        <f>SUM(I34:I39)</f>
        <v>2340.5519218588479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188</v>
      </c>
      <c r="E42" s="107">
        <f>D42/$D$48</f>
        <v>0.23201283475256079</v>
      </c>
      <c r="F42" s="28">
        <f>C42-(C42*$E$6)</f>
        <v>0.45092778126660554</v>
      </c>
      <c r="G42" s="27" t="str">
        <f>IF(C42&gt;=F42,"-","+")</f>
        <v>+</v>
      </c>
      <c r="H42" s="26">
        <f>C42*D42</f>
        <v>75.2</v>
      </c>
      <c r="I42" s="26">
        <f>F42*D42</f>
        <v>84.77442287812184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3.9</v>
      </c>
      <c r="E43" s="107">
        <f>D43/$D$48</f>
        <v>4.813032210292484E-3</v>
      </c>
      <c r="F43" s="28">
        <f>C43-(C43*$E$6)</f>
        <v>0.45092778126660554</v>
      </c>
      <c r="G43" s="27" t="str">
        <f>IF(C43&gt;=F43,"-","+")</f>
        <v>+</v>
      </c>
      <c r="H43" s="26">
        <f>C43*D43</f>
        <v>1.56</v>
      </c>
      <c r="I43" s="26">
        <f>F43*D43</f>
        <v>1.7586183469397616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2.1</v>
      </c>
      <c r="E45" s="107">
        <f>D45/$D$48</f>
        <v>2.5916327286190301E-3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0.39567010309278355</v>
      </c>
      <c r="D46" s="22">
        <f>SUM(D41:D45)</f>
        <v>194</v>
      </c>
      <c r="E46" s="21">
        <f>D46/$D$48</f>
        <v>0.2394174996914723</v>
      </c>
      <c r="F46" s="20">
        <f>I46/D46</f>
        <v>0.44604660425289483</v>
      </c>
      <c r="G46" s="19">
        <f>F46/C46-1</f>
        <v>0.12731945316651361</v>
      </c>
      <c r="H46" s="18">
        <f>SUM(H41:H44)</f>
        <v>76.760000000000005</v>
      </c>
      <c r="I46" s="18">
        <f>SUM(I41:I44)</f>
        <v>86.533041225061595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81.672911023070753</v>
      </c>
      <c r="D48" s="13">
        <f>D24+D32+D40+D46</f>
        <v>810.3</v>
      </c>
      <c r="E48" s="12">
        <f>SUM(E20:E46)/2</f>
        <v>0.99999999999999978</v>
      </c>
      <c r="F48" s="11">
        <f>I48/D48</f>
        <v>21.600000000000005</v>
      </c>
      <c r="G48" s="10"/>
      <c r="H48" s="9">
        <f>SUM(H20:H46)/2</f>
        <v>15525.749999999998</v>
      </c>
      <c r="I48" s="9">
        <f>SUM(I20:I46)/2</f>
        <v>17502.480000000003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810.3</v>
      </c>
      <c r="E50" s="12">
        <f>D50/G2</f>
        <v>1</v>
      </c>
      <c r="F50" s="11">
        <f>I50/D50</f>
        <v>21.600000000000005</v>
      </c>
      <c r="G50" s="10"/>
      <c r="H50" s="9">
        <f>H48+H19</f>
        <v>15525.749999999998</v>
      </c>
      <c r="I50" s="9">
        <f>I48+I19</f>
        <v>17502.480000000003</v>
      </c>
      <c r="J50" s="106">
        <f>D50-G2</f>
        <v>0</v>
      </c>
      <c r="K50" s="8"/>
    </row>
    <row r="51" spans="1:11" ht="23.25" x14ac:dyDescent="0.35">
      <c r="A51" s="174" t="s">
        <v>222</v>
      </c>
      <c r="B51" s="169"/>
      <c r="C51" s="170"/>
      <c r="G51" s="7"/>
      <c r="H51" s="6"/>
      <c r="I51" s="6">
        <f>+I50/D50</f>
        <v>21.600000000000005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92D050"/>
  </sheetPr>
  <dimension ref="A1:K56"/>
  <sheetViews>
    <sheetView workbookViewId="0">
      <selection activeCell="G4" sqref="G4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217</v>
      </c>
      <c r="D1" s="100" t="s">
        <v>1</v>
      </c>
      <c r="E1" s="168" t="s">
        <v>193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217</v>
      </c>
      <c r="D2" s="96" t="s">
        <v>3</v>
      </c>
      <c r="E2" s="95" t="s">
        <v>112</v>
      </c>
      <c r="F2" s="94" t="s">
        <v>5</v>
      </c>
      <c r="G2" s="93">
        <v>7145.1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223</v>
      </c>
      <c r="D3" s="90" t="s">
        <v>7</v>
      </c>
      <c r="E3" s="89">
        <v>110</v>
      </c>
      <c r="F3" s="88" t="s">
        <v>8</v>
      </c>
      <c r="G3" s="87">
        <v>21.33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5</v>
      </c>
      <c r="D4" s="83" t="s">
        <v>11</v>
      </c>
      <c r="E4" s="82">
        <f>G2/E3</f>
        <v>64.955454545454543</v>
      </c>
      <c r="F4" s="81" t="s">
        <v>12</v>
      </c>
      <c r="G4" s="80">
        <f>G2*G3</f>
        <v>152404.98300000001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-8.7455250967047427E-2</v>
      </c>
      <c r="F6" s="69" t="s">
        <v>16</v>
      </c>
      <c r="G6" s="68">
        <f>(I50-I19)/(D50-(SUM(D42:D44)+D19))</f>
        <v>27.285826336048704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21.3</v>
      </c>
      <c r="D10" s="30"/>
      <c r="E10" s="29" t="e">
        <f t="shared" ref="E10:E19" si="1">D10/$D$19</f>
        <v>#DIV/0!</v>
      </c>
      <c r="F10" s="28">
        <f t="shared" ref="F10:F18" si="2">C10-(C10*$E$6)</f>
        <v>23.162796845598113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22.2</v>
      </c>
      <c r="D11" s="30"/>
      <c r="E11" s="29" t="e">
        <f t="shared" si="1"/>
        <v>#DIV/0!</v>
      </c>
      <c r="F11" s="28">
        <f t="shared" si="2"/>
        <v>24.141506571468451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20.3</v>
      </c>
      <c r="D12" s="30"/>
      <c r="E12" s="29" t="e">
        <f t="shared" si="1"/>
        <v>#DIV/0!</v>
      </c>
      <c r="F12" s="28">
        <f t="shared" si="2"/>
        <v>22.075341594631062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22.2</v>
      </c>
      <c r="D13" s="30"/>
      <c r="E13" s="29" t="e">
        <f t="shared" si="1"/>
        <v>#DIV/0!</v>
      </c>
      <c r="F13" s="28">
        <f t="shared" si="2"/>
        <v>24.141506571468451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24.8</v>
      </c>
      <c r="D14" s="30"/>
      <c r="E14" s="29" t="e">
        <f t="shared" si="1"/>
        <v>#DIV/0!</v>
      </c>
      <c r="F14" s="28">
        <f t="shared" si="2"/>
        <v>26.968890223982775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20.5</v>
      </c>
      <c r="D15" s="30"/>
      <c r="E15" s="29" t="e">
        <f t="shared" si="1"/>
        <v>#DIV/0!</v>
      </c>
      <c r="F15" s="28">
        <f t="shared" si="2"/>
        <v>22.292832644824472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28</v>
      </c>
      <c r="D16" s="30"/>
      <c r="E16" s="29" t="e">
        <f t="shared" si="1"/>
        <v>#DIV/0!</v>
      </c>
      <c r="F16" s="28">
        <f t="shared" si="2"/>
        <v>30.448747027077328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41.3</v>
      </c>
      <c r="D17" s="30"/>
      <c r="E17" s="29" t="e">
        <f t="shared" si="1"/>
        <v>#DIV/0!</v>
      </c>
      <c r="F17" s="28">
        <f t="shared" si="2"/>
        <v>44.911901864939054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36.1</v>
      </c>
      <c r="D18" s="30"/>
      <c r="E18" s="29" t="e">
        <f t="shared" si="1"/>
        <v>#DIV/0!</v>
      </c>
      <c r="F18" s="28">
        <f t="shared" si="2"/>
        <v>39.257134559910412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53.6</v>
      </c>
      <c r="D21" s="30">
        <v>97.2</v>
      </c>
      <c r="E21" s="29">
        <f>D21/$D$48</f>
        <v>1.360372842927321E-2</v>
      </c>
      <c r="F21" s="28">
        <f>C21-(C21*$E$6)</f>
        <v>58.287601451833744</v>
      </c>
      <c r="G21" s="27" t="str">
        <f>IF(C21&gt;=F21,"-","+")</f>
        <v>+</v>
      </c>
      <c r="H21" s="26">
        <f>C21*D21</f>
        <v>5209.92</v>
      </c>
      <c r="I21" s="26">
        <f>F21*D21</f>
        <v>5665.5548611182403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36</v>
      </c>
      <c r="D22" s="30">
        <v>196.4</v>
      </c>
      <c r="E22" s="29">
        <f>D22/$D$48</f>
        <v>2.7487368966144635E-2</v>
      </c>
      <c r="F22" s="28">
        <f>C22-(C22*$E$6)</f>
        <v>39.148389034813704</v>
      </c>
      <c r="G22" s="27" t="str">
        <f>IF(C22&gt;=F22,"-","+")</f>
        <v>+</v>
      </c>
      <c r="H22" s="26">
        <f>C22*D22</f>
        <v>7070.4000000000005</v>
      </c>
      <c r="I22" s="26">
        <f>F22*D22</f>
        <v>7688.7436064374115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32.799999999999997</v>
      </c>
      <c r="D23" s="30">
        <v>160.4</v>
      </c>
      <c r="E23" s="29">
        <f>D23/$D$48</f>
        <v>2.2448951029376777E-2</v>
      </c>
      <c r="F23" s="28">
        <f>C23-(C23*$E$6)</f>
        <v>35.668532231719155</v>
      </c>
      <c r="G23" s="27" t="str">
        <f>IF(C23&gt;=F23,"-","+")</f>
        <v>+</v>
      </c>
      <c r="H23" s="26">
        <f>C23*D23</f>
        <v>5261.12</v>
      </c>
      <c r="I23" s="26">
        <f>F23*D23</f>
        <v>5721.2325699677531</v>
      </c>
      <c r="J23" s="25"/>
      <c r="K23" s="25"/>
    </row>
    <row r="24" spans="1:11" x14ac:dyDescent="0.25">
      <c r="A24" s="24" t="s">
        <v>34</v>
      </c>
      <c r="B24" s="23"/>
      <c r="C24" s="20">
        <f>H24/D24</f>
        <v>38.637533039647572</v>
      </c>
      <c r="D24" s="22">
        <f>SUM(D21:D23)</f>
        <v>454</v>
      </c>
      <c r="E24" s="21">
        <f>D24/$D$48</f>
        <v>6.3540048424794618E-2</v>
      </c>
      <c r="F24" s="20">
        <f>I24/D24</f>
        <v>42.01658818837754</v>
      </c>
      <c r="G24" s="19">
        <f>F24/C24-1</f>
        <v>8.7455250967047427E-2</v>
      </c>
      <c r="H24" s="18">
        <f>SUM(H21:H23)</f>
        <v>17541.439999999999</v>
      </c>
      <c r="I24" s="18">
        <f>SUM(I21:I23)</f>
        <v>19075.531037523404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28.6</v>
      </c>
      <c r="D26" s="30">
        <f>101+1150</f>
        <v>1251</v>
      </c>
      <c r="E26" s="29">
        <f t="shared" ref="E26:E32" si="7">D26/$D$48</f>
        <v>0.17508502330268297</v>
      </c>
      <c r="F26" s="28">
        <f t="shared" ref="F26:F31" si="8">C26-(C26*$E$6)</f>
        <v>31.101220177657559</v>
      </c>
      <c r="G26" s="27" t="str">
        <f t="shared" ref="G26:G31" si="9">IF(C26&gt;=F26,"-","+")</f>
        <v>+</v>
      </c>
      <c r="H26" s="26">
        <f t="shared" ref="H26:H31" si="10">C26*D26</f>
        <v>35778.6</v>
      </c>
      <c r="I26" s="26">
        <f t="shared" ref="I26:I31" si="11">F26*D26</f>
        <v>38907.62644224961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25.5</v>
      </c>
      <c r="D27" s="30">
        <v>932.8</v>
      </c>
      <c r="E27" s="29">
        <f t="shared" si="7"/>
        <v>0.13055100698380709</v>
      </c>
      <c r="F27" s="28">
        <f t="shared" si="8"/>
        <v>27.730108899659708</v>
      </c>
      <c r="G27" s="27" t="str">
        <f t="shared" si="9"/>
        <v>+</v>
      </c>
      <c r="H27" s="26">
        <f t="shared" si="10"/>
        <v>23786.399999999998</v>
      </c>
      <c r="I27" s="26">
        <f t="shared" si="11"/>
        <v>25866.645581602574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25.5</v>
      </c>
      <c r="D28" s="30">
        <v>735.4</v>
      </c>
      <c r="E28" s="29">
        <f t="shared" si="7"/>
        <v>0.10292368196386335</v>
      </c>
      <c r="F28" s="28">
        <f t="shared" si="8"/>
        <v>27.730108899659708</v>
      </c>
      <c r="G28" s="27" t="str">
        <f t="shared" si="9"/>
        <v>+</v>
      </c>
      <c r="H28" s="26">
        <f t="shared" si="10"/>
        <v>18752.7</v>
      </c>
      <c r="I28" s="26">
        <f t="shared" si="11"/>
        <v>20392.72208480975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24.6</v>
      </c>
      <c r="D29" s="30">
        <v>606.29999999999995</v>
      </c>
      <c r="E29" s="29">
        <f t="shared" si="7"/>
        <v>8.4855355418398629E-2</v>
      </c>
      <c r="F29" s="28">
        <f t="shared" si="8"/>
        <v>26.75139917378937</v>
      </c>
      <c r="G29" s="27" t="str">
        <f t="shared" si="9"/>
        <v>+</v>
      </c>
      <c r="H29" s="26">
        <f t="shared" si="10"/>
        <v>14914.98</v>
      </c>
      <c r="I29" s="26">
        <f t="shared" si="11"/>
        <v>16219.373319068494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24.6</v>
      </c>
      <c r="D30" s="30">
        <v>396.2</v>
      </c>
      <c r="E30" s="29">
        <f t="shared" si="7"/>
        <v>5.5450588515206227E-2</v>
      </c>
      <c r="F30" s="28">
        <f t="shared" si="8"/>
        <v>26.75139917378937</v>
      </c>
      <c r="G30" s="27" t="str">
        <f t="shared" si="9"/>
        <v>+</v>
      </c>
      <c r="H30" s="26">
        <f t="shared" si="10"/>
        <v>9746.52</v>
      </c>
      <c r="I30" s="26">
        <f t="shared" si="11"/>
        <v>10598.904352655349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25.1</v>
      </c>
      <c r="D31" s="30">
        <v>112</v>
      </c>
      <c r="E31" s="29">
        <f t="shared" si="7"/>
        <v>1.5675078025499993E-2</v>
      </c>
      <c r="F31" s="28">
        <f t="shared" si="8"/>
        <v>27.295126799272893</v>
      </c>
      <c r="G31" s="27" t="str">
        <f t="shared" si="9"/>
        <v>+</v>
      </c>
      <c r="H31" s="26">
        <f t="shared" si="10"/>
        <v>2811.2000000000003</v>
      </c>
      <c r="I31" s="26">
        <f t="shared" si="11"/>
        <v>3057.0542015185638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26.226640553338125</v>
      </c>
      <c r="D32" s="22">
        <f>SUM(D26:D31)</f>
        <v>4033.7</v>
      </c>
      <c r="E32" s="21">
        <f t="shared" si="7"/>
        <v>0.56454073420945827</v>
      </c>
      <c r="F32" s="20">
        <f>I32/D32</f>
        <v>28.520297984952858</v>
      </c>
      <c r="G32" s="19">
        <f>F32/C32-1</f>
        <v>8.7455250967047649E-2</v>
      </c>
      <c r="H32" s="18">
        <f>SUM(H26:H31)</f>
        <v>105790.39999999999</v>
      </c>
      <c r="I32" s="18">
        <f>SUM(I26:I31)</f>
        <v>115042.32598190435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15.1</v>
      </c>
      <c r="D34" s="30">
        <f>533.2+472.4</f>
        <v>1005.6</v>
      </c>
      <c r="E34" s="29">
        <f t="shared" ref="E34:E40" si="13">D34/$D$48</f>
        <v>0.14073980770038208</v>
      </c>
      <c r="F34" s="28">
        <f t="shared" ref="F34:F39" si="14">C34-(C34*$E$6)</f>
        <v>16.420574289602417</v>
      </c>
      <c r="G34" s="27" t="str">
        <f t="shared" ref="G34:G39" si="15">IF(C34&gt;=F34,"-","+")</f>
        <v>+</v>
      </c>
      <c r="H34" s="26">
        <f t="shared" ref="H34:H39" si="16">C34*D34</f>
        <v>15184.56</v>
      </c>
      <c r="I34" s="26">
        <f t="shared" ref="I34:I39" si="17">F34*D34</f>
        <v>16512.529505624192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11.6</v>
      </c>
      <c r="D35" s="30">
        <v>86.9</v>
      </c>
      <c r="E35" s="29">
        <f t="shared" si="13"/>
        <v>1.2162181075142407E-2</v>
      </c>
      <c r="F35" s="28">
        <f t="shared" si="14"/>
        <v>12.614480911217751</v>
      </c>
      <c r="G35" s="27" t="str">
        <f t="shared" si="15"/>
        <v>+</v>
      </c>
      <c r="H35" s="26">
        <f t="shared" si="16"/>
        <v>1008.0400000000001</v>
      </c>
      <c r="I35" s="26">
        <f t="shared" si="17"/>
        <v>1096.1983911848226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9.3000000000000007</v>
      </c>
      <c r="D36" s="30"/>
      <c r="E36" s="29">
        <f t="shared" si="13"/>
        <v>0</v>
      </c>
      <c r="F36" s="28">
        <f t="shared" si="14"/>
        <v>10.113333833993542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24.6</v>
      </c>
      <c r="D37" s="30"/>
      <c r="E37" s="29">
        <f t="shared" si="13"/>
        <v>0</v>
      </c>
      <c r="F37" s="28">
        <f t="shared" si="14"/>
        <v>26.75139917378937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24.6</v>
      </c>
      <c r="D38" s="30"/>
      <c r="E38" s="29">
        <f t="shared" si="13"/>
        <v>0</v>
      </c>
      <c r="F38" s="28">
        <f t="shared" si="14"/>
        <v>26.75139917378937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25.5</v>
      </c>
      <c r="D39" s="30"/>
      <c r="E39" s="29">
        <f t="shared" si="13"/>
        <v>0</v>
      </c>
      <c r="F39" s="28">
        <f t="shared" si="14"/>
        <v>27.730108899659708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14.821601830663615</v>
      </c>
      <c r="D40" s="22">
        <f>SUM(D34:D39)</f>
        <v>1092.5</v>
      </c>
      <c r="E40" s="21">
        <f t="shared" si="13"/>
        <v>0.15290198877552449</v>
      </c>
      <c r="F40" s="20">
        <f>I40/D40</f>
        <v>16.117828738497952</v>
      </c>
      <c r="G40" s="19">
        <f>F40/C40-1</f>
        <v>8.7455250967047427E-2</v>
      </c>
      <c r="H40" s="18">
        <f>SUM(H34:H39)</f>
        <v>16192.6</v>
      </c>
      <c r="I40" s="18">
        <f>SUM(I34:I39)</f>
        <v>17608.727896809014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760+101.7+665.3</f>
        <v>1527</v>
      </c>
      <c r="E42" s="107">
        <f>D42/$D$48</f>
        <v>0.21371289415123654</v>
      </c>
      <c r="F42" s="28">
        <f>C42-(C42*$E$6)</f>
        <v>0.434982100386819</v>
      </c>
      <c r="G42" s="27" t="str">
        <f>IF(C42&gt;=F42,"-","+")</f>
        <v>+</v>
      </c>
      <c r="H42" s="26">
        <f>C42*D42</f>
        <v>610.80000000000007</v>
      </c>
      <c r="I42" s="26">
        <f>F42*D42</f>
        <v>664.21766729067258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32.6</v>
      </c>
      <c r="E43" s="107">
        <f>D43/$D$48</f>
        <v>4.5625673538508913E-3</v>
      </c>
      <c r="F43" s="28">
        <f>C43-(C43*$E$6)</f>
        <v>0.434982100386819</v>
      </c>
      <c r="G43" s="27" t="str">
        <f>IF(C43&gt;=F43,"-","+")</f>
        <v>+</v>
      </c>
      <c r="H43" s="26">
        <f>C43*D43</f>
        <v>13.040000000000001</v>
      </c>
      <c r="I43" s="26">
        <f>F43*D43</f>
        <v>14.1804164726103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7.417670851352676E-4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0.39864528084861656</v>
      </c>
      <c r="D46" s="22">
        <f>SUM(D41:D45)</f>
        <v>1564.8999999999999</v>
      </c>
      <c r="E46" s="21">
        <f>D46/$D$48</f>
        <v>0.21901722859022266</v>
      </c>
      <c r="F46" s="20">
        <f>I46/D46</f>
        <v>0.43350890393206143</v>
      </c>
      <c r="G46" s="19">
        <f>F46/C46-1</f>
        <v>8.7455250967047427E-2</v>
      </c>
      <c r="H46" s="18">
        <f>SUM(H41:H44)</f>
        <v>623.84</v>
      </c>
      <c r="I46" s="18">
        <f>SUM(I41:I44)</f>
        <v>678.3980837632829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80.084420704497916</v>
      </c>
      <c r="D48" s="13">
        <f>D24+D32+D40+D46</f>
        <v>7145.0999999999995</v>
      </c>
      <c r="E48" s="12">
        <f>SUM(E20:E46)/2</f>
        <v>1.0000000000000002</v>
      </c>
      <c r="F48" s="11">
        <f>I48/D48</f>
        <v>21.330000000000005</v>
      </c>
      <c r="G48" s="10"/>
      <c r="H48" s="9">
        <f>SUM(H20:H46)/2</f>
        <v>140148.27999999997</v>
      </c>
      <c r="I48" s="9">
        <f>SUM(I20:I46)/2</f>
        <v>152404.98300000004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7145.0999999999995</v>
      </c>
      <c r="E50" s="12">
        <f>D50/G2</f>
        <v>0.99999999999999989</v>
      </c>
      <c r="F50" s="11">
        <f>I50/D50</f>
        <v>21.330000000000005</v>
      </c>
      <c r="G50" s="10"/>
      <c r="H50" s="9">
        <f>H48+H19</f>
        <v>140148.27999999997</v>
      </c>
      <c r="I50" s="9">
        <f>I48+I19</f>
        <v>152404.98300000004</v>
      </c>
      <c r="J50" s="106">
        <f>D50-G2</f>
        <v>0</v>
      </c>
      <c r="K50" s="8"/>
    </row>
    <row r="51" spans="1:11" ht="23.25" x14ac:dyDescent="0.35">
      <c r="A51" s="174" t="s">
        <v>224</v>
      </c>
      <c r="B51" s="169"/>
      <c r="C51" s="170"/>
      <c r="G51" s="7"/>
      <c r="H51" s="6"/>
      <c r="I51" s="6">
        <f>+I50/D50</f>
        <v>21.330000000000005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92D050"/>
  </sheetPr>
  <dimension ref="A1:K56"/>
  <sheetViews>
    <sheetView topLeftCell="A13" workbookViewId="0">
      <selection activeCell="D27" sqref="D27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225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225</v>
      </c>
      <c r="D2" s="96" t="s">
        <v>3</v>
      </c>
      <c r="E2" s="95" t="s">
        <v>71</v>
      </c>
      <c r="F2" s="94" t="s">
        <v>5</v>
      </c>
      <c r="G2" s="93">
        <v>16605.599999999999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180</v>
      </c>
      <c r="F3" s="88" t="s">
        <v>8</v>
      </c>
      <c r="G3" s="87">
        <v>26.4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92.25333333333333</v>
      </c>
      <c r="F4" s="81" t="s">
        <v>12</v>
      </c>
      <c r="G4" s="80">
        <f>G2*G3</f>
        <v>438387.83999999991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-3.5865019182446112E-3</v>
      </c>
      <c r="F6" s="69" t="s">
        <v>16</v>
      </c>
      <c r="G6" s="68">
        <f>(I50-I19)/(D50-(SUM(D42:D44)+D19))</f>
        <v>31.013209277055246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 t="e">
        <f t="shared" ref="E10:E19" si="1">D10/$D$19</f>
        <v>#DIV/0!</v>
      </c>
      <c r="F10" s="28">
        <f t="shared" ref="F10:F18" si="2">C10-(C10*$E$6)</f>
        <v>26.494683650641655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/>
      <c r="E11" s="29" t="e">
        <f t="shared" si="1"/>
        <v>#DIV/0!</v>
      </c>
      <c r="F11" s="28">
        <f t="shared" si="2"/>
        <v>27.598628802751726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 t="e">
        <f t="shared" si="1"/>
        <v>#DIV/0!</v>
      </c>
      <c r="F12" s="28">
        <f t="shared" si="2"/>
        <v>25.190021198147942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 t="e">
        <f t="shared" si="1"/>
        <v>#DIV/0!</v>
      </c>
      <c r="F13" s="28">
        <f t="shared" si="2"/>
        <v>27.598628802751726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 t="e">
        <f t="shared" si="1"/>
        <v>#DIV/0!</v>
      </c>
      <c r="F14" s="28">
        <f t="shared" si="2"/>
        <v>30.810105608890108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 t="e">
        <f t="shared" si="1"/>
        <v>#DIV/0!</v>
      </c>
      <c r="F15" s="28">
        <f t="shared" si="2"/>
        <v>25.39073849853159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 t="e">
        <f t="shared" si="1"/>
        <v>#DIV/0!</v>
      </c>
      <c r="F16" s="28">
        <f t="shared" si="2"/>
        <v>34.824451616563088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 t="e">
        <f t="shared" si="1"/>
        <v>#DIV/0!</v>
      </c>
      <c r="F17" s="28">
        <f t="shared" si="2"/>
        <v>51.283270248022298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 t="e">
        <f t="shared" si="1"/>
        <v>#DIV/0!</v>
      </c>
      <c r="F18" s="28">
        <f t="shared" si="2"/>
        <v>44.860316635745534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193.5</v>
      </c>
      <c r="E21" s="29">
        <f>D21/$D$48</f>
        <v>1.1652751615125573E-2</v>
      </c>
      <c r="F21" s="28">
        <f>C21-(C21*$E$6)</f>
        <v>66.638143727371443</v>
      </c>
      <c r="G21" s="27" t="str">
        <f>IF(C21&gt;=F21,"-","+")</f>
        <v>+</v>
      </c>
      <c r="H21" s="26">
        <f>C21*D21</f>
        <v>12848.400000000001</v>
      </c>
      <c r="I21" s="26">
        <f>F21*D21</f>
        <v>12894.480811246374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540.20000000000005</v>
      </c>
      <c r="E22" s="29">
        <f>D22/$D$48</f>
        <v>3.2531351020624467E-2</v>
      </c>
      <c r="F22" s="28">
        <f>C22-(C22*$E$6)</f>
        <v>44.759957985553712</v>
      </c>
      <c r="G22" s="27" t="str">
        <f>IF(C22&gt;=F22,"-","+")</f>
        <v>+</v>
      </c>
      <c r="H22" s="26">
        <f>C22*D22</f>
        <v>24092.920000000002</v>
      </c>
      <c r="I22" s="26">
        <f>F22*D22</f>
        <v>24179.329303796116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40.700000000000003</v>
      </c>
      <c r="D23" s="30">
        <v>411.5</v>
      </c>
      <c r="E23" s="29">
        <f>D23/$D$48</f>
        <v>2.4780916225447924E-2</v>
      </c>
      <c r="F23" s="28">
        <f>C23-(C23*$E$6)</f>
        <v>40.845970628072557</v>
      </c>
      <c r="G23" s="27" t="str">
        <f>IF(C23&gt;=F23,"-","+")</f>
        <v>+</v>
      </c>
      <c r="H23" s="26">
        <f>C23*D23</f>
        <v>16748.050000000003</v>
      </c>
      <c r="I23" s="26">
        <f>F23*D23</f>
        <v>16808.116913451857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46.882090464547687</v>
      </c>
      <c r="D24" s="22">
        <f>SUM(D21:D23)</f>
        <v>1145.2</v>
      </c>
      <c r="E24" s="21">
        <f>D24/$D$48</f>
        <v>6.8965018861197963E-2</v>
      </c>
      <c r="F24" s="20">
        <f>I24/D24</f>
        <v>47.050233171930095</v>
      </c>
      <c r="G24" s="19">
        <f>F24/C24-1</f>
        <v>3.5865019182443891E-3</v>
      </c>
      <c r="H24" s="18">
        <f>SUM(H21:H23)</f>
        <v>53689.37000000001</v>
      </c>
      <c r="I24" s="18">
        <f>SUM(I21:I23)</f>
        <v>53881.927028494349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v>2918</v>
      </c>
      <c r="E26" s="29">
        <f t="shared" ref="E26:E32" si="7">D26/$D$48</f>
        <v>0.17572469877486521</v>
      </c>
      <c r="F26" s="28">
        <f t="shared" ref="F26:F31" si="8">C26-(C26*$E$6)</f>
        <v>35.526962167905857</v>
      </c>
      <c r="G26" s="27" t="str">
        <f t="shared" ref="G26:G31" si="9">IF(C26&gt;=F26,"-","+")</f>
        <v>+</v>
      </c>
      <c r="H26" s="26">
        <f t="shared" ref="H26:H31" si="10">C26*D26</f>
        <v>103297.2</v>
      </c>
      <c r="I26" s="26">
        <f t="shared" ref="I26:I31" si="11">F26*D26</f>
        <v>103667.67560594929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2633.9</v>
      </c>
      <c r="E27" s="29">
        <f t="shared" si="7"/>
        <v>0.15861593012444056</v>
      </c>
      <c r="F27" s="28">
        <f t="shared" si="8"/>
        <v>31.612974810424706</v>
      </c>
      <c r="G27" s="27" t="str">
        <f t="shared" si="9"/>
        <v>+</v>
      </c>
      <c r="H27" s="26">
        <f t="shared" si="10"/>
        <v>82967.850000000006</v>
      </c>
      <c r="I27" s="26">
        <f t="shared" si="11"/>
        <v>83265.414353177635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1805.2</v>
      </c>
      <c r="E28" s="29">
        <f t="shared" si="7"/>
        <v>0.10871083832364177</v>
      </c>
      <c r="F28" s="28">
        <f t="shared" si="8"/>
        <v>31.612974810424706</v>
      </c>
      <c r="G28" s="27" t="str">
        <f t="shared" si="9"/>
        <v>+</v>
      </c>
      <c r="H28" s="26">
        <f t="shared" si="10"/>
        <v>56863.8</v>
      </c>
      <c r="I28" s="26">
        <f t="shared" si="11"/>
        <v>57067.742127778678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v>1548</v>
      </c>
      <c r="E29" s="29">
        <f t="shared" si="7"/>
        <v>9.3222012921004585E-2</v>
      </c>
      <c r="F29" s="28">
        <f t="shared" si="8"/>
        <v>30.60938830850646</v>
      </c>
      <c r="G29" s="27" t="str">
        <f t="shared" si="9"/>
        <v>+</v>
      </c>
      <c r="H29" s="26">
        <f t="shared" si="10"/>
        <v>47214</v>
      </c>
      <c r="I29" s="26">
        <f t="shared" si="11"/>
        <v>47383.333101568001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895.3</v>
      </c>
      <c r="E30" s="29">
        <f t="shared" si="7"/>
        <v>5.3915806310190821E-2</v>
      </c>
      <c r="F30" s="28">
        <f t="shared" si="8"/>
        <v>30.60938830850646</v>
      </c>
      <c r="G30" s="27" t="str">
        <f t="shared" si="9"/>
        <v>+</v>
      </c>
      <c r="H30" s="26">
        <f t="shared" si="10"/>
        <v>27306.649999999998</v>
      </c>
      <c r="I30" s="26">
        <f t="shared" si="11"/>
        <v>27404.585352605831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400.9</v>
      </c>
      <c r="E31" s="29">
        <f t="shared" si="7"/>
        <v>2.4142574276505641E-2</v>
      </c>
      <c r="F31" s="28">
        <f t="shared" si="8"/>
        <v>31.111181559465582</v>
      </c>
      <c r="G31" s="27" t="str">
        <f t="shared" si="9"/>
        <v>+</v>
      </c>
      <c r="H31" s="26">
        <f t="shared" si="10"/>
        <v>12427.9</v>
      </c>
      <c r="I31" s="26">
        <f t="shared" si="11"/>
        <v>12472.472687189751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32.35640555615462</v>
      </c>
      <c r="D32" s="22">
        <f>SUM(D26:D31)</f>
        <v>10201.299999999997</v>
      </c>
      <c r="E32" s="21">
        <f t="shared" si="7"/>
        <v>0.61433186073064838</v>
      </c>
      <c r="F32" s="20">
        <f>I32/D32</f>
        <v>32.472451866749267</v>
      </c>
      <c r="G32" s="19">
        <f>F32/C32-1</f>
        <v>3.5865019182446112E-3</v>
      </c>
      <c r="H32" s="18">
        <f>SUM(H26:H31)</f>
        <v>330077.40000000002</v>
      </c>
      <c r="I32" s="18">
        <f>SUM(I26:I31)</f>
        <v>331261.2232282692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2784.3</v>
      </c>
      <c r="E34" s="29">
        <f t="shared" ref="E34:E40" si="13">D34/$D$48</f>
        <v>0.16767315928679138</v>
      </c>
      <c r="F34" s="28">
        <f t="shared" ref="F34:F39" si="14">C34-(C34*$E$6)</f>
        <v>18.767067585871175</v>
      </c>
      <c r="G34" s="27" t="str">
        <f t="shared" ref="G34:G39" si="15">IF(C34&gt;=F34,"-","+")</f>
        <v>+</v>
      </c>
      <c r="H34" s="26">
        <f t="shared" ref="H34:H39" si="16">C34*D34</f>
        <v>52066.41</v>
      </c>
      <c r="I34" s="26">
        <f t="shared" ref="I34:I39" si="17">F34*D34</f>
        <v>52253.146279341112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14.351286977430899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11.541244772059812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30.60938830850646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30.60938830850646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31.612974810424706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2784.3</v>
      </c>
      <c r="E40" s="21">
        <f t="shared" si="13"/>
        <v>0.16767315928679138</v>
      </c>
      <c r="F40" s="20">
        <f>I40/D40</f>
        <v>18.767067585871175</v>
      </c>
      <c r="G40" s="19">
        <f>F40/C40-1</f>
        <v>3.5865019182446112E-3</v>
      </c>
      <c r="H40" s="18">
        <f>SUM(H34:H39)</f>
        <v>52066.41</v>
      </c>
      <c r="I40" s="18">
        <f>SUM(I34:I39)</f>
        <v>52253.146279341112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2370</v>
      </c>
      <c r="E42" s="107">
        <f>D42/$D$48</f>
        <v>0.14272362443332096</v>
      </c>
      <c r="F42" s="28">
        <f>C42-(C42*$E$6)</f>
        <v>0.40143460076729787</v>
      </c>
      <c r="G42" s="27" t="str">
        <f>IF(C42&gt;=F42,"-","+")</f>
        <v>+</v>
      </c>
      <c r="H42" s="26">
        <f>C42*D42</f>
        <v>948</v>
      </c>
      <c r="I42" s="26">
        <f>F42*D42</f>
        <v>951.40000381849597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100</v>
      </c>
      <c r="E43" s="107">
        <f>D43/$D$48</f>
        <v>6.022093857946032E-3</v>
      </c>
      <c r="F43" s="28">
        <f>C43-(C43*$E$6)</f>
        <v>0.40143460076729787</v>
      </c>
      <c r="G43" s="27" t="str">
        <f>IF(C43&gt;=F43,"-","+")</f>
        <v>+</v>
      </c>
      <c r="H43" s="26">
        <f>C43*D43</f>
        <v>40</v>
      </c>
      <c r="I43" s="26">
        <f>F43*D43</f>
        <v>40.143460076729788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4.72</v>
      </c>
      <c r="E45" s="107">
        <f>D45/$D$48</f>
        <v>2.8424283009505273E-4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0.39923708540764213</v>
      </c>
      <c r="D46" s="22">
        <f>SUM(D41:D45)</f>
        <v>2474.7199999999998</v>
      </c>
      <c r="E46" s="21">
        <f>D46/$D$48</f>
        <v>0.14902996112136205</v>
      </c>
      <c r="F46" s="20">
        <f>I46/D46</f>
        <v>0.40066894998029101</v>
      </c>
      <c r="G46" s="19">
        <f>F46/C46-1</f>
        <v>3.5865019182446112E-3</v>
      </c>
      <c r="H46" s="18">
        <f>SUM(H41:H44)</f>
        <v>988</v>
      </c>
      <c r="I46" s="18">
        <f>SUM(I41:I44)</f>
        <v>991.54346389522573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98.337733106109965</v>
      </c>
      <c r="D48" s="13">
        <f>D24+D32+D40+D46</f>
        <v>16605.52</v>
      </c>
      <c r="E48" s="12">
        <f>SUM(E20:E46)/2</f>
        <v>1</v>
      </c>
      <c r="F48" s="11">
        <f>I48/D48</f>
        <v>26.400127186622271</v>
      </c>
      <c r="G48" s="10"/>
      <c r="H48" s="9">
        <f>SUM(H20:H46)/2</f>
        <v>436821.18000000005</v>
      </c>
      <c r="I48" s="9">
        <f>SUM(I20:I46)/2</f>
        <v>438387.83999999985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16605.519999999997</v>
      </c>
      <c r="E50" s="12">
        <f>D50/G2</f>
        <v>0.99999518234812346</v>
      </c>
      <c r="F50" s="11">
        <f>I50/D50</f>
        <v>26.400127186622274</v>
      </c>
      <c r="G50" s="10"/>
      <c r="H50" s="9">
        <f>H48+H19</f>
        <v>436821.18000000005</v>
      </c>
      <c r="I50" s="9">
        <f>I48+I19</f>
        <v>438387.83999999985</v>
      </c>
      <c r="J50" s="106">
        <f>D50-G2</f>
        <v>-8.000000000174623E-2</v>
      </c>
      <c r="K50" s="8"/>
    </row>
    <row r="51" spans="1:11" ht="23.25" x14ac:dyDescent="0.35">
      <c r="A51" s="174" t="s">
        <v>226</v>
      </c>
      <c r="B51" s="169"/>
      <c r="C51" s="170"/>
      <c r="G51" s="7"/>
      <c r="H51" s="6"/>
      <c r="I51" s="6">
        <f>+I50/D50</f>
        <v>26.400127186622274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92D050"/>
  </sheetPr>
  <dimension ref="A1:K56"/>
  <sheetViews>
    <sheetView workbookViewId="0">
      <selection activeCell="N11" sqref="N11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225</v>
      </c>
      <c r="D1" s="100" t="s">
        <v>1</v>
      </c>
      <c r="E1" s="168" t="s">
        <v>227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225</v>
      </c>
      <c r="D2" s="96" t="s">
        <v>3</v>
      </c>
      <c r="E2" s="95" t="s">
        <v>112</v>
      </c>
      <c r="F2" s="94" t="s">
        <v>5</v>
      </c>
      <c r="G2" s="93">
        <v>13187.7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228</v>
      </c>
      <c r="D3" s="90" t="s">
        <v>7</v>
      </c>
      <c r="E3" s="89">
        <v>220</v>
      </c>
      <c r="F3" s="88" t="s">
        <v>8</v>
      </c>
      <c r="G3" s="87">
        <v>22.28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5</v>
      </c>
      <c r="D4" s="83" t="s">
        <v>11</v>
      </c>
      <c r="E4" s="82">
        <f>G2/E3</f>
        <v>59.94409090909091</v>
      </c>
      <c r="F4" s="81" t="s">
        <v>12</v>
      </c>
      <c r="G4" s="80">
        <f>G2*G3</f>
        <v>293821.95600000001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-8.1079049672275083E-2</v>
      </c>
      <c r="F6" s="69" t="s">
        <v>16</v>
      </c>
      <c r="G6" s="68">
        <f>(I50-I19)/(D50-(SUM(D42:D44)+D19))</f>
        <v>28.073526814923387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22.3</v>
      </c>
      <c r="D10" s="30"/>
      <c r="E10" s="29">
        <f t="shared" ref="E10:E19" si="1">D10/$D$19</f>
        <v>0</v>
      </c>
      <c r="F10" s="28">
        <f t="shared" ref="F10:F18" si="2">C10-(C10*$E$6)</f>
        <v>24.108062807691734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23.2</v>
      </c>
      <c r="D11" s="30"/>
      <c r="E11" s="29">
        <f t="shared" si="1"/>
        <v>0</v>
      </c>
      <c r="F11" s="28">
        <f t="shared" si="2"/>
        <v>25.08103395239678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21.2</v>
      </c>
      <c r="D12" s="30"/>
      <c r="E12" s="29">
        <f t="shared" si="1"/>
        <v>0</v>
      </c>
      <c r="F12" s="28">
        <f t="shared" si="2"/>
        <v>22.918875853052231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23.2</v>
      </c>
      <c r="D13" s="30"/>
      <c r="E13" s="29">
        <f t="shared" si="1"/>
        <v>0</v>
      </c>
      <c r="F13" s="28">
        <f t="shared" si="2"/>
        <v>25.08103395239678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25.9</v>
      </c>
      <c r="D14" s="30"/>
      <c r="E14" s="29">
        <f t="shared" si="1"/>
        <v>0</v>
      </c>
      <c r="F14" s="28">
        <f t="shared" si="2"/>
        <v>27.999947386511923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21.4</v>
      </c>
      <c r="D15" s="30">
        <v>39</v>
      </c>
      <c r="E15" s="29">
        <f t="shared" si="1"/>
        <v>0.84782608695652173</v>
      </c>
      <c r="F15" s="28">
        <f t="shared" si="2"/>
        <v>23.135091662986685</v>
      </c>
      <c r="G15" s="27" t="str">
        <f t="shared" si="3"/>
        <v>+</v>
      </c>
      <c r="H15" s="34">
        <f t="shared" si="4"/>
        <v>834.59999999999991</v>
      </c>
      <c r="I15" s="34">
        <f t="shared" si="5"/>
        <v>902.26857485648077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29.3</v>
      </c>
      <c r="D16" s="30"/>
      <c r="E16" s="29">
        <f t="shared" si="1"/>
        <v>0</v>
      </c>
      <c r="F16" s="28">
        <f t="shared" si="2"/>
        <v>31.675616155397663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43.1</v>
      </c>
      <c r="D17" s="30">
        <v>7</v>
      </c>
      <c r="E17" s="29">
        <f t="shared" si="1"/>
        <v>0.15217391304347827</v>
      </c>
      <c r="F17" s="28">
        <f t="shared" si="2"/>
        <v>46.594507040875058</v>
      </c>
      <c r="G17" s="27" t="str">
        <f t="shared" si="3"/>
        <v>+</v>
      </c>
      <c r="H17" s="34">
        <f t="shared" si="4"/>
        <v>301.7</v>
      </c>
      <c r="I17" s="34">
        <f t="shared" si="5"/>
        <v>326.16154928612542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37.700000000000003</v>
      </c>
      <c r="D18" s="30"/>
      <c r="E18" s="29">
        <f t="shared" si="1"/>
        <v>0</v>
      </c>
      <c r="F18" s="28">
        <f t="shared" si="2"/>
        <v>40.756680172644771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24.702173913043477</v>
      </c>
      <c r="D19" s="49">
        <f>SUM(D10:D18)</f>
        <v>46</v>
      </c>
      <c r="E19" s="48">
        <f t="shared" si="1"/>
        <v>1</v>
      </c>
      <c r="F19" s="47">
        <f>I19/D19</f>
        <v>26.70500269875231</v>
      </c>
      <c r="G19" s="46">
        <f>F19/C19-1</f>
        <v>8.1079049672275083E-2</v>
      </c>
      <c r="H19" s="9">
        <f>SUM(H10:H18)</f>
        <v>1136.3</v>
      </c>
      <c r="I19" s="9">
        <f>SUM(I10:I18)</f>
        <v>1228.4301241426062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56</v>
      </c>
      <c r="D21" s="30">
        <v>170.7</v>
      </c>
      <c r="E21" s="29">
        <f>D21/$D$48</f>
        <v>1.2989187091472182E-2</v>
      </c>
      <c r="F21" s="28">
        <f>C21-(C21*$E$6)</f>
        <v>60.540426781647405</v>
      </c>
      <c r="G21" s="27" t="str">
        <f>IF(C21&gt;=F21,"-","+")</f>
        <v>+</v>
      </c>
      <c r="H21" s="26">
        <f>C21*D21</f>
        <v>9559.1999999999989</v>
      </c>
      <c r="I21" s="26">
        <f>F21*D21</f>
        <v>10334.250851627212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37.6</v>
      </c>
      <c r="D22" s="30">
        <v>360</v>
      </c>
      <c r="E22" s="29">
        <f>D22/$D$48</f>
        <v>2.7393716185881583E-2</v>
      </c>
      <c r="F22" s="28">
        <f>C22-(C22*$E$6)</f>
        <v>40.648572267677544</v>
      </c>
      <c r="G22" s="27" t="str">
        <f>IF(C22&gt;=F22,"-","+")</f>
        <v>+</v>
      </c>
      <c r="H22" s="26">
        <f>C22*D22</f>
        <v>13536</v>
      </c>
      <c r="I22" s="26">
        <f>F22*D22</f>
        <v>14633.486016363915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34.299999999999997</v>
      </c>
      <c r="D23" s="30">
        <v>296.2</v>
      </c>
      <c r="E23" s="29">
        <f>D23/$D$48</f>
        <v>2.2538940928494788E-2</v>
      </c>
      <c r="F23" s="28">
        <f>C23-(C23*$E$6)</f>
        <v>37.081011403759035</v>
      </c>
      <c r="G23" s="27" t="str">
        <f>IF(C23&gt;=F23,"-","+")</f>
        <v>+</v>
      </c>
      <c r="H23" s="26">
        <f>C23*D23</f>
        <v>10159.659999999998</v>
      </c>
      <c r="I23" s="26">
        <f>F23*D23</f>
        <v>10983.395577793426</v>
      </c>
      <c r="J23" s="25"/>
      <c r="K23" s="25"/>
    </row>
    <row r="24" spans="1:11" x14ac:dyDescent="0.25">
      <c r="A24" s="24" t="s">
        <v>34</v>
      </c>
      <c r="B24" s="23"/>
      <c r="C24" s="20">
        <f>H24/D24</f>
        <v>40.216301850284182</v>
      </c>
      <c r="D24" s="22">
        <f>SUM(D21:D23)</f>
        <v>826.90000000000009</v>
      </c>
      <c r="E24" s="21">
        <f>D24/$D$48</f>
        <v>6.2921844205848565E-2</v>
      </c>
      <c r="F24" s="20">
        <f>I24/D24</f>
        <v>43.477001385638594</v>
      </c>
      <c r="G24" s="19">
        <f>F24/C24-1</f>
        <v>8.1079049672275305E-2</v>
      </c>
      <c r="H24" s="18">
        <f>SUM(H21:H23)</f>
        <v>33254.859999999993</v>
      </c>
      <c r="I24" s="18">
        <f>SUM(I21:I23)</f>
        <v>35951.132445784555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29.9</v>
      </c>
      <c r="D26" s="30">
        <f>302.6+162.6+2085.5</f>
        <v>2550.6999999999998</v>
      </c>
      <c r="E26" s="29">
        <f t="shared" ref="E26:E32" si="7">D26/$D$48</f>
        <v>0.19409208854257817</v>
      </c>
      <c r="F26" s="28">
        <f t="shared" ref="F26:F31" si="8">C26-(C26*$E$6)</f>
        <v>32.324263585201024</v>
      </c>
      <c r="G26" s="27" t="str">
        <f t="shared" ref="G26:G31" si="9">IF(C26&gt;=F26,"-","+")</f>
        <v>+</v>
      </c>
      <c r="H26" s="26">
        <f t="shared" ref="H26:H31" si="10">C26*D26</f>
        <v>76265.929999999993</v>
      </c>
      <c r="I26" s="26">
        <f t="shared" ref="I26:I31" si="11">F26*D26</f>
        <v>82449.499126772251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26.6</v>
      </c>
      <c r="D27" s="30">
        <v>1677.6</v>
      </c>
      <c r="E27" s="29">
        <f t="shared" si="7"/>
        <v>0.12765471742620815</v>
      </c>
      <c r="F27" s="28">
        <f t="shared" si="8"/>
        <v>28.756702721282519</v>
      </c>
      <c r="G27" s="27" t="str">
        <f t="shared" si="9"/>
        <v>+</v>
      </c>
      <c r="H27" s="26">
        <f t="shared" si="10"/>
        <v>44624.160000000003</v>
      </c>
      <c r="I27" s="26">
        <f t="shared" si="11"/>
        <v>48242.244485223549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26.6</v>
      </c>
      <c r="D28" s="30">
        <v>1180</v>
      </c>
      <c r="E28" s="29">
        <f t="shared" si="7"/>
        <v>8.9790514164834079E-2</v>
      </c>
      <c r="F28" s="28">
        <f t="shared" si="8"/>
        <v>28.756702721282519</v>
      </c>
      <c r="G28" s="27" t="str">
        <f t="shared" si="9"/>
        <v>+</v>
      </c>
      <c r="H28" s="26">
        <f t="shared" si="10"/>
        <v>31388</v>
      </c>
      <c r="I28" s="26">
        <f t="shared" si="11"/>
        <v>33932.909211113372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25.7</v>
      </c>
      <c r="D29" s="30">
        <v>922.8</v>
      </c>
      <c r="E29" s="29">
        <f t="shared" si="7"/>
        <v>7.0219225823143119E-2</v>
      </c>
      <c r="F29" s="28">
        <f t="shared" si="8"/>
        <v>27.78373157657747</v>
      </c>
      <c r="G29" s="27" t="str">
        <f t="shared" si="9"/>
        <v>+</v>
      </c>
      <c r="H29" s="26">
        <f t="shared" si="10"/>
        <v>23715.96</v>
      </c>
      <c r="I29" s="26">
        <f t="shared" si="11"/>
        <v>25638.827498865689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25.7</v>
      </c>
      <c r="D30" s="30">
        <v>743.9</v>
      </c>
      <c r="E30" s="29">
        <f t="shared" si="7"/>
        <v>5.6606070751881413E-2</v>
      </c>
      <c r="F30" s="28">
        <f t="shared" si="8"/>
        <v>27.78373157657747</v>
      </c>
      <c r="G30" s="27" t="str">
        <f t="shared" si="9"/>
        <v>+</v>
      </c>
      <c r="H30" s="26">
        <f t="shared" si="10"/>
        <v>19118.23</v>
      </c>
      <c r="I30" s="26">
        <f t="shared" si="11"/>
        <v>20668.317919815978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26.2</v>
      </c>
      <c r="D31" s="30">
        <v>208</v>
      </c>
      <c r="E31" s="29">
        <f t="shared" si="7"/>
        <v>1.5827480462953802E-2</v>
      </c>
      <c r="F31" s="28">
        <f t="shared" si="8"/>
        <v>28.324271101413608</v>
      </c>
      <c r="G31" s="27" t="str">
        <f t="shared" si="9"/>
        <v>+</v>
      </c>
      <c r="H31" s="26">
        <f t="shared" si="10"/>
        <v>5449.5999999999995</v>
      </c>
      <c r="I31" s="26">
        <f t="shared" si="11"/>
        <v>5891.4483890940301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27.538360565700952</v>
      </c>
      <c r="D32" s="22">
        <f>SUM(D26:D31)</f>
        <v>7282.9999999999991</v>
      </c>
      <c r="E32" s="21">
        <f t="shared" si="7"/>
        <v>0.55419009717159873</v>
      </c>
      <c r="F32" s="20">
        <f>I32/D32</f>
        <v>29.771144669900441</v>
      </c>
      <c r="G32" s="19">
        <f>F32/C32-1</f>
        <v>8.1079049672275083E-2</v>
      </c>
      <c r="H32" s="18">
        <f>SUM(H26:H31)</f>
        <v>200561.88</v>
      </c>
      <c r="I32" s="18">
        <f>SUM(I26:I31)</f>
        <v>216823.24663088488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15.7</v>
      </c>
      <c r="D34" s="30">
        <f>1335.1+827.9</f>
        <v>2163</v>
      </c>
      <c r="E34" s="29">
        <f t="shared" ref="E34:E40" si="13">D34/$D$48</f>
        <v>0.16459057808350516</v>
      </c>
      <c r="F34" s="28">
        <f t="shared" ref="F34:F39" si="14">C34-(C34*$E$6)</f>
        <v>16.972941079854717</v>
      </c>
      <c r="G34" s="27" t="str">
        <f t="shared" ref="G34:G39" si="15">IF(C34&gt;=F34,"-","+")</f>
        <v>+</v>
      </c>
      <c r="H34" s="26">
        <f t="shared" ref="H34:H39" si="16">C34*D34</f>
        <v>33959.1</v>
      </c>
      <c r="I34" s="26">
        <f t="shared" ref="I34:I39" si="17">F34*D34</f>
        <v>36712.471555725751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12.1</v>
      </c>
      <c r="D35" s="30">
        <v>147.6</v>
      </c>
      <c r="E35" s="29">
        <f t="shared" si="13"/>
        <v>1.1231423636211447E-2</v>
      </c>
      <c r="F35" s="28">
        <f t="shared" si="14"/>
        <v>13.081056501034528</v>
      </c>
      <c r="G35" s="27" t="str">
        <f t="shared" si="15"/>
        <v>+</v>
      </c>
      <c r="H35" s="26">
        <f t="shared" si="16"/>
        <v>1785.9599999999998</v>
      </c>
      <c r="I35" s="26">
        <f t="shared" si="17"/>
        <v>1930.7639395526962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9.6999999999999993</v>
      </c>
      <c r="D36" s="30"/>
      <c r="E36" s="29">
        <f t="shared" si="13"/>
        <v>0</v>
      </c>
      <c r="F36" s="28">
        <f t="shared" si="14"/>
        <v>10.486466781821068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25.7</v>
      </c>
      <c r="D37" s="30"/>
      <c r="E37" s="29">
        <f t="shared" si="13"/>
        <v>0</v>
      </c>
      <c r="F37" s="28">
        <f t="shared" si="14"/>
        <v>27.78373157657747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25.7</v>
      </c>
      <c r="D38" s="30"/>
      <c r="E38" s="29">
        <f t="shared" si="13"/>
        <v>0</v>
      </c>
      <c r="F38" s="28">
        <f t="shared" si="14"/>
        <v>27.78373157657747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26.6</v>
      </c>
      <c r="D39" s="30"/>
      <c r="E39" s="29">
        <f t="shared" si="13"/>
        <v>0</v>
      </c>
      <c r="F39" s="28">
        <f t="shared" si="14"/>
        <v>28.756702721282519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15.470033757465593</v>
      </c>
      <c r="D40" s="22">
        <f>SUM(D34:D39)</f>
        <v>2310.6</v>
      </c>
      <c r="E40" s="21">
        <f t="shared" si="13"/>
        <v>0.1758220017197166</v>
      </c>
      <c r="F40" s="20">
        <f>I40/D40</f>
        <v>16.724329392918914</v>
      </c>
      <c r="G40" s="19">
        <f>F40/C40-1</f>
        <v>8.1079049672274861E-2</v>
      </c>
      <c r="H40" s="18">
        <f>SUM(H34:H39)</f>
        <v>35745.06</v>
      </c>
      <c r="I40" s="18">
        <f>SUM(I34:I39)</f>
        <v>38643.235495278444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1300+174.9+1194.9</f>
        <v>2669.8</v>
      </c>
      <c r="E42" s="107">
        <f>D42/$D$48</f>
        <v>0.20315484298074069</v>
      </c>
      <c r="F42" s="28">
        <f>C42-(C42*$E$6)</f>
        <v>0.43243161986891004</v>
      </c>
      <c r="G42" s="27" t="str">
        <f>IF(C42&gt;=F42,"-","+")</f>
        <v>+</v>
      </c>
      <c r="H42" s="26">
        <f>C42*D42</f>
        <v>1067.92</v>
      </c>
      <c r="I42" s="26">
        <f>F42*D42</f>
        <v>1154.5059387260162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49.5</v>
      </c>
      <c r="E43" s="107">
        <f>D43/$D$48</f>
        <v>3.7666359755587175E-3</v>
      </c>
      <c r="F43" s="28">
        <f>C43-(C43*$E$6)</f>
        <v>0.43243161986891004</v>
      </c>
      <c r="G43" s="27" t="str">
        <f>IF(C43&gt;=F43,"-","+")</f>
        <v>+</v>
      </c>
      <c r="H43" s="26">
        <f>C43*D43</f>
        <v>19.8</v>
      </c>
      <c r="I43" s="26">
        <f>F43*D43</f>
        <v>21.405365183511048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1.9</v>
      </c>
      <c r="E45" s="107">
        <f>D45/$D$48</f>
        <v>1.4457794653659724E-4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0.39972071145083049</v>
      </c>
      <c r="D46" s="22">
        <f>SUM(D41:D45)</f>
        <v>2721.2000000000003</v>
      </c>
      <c r="E46" s="21">
        <f>D46/$D$48</f>
        <v>0.20706605690283603</v>
      </c>
      <c r="F46" s="20">
        <f>I46/D46</f>
        <v>0.43212968686958958</v>
      </c>
      <c r="G46" s="19">
        <f>F46/C46-1</f>
        <v>8.1079049672275305E-2</v>
      </c>
      <c r="H46" s="18">
        <f>SUM(H41:H44)</f>
        <v>1087.72</v>
      </c>
      <c r="I46" s="18">
        <f>SUM(I41:I44)</f>
        <v>1175.9113039095273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83.624416884901549</v>
      </c>
      <c r="D48" s="13">
        <f>D24+D32+D40+D46</f>
        <v>13141.7</v>
      </c>
      <c r="E48" s="12">
        <f>SUM(E20:E46)/2</f>
        <v>0.99999999999999978</v>
      </c>
      <c r="F48" s="11">
        <f>I48/D48</f>
        <v>22.264511126860103</v>
      </c>
      <c r="G48" s="10"/>
      <c r="H48" s="9">
        <f>SUM(H20:H46)/2</f>
        <v>270649.52</v>
      </c>
      <c r="I48" s="9">
        <f>SUM(I20:I46)/2</f>
        <v>292593.52587585745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13187.699999999999</v>
      </c>
      <c r="E50" s="12">
        <f>D50/G2</f>
        <v>0.99999999999999989</v>
      </c>
      <c r="F50" s="11">
        <f>I50/D50</f>
        <v>22.280000000000008</v>
      </c>
      <c r="G50" s="10"/>
      <c r="H50" s="9">
        <f>H48+H19</f>
        <v>271785.82</v>
      </c>
      <c r="I50" s="9">
        <f>I48+I19</f>
        <v>293821.95600000006</v>
      </c>
      <c r="J50" s="106">
        <f>D50-G2</f>
        <v>0</v>
      </c>
      <c r="K50" s="8"/>
    </row>
    <row r="51" spans="1:11" ht="23.25" x14ac:dyDescent="0.35">
      <c r="A51" s="174" t="s">
        <v>229</v>
      </c>
      <c r="B51" s="169"/>
      <c r="C51" s="170"/>
      <c r="G51" s="7"/>
      <c r="H51" s="6"/>
      <c r="I51" s="6">
        <f>+I50/D50</f>
        <v>22.280000000000008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225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225</v>
      </c>
      <c r="D2" s="96" t="s">
        <v>3</v>
      </c>
      <c r="E2" s="95" t="s">
        <v>112</v>
      </c>
      <c r="F2" s="94" t="s">
        <v>5</v>
      </c>
      <c r="G2" s="93">
        <v>6443.7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108</v>
      </c>
      <c r="F3" s="88" t="s">
        <v>8</v>
      </c>
      <c r="G3" s="87">
        <v>22.34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59.663888888888884</v>
      </c>
      <c r="F4" s="81" t="s">
        <v>12</v>
      </c>
      <c r="G4" s="80">
        <f>G2*G3</f>
        <v>143952.258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-3.0794884702441516E-2</v>
      </c>
      <c r="F6" s="69" t="s">
        <v>16</v>
      </c>
      <c r="G6" s="68">
        <f>(I50-I19)/(D50-(SUM(D42:D44)+D19))</f>
        <v>27.098425887579523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22.3</v>
      </c>
      <c r="D10" s="30"/>
      <c r="E10" s="29" t="e">
        <f t="shared" ref="E10:E19" si="1">D10/$D$19</f>
        <v>#DIV/0!</v>
      </c>
      <c r="F10" s="28">
        <f t="shared" ref="F10:F18" si="2">C10-(C10*$E$6)</f>
        <v>22.986725928864445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23.3</v>
      </c>
      <c r="D11" s="30"/>
      <c r="E11" s="29" t="e">
        <f t="shared" si="1"/>
        <v>#DIV/0!</v>
      </c>
      <c r="F11" s="28">
        <f t="shared" si="2"/>
        <v>24.01752081356689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21.3</v>
      </c>
      <c r="D12" s="30"/>
      <c r="E12" s="29" t="e">
        <f t="shared" si="1"/>
        <v>#DIV/0!</v>
      </c>
      <c r="F12" s="28">
        <f t="shared" si="2"/>
        <v>21.955931044162003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23.3</v>
      </c>
      <c r="D13" s="30"/>
      <c r="E13" s="29" t="e">
        <f t="shared" si="1"/>
        <v>#DIV/0!</v>
      </c>
      <c r="F13" s="28">
        <f t="shared" si="2"/>
        <v>24.01752081356689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26</v>
      </c>
      <c r="D14" s="30"/>
      <c r="E14" s="29" t="e">
        <f t="shared" si="1"/>
        <v>#DIV/0!</v>
      </c>
      <c r="F14" s="28">
        <f t="shared" si="2"/>
        <v>26.800667002263481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21.4</v>
      </c>
      <c r="D15" s="30"/>
      <c r="E15" s="29" t="e">
        <f t="shared" si="1"/>
        <v>#DIV/0!</v>
      </c>
      <c r="F15" s="28">
        <f t="shared" si="2"/>
        <v>22.059010532632247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29.4</v>
      </c>
      <c r="D16" s="30"/>
      <c r="E16" s="29" t="e">
        <f t="shared" si="1"/>
        <v>#DIV/0!</v>
      </c>
      <c r="F16" s="28">
        <f t="shared" si="2"/>
        <v>30.30536961025178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43.2</v>
      </c>
      <c r="D17" s="30"/>
      <c r="E17" s="29" t="e">
        <f t="shared" si="1"/>
        <v>#DIV/0!</v>
      </c>
      <c r="F17" s="28">
        <f t="shared" si="2"/>
        <v>44.53033901914548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37.799999999999997</v>
      </c>
      <c r="D18" s="30"/>
      <c r="E18" s="29" t="e">
        <f t="shared" si="1"/>
        <v>#DIV/0!</v>
      </c>
      <c r="F18" s="28">
        <f t="shared" si="2"/>
        <v>38.964046641752283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56.2</v>
      </c>
      <c r="D21" s="30">
        <v>105.8</v>
      </c>
      <c r="E21" s="29">
        <f>D21/$D$48</f>
        <v>1.6418883267637106E-2</v>
      </c>
      <c r="F21" s="28">
        <f>C21-(C21*$E$6)</f>
        <v>57.930672520277213</v>
      </c>
      <c r="G21" s="27" t="str">
        <f>IF(C21&gt;=F21,"-","+")</f>
        <v>+</v>
      </c>
      <c r="H21" s="26">
        <f>C21*D21</f>
        <v>5945.96</v>
      </c>
      <c r="I21" s="26">
        <f>F21*D21</f>
        <v>6129.0651526453294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37.700000000000003</v>
      </c>
      <c r="D22" s="30">
        <v>192.2</v>
      </c>
      <c r="E22" s="29">
        <f>D22/$D$48</f>
        <v>2.9827120643098785E-2</v>
      </c>
      <c r="F22" s="28">
        <f>C22-(C22*$E$6)</f>
        <v>38.860967153282047</v>
      </c>
      <c r="G22" s="27" t="str">
        <f>IF(C22&gt;=F22,"-","+")</f>
        <v>+</v>
      </c>
      <c r="H22" s="26">
        <f>C22*D22</f>
        <v>7245.9400000000005</v>
      </c>
      <c r="I22" s="26">
        <f>F22*D22</f>
        <v>7469.0778868608086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34.4</v>
      </c>
      <c r="D23" s="30">
        <v>168.2</v>
      </c>
      <c r="E23" s="29">
        <f>D23/$D$48</f>
        <v>2.6102610261026095E-2</v>
      </c>
      <c r="F23" s="28">
        <f>C23-(C23*$E$6)</f>
        <v>35.459344033763983</v>
      </c>
      <c r="G23" s="27" t="str">
        <f>IF(C23&gt;=F23,"-","+")</f>
        <v>+</v>
      </c>
      <c r="H23" s="26">
        <f>C23*D23</f>
        <v>5786.079999999999</v>
      </c>
      <c r="I23" s="26">
        <f>F23*D23</f>
        <v>5964.2616664791012</v>
      </c>
      <c r="J23" s="25"/>
      <c r="K23" s="25"/>
    </row>
    <row r="24" spans="1:11" x14ac:dyDescent="0.25">
      <c r="A24" s="24" t="s">
        <v>34</v>
      </c>
      <c r="B24" s="23"/>
      <c r="C24" s="20">
        <f>H24/D24</f>
        <v>40.707807807807811</v>
      </c>
      <c r="D24" s="22">
        <f>SUM(D21:D23)</f>
        <v>466.2</v>
      </c>
      <c r="E24" s="21">
        <f>D24/$D$48</f>
        <v>7.2348614171761985E-2</v>
      </c>
      <c r="F24" s="20">
        <f>I24/D24</f>
        <v>41.961400055738395</v>
      </c>
      <c r="G24" s="19">
        <f>F24/C24-1</f>
        <v>3.0794884702441294E-2</v>
      </c>
      <c r="H24" s="18">
        <f>SUM(H21:H23)</f>
        <v>18977.98</v>
      </c>
      <c r="I24" s="18">
        <f>SUM(I21:I23)</f>
        <v>19562.404705985238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</v>
      </c>
      <c r="D26" s="30">
        <v>1196.5999999999999</v>
      </c>
      <c r="E26" s="29">
        <f t="shared" ref="E26:E32" si="7">D26/$D$48</f>
        <v>0.18569788013284083</v>
      </c>
      <c r="F26" s="28">
        <f t="shared" ref="F26:F31" si="8">C26-(C26*$E$6)</f>
        <v>30.923846541073246</v>
      </c>
      <c r="G26" s="27" t="str">
        <f t="shared" ref="G26:G31" si="9">IF(C26&gt;=F26,"-","+")</f>
        <v>+</v>
      </c>
      <c r="H26" s="26">
        <f t="shared" ref="H26:H31" si="10">C26*D26</f>
        <v>35898</v>
      </c>
      <c r="I26" s="26">
        <f t="shared" ref="I26:I31" si="11">F26*D26</f>
        <v>37003.474771048241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26.7</v>
      </c>
      <c r="D27" s="30">
        <v>922.7</v>
      </c>
      <c r="E27" s="29">
        <f t="shared" si="7"/>
        <v>0.14319190539743629</v>
      </c>
      <c r="F27" s="28">
        <f t="shared" si="8"/>
        <v>27.522223421555189</v>
      </c>
      <c r="G27" s="27" t="str">
        <f t="shared" si="9"/>
        <v>+</v>
      </c>
      <c r="H27" s="26">
        <f t="shared" si="10"/>
        <v>24636.09</v>
      </c>
      <c r="I27" s="26">
        <f t="shared" si="11"/>
        <v>25394.755551068974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26.7</v>
      </c>
      <c r="D28" s="30">
        <v>580</v>
      </c>
      <c r="E28" s="29">
        <f t="shared" si="7"/>
        <v>9.0009000900089994E-2</v>
      </c>
      <c r="F28" s="28">
        <f t="shared" si="8"/>
        <v>27.522223421555189</v>
      </c>
      <c r="G28" s="27" t="str">
        <f t="shared" si="9"/>
        <v>+</v>
      </c>
      <c r="H28" s="26">
        <f t="shared" si="10"/>
        <v>15486</v>
      </c>
      <c r="I28" s="26">
        <f t="shared" si="11"/>
        <v>15962.889584502011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25.8</v>
      </c>
      <c r="D29" s="30">
        <v>537</v>
      </c>
      <c r="E29" s="29">
        <f t="shared" si="7"/>
        <v>8.3335919798876432E-2</v>
      </c>
      <c r="F29" s="28">
        <f t="shared" si="8"/>
        <v>26.594508025322991</v>
      </c>
      <c r="G29" s="27" t="str">
        <f t="shared" si="9"/>
        <v>+</v>
      </c>
      <c r="H29" s="26">
        <f t="shared" si="10"/>
        <v>13854.6</v>
      </c>
      <c r="I29" s="26">
        <f t="shared" si="11"/>
        <v>14281.250809598447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25.8</v>
      </c>
      <c r="D30" s="30">
        <v>425.4</v>
      </c>
      <c r="E30" s="29">
        <f t="shared" si="7"/>
        <v>6.6016946522238412E-2</v>
      </c>
      <c r="F30" s="28">
        <f t="shared" si="8"/>
        <v>26.594508025322991</v>
      </c>
      <c r="G30" s="27" t="str">
        <f t="shared" si="9"/>
        <v>+</v>
      </c>
      <c r="H30" s="26">
        <f t="shared" si="10"/>
        <v>10975.32</v>
      </c>
      <c r="I30" s="26">
        <f t="shared" si="11"/>
        <v>11313.3037139724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26.2</v>
      </c>
      <c r="D31" s="30">
        <v>94.8</v>
      </c>
      <c r="E31" s="29">
        <f t="shared" si="7"/>
        <v>1.4711816009187122E-2</v>
      </c>
      <c r="F31" s="28">
        <f t="shared" si="8"/>
        <v>27.006825979203967</v>
      </c>
      <c r="G31" s="27" t="str">
        <f t="shared" si="9"/>
        <v>+</v>
      </c>
      <c r="H31" s="26">
        <f t="shared" si="10"/>
        <v>2483.7599999999998</v>
      </c>
      <c r="I31" s="26">
        <f t="shared" si="11"/>
        <v>2560.2471028285358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27.507991481432182</v>
      </c>
      <c r="D32" s="22">
        <f>SUM(D26:D31)</f>
        <v>3756.5000000000005</v>
      </c>
      <c r="E32" s="21">
        <f t="shared" si="7"/>
        <v>0.58296346876066918</v>
      </c>
      <c r="F32" s="20">
        <f>I32/D32</f>
        <v>28.355096907498634</v>
      </c>
      <c r="G32" s="19">
        <f>F32/C32-1</f>
        <v>3.0794884702441738E-2</v>
      </c>
      <c r="H32" s="18">
        <f>SUM(H26:H31)</f>
        <v>103333.77</v>
      </c>
      <c r="I32" s="18">
        <f>SUM(I26:I31)</f>
        <v>106515.92153301863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15.8</v>
      </c>
      <c r="D34" s="30">
        <f>1241.2+354.6-575</f>
        <v>1020.8000000000002</v>
      </c>
      <c r="E34" s="29">
        <f t="shared" ref="E34:E40" si="13">D34/$D$48</f>
        <v>0.15841584158415842</v>
      </c>
      <c r="F34" s="28">
        <f t="shared" ref="F34:F39" si="14">C34-(C34*$E$6)</f>
        <v>16.286559178298578</v>
      </c>
      <c r="G34" s="27" t="str">
        <f t="shared" ref="G34:G39" si="15">IF(C34&gt;=F34,"-","+")</f>
        <v>+</v>
      </c>
      <c r="H34" s="26">
        <f t="shared" ref="H34:H39" si="16">C34*D34</f>
        <v>16128.640000000003</v>
      </c>
      <c r="I34" s="26">
        <f t="shared" ref="I34:I39" si="17">F34*D34</f>
        <v>16625.319609207192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12.1</v>
      </c>
      <c r="D35" s="30">
        <v>62.7</v>
      </c>
      <c r="E35" s="29">
        <f t="shared" si="13"/>
        <v>9.7302833731649011E-3</v>
      </c>
      <c r="F35" s="28">
        <f t="shared" si="14"/>
        <v>12.472618104899542</v>
      </c>
      <c r="G35" s="27" t="str">
        <f t="shared" si="15"/>
        <v>+</v>
      </c>
      <c r="H35" s="26">
        <f t="shared" si="16"/>
        <v>758.67</v>
      </c>
      <c r="I35" s="26">
        <f t="shared" si="17"/>
        <v>782.03315517720137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9.8000000000000007</v>
      </c>
      <c r="D36" s="30"/>
      <c r="E36" s="29">
        <f t="shared" si="13"/>
        <v>0</v>
      </c>
      <c r="F36" s="28">
        <f t="shared" si="14"/>
        <v>10.101789870083927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25.8</v>
      </c>
      <c r="D37" s="30"/>
      <c r="E37" s="29">
        <f t="shared" si="13"/>
        <v>0</v>
      </c>
      <c r="F37" s="28">
        <f t="shared" si="14"/>
        <v>26.594508025322991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25.8</v>
      </c>
      <c r="D38" s="30"/>
      <c r="E38" s="29">
        <f t="shared" si="13"/>
        <v>0</v>
      </c>
      <c r="F38" s="28">
        <f t="shared" si="14"/>
        <v>26.594508025322991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26.7</v>
      </c>
      <c r="D39" s="30"/>
      <c r="E39" s="29">
        <f t="shared" si="13"/>
        <v>0</v>
      </c>
      <c r="F39" s="28">
        <f t="shared" si="14"/>
        <v>27.522223421555189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15.585888324873094</v>
      </c>
      <c r="D40" s="22">
        <f>SUM(D34:D39)</f>
        <v>1083.5000000000002</v>
      </c>
      <c r="E40" s="21">
        <f t="shared" si="13"/>
        <v>0.16814612495732331</v>
      </c>
      <c r="F40" s="20">
        <f>I40/D40</f>
        <v>16.065853958822693</v>
      </c>
      <c r="G40" s="19">
        <f>F40/C40-1</f>
        <v>3.0794884702441738E-2</v>
      </c>
      <c r="H40" s="18">
        <f>SUM(H34:H39)</f>
        <v>16887.310000000001</v>
      </c>
      <c r="I40" s="18">
        <f>SUM(I34:I39)</f>
        <v>17407.352764384392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558+71.5+482.6</f>
        <v>1112.0999999999999</v>
      </c>
      <c r="E42" s="107">
        <f>D42/$D$48</f>
        <v>0.17258449982929322</v>
      </c>
      <c r="F42" s="28">
        <f>C42-(C42*$E$6)</f>
        <v>0.41231795388097664</v>
      </c>
      <c r="G42" s="27" t="str">
        <f>IF(C42&gt;=F42,"-","+")</f>
        <v>+</v>
      </c>
      <c r="H42" s="26">
        <f>C42*D42</f>
        <v>444.84</v>
      </c>
      <c r="I42" s="26">
        <f>F42*D42</f>
        <v>458.53879651103409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19.5</v>
      </c>
      <c r="E43" s="107">
        <f>D43/$D$48</f>
        <v>3.0261646854340602E-3</v>
      </c>
      <c r="F43" s="28">
        <f>C43-(C43*$E$6)</f>
        <v>0.41231795388097664</v>
      </c>
      <c r="G43" s="27" t="str">
        <f>IF(C43&gt;=F43,"-","+")</f>
        <v>+</v>
      </c>
      <c r="H43" s="26">
        <f>C43*D43</f>
        <v>7.8000000000000007</v>
      </c>
      <c r="I43" s="26">
        <f>F43*D43</f>
        <v>8.0402001006790442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9.3112759551817234E-4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0.39789029535864978</v>
      </c>
      <c r="D46" s="22">
        <f>SUM(D41:D45)</f>
        <v>1137.5999999999999</v>
      </c>
      <c r="E46" s="21">
        <f>D46/$D$48</f>
        <v>0.17654179211024545</v>
      </c>
      <c r="F46" s="20">
        <f>I46/D46</f>
        <v>0.41014328112843984</v>
      </c>
      <c r="G46" s="19">
        <f>F46/C46-1</f>
        <v>3.0794884702441516E-2</v>
      </c>
      <c r="H46" s="18">
        <f>SUM(H41:H44)</f>
        <v>452.64</v>
      </c>
      <c r="I46" s="18">
        <f>SUM(I41:I44)</f>
        <v>466.57899661171314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84.199577909471742</v>
      </c>
      <c r="D48" s="13">
        <f>D24+D32+D40+D46</f>
        <v>6443.8000000000011</v>
      </c>
      <c r="E48" s="12">
        <f>SUM(E20:E46)/2</f>
        <v>0.99999999999999989</v>
      </c>
      <c r="F48" s="11">
        <f>I48/D48</f>
        <v>22.339653310158592</v>
      </c>
      <c r="G48" s="10"/>
      <c r="H48" s="9">
        <f>SUM(H20:H46)/2</f>
        <v>139651.70000000004</v>
      </c>
      <c r="I48" s="9">
        <f>SUM(I20:I46)/2</f>
        <v>143952.25799999997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6443.8000000000011</v>
      </c>
      <c r="E50" s="12">
        <f>D50/G2</f>
        <v>1.0000155190340956</v>
      </c>
      <c r="F50" s="11">
        <f>I50/D50</f>
        <v>22.339653310158592</v>
      </c>
      <c r="G50" s="10"/>
      <c r="H50" s="9">
        <f>H48+H19</f>
        <v>139651.70000000004</v>
      </c>
      <c r="I50" s="9">
        <f>I48+I19</f>
        <v>143952.25799999997</v>
      </c>
      <c r="J50" s="106">
        <f>D50-G2</f>
        <v>0.10000000000127329</v>
      </c>
      <c r="K50" s="8"/>
    </row>
    <row r="51" spans="1:11" ht="23.25" x14ac:dyDescent="0.35">
      <c r="A51" s="174" t="s">
        <v>230</v>
      </c>
      <c r="B51" s="169"/>
      <c r="C51" s="170"/>
      <c r="G51" s="7"/>
      <c r="H51" s="6"/>
      <c r="I51" s="6">
        <f>+I50/D50</f>
        <v>22.339653310158592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FF000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6.14062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/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AY31-19013031-S'!G2+'İP31-19013031-S'!G2+'ÖA31-19013031'!G2+'FA30-19012930-S'!G2+'ÖZ30-19012830-S'!G2+'AK30-19012930-S'!G2+'ÜN29-19012829-S'!G2+'3E29-19012728-S'!G2+'AY28-19012728-S'!G2+'AY28-19012728'!G2+'G28-19012628'!G2+'G28-19012628-1'!G2+'ÖV28-19012728'!G2+'G26-19012223'!G2+'3E-25-19012425-S'!G2+'ÖB25-19012324-S'!G2+'AY24-19012324'!G2+'AY24-19012324-S'!G2+'FA24-19012223-S'!G2+'MOL24-19012324'!G2+'PO23-19011819-S'!G2+'MOL21-10011921'!G2+'YIL03-19010203'!G2</f>
        <v>208578.6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30">
        <f>'AY31-19013031-S'!E3+'İP31-19013031-S'!E3+'ÖA31-19013031'!E3+'FA30-19012930-S'!E3+'ÖZ30-19012830-S'!E3+'AK30-19012930-S'!E3+'ÜN29-19012829-S'!E3+'3E29-19012728-S'!E3+'AY28-19012728-S'!E3+'AY28-19012728'!E3+'G28-19012628'!E3+'G28-19012628-1'!E3+'ÖV28-19012728'!E3+'G26-19012223'!E3+'3E-25-19012425-S'!E3+'ÖB25-19012324-S'!E3+'AY24-19012324'!E3+'AY24-19012324-S'!E3+'FA24-19012223-S'!E3+'MOL24-19012324'!E3+'PO23-19011819-S'!E3+'MOL21-10011921'!E3+208</f>
        <v>2906</v>
      </c>
      <c r="F3" s="111" t="s">
        <v>8</v>
      </c>
      <c r="G3" s="109">
        <v>25.9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71.775154852030283</v>
      </c>
      <c r="F4" s="81" t="s">
        <v>12</v>
      </c>
      <c r="G4" s="112">
        <f>G2*G3</f>
        <v>5402185.7400000002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-3.4307560372841994E-2</v>
      </c>
      <c r="F6" s="69" t="s">
        <v>16</v>
      </c>
      <c r="G6" s="68">
        <f>(I50-I19)/(D50-(SUM(D42:D44)+D19))</f>
        <v>31.79229305873557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>
        <f>'AY31-19013031-S'!D10+'İP31-19013031-S'!D10+'ÖA31-19013031'!D10+'FA30-19012930-S'!D10+'ÖZ30-19012830-S'!D10+'AK30-19012930-S'!D10+'ÜN29-19012829-S'!D10+'3E29-19012728-S'!D10+'AY28-19012728-S'!D10+'AY28-19012728'!D10+'G28-19012628'!D10+'G28-19012628-1'!D10+'ÖV28-19012728'!D10+'G26-19012223'!D10+'3E-25-19012425-S'!D10+'ÖB25-19012324-S'!D10+'AY24-19012324'!D10+'AY24-19012324-S'!D10+'FA24-19012223-S'!D10+'MOL24-19012324'!D10+'PO23-19011819-S'!D10+'MOL21-10011921'!D10+'YIL03-19010203'!D10</f>
        <v>0</v>
      </c>
      <c r="E10" s="29">
        <f t="shared" ref="E10:E19" si="1">D10/$D$19</f>
        <v>0</v>
      </c>
      <c r="F10" s="28">
        <f t="shared" ref="F10:F18" si="2">C10-(C10*$E$6)</f>
        <v>26.788565813656607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>
        <f>'AY31-19013031-S'!D11+'İP31-19013031-S'!D11+'ÖA31-19013031'!D11+'FA30-19012930-S'!D11+'ÖZ30-19012830-S'!D11+'AK30-19012930-S'!D11+'ÜN29-19012829-S'!D11+'3E29-19012728-S'!D11+'AY28-19012728-S'!D11+'AY28-19012728'!D11+'G28-19012628'!D11+'G28-19012628-1'!D11+'ÖV28-19012728'!D11+'G26-19012223'!D11+'3E-25-19012425-S'!D11+'ÖB25-19012324-S'!D11+'AY24-19012324'!D11+'AY24-19012324-S'!D11+'FA24-19012223-S'!D11+'MOL24-19012324'!D11+'PO23-19011819-S'!D11+'MOL21-10011921'!D11+'YIL03-19010203'!D11</f>
        <v>950.5</v>
      </c>
      <c r="E11" s="29">
        <f t="shared" si="1"/>
        <v>0.3168967126758685</v>
      </c>
      <c r="F11" s="28">
        <f t="shared" si="2"/>
        <v>27.926304130066733</v>
      </c>
      <c r="G11" s="27" t="str">
        <f t="shared" si="3"/>
        <v>+</v>
      </c>
      <c r="H11" s="34">
        <f t="shared" si="4"/>
        <v>25663.5</v>
      </c>
      <c r="I11" s="34">
        <f t="shared" si="5"/>
        <v>26543.952075628429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24.6</v>
      </c>
      <c r="D12" s="30">
        <f>'AY31-19013031-S'!D12+'İP31-19013031-S'!D12+'ÖA31-19013031'!D12+'FA30-19012930-S'!D12+'ÖZ30-19012830-S'!D12+'AK30-19012930-S'!D12+'ÜN29-19012829-S'!D12+'3E29-19012728-S'!D12+'AY28-19012728-S'!D12+'AY28-19012728'!D12+'G28-19012628'!D12+'G28-19012628-1'!D12+'ÖV28-19012728'!D12+'G26-19012223'!D12+'3E-25-19012425-S'!D12+'ÖB25-19012324-S'!D12+'AY24-19012324'!D12+'AY24-19012324-S'!D12+'FA24-19012223-S'!D12+'MOL24-19012324'!D12+'PO23-19011819-S'!D12+'MOL21-10011921'!D12+'YIL03-19010203'!D12</f>
        <v>1385</v>
      </c>
      <c r="E12" s="29">
        <f t="shared" si="1"/>
        <v>0.46175901847036072</v>
      </c>
      <c r="F12" s="28">
        <f t="shared" si="2"/>
        <v>25.443965985171914</v>
      </c>
      <c r="G12" s="27" t="str">
        <f t="shared" si="3"/>
        <v>+</v>
      </c>
      <c r="H12" s="34">
        <f t="shared" si="4"/>
        <v>34071</v>
      </c>
      <c r="I12" s="34">
        <f t="shared" si="5"/>
        <v>35239.892889463103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>
        <f>'AY31-19013031-S'!D13+'İP31-19013031-S'!D13+'ÖA31-19013031'!D13+'FA30-19012930-S'!D13+'ÖZ30-19012830-S'!D13+'AK30-19012930-S'!D13+'ÜN29-19012829-S'!D13+'3E29-19012728-S'!D13+'AY28-19012728-S'!D13+'AY28-19012728'!D13+'G28-19012628'!D13+'G28-19012628-1'!D13+'ÖV28-19012728'!D13+'G26-19012223'!D13+'3E-25-19012425-S'!D13+'ÖB25-19012324-S'!D13+'AY24-19012324'!D13+'AY24-19012324-S'!D13+'FA24-19012223-S'!D13+'MOL24-19012324'!D13+'PO23-19011819-S'!D13+'MOL21-10011921'!D13+'YIL03-19010203'!D13</f>
        <v>137.5</v>
      </c>
      <c r="E13" s="29">
        <f t="shared" si="1"/>
        <v>4.5842501833700075E-2</v>
      </c>
      <c r="F13" s="28">
        <f t="shared" si="2"/>
        <v>27.926304130066733</v>
      </c>
      <c r="G13" s="27" t="str">
        <f t="shared" si="3"/>
        <v>+</v>
      </c>
      <c r="H13" s="34">
        <f t="shared" si="4"/>
        <v>3712.5</v>
      </c>
      <c r="I13" s="34">
        <f t="shared" si="5"/>
        <v>3839.8668178841758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>
        <f>'AY31-19013031-S'!D14+'İP31-19013031-S'!D14+'ÖA31-19013031'!D14+'FA30-19012930-S'!D14+'ÖZ30-19012830-S'!D14+'AK30-19012930-S'!D14+'ÜN29-19012829-S'!D14+'3E29-19012728-S'!D14+'AY28-19012728-S'!D14+'AY28-19012728'!D14+'G28-19012628'!D14+'G28-19012628-1'!D14+'ÖV28-19012728'!D14+'G26-19012223'!D14+'3E-25-19012425-S'!D14+'ÖB25-19012324-S'!D14+'AY24-19012324'!D14+'AY24-19012324-S'!D14+'FA24-19012223-S'!D14+'MOL24-19012324'!D14+'PO23-19011819-S'!D14+'MOL21-10011921'!D14+'YIL03-19010203'!D14</f>
        <v>105.8</v>
      </c>
      <c r="E14" s="29">
        <f t="shared" si="1"/>
        <v>3.5273721410948852E-2</v>
      </c>
      <c r="F14" s="28">
        <f t="shared" si="2"/>
        <v>31.236088323259828</v>
      </c>
      <c r="G14" s="27" t="str">
        <f t="shared" si="3"/>
        <v>+</v>
      </c>
      <c r="H14" s="34">
        <f t="shared" si="4"/>
        <v>3195.16</v>
      </c>
      <c r="I14" s="34">
        <f t="shared" si="5"/>
        <v>3304.7781446008898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>
        <f>'AY31-19013031-S'!D15+'İP31-19013031-S'!D15+'ÖA31-19013031'!D15+'FA30-19012930-S'!D15+'ÖZ30-19012830-S'!D15+'AK30-19012930-S'!D15+'ÜN29-19012829-S'!D15+'3E29-19012728-S'!D15+'AY28-19012728-S'!D15+'AY28-19012728'!D15+'G28-19012628'!D15+'G28-19012628-1'!D15+'ÖV28-19012728'!D15+'G26-19012223'!D15+'3E-25-19012425-S'!D15+'ÖB25-19012324-S'!D15+'AY24-19012324'!D15+'AY24-19012324-S'!D15+'FA24-19012223-S'!D15+'MOL24-19012324'!D15+'PO23-19011819-S'!D15+'MOL21-10011921'!D15+'YIL03-19010203'!D15</f>
        <v>343.6</v>
      </c>
      <c r="E15" s="29">
        <f t="shared" si="1"/>
        <v>0.11455624458224979</v>
      </c>
      <c r="F15" s="28">
        <f t="shared" si="2"/>
        <v>25.754258253283766</v>
      </c>
      <c r="G15" s="27" t="str">
        <f t="shared" si="3"/>
        <v>+</v>
      </c>
      <c r="H15" s="34">
        <f t="shared" si="4"/>
        <v>8555.64</v>
      </c>
      <c r="I15" s="34">
        <f t="shared" si="5"/>
        <v>8849.163135828303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</v>
      </c>
      <c r="D16" s="30">
        <f>'AY31-19013031-S'!D16+'İP31-19013031-S'!D16+'ÖA31-19013031'!D16+'FA30-19012930-S'!D16+'ÖZ30-19012830-S'!D16+'AK30-19012930-S'!D16+'ÜN29-19012829-S'!D16+'3E29-19012728-S'!D16+'AY28-19012728-S'!D16+'AY28-19012728'!D16+'G28-19012628'!D16+'G28-19012628-1'!D16+'ÖV28-19012728'!D16+'G26-19012223'!D16+'3E-25-19012425-S'!D16+'ÖB25-19012324-S'!D16+'AY24-19012324'!D16+'AY24-19012324-S'!D16+'FA24-19012223-S'!D16+'MOL24-19012324'!D16+'PO23-19011819-S'!D16+'MOL21-10011921'!D16+'YIL03-19010203'!D16</f>
        <v>26</v>
      </c>
      <c r="E16" s="29">
        <f t="shared" si="1"/>
        <v>8.6684003467360129E-3</v>
      </c>
      <c r="F16" s="28">
        <f t="shared" si="2"/>
        <v>35.166457052676627</v>
      </c>
      <c r="G16" s="27" t="str">
        <f t="shared" si="3"/>
        <v>+</v>
      </c>
      <c r="H16" s="34">
        <f t="shared" si="4"/>
        <v>884</v>
      </c>
      <c r="I16" s="34">
        <f t="shared" si="5"/>
        <v>914.32788336959231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50.1</v>
      </c>
      <c r="D17" s="30">
        <f>'AY31-19013031-S'!D17+'İP31-19013031-S'!D17+'ÖA31-19013031'!D17+'FA30-19012930-S'!D17+'ÖZ30-19012830-S'!D17+'AK30-19012930-S'!D17+'ÜN29-19012829-S'!D17+'3E29-19012728-S'!D17+'AY28-19012728-S'!D17+'AY28-19012728'!D17+'G28-19012628'!D17+'G28-19012628-1'!D17+'ÖV28-19012728'!D17+'G26-19012223'!D17+'3E-25-19012425-S'!D17+'ÖB25-19012324-S'!D17+'AY24-19012324'!D17+'AY24-19012324-S'!D17+'FA24-19012223-S'!D17+'MOL24-19012324'!D17+'PO23-19011819-S'!D17+'MOL21-10011921'!D17+'YIL03-19010203'!D17</f>
        <v>51</v>
      </c>
      <c r="E17" s="29">
        <f t="shared" si="1"/>
        <v>1.7003400680136026E-2</v>
      </c>
      <c r="F17" s="28">
        <f t="shared" si="2"/>
        <v>51.818808774679383</v>
      </c>
      <c r="G17" s="27" t="str">
        <f t="shared" si="3"/>
        <v>+</v>
      </c>
      <c r="H17" s="34">
        <f t="shared" si="4"/>
        <v>2555.1</v>
      </c>
      <c r="I17" s="34">
        <f t="shared" si="5"/>
        <v>2642.7592475086485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43.9</v>
      </c>
      <c r="D18" s="30">
        <f>'AY31-19013031-S'!D18+'İP31-19013031-S'!D18+'ÖA31-19013031'!D18+'FA30-19012930-S'!D18+'ÖZ30-19012830-S'!D18+'AK30-19012930-S'!D18+'ÜN29-19012829-S'!D18+'3E29-19012728-S'!D18+'AY28-19012728-S'!D18+'AY28-19012728'!D18+'G28-19012628'!D18+'G28-19012628-1'!D18+'ÖV28-19012728'!D18+'G26-19012223'!D18+'3E-25-19012425-S'!D18+'ÖB25-19012324-S'!D18+'AY24-19012324'!D18+'AY24-19012324-S'!D18+'FA24-19012223-S'!D18+'MOL24-19012324'!D18+'PO23-19011819-S'!D18+'MOL21-10011921'!D18+'YIL03-19010203'!D18</f>
        <v>0</v>
      </c>
      <c r="E18" s="29">
        <f t="shared" si="1"/>
        <v>0</v>
      </c>
      <c r="F18" s="28">
        <f t="shared" si="2"/>
        <v>45.406101900367759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26.217543508701741</v>
      </c>
      <c r="D19" s="49">
        <f>SUM(D10:D18)</f>
        <v>2999.4</v>
      </c>
      <c r="E19" s="48">
        <f t="shared" si="1"/>
        <v>1</v>
      </c>
      <c r="F19" s="47">
        <f>I19/D19</f>
        <v>27.117003465454136</v>
      </c>
      <c r="G19" s="46">
        <f>F19/C19-1</f>
        <v>3.4307560372841994E-2</v>
      </c>
      <c r="H19" s="9">
        <f>SUM(H10:H18)</f>
        <v>78636.900000000009</v>
      </c>
      <c r="I19" s="9">
        <f>SUM(I10:I18)</f>
        <v>81334.740194283135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65.099999999999994</v>
      </c>
      <c r="D21" s="30">
        <f>'AY31-19013031-S'!D21+'İP31-19013031-S'!D21+'ÖA31-19013031'!D21+'FA30-19012930-S'!D21+'ÖZ30-19012830-S'!D21+'AK30-19012930-S'!D21+'ÜN29-19012829-S'!D21+'3E29-19012728-S'!D21+'AY28-19012728-S'!D21+'AY28-19012728'!D21+'G28-19012628'!D21+'G28-19012628-1'!D21+'ÖV28-19012728'!D21+'G26-19012223'!D21+'3E-25-19012425-S'!D21+'ÖB25-19012324-S'!D21+'AY24-19012324'!D21+'AY24-19012324-S'!D21+'FA24-19012223-S'!D21+'MOL24-19012324'!D21+'PO23-19011819-S'!D21+'MOL21-10011921'!D21+'YIL03-19010203'!D21</f>
        <v>2659.4000000000005</v>
      </c>
      <c r="E21" s="29">
        <f>D21/$D$48</f>
        <v>1.2936088310570413E-2</v>
      </c>
      <c r="F21" s="28">
        <f>C21-(C21*$E$6)</f>
        <v>67.333422180272009</v>
      </c>
      <c r="G21" s="27" t="str">
        <f>IF(C21&gt;=F21,"-","+")</f>
        <v>+</v>
      </c>
      <c r="H21" s="26">
        <f>C21*D21</f>
        <v>173126.94000000003</v>
      </c>
      <c r="I21" s="26">
        <f>F21*D21</f>
        <v>179066.50294621542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43.7</v>
      </c>
      <c r="D22" s="30">
        <f>'AY31-19013031-S'!D22+'İP31-19013031-S'!D22+'ÖA31-19013031'!D22+'FA30-19012930-S'!D22+'ÖZ30-19012830-S'!D22+'AK30-19012930-S'!D22+'ÜN29-19012829-S'!D22+'3E29-19012728-S'!D22+'AY28-19012728-S'!D22+'AY28-19012728'!D22+'G28-19012628'!D22+'G28-19012628-1'!D22+'ÖV28-19012728'!D22+'G26-19012223'!D22+'3E-25-19012425-S'!D22+'ÖB25-19012324-S'!D22+'AY24-19012324'!D22+'AY24-19012324-S'!D22+'FA24-19012223-S'!D22+'MOL24-19012324'!D22+'PO23-19011819-S'!D22+'MOL21-10011921'!D22+'YIL03-19010203'!D22</f>
        <v>6175.8</v>
      </c>
      <c r="E22" s="29">
        <f>D22/$D$48</f>
        <v>3.004087169602946E-2</v>
      </c>
      <c r="F22" s="28">
        <f>C22-(C22*$E$6)</f>
        <v>45.199240388293198</v>
      </c>
      <c r="G22" s="27" t="str">
        <f>IF(C22&gt;=F22,"-","+")</f>
        <v>+</v>
      </c>
      <c r="H22" s="26">
        <f>C22*D22</f>
        <v>269882.46000000002</v>
      </c>
      <c r="I22" s="26">
        <f>F22*D22</f>
        <v>279141.46879002114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39.9</v>
      </c>
      <c r="D23" s="30">
        <f>'AY31-19013031-S'!D23+'İP31-19013031-S'!D23+'ÖA31-19013031'!D23+'FA30-19012930-S'!D23+'ÖZ30-19012830-S'!D23+'AK30-19012930-S'!D23+'ÜN29-19012829-S'!D23+'3E29-19012728-S'!D23+'AY28-19012728-S'!D23+'AY28-19012728'!D23+'G28-19012628'!D23+'G28-19012628-1'!D23+'ÖV28-19012728'!D23+'G26-19012223'!D23+'3E-25-19012425-S'!D23+'ÖB25-19012324-S'!D23+'AY24-19012324'!D23+'AY24-19012324-S'!D23+'FA24-19012223-S'!D23+'MOL24-19012324'!D23+'PO23-19011819-S'!D23+'MOL21-10011921'!D23+'YIL03-19010203'!D23</f>
        <v>4902.7000000000007</v>
      </c>
      <c r="E23" s="29">
        <f>D23/$D$48</f>
        <v>2.3848146258642386E-2</v>
      </c>
      <c r="F23" s="28">
        <f>C23-(C23*$E$6)</f>
        <v>41.268871658876392</v>
      </c>
      <c r="G23" s="27" t="str">
        <f>IF(C23&gt;=F23,"-","+")</f>
        <v>+</v>
      </c>
      <c r="H23" s="26">
        <f>C23*D23</f>
        <v>195617.73</v>
      </c>
      <c r="I23" s="26">
        <f>F23*D23</f>
        <v>202328.89708197332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46.486517590024668</v>
      </c>
      <c r="D24" s="22">
        <f>SUM(D21:D23)</f>
        <v>13737.900000000001</v>
      </c>
      <c r="E24" s="21">
        <f>D24/$D$48</f>
        <v>6.6825106265242254E-2</v>
      </c>
      <c r="F24" s="20">
        <f>I24/D24</f>
        <v>48.081356598767634</v>
      </c>
      <c r="G24" s="19">
        <f>F24/C24-1</f>
        <v>3.4307560372842216E-2</v>
      </c>
      <c r="H24" s="18">
        <f>SUM(H21:H23)</f>
        <v>638627.13</v>
      </c>
      <c r="I24" s="18">
        <f>SUM(I21:I23)</f>
        <v>660536.86881820997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34.799999999999997</v>
      </c>
      <c r="D26" s="30">
        <f>'AY31-19013031-S'!D26+'İP31-19013031-S'!D26+'ÖA31-19013031'!D26+'FA30-19012930-S'!D26+'ÖZ30-19012830-S'!D26+'AK30-19012930-S'!D26+'ÜN29-19012829-S'!D26+'3E29-19012728-S'!D26+'AY28-19012728-S'!D26+'AY28-19012728'!D26+'G28-19012628'!D26+'G28-19012628-1'!D26+'ÖV28-19012728'!D26+'G26-19012223'!D26+'3E-25-19012425-S'!D26+'ÖB25-19012324-S'!D26+'AY24-19012324'!D26+'AY24-19012324-S'!D26+'FA24-19012223-S'!D26+'MOL24-19012324'!D26+'PO23-19011819-S'!D26+'MOL21-10011921'!D26+'YIL03-19010203'!D26</f>
        <v>38910.500000000007</v>
      </c>
      <c r="E26" s="29">
        <f t="shared" ref="E26:E32" si="7">D26/$D$48</f>
        <v>0.18927188997835981</v>
      </c>
      <c r="F26" s="28">
        <f t="shared" ref="F26:F31" si="8">C26-(C26*$E$6)</f>
        <v>35.993903100974897</v>
      </c>
      <c r="G26" s="27" t="str">
        <f t="shared" ref="G26:G31" si="9">IF(C26&gt;=F26,"-","+")</f>
        <v>+</v>
      </c>
      <c r="H26" s="26">
        <f t="shared" ref="H26:H31" si="10">C26*D26</f>
        <v>1354085.4000000001</v>
      </c>
      <c r="I26" s="26">
        <f t="shared" ref="I26:I31" si="11">F26*D26</f>
        <v>1400540.7666104841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f>'AY31-19013031-S'!D27+'İP31-19013031-S'!D27+'ÖA31-19013031'!D27+'FA30-19012930-S'!D27+'ÖZ30-19012830-S'!D27+'AK30-19012930-S'!D27+'ÜN29-19012829-S'!D27+'3E29-19012728-S'!D27+'AY28-19012728-S'!D27+'AY28-19012728'!D27+'G28-19012628'!D27+'G28-19012628-1'!D27+'ÖV28-19012728'!D27+'G26-19012223'!D27+'3E-25-19012425-S'!D27+'ÖB25-19012324-S'!D27+'AY24-19012324'!D27+'AY24-19012324-S'!D27+'FA24-19012223-S'!D27+'MOL24-19012324'!D27+'PO23-19011819-S'!D27+'MOL21-10011921'!D27+'YIL03-19010203'!D27</f>
        <v>29245.1</v>
      </c>
      <c r="E27" s="29">
        <f t="shared" si="7"/>
        <v>0.14225659782336719</v>
      </c>
      <c r="F27" s="28">
        <f t="shared" si="8"/>
        <v>32.063534371558099</v>
      </c>
      <c r="G27" s="27" t="str">
        <f t="shared" si="9"/>
        <v>+</v>
      </c>
      <c r="H27" s="26">
        <f t="shared" si="10"/>
        <v>906598.1</v>
      </c>
      <c r="I27" s="26">
        <f t="shared" si="11"/>
        <v>937701.26904965367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f>'AY31-19013031-S'!D28+'İP31-19013031-S'!D28+'ÖA31-19013031'!D28+'FA30-19012930-S'!D28+'ÖZ30-19012830-S'!D28+'AK30-19012930-S'!D28+'ÜN29-19012829-S'!D28+'3E29-19012728-S'!D28+'AY28-19012728-S'!D28+'AY28-19012728'!D28+'G28-19012628'!D28+'G28-19012628-1'!D28+'ÖV28-19012728'!D28+'G26-19012223'!D28+'3E-25-19012425-S'!D28+'ÖB25-19012324-S'!D28+'AY24-19012324'!D28+'AY24-19012324-S'!D28+'FA24-19012223-S'!D28+'MOL24-19012324'!D28+'PO23-19011819-S'!D28+'MOL21-10011921'!D28+'YIL03-19010203'!D28</f>
        <v>21025.199999999997</v>
      </c>
      <c r="E28" s="29">
        <f t="shared" si="7"/>
        <v>0.1022726344090415</v>
      </c>
      <c r="F28" s="28">
        <f t="shared" si="8"/>
        <v>32.063534371558099</v>
      </c>
      <c r="G28" s="27" t="str">
        <f t="shared" si="9"/>
        <v>+</v>
      </c>
      <c r="H28" s="26">
        <f t="shared" si="10"/>
        <v>651781.19999999995</v>
      </c>
      <c r="I28" s="26">
        <f t="shared" si="11"/>
        <v>674142.22286888328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29.9</v>
      </c>
      <c r="D29" s="30">
        <f>'AY31-19013031-S'!D29+'İP31-19013031-S'!D29+'ÖA31-19013031'!D29+'FA30-19012930-S'!D29+'ÖZ30-19012830-S'!D29+'AK30-19012930-S'!D29+'ÜN29-19012829-S'!D29+'3E29-19012728-S'!D29+'AY28-19012728-S'!D29+'AY28-19012728'!D29+'G28-19012628'!D29+'G28-19012628-1'!D29+'ÖV28-19012728'!D29+'G26-19012223'!D29+'3E-25-19012425-S'!D29+'ÖB25-19012324-S'!D29+'AY24-19012324'!D29+'AY24-19012324-S'!D29+'FA24-19012223-S'!D29+'MOL24-19012324'!D29+'PO23-19011819-S'!D29+'MOL21-10011921'!D29+'YIL03-19010203'!D29</f>
        <v>18518.7</v>
      </c>
      <c r="E29" s="29">
        <f t="shared" si="7"/>
        <v>9.0080295779860223E-2</v>
      </c>
      <c r="F29" s="28">
        <f t="shared" si="8"/>
        <v>30.925796055147973</v>
      </c>
      <c r="G29" s="27" t="str">
        <f t="shared" si="9"/>
        <v>+</v>
      </c>
      <c r="H29" s="26">
        <f t="shared" si="10"/>
        <v>553709.13</v>
      </c>
      <c r="I29" s="26">
        <f t="shared" si="11"/>
        <v>572705.53940646874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29.9</v>
      </c>
      <c r="D30" s="30">
        <f>'AY31-19013031-S'!D30+'İP31-19013031-S'!D30+'ÖA31-19013031'!D30+'FA30-19012930-S'!D30+'ÖZ30-19012830-S'!D30+'AK30-19012930-S'!D30+'ÜN29-19012829-S'!D30+'3E29-19012728-S'!D30+'AY28-19012728-S'!D30+'AY28-19012728'!D30+'G28-19012628'!D30+'G28-19012628-1'!D30+'ÖV28-19012728'!D30+'G26-19012223'!D30+'3E-25-19012425-S'!D30+'ÖB25-19012324-S'!D30+'AY24-19012324'!D30+'AY24-19012324-S'!D30+'FA24-19012223-S'!D30+'MOL24-19012324'!D30+'PO23-19011819-S'!D30+'MOL21-10011921'!D30+'YIL03-19010203'!D30</f>
        <v>12308.099999999999</v>
      </c>
      <c r="E30" s="29">
        <f t="shared" si="7"/>
        <v>5.987014685091812E-2</v>
      </c>
      <c r="F30" s="28">
        <f t="shared" si="8"/>
        <v>30.925796055147973</v>
      </c>
      <c r="G30" s="27" t="str">
        <f t="shared" si="9"/>
        <v>+</v>
      </c>
      <c r="H30" s="26">
        <f t="shared" si="10"/>
        <v>368012.18999999994</v>
      </c>
      <c r="I30" s="26">
        <f t="shared" si="11"/>
        <v>380637.79042636673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30.4</v>
      </c>
      <c r="D31" s="30">
        <f>'AY31-19013031-S'!D31+'İP31-19013031-S'!D31+'ÖA31-19013031'!D31+'FA30-19012930-S'!D31+'ÖZ30-19012830-S'!D31+'AK30-19012930-S'!D31+'ÜN29-19012829-S'!D31+'3E29-19012728-S'!D31+'AY28-19012728-S'!D31+'AY28-19012728'!D31+'G28-19012628'!D31+'G28-19012628-1'!D31+'ÖV28-19012728'!D31+'G26-19012223'!D31+'3E-25-19012425-S'!D31+'ÖB25-19012324-S'!D31+'AY24-19012324'!D31+'AY24-19012324-S'!D31+'FA24-19012223-S'!D31+'MOL24-19012324'!D31+'PO23-19011819-S'!D31+'MOL21-10011921'!D31+'YIL03-19010203'!D31</f>
        <v>3922.7000000000003</v>
      </c>
      <c r="E31" s="29">
        <f t="shared" si="7"/>
        <v>1.9081143722597036E-2</v>
      </c>
      <c r="F31" s="28">
        <f t="shared" si="8"/>
        <v>31.442949835334396</v>
      </c>
      <c r="G31" s="27" t="str">
        <f t="shared" si="9"/>
        <v>+</v>
      </c>
      <c r="H31" s="26">
        <f t="shared" si="10"/>
        <v>119250.08</v>
      </c>
      <c r="I31" s="26">
        <f t="shared" si="11"/>
        <v>123341.25931906624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31.90048035064871</v>
      </c>
      <c r="D32" s="22">
        <f>SUM(D26:D31)</f>
        <v>123930.3</v>
      </c>
      <c r="E32" s="21">
        <f t="shared" si="7"/>
        <v>0.60283270856414384</v>
      </c>
      <c r="F32" s="20">
        <f>I32/D32</f>
        <v>32.99490800620125</v>
      </c>
      <c r="G32" s="19">
        <f>F32/C32-1</f>
        <v>3.4307560372841994E-2</v>
      </c>
      <c r="H32" s="18">
        <f>SUM(H26:H31)</f>
        <v>3953436.1</v>
      </c>
      <c r="I32" s="18">
        <f>SUM(I26:I31)</f>
        <v>4089068.8476809226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f>'AY31-19013031-S'!D34+'İP31-19013031-S'!D34+'ÖA31-19013031'!D34+'FA30-19012930-S'!D34+'ÖZ30-19012830-S'!D34+'AK30-19012930-S'!D34+'ÜN29-19012829-S'!D34+'3E29-19012728-S'!D34+'AY28-19012728-S'!D34+'AY28-19012728'!D34+'G28-19012628'!D34+'G28-19012628-1'!D34+'ÖV28-19012728'!D34+'G26-19012223'!D34+'3E-25-19012425-S'!D34+'ÖB25-19012324-S'!D34+'AY24-19012324'!D34+'AY24-19012324-S'!D34+'FA24-19012223-S'!D34+'MOL24-19012324'!D34+'PO23-19011819-S'!D34+'MOL21-10011921'!D34+'YIL03-19010203'!D34</f>
        <v>28520.2</v>
      </c>
      <c r="E34" s="29">
        <f t="shared" ref="E34:E40" si="13">D34/$D$48</f>
        <v>0.13873047523318427</v>
      </c>
      <c r="F34" s="28">
        <f t="shared" ref="F34:F39" si="14">C34-(C34*$E$6)</f>
        <v>18.92782835482301</v>
      </c>
      <c r="G34" s="27" t="str">
        <f t="shared" ref="G34:G39" si="15">IF(C34&gt;=F34,"-","+")</f>
        <v>+</v>
      </c>
      <c r="H34" s="26">
        <f t="shared" ref="H34:H39" si="16">C34*D34</f>
        <v>521919.66000000003</v>
      </c>
      <c r="I34" s="26">
        <f t="shared" ref="I34:I39" si="17">F34*D34</f>
        <v>539825.45024522324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f>'AY31-19013031-S'!D35+'İP31-19013031-S'!D35+'ÖA31-19013031'!D35+'FA30-19012930-S'!D35+'ÖZ30-19012830-S'!D35+'AK30-19012930-S'!D35+'ÜN29-19012829-S'!D35+'3E29-19012728-S'!D35+'AY28-19012728-S'!D35+'AY28-19012728'!D35+'G28-19012628'!D35+'G28-19012628-1'!D35+'ÖV28-19012728'!D35+'G26-19012223'!D35+'3E-25-19012425-S'!D35+'ÖB25-19012324-S'!D35+'AY24-19012324'!D35+'AY24-19012324-S'!D35+'FA24-19012223-S'!D35+'MOL24-19012324'!D35+'PO23-19011819-S'!D35+'MOL21-10011921'!D35+'YIL03-19010203'!D35</f>
        <v>1074.0999999999999</v>
      </c>
      <c r="E35" s="29">
        <f t="shared" si="13"/>
        <v>5.2247320652717448E-3</v>
      </c>
      <c r="F35" s="28">
        <f t="shared" si="14"/>
        <v>14.583736601257073</v>
      </c>
      <c r="G35" s="27" t="str">
        <f t="shared" si="15"/>
        <v>+</v>
      </c>
      <c r="H35" s="26">
        <f t="shared" si="16"/>
        <v>15144.809999999998</v>
      </c>
      <c r="I35" s="26">
        <f t="shared" si="17"/>
        <v>15664.39148341022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>
        <f>'AY31-19013031-S'!D36+'İP31-19013031-S'!D36+'ÖA31-19013031'!D36+'FA30-19012930-S'!D36+'ÖZ30-19012830-S'!D36+'AK30-19012930-S'!D36+'ÜN29-19012829-S'!D36+'3E29-19012728-S'!D36+'AY28-19012728-S'!D36+'AY28-19012728'!D36+'G28-19012628'!D36+'G28-19012628-1'!D36+'ÖV28-19012728'!D36+'G26-19012223'!D36+'3E-25-19012425-S'!D36+'ÖB25-19012324-S'!D36+'AY24-19012324'!D36+'AY24-19012324-S'!D36+'FA24-19012223-S'!D36+'MOL24-19012324'!D36+'PO23-19011819-S'!D36+'MOL21-10011921'!D36+'YIL03-19010203'!D36</f>
        <v>0</v>
      </c>
      <c r="E36" s="29">
        <f t="shared" si="13"/>
        <v>0</v>
      </c>
      <c r="F36" s="28">
        <f t="shared" si="14"/>
        <v>11.687675432213116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29.9</v>
      </c>
      <c r="D37" s="30">
        <f>'AY31-19013031-S'!D37+'İP31-19013031-S'!D37+'ÖA31-19013031'!D37+'FA30-19012930-S'!D37+'ÖZ30-19012830-S'!D37+'AK30-19012930-S'!D37+'ÜN29-19012829-S'!D37+'3E29-19012728-S'!D37+'AY28-19012728-S'!D37+'AY28-19012728'!D37+'G28-19012628'!D37+'G28-19012628-1'!D37+'ÖV28-19012728'!D37+'G26-19012223'!D37+'3E-25-19012425-S'!D37+'ÖB25-19012324-S'!D37+'AY24-19012324'!D37+'AY24-19012324-S'!D37+'FA24-19012223-S'!D37+'MOL24-19012324'!D37+'PO23-19011819-S'!D37+'MOL21-10011921'!D37+'YIL03-19010203'!D37</f>
        <v>0</v>
      </c>
      <c r="E37" s="29">
        <f t="shared" si="13"/>
        <v>0</v>
      </c>
      <c r="F37" s="28">
        <f t="shared" si="14"/>
        <v>30.925796055147973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29.9</v>
      </c>
      <c r="D38" s="30">
        <f>'AY31-19013031-S'!D38+'İP31-19013031-S'!D38+'ÖA31-19013031'!D38+'FA30-19012930-S'!D38+'ÖZ30-19012830-S'!D38+'AK30-19012930-S'!D38+'ÜN29-19012829-S'!D38+'3E29-19012728-S'!D38+'AY28-19012728-S'!D38+'AY28-19012728'!D38+'G28-19012628'!D38+'G28-19012628-1'!D38+'ÖV28-19012728'!D38+'G26-19012223'!D38+'3E-25-19012425-S'!D38+'ÖB25-19012324-S'!D38+'AY24-19012324'!D38+'AY24-19012324-S'!D38+'FA24-19012223-S'!D38+'MOL24-19012324'!D38+'PO23-19011819-S'!D38+'MOL21-10011921'!D38+'YIL03-19010203'!D38</f>
        <v>0</v>
      </c>
      <c r="E38" s="29">
        <f t="shared" si="13"/>
        <v>0</v>
      </c>
      <c r="F38" s="28">
        <f t="shared" si="14"/>
        <v>30.925796055147973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>
        <f>'AY31-19013031-S'!D39+'İP31-19013031-S'!D39+'ÖA31-19013031'!D39+'FA30-19012930-S'!D39+'ÖZ30-19012830-S'!D39+'AK30-19012930-S'!D39+'ÜN29-19012829-S'!D39+'3E29-19012728-S'!D39+'AY28-19012728-S'!D39+'AY28-19012728'!D39+'G28-19012628'!D39+'G28-19012628-1'!D39+'ÖV28-19012728'!D39+'G26-19012223'!D39+'3E-25-19012425-S'!D39+'ÖB25-19012324-S'!D39+'AY24-19012324'!D39+'AY24-19012324-S'!D39+'FA24-19012223-S'!D39+'MOL24-19012324'!D39+'PO23-19011819-S'!D39+'MOL21-10011921'!D39+'YIL03-19010203'!D39</f>
        <v>0</v>
      </c>
      <c r="E39" s="29">
        <f t="shared" si="13"/>
        <v>0</v>
      </c>
      <c r="F39" s="28">
        <f t="shared" si="14"/>
        <v>32.063534371558099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18.14756456479795</v>
      </c>
      <c r="D40" s="22">
        <f>SUM(D34:D39)</f>
        <v>29594.3</v>
      </c>
      <c r="E40" s="21">
        <f t="shared" si="13"/>
        <v>0.14395520729845601</v>
      </c>
      <c r="F40" s="20">
        <f>I40/D40</f>
        <v>18.770163231724808</v>
      </c>
      <c r="G40" s="19">
        <f>F40/C40-1</f>
        <v>3.4307560372842216E-2</v>
      </c>
      <c r="H40" s="18">
        <f>SUM(H34:H39)</f>
        <v>537064.47</v>
      </c>
      <c r="I40" s="18">
        <f>SUM(I34:I39)</f>
        <v>555489.8417286335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'AY31-19013031-S'!D42+'İP31-19013031-S'!D42+'ÖA31-19013031'!D42+'FA30-19012930-S'!D42+'ÖZ30-19012830-S'!D42+'AK30-19012930-S'!D42+'ÜN29-19012829-S'!D42+'3E29-19012728-S'!D42+'AY28-19012728-S'!D42+'AY28-19012728'!D42+'G28-19012628'!D42+'G28-19012628-1'!D42+'ÖV28-19012728'!D42+'G26-19012223'!D42+'3E-25-19012425-S'!D42+'ÖB25-19012324-S'!D42+'AY24-19012324'!D42+'AY24-19012324-S'!D42+'FA24-19012223-S'!D42+'MOL24-19012324'!D42+'PO23-19011819-S'!D42+'MOL21-10011921'!D42+'YIL03-19010203'!D42</f>
        <v>36822.199999999997</v>
      </c>
      <c r="E42" s="107">
        <f>D42/$D$48</f>
        <v>0.17911379671711128</v>
      </c>
      <c r="F42" s="28">
        <f>C42-(C42*$E$6)</f>
        <v>0.41372302414913681</v>
      </c>
      <c r="G42" s="27" t="str">
        <f>IF(C42&gt;=F42,"-","+")</f>
        <v>+</v>
      </c>
      <c r="H42" s="26">
        <f>C42*D42</f>
        <v>14728.88</v>
      </c>
      <c r="I42" s="26">
        <f>F42*D42</f>
        <v>15234.191939824344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f>'AY31-19013031-S'!D43+'İP31-19013031-S'!D43+'ÖA31-19013031'!D43+'FA30-19012930-S'!D43+'ÖZ30-19012830-S'!D43+'AK30-19012930-S'!D43+'ÜN29-19012829-S'!D43+'3E29-19012728-S'!D43+'AY28-19012728-S'!D43+'AY28-19012728'!D43+'G28-19012628'!D43+'G28-19012628-1'!D43+'ÖV28-19012728'!D43+'G26-19012223'!D43+'3E-25-19012425-S'!D43+'ÖB25-19012324-S'!D43+'AY24-19012324'!D43+'AY24-19012324-S'!D43+'FA24-19012223-S'!D43+'MOL24-19012324'!D43+'PO23-19011819-S'!D43+'MOL21-10011921'!D43+'YIL03-19010203'!D43</f>
        <v>1259.8999999999999</v>
      </c>
      <c r="E43" s="107">
        <f>D43/$D$48</f>
        <v>6.1285168317995256E-3</v>
      </c>
      <c r="F43" s="28">
        <f>C43-(C43*$E$6)</f>
        <v>0.41372302414913681</v>
      </c>
      <c r="G43" s="27" t="str">
        <f>IF(C43&gt;=F43,"-","+")</f>
        <v>+</v>
      </c>
      <c r="H43" s="26">
        <f>C43*D43</f>
        <v>503.96</v>
      </c>
      <c r="I43" s="26">
        <f>F43*D43</f>
        <v>521.24963812549743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f>'AY31-19013031-S'!D44+'İP31-19013031-S'!D44+'ÖA31-19013031'!D44+'FA30-19012930-S'!D44+'ÖZ30-19012830-S'!D44+'AK30-19012930-S'!D44+'ÜN29-19012829-S'!D44+'3E29-19012728-S'!D44+'AY28-19012728-S'!D44+'AY28-19012728'!D44+'G28-19012628'!D44+'G28-19012628-1'!D44+'ÖV28-19012728'!D44+'G26-19012223'!D44+'3E-25-19012425-S'!D44+'ÖB25-19012324-S'!D44+'AY24-19012324'!D44+'AY24-19012324-S'!D44+'FA24-19012223-S'!D44+'MOL24-19012324'!D44+'PO23-19011819-S'!D44+'MOL21-10011921'!D44+'YIL03-19010203'!D44</f>
        <v>134.9</v>
      </c>
      <c r="E44" s="107">
        <f>D44/$D$48</f>
        <v>6.5619249195154861E-4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f>'AY31-19013031-S'!D45+'İP31-19013031-S'!D45+'ÖA31-19013031'!D45+'FA30-19012930-S'!D45+'ÖZ30-19012830-S'!D45+'AK30-19012930-S'!D45+'ÜN29-19012829-S'!D45+'3E29-19012728-S'!D45+'AY28-19012728-S'!D45+'AY28-19012728'!D45+'G28-19012628'!D45+'G28-19012628-1'!D45+'ÖV28-19012728'!D45+'G26-19012223'!D45+'3E-25-19012425-S'!D45+'ÖB25-19012324-S'!D45+'AY24-19012324'!D45+'AY24-19012324-S'!D45+'FA24-19012223-S'!D45+'MOL24-19012324'!D45+'PO23-19011819-S'!D45+'MOL21-10011921'!D45+'YIL03-19010203'!D45</f>
        <v>100.42000000000002</v>
      </c>
      <c r="E45" s="107">
        <f>D45/$D$48</f>
        <v>4.8847183129558584E-4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0.39754346717498201</v>
      </c>
      <c r="D46" s="22">
        <f>SUM(D41:D45)</f>
        <v>38317.42</v>
      </c>
      <c r="E46" s="21">
        <f>D46/$D$48</f>
        <v>0.18638697787215794</v>
      </c>
      <c r="F46" s="20">
        <f>I46/D46</f>
        <v>0.41118221367591662</v>
      </c>
      <c r="G46" s="19">
        <f>F46/C46-1</f>
        <v>3.4307560372841994E-2</v>
      </c>
      <c r="H46" s="18">
        <f>SUM(H41:H44)</f>
        <v>15232.839999999998</v>
      </c>
      <c r="I46" s="18">
        <f>SUM(I41:I44)</f>
        <v>15755.441577949841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96.932105972646312</v>
      </c>
      <c r="D48" s="13">
        <f>D24+D32+D40+D46</f>
        <v>205579.91999999998</v>
      </c>
      <c r="E48" s="12">
        <f>SUM(E20:E46)/2</f>
        <v>1</v>
      </c>
      <c r="F48" s="11">
        <f>I48/D48</f>
        <v>25.882153275503352</v>
      </c>
      <c r="G48" s="10"/>
      <c r="H48" s="9">
        <f>SUM(H20:H46)/2</f>
        <v>5144360.540000001</v>
      </c>
      <c r="I48" s="9">
        <f>SUM(I20:I46)/2</f>
        <v>5320850.9998057168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208579.32</v>
      </c>
      <c r="E50" s="12">
        <f>D50/G2</f>
        <v>1.0000034519361047</v>
      </c>
      <c r="F50" s="11">
        <f>I50/D50</f>
        <v>25.899910595163508</v>
      </c>
      <c r="G50" s="10"/>
      <c r="H50" s="9">
        <f>H48+H19</f>
        <v>5222997.4400000013</v>
      </c>
      <c r="I50" s="9">
        <f>I48+I19</f>
        <v>5402185.7400000002</v>
      </c>
      <c r="J50" s="106">
        <f>D50-G2</f>
        <v>0.72000000000116415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25.899910595163508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92D050"/>
  </sheetPr>
  <dimension ref="A1:K56"/>
  <sheetViews>
    <sheetView topLeftCell="C19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225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231</v>
      </c>
      <c r="D2" s="96" t="s">
        <v>3</v>
      </c>
      <c r="E2" s="95" t="s">
        <v>71</v>
      </c>
      <c r="F2" s="94" t="s">
        <v>5</v>
      </c>
      <c r="G2" s="93">
        <v>4042.4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44</v>
      </c>
      <c r="F3" s="88" t="s">
        <v>8</v>
      </c>
      <c r="G3" s="87">
        <v>26.4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91.872727272727275</v>
      </c>
      <c r="F4" s="81" t="s">
        <v>12</v>
      </c>
      <c r="G4" s="80">
        <f>G2*G3</f>
        <v>106719.36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7.587647963041122E-3</v>
      </c>
      <c r="F6" s="69" t="s">
        <v>16</v>
      </c>
      <c r="G6" s="68">
        <f>(I50-I19)/(D50-(SUM(D42:D44)+D19))</f>
        <v>30.70659254511736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>
        <f t="shared" ref="E10:E19" si="1">D10/$D$19</f>
        <v>0</v>
      </c>
      <c r="F10" s="28">
        <f t="shared" ref="F10:F18" si="2">C10-(C10*$E$6)</f>
        <v>26.199686093775714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>
        <v>156.5</v>
      </c>
      <c r="E11" s="29">
        <f t="shared" si="1"/>
        <v>0.27379286214135756</v>
      </c>
      <c r="F11" s="28">
        <f t="shared" si="2"/>
        <v>27.291339681016368</v>
      </c>
      <c r="G11" s="27" t="str">
        <f t="shared" si="3"/>
        <v>-</v>
      </c>
      <c r="H11" s="34">
        <f t="shared" si="4"/>
        <v>4303.75</v>
      </c>
      <c r="I11" s="34">
        <f t="shared" si="5"/>
        <v>4271.0946600790612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>
        <v>173.5</v>
      </c>
      <c r="E12" s="29">
        <f t="shared" si="1"/>
        <v>0.3035339398180546</v>
      </c>
      <c r="F12" s="28">
        <f t="shared" si="2"/>
        <v>24.909550036127669</v>
      </c>
      <c r="G12" s="27" t="str">
        <f t="shared" si="3"/>
        <v>-</v>
      </c>
      <c r="H12" s="34">
        <f t="shared" si="4"/>
        <v>4354.8500000000004</v>
      </c>
      <c r="I12" s="34">
        <f t="shared" si="5"/>
        <v>4321.8069312681509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>
        <f t="shared" si="1"/>
        <v>0</v>
      </c>
      <c r="F13" s="28">
        <f t="shared" si="2"/>
        <v>27.291339681016368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>
        <v>241.6</v>
      </c>
      <c r="E14" s="29">
        <f t="shared" si="1"/>
        <v>0.42267319804058778</v>
      </c>
      <c r="F14" s="28">
        <f t="shared" si="2"/>
        <v>30.467059207534636</v>
      </c>
      <c r="G14" s="27" t="str">
        <f t="shared" si="3"/>
        <v>-</v>
      </c>
      <c r="H14" s="34">
        <f t="shared" si="4"/>
        <v>7417.12</v>
      </c>
      <c r="I14" s="34">
        <f t="shared" si="5"/>
        <v>7360.8415045403681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>
        <f t="shared" si="1"/>
        <v>0</v>
      </c>
      <c r="F15" s="28">
        <f t="shared" si="2"/>
        <v>25.108032506535061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>
        <f t="shared" si="1"/>
        <v>0</v>
      </c>
      <c r="F16" s="28">
        <f t="shared" si="2"/>
        <v>34.436708615682477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>
        <f t="shared" si="1"/>
        <v>0</v>
      </c>
      <c r="F17" s="28">
        <f t="shared" si="2"/>
        <v>50.712271189088597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>
        <f t="shared" si="1"/>
        <v>0</v>
      </c>
      <c r="F18" s="28">
        <f t="shared" si="2"/>
        <v>44.360832136052068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28.12407277816655</v>
      </c>
      <c r="D19" s="49">
        <f>SUM(D10:D18)</f>
        <v>571.6</v>
      </c>
      <c r="E19" s="48">
        <f t="shared" si="1"/>
        <v>1</v>
      </c>
      <c r="F19" s="47">
        <f>I19/D19</f>
        <v>27.910677214638874</v>
      </c>
      <c r="G19" s="46">
        <f>F19/C19-1</f>
        <v>-7.587647963041122E-3</v>
      </c>
      <c r="H19" s="9">
        <f>SUM(H10:H18)</f>
        <v>16075.720000000001</v>
      </c>
      <c r="I19" s="9">
        <f>SUM(I10:I18)</f>
        <v>15953.743095887581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55.9</v>
      </c>
      <c r="E21" s="29">
        <f>D21/$D$48</f>
        <v>1.6104868913857678E-2</v>
      </c>
      <c r="F21" s="28">
        <f>C21-(C21*$E$6)</f>
        <v>65.896180175254074</v>
      </c>
      <c r="G21" s="27" t="str">
        <f>IF(C21&gt;=F21,"-","+")</f>
        <v>-</v>
      </c>
      <c r="H21" s="26">
        <f>C21*D21</f>
        <v>3711.76</v>
      </c>
      <c r="I21" s="26">
        <f>F21*D21</f>
        <v>3683.5964717967026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110.6</v>
      </c>
      <c r="E22" s="29">
        <f>D22/$D$48</f>
        <v>3.1864016133679056E-2</v>
      </c>
      <c r="F22" s="28">
        <f>C22-(C22*$E$6)</f>
        <v>44.261590900848368</v>
      </c>
      <c r="G22" s="27" t="str">
        <f>IF(C22&gt;=F22,"-","+")</f>
        <v>-</v>
      </c>
      <c r="H22" s="26">
        <f>C22*D22</f>
        <v>4932.76</v>
      </c>
      <c r="I22" s="26">
        <f>F22*D22</f>
        <v>4895.3319536338295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40.700000000000003</v>
      </c>
      <c r="D23" s="30">
        <v>105.2</v>
      </c>
      <c r="E23" s="29">
        <f>D23/$D$48</f>
        <v>3.0308268510515705E-2</v>
      </c>
      <c r="F23" s="28">
        <f>C23-(C23*$E$6)</f>
        <v>40.39118272790423</v>
      </c>
      <c r="G23" s="27" t="str">
        <f>IF(C23&gt;=F23,"-","+")</f>
        <v>-</v>
      </c>
      <c r="H23" s="26">
        <f>C23*D23</f>
        <v>4281.6400000000003</v>
      </c>
      <c r="I23" s="26">
        <f>F23*D23</f>
        <v>4249.152422975525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47.575119617224885</v>
      </c>
      <c r="D24" s="22">
        <f>SUM(D21:D23)</f>
        <v>271.7</v>
      </c>
      <c r="E24" s="21">
        <f>D24/$D$48</f>
        <v>7.827715355805244E-2</v>
      </c>
      <c r="F24" s="20">
        <f>I24/D24</f>
        <v>47.21413635776981</v>
      </c>
      <c r="G24" s="19">
        <f>F24/C24-1</f>
        <v>-7.587647963041122E-3</v>
      </c>
      <c r="H24" s="18">
        <f>SUM(H21:H23)</f>
        <v>12926.16</v>
      </c>
      <c r="I24" s="18">
        <f>SUM(I21:I23)</f>
        <v>12828.080848406056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v>600.20000000000005</v>
      </c>
      <c r="E26" s="29">
        <f t="shared" ref="E26:E32" si="7">D26/$D$48</f>
        <v>0.17291846730048982</v>
      </c>
      <c r="F26" s="28">
        <f t="shared" ref="F26:F31" si="8">C26-(C26*$E$6)</f>
        <v>35.131397262108344</v>
      </c>
      <c r="G26" s="27" t="str">
        <f t="shared" ref="G26:G31" si="9">IF(C26&gt;=F26,"-","+")</f>
        <v>-</v>
      </c>
      <c r="H26" s="26">
        <f t="shared" ref="H26:H31" si="10">C26*D26</f>
        <v>21247.08</v>
      </c>
      <c r="I26" s="26">
        <f t="shared" ref="I26:I31" si="11">F26*D26</f>
        <v>21085.86463671743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451.8</v>
      </c>
      <c r="E27" s="29">
        <f t="shared" si="7"/>
        <v>0.13016421780466728</v>
      </c>
      <c r="F27" s="28">
        <f t="shared" si="8"/>
        <v>31.260989089164205</v>
      </c>
      <c r="G27" s="27" t="str">
        <f t="shared" si="9"/>
        <v>-</v>
      </c>
      <c r="H27" s="26">
        <f t="shared" si="10"/>
        <v>14231.7</v>
      </c>
      <c r="I27" s="26">
        <f t="shared" si="11"/>
        <v>14123.714870484388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411</v>
      </c>
      <c r="E28" s="29">
        <f t="shared" si="7"/>
        <v>0.11840968020743303</v>
      </c>
      <c r="F28" s="28">
        <f t="shared" si="8"/>
        <v>31.260989089164205</v>
      </c>
      <c r="G28" s="27" t="str">
        <f t="shared" si="9"/>
        <v>-</v>
      </c>
      <c r="H28" s="26">
        <f t="shared" si="10"/>
        <v>12946.5</v>
      </c>
      <c r="I28" s="26">
        <f t="shared" si="11"/>
        <v>12848.266515646488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v>363.8</v>
      </c>
      <c r="E29" s="29">
        <f t="shared" si="7"/>
        <v>0.10481129357533854</v>
      </c>
      <c r="F29" s="28">
        <f t="shared" si="8"/>
        <v>30.268576737127244</v>
      </c>
      <c r="G29" s="27" t="str">
        <f t="shared" si="9"/>
        <v>-</v>
      </c>
      <c r="H29" s="26">
        <f t="shared" si="10"/>
        <v>11095.9</v>
      </c>
      <c r="I29" s="26">
        <f t="shared" si="11"/>
        <v>11011.708216966892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234.2</v>
      </c>
      <c r="E30" s="29">
        <f t="shared" si="7"/>
        <v>6.7473350619418046E-2</v>
      </c>
      <c r="F30" s="28">
        <f t="shared" si="8"/>
        <v>30.268576737127244</v>
      </c>
      <c r="G30" s="27" t="str">
        <f t="shared" si="9"/>
        <v>-</v>
      </c>
      <c r="H30" s="26">
        <f t="shared" si="10"/>
        <v>7143.0999999999995</v>
      </c>
      <c r="I30" s="26">
        <f t="shared" si="11"/>
        <v>7088.9006718352002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7</v>
      </c>
      <c r="E31" s="29">
        <f t="shared" si="7"/>
        <v>2.0167098818784216E-3</v>
      </c>
      <c r="F31" s="28">
        <f t="shared" si="8"/>
        <v>30.764782913145726</v>
      </c>
      <c r="G31" s="27" t="str">
        <f t="shared" si="9"/>
        <v>-</v>
      </c>
      <c r="H31" s="26">
        <f t="shared" si="10"/>
        <v>217</v>
      </c>
      <c r="I31" s="26">
        <f t="shared" si="11"/>
        <v>215.35348039202009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32.341044487427467</v>
      </c>
      <c r="D32" s="22">
        <f>SUM(D26:D31)</f>
        <v>2068</v>
      </c>
      <c r="E32" s="21">
        <f t="shared" si="7"/>
        <v>0.5957937193892251</v>
      </c>
      <c r="F32" s="20">
        <f>I32/D32</f>
        <v>32.09565202709981</v>
      </c>
      <c r="G32" s="19">
        <f>F32/C32-1</f>
        <v>-7.587647963041344E-3</v>
      </c>
      <c r="H32" s="18">
        <f>SUM(H26:H31)</f>
        <v>66881.279999999999</v>
      </c>
      <c r="I32" s="18">
        <f>SUM(I26:I31)</f>
        <v>66373.808392042411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612.20000000000005</v>
      </c>
      <c r="E34" s="29">
        <f t="shared" ref="E34:E40" si="13">D34/$D$48</f>
        <v>0.17637568424085281</v>
      </c>
      <c r="F34" s="28">
        <f t="shared" ref="F34:F39" si="14">C34-(C34*$E$6)</f>
        <v>18.558110983091129</v>
      </c>
      <c r="G34" s="27" t="str">
        <f t="shared" ref="G34:G39" si="15">IF(C34&gt;=F34,"-","+")</f>
        <v>-</v>
      </c>
      <c r="H34" s="26">
        <f t="shared" ref="H34:H39" si="16">C34*D34</f>
        <v>11448.140000000001</v>
      </c>
      <c r="I34" s="26">
        <f t="shared" ref="I34:I39" si="17">F34*D34</f>
        <v>11361.275543848391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14.191496634128512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11.412742048425027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30.268576737127244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30.268576737127244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31.260989089164205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612.20000000000005</v>
      </c>
      <c r="E40" s="21">
        <f t="shared" si="13"/>
        <v>0.17637568424085281</v>
      </c>
      <c r="F40" s="20">
        <f>I40/D40</f>
        <v>18.558110983091129</v>
      </c>
      <c r="G40" s="19">
        <f>F40/C40-1</f>
        <v>-7.587647963041122E-3</v>
      </c>
      <c r="H40" s="18">
        <f>SUM(H34:H39)</f>
        <v>11448.140000000001</v>
      </c>
      <c r="I40" s="18">
        <f>SUM(I34:I39)</f>
        <v>11361.275543848391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500</v>
      </c>
      <c r="E42" s="107">
        <f>D42/$D$48</f>
        <v>0.14405070584845867</v>
      </c>
      <c r="F42" s="28">
        <f>C42-(C42*$E$6)</f>
        <v>0.39696494081478356</v>
      </c>
      <c r="G42" s="27" t="str">
        <f>IF(C42&gt;=F42,"-","+")</f>
        <v>-</v>
      </c>
      <c r="H42" s="26">
        <f>C42*D42</f>
        <v>200</v>
      </c>
      <c r="I42" s="26">
        <f>F42*D42</f>
        <v>198.48247040739179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</v>
      </c>
      <c r="E43" s="107">
        <f>D43/$D$48</f>
        <v>2.8810141169691734E-3</v>
      </c>
      <c r="F43" s="28">
        <f>C43-(C43*$E$6)</f>
        <v>0.39696494081478356</v>
      </c>
      <c r="G43" s="27" t="str">
        <f>IF(C43&gt;=F43,"-","+")</f>
        <v>-</v>
      </c>
      <c r="H43" s="26">
        <f>C43*D43</f>
        <v>4</v>
      </c>
      <c r="I43" s="26">
        <f>F43*D43</f>
        <v>3.9696494081478355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5.0999999999999996</v>
      </c>
      <c r="E44" s="107">
        <f>D44/$D$48</f>
        <v>1.4693171996542785E-3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1.1524056467876694E-3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0.39298786361009436</v>
      </c>
      <c r="D46" s="22">
        <f>SUM(D41:D45)</f>
        <v>519.1</v>
      </c>
      <c r="E46" s="21">
        <f>D46/$D$48</f>
        <v>0.1495534428118698</v>
      </c>
      <c r="F46" s="20">
        <f>I46/D46</f>
        <v>0.39000601004727337</v>
      </c>
      <c r="G46" s="19">
        <f>F46/C46-1</f>
        <v>-7.587647963041011E-3</v>
      </c>
      <c r="H46" s="18">
        <f>SUM(H41:H44)</f>
        <v>204</v>
      </c>
      <c r="I46" s="18">
        <f>SUM(I41:I44)</f>
        <v>202.45211981553962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99.009151968262444</v>
      </c>
      <c r="D48" s="13">
        <f>D24+D32+D40+D46</f>
        <v>3470.9999999999995</v>
      </c>
      <c r="E48" s="12">
        <f>SUM(E20:E46)/2</f>
        <v>1.0000000000000002</v>
      </c>
      <c r="F48" s="11">
        <f>I48/D48</f>
        <v>26.149702363616374</v>
      </c>
      <c r="G48" s="10"/>
      <c r="H48" s="9">
        <f>SUM(H20:H46)/2</f>
        <v>91459.580000000016</v>
      </c>
      <c r="I48" s="9">
        <f>SUM(I20:I46)/2</f>
        <v>90765.616904112423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4042.6000000000004</v>
      </c>
      <c r="E50" s="12">
        <f>D50/G2</f>
        <v>1.0000494755590739</v>
      </c>
      <c r="F50" s="11">
        <f>I50/D50</f>
        <v>26.39869390985999</v>
      </c>
      <c r="G50" s="10"/>
      <c r="H50" s="9">
        <f>H48+H19</f>
        <v>107535.30000000002</v>
      </c>
      <c r="I50" s="9">
        <f>I48+I19</f>
        <v>106719.36</v>
      </c>
      <c r="J50" s="106">
        <f>D50-G2</f>
        <v>0.20000000000027285</v>
      </c>
      <c r="K50" s="8"/>
    </row>
    <row r="51" spans="1:11" ht="23.25" x14ac:dyDescent="0.35">
      <c r="A51" s="174" t="s">
        <v>232</v>
      </c>
      <c r="B51" s="169"/>
      <c r="C51" s="170"/>
      <c r="G51" s="7"/>
      <c r="H51" s="6"/>
      <c r="I51" s="6">
        <f>+I50/D50</f>
        <v>26.39869390985999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225</v>
      </c>
      <c r="D1" s="100" t="s">
        <v>1</v>
      </c>
      <c r="E1" s="168" t="s">
        <v>233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231</v>
      </c>
      <c r="D2" s="96" t="s">
        <v>3</v>
      </c>
      <c r="E2" s="95" t="s">
        <v>112</v>
      </c>
      <c r="F2" s="94" t="s">
        <v>5</v>
      </c>
      <c r="G2" s="93">
        <v>1782.1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234</v>
      </c>
      <c r="D3" s="90" t="s">
        <v>7</v>
      </c>
      <c r="E3" s="89">
        <v>28</v>
      </c>
      <c r="F3" s="88" t="s">
        <v>8</v>
      </c>
      <c r="G3" s="87">
        <v>21.11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63.646428571428565</v>
      </c>
      <c r="F4" s="81" t="s">
        <v>12</v>
      </c>
      <c r="G4" s="80">
        <f>G2*G3</f>
        <v>37620.130999999994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-8.1675440992538206E-2</v>
      </c>
      <c r="F6" s="69" t="s">
        <v>16</v>
      </c>
      <c r="G6" s="68">
        <f>(I50-I19)/(D50-(SUM(D42:D44)+D19))</f>
        <v>26.908040197410763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21.1</v>
      </c>
      <c r="D10" s="30"/>
      <c r="E10" s="29" t="e">
        <f t="shared" ref="E10:E19" si="1">D10/$D$19</f>
        <v>#DIV/0!</v>
      </c>
      <c r="F10" s="28">
        <f t="shared" ref="F10:F18" si="2">C10-(C10*$E$6)</f>
        <v>22.823351804942558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</v>
      </c>
      <c r="D11" s="30"/>
      <c r="E11" s="29" t="e">
        <f t="shared" si="1"/>
        <v>#DIV/0!</v>
      </c>
      <c r="F11" s="28">
        <f t="shared" si="2"/>
        <v>23.796859701835842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20.100000000000001</v>
      </c>
      <c r="D12" s="30"/>
      <c r="E12" s="29" t="e">
        <f t="shared" si="1"/>
        <v>#DIV/0!</v>
      </c>
      <c r="F12" s="28">
        <f t="shared" si="2"/>
        <v>21.74167636395002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</v>
      </c>
      <c r="D13" s="30"/>
      <c r="E13" s="29" t="e">
        <f t="shared" si="1"/>
        <v>#DIV/0!</v>
      </c>
      <c r="F13" s="28">
        <f t="shared" si="2"/>
        <v>23.796859701835842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24.6</v>
      </c>
      <c r="D14" s="30"/>
      <c r="E14" s="29" t="e">
        <f t="shared" si="1"/>
        <v>#DIV/0!</v>
      </c>
      <c r="F14" s="28">
        <f t="shared" si="2"/>
        <v>26.60921584841644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20.3</v>
      </c>
      <c r="D15" s="30"/>
      <c r="E15" s="29" t="e">
        <f t="shared" si="1"/>
        <v>#DIV/0!</v>
      </c>
      <c r="F15" s="28">
        <f t="shared" si="2"/>
        <v>21.958011452148526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27.7</v>
      </c>
      <c r="D16" s="30"/>
      <c r="E16" s="29" t="e">
        <f t="shared" si="1"/>
        <v>#DIV/0!</v>
      </c>
      <c r="F16" s="28">
        <f t="shared" si="2"/>
        <v>29.962409715493308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40.799999999999997</v>
      </c>
      <c r="D17" s="30"/>
      <c r="E17" s="29" t="e">
        <f t="shared" si="1"/>
        <v>#DIV/0!</v>
      </c>
      <c r="F17" s="28">
        <f t="shared" si="2"/>
        <v>44.132357992495557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35.799999999999997</v>
      </c>
      <c r="D18" s="30"/>
      <c r="E18" s="29" t="e">
        <f t="shared" si="1"/>
        <v>#DIV/0!</v>
      </c>
      <c r="F18" s="28">
        <f t="shared" si="2"/>
        <v>38.723980787532867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53.1</v>
      </c>
      <c r="D21" s="30">
        <v>24.4</v>
      </c>
      <c r="E21" s="29">
        <f>D21/$D$48</f>
        <v>1.3690943777353833E-2</v>
      </c>
      <c r="F21" s="28">
        <f>C21-(C21*$E$6)</f>
        <v>57.436965916703784</v>
      </c>
      <c r="G21" s="27" t="str">
        <f>IF(C21&gt;=F21,"-","+")</f>
        <v>+</v>
      </c>
      <c r="H21" s="26">
        <f>C21*D21</f>
        <v>1295.6399999999999</v>
      </c>
      <c r="I21" s="26">
        <f>F21*D21</f>
        <v>1401.4619683675724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35.700000000000003</v>
      </c>
      <c r="D22" s="30">
        <v>50.8</v>
      </c>
      <c r="E22" s="29">
        <f>D22/$D$48</f>
        <v>2.8504096061048145E-2</v>
      </c>
      <c r="F22" s="28">
        <f>C22-(C22*$E$6)</f>
        <v>38.615813243433614</v>
      </c>
      <c r="G22" s="27" t="str">
        <f>IF(C22&gt;=F22,"-","+")</f>
        <v>+</v>
      </c>
      <c r="H22" s="26">
        <f>C22*D22</f>
        <v>1813.56</v>
      </c>
      <c r="I22" s="26">
        <f>F22*D22</f>
        <v>1961.6833127664274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32.5</v>
      </c>
      <c r="D23" s="30">
        <v>44.4</v>
      </c>
      <c r="E23" s="29">
        <f>D23/$D$48</f>
        <v>2.4913028840758616E-2</v>
      </c>
      <c r="F23" s="28">
        <f>C23-(C23*$E$6)</f>
        <v>35.154451832257493</v>
      </c>
      <c r="G23" s="27" t="str">
        <f>IF(C23&gt;=F23,"-","+")</f>
        <v>+</v>
      </c>
      <c r="H23" s="26">
        <f>C23*D23</f>
        <v>1443</v>
      </c>
      <c r="I23" s="26">
        <f>F23*D23</f>
        <v>1560.8576613522328</v>
      </c>
      <c r="J23" s="25"/>
      <c r="K23" s="25"/>
    </row>
    <row r="24" spans="1:11" x14ac:dyDescent="0.25">
      <c r="A24" s="24" t="s">
        <v>34</v>
      </c>
      <c r="B24" s="23"/>
      <c r="C24" s="20">
        <f>H24/D24</f>
        <v>38.061872909698998</v>
      </c>
      <c r="D24" s="22">
        <f>SUM(D21:D23)</f>
        <v>119.6</v>
      </c>
      <c r="E24" s="21">
        <f>D24/$D$48</f>
        <v>6.7108068679160596E-2</v>
      </c>
      <c r="F24" s="20">
        <f>I24/D24</f>
        <v>41.170593164600604</v>
      </c>
      <c r="G24" s="19">
        <f>F24/C24-1</f>
        <v>8.1675440992538206E-2</v>
      </c>
      <c r="H24" s="18">
        <f>SUM(H21:H23)</f>
        <v>4552.2</v>
      </c>
      <c r="I24" s="18">
        <f>SUM(I21:I23)</f>
        <v>4924.0029424862323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28.3</v>
      </c>
      <c r="D26" s="30">
        <v>320</v>
      </c>
      <c r="E26" s="29">
        <f t="shared" ref="E26:E32" si="7">D26/$D$48</f>
        <v>0.1795533610144765</v>
      </c>
      <c r="F26" s="28">
        <f t="shared" ref="F26:F31" si="8">C26-(C26*$E$6)</f>
        <v>30.611414980088831</v>
      </c>
      <c r="G26" s="27" t="str">
        <f t="shared" ref="G26:G31" si="9">IF(C26&gt;=F26,"-","+")</f>
        <v>+</v>
      </c>
      <c r="H26" s="26">
        <f t="shared" ref="H26:H31" si="10">C26*D26</f>
        <v>9056</v>
      </c>
      <c r="I26" s="26">
        <f t="shared" ref="I26:I31" si="11">F26*D26</f>
        <v>9795.6527936284256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25.2</v>
      </c>
      <c r="D27" s="30">
        <v>249.5</v>
      </c>
      <c r="E27" s="29">
        <f t="shared" si="7"/>
        <v>0.13999551116597464</v>
      </c>
      <c r="F27" s="28">
        <f t="shared" si="8"/>
        <v>27.258221113011963</v>
      </c>
      <c r="G27" s="27" t="str">
        <f t="shared" si="9"/>
        <v>+</v>
      </c>
      <c r="H27" s="26">
        <f t="shared" si="10"/>
        <v>6287.4</v>
      </c>
      <c r="I27" s="26">
        <f t="shared" si="11"/>
        <v>6800.9261676964852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25.2</v>
      </c>
      <c r="D28" s="30">
        <v>170</v>
      </c>
      <c r="E28" s="29">
        <f t="shared" si="7"/>
        <v>9.538772303894065E-2</v>
      </c>
      <c r="F28" s="28">
        <f t="shared" si="8"/>
        <v>27.258221113011963</v>
      </c>
      <c r="G28" s="27" t="str">
        <f t="shared" si="9"/>
        <v>+</v>
      </c>
      <c r="H28" s="26">
        <f t="shared" si="10"/>
        <v>4284</v>
      </c>
      <c r="I28" s="26">
        <f t="shared" si="11"/>
        <v>4633.8975892120334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24.4</v>
      </c>
      <c r="D29" s="30">
        <v>161</v>
      </c>
      <c r="E29" s="29">
        <f t="shared" si="7"/>
        <v>9.033778476040849E-2</v>
      </c>
      <c r="F29" s="28">
        <f t="shared" si="8"/>
        <v>26.392880760217931</v>
      </c>
      <c r="G29" s="27" t="str">
        <f t="shared" si="9"/>
        <v>+</v>
      </c>
      <c r="H29" s="26">
        <f t="shared" si="10"/>
        <v>3928.3999999999996</v>
      </c>
      <c r="I29" s="26">
        <f t="shared" si="11"/>
        <v>4249.2538023950865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24.4</v>
      </c>
      <c r="D30" s="30">
        <v>69.8</v>
      </c>
      <c r="E30" s="29">
        <f t="shared" si="7"/>
        <v>3.9165076871282685E-2</v>
      </c>
      <c r="F30" s="28">
        <f t="shared" si="8"/>
        <v>26.392880760217931</v>
      </c>
      <c r="G30" s="27" t="str">
        <f t="shared" si="9"/>
        <v>+</v>
      </c>
      <c r="H30" s="26">
        <f t="shared" si="10"/>
        <v>1703.12</v>
      </c>
      <c r="I30" s="26">
        <f t="shared" si="11"/>
        <v>1842.2230770632116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24.8</v>
      </c>
      <c r="D31" s="30">
        <v>33.799999999999997</v>
      </c>
      <c r="E31" s="29">
        <f t="shared" si="7"/>
        <v>1.8965323757154078E-2</v>
      </c>
      <c r="F31" s="28">
        <f t="shared" si="8"/>
        <v>26.825550936614949</v>
      </c>
      <c r="G31" s="27" t="str">
        <f t="shared" si="9"/>
        <v>+</v>
      </c>
      <c r="H31" s="26">
        <f t="shared" si="10"/>
        <v>838.24</v>
      </c>
      <c r="I31" s="26">
        <f t="shared" si="11"/>
        <v>906.70362165758524</v>
      </c>
      <c r="J31" s="25"/>
      <c r="K31" s="25"/>
    </row>
    <row r="32" spans="1:11" x14ac:dyDescent="0.25">
      <c r="A32" s="24" t="s">
        <v>34</v>
      </c>
      <c r="B32" s="23"/>
      <c r="C32" s="20">
        <f>H32/D32</f>
        <v>25.990598545961564</v>
      </c>
      <c r="D32" s="22">
        <f>SUM(D26:D31)</f>
        <v>1004.0999999999999</v>
      </c>
      <c r="E32" s="21">
        <f t="shared" si="7"/>
        <v>0.56340478060823707</v>
      </c>
      <c r="F32" s="20">
        <f>I32/D32</f>
        <v>28.113392143862995</v>
      </c>
      <c r="G32" s="19">
        <f>F32/C32-1</f>
        <v>8.1675440992538206E-2</v>
      </c>
      <c r="H32" s="18">
        <f>SUM(H26:H31)</f>
        <v>26097.160000000003</v>
      </c>
      <c r="I32" s="18">
        <f>SUM(I26:I31)</f>
        <v>28228.65705165283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14.9</v>
      </c>
      <c r="D34" s="30">
        <v>269.60000000000002</v>
      </c>
      <c r="E34" s="29">
        <f t="shared" ref="E34:E40" si="13">D34/$D$48</f>
        <v>0.15127370665469647</v>
      </c>
      <c r="F34" s="28">
        <f t="shared" ref="F34:F39" si="14">C34-(C34*$E$6)</f>
        <v>16.116964070788821</v>
      </c>
      <c r="G34" s="27" t="str">
        <f t="shared" ref="G34:G39" si="15">IF(C34&gt;=F34,"-","+")</f>
        <v>+</v>
      </c>
      <c r="H34" s="26">
        <f t="shared" ref="H34:H39" si="16">C34*D34</f>
        <v>4017.0400000000004</v>
      </c>
      <c r="I34" s="26">
        <f t="shared" ref="I34:I39" si="17">F34*D34</f>
        <v>4345.1335134846668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11.5</v>
      </c>
      <c r="D35" s="30"/>
      <c r="E35" s="29">
        <f t="shared" si="13"/>
        <v>0</v>
      </c>
      <c r="F35" s="28">
        <f t="shared" si="14"/>
        <v>12.43926757141419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9.1999999999999993</v>
      </c>
      <c r="D36" s="30"/>
      <c r="E36" s="29">
        <f t="shared" si="13"/>
        <v>0</v>
      </c>
      <c r="F36" s="28">
        <f t="shared" si="14"/>
        <v>9.9514140571313501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24.4</v>
      </c>
      <c r="D37" s="30"/>
      <c r="E37" s="29">
        <f t="shared" si="13"/>
        <v>0</v>
      </c>
      <c r="F37" s="28">
        <f t="shared" si="14"/>
        <v>26.392880760217931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24.4</v>
      </c>
      <c r="D38" s="30"/>
      <c r="E38" s="29">
        <f t="shared" si="13"/>
        <v>0</v>
      </c>
      <c r="F38" s="28">
        <f t="shared" si="14"/>
        <v>26.392880760217931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25.2</v>
      </c>
      <c r="D39" s="30"/>
      <c r="E39" s="29">
        <f t="shared" si="13"/>
        <v>0</v>
      </c>
      <c r="F39" s="28">
        <f t="shared" si="14"/>
        <v>27.258221113011963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14.9</v>
      </c>
      <c r="D40" s="22">
        <f>SUM(D34:D39)</f>
        <v>269.60000000000002</v>
      </c>
      <c r="E40" s="21">
        <f t="shared" si="13"/>
        <v>0.15127370665469647</v>
      </c>
      <c r="F40" s="20">
        <f>I40/D40</f>
        <v>16.116964070788821</v>
      </c>
      <c r="G40" s="19">
        <f>F40/C40-1</f>
        <v>8.1675440992538428E-2</v>
      </c>
      <c r="H40" s="18">
        <f>SUM(H34:H39)</f>
        <v>4017.0400000000004</v>
      </c>
      <c r="I40" s="18">
        <f>SUM(I34:I39)</f>
        <v>4345.1335134846668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v>360</v>
      </c>
      <c r="E42" s="107">
        <f>D42/$D$48</f>
        <v>0.20199753114128607</v>
      </c>
      <c r="F42" s="28">
        <f>C42-(C42*$E$6)</f>
        <v>0.32450263229776144</v>
      </c>
      <c r="G42" s="27" t="str">
        <f>IF(C42&gt;=F42,"-","+")</f>
        <v>+</v>
      </c>
      <c r="H42" s="26">
        <f>C42*D42</f>
        <v>108</v>
      </c>
      <c r="I42" s="26">
        <f>F42*D42</f>
        <v>116.82094762719412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17</v>
      </c>
      <c r="E43" s="107">
        <f>D43/$D$48</f>
        <v>9.5387723038940653E-3</v>
      </c>
      <c r="F43" s="28">
        <f>C43-(C43*$E$6)</f>
        <v>0.32450263229776144</v>
      </c>
      <c r="G43" s="27" t="str">
        <f>IF(C43&gt;=F43,"-","+")</f>
        <v>+</v>
      </c>
      <c r="H43" s="26">
        <f>C43*D43</f>
        <v>5.0999999999999996</v>
      </c>
      <c r="I43" s="26">
        <f>F43*D43</f>
        <v>5.5165447490619446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7.1</v>
      </c>
      <c r="E44" s="107">
        <f>D44/$D$48</f>
        <v>3.9838401975086975E-3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4.8</v>
      </c>
      <c r="E45" s="107">
        <f>D45/$D$48</f>
        <v>2.6933004152171476E-3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0.29082026227822061</v>
      </c>
      <c r="D46" s="22">
        <f>SUM(D41:D45)</f>
        <v>388.90000000000003</v>
      </c>
      <c r="E46" s="21">
        <f>D46/$D$48</f>
        <v>0.21821344405790599</v>
      </c>
      <c r="F46" s="20">
        <f>I46/D46</f>
        <v>0.31457313544935989</v>
      </c>
      <c r="G46" s="19">
        <f>F46/C46-1</f>
        <v>8.1675440992538206E-2</v>
      </c>
      <c r="H46" s="18">
        <f>SUM(H41:H44)</f>
        <v>113.1</v>
      </c>
      <c r="I46" s="18">
        <f>SUM(I41:I44)</f>
        <v>122.33749237625607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79.243291717938789</v>
      </c>
      <c r="D48" s="13">
        <f>D24+D32+D40+D46</f>
        <v>1782.1999999999998</v>
      </c>
      <c r="E48" s="12">
        <f>SUM(E20:E46)/2</f>
        <v>1</v>
      </c>
      <c r="F48" s="11">
        <f>I48/D48</f>
        <v>21.108815508921552</v>
      </c>
      <c r="G48" s="10"/>
      <c r="H48" s="9">
        <f>SUM(H20:H46)/2</f>
        <v>34779.500000000007</v>
      </c>
      <c r="I48" s="9">
        <f>SUM(I20:I46)/2</f>
        <v>37620.130999999987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1782.1999999999998</v>
      </c>
      <c r="E50" s="12">
        <f>D50/G2</f>
        <v>1.0000561135738735</v>
      </c>
      <c r="F50" s="11">
        <f>I50/D50</f>
        <v>21.108815508921552</v>
      </c>
      <c r="G50" s="10"/>
      <c r="H50" s="9">
        <f>H48+H19</f>
        <v>34779.500000000007</v>
      </c>
      <c r="I50" s="9">
        <f>I48+I19</f>
        <v>37620.130999999987</v>
      </c>
      <c r="J50" s="106">
        <f>D50-G2</f>
        <v>9.9999999999909051E-2</v>
      </c>
      <c r="K50" s="8"/>
    </row>
    <row r="51" spans="1:11" ht="23.25" x14ac:dyDescent="0.35">
      <c r="A51" s="174" t="s">
        <v>235</v>
      </c>
      <c r="B51" s="169"/>
      <c r="C51" s="170"/>
      <c r="G51" s="7"/>
      <c r="H51" s="6"/>
      <c r="I51" s="6">
        <f>+I50/D50</f>
        <v>21.108815508921552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231</v>
      </c>
      <c r="D1" s="100" t="s">
        <v>1</v>
      </c>
      <c r="E1" s="168" t="s">
        <v>236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231</v>
      </c>
      <c r="D2" s="96" t="s">
        <v>3</v>
      </c>
      <c r="E2" s="95" t="s">
        <v>112</v>
      </c>
      <c r="F2" s="94" t="s">
        <v>5</v>
      </c>
      <c r="G2" s="93">
        <v>15966.2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264</v>
      </c>
      <c r="F3" s="88" t="s">
        <v>8</v>
      </c>
      <c r="G3" s="87">
        <v>20.73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60.478030303030309</v>
      </c>
      <c r="F4" s="81" t="s">
        <v>12</v>
      </c>
      <c r="G4" s="80">
        <f>G2*G3</f>
        <v>330979.326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-0.10029592429055056</v>
      </c>
      <c r="F6" s="69" t="s">
        <v>16</v>
      </c>
      <c r="G6" s="68">
        <f>(I50-I19)/(D50-(SUM(D42:D44)+D19))</f>
        <v>26.266532759824777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20.7</v>
      </c>
      <c r="D10" s="30"/>
      <c r="E10" s="29" t="e">
        <f t="shared" ref="E10:E19" si="1">D10/$D$19</f>
        <v>#DIV/0!</v>
      </c>
      <c r="F10" s="28">
        <f t="shared" ref="F10:F18" si="2">C10-(C10*$E$6)</f>
        <v>22.776125632814395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21.6</v>
      </c>
      <c r="D11" s="30"/>
      <c r="E11" s="29" t="e">
        <f t="shared" si="1"/>
        <v>#DIV/0!</v>
      </c>
      <c r="F11" s="28">
        <f t="shared" si="2"/>
        <v>23.766391964675893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19.7</v>
      </c>
      <c r="D12" s="30"/>
      <c r="E12" s="29" t="e">
        <f t="shared" si="1"/>
        <v>#DIV/0!</v>
      </c>
      <c r="F12" s="28">
        <f t="shared" si="2"/>
        <v>21.675829708523846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21.6</v>
      </c>
      <c r="D13" s="30"/>
      <c r="E13" s="29" t="e">
        <f t="shared" si="1"/>
        <v>#DIV/0!</v>
      </c>
      <c r="F13" s="28">
        <f t="shared" si="2"/>
        <v>23.766391964675893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24.1</v>
      </c>
      <c r="D14" s="30"/>
      <c r="E14" s="29" t="e">
        <f t="shared" si="1"/>
        <v>#DIV/0!</v>
      </c>
      <c r="F14" s="28">
        <f t="shared" si="2"/>
        <v>26.51713177540227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19.899999999999999</v>
      </c>
      <c r="D15" s="30"/>
      <c r="E15" s="29" t="e">
        <f t="shared" si="1"/>
        <v>#DIV/0!</v>
      </c>
      <c r="F15" s="28">
        <f t="shared" si="2"/>
        <v>21.895888893381954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27.2</v>
      </c>
      <c r="D16" s="30"/>
      <c r="E16" s="29" t="e">
        <f t="shared" si="1"/>
        <v>#DIV/0!</v>
      </c>
      <c r="F16" s="28">
        <f t="shared" si="2"/>
        <v>29.928049140702974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40.1</v>
      </c>
      <c r="D17" s="30"/>
      <c r="E17" s="29" t="e">
        <f t="shared" si="1"/>
        <v>#DIV/0!</v>
      </c>
      <c r="F17" s="28">
        <f t="shared" si="2"/>
        <v>44.121866564051082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35.1</v>
      </c>
      <c r="D18" s="30"/>
      <c r="E18" s="29" t="e">
        <f t="shared" si="1"/>
        <v>#DIV/0!</v>
      </c>
      <c r="F18" s="28">
        <f t="shared" si="2"/>
        <v>38.62038694259833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52.1</v>
      </c>
      <c r="D21" s="30">
        <v>197.6</v>
      </c>
      <c r="E21" s="29">
        <f>D21/$D$48</f>
        <v>1.2376144605479075E-2</v>
      </c>
      <c r="F21" s="28">
        <f>C21-(C21*$E$6)</f>
        <v>57.325417655537684</v>
      </c>
      <c r="G21" s="27" t="str">
        <f>IF(C21&gt;=F21,"-","+")</f>
        <v>+</v>
      </c>
      <c r="H21" s="26">
        <f>C21*D21</f>
        <v>10294.959999999999</v>
      </c>
      <c r="I21" s="26">
        <f>F21*D21</f>
        <v>11327.502528734247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35</v>
      </c>
      <c r="D22" s="30">
        <v>413.4</v>
      </c>
      <c r="E22" s="29">
        <f>D22/$D$48</f>
        <v>2.589219726672596E-2</v>
      </c>
      <c r="F22" s="28">
        <f>C22-(C22*$E$6)</f>
        <v>38.510357350169272</v>
      </c>
      <c r="G22" s="27" t="str">
        <f>IF(C22&gt;=F22,"-","+")</f>
        <v>+</v>
      </c>
      <c r="H22" s="26">
        <f>C22*D22</f>
        <v>14469</v>
      </c>
      <c r="I22" s="26">
        <f>F22*D22</f>
        <v>15920.181728559975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31.9</v>
      </c>
      <c r="D23" s="30">
        <v>363</v>
      </c>
      <c r="E23" s="29">
        <f>D23/$D$48</f>
        <v>2.2735528804599718E-2</v>
      </c>
      <c r="F23" s="28">
        <f>C23-(C23*$E$6)</f>
        <v>35.09943998486856</v>
      </c>
      <c r="G23" s="27" t="str">
        <f>IF(C23&gt;=F23,"-","+")</f>
        <v>+</v>
      </c>
      <c r="H23" s="26">
        <f>C23*D23</f>
        <v>11579.699999999999</v>
      </c>
      <c r="I23" s="26">
        <f>F23*D23</f>
        <v>12741.096714507288</v>
      </c>
      <c r="J23" s="25"/>
      <c r="K23" s="25"/>
    </row>
    <row r="24" spans="1:11" x14ac:dyDescent="0.25">
      <c r="A24" s="24" t="s">
        <v>34</v>
      </c>
      <c r="B24" s="23"/>
      <c r="C24" s="20">
        <f>H24/D24</f>
        <v>37.313819301848042</v>
      </c>
      <c r="D24" s="22">
        <f>SUM(D21:D23)</f>
        <v>974</v>
      </c>
      <c r="E24" s="21">
        <f>D24/$D$48</f>
        <v>6.1003870676804753E-2</v>
      </c>
      <c r="F24" s="20">
        <f>I24/D24</f>
        <v>41.056243297537485</v>
      </c>
      <c r="G24" s="19">
        <f>F24/C24-1</f>
        <v>0.10029592429055079</v>
      </c>
      <c r="H24" s="18">
        <f>SUM(H21:H23)</f>
        <v>36343.659999999996</v>
      </c>
      <c r="I24" s="18">
        <f>SUM(I21:I23)</f>
        <v>39988.780971801512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27.8</v>
      </c>
      <c r="D26" s="30">
        <f>117+2261+307.2</f>
        <v>2685.2</v>
      </c>
      <c r="E26" s="29">
        <f t="shared" ref="E26:E32" si="7">D26/$D$48</f>
        <v>0.16818028084328143</v>
      </c>
      <c r="F26" s="28">
        <f t="shared" ref="F26:F31" si="8">C26-(C26*$E$6)</f>
        <v>30.588226695277307</v>
      </c>
      <c r="G26" s="27" t="str">
        <f t="shared" ref="G26:G31" si="9">IF(C26&gt;=F26,"-","+")</f>
        <v>+</v>
      </c>
      <c r="H26" s="26">
        <f t="shared" ref="H26:H31" si="10">C26*D26</f>
        <v>74648.56</v>
      </c>
      <c r="I26" s="26">
        <f t="shared" ref="I26:I31" si="11">F26*D26</f>
        <v>82135.506322158617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24.8</v>
      </c>
      <c r="D27" s="30">
        <v>1958.1</v>
      </c>
      <c r="E27" s="29">
        <f t="shared" si="7"/>
        <v>0.12264032769224988</v>
      </c>
      <c r="F27" s="28">
        <f t="shared" si="8"/>
        <v>27.287338922405656</v>
      </c>
      <c r="G27" s="27" t="str">
        <f t="shared" si="9"/>
        <v>+</v>
      </c>
      <c r="H27" s="26">
        <f t="shared" si="10"/>
        <v>48560.88</v>
      </c>
      <c r="I27" s="26">
        <f t="shared" si="11"/>
        <v>53431.33834396251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24.8</v>
      </c>
      <c r="D28" s="30">
        <v>1472.9</v>
      </c>
      <c r="E28" s="29">
        <f t="shared" si="7"/>
        <v>9.225113051320917E-2</v>
      </c>
      <c r="F28" s="28">
        <f t="shared" si="8"/>
        <v>27.287338922405656</v>
      </c>
      <c r="G28" s="27" t="str">
        <f t="shared" si="9"/>
        <v>+</v>
      </c>
      <c r="H28" s="26">
        <f t="shared" si="10"/>
        <v>36527.920000000006</v>
      </c>
      <c r="I28" s="26">
        <f t="shared" si="11"/>
        <v>40191.521498811293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23.9</v>
      </c>
      <c r="D29" s="30">
        <v>1372.1</v>
      </c>
      <c r="E29" s="29">
        <f t="shared" si="7"/>
        <v>8.5937793588956674E-2</v>
      </c>
      <c r="F29" s="28">
        <f t="shared" si="8"/>
        <v>26.297072590544158</v>
      </c>
      <c r="G29" s="27" t="str">
        <f t="shared" si="9"/>
        <v>+</v>
      </c>
      <c r="H29" s="26">
        <f t="shared" si="10"/>
        <v>32793.189999999995</v>
      </c>
      <c r="I29" s="26">
        <f t="shared" si="11"/>
        <v>36082.213301485637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23.9</v>
      </c>
      <c r="D30" s="30">
        <v>955.4</v>
      </c>
      <c r="E30" s="29">
        <f t="shared" si="7"/>
        <v>5.9838909696734353E-2</v>
      </c>
      <c r="F30" s="28">
        <f t="shared" si="8"/>
        <v>26.297072590544158</v>
      </c>
      <c r="G30" s="27" t="str">
        <f t="shared" si="9"/>
        <v>+</v>
      </c>
      <c r="H30" s="26">
        <f t="shared" si="10"/>
        <v>22834.059999999998</v>
      </c>
      <c r="I30" s="26">
        <f t="shared" si="11"/>
        <v>25124.223153005889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24.4</v>
      </c>
      <c r="D31" s="30">
        <v>230.6</v>
      </c>
      <c r="E31" s="29">
        <f t="shared" si="7"/>
        <v>1.4443010860442685E-2</v>
      </c>
      <c r="F31" s="28">
        <f t="shared" si="8"/>
        <v>26.847220552689432</v>
      </c>
      <c r="G31" s="27" t="str">
        <f t="shared" si="9"/>
        <v>+</v>
      </c>
      <c r="H31" s="26">
        <f t="shared" si="10"/>
        <v>5626.6399999999994</v>
      </c>
      <c r="I31" s="26">
        <f t="shared" si="11"/>
        <v>6190.9690594501826</v>
      </c>
      <c r="J31" s="25"/>
      <c r="K31" s="25"/>
    </row>
    <row r="32" spans="1:11" x14ac:dyDescent="0.25">
      <c r="A32" s="24" t="s">
        <v>34</v>
      </c>
      <c r="B32" s="23"/>
      <c r="C32" s="20">
        <f>H32/D32</f>
        <v>25.476551422016765</v>
      </c>
      <c r="D32" s="22">
        <f>SUM(D26:D31)</f>
        <v>8674.2999999999993</v>
      </c>
      <c r="E32" s="21">
        <f t="shared" si="7"/>
        <v>0.54329145319487415</v>
      </c>
      <c r="F32" s="20">
        <f>I32/D32</f>
        <v>28.031745694623673</v>
      </c>
      <c r="G32" s="19">
        <f>F32/C32-1</f>
        <v>0.10029592429055034</v>
      </c>
      <c r="H32" s="18">
        <f>SUM(H26:H31)</f>
        <v>220991.25</v>
      </c>
      <c r="I32" s="18">
        <f>SUM(I26:I31)</f>
        <v>243155.77167887409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14.6</v>
      </c>
      <c r="D34" s="30">
        <f>1731.6+1041.97</f>
        <v>2773.5699999999997</v>
      </c>
      <c r="E34" s="29">
        <f t="shared" ref="E34:E40" si="13">D34/$D$48</f>
        <v>0.17371509814483094</v>
      </c>
      <c r="F34" s="28">
        <f t="shared" ref="F34:F39" si="14">C34-(C34*$E$6)</f>
        <v>16.06432049464204</v>
      </c>
      <c r="G34" s="27" t="str">
        <f t="shared" ref="G34:G39" si="15">IF(C34&gt;=F34,"-","+")</f>
        <v>+</v>
      </c>
      <c r="H34" s="26">
        <f t="shared" ref="H34:H39" si="16">C34*D34</f>
        <v>40494.121999999996</v>
      </c>
      <c r="I34" s="26">
        <f t="shared" ref="I34:I39" si="17">F34*D34</f>
        <v>44555.517394324321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11.3</v>
      </c>
      <c r="D35" s="30">
        <v>174.4</v>
      </c>
      <c r="E35" s="29">
        <f t="shared" si="13"/>
        <v>1.0923074995928901E-2</v>
      </c>
      <c r="F35" s="28">
        <f t="shared" si="14"/>
        <v>12.433343944483223</v>
      </c>
      <c r="G35" s="27" t="str">
        <f t="shared" si="15"/>
        <v>+</v>
      </c>
      <c r="H35" s="26">
        <f t="shared" si="16"/>
        <v>1970.7200000000003</v>
      </c>
      <c r="I35" s="26">
        <f t="shared" si="17"/>
        <v>2168.375183917874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9.1</v>
      </c>
      <c r="D36" s="30"/>
      <c r="E36" s="29">
        <f t="shared" si="13"/>
        <v>0</v>
      </c>
      <c r="F36" s="28">
        <f t="shared" si="14"/>
        <v>10.012692911044009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23.9</v>
      </c>
      <c r="D37" s="30"/>
      <c r="E37" s="29">
        <f t="shared" si="13"/>
        <v>0</v>
      </c>
      <c r="F37" s="28">
        <f t="shared" si="14"/>
        <v>26.297072590544158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23.9</v>
      </c>
      <c r="D38" s="30"/>
      <c r="E38" s="29">
        <f t="shared" si="13"/>
        <v>0</v>
      </c>
      <c r="F38" s="28">
        <f t="shared" si="14"/>
        <v>26.297072590544158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24.8</v>
      </c>
      <c r="D39" s="30"/>
      <c r="E39" s="29">
        <f t="shared" si="13"/>
        <v>0</v>
      </c>
      <c r="F39" s="28">
        <f t="shared" si="14"/>
        <v>27.287338922405656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14.404774132708271</v>
      </c>
      <c r="D40" s="22">
        <f>SUM(D34:D39)</f>
        <v>2947.97</v>
      </c>
      <c r="E40" s="21">
        <f t="shared" si="13"/>
        <v>0.18463817314075986</v>
      </c>
      <c r="F40" s="20">
        <f>I40/D40</f>
        <v>15.849514268544862</v>
      </c>
      <c r="G40" s="19">
        <f>F40/C40-1</f>
        <v>0.10029592429055056</v>
      </c>
      <c r="H40" s="18">
        <f>SUM(H34:H39)</f>
        <v>42464.841999999997</v>
      </c>
      <c r="I40" s="18">
        <f>SUM(I34:I39)</f>
        <v>46723.892578242194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f>1630+195.8+1463.1</f>
        <v>3288.8999999999996</v>
      </c>
      <c r="E42" s="107">
        <f>D42/$D$48</f>
        <v>0.20599140684696421</v>
      </c>
      <c r="F42" s="28">
        <f>C42-(C42*$E$6)</f>
        <v>0.33008877728716518</v>
      </c>
      <c r="G42" s="27" t="str">
        <f>IF(C42&gt;=F42,"-","+")</f>
        <v>+</v>
      </c>
      <c r="H42" s="26">
        <f>C42*D42</f>
        <v>986.66999999999985</v>
      </c>
      <c r="I42" s="26">
        <f>F42*D42</f>
        <v>1085.6289796197575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76.5</v>
      </c>
      <c r="E43" s="107">
        <f>D43/$D$48</f>
        <v>4.7913717728701889E-3</v>
      </c>
      <c r="F43" s="28">
        <f>C43-(C43*$E$6)</f>
        <v>0.33008877728716518</v>
      </c>
      <c r="G43" s="27" t="str">
        <f>IF(C43&gt;=F43,"-","+")</f>
        <v>+</v>
      </c>
      <c r="H43" s="26">
        <f>C43*D43</f>
        <v>22.95</v>
      </c>
      <c r="I43" s="26">
        <f>F43*D43</f>
        <v>25.251791462468137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4.53</v>
      </c>
      <c r="E45" s="107">
        <f>D45/$D$48</f>
        <v>2.8372436772682296E-4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0.29959672752846495</v>
      </c>
      <c r="D46" s="22">
        <f>SUM(D41:D45)</f>
        <v>3369.93</v>
      </c>
      <c r="E46" s="21">
        <f>D46/$D$48</f>
        <v>0.21106650298756122</v>
      </c>
      <c r="F46" s="20">
        <f>I46/D46</f>
        <v>0.32964505823035661</v>
      </c>
      <c r="G46" s="19">
        <f>F46/C46-1</f>
        <v>0.10029592429055079</v>
      </c>
      <c r="H46" s="18">
        <f>SUM(H41:H44)</f>
        <v>1009.6199999999999</v>
      </c>
      <c r="I46" s="18">
        <f>SUM(I41:I44)</f>
        <v>1110.8807710822257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77.494741584101547</v>
      </c>
      <c r="D48" s="13">
        <f>D24+D32+D40+D46</f>
        <v>15966.199999999999</v>
      </c>
      <c r="E48" s="12">
        <f>SUM(E20:E46)/2</f>
        <v>0.99999999999999978</v>
      </c>
      <c r="F48" s="11">
        <f>I48/D48</f>
        <v>20.730000000000004</v>
      </c>
      <c r="G48" s="10"/>
      <c r="H48" s="9">
        <f>SUM(H20:H46)/2</f>
        <v>300809.37199999997</v>
      </c>
      <c r="I48" s="9">
        <f>SUM(I20:I46)/2</f>
        <v>330979.32600000006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15966.2</v>
      </c>
      <c r="E50" s="12">
        <f>D50/G2</f>
        <v>1</v>
      </c>
      <c r="F50" s="11">
        <f>I50/D50</f>
        <v>20.730000000000004</v>
      </c>
      <c r="G50" s="10"/>
      <c r="H50" s="9">
        <f>H48+H19</f>
        <v>300809.37199999997</v>
      </c>
      <c r="I50" s="9">
        <f>I48+I19</f>
        <v>330979.32600000006</v>
      </c>
      <c r="J50" s="106">
        <f>D50-G2</f>
        <v>0</v>
      </c>
      <c r="K50" s="8"/>
    </row>
    <row r="51" spans="1:11" ht="23.25" x14ac:dyDescent="0.35">
      <c r="A51" s="174" t="s">
        <v>237</v>
      </c>
      <c r="B51" s="169"/>
      <c r="C51" s="170"/>
      <c r="G51" s="7"/>
      <c r="H51" s="6"/>
      <c r="I51" s="6">
        <f>+I50/D50</f>
        <v>20.730000000000004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238</v>
      </c>
      <c r="D1" s="100" t="s">
        <v>1</v>
      </c>
      <c r="E1" s="168" t="s">
        <v>83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238</v>
      </c>
      <c r="D2" s="96" t="s">
        <v>3</v>
      </c>
      <c r="E2" s="95" t="s">
        <v>71</v>
      </c>
      <c r="F2" s="94" t="s">
        <v>5</v>
      </c>
      <c r="G2" s="93">
        <v>16347.7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236</v>
      </c>
      <c r="F3" s="88" t="s">
        <v>8</v>
      </c>
      <c r="G3" s="87">
        <v>26.6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69.26991525423729</v>
      </c>
      <c r="F4" s="81" t="s">
        <v>12</v>
      </c>
      <c r="G4" s="80">
        <f>G2*G3</f>
        <v>434848.82000000007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1.3832418411051317E-2</v>
      </c>
      <c r="F6" s="69" t="s">
        <v>16</v>
      </c>
      <c r="G6" s="68">
        <f>(I50-I19)/(D50-(SUM(D42:D44)+D19))</f>
        <v>31.289752430751012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26.6</v>
      </c>
      <c r="D10" s="30"/>
      <c r="E10" s="29">
        <f t="shared" ref="E10:E19" si="1">D10/$D$19</f>
        <v>0</v>
      </c>
      <c r="F10" s="28">
        <f t="shared" ref="F10:F18" si="2">C10-(C10*$E$6)</f>
        <v>26.232057670266038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27.7</v>
      </c>
      <c r="D11" s="30"/>
      <c r="E11" s="29">
        <f t="shared" si="1"/>
        <v>0</v>
      </c>
      <c r="F11" s="28">
        <f t="shared" si="2"/>
        <v>27.316842010013879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25.3</v>
      </c>
      <c r="D12" s="30"/>
      <c r="E12" s="29">
        <f t="shared" si="1"/>
        <v>0</v>
      </c>
      <c r="F12" s="28">
        <f t="shared" si="2"/>
        <v>24.950039814200402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27.7</v>
      </c>
      <c r="D13" s="30"/>
      <c r="E13" s="29">
        <f t="shared" si="1"/>
        <v>0</v>
      </c>
      <c r="F13" s="28">
        <f t="shared" si="2"/>
        <v>27.316842010013879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</v>
      </c>
      <c r="D14" s="30"/>
      <c r="E14" s="29">
        <f t="shared" si="1"/>
        <v>0</v>
      </c>
      <c r="F14" s="28">
        <f t="shared" si="2"/>
        <v>30.57119502925741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25.5</v>
      </c>
      <c r="D15" s="30">
        <v>70</v>
      </c>
      <c r="E15" s="29">
        <f t="shared" si="1"/>
        <v>0.75839653304442034</v>
      </c>
      <c r="F15" s="28">
        <f t="shared" si="2"/>
        <v>25.147273330518193</v>
      </c>
      <c r="G15" s="27" t="str">
        <f t="shared" si="3"/>
        <v>-</v>
      </c>
      <c r="H15" s="34">
        <f t="shared" si="4"/>
        <v>1785</v>
      </c>
      <c r="I15" s="34">
        <f t="shared" si="5"/>
        <v>1760.3091331362734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</v>
      </c>
      <c r="D16" s="30"/>
      <c r="E16" s="29">
        <f t="shared" si="1"/>
        <v>0</v>
      </c>
      <c r="F16" s="28">
        <f t="shared" si="2"/>
        <v>34.515865355613201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51.5</v>
      </c>
      <c r="D17" s="30">
        <v>16</v>
      </c>
      <c r="E17" s="29">
        <f t="shared" si="1"/>
        <v>0.1733477789815818</v>
      </c>
      <c r="F17" s="28">
        <f t="shared" si="2"/>
        <v>50.787630451830857</v>
      </c>
      <c r="G17" s="27" t="str">
        <f t="shared" si="3"/>
        <v>-</v>
      </c>
      <c r="H17" s="34">
        <f t="shared" si="4"/>
        <v>824</v>
      </c>
      <c r="I17" s="34">
        <f t="shared" si="5"/>
        <v>812.60208722929372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45.1</v>
      </c>
      <c r="D18" s="30">
        <v>6.3</v>
      </c>
      <c r="E18" s="29">
        <f t="shared" si="1"/>
        <v>6.8255687973997836E-2</v>
      </c>
      <c r="F18" s="28">
        <f t="shared" si="2"/>
        <v>44.476157929661589</v>
      </c>
      <c r="G18" s="27" t="str">
        <f t="shared" si="3"/>
        <v>-</v>
      </c>
      <c r="H18" s="34">
        <f t="shared" si="4"/>
        <v>284.13</v>
      </c>
      <c r="I18" s="34">
        <f t="shared" si="5"/>
        <v>280.199794956868</v>
      </c>
      <c r="J18" s="52"/>
      <c r="K18" s="52"/>
    </row>
    <row r="19" spans="1:11" x14ac:dyDescent="0.25">
      <c r="A19" s="51" t="s">
        <v>34</v>
      </c>
      <c r="B19" s="50"/>
      <c r="C19" s="47">
        <f>H19/D19</f>
        <v>31.344853737811487</v>
      </c>
      <c r="D19" s="49">
        <f>SUM(D10:D18)</f>
        <v>92.3</v>
      </c>
      <c r="E19" s="48">
        <f t="shared" si="1"/>
        <v>1</v>
      </c>
      <c r="F19" s="47">
        <f>I19/D19</f>
        <v>30.911278605876873</v>
      </c>
      <c r="G19" s="46">
        <f>F19/C19-1</f>
        <v>-1.3832418411051317E-2</v>
      </c>
      <c r="H19" s="9">
        <f>SUM(H10:H18)</f>
        <v>2893.13</v>
      </c>
      <c r="I19" s="9">
        <f>SUM(I10:I18)</f>
        <v>2853.1110153224354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66.900000000000006</v>
      </c>
      <c r="D21" s="30">
        <v>194.5</v>
      </c>
      <c r="E21" s="29">
        <f>D21/$D$48</f>
        <v>1.1964886595020884E-2</v>
      </c>
      <c r="F21" s="28">
        <f>C21-(C21*$E$6)</f>
        <v>65.974611208300672</v>
      </c>
      <c r="G21" s="27" t="str">
        <f>IF(C21&gt;=F21,"-","+")</f>
        <v>-</v>
      </c>
      <c r="H21" s="26">
        <f>C21*D21</f>
        <v>13012.050000000001</v>
      </c>
      <c r="I21" s="26">
        <f>F21*D21</f>
        <v>12832.06188001448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44.9</v>
      </c>
      <c r="D22" s="30">
        <v>484.3</v>
      </c>
      <c r="E22" s="29">
        <f>D22/$D$48</f>
        <v>2.9792260040969739E-2</v>
      </c>
      <c r="F22" s="28">
        <f>C22-(C22*$E$6)</f>
        <v>44.278924413343795</v>
      </c>
      <c r="G22" s="27" t="str">
        <f>IF(C22&gt;=F22,"-","+")</f>
        <v>-</v>
      </c>
      <c r="H22" s="26">
        <f>C22*D22</f>
        <v>21745.07</v>
      </c>
      <c r="I22" s="26">
        <f>F22*D22</f>
        <v>21444.283093382401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</v>
      </c>
      <c r="D23" s="30">
        <v>409.7</v>
      </c>
      <c r="E23" s="29">
        <f>D23/$D$48</f>
        <v>2.5203157007609542E-2</v>
      </c>
      <c r="F23" s="28">
        <f>C23-(C23*$E$6)</f>
        <v>40.432870845146894</v>
      </c>
      <c r="G23" s="27" t="str">
        <f>IF(C23&gt;=F23,"-","+")</f>
        <v>-</v>
      </c>
      <c r="H23" s="26">
        <f>C23*D23</f>
        <v>16797.7</v>
      </c>
      <c r="I23" s="26">
        <f>F23*D23</f>
        <v>16565.347185256684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47.363178686265506</v>
      </c>
      <c r="D24" s="22">
        <f>SUM(D21:D23)</f>
        <v>1088.5</v>
      </c>
      <c r="E24" s="21">
        <f>D24/$D$48</f>
        <v>6.6960303643600158E-2</v>
      </c>
      <c r="F24" s="20">
        <f>I24/D24</f>
        <v>46.708031381399685</v>
      </c>
      <c r="G24" s="19">
        <f>F24/C24-1</f>
        <v>-1.3832418411051539E-2</v>
      </c>
      <c r="H24" s="18">
        <f>SUM(H21:H23)</f>
        <v>51554.820000000007</v>
      </c>
      <c r="I24" s="18">
        <f>SUM(I21:I23)</f>
        <v>50841.692158653561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35.700000000000003</v>
      </c>
      <c r="D26" s="30">
        <f>241+363.4+43.7+2592.6</f>
        <v>3240.7</v>
      </c>
      <c r="E26" s="29">
        <f t="shared" ref="E26:E32" si="7">D26/$D$48</f>
        <v>0.19935531099477724</v>
      </c>
      <c r="F26" s="28">
        <f t="shared" ref="F26:F31" si="8">C26-(C26*$E$6)</f>
        <v>35.206182662725467</v>
      </c>
      <c r="G26" s="27" t="str">
        <f t="shared" ref="G26:G31" si="9">IF(C26&gt;=F26,"-","+")</f>
        <v>-</v>
      </c>
      <c r="H26" s="26">
        <f t="shared" ref="H26:H31" si="10">C26*D26</f>
        <v>115692.99</v>
      </c>
      <c r="I26" s="26">
        <f t="shared" ref="I26:I31" si="11">F26*D26</f>
        <v>114092.67615509442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31.8</v>
      </c>
      <c r="D27" s="30">
        <v>2493.1</v>
      </c>
      <c r="E27" s="29">
        <f t="shared" si="7"/>
        <v>0.15336585485885124</v>
      </c>
      <c r="F27" s="28">
        <f t="shared" si="8"/>
        <v>31.36012909452857</v>
      </c>
      <c r="G27" s="27" t="str">
        <f t="shared" si="9"/>
        <v>-</v>
      </c>
      <c r="H27" s="26">
        <f t="shared" si="10"/>
        <v>79280.58</v>
      </c>
      <c r="I27" s="26">
        <f t="shared" si="11"/>
        <v>78183.937845569177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31.8</v>
      </c>
      <c r="D28" s="30">
        <v>1733.2</v>
      </c>
      <c r="E28" s="29">
        <f t="shared" si="7"/>
        <v>0.10661975036755884</v>
      </c>
      <c r="F28" s="28">
        <f t="shared" si="8"/>
        <v>31.36012909452857</v>
      </c>
      <c r="G28" s="27" t="str">
        <f t="shared" si="9"/>
        <v>-</v>
      </c>
      <c r="H28" s="26">
        <f t="shared" si="10"/>
        <v>55115.76</v>
      </c>
      <c r="I28" s="26">
        <f t="shared" si="11"/>
        <v>54353.375746636921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30.7</v>
      </c>
      <c r="D29" s="30">
        <v>1757</v>
      </c>
      <c r="E29" s="29">
        <f t="shared" si="7"/>
        <v>0.10808383417712952</v>
      </c>
      <c r="F29" s="28">
        <f t="shared" si="8"/>
        <v>30.275344754780726</v>
      </c>
      <c r="G29" s="27" t="str">
        <f t="shared" si="9"/>
        <v>-</v>
      </c>
      <c r="H29" s="26">
        <f t="shared" si="10"/>
        <v>53939.9</v>
      </c>
      <c r="I29" s="26">
        <f t="shared" si="11"/>
        <v>53193.780734149732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30.7</v>
      </c>
      <c r="D30" s="30">
        <v>1130</v>
      </c>
      <c r="E30" s="29">
        <f t="shared" si="7"/>
        <v>6.9513222891380969E-2</v>
      </c>
      <c r="F30" s="28">
        <f t="shared" si="8"/>
        <v>30.275344754780726</v>
      </c>
      <c r="G30" s="27" t="str">
        <f t="shared" si="9"/>
        <v>-</v>
      </c>
      <c r="H30" s="26">
        <f t="shared" si="10"/>
        <v>34691</v>
      </c>
      <c r="I30" s="26">
        <f t="shared" si="11"/>
        <v>34211.139572902219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31.3</v>
      </c>
      <c r="D31" s="30">
        <v>226.6</v>
      </c>
      <c r="E31" s="29">
        <f t="shared" si="7"/>
        <v>1.3939554254147724E-2</v>
      </c>
      <c r="F31" s="28">
        <f t="shared" si="8"/>
        <v>30.867045303734095</v>
      </c>
      <c r="G31" s="27" t="str">
        <f t="shared" si="9"/>
        <v>-</v>
      </c>
      <c r="H31" s="26">
        <f t="shared" si="10"/>
        <v>7092.58</v>
      </c>
      <c r="I31" s="26">
        <f t="shared" si="11"/>
        <v>6994.4724658261457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32.683667277848144</v>
      </c>
      <c r="D32" s="22">
        <f>SUM(D26:D31)</f>
        <v>10580.6</v>
      </c>
      <c r="E32" s="21">
        <f t="shared" si="7"/>
        <v>0.65087752754384554</v>
      </c>
      <c r="F32" s="20">
        <f>I32/D32</f>
        <v>32.231573116853355</v>
      </c>
      <c r="G32" s="19">
        <f>F32/C32-1</f>
        <v>-1.3832418411051539E-2</v>
      </c>
      <c r="H32" s="18">
        <f>SUM(H26:H31)</f>
        <v>345812.81000000006</v>
      </c>
      <c r="I32" s="18">
        <f>SUM(I26:I31)</f>
        <v>341029.38252017862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</v>
      </c>
      <c r="D34" s="30">
        <v>2043</v>
      </c>
      <c r="E34" s="29">
        <f t="shared" ref="E34:E40" si="13">D34/$D$48</f>
        <v>0.1256774463425587</v>
      </c>
      <c r="F34" s="28">
        <f t="shared" ref="F34:F39" si="14">C34-(C34*$E$6)</f>
        <v>18.539950533872236</v>
      </c>
      <c r="G34" s="27" t="str">
        <f t="shared" ref="G34:G39" si="15">IF(C34&gt;=F34,"-","+")</f>
        <v>-</v>
      </c>
      <c r="H34" s="26">
        <f t="shared" ref="H34:H39" si="16">C34*D34</f>
        <v>38408.400000000001</v>
      </c>
      <c r="I34" s="26">
        <f t="shared" ref="I34:I39" si="17">F34*D34</f>
        <v>37877.118940700981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14.5</v>
      </c>
      <c r="D35" s="30">
        <v>89.6</v>
      </c>
      <c r="E35" s="29">
        <f t="shared" si="13"/>
        <v>5.5118449301484376E-3</v>
      </c>
      <c r="F35" s="28">
        <f t="shared" si="14"/>
        <v>14.299429933039756</v>
      </c>
      <c r="G35" s="27" t="str">
        <f t="shared" si="15"/>
        <v>-</v>
      </c>
      <c r="H35" s="26">
        <f t="shared" si="16"/>
        <v>1299.1999999999998</v>
      </c>
      <c r="I35" s="26">
        <f t="shared" si="17"/>
        <v>1281.228922000362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11.439543946431804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30.7</v>
      </c>
      <c r="D37" s="30"/>
      <c r="E37" s="29">
        <f t="shared" si="13"/>
        <v>0</v>
      </c>
      <c r="F37" s="28">
        <f t="shared" si="14"/>
        <v>30.275344754780726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30.7</v>
      </c>
      <c r="D38" s="30"/>
      <c r="E38" s="29">
        <f t="shared" si="13"/>
        <v>0</v>
      </c>
      <c r="F38" s="28">
        <f t="shared" si="14"/>
        <v>30.275344754780726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31.8</v>
      </c>
      <c r="D39" s="30"/>
      <c r="E39" s="29">
        <f t="shared" si="13"/>
        <v>0</v>
      </c>
      <c r="F39" s="28">
        <f t="shared" si="14"/>
        <v>31.36012909452857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18.619337897402232</v>
      </c>
      <c r="D40" s="22">
        <f>SUM(D34:D39)</f>
        <v>2132.6</v>
      </c>
      <c r="E40" s="21">
        <f t="shared" si="13"/>
        <v>0.13118929127270712</v>
      </c>
      <c r="F40" s="20">
        <f>I40/D40</f>
        <v>18.36178742506862</v>
      </c>
      <c r="G40" s="19">
        <f>F40/C40-1</f>
        <v>-1.3832418411051317E-2</v>
      </c>
      <c r="H40" s="18">
        <f>SUM(H34:H39)</f>
        <v>39707.599999999999</v>
      </c>
      <c r="I40" s="18">
        <f>SUM(I34:I39)</f>
        <v>39158.347862701339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2360</v>
      </c>
      <c r="E42" s="107">
        <f>D42/$D$48</f>
        <v>0.1451780584280169</v>
      </c>
      <c r="F42" s="28">
        <f>C42-(C42*$E$6)</f>
        <v>0.39446703263557947</v>
      </c>
      <c r="G42" s="27" t="str">
        <f>IF(C42&gt;=F42,"-","+")</f>
        <v>-</v>
      </c>
      <c r="H42" s="26">
        <f>C42*D42</f>
        <v>944</v>
      </c>
      <c r="I42" s="26">
        <f>F42*D42</f>
        <v>930.94219701996758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89.6</v>
      </c>
      <c r="E43" s="107">
        <f>D43/$D$48</f>
        <v>5.5118449301484376E-3</v>
      </c>
      <c r="F43" s="28">
        <f>C43-(C43*$E$6)</f>
        <v>0.39446703263557947</v>
      </c>
      <c r="G43" s="27" t="str">
        <f>IF(C43&gt;=F43,"-","+")</f>
        <v>-</v>
      </c>
      <c r="H43" s="26">
        <f>C43*D43</f>
        <v>35.839999999999996</v>
      </c>
      <c r="I43" s="26">
        <f>F43*D43</f>
        <v>35.344246124147915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4.5999999999999996</v>
      </c>
      <c r="E45" s="107">
        <f>D45/$D$48</f>
        <v>2.8297418168172784E-4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0.39925026485209036</v>
      </c>
      <c r="D46" s="22">
        <f>SUM(D41:D45)</f>
        <v>2454.1999999999998</v>
      </c>
      <c r="E46" s="21">
        <f>D46/$D$48</f>
        <v>0.15097287753984703</v>
      </c>
      <c r="F46" s="20">
        <f>I46/D46</f>
        <v>0.3937276681379332</v>
      </c>
      <c r="G46" s="19">
        <f>F46/C46-1</f>
        <v>-1.3832418411051317E-2</v>
      </c>
      <c r="H46" s="18">
        <f>SUM(H41:H44)</f>
        <v>979.84</v>
      </c>
      <c r="I46" s="18">
        <f>SUM(I41:I44)</f>
        <v>966.28644314411554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99.065434126367975</v>
      </c>
      <c r="D48" s="13">
        <f>D24+D32+D40+D46</f>
        <v>16255.900000000001</v>
      </c>
      <c r="E48" s="12">
        <f>SUM(E20:E46)/2</f>
        <v>0.99999999999999978</v>
      </c>
      <c r="F48" s="11">
        <f>I48/D48</f>
        <v>26.574702660860218</v>
      </c>
      <c r="G48" s="10"/>
      <c r="H48" s="9">
        <f>SUM(H20:H46)/2</f>
        <v>438055.07</v>
      </c>
      <c r="I48" s="9">
        <f>SUM(I20:I46)/2</f>
        <v>431995.70898467768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16348.199999999999</v>
      </c>
      <c r="E50" s="12">
        <f>D50/G2</f>
        <v>1.0000305853422804</v>
      </c>
      <c r="F50" s="11">
        <f>I50/D50</f>
        <v>26.599186454777904</v>
      </c>
      <c r="G50" s="10"/>
      <c r="H50" s="9">
        <f>H48+H19</f>
        <v>440948.2</v>
      </c>
      <c r="I50" s="9">
        <f>I48+I19</f>
        <v>434848.82000000012</v>
      </c>
      <c r="J50" s="106">
        <f>D50-G2</f>
        <v>0.49999999999818101</v>
      </c>
      <c r="K50" s="8"/>
    </row>
    <row r="51" spans="1:11" ht="23.25" x14ac:dyDescent="0.35">
      <c r="A51" s="174" t="s">
        <v>239</v>
      </c>
      <c r="B51" s="169"/>
      <c r="C51" s="170"/>
      <c r="G51" s="7"/>
      <c r="H51" s="6"/>
      <c r="I51" s="6">
        <f>+I50/D50</f>
        <v>26.599186454777904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92D050"/>
  </sheetPr>
  <dimension ref="A1:K56"/>
  <sheetViews>
    <sheetView topLeftCell="A5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238</v>
      </c>
      <c r="D1" s="100" t="s">
        <v>1</v>
      </c>
      <c r="E1" s="168" t="s">
        <v>240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238</v>
      </c>
      <c r="D2" s="96" t="s">
        <v>3</v>
      </c>
      <c r="E2" s="95" t="s">
        <v>112</v>
      </c>
      <c r="F2" s="94" t="s">
        <v>5</v>
      </c>
      <c r="G2" s="93">
        <v>7334.5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104</v>
      </c>
      <c r="F3" s="88" t="s">
        <v>8</v>
      </c>
      <c r="G3" s="87">
        <v>21.8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5</v>
      </c>
      <c r="D4" s="83" t="s">
        <v>11</v>
      </c>
      <c r="E4" s="82">
        <f>G2/E3</f>
        <v>70.524038461538467</v>
      </c>
      <c r="F4" s="81" t="s">
        <v>12</v>
      </c>
      <c r="G4" s="80">
        <f>G2*G3</f>
        <v>159892.1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-5.9756799315359377E-2</v>
      </c>
      <c r="F6" s="69" t="s">
        <v>16</v>
      </c>
      <c r="G6" s="68">
        <f>(I50-I19)/(D50-(SUM(D42:D44)+D19))</f>
        <v>27.254180373975146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21.8</v>
      </c>
      <c r="D10" s="30"/>
      <c r="E10" s="29" t="e">
        <f t="shared" ref="E10:E19" si="1">D10/$D$19</f>
        <v>#DIV/0!</v>
      </c>
      <c r="F10" s="28">
        <f t="shared" ref="F10:F18" si="2">C10-(C10*$E$6)</f>
        <v>23.102698225074835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22.7</v>
      </c>
      <c r="D11" s="30"/>
      <c r="E11" s="29" t="e">
        <f t="shared" si="1"/>
        <v>#DIV/0!</v>
      </c>
      <c r="F11" s="28">
        <f t="shared" si="2"/>
        <v>24.056479344458658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20.7</v>
      </c>
      <c r="D12" s="30"/>
      <c r="E12" s="29" t="e">
        <f t="shared" si="1"/>
        <v>#DIV/0!</v>
      </c>
      <c r="F12" s="28">
        <f t="shared" si="2"/>
        <v>21.936965745827937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22.7</v>
      </c>
      <c r="D13" s="30"/>
      <c r="E13" s="29" t="e">
        <f t="shared" si="1"/>
        <v>#DIV/0!</v>
      </c>
      <c r="F13" s="28">
        <f t="shared" si="2"/>
        <v>24.056479344458658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25.4</v>
      </c>
      <c r="D14" s="30"/>
      <c r="E14" s="29" t="e">
        <f t="shared" si="1"/>
        <v>#DIV/0!</v>
      </c>
      <c r="F14" s="28">
        <f t="shared" si="2"/>
        <v>26.917822702610128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20.9</v>
      </c>
      <c r="D15" s="30"/>
      <c r="E15" s="29" t="e">
        <f t="shared" si="1"/>
        <v>#DIV/0!</v>
      </c>
      <c r="F15" s="28">
        <f t="shared" si="2"/>
        <v>22.148917105691009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28.6</v>
      </c>
      <c r="D16" s="30"/>
      <c r="E16" s="29" t="e">
        <f t="shared" si="1"/>
        <v>#DIV/0!</v>
      </c>
      <c r="F16" s="28">
        <f t="shared" si="2"/>
        <v>30.30904446041928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42.2</v>
      </c>
      <c r="D17" s="30"/>
      <c r="E17" s="29" t="e">
        <f t="shared" si="1"/>
        <v>#DIV/0!</v>
      </c>
      <c r="F17" s="28">
        <f t="shared" si="2"/>
        <v>44.721736931108168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36.9</v>
      </c>
      <c r="D18" s="30"/>
      <c r="E18" s="29" t="e">
        <f t="shared" si="1"/>
        <v>#DIV/0!</v>
      </c>
      <c r="F18" s="28">
        <f t="shared" si="2"/>
        <v>39.105025894736762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54.8</v>
      </c>
      <c r="D21" s="30">
        <v>97.6</v>
      </c>
      <c r="E21" s="29">
        <f>D21/$D$48</f>
        <v>1.3306973890517415E-2</v>
      </c>
      <c r="F21" s="28">
        <f>C21-(C21*$E$6)</f>
        <v>58.074672602481691</v>
      </c>
      <c r="G21" s="27" t="str">
        <f>IF(C21&gt;=F21,"-","+")</f>
        <v>+</v>
      </c>
      <c r="H21" s="26">
        <f>C21*D21</f>
        <v>5348.48</v>
      </c>
      <c r="I21" s="26">
        <f>F21*D21</f>
        <v>5668.0880460022126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36.799999999999997</v>
      </c>
      <c r="D22" s="30">
        <v>175.2</v>
      </c>
      <c r="E22" s="29">
        <f>D22/$D$48</f>
        <v>2.3887108869043557E-2</v>
      </c>
      <c r="F22" s="28">
        <f>C22-(C22*$E$6)</f>
        <v>38.999050214805223</v>
      </c>
      <c r="G22" s="27" t="str">
        <f>IF(C22&gt;=F22,"-","+")</f>
        <v>+</v>
      </c>
      <c r="H22" s="26">
        <f>C22*D22</f>
        <v>6447.3599999999988</v>
      </c>
      <c r="I22" s="26">
        <f>F22*D22</f>
        <v>6832.6335976338742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33.6</v>
      </c>
      <c r="D23" s="30">
        <v>208.2</v>
      </c>
      <c r="E23" s="29">
        <f>D23/$D$48</f>
        <v>2.8386393073829157E-2</v>
      </c>
      <c r="F23" s="28">
        <f>C23-(C23*$E$6)</f>
        <v>35.607828456996074</v>
      </c>
      <c r="G23" s="27" t="str">
        <f>IF(C23&gt;=F23,"-","+")</f>
        <v>+</v>
      </c>
      <c r="H23" s="26">
        <f>C23*D23</f>
        <v>6995.5199999999995</v>
      </c>
      <c r="I23" s="26">
        <f>F23*D23</f>
        <v>7413.5498847465824</v>
      </c>
      <c r="J23" s="25"/>
      <c r="K23" s="25"/>
    </row>
    <row r="24" spans="1:11" x14ac:dyDescent="0.25">
      <c r="A24" s="24" t="s">
        <v>34</v>
      </c>
      <c r="B24" s="23"/>
      <c r="C24" s="20">
        <f>H24/D24</f>
        <v>39.067276507276503</v>
      </c>
      <c r="D24" s="22">
        <f>SUM(D21:D23)</f>
        <v>480.99999999999994</v>
      </c>
      <c r="E24" s="21">
        <f>D24/$D$48</f>
        <v>6.558047583339012E-2</v>
      </c>
      <c r="F24" s="20">
        <f>I24/D24</f>
        <v>41.401811909319484</v>
      </c>
      <c r="G24" s="19">
        <f>F24/C24-1</f>
        <v>5.9756799315359599E-2</v>
      </c>
      <c r="H24" s="18">
        <f>SUM(H21:H23)</f>
        <v>18791.359999999997</v>
      </c>
      <c r="I24" s="18">
        <f>SUM(I21:I23)</f>
        <v>19914.271528382669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29.3</v>
      </c>
      <c r="D26" s="30">
        <v>1308</v>
      </c>
      <c r="E26" s="29">
        <f t="shared" ref="E26:E32" si="7">D26/$D$48</f>
        <v>0.17833526484422932</v>
      </c>
      <c r="F26" s="28">
        <f t="shared" ref="F26:F31" si="8">C26-(C26*$E$6)</f>
        <v>31.050874219940031</v>
      </c>
      <c r="G26" s="27" t="str">
        <f t="shared" ref="G26:G31" si="9">IF(C26&gt;=F26,"-","+")</f>
        <v>+</v>
      </c>
      <c r="H26" s="26">
        <f t="shared" ref="H26:H31" si="10">C26*D26</f>
        <v>38324.400000000001</v>
      </c>
      <c r="I26" s="26">
        <f t="shared" ref="I26:I31" si="11">F26*D26</f>
        <v>40614.543479681561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26.1</v>
      </c>
      <c r="D27" s="30">
        <v>1071.5999999999999</v>
      </c>
      <c r="E27" s="29">
        <f t="shared" si="7"/>
        <v>0.14610402890449245</v>
      </c>
      <c r="F27" s="28">
        <f t="shared" si="8"/>
        <v>27.659652462130882</v>
      </c>
      <c r="G27" s="27" t="str">
        <f t="shared" si="9"/>
        <v>+</v>
      </c>
      <c r="H27" s="26">
        <f t="shared" si="10"/>
        <v>27968.76</v>
      </c>
      <c r="I27" s="26">
        <f t="shared" si="11"/>
        <v>29640.08357841945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26.1</v>
      </c>
      <c r="D28" s="30">
        <v>731.4</v>
      </c>
      <c r="E28" s="29">
        <f t="shared" si="7"/>
        <v>9.9720499011520886E-2</v>
      </c>
      <c r="F28" s="28">
        <f t="shared" si="8"/>
        <v>27.659652462130882</v>
      </c>
      <c r="G28" s="27" t="str">
        <f t="shared" si="9"/>
        <v>+</v>
      </c>
      <c r="H28" s="26">
        <f t="shared" si="10"/>
        <v>19089.54</v>
      </c>
      <c r="I28" s="26">
        <f t="shared" si="11"/>
        <v>20230.269810802525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25.2</v>
      </c>
      <c r="D29" s="30">
        <v>641</v>
      </c>
      <c r="E29" s="29">
        <f t="shared" si="7"/>
        <v>8.7395187129320331E-2</v>
      </c>
      <c r="F29" s="28">
        <f t="shared" si="8"/>
        <v>26.705871342747056</v>
      </c>
      <c r="G29" s="27" t="str">
        <f t="shared" si="9"/>
        <v>+</v>
      </c>
      <c r="H29" s="26">
        <f t="shared" si="10"/>
        <v>16153.199999999999</v>
      </c>
      <c r="I29" s="26">
        <f t="shared" si="11"/>
        <v>17118.463530700861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25.2</v>
      </c>
      <c r="D30" s="30">
        <v>416.8</v>
      </c>
      <c r="E30" s="29">
        <f t="shared" si="7"/>
        <v>5.6827322925898149E-2</v>
      </c>
      <c r="F30" s="28">
        <f t="shared" si="8"/>
        <v>26.705871342747056</v>
      </c>
      <c r="G30" s="27" t="str">
        <f t="shared" si="9"/>
        <v>+</v>
      </c>
      <c r="H30" s="26">
        <f t="shared" si="10"/>
        <v>10503.36</v>
      </c>
      <c r="I30" s="26">
        <f t="shared" si="11"/>
        <v>11131.007175656972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25.6</v>
      </c>
      <c r="D31" s="30">
        <v>104.8</v>
      </c>
      <c r="E31" s="29">
        <f t="shared" si="7"/>
        <v>1.4288635898834274E-2</v>
      </c>
      <c r="F31" s="28">
        <f t="shared" si="8"/>
        <v>27.129774062473203</v>
      </c>
      <c r="G31" s="27" t="str">
        <f t="shared" si="9"/>
        <v>+</v>
      </c>
      <c r="H31" s="26">
        <f t="shared" si="10"/>
        <v>2682.88</v>
      </c>
      <c r="I31" s="26">
        <f t="shared" si="11"/>
        <v>2843.2003217471915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26.844379445900412</v>
      </c>
      <c r="D32" s="22">
        <f>SUM(D26:D31)</f>
        <v>4273.6000000000004</v>
      </c>
      <c r="E32" s="21">
        <f t="shared" si="7"/>
        <v>0.58267093871429543</v>
      </c>
      <c r="F32" s="20">
        <f>I32/D32</f>
        <v>28.448513641194435</v>
      </c>
      <c r="G32" s="19">
        <f>F32/C32-1</f>
        <v>5.9756799315359155E-2</v>
      </c>
      <c r="H32" s="18">
        <f>SUM(H26:H31)</f>
        <v>114722.14000000001</v>
      </c>
      <c r="I32" s="18">
        <f>SUM(I26:I31)</f>
        <v>121577.56789700854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15.4</v>
      </c>
      <c r="D34" s="30">
        <f>539.8+492.9</f>
        <v>1032.6999999999998</v>
      </c>
      <c r="E34" s="29">
        <f t="shared" ref="E34:E40" si="13">D34/$D$48</f>
        <v>0.1408003272206694</v>
      </c>
      <c r="F34" s="28">
        <f t="shared" ref="F34:F39" si="14">C34-(C34*$E$6)</f>
        <v>16.320254709456535</v>
      </c>
      <c r="G34" s="27" t="str">
        <f t="shared" ref="G34:G39" si="15">IF(C34&gt;=F34,"-","+")</f>
        <v>+</v>
      </c>
      <c r="H34" s="26">
        <f t="shared" ref="H34:H39" si="16">C34*D34</f>
        <v>15903.579999999998</v>
      </c>
      <c r="I34" s="26">
        <f t="shared" ref="I34:I39" si="17">F34*D34</f>
        <v>16853.92703845576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11.8</v>
      </c>
      <c r="D35" s="30">
        <v>73.900000000000006</v>
      </c>
      <c r="E35" s="29">
        <f t="shared" si="13"/>
        <v>1.0075669779807757E-2</v>
      </c>
      <c r="F35" s="28">
        <f t="shared" si="14"/>
        <v>12.505130231921241</v>
      </c>
      <c r="G35" s="27" t="str">
        <f t="shared" si="15"/>
        <v>+</v>
      </c>
      <c r="H35" s="26">
        <f t="shared" si="16"/>
        <v>872.0200000000001</v>
      </c>
      <c r="I35" s="26">
        <f t="shared" si="17"/>
        <v>924.12912413897971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9.5</v>
      </c>
      <c r="D36" s="30"/>
      <c r="E36" s="29">
        <f t="shared" si="13"/>
        <v>0</v>
      </c>
      <c r="F36" s="28">
        <f t="shared" si="14"/>
        <v>10.067689593495913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25.2</v>
      </c>
      <c r="D37" s="30"/>
      <c r="E37" s="29">
        <f t="shared" si="13"/>
        <v>0</v>
      </c>
      <c r="F37" s="28">
        <f t="shared" si="14"/>
        <v>26.705871342747056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25.2</v>
      </c>
      <c r="D38" s="30"/>
      <c r="E38" s="29">
        <f t="shared" si="13"/>
        <v>0</v>
      </c>
      <c r="F38" s="28">
        <f t="shared" si="14"/>
        <v>26.705871342747056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26.1</v>
      </c>
      <c r="D39" s="30"/>
      <c r="E39" s="29">
        <f t="shared" si="13"/>
        <v>0</v>
      </c>
      <c r="F39" s="28">
        <f t="shared" si="14"/>
        <v>27.659652462130882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15.159587926983553</v>
      </c>
      <c r="D40" s="22">
        <f>SUM(D34:D39)</f>
        <v>1106.5999999999999</v>
      </c>
      <c r="E40" s="21">
        <f t="shared" si="13"/>
        <v>0.15087599700047716</v>
      </c>
      <c r="F40" s="20">
        <f>I40/D40</f>
        <v>16.065476380439854</v>
      </c>
      <c r="G40" s="19">
        <f>F40/C40-1</f>
        <v>5.9756799315359377E-2</v>
      </c>
      <c r="H40" s="18">
        <f>SUM(H34:H39)</f>
        <v>16775.599999999999</v>
      </c>
      <c r="I40" s="18">
        <f>SUM(I34:I39)</f>
        <v>17778.056162594741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703+85.9+635.9</f>
        <v>1424.8</v>
      </c>
      <c r="E42" s="107">
        <f>D42/$D$48</f>
        <v>0.19426000409025834</v>
      </c>
      <c r="F42" s="28">
        <f>C42-(C42*$E$6)</f>
        <v>0.4239027197261438</v>
      </c>
      <c r="G42" s="27" t="str">
        <f>IF(C42&gt;=F42,"-","+")</f>
        <v>+</v>
      </c>
      <c r="H42" s="26">
        <f>C42*D42</f>
        <v>569.91999999999996</v>
      </c>
      <c r="I42" s="26">
        <f>F42*D42</f>
        <v>603.97659506580965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43</v>
      </c>
      <c r="E43" s="107">
        <f>D43/$D$48</f>
        <v>5.8627036607812382E-3</v>
      </c>
      <c r="F43" s="28">
        <f>C43-(C43*$E$6)</f>
        <v>0.4239027197261438</v>
      </c>
      <c r="G43" s="27" t="str">
        <f>IF(C43&gt;=F43,"-","+")</f>
        <v>+</v>
      </c>
      <c r="H43" s="26">
        <f>C43*D43</f>
        <v>17.2</v>
      </c>
      <c r="I43" s="26">
        <f>F43*D43</f>
        <v>18.227816948224184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5.5</v>
      </c>
      <c r="E45" s="107">
        <f>D45/$D$48</f>
        <v>7.4988070079760026E-4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0.39850675354646037</v>
      </c>
      <c r="D46" s="22">
        <f>SUM(D41:D45)</f>
        <v>1473.3</v>
      </c>
      <c r="E46" s="21">
        <f>D46/$D$48</f>
        <v>0.20087258845183717</v>
      </c>
      <c r="F46" s="20">
        <f>I46/D46</f>
        <v>0.42232024164395154</v>
      </c>
      <c r="G46" s="19">
        <f>F46/C46-1</f>
        <v>5.9756799315359377E-2</v>
      </c>
      <c r="H46" s="18">
        <f>SUM(H41:H44)</f>
        <v>587.12</v>
      </c>
      <c r="I46" s="18">
        <f>SUM(I41:I44)</f>
        <v>622.20441201403378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81.469750633706923</v>
      </c>
      <c r="D48" s="13">
        <f>D24+D32+D40+D46</f>
        <v>7334.5000000000009</v>
      </c>
      <c r="E48" s="12">
        <f>SUM(E20:E46)/2</f>
        <v>0.99999999999999989</v>
      </c>
      <c r="F48" s="11">
        <f>I48/D48</f>
        <v>21.799999999999994</v>
      </c>
      <c r="G48" s="10"/>
      <c r="H48" s="9">
        <f>SUM(H20:H46)/2</f>
        <v>150876.22</v>
      </c>
      <c r="I48" s="9">
        <f>SUM(I20:I46)/2</f>
        <v>159892.09999999998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7334.5</v>
      </c>
      <c r="E50" s="12">
        <f>D50/G2</f>
        <v>1</v>
      </c>
      <c r="F50" s="11">
        <f>I50/D50</f>
        <v>21.799999999999997</v>
      </c>
      <c r="G50" s="10"/>
      <c r="H50" s="9">
        <f>H48+H19</f>
        <v>150876.22</v>
      </c>
      <c r="I50" s="9">
        <f>I48+I19</f>
        <v>159892.09999999998</v>
      </c>
      <c r="J50" s="106">
        <f>D50-G2</f>
        <v>0</v>
      </c>
      <c r="K50" s="8"/>
    </row>
    <row r="51" spans="1:11" ht="23.25" x14ac:dyDescent="0.35">
      <c r="A51" s="174" t="s">
        <v>242</v>
      </c>
      <c r="B51" s="169"/>
      <c r="C51" s="170"/>
      <c r="G51" s="7"/>
      <c r="H51" s="6"/>
      <c r="I51" s="6">
        <f>+I50/D50</f>
        <v>21.799999999999997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92D050"/>
  </sheetPr>
  <dimension ref="A1:K56"/>
  <sheetViews>
    <sheetView topLeftCell="A23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243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243</v>
      </c>
      <c r="D2" s="96" t="s">
        <v>3</v>
      </c>
      <c r="E2" s="95" t="s">
        <v>71</v>
      </c>
      <c r="F2" s="94" t="s">
        <v>5</v>
      </c>
      <c r="G2" s="93">
        <v>15531.9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244</v>
      </c>
      <c r="D3" s="90" t="s">
        <v>7</v>
      </c>
      <c r="E3" s="89">
        <v>215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72.241395348837202</v>
      </c>
      <c r="F4" s="81" t="s">
        <v>12</v>
      </c>
      <c r="G4" s="80">
        <f>G2*G3</f>
        <v>411595.35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-1.0957567671490809E-2</v>
      </c>
      <c r="F6" s="69" t="s">
        <v>16</v>
      </c>
      <c r="G6" s="68">
        <f>(I50-I19)/(D50-(SUM(D42:D44)+D19))</f>
        <v>31.716318368856612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 t="e">
        <f t="shared" ref="E10:E19" si="1">D10/$D$19</f>
        <v>#DIV/0!</v>
      </c>
      <c r="F10" s="28">
        <f t="shared" ref="F10:F18" si="2">C10-(C10*$E$6)</f>
        <v>26.790375543294505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 t="e">
        <f t="shared" si="1"/>
        <v>#DIV/0!</v>
      </c>
      <c r="F11" s="28">
        <f t="shared" si="2"/>
        <v>27.902428867733146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 t="e">
        <f t="shared" si="1"/>
        <v>#DIV/0!</v>
      </c>
      <c r="F12" s="28">
        <f t="shared" si="2"/>
        <v>25.476130705321566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 t="e">
        <f t="shared" si="1"/>
        <v>#DIV/0!</v>
      </c>
      <c r="F13" s="28">
        <f t="shared" si="2"/>
        <v>27.902428867733146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 t="e">
        <f t="shared" si="1"/>
        <v>#DIV/0!</v>
      </c>
      <c r="F14" s="28">
        <f t="shared" si="2"/>
        <v>31.238588841049065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/>
      <c r="E15" s="29" t="e">
        <f t="shared" si="1"/>
        <v>#DIV/0!</v>
      </c>
      <c r="F15" s="28">
        <f t="shared" si="2"/>
        <v>25.678322218855865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 t="e">
        <f t="shared" si="1"/>
        <v>#DIV/0!</v>
      </c>
      <c r="F16" s="28">
        <f t="shared" si="2"/>
        <v>35.18132335496788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/>
      <c r="E17" s="29" t="e">
        <f t="shared" si="1"/>
        <v>#DIV/0!</v>
      </c>
      <c r="F17" s="28">
        <f t="shared" si="2"/>
        <v>51.862123221547478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 t="e">
        <f t="shared" si="1"/>
        <v>#DIV/0!</v>
      </c>
      <c r="F18" s="28">
        <f t="shared" si="2"/>
        <v>45.391994788449935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>
        <v>198.2</v>
      </c>
      <c r="E21" s="29">
        <f>D21/$D$48</f>
        <v>1.2760834154224529E-2</v>
      </c>
      <c r="F21" s="28">
        <f>C21-(C21*$E$6)</f>
        <v>67.329774006921284</v>
      </c>
      <c r="G21" s="27" t="str">
        <f>IF(C21&gt;=F21,"-","+")</f>
        <v>+</v>
      </c>
      <c r="H21" s="26">
        <f>C21*D21</f>
        <v>13200.119999999999</v>
      </c>
      <c r="I21" s="26">
        <f>F21*D21</f>
        <v>13344.761208171798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408.4</v>
      </c>
      <c r="E22" s="29">
        <f>D22/$D$48</f>
        <v>2.629427178902774E-2</v>
      </c>
      <c r="F22" s="28">
        <f>C22-(C22*$E$6)</f>
        <v>45.290899031682784</v>
      </c>
      <c r="G22" s="27" t="str">
        <f>IF(C22&gt;=F22,"-","+")</f>
        <v>+</v>
      </c>
      <c r="H22" s="26">
        <f>C22*D22</f>
        <v>18296.319999999996</v>
      </c>
      <c r="I22" s="26">
        <f>F22*D22</f>
        <v>18496.803164539248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>
        <v>400.6</v>
      </c>
      <c r="E23" s="29">
        <f>D23/$D$48</f>
        <v>2.57920795266516E-2</v>
      </c>
      <c r="F23" s="28">
        <f>C23-(C23*$E$6)</f>
        <v>41.247068760996825</v>
      </c>
      <c r="G23" s="27" t="str">
        <f>IF(C23&gt;=F23,"-","+")</f>
        <v>+</v>
      </c>
      <c r="H23" s="26">
        <f>C23*D23</f>
        <v>16344.48</v>
      </c>
      <c r="I23" s="26">
        <f>F23*D23</f>
        <v>16523.575745655329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47.498927720413029</v>
      </c>
      <c r="D24" s="22">
        <f>SUM(D21:D23)</f>
        <v>1007.1999999999999</v>
      </c>
      <c r="E24" s="21">
        <f>D24/$D$48</f>
        <v>6.4847185469903867E-2</v>
      </c>
      <c r="F24" s="20">
        <f>I24/D24</f>
        <v>48.019400435232697</v>
      </c>
      <c r="G24" s="19">
        <f>F24/C24-1</f>
        <v>1.0957567671490587E-2</v>
      </c>
      <c r="H24" s="18">
        <f>SUM(H21:H23)</f>
        <v>47840.92</v>
      </c>
      <c r="I24" s="18">
        <f>SUM(I21:I23)</f>
        <v>48365.140118366369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>
        <v>3251.8</v>
      </c>
      <c r="E26" s="29">
        <f t="shared" ref="E26:E32" si="7">D26/$D$48</f>
        <v>0.20936266651214597</v>
      </c>
      <c r="F26" s="28">
        <f t="shared" ref="F26:F31" si="8">C26-(C26*$E$6)</f>
        <v>35.990089409105074</v>
      </c>
      <c r="G26" s="27" t="str">
        <f t="shared" ref="G26:G31" si="9">IF(C26&gt;=F26,"-","+")</f>
        <v>+</v>
      </c>
      <c r="H26" s="26">
        <f t="shared" ref="H26:H31" si="10">C26*D26</f>
        <v>115764.08000000002</v>
      </c>
      <c r="I26" s="26">
        <f t="shared" ref="I26:I31" si="11">F26*D26</f>
        <v>117032.57274052789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2084.1999999999998</v>
      </c>
      <c r="E27" s="29">
        <f t="shared" si="7"/>
        <v>0.13418834785184039</v>
      </c>
      <c r="F27" s="28">
        <f t="shared" si="8"/>
        <v>32.04735489518626</v>
      </c>
      <c r="G27" s="27" t="str">
        <f t="shared" si="9"/>
        <v>+</v>
      </c>
      <c r="H27" s="26">
        <f t="shared" si="10"/>
        <v>66069.14</v>
      </c>
      <c r="I27" s="26">
        <f t="shared" si="11"/>
        <v>66793.0970725472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1494</v>
      </c>
      <c r="E28" s="29">
        <f t="shared" si="7"/>
        <v>9.6189133332045651E-2</v>
      </c>
      <c r="F28" s="28">
        <f t="shared" si="8"/>
        <v>32.04735489518626</v>
      </c>
      <c r="G28" s="27" t="str">
        <f t="shared" si="9"/>
        <v>+</v>
      </c>
      <c r="H28" s="26">
        <f t="shared" si="10"/>
        <v>47359.799999999996</v>
      </c>
      <c r="I28" s="26">
        <f t="shared" si="11"/>
        <v>47878.748213408275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1152.2</v>
      </c>
      <c r="E29" s="29">
        <f t="shared" si="7"/>
        <v>7.4182810860229584E-2</v>
      </c>
      <c r="F29" s="28">
        <f t="shared" si="8"/>
        <v>30.935301570747619</v>
      </c>
      <c r="G29" s="27" t="str">
        <f t="shared" si="9"/>
        <v>+</v>
      </c>
      <c r="H29" s="26">
        <f t="shared" si="10"/>
        <v>35257.32</v>
      </c>
      <c r="I29" s="26">
        <f t="shared" si="11"/>
        <v>35643.65446981541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>
        <v>1127.4000000000001</v>
      </c>
      <c r="E30" s="29">
        <f t="shared" si="7"/>
        <v>7.2586097000366986E-2</v>
      </c>
      <c r="F30" s="28">
        <f t="shared" si="8"/>
        <v>30.935301570747619</v>
      </c>
      <c r="G30" s="27" t="str">
        <f t="shared" si="9"/>
        <v>+</v>
      </c>
      <c r="H30" s="26">
        <f t="shared" si="10"/>
        <v>34498.44</v>
      </c>
      <c r="I30" s="26">
        <f t="shared" si="11"/>
        <v>34876.458990860869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>
        <v>476.6</v>
      </c>
      <c r="E31" s="29">
        <f t="shared" si="7"/>
        <v>3.0685234903649907E-2</v>
      </c>
      <c r="F31" s="28">
        <f t="shared" si="8"/>
        <v>31.440780354583367</v>
      </c>
      <c r="G31" s="27" t="str">
        <f t="shared" si="9"/>
        <v>+</v>
      </c>
      <c r="H31" s="26">
        <f t="shared" si="10"/>
        <v>14822.260000000002</v>
      </c>
      <c r="I31" s="26">
        <f t="shared" si="11"/>
        <v>14984.675916994434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32.73153491477332</v>
      </c>
      <c r="D32" s="22">
        <f>SUM(D26:D31)</f>
        <v>9586.2000000000007</v>
      </c>
      <c r="E32" s="21">
        <f t="shared" si="7"/>
        <v>0.61719429046027852</v>
      </c>
      <c r="F32" s="20">
        <f>I32/D32</f>
        <v>33.090192923593719</v>
      </c>
      <c r="G32" s="19">
        <f>F32/C32-1</f>
        <v>1.0957567671491031E-2</v>
      </c>
      <c r="H32" s="18">
        <f>SUM(H26:H31)</f>
        <v>313771.04000000004</v>
      </c>
      <c r="I32" s="18">
        <f>SUM(I26:I31)</f>
        <v>317209.20740415412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2379.6999999999998</v>
      </c>
      <c r="E34" s="29">
        <f t="shared" ref="E34:E40" si="13">D34/$D$48</f>
        <v>0.15321370856109037</v>
      </c>
      <c r="F34" s="28">
        <f t="shared" ref="F34:F39" si="14">C34-(C34*$E$6)</f>
        <v>18.904906515456876</v>
      </c>
      <c r="G34" s="27" t="str">
        <f t="shared" ref="G34:G39" si="15">IF(C34&gt;=F34,"-","+")</f>
        <v>+</v>
      </c>
      <c r="H34" s="26">
        <f t="shared" ref="H34:H39" si="16">C34*D34</f>
        <v>44500.389999999992</v>
      </c>
      <c r="I34" s="26">
        <f t="shared" ref="I34:I39" si="17">F34*D34</f>
        <v>44988.006034832724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/>
      <c r="E35" s="29">
        <f t="shared" si="13"/>
        <v>0</v>
      </c>
      <c r="F35" s="28">
        <f t="shared" si="14"/>
        <v>14.557788974469467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11.727107784989293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30.935301570747619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30.935301570747619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32.04735489518626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2379.6999999999998</v>
      </c>
      <c r="E40" s="21">
        <f t="shared" si="13"/>
        <v>0.15321370856109037</v>
      </c>
      <c r="F40" s="20">
        <f>I40/D40</f>
        <v>18.904906515456876</v>
      </c>
      <c r="G40" s="19">
        <f>F40/C40-1</f>
        <v>1.0957567671490809E-2</v>
      </c>
      <c r="H40" s="18">
        <f>SUM(H34:H39)</f>
        <v>44500.389999999992</v>
      </c>
      <c r="I40" s="18">
        <f>SUM(I34:I39)</f>
        <v>44988.006034832724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2420</v>
      </c>
      <c r="E42" s="107">
        <f>D42/$D$48</f>
        <v>0.15580836858336711</v>
      </c>
      <c r="F42" s="28">
        <f>C42-(C42*$E$6)</f>
        <v>0.40438302706859636</v>
      </c>
      <c r="G42" s="27" t="str">
        <f>IF(C42&gt;=F42,"-","+")</f>
        <v>+</v>
      </c>
      <c r="H42" s="26">
        <f>C42*D42</f>
        <v>968</v>
      </c>
      <c r="I42" s="26">
        <f>F42*D42</f>
        <v>978.60692550600322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134.5</v>
      </c>
      <c r="E43" s="107">
        <f>D43/$D$48</f>
        <v>8.6595973448193708E-3</v>
      </c>
      <c r="F43" s="28">
        <f>C43-(C43*$E$6)</f>
        <v>0.40438302706859636</v>
      </c>
      <c r="G43" s="27" t="str">
        <f>IF(C43&gt;=F43,"-","+")</f>
        <v>+</v>
      </c>
      <c r="H43" s="26">
        <f>C43*D43</f>
        <v>53.800000000000004</v>
      </c>
      <c r="I43" s="26">
        <f>F43*D43</f>
        <v>54.389517140726213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4.3</v>
      </c>
      <c r="E45" s="107">
        <f>D45/$D$48</f>
        <v>2.7684958054069361E-4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0.39932780991089567</v>
      </c>
      <c r="D46" s="22">
        <f>SUM(D41:D45)</f>
        <v>2558.8000000000002</v>
      </c>
      <c r="E46" s="21">
        <f>D46/$D$48</f>
        <v>0.16474481550872719</v>
      </c>
      <c r="F46" s="20">
        <f>I46/D46</f>
        <v>0.40370347141110263</v>
      </c>
      <c r="G46" s="19">
        <f>F46/C46-1</f>
        <v>1.0957567671491031E-2</v>
      </c>
      <c r="H46" s="18">
        <f>SUM(H41:H44)</f>
        <v>1021.8</v>
      </c>
      <c r="I46" s="18">
        <f>SUM(I41:I44)</f>
        <v>1032.9964426467295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99.329790445097245</v>
      </c>
      <c r="D48" s="13">
        <f>D24+D32+D40+D46</f>
        <v>15531.900000000001</v>
      </c>
      <c r="E48" s="12">
        <f>SUM(E20:E46)/2</f>
        <v>1</v>
      </c>
      <c r="F48" s="11">
        <f>I48/D48</f>
        <v>26.499999999999989</v>
      </c>
      <c r="G48" s="10"/>
      <c r="H48" s="9">
        <f>SUM(H20:H46)/2</f>
        <v>407134.15000000008</v>
      </c>
      <c r="I48" s="9">
        <f>SUM(I20:I46)/2</f>
        <v>411595.34999999986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15531.900000000001</v>
      </c>
      <c r="E50" s="12">
        <f>D50/G2</f>
        <v>1.0000000000000002</v>
      </c>
      <c r="F50" s="11">
        <f>I50/D50</f>
        <v>26.499999999999989</v>
      </c>
      <c r="G50" s="10"/>
      <c r="H50" s="9">
        <f>H48+H19</f>
        <v>407134.15000000008</v>
      </c>
      <c r="I50" s="9">
        <f>I48+I19</f>
        <v>411595.34999999986</v>
      </c>
      <c r="J50" s="106">
        <f>D50-G2</f>
        <v>0</v>
      </c>
      <c r="K50" s="8"/>
    </row>
    <row r="51" spans="1:11" ht="23.25" x14ac:dyDescent="0.35">
      <c r="A51" s="174" t="s">
        <v>245</v>
      </c>
      <c r="B51" s="169"/>
      <c r="C51" s="170"/>
      <c r="G51" s="7"/>
      <c r="H51" s="6"/>
      <c r="I51" s="6">
        <f>+I50/D50</f>
        <v>26.499999999999989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243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243</v>
      </c>
      <c r="D2" s="96" t="s">
        <v>3</v>
      </c>
      <c r="E2" s="95" t="s">
        <v>71</v>
      </c>
      <c r="F2" s="94" t="s">
        <v>5</v>
      </c>
      <c r="G2" s="93">
        <v>14108.8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244</v>
      </c>
      <c r="D3" s="90" t="s">
        <v>7</v>
      </c>
      <c r="E3" s="89">
        <v>185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76.263783783783779</v>
      </c>
      <c r="F4" s="81" t="s">
        <v>12</v>
      </c>
      <c r="G4" s="80">
        <f>G2*G3</f>
        <v>373883.19999999995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-1.3438269430455119E-2</v>
      </c>
      <c r="F6" s="69" t="s">
        <v>16</v>
      </c>
      <c r="G6" s="68">
        <f>(I50-I19)/(D50-(SUM(D42:D44)+D19))</f>
        <v>31.597727919554305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26.85611413990706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>
        <v>973.9</v>
      </c>
      <c r="E11" s="29">
        <f t="shared" si="1"/>
        <v>0.27547874296382202</v>
      </c>
      <c r="F11" s="28">
        <f t="shared" si="2"/>
        <v>27.970896236280563</v>
      </c>
      <c r="G11" s="27" t="str">
        <f t="shared" si="3"/>
        <v>+</v>
      </c>
      <c r="H11" s="34">
        <f t="shared" si="4"/>
        <v>26879.64</v>
      </c>
      <c r="I11" s="34">
        <f t="shared" si="5"/>
        <v>27240.85584451364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>
        <v>2184.4</v>
      </c>
      <c r="E12" s="29">
        <f t="shared" si="1"/>
        <v>0.61788249936356177</v>
      </c>
      <c r="F12" s="28">
        <f t="shared" si="2"/>
        <v>25.53864438964747</v>
      </c>
      <c r="G12" s="27" t="str">
        <f t="shared" si="3"/>
        <v>+</v>
      </c>
      <c r="H12" s="34">
        <f t="shared" si="4"/>
        <v>55046.879999999997</v>
      </c>
      <c r="I12" s="34">
        <f t="shared" si="5"/>
        <v>55786.614804745936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27.970896236280563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>
        <v>147</v>
      </c>
      <c r="E14" s="29">
        <f t="shared" si="1"/>
        <v>4.1580629649534691E-2</v>
      </c>
      <c r="F14" s="28">
        <f t="shared" si="2"/>
        <v>31.315242525401061</v>
      </c>
      <c r="G14" s="27" t="str">
        <f t="shared" si="3"/>
        <v>+</v>
      </c>
      <c r="H14" s="34">
        <f t="shared" si="4"/>
        <v>4542.3</v>
      </c>
      <c r="I14" s="34">
        <f t="shared" si="5"/>
        <v>4603.3406512339561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>
        <v>230</v>
      </c>
      <c r="E15" s="29">
        <f t="shared" si="1"/>
        <v>6.5058128023081488E-2</v>
      </c>
      <c r="F15" s="28">
        <f t="shared" si="2"/>
        <v>25.741332043533557</v>
      </c>
      <c r="G15" s="27" t="str">
        <f t="shared" si="3"/>
        <v>+</v>
      </c>
      <c r="H15" s="34">
        <f t="shared" si="4"/>
        <v>5842</v>
      </c>
      <c r="I15" s="34">
        <f t="shared" si="5"/>
        <v>5920.5063700127184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>
        <f t="shared" si="1"/>
        <v>0</v>
      </c>
      <c r="F16" s="28">
        <f t="shared" si="2"/>
        <v>35.267651776179832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/>
      <c r="E17" s="29">
        <f t="shared" si="1"/>
        <v>0</v>
      </c>
      <c r="F17" s="28">
        <f t="shared" si="2"/>
        <v>51.989383221782347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45.503378297427432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26.111170197720135</v>
      </c>
      <c r="D19" s="49">
        <f>SUM(D10:D18)</f>
        <v>3535.3</v>
      </c>
      <c r="E19" s="48">
        <f t="shared" si="1"/>
        <v>1</v>
      </c>
      <c r="F19" s="47">
        <f>I19/D19</f>
        <v>26.462059137981569</v>
      </c>
      <c r="G19" s="46">
        <f>F19/C19-1</f>
        <v>1.3438269430455119E-2</v>
      </c>
      <c r="H19" s="9">
        <f>SUM(H10:H18)</f>
        <v>92310.819999999992</v>
      </c>
      <c r="I19" s="9">
        <f>SUM(I10:I18)</f>
        <v>93551.317670506251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>
        <v>124.4</v>
      </c>
      <c r="E21" s="29">
        <f>D21/$D$48</f>
        <v>1.1765373484404261E-2</v>
      </c>
      <c r="F21" s="28">
        <f>C21-(C21*$E$6)</f>
        <v>67.494988744068309</v>
      </c>
      <c r="G21" s="27" t="str">
        <f>IF(C21&gt;=F21,"-","+")</f>
        <v>+</v>
      </c>
      <c r="H21" s="26">
        <f>C21*D21</f>
        <v>8285.0399999999991</v>
      </c>
      <c r="I21" s="26">
        <f>F21*D21</f>
        <v>8396.3765997620976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310.7</v>
      </c>
      <c r="E22" s="29">
        <f>D22/$D$48</f>
        <v>2.9385060623829611E-2</v>
      </c>
      <c r="F22" s="28">
        <f>C22-(C22*$E$6)</f>
        <v>45.402034470484388</v>
      </c>
      <c r="G22" s="27" t="str">
        <f>IF(C22&gt;=F22,"-","+")</f>
        <v>+</v>
      </c>
      <c r="H22" s="26">
        <f>C22*D22</f>
        <v>13919.359999999999</v>
      </c>
      <c r="I22" s="26">
        <f>F22*D22</f>
        <v>14106.412109979499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>
        <v>254.9</v>
      </c>
      <c r="E23" s="29">
        <f>D23/$D$48</f>
        <v>2.4107666408156318E-2</v>
      </c>
      <c r="F23" s="28">
        <f>C23-(C23*$E$6)</f>
        <v>41.348281392762566</v>
      </c>
      <c r="G23" s="27" t="str">
        <f>IF(C23&gt;=F23,"-","+")</f>
        <v>+</v>
      </c>
      <c r="H23" s="26">
        <f>C23*D23</f>
        <v>10399.92</v>
      </c>
      <c r="I23" s="26">
        <f>F23*D23</f>
        <v>10539.676927015178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47.25263768115942</v>
      </c>
      <c r="D24" s="22">
        <f>SUM(D21:D23)</f>
        <v>690</v>
      </c>
      <c r="E24" s="21">
        <f>D24/$D$48</f>
        <v>6.5258100516390194E-2</v>
      </c>
      <c r="F24" s="20">
        <f>I24/D24</f>
        <v>47.88763135761851</v>
      </c>
      <c r="G24" s="19">
        <f>F24/C24-1</f>
        <v>1.3438269430454897E-2</v>
      </c>
      <c r="H24" s="18">
        <f>SUM(H21:H23)</f>
        <v>32604.32</v>
      </c>
      <c r="I24" s="18">
        <f>SUM(I21:I23)</f>
        <v>33042.465636756773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>
        <v>1816.7</v>
      </c>
      <c r="E26" s="29">
        <f t="shared" ref="E26:E32" si="7">D26/$D$48</f>
        <v>0.17181795827264645</v>
      </c>
      <c r="F26" s="28">
        <f t="shared" ref="F26:F31" si="8">C26-(C26*$E$6)</f>
        <v>36.078402391724204</v>
      </c>
      <c r="G26" s="27" t="str">
        <f t="shared" ref="G26:G31" si="9">IF(C26&gt;=F26,"-","+")</f>
        <v>+</v>
      </c>
      <c r="H26" s="26">
        <f t="shared" ref="H26:H31" si="10">C26*D26</f>
        <v>64674.520000000004</v>
      </c>
      <c r="I26" s="26">
        <f t="shared" ref="I26:I31" si="11">F26*D26</f>
        <v>65543.633625045361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f>1480.8+208.2-25</f>
        <v>1664</v>
      </c>
      <c r="E27" s="29">
        <f t="shared" si="7"/>
        <v>0.15737605689749751</v>
      </c>
      <c r="F27" s="28">
        <f t="shared" si="8"/>
        <v>32.125993140945425</v>
      </c>
      <c r="G27" s="27" t="str">
        <f t="shared" si="9"/>
        <v>+</v>
      </c>
      <c r="H27" s="26">
        <f t="shared" si="10"/>
        <v>52748.799999999996</v>
      </c>
      <c r="I27" s="26">
        <f t="shared" si="11"/>
        <v>53457.652586533186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f>1423.4-208.2-101.6</f>
        <v>1113.6000000000001</v>
      </c>
      <c r="E28" s="29">
        <f t="shared" si="7"/>
        <v>0.10532089961601757</v>
      </c>
      <c r="F28" s="28">
        <f t="shared" si="8"/>
        <v>32.125993140945425</v>
      </c>
      <c r="G28" s="27" t="str">
        <f t="shared" si="9"/>
        <v>+</v>
      </c>
      <c r="H28" s="26">
        <f t="shared" si="10"/>
        <v>35301.120000000003</v>
      </c>
      <c r="I28" s="26">
        <f t="shared" si="11"/>
        <v>35775.505961756833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f>897.8+101.6</f>
        <v>999.4</v>
      </c>
      <c r="E29" s="29">
        <f t="shared" si="7"/>
        <v>9.4520211095768622E-2</v>
      </c>
      <c r="F29" s="28">
        <f t="shared" si="8"/>
        <v>31.01121104457193</v>
      </c>
      <c r="G29" s="27" t="str">
        <f t="shared" si="9"/>
        <v>+</v>
      </c>
      <c r="H29" s="26">
        <f t="shared" si="10"/>
        <v>30581.64</v>
      </c>
      <c r="I29" s="26">
        <f t="shared" si="11"/>
        <v>30992.604317945184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>
        <f>68.8+739</f>
        <v>807.8</v>
      </c>
      <c r="E30" s="29">
        <f t="shared" si="7"/>
        <v>7.6399266082811584E-2</v>
      </c>
      <c r="F30" s="28">
        <f t="shared" si="8"/>
        <v>31.01121104457193</v>
      </c>
      <c r="G30" s="27" t="str">
        <f t="shared" si="9"/>
        <v>+</v>
      </c>
      <c r="H30" s="26">
        <f t="shared" si="10"/>
        <v>24718.68</v>
      </c>
      <c r="I30" s="26">
        <f t="shared" si="11"/>
        <v>25050.856281805205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>
        <f>187.6</f>
        <v>187.6</v>
      </c>
      <c r="E31" s="29">
        <f t="shared" si="7"/>
        <v>1.774263718387652E-2</v>
      </c>
      <c r="F31" s="28">
        <f t="shared" si="8"/>
        <v>31.517930179287156</v>
      </c>
      <c r="G31" s="27" t="str">
        <f t="shared" si="9"/>
        <v>+</v>
      </c>
      <c r="H31" s="26">
        <f t="shared" si="10"/>
        <v>5834.36</v>
      </c>
      <c r="I31" s="26">
        <f t="shared" si="11"/>
        <v>5912.7637016342705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32.456499370171947</v>
      </c>
      <c r="D32" s="22">
        <f>SUM(D26:D31)</f>
        <v>6589.1</v>
      </c>
      <c r="E32" s="21">
        <f t="shared" si="7"/>
        <v>0.62317702914861828</v>
      </c>
      <c r="F32" s="20">
        <f>I32/D32</f>
        <v>32.892658553477723</v>
      </c>
      <c r="G32" s="19">
        <f>F32/C32-1</f>
        <v>1.3438269430455341E-2</v>
      </c>
      <c r="H32" s="18">
        <f>SUM(H26:H31)</f>
        <v>213859.12</v>
      </c>
      <c r="I32" s="18">
        <f>SUM(I26:I31)</f>
        <v>216733.01647472006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1533</v>
      </c>
      <c r="E34" s="29">
        <f t="shared" ref="E34:E40" si="13">D34/$D$48</f>
        <v>0.14498647549511037</v>
      </c>
      <c r="F34" s="28">
        <f t="shared" ref="F34:F39" si="14">C34-(C34*$E$6)</f>
        <v>18.95129563834951</v>
      </c>
      <c r="G34" s="27" t="str">
        <f t="shared" ref="G34:G39" si="15">IF(C34&gt;=F34,"-","+")</f>
        <v>+</v>
      </c>
      <c r="H34" s="26">
        <f t="shared" ref="H34:H39" si="16">C34*D34</f>
        <v>28667.1</v>
      </c>
      <c r="I34" s="26">
        <f t="shared" ref="I34:I39" si="17">F34*D34</f>
        <v>29052.336213589799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55.8</v>
      </c>
      <c r="E35" s="29">
        <f t="shared" si="13"/>
        <v>5.2773942156732929E-3</v>
      </c>
      <c r="F35" s="28">
        <f t="shared" si="14"/>
        <v>14.593511079798555</v>
      </c>
      <c r="G35" s="27" t="str">
        <f t="shared" si="15"/>
        <v>+</v>
      </c>
      <c r="H35" s="26">
        <f t="shared" si="16"/>
        <v>803.52</v>
      </c>
      <c r="I35" s="26">
        <f t="shared" si="17"/>
        <v>814.31791825275934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11.755883925393279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31.01121104457193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31.01121104457193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32.125993140945425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18.548980362537765</v>
      </c>
      <c r="D40" s="22">
        <f>SUM(D34:D39)</f>
        <v>1588.8</v>
      </c>
      <c r="E40" s="21">
        <f t="shared" si="13"/>
        <v>0.15026386971078368</v>
      </c>
      <c r="F40" s="20">
        <f>I40/D40</f>
        <v>18.798246558309767</v>
      </c>
      <c r="G40" s="19">
        <f>F40/C40-1</f>
        <v>1.3438269430455119E-2</v>
      </c>
      <c r="H40" s="18">
        <f>SUM(H34:H39)</f>
        <v>29470.62</v>
      </c>
      <c r="I40" s="18">
        <f>SUM(I34:I39)</f>
        <v>29866.654131842559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1629+25</f>
        <v>1654</v>
      </c>
      <c r="E42" s="107">
        <f>D42/$D$48</f>
        <v>0.15643028732479619</v>
      </c>
      <c r="F42" s="28">
        <f>C42-(C42*$E$6)</f>
        <v>0.40537530777218206</v>
      </c>
      <c r="G42" s="27" t="str">
        <f>IF(C42&gt;=F42,"-","+")</f>
        <v>+</v>
      </c>
      <c r="H42" s="26">
        <f>C42*D42</f>
        <v>661.6</v>
      </c>
      <c r="I42" s="26">
        <f>F42*D42</f>
        <v>670.49075905518907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47.5</v>
      </c>
      <c r="E43" s="107">
        <f>D43/$D$48</f>
        <v>4.4924054703312085E-3</v>
      </c>
      <c r="F43" s="28">
        <f>C43-(C43*$E$6)</f>
        <v>0.40537530777218206</v>
      </c>
      <c r="G43" s="27" t="str">
        <f>IF(C43&gt;=F43,"-","+")</f>
        <v>+</v>
      </c>
      <c r="H43" s="26">
        <f>C43*D43</f>
        <v>19</v>
      </c>
      <c r="I43" s="26">
        <f>F43*D43</f>
        <v>19.255327119178649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3.7830782908052286E-4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0.39906185869246558</v>
      </c>
      <c r="D46" s="22">
        <f>SUM(D41:D45)</f>
        <v>1705.5</v>
      </c>
      <c r="E46" s="21">
        <f>D46/$D$48</f>
        <v>0.16130100062420794</v>
      </c>
      <c r="F46" s="20">
        <f>I46/D46</f>
        <v>0.40442455946899308</v>
      </c>
      <c r="G46" s="19">
        <f>F46/C46-1</f>
        <v>1.3438269430454897E-2</v>
      </c>
      <c r="H46" s="18">
        <f>SUM(H41:H44)</f>
        <v>680.6</v>
      </c>
      <c r="I46" s="18">
        <f>SUM(I41:I44)</f>
        <v>689.74608617436775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98.657179272561592</v>
      </c>
      <c r="D48" s="13">
        <f>D24+D32+D40+D46</f>
        <v>10573.4</v>
      </c>
      <c r="E48" s="12">
        <f>SUM(E20:E46)/2</f>
        <v>1</v>
      </c>
      <c r="F48" s="11">
        <f>I48/D48</f>
        <v>26.51293645653184</v>
      </c>
      <c r="G48" s="10"/>
      <c r="H48" s="9">
        <f>SUM(H20:H46)/2</f>
        <v>276614.65999999997</v>
      </c>
      <c r="I48" s="9">
        <f>SUM(I20:I46)/2</f>
        <v>280331.88232949376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14108.699999999999</v>
      </c>
      <c r="E50" s="12">
        <f>D50/G2</f>
        <v>0.99999291222499431</v>
      </c>
      <c r="F50" s="11">
        <f>I50/D50</f>
        <v>26.500187827368933</v>
      </c>
      <c r="G50" s="10"/>
      <c r="H50" s="9">
        <f>H48+H19</f>
        <v>368925.48</v>
      </c>
      <c r="I50" s="9">
        <f>I48+I19</f>
        <v>373883.2</v>
      </c>
      <c r="J50" s="106">
        <f>D50-G2</f>
        <v>-0.1000000000003638</v>
      </c>
      <c r="K50" s="8"/>
    </row>
    <row r="51" spans="1:11" ht="23.25" x14ac:dyDescent="0.35">
      <c r="A51" s="174" t="s">
        <v>246</v>
      </c>
      <c r="B51" s="169"/>
      <c r="C51" s="170"/>
      <c r="G51" s="7"/>
      <c r="H51" s="6"/>
      <c r="I51" s="6">
        <f>+I50/D50</f>
        <v>26.500187827368933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225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243</v>
      </c>
      <c r="D2" s="96" t="s">
        <v>3</v>
      </c>
      <c r="E2" s="95" t="s">
        <v>71</v>
      </c>
      <c r="F2" s="94" t="s">
        <v>5</v>
      </c>
      <c r="G2" s="93">
        <v>134.80000000000001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2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5</v>
      </c>
      <c r="D4" s="83" t="s">
        <v>11</v>
      </c>
      <c r="E4" s="82">
        <f>G2/E3</f>
        <v>67.400000000000006</v>
      </c>
      <c r="F4" s="81" t="s">
        <v>12</v>
      </c>
      <c r="G4" s="80">
        <f>G2*G3</f>
        <v>3538.5000000000005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-8.2977619978459316E-3</v>
      </c>
      <c r="F6" s="69" t="s">
        <v>16</v>
      </c>
      <c r="G6" s="68">
        <f>(I50-I19)/(D50-(SUM(D42:D44)+D19))</f>
        <v>30.719191732822701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>
        <f t="shared" ref="E10:E19" si="1">D10/$D$19</f>
        <v>0</v>
      </c>
      <c r="F10" s="28">
        <f t="shared" ref="F10:F18" si="2">C10-(C10*$E$6)</f>
        <v>26.51823114054335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>
        <f t="shared" si="1"/>
        <v>0</v>
      </c>
      <c r="F11" s="28">
        <f t="shared" si="2"/>
        <v>27.526528902541195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>
        <f t="shared" si="1"/>
        <v>0</v>
      </c>
      <c r="F12" s="28">
        <f t="shared" si="2"/>
        <v>25.207444049946147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>
        <f t="shared" si="1"/>
        <v>0</v>
      </c>
      <c r="F13" s="28">
        <f t="shared" si="2"/>
        <v>27.526528902541195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>
        <v>43</v>
      </c>
      <c r="E14" s="29">
        <f t="shared" si="1"/>
        <v>1</v>
      </c>
      <c r="F14" s="28">
        <f t="shared" si="2"/>
        <v>30.853911517134087</v>
      </c>
      <c r="G14" s="27" t="str">
        <f t="shared" si="3"/>
        <v>+</v>
      </c>
      <c r="H14" s="34">
        <f t="shared" si="4"/>
        <v>1315.8</v>
      </c>
      <c r="I14" s="34">
        <f t="shared" si="5"/>
        <v>1326.7181952367657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>
        <f t="shared" si="1"/>
        <v>0</v>
      </c>
      <c r="F15" s="28">
        <f t="shared" si="2"/>
        <v>25.409103602345716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>
        <f t="shared" si="1"/>
        <v>0</v>
      </c>
      <c r="F16" s="28">
        <f t="shared" si="2"/>
        <v>34.786272788925686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>
        <f t="shared" si="1"/>
        <v>0</v>
      </c>
      <c r="F17" s="28">
        <f t="shared" si="2"/>
        <v>51.221526309490571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>
        <f t="shared" si="1"/>
        <v>0</v>
      </c>
      <c r="F18" s="28">
        <f t="shared" si="2"/>
        <v>44.869250408904144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30.599999999999998</v>
      </c>
      <c r="D19" s="49">
        <f>SUM(D10:D18)</f>
        <v>43</v>
      </c>
      <c r="E19" s="48">
        <f t="shared" si="1"/>
        <v>1</v>
      </c>
      <c r="F19" s="47">
        <f>I19/D19</f>
        <v>30.853911517134087</v>
      </c>
      <c r="G19" s="46">
        <f>F19/C19-1</f>
        <v>8.2977619978459316E-3</v>
      </c>
      <c r="H19" s="9">
        <f>SUM(H10:H18)</f>
        <v>1315.8</v>
      </c>
      <c r="I19" s="9">
        <f>SUM(I10:I18)</f>
        <v>1326.7181952367657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1.7</v>
      </c>
      <c r="E21" s="29">
        <f>D21/$D$48</f>
        <v>1.8579234972677595E-2</v>
      </c>
      <c r="F21" s="28">
        <f>C21-(C21*$E$6)</f>
        <v>66.54765229185783</v>
      </c>
      <c r="G21" s="27" t="str">
        <f>IF(C21&gt;=F21,"-","+")</f>
        <v>+</v>
      </c>
      <c r="H21" s="26">
        <f>C21*D21</f>
        <v>112.2</v>
      </c>
      <c r="I21" s="26">
        <f>F21*D21</f>
        <v>113.13100889615831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3.8</v>
      </c>
      <c r="E22" s="29">
        <f>D22/$D$48</f>
        <v>4.1530054644808738E-2</v>
      </c>
      <c r="F22" s="28">
        <f>C22-(C22*$E$6)</f>
        <v>44.667590856504575</v>
      </c>
      <c r="G22" s="27" t="str">
        <f>IF(C22&gt;=F22,"-","+")</f>
        <v>+</v>
      </c>
      <c r="H22" s="26">
        <f>C22*D22</f>
        <v>168.33999999999997</v>
      </c>
      <c r="I22" s="26">
        <f>F22*D22</f>
        <v>169.73684525471737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3.2</v>
      </c>
      <c r="E23" s="29">
        <f>D23/$D$48</f>
        <v>3.4972677595628415E-2</v>
      </c>
      <c r="F23" s="28">
        <f>C23-(C23*$E$6)</f>
        <v>40.735229584712975</v>
      </c>
      <c r="G23" s="27" t="str">
        <f>IF(C23&gt;=F23,"-","+")</f>
        <v>+</v>
      </c>
      <c r="H23" s="26">
        <f>C23*D23</f>
        <v>129.28</v>
      </c>
      <c r="I23" s="26">
        <f>F23*D23</f>
        <v>130.35273467108152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47.105747126436775</v>
      </c>
      <c r="D24" s="22">
        <f>SUM(D21:D23)</f>
        <v>8.6999999999999993</v>
      </c>
      <c r="E24" s="21">
        <f>D24/$D$48</f>
        <v>9.5081967213114751E-2</v>
      </c>
      <c r="F24" s="20">
        <f>I24/D24</f>
        <v>47.496619404822674</v>
      </c>
      <c r="G24" s="19">
        <f>F24/C24-1</f>
        <v>8.2977619978461536E-3</v>
      </c>
      <c r="H24" s="18">
        <f>SUM(H21:H23)</f>
        <v>409.81999999999994</v>
      </c>
      <c r="I24" s="18">
        <f>SUM(I21:I23)</f>
        <v>413.22058882195722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/>
      <c r="E26" s="29">
        <f t="shared" ref="E26:E32" si="7">D26/$D$48</f>
        <v>0</v>
      </c>
      <c r="F26" s="28">
        <f t="shared" ref="F26:F31" si="8">C26-(C26*$E$6)</f>
        <v>35.492081222324181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16.8</v>
      </c>
      <c r="E27" s="29">
        <f t="shared" si="7"/>
        <v>0.1836065573770492</v>
      </c>
      <c r="F27" s="28">
        <f t="shared" si="8"/>
        <v>31.660549726732359</v>
      </c>
      <c r="G27" s="27" t="str">
        <f t="shared" si="9"/>
        <v>+</v>
      </c>
      <c r="H27" s="26">
        <f t="shared" si="10"/>
        <v>527.52</v>
      </c>
      <c r="I27" s="26">
        <f t="shared" si="11"/>
        <v>531.8972354091037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12</v>
      </c>
      <c r="E28" s="29">
        <f t="shared" si="7"/>
        <v>0.13114754098360656</v>
      </c>
      <c r="F28" s="28">
        <f t="shared" si="8"/>
        <v>31.660549726732359</v>
      </c>
      <c r="G28" s="27" t="str">
        <f t="shared" si="9"/>
        <v>+</v>
      </c>
      <c r="H28" s="26">
        <f t="shared" si="10"/>
        <v>376.79999999999995</v>
      </c>
      <c r="I28" s="26">
        <f t="shared" si="11"/>
        <v>379.92659672078833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11</v>
      </c>
      <c r="E29" s="29">
        <f t="shared" si="7"/>
        <v>0.12021857923497267</v>
      </c>
      <c r="F29" s="28">
        <f t="shared" si="8"/>
        <v>30.551422188534733</v>
      </c>
      <c r="G29" s="27" t="str">
        <f t="shared" si="9"/>
        <v>+</v>
      </c>
      <c r="H29" s="26">
        <f t="shared" si="10"/>
        <v>333.3</v>
      </c>
      <c r="I29" s="26">
        <f t="shared" si="11"/>
        <v>336.06564407388208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8</v>
      </c>
      <c r="E30" s="29">
        <f t="shared" si="7"/>
        <v>8.7431693989071038E-2</v>
      </c>
      <c r="F30" s="28">
        <f t="shared" si="8"/>
        <v>30.551422188534733</v>
      </c>
      <c r="G30" s="27" t="str">
        <f t="shared" si="9"/>
        <v>+</v>
      </c>
      <c r="H30" s="26">
        <f t="shared" si="10"/>
        <v>242.4</v>
      </c>
      <c r="I30" s="26">
        <f t="shared" si="11"/>
        <v>244.41137750827787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1.8</v>
      </c>
      <c r="E31" s="29">
        <f t="shared" si="7"/>
        <v>1.9672131147540985E-2</v>
      </c>
      <c r="F31" s="28">
        <f t="shared" si="8"/>
        <v>31.055571069533656</v>
      </c>
      <c r="G31" s="27" t="str">
        <f t="shared" si="9"/>
        <v>+</v>
      </c>
      <c r="H31" s="26">
        <f t="shared" si="10"/>
        <v>55.440000000000005</v>
      </c>
      <c r="I31" s="26">
        <f t="shared" si="11"/>
        <v>55.900027925160579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30.956854838709681</v>
      </c>
      <c r="D32" s="22">
        <f>SUM(D26:D31)</f>
        <v>49.599999999999994</v>
      </c>
      <c r="E32" s="21">
        <f t="shared" si="7"/>
        <v>0.5420765027322404</v>
      </c>
      <c r="F32" s="20">
        <f>I32/D32</f>
        <v>31.213727452363162</v>
      </c>
      <c r="G32" s="19">
        <f>F32/C32-1</f>
        <v>8.2977619978459316E-3</v>
      </c>
      <c r="H32" s="18">
        <f>SUM(H26:H31)</f>
        <v>1535.46</v>
      </c>
      <c r="I32" s="18">
        <f>SUM(I26:I31)</f>
        <v>1548.2008816372127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13</v>
      </c>
      <c r="E34" s="29">
        <f t="shared" ref="E34:E40" si="13">D34/$D$48</f>
        <v>0.14207650273224043</v>
      </c>
      <c r="F34" s="28">
        <f t="shared" ref="F34:F39" si="14">C34-(C34*$E$6)</f>
        <v>18.653508596960151</v>
      </c>
      <c r="G34" s="27" t="str">
        <f t="shared" ref="G34:G39" si="15">IF(C34&gt;=F34,"-","+")</f>
        <v>+</v>
      </c>
      <c r="H34" s="26">
        <f t="shared" ref="H34:H39" si="16">C34*D34</f>
        <v>240.5</v>
      </c>
      <c r="I34" s="26">
        <f t="shared" ref="I34:I39" si="17">F34*D34</f>
        <v>242.49561176048195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14.418657996569198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11.595424262975229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30.551422188534733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30.551422188534733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31.660549726732359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</v>
      </c>
      <c r="D40" s="22">
        <f>SUM(D34:D39)</f>
        <v>13</v>
      </c>
      <c r="E40" s="21">
        <f t="shared" si="13"/>
        <v>0.14207650273224043</v>
      </c>
      <c r="F40" s="20">
        <f>I40/D40</f>
        <v>18.653508596960151</v>
      </c>
      <c r="G40" s="19">
        <f>F40/C40-1</f>
        <v>8.2977619978459316E-3</v>
      </c>
      <c r="H40" s="18">
        <f>SUM(H34:H39)</f>
        <v>240.5</v>
      </c>
      <c r="I40" s="18">
        <f>SUM(I34:I39)</f>
        <v>242.49561176048195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</v>
      </c>
      <c r="E42" s="107">
        <f>D42/$D$48</f>
        <v>0.20765027322404372</v>
      </c>
      <c r="F42" s="28">
        <f>C42-(C42*$E$6)</f>
        <v>0.40331910479913841</v>
      </c>
      <c r="G42" s="27" t="str">
        <f>IF(C42&gt;=F42,"-","+")</f>
        <v>+</v>
      </c>
      <c r="H42" s="26">
        <f>C42*D42</f>
        <v>7.6000000000000005</v>
      </c>
      <c r="I42" s="26">
        <f>F42*D42</f>
        <v>7.6630629911836294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0.5</v>
      </c>
      <c r="E43" s="107">
        <f>D43/$D$48</f>
        <v>5.4644808743169399E-3</v>
      </c>
      <c r="F43" s="28">
        <f>C43-(C43*$E$6)</f>
        <v>0.40331910479913841</v>
      </c>
      <c r="G43" s="27" t="str">
        <f>IF(C43&gt;=F43,"-","+")</f>
        <v>+</v>
      </c>
      <c r="H43" s="26">
        <f>C43*D43</f>
        <v>0.2</v>
      </c>
      <c r="I43" s="26">
        <f>F43*D43</f>
        <v>0.2016595523995692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0.7</v>
      </c>
      <c r="E45" s="107">
        <f>D45/$D$48</f>
        <v>7.650273224043715E-3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0.3861386138613862</v>
      </c>
      <c r="D46" s="22">
        <f>SUM(D41:D45)</f>
        <v>20.2</v>
      </c>
      <c r="E46" s="21">
        <f>D46/$D$48</f>
        <v>0.22076502732240436</v>
      </c>
      <c r="F46" s="20">
        <f>I46/D46</f>
        <v>0.38934270017738609</v>
      </c>
      <c r="G46" s="19">
        <f>F46/C46-1</f>
        <v>8.2977619978459316E-3</v>
      </c>
      <c r="H46" s="18">
        <f>SUM(H41:H44)</f>
        <v>7.8000000000000007</v>
      </c>
      <c r="I46" s="18">
        <f>SUM(I41:I44)</f>
        <v>7.8647225435831984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96.948740579007847</v>
      </c>
      <c r="D48" s="13">
        <f>D24+D32+D40+D46</f>
        <v>91.5</v>
      </c>
      <c r="E48" s="12">
        <f>SUM(E20:E46)/2</f>
        <v>1</v>
      </c>
      <c r="F48" s="11">
        <f>I48/D48</f>
        <v>24.172478740581798</v>
      </c>
      <c r="G48" s="10"/>
      <c r="H48" s="9">
        <f>SUM(H20:H46)/2</f>
        <v>2193.58</v>
      </c>
      <c r="I48" s="9">
        <f>SUM(I20:I46)/2</f>
        <v>2211.7818047632345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134.5</v>
      </c>
      <c r="E50" s="12">
        <f>D50/G2</f>
        <v>0.99777448071216612</v>
      </c>
      <c r="F50" s="11">
        <f>I50/D50</f>
        <v>26.308550185873607</v>
      </c>
      <c r="G50" s="10"/>
      <c r="H50" s="9">
        <f>H48+H19</f>
        <v>3509.38</v>
      </c>
      <c r="I50" s="9">
        <f>I48+I19</f>
        <v>3538.5</v>
      </c>
      <c r="J50" s="106">
        <f>D50-G2</f>
        <v>-0.30000000000001137</v>
      </c>
      <c r="K50" s="8"/>
    </row>
    <row r="51" spans="1:11" ht="23.25" x14ac:dyDescent="0.35">
      <c r="A51" s="174" t="s">
        <v>247</v>
      </c>
      <c r="B51" s="169"/>
      <c r="C51" s="170"/>
      <c r="G51" s="7"/>
      <c r="H51" s="6"/>
      <c r="I51" s="6">
        <f>+I50/D50</f>
        <v>26.308550185873607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243</v>
      </c>
      <c r="D1" s="100" t="s">
        <v>1</v>
      </c>
      <c r="E1" s="168" t="s">
        <v>233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243</v>
      </c>
      <c r="D2" s="96" t="s">
        <v>3</v>
      </c>
      <c r="E2" s="95" t="s">
        <v>112</v>
      </c>
      <c r="F2" s="94" t="s">
        <v>5</v>
      </c>
      <c r="G2" s="93">
        <v>879.3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194</v>
      </c>
      <c r="D3" s="90" t="s">
        <v>7</v>
      </c>
      <c r="E3" s="89">
        <v>16</v>
      </c>
      <c r="F3" s="88" t="s">
        <v>8</v>
      </c>
      <c r="G3" s="87">
        <v>20.93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54.956249999999997</v>
      </c>
      <c r="F4" s="81" t="s">
        <v>12</v>
      </c>
      <c r="G4" s="80">
        <f>G2*G3</f>
        <v>18403.749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-8.1132384715431938E-2</v>
      </c>
      <c r="F6" s="69" t="s">
        <v>16</v>
      </c>
      <c r="G6" s="68">
        <f>(I50-I19)/(D50-(SUM(D42:D44)+D19))</f>
        <v>27.854925079461175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20.9</v>
      </c>
      <c r="D10" s="30"/>
      <c r="E10" s="29" t="e">
        <f t="shared" ref="E10:E19" si="1">D10/$D$19</f>
        <v>#DIV/0!</v>
      </c>
      <c r="F10" s="28">
        <f t="shared" ref="F10:F18" si="2">C10-(C10*$E$6)</f>
        <v>22.595666840552525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21.8</v>
      </c>
      <c r="D11" s="30"/>
      <c r="E11" s="29" t="e">
        <f t="shared" si="1"/>
        <v>#DIV/0!</v>
      </c>
      <c r="F11" s="28">
        <f t="shared" si="2"/>
        <v>23.568685986796417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19.899999999999999</v>
      </c>
      <c r="D12" s="30"/>
      <c r="E12" s="29" t="e">
        <f t="shared" si="1"/>
        <v>#DIV/0!</v>
      </c>
      <c r="F12" s="28">
        <f t="shared" si="2"/>
        <v>21.514534455837094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21.8</v>
      </c>
      <c r="D13" s="30"/>
      <c r="E13" s="29" t="e">
        <f t="shared" si="1"/>
        <v>#DIV/0!</v>
      </c>
      <c r="F13" s="28">
        <f t="shared" si="2"/>
        <v>23.568685986796417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24.4</v>
      </c>
      <c r="D14" s="30"/>
      <c r="E14" s="29" t="e">
        <f t="shared" si="1"/>
        <v>#DIV/0!</v>
      </c>
      <c r="F14" s="28">
        <f t="shared" si="2"/>
        <v>26.379630187056538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20.100000000000001</v>
      </c>
      <c r="D15" s="30"/>
      <c r="E15" s="29" t="e">
        <f t="shared" si="1"/>
        <v>#DIV/0!</v>
      </c>
      <c r="F15" s="28">
        <f t="shared" si="2"/>
        <v>21.730760932780182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27.5</v>
      </c>
      <c r="D16" s="30"/>
      <c r="E16" s="29" t="e">
        <f t="shared" si="1"/>
        <v>#DIV/0!</v>
      </c>
      <c r="F16" s="28">
        <f t="shared" si="2"/>
        <v>29.731140579674378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40.5</v>
      </c>
      <c r="D17" s="30"/>
      <c r="E17" s="29" t="e">
        <f t="shared" si="1"/>
        <v>#DIV/0!</v>
      </c>
      <c r="F17" s="28">
        <f t="shared" si="2"/>
        <v>43.785861580974995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35.5</v>
      </c>
      <c r="D18" s="30"/>
      <c r="E18" s="29" t="e">
        <f t="shared" si="1"/>
        <v>#DIV/0!</v>
      </c>
      <c r="F18" s="28">
        <f t="shared" si="2"/>
        <v>38.380199657397831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52.6</v>
      </c>
      <c r="D21" s="30">
        <v>14.6</v>
      </c>
      <c r="E21" s="29">
        <f>D21/$D$48</f>
        <v>1.6604116911179349E-2</v>
      </c>
      <c r="F21" s="28">
        <f>C21-(C21*$E$6)</f>
        <v>56.867563436031723</v>
      </c>
      <c r="G21" s="27" t="str">
        <f>IF(C21&gt;=F21,"-","+")</f>
        <v>+</v>
      </c>
      <c r="H21" s="26">
        <f>C21*D21</f>
        <v>767.96</v>
      </c>
      <c r="I21" s="26">
        <f>F21*D21</f>
        <v>830.26642616606318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35.4</v>
      </c>
      <c r="D22" s="30">
        <v>22.4</v>
      </c>
      <c r="E22" s="29">
        <f>D22/$D$48</f>
        <v>2.5474809507562833E-2</v>
      </c>
      <c r="F22" s="28">
        <f>C22-(C22*$E$6)</f>
        <v>38.272086418926293</v>
      </c>
      <c r="G22" s="27" t="str">
        <f>IF(C22&gt;=F22,"-","+")</f>
        <v>+</v>
      </c>
      <c r="H22" s="26">
        <f>C22*D22</f>
        <v>792.95999999999992</v>
      </c>
      <c r="I22" s="26">
        <f>F22*D22</f>
        <v>857.29473578394891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32.200000000000003</v>
      </c>
      <c r="D23" s="30">
        <v>21.8</v>
      </c>
      <c r="E23" s="29">
        <f>D23/$D$48</f>
        <v>2.4792448538610259E-2</v>
      </c>
      <c r="F23" s="28">
        <f>C23-(C23*$E$6)</f>
        <v>34.812462787836914</v>
      </c>
      <c r="G23" s="27" t="str">
        <f>IF(C23&gt;=F23,"-","+")</f>
        <v>+</v>
      </c>
      <c r="H23" s="26">
        <f>C23*D23</f>
        <v>701.96</v>
      </c>
      <c r="I23" s="26">
        <f>F23*D23</f>
        <v>758.91168877484472</v>
      </c>
      <c r="J23" s="25"/>
      <c r="K23" s="25"/>
    </row>
    <row r="24" spans="1:11" x14ac:dyDescent="0.25">
      <c r="A24" s="24" t="s">
        <v>34</v>
      </c>
      <c r="B24" s="23"/>
      <c r="C24" s="20">
        <f>H24/D24</f>
        <v>38.484353741496605</v>
      </c>
      <c r="D24" s="22">
        <f>SUM(D21:D23)</f>
        <v>58.8</v>
      </c>
      <c r="E24" s="21">
        <f>D24/$D$48</f>
        <v>6.6871374957352445E-2</v>
      </c>
      <c r="F24" s="20">
        <f>I24/D24</f>
        <v>41.60668113477648</v>
      </c>
      <c r="G24" s="19">
        <f>F24/C24-1</f>
        <v>8.1132384715431938E-2</v>
      </c>
      <c r="H24" s="18">
        <f>SUM(H21:H23)</f>
        <v>2262.88</v>
      </c>
      <c r="I24" s="18">
        <f>SUM(I21:I23)</f>
        <v>2446.4728507248569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28.1</v>
      </c>
      <c r="D26" s="30">
        <v>192</v>
      </c>
      <c r="E26" s="29">
        <f t="shared" ref="E26:E32" si="7">D26/$D$48</f>
        <v>0.21835551006482432</v>
      </c>
      <c r="F26" s="28">
        <f t="shared" ref="F26:F31" si="8">C26-(C26*$E$6)</f>
        <v>30.379820010503639</v>
      </c>
      <c r="G26" s="27" t="str">
        <f t="shared" ref="G26:G31" si="9">IF(C26&gt;=F26,"-","+")</f>
        <v>+</v>
      </c>
      <c r="H26" s="26">
        <f t="shared" ref="H26:H31" si="10">C26*D26</f>
        <v>5395.2000000000007</v>
      </c>
      <c r="I26" s="26">
        <f t="shared" ref="I26:I31" si="11">F26*D26</f>
        <v>5832.925442016699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</v>
      </c>
      <c r="D27" s="30">
        <v>92.2</v>
      </c>
      <c r="E27" s="29">
        <f t="shared" si="7"/>
        <v>0.10485613556237917</v>
      </c>
      <c r="F27" s="28">
        <f t="shared" si="8"/>
        <v>27.0283096178858</v>
      </c>
      <c r="G27" s="27" t="str">
        <f t="shared" si="9"/>
        <v>+</v>
      </c>
      <c r="H27" s="26">
        <f t="shared" si="10"/>
        <v>2305</v>
      </c>
      <c r="I27" s="26">
        <f t="shared" si="11"/>
        <v>2492.0101467690706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</v>
      </c>
      <c r="D28" s="30">
        <v>86.8</v>
      </c>
      <c r="E28" s="29">
        <f t="shared" si="7"/>
        <v>9.8714886841805988E-2</v>
      </c>
      <c r="F28" s="28">
        <f t="shared" si="8"/>
        <v>27.0283096178858</v>
      </c>
      <c r="G28" s="27" t="str">
        <f t="shared" si="9"/>
        <v>+</v>
      </c>
      <c r="H28" s="26">
        <f t="shared" si="10"/>
        <v>2170</v>
      </c>
      <c r="I28" s="26">
        <f t="shared" si="11"/>
        <v>2346.0572748324871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24.2</v>
      </c>
      <c r="D29" s="30">
        <v>91</v>
      </c>
      <c r="E29" s="29">
        <f t="shared" si="7"/>
        <v>0.10349141362447402</v>
      </c>
      <c r="F29" s="28">
        <f t="shared" si="8"/>
        <v>26.163403710113453</v>
      </c>
      <c r="G29" s="27" t="str">
        <f t="shared" si="9"/>
        <v>+</v>
      </c>
      <c r="H29" s="26">
        <f t="shared" si="10"/>
        <v>2202.1999999999998</v>
      </c>
      <c r="I29" s="26">
        <f t="shared" si="11"/>
        <v>2380.869737620324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24.2</v>
      </c>
      <c r="D30" s="30">
        <v>46.2</v>
      </c>
      <c r="E30" s="29">
        <f t="shared" si="7"/>
        <v>5.2541794609348352E-2</v>
      </c>
      <c r="F30" s="28">
        <f t="shared" si="8"/>
        <v>26.163403710113453</v>
      </c>
      <c r="G30" s="27" t="str">
        <f t="shared" si="9"/>
        <v>+</v>
      </c>
      <c r="H30" s="26">
        <f t="shared" si="10"/>
        <v>1118.04</v>
      </c>
      <c r="I30" s="26">
        <f t="shared" si="11"/>
        <v>1208.7492514072417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24.6</v>
      </c>
      <c r="D31" s="30">
        <v>13.6</v>
      </c>
      <c r="E31" s="29">
        <f t="shared" si="7"/>
        <v>1.5466848629591721E-2</v>
      </c>
      <c r="F31" s="28">
        <f t="shared" si="8"/>
        <v>26.595856663999626</v>
      </c>
      <c r="G31" s="27" t="str">
        <f t="shared" si="9"/>
        <v>+</v>
      </c>
      <c r="H31" s="26">
        <f t="shared" si="10"/>
        <v>334.56</v>
      </c>
      <c r="I31" s="26">
        <f t="shared" si="11"/>
        <v>361.70365063039492</v>
      </c>
      <c r="J31" s="25"/>
      <c r="K31" s="25"/>
    </row>
    <row r="32" spans="1:11" x14ac:dyDescent="0.25">
      <c r="A32" s="24" t="s">
        <v>34</v>
      </c>
      <c r="B32" s="23"/>
      <c r="C32" s="20">
        <f>H32/D32</f>
        <v>25.919892679187434</v>
      </c>
      <c r="D32" s="22">
        <f>SUM(D26:D31)</f>
        <v>521.79999999999995</v>
      </c>
      <c r="E32" s="21">
        <f t="shared" si="7"/>
        <v>0.59342658933242354</v>
      </c>
      <c r="F32" s="20">
        <f>I32/D32</f>
        <v>28.022835383817974</v>
      </c>
      <c r="G32" s="19">
        <f>F32/C32-1</f>
        <v>8.1132384715431716E-2</v>
      </c>
      <c r="H32" s="18">
        <f>SUM(H26:H31)</f>
        <v>13525.000000000002</v>
      </c>
      <c r="I32" s="18">
        <f>SUM(I26:I31)</f>
        <v>14622.315503276217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14.8</v>
      </c>
      <c r="D34" s="30">
        <v>79</v>
      </c>
      <c r="E34" s="29">
        <f t="shared" ref="E34:E40" si="13">D34/$D$48</f>
        <v>8.9844194245422504E-2</v>
      </c>
      <c r="F34" s="28">
        <f t="shared" ref="F34:F39" si="14">C34-(C34*$E$6)</f>
        <v>16.000759293788395</v>
      </c>
      <c r="G34" s="27" t="str">
        <f t="shared" ref="G34:G39" si="15">IF(C34&gt;=F34,"-","+")</f>
        <v>+</v>
      </c>
      <c r="H34" s="26">
        <f t="shared" ref="H34:H39" si="16">C34*D34</f>
        <v>1169.2</v>
      </c>
      <c r="I34" s="26">
        <f t="shared" ref="I34:I39" si="17">F34*D34</f>
        <v>1264.0599842092831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11.4</v>
      </c>
      <c r="D35" s="30"/>
      <c r="E35" s="29">
        <f t="shared" si="13"/>
        <v>0</v>
      </c>
      <c r="F35" s="28">
        <f t="shared" si="14"/>
        <v>12.324909185755924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9.1</v>
      </c>
      <c r="D36" s="30"/>
      <c r="E36" s="29">
        <f t="shared" si="13"/>
        <v>0</v>
      </c>
      <c r="F36" s="28">
        <f t="shared" si="14"/>
        <v>9.838304700910431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24.2</v>
      </c>
      <c r="D37" s="30"/>
      <c r="E37" s="29">
        <f t="shared" si="13"/>
        <v>0</v>
      </c>
      <c r="F37" s="28">
        <f t="shared" si="14"/>
        <v>26.163403710113453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24.2</v>
      </c>
      <c r="D38" s="30"/>
      <c r="E38" s="29">
        <f t="shared" si="13"/>
        <v>0</v>
      </c>
      <c r="F38" s="28">
        <f t="shared" si="14"/>
        <v>26.163403710113453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</v>
      </c>
      <c r="D39" s="30"/>
      <c r="E39" s="29">
        <f t="shared" si="13"/>
        <v>0</v>
      </c>
      <c r="F39" s="28">
        <f t="shared" si="14"/>
        <v>27.0283096178858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14.8</v>
      </c>
      <c r="D40" s="22">
        <f>SUM(D34:D39)</f>
        <v>79</v>
      </c>
      <c r="E40" s="21">
        <f t="shared" si="13"/>
        <v>8.9844194245422504E-2</v>
      </c>
      <c r="F40" s="20">
        <f>I40/D40</f>
        <v>16.000759293788395</v>
      </c>
      <c r="G40" s="19">
        <f>F40/C40-1</f>
        <v>8.1132384715431938E-2</v>
      </c>
      <c r="H40" s="18">
        <f>SUM(H34:H39)</f>
        <v>1169.2</v>
      </c>
      <c r="I40" s="18">
        <f>SUM(I34:I39)</f>
        <v>1264.0599842092831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v>216</v>
      </c>
      <c r="E42" s="107">
        <f>D42/$D$48</f>
        <v>0.24564994882292734</v>
      </c>
      <c r="F42" s="28">
        <f>C42-(C42*$E$6)</f>
        <v>0.32433971541462958</v>
      </c>
      <c r="G42" s="27" t="str">
        <f>IF(C42&gt;=F42,"-","+")</f>
        <v>+</v>
      </c>
      <c r="H42" s="26">
        <f>C42*D42</f>
        <v>64.8</v>
      </c>
      <c r="I42" s="26">
        <f>F42*D42</f>
        <v>70.057378529559983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2.6</v>
      </c>
      <c r="E43" s="107">
        <f>D43/$D$48</f>
        <v>2.9568975321278292E-3</v>
      </c>
      <c r="F43" s="28">
        <f>C43-(C43*$E$6)</f>
        <v>0.32433971541462958</v>
      </c>
      <c r="G43" s="27" t="str">
        <f>IF(C43&gt;=F43,"-","+")</f>
        <v>+</v>
      </c>
      <c r="H43" s="26">
        <f>C43*D43</f>
        <v>0.78</v>
      </c>
      <c r="I43" s="26">
        <f>F43*D43</f>
        <v>0.84328326007803689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1.1000000000000001</v>
      </c>
      <c r="E45" s="107">
        <f>D45/$D$48</f>
        <v>1.2509951097463892E-3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0.29849795175238963</v>
      </c>
      <c r="D46" s="22">
        <f>SUM(D41:D45)</f>
        <v>219.7</v>
      </c>
      <c r="E46" s="21">
        <f>D46/$D$48</f>
        <v>0.24985784146480156</v>
      </c>
      <c r="F46" s="20">
        <f>I46/D46</f>
        <v>0.32271580241073294</v>
      </c>
      <c r="G46" s="19">
        <f>F46/C46-1</f>
        <v>8.1132384715431938E-2</v>
      </c>
      <c r="H46" s="18">
        <f>SUM(H41:H44)</f>
        <v>65.58</v>
      </c>
      <c r="I46" s="18">
        <f>SUM(I41:I44)</f>
        <v>70.900661789638022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79.502744372436439</v>
      </c>
      <c r="D48" s="13">
        <f>D24+D32+D40+D46</f>
        <v>879.3</v>
      </c>
      <c r="E48" s="12">
        <f>SUM(E20:E46)/2</f>
        <v>1</v>
      </c>
      <c r="F48" s="11">
        <f>I48/D48</f>
        <v>20.929999999999996</v>
      </c>
      <c r="G48" s="10"/>
      <c r="H48" s="9">
        <f>SUM(H20:H46)/2</f>
        <v>17022.660000000003</v>
      </c>
      <c r="I48" s="9">
        <f>SUM(I20:I46)/2</f>
        <v>18403.748999999996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879.3</v>
      </c>
      <c r="E50" s="12">
        <f>D50/G2</f>
        <v>1</v>
      </c>
      <c r="F50" s="11">
        <f>I50/D50</f>
        <v>20.929999999999996</v>
      </c>
      <c r="G50" s="10"/>
      <c r="H50" s="9">
        <f>H48+H19</f>
        <v>17022.660000000003</v>
      </c>
      <c r="I50" s="9">
        <f>I48+I19</f>
        <v>18403.748999999996</v>
      </c>
      <c r="J50" s="106">
        <f>D50-G2</f>
        <v>0</v>
      </c>
      <c r="K50" s="8"/>
    </row>
    <row r="51" spans="1:11" ht="23.25" x14ac:dyDescent="0.35">
      <c r="A51" s="174" t="s">
        <v>248</v>
      </c>
      <c r="B51" s="169"/>
      <c r="C51" s="170"/>
      <c r="G51" s="7"/>
      <c r="H51" s="6"/>
      <c r="I51" s="6">
        <f>+I50/D50</f>
        <v>20.929999999999996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243</v>
      </c>
      <c r="D1" s="100" t="s">
        <v>1</v>
      </c>
      <c r="E1" s="168" t="s">
        <v>218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243</v>
      </c>
      <c r="D2" s="96" t="s">
        <v>3</v>
      </c>
      <c r="E2" s="95" t="s">
        <v>71</v>
      </c>
      <c r="F2" s="94" t="s">
        <v>5</v>
      </c>
      <c r="G2" s="93">
        <v>1165.2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223</v>
      </c>
      <c r="D3" s="90" t="s">
        <v>7</v>
      </c>
      <c r="E3" s="89">
        <v>12</v>
      </c>
      <c r="F3" s="88" t="s">
        <v>8</v>
      </c>
      <c r="G3" s="87">
        <v>26.4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3</v>
      </c>
      <c r="D4" s="83" t="s">
        <v>11</v>
      </c>
      <c r="E4" s="82">
        <f>G2/E3</f>
        <v>97.100000000000009</v>
      </c>
      <c r="F4" s="81" t="s">
        <v>12</v>
      </c>
      <c r="G4" s="80">
        <f>G2*G3</f>
        <v>30761.279999999999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2.4568375197036474E-2</v>
      </c>
      <c r="F6" s="69" t="s">
        <v>16</v>
      </c>
      <c r="G6" s="68">
        <f>(I50-I19)/(D50-(SUM(D42:D44)+D19))</f>
        <v>30.736569386479911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>
        <f t="shared" ref="E10:E19" si="1">D10/$D$19</f>
        <v>0</v>
      </c>
      <c r="F10" s="28">
        <f t="shared" ref="F10:F18" si="2">C10-(C10*$E$6)</f>
        <v>25.751394894798235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/>
      <c r="E11" s="29">
        <f t="shared" si="1"/>
        <v>0</v>
      </c>
      <c r="F11" s="28">
        <f t="shared" si="2"/>
        <v>26.824369682081496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>
        <f t="shared" si="1"/>
        <v>0</v>
      </c>
      <c r="F12" s="28">
        <f t="shared" si="2"/>
        <v>24.483333782554386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>
        <f t="shared" si="1"/>
        <v>0</v>
      </c>
      <c r="F13" s="28">
        <f t="shared" si="2"/>
        <v>26.824369682081496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>
        <v>42.6</v>
      </c>
      <c r="E14" s="29">
        <f t="shared" si="1"/>
        <v>1</v>
      </c>
      <c r="F14" s="28">
        <f t="shared" si="2"/>
        <v>29.94575088145098</v>
      </c>
      <c r="G14" s="27" t="str">
        <f t="shared" si="3"/>
        <v>-</v>
      </c>
      <c r="H14" s="34">
        <f t="shared" si="4"/>
        <v>1307.82</v>
      </c>
      <c r="I14" s="34">
        <f t="shared" si="5"/>
        <v>1275.6889875498118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>
        <f t="shared" si="1"/>
        <v>0</v>
      </c>
      <c r="F15" s="28">
        <f t="shared" si="2"/>
        <v>24.678420107514977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>
        <f t="shared" si="1"/>
        <v>0</v>
      </c>
      <c r="F16" s="28">
        <f t="shared" si="2"/>
        <v>33.847477380662838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>
        <f t="shared" si="1"/>
        <v>0</v>
      </c>
      <c r="F17" s="28">
        <f t="shared" si="2"/>
        <v>49.844556027431437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>
        <f t="shared" si="1"/>
        <v>0</v>
      </c>
      <c r="F18" s="28">
        <f t="shared" si="2"/>
        <v>43.601793628692469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30.699999999999996</v>
      </c>
      <c r="D19" s="49">
        <f>SUM(D10:D18)</f>
        <v>42.6</v>
      </c>
      <c r="E19" s="48">
        <f t="shared" si="1"/>
        <v>1</v>
      </c>
      <c r="F19" s="47">
        <f>I19/D19</f>
        <v>29.94575088145098</v>
      </c>
      <c r="G19" s="46">
        <f>F19/C19-1</f>
        <v>-2.4568375197036363E-2</v>
      </c>
      <c r="H19" s="9">
        <f>SUM(H10:H18)</f>
        <v>1307.82</v>
      </c>
      <c r="I19" s="9">
        <f>SUM(I10:I18)</f>
        <v>1275.6889875498118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15.6</v>
      </c>
      <c r="E21" s="29">
        <f>D21/$D$48</f>
        <v>1.3896312132549439E-2</v>
      </c>
      <c r="F21" s="28">
        <f>C21-(C21*$E$6)</f>
        <v>64.76865988691678</v>
      </c>
      <c r="G21" s="27" t="str">
        <f>IF(C21&gt;=F21,"-","+")</f>
        <v>-</v>
      </c>
      <c r="H21" s="26">
        <f>C21*D21</f>
        <v>1035.8400000000001</v>
      </c>
      <c r="I21" s="26">
        <f>F21*D21</f>
        <v>1010.3910942359017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39.6</v>
      </c>
      <c r="E22" s="29">
        <f>D22/$D$48</f>
        <v>3.5275253874933195E-2</v>
      </c>
      <c r="F22" s="28">
        <f>C22-(C22*$E$6)</f>
        <v>43.504250466212177</v>
      </c>
      <c r="G22" s="27" t="str">
        <f>IF(C22&gt;=F22,"-","+")</f>
        <v>-</v>
      </c>
      <c r="H22" s="26">
        <f>C22*D22</f>
        <v>1766.16</v>
      </c>
      <c r="I22" s="26">
        <f>F22*D22</f>
        <v>1722.7683184620023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40.700000000000003</v>
      </c>
      <c r="D23" s="30">
        <v>31.8</v>
      </c>
      <c r="E23" s="29">
        <f>D23/$D$48</f>
        <v>2.8327097808658476E-2</v>
      </c>
      <c r="F23" s="28">
        <f>C23-(C23*$E$6)</f>
        <v>39.700067129480615</v>
      </c>
      <c r="G23" s="27" t="str">
        <f>IF(C23&gt;=F23,"-","+")</f>
        <v>-</v>
      </c>
      <c r="H23" s="26">
        <f>C23*D23</f>
        <v>1294.2600000000002</v>
      </c>
      <c r="I23" s="26">
        <f>F23*D23</f>
        <v>1262.4621347174837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47.083448275862068</v>
      </c>
      <c r="D24" s="22">
        <f>SUM(D21:D23)</f>
        <v>87</v>
      </c>
      <c r="E24" s="21">
        <f>D24/$D$48</f>
        <v>7.7498663816141108E-2</v>
      </c>
      <c r="F24" s="20">
        <f>I24/D24</f>
        <v>45.926684453050434</v>
      </c>
      <c r="G24" s="19">
        <f>F24/C24-1</f>
        <v>-2.4568375197036363E-2</v>
      </c>
      <c r="H24" s="18">
        <f>SUM(H21:H23)</f>
        <v>4096.26</v>
      </c>
      <c r="I24" s="18">
        <f>SUM(I21:I23)</f>
        <v>3995.6215474153878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v>231</v>
      </c>
      <c r="E26" s="29">
        <f t="shared" ref="E26:E32" si="7">D26/$D$48</f>
        <v>0.20577231427044362</v>
      </c>
      <c r="F26" s="28">
        <f t="shared" ref="F26:F31" si="8">C26-(C26*$E$6)</f>
        <v>34.530279518024905</v>
      </c>
      <c r="G26" s="27" t="str">
        <f t="shared" ref="G26:G31" si="9">IF(C26&gt;=F26,"-","+")</f>
        <v>-</v>
      </c>
      <c r="H26" s="26">
        <f t="shared" ref="H26:H31" si="10">C26*D26</f>
        <v>8177.4</v>
      </c>
      <c r="I26" s="26">
        <f t="shared" ref="I26:I31" si="11">F26*D26</f>
        <v>7976.4945686637529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173.2</v>
      </c>
      <c r="E27" s="29">
        <f t="shared" si="7"/>
        <v>0.15428469624086941</v>
      </c>
      <c r="F27" s="28">
        <f t="shared" si="8"/>
        <v>30.72609618129335</v>
      </c>
      <c r="G27" s="27" t="str">
        <f t="shared" si="9"/>
        <v>-</v>
      </c>
      <c r="H27" s="26">
        <f t="shared" si="10"/>
        <v>5455.7999999999993</v>
      </c>
      <c r="I27" s="26">
        <f t="shared" si="11"/>
        <v>5321.7598586000076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121.1</v>
      </c>
      <c r="E28" s="29">
        <f t="shared" si="7"/>
        <v>0.10787457687511136</v>
      </c>
      <c r="F28" s="28">
        <f t="shared" si="8"/>
        <v>30.72609618129335</v>
      </c>
      <c r="G28" s="27" t="str">
        <f t="shared" si="9"/>
        <v>-</v>
      </c>
      <c r="H28" s="26">
        <f t="shared" si="10"/>
        <v>3814.6499999999996</v>
      </c>
      <c r="I28" s="26">
        <f t="shared" si="11"/>
        <v>3720.9302475546247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v>118.8</v>
      </c>
      <c r="E29" s="29">
        <f t="shared" si="7"/>
        <v>0.10582576162479958</v>
      </c>
      <c r="F29" s="28">
        <f t="shared" si="8"/>
        <v>29.750664556490388</v>
      </c>
      <c r="G29" s="27" t="str">
        <f t="shared" si="9"/>
        <v>-</v>
      </c>
      <c r="H29" s="26">
        <f t="shared" si="10"/>
        <v>3623.4</v>
      </c>
      <c r="I29" s="26">
        <f t="shared" si="11"/>
        <v>3534.378949311058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51.9</v>
      </c>
      <c r="E30" s="29">
        <f t="shared" si="7"/>
        <v>4.6231961517904867E-2</v>
      </c>
      <c r="F30" s="28">
        <f t="shared" si="8"/>
        <v>29.750664556490388</v>
      </c>
      <c r="G30" s="27" t="str">
        <f t="shared" si="9"/>
        <v>-</v>
      </c>
      <c r="H30" s="26">
        <f t="shared" si="10"/>
        <v>1582.95</v>
      </c>
      <c r="I30" s="26">
        <f t="shared" si="11"/>
        <v>1544.0594904818511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12.9</v>
      </c>
      <c r="E31" s="29">
        <f t="shared" si="7"/>
        <v>1.1491181186531267E-2</v>
      </c>
      <c r="F31" s="28">
        <f t="shared" si="8"/>
        <v>30.238380368891868</v>
      </c>
      <c r="G31" s="27" t="str">
        <f t="shared" si="9"/>
        <v>-</v>
      </c>
      <c r="H31" s="26">
        <f t="shared" si="10"/>
        <v>399.90000000000003</v>
      </c>
      <c r="I31" s="26">
        <f t="shared" si="11"/>
        <v>390.07510675870509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32.520947947524341</v>
      </c>
      <c r="D32" s="22">
        <f>SUM(D26:D31)</f>
        <v>708.89999999999986</v>
      </c>
      <c r="E32" s="21">
        <f t="shared" si="7"/>
        <v>0.63148049171566001</v>
      </c>
      <c r="F32" s="20">
        <f>I32/D32</f>
        <v>31.721961096586259</v>
      </c>
      <c r="G32" s="19">
        <f>F32/C32-1</f>
        <v>-2.4568375197036807E-2</v>
      </c>
      <c r="H32" s="18">
        <f>SUM(H26:H31)</f>
        <v>23054.100000000002</v>
      </c>
      <c r="I32" s="18">
        <f>SUM(I26:I31)</f>
        <v>22487.698221369996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161.1</v>
      </c>
      <c r="E34" s="29">
        <f t="shared" ref="E34:E40" si="13">D34/$D$48</f>
        <v>0.14350614644575094</v>
      </c>
      <c r="F34" s="28">
        <f t="shared" ref="F34:F39" si="14">C34-(C34*$E$6)</f>
        <v>18.240571383815418</v>
      </c>
      <c r="G34" s="27" t="str">
        <f t="shared" ref="G34:G39" si="15">IF(C34&gt;=F34,"-","+")</f>
        <v>-</v>
      </c>
      <c r="H34" s="26">
        <f t="shared" ref="H34:H39" si="16">C34*D34</f>
        <v>3012.5699999999997</v>
      </c>
      <c r="I34" s="26">
        <f t="shared" ref="I34:I39" si="17">F34*D34</f>
        <v>2938.5560499326639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13.948672234682379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11.21746368523408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29.750664556490388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29.750664556490388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30.72609618129335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161.1</v>
      </c>
      <c r="E40" s="21">
        <f t="shared" si="13"/>
        <v>0.14350614644575094</v>
      </c>
      <c r="F40" s="20">
        <f>I40/D40</f>
        <v>18.240571383815418</v>
      </c>
      <c r="G40" s="19">
        <f>F40/C40-1</f>
        <v>-2.4568375197036474E-2</v>
      </c>
      <c r="H40" s="18">
        <f>SUM(H34:H39)</f>
        <v>3012.5699999999997</v>
      </c>
      <c r="I40" s="18">
        <f>SUM(I34:I39)</f>
        <v>2938.5560499326639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162</v>
      </c>
      <c r="E42" s="107">
        <f>D42/$D$48</f>
        <v>0.14430785676109034</v>
      </c>
      <c r="F42" s="28">
        <f>C42-(C42*$E$6)</f>
        <v>0.39017264992118544</v>
      </c>
      <c r="G42" s="27" t="str">
        <f>IF(C42&gt;=F42,"-","+")</f>
        <v>-</v>
      </c>
      <c r="H42" s="26">
        <f>C42*D42</f>
        <v>64.8</v>
      </c>
      <c r="I42" s="26">
        <f>F42*D42</f>
        <v>63.207969287232039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1.3</v>
      </c>
      <c r="E43" s="107">
        <f>D43/$D$48</f>
        <v>1.1580260110457866E-3</v>
      </c>
      <c r="F43" s="28">
        <f>C43-(C43*$E$6)</f>
        <v>0.39017264992118544</v>
      </c>
      <c r="G43" s="27" t="str">
        <f>IF(C43&gt;=F43,"-","+")</f>
        <v>-</v>
      </c>
      <c r="H43" s="26">
        <f>C43*D43</f>
        <v>0.52</v>
      </c>
      <c r="I43" s="26">
        <f>F43*D43</f>
        <v>0.50722444489754115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2.2999999999999998</v>
      </c>
      <c r="E45" s="107">
        <f>D45/$D$48</f>
        <v>2.0488152503117764E-3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0.39444444444444438</v>
      </c>
      <c r="D46" s="22">
        <f>SUM(D41:D45)</f>
        <v>165.60000000000002</v>
      </c>
      <c r="E46" s="21">
        <f>D46/$D$48</f>
        <v>0.14751469802244793</v>
      </c>
      <c r="F46" s="20">
        <f>I46/D46</f>
        <v>0.38475358533894666</v>
      </c>
      <c r="G46" s="19">
        <f>F46/C46-1</f>
        <v>-2.4568375197036474E-2</v>
      </c>
      <c r="H46" s="18">
        <f>SUM(H41:H44)</f>
        <v>65.319999999999993</v>
      </c>
      <c r="I46" s="18">
        <f>SUM(I41:I44)</f>
        <v>63.715193732129578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98.698840667830851</v>
      </c>
      <c r="D48" s="13">
        <f>D24+D32+D40+D46</f>
        <v>1122.5999999999999</v>
      </c>
      <c r="E48" s="12">
        <f>SUM(E20:E46)/2</f>
        <v>1</v>
      </c>
      <c r="F48" s="11">
        <f>I48/D48</f>
        <v>26.265447187288601</v>
      </c>
      <c r="G48" s="10"/>
      <c r="H48" s="9">
        <f>SUM(H20:H46)/2</f>
        <v>30228.250000000004</v>
      </c>
      <c r="I48" s="9">
        <f>SUM(I20:I46)/2</f>
        <v>29485.591012450179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1165.2</v>
      </c>
      <c r="E50" s="12">
        <f>D50/G2</f>
        <v>1</v>
      </c>
      <c r="F50" s="11">
        <f>I50/D50</f>
        <v>26.399999999999991</v>
      </c>
      <c r="G50" s="10"/>
      <c r="H50" s="9">
        <f>H48+H19</f>
        <v>31536.070000000003</v>
      </c>
      <c r="I50" s="9">
        <f>I48+I19</f>
        <v>30761.279999999992</v>
      </c>
      <c r="J50" s="106">
        <f>D50-G2</f>
        <v>0</v>
      </c>
      <c r="K50" s="8"/>
    </row>
    <row r="51" spans="1:11" ht="23.25" x14ac:dyDescent="0.35">
      <c r="A51" s="174" t="s">
        <v>249</v>
      </c>
      <c r="B51" s="169"/>
      <c r="C51" s="170"/>
      <c r="G51" s="7"/>
      <c r="H51" s="6"/>
      <c r="I51" s="6">
        <f>+I50/D50</f>
        <v>26.399999999999991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243</v>
      </c>
      <c r="D1" s="100" t="s">
        <v>1</v>
      </c>
      <c r="E1" s="168" t="s">
        <v>218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243</v>
      </c>
      <c r="D2" s="96" t="s">
        <v>3</v>
      </c>
      <c r="E2" s="95" t="s">
        <v>112</v>
      </c>
      <c r="F2" s="94" t="s">
        <v>5</v>
      </c>
      <c r="G2" s="93">
        <v>8666.1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223</v>
      </c>
      <c r="D3" s="90" t="s">
        <v>7</v>
      </c>
      <c r="E3" s="89">
        <v>136</v>
      </c>
      <c r="F3" s="88" t="s">
        <v>8</v>
      </c>
      <c r="G3" s="87">
        <v>20.94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3</v>
      </c>
      <c r="D4" s="83" t="s">
        <v>11</v>
      </c>
      <c r="E4" s="82">
        <f>G2/E3</f>
        <v>63.721323529411769</v>
      </c>
      <c r="F4" s="81" t="s">
        <v>12</v>
      </c>
      <c r="G4" s="80">
        <f>G2*G3</f>
        <v>181468.13400000002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-8.5324175376602085E-2</v>
      </c>
      <c r="F6" s="69" t="s">
        <v>16</v>
      </c>
      <c r="G6" s="68">
        <f>(I50-I19)/(D50-(SUM(D42:D44)+D19))</f>
        <v>26.689237715647202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20.9</v>
      </c>
      <c r="D10" s="30"/>
      <c r="E10" s="29" t="e">
        <f t="shared" ref="E10:E19" si="1">D10/$D$19</f>
        <v>#DIV/0!</v>
      </c>
      <c r="F10" s="28">
        <f t="shared" ref="F10:F18" si="2">C10-(C10*$E$6)</f>
        <v>22.68327526537098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21.8</v>
      </c>
      <c r="D11" s="30"/>
      <c r="E11" s="29" t="e">
        <f t="shared" si="1"/>
        <v>#DIV/0!</v>
      </c>
      <c r="F11" s="28">
        <f t="shared" si="2"/>
        <v>23.660067023209926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19.899999999999999</v>
      </c>
      <c r="D12" s="30"/>
      <c r="E12" s="29" t="e">
        <f t="shared" si="1"/>
        <v>#DIV/0!</v>
      </c>
      <c r="F12" s="28">
        <f t="shared" si="2"/>
        <v>21.597951089994378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21.8</v>
      </c>
      <c r="D13" s="30"/>
      <c r="E13" s="29" t="e">
        <f t="shared" si="1"/>
        <v>#DIV/0!</v>
      </c>
      <c r="F13" s="28">
        <f t="shared" si="2"/>
        <v>23.660067023209926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24.4</v>
      </c>
      <c r="D14" s="30"/>
      <c r="E14" s="29" t="e">
        <f t="shared" si="1"/>
        <v>#DIV/0!</v>
      </c>
      <c r="F14" s="28">
        <f t="shared" si="2"/>
        <v>26.481909879189089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20.100000000000001</v>
      </c>
      <c r="D15" s="30"/>
      <c r="E15" s="29" t="e">
        <f t="shared" si="1"/>
        <v>#DIV/0!</v>
      </c>
      <c r="F15" s="28">
        <f t="shared" si="2"/>
        <v>21.815015925069705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27.5</v>
      </c>
      <c r="D16" s="30"/>
      <c r="E16" s="29" t="e">
        <f t="shared" si="1"/>
        <v>#DIV/0!</v>
      </c>
      <c r="F16" s="28">
        <f t="shared" si="2"/>
        <v>29.846414822856559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40.5</v>
      </c>
      <c r="D17" s="30"/>
      <c r="E17" s="29" t="e">
        <f t="shared" si="1"/>
        <v>#DIV/0!</v>
      </c>
      <c r="F17" s="28">
        <f t="shared" si="2"/>
        <v>43.955629102752383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35.5</v>
      </c>
      <c r="D18" s="30"/>
      <c r="E18" s="29" t="e">
        <f t="shared" si="1"/>
        <v>#DIV/0!</v>
      </c>
      <c r="F18" s="28">
        <f t="shared" si="2"/>
        <v>38.529008225869376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52.7</v>
      </c>
      <c r="D21" s="30">
        <v>106.4</v>
      </c>
      <c r="E21" s="29">
        <f>D21/$D$48</f>
        <v>1.2277159176138003E-2</v>
      </c>
      <c r="F21" s="28">
        <f>C21-(C21*$E$6)</f>
        <v>57.196584042346934</v>
      </c>
      <c r="G21" s="27" t="str">
        <f>IF(C21&gt;=F21,"-","+")</f>
        <v>+</v>
      </c>
      <c r="H21" s="26">
        <f>C21*D21</f>
        <v>5607.2800000000007</v>
      </c>
      <c r="I21" s="26">
        <f>F21*D21</f>
        <v>6085.7165421057143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35.4</v>
      </c>
      <c r="D22" s="30">
        <v>221.2</v>
      </c>
      <c r="E22" s="29">
        <f>D22/$D$48</f>
        <v>2.5523567760918478E-2</v>
      </c>
      <c r="F22" s="28">
        <f>C22-(C22*$E$6)</f>
        <v>38.420475808331716</v>
      </c>
      <c r="G22" s="27" t="str">
        <f>IF(C22&gt;=F22,"-","+")</f>
        <v>+</v>
      </c>
      <c r="H22" s="26">
        <f>C22*D22</f>
        <v>7830.48</v>
      </c>
      <c r="I22" s="26">
        <f>F22*D22</f>
        <v>8498.6092488029753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32.200000000000003</v>
      </c>
      <c r="D23" s="30">
        <v>201.2</v>
      </c>
      <c r="E23" s="29">
        <f>D23/$D$48</f>
        <v>2.3215831073674493E-2</v>
      </c>
      <c r="F23" s="28">
        <f>C23-(C23*$E$6)</f>
        <v>34.947438447126594</v>
      </c>
      <c r="G23" s="27" t="str">
        <f>IF(C23&gt;=F23,"-","+")</f>
        <v>+</v>
      </c>
      <c r="H23" s="26">
        <f>C23*D23</f>
        <v>6478.64</v>
      </c>
      <c r="I23" s="26">
        <f>F23*D23</f>
        <v>7031.4246155618703</v>
      </c>
      <c r="J23" s="25"/>
      <c r="K23" s="25"/>
    </row>
    <row r="24" spans="1:11" x14ac:dyDescent="0.25">
      <c r="A24" s="24" t="s">
        <v>34</v>
      </c>
      <c r="B24" s="23"/>
      <c r="C24" s="20">
        <f>H24/D24</f>
        <v>37.663388804841155</v>
      </c>
      <c r="D24" s="22">
        <f>SUM(D21:D23)</f>
        <v>528.79999999999995</v>
      </c>
      <c r="E24" s="21">
        <f>D24/$D$48</f>
        <v>6.101655801073097E-2</v>
      </c>
      <c r="F24" s="20">
        <f>I24/D24</f>
        <v>40.876986396502573</v>
      </c>
      <c r="G24" s="19">
        <f>F24/C24-1</f>
        <v>8.5324175376602085E-2</v>
      </c>
      <c r="H24" s="18">
        <f>SUM(H21:H23)</f>
        <v>19916.400000000001</v>
      </c>
      <c r="I24" s="18">
        <f>SUM(I21:I23)</f>
        <v>21615.750406470561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28.1</v>
      </c>
      <c r="D26" s="30">
        <f>1544+35</f>
        <v>1579</v>
      </c>
      <c r="E26" s="29">
        <f t="shared" ref="E26:E32" si="7">D26/$D$48</f>
        <v>0.18219581145791267</v>
      </c>
      <c r="F26" s="28">
        <f t="shared" ref="F26:F31" si="8">C26-(C26*$E$6)</f>
        <v>30.497609328082518</v>
      </c>
      <c r="G26" s="27" t="str">
        <f t="shared" ref="G26:G31" si="9">IF(C26&gt;=F26,"-","+")</f>
        <v>+</v>
      </c>
      <c r="H26" s="26">
        <f t="shared" ref="H26:H31" si="10">C26*D26</f>
        <v>44369.9</v>
      </c>
      <c r="I26" s="26">
        <f t="shared" ref="I26:I31" si="11">F26*D26</f>
        <v>48155.725129042294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</v>
      </c>
      <c r="D27" s="30">
        <f>949.8+370</f>
        <v>1319.8</v>
      </c>
      <c r="E27" s="29">
        <f t="shared" si="7"/>
        <v>0.1522875439912306</v>
      </c>
      <c r="F27" s="28">
        <f t="shared" si="8"/>
        <v>27.133104384415052</v>
      </c>
      <c r="G27" s="27" t="str">
        <f t="shared" si="9"/>
        <v>+</v>
      </c>
      <c r="H27" s="26">
        <f t="shared" si="10"/>
        <v>32995</v>
      </c>
      <c r="I27" s="26">
        <f t="shared" si="11"/>
        <v>35810.271166550985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</v>
      </c>
      <c r="D28" s="30">
        <v>653.6</v>
      </c>
      <c r="E28" s="29">
        <f t="shared" si="7"/>
        <v>7.5416834939133454E-2</v>
      </c>
      <c r="F28" s="28">
        <f t="shared" si="8"/>
        <v>27.133104384415052</v>
      </c>
      <c r="G28" s="27" t="str">
        <f t="shared" si="9"/>
        <v>+</v>
      </c>
      <c r="H28" s="26">
        <f t="shared" si="10"/>
        <v>16340</v>
      </c>
      <c r="I28" s="26">
        <f t="shared" si="11"/>
        <v>17734.197025653677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24.2</v>
      </c>
      <c r="D29" s="30">
        <v>601</v>
      </c>
      <c r="E29" s="29">
        <f t="shared" si="7"/>
        <v>6.9347487451681761E-2</v>
      </c>
      <c r="F29" s="28">
        <f t="shared" si="8"/>
        <v>26.26484504411377</v>
      </c>
      <c r="G29" s="27" t="str">
        <f t="shared" si="9"/>
        <v>+</v>
      </c>
      <c r="H29" s="26">
        <f t="shared" si="10"/>
        <v>14544.199999999999</v>
      </c>
      <c r="I29" s="26">
        <f t="shared" si="11"/>
        <v>15785.171871512375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24.2</v>
      </c>
      <c r="D30" s="30">
        <v>674.4</v>
      </c>
      <c r="E30" s="29">
        <f t="shared" si="7"/>
        <v>7.7816881093867182E-2</v>
      </c>
      <c r="F30" s="28">
        <f t="shared" si="8"/>
        <v>26.26484504411377</v>
      </c>
      <c r="G30" s="27" t="str">
        <f t="shared" si="9"/>
        <v>+</v>
      </c>
      <c r="H30" s="26">
        <f t="shared" si="10"/>
        <v>16320.48</v>
      </c>
      <c r="I30" s="26">
        <f t="shared" si="11"/>
        <v>17713.011497750325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24.6</v>
      </c>
      <c r="D31" s="30">
        <v>130.6</v>
      </c>
      <c r="E31" s="29">
        <f t="shared" si="7"/>
        <v>1.5069520567703224E-2</v>
      </c>
      <c r="F31" s="28">
        <f t="shared" si="8"/>
        <v>26.698974714264413</v>
      </c>
      <c r="G31" s="27" t="str">
        <f t="shared" si="9"/>
        <v>+</v>
      </c>
      <c r="H31" s="26">
        <f t="shared" si="10"/>
        <v>3212.76</v>
      </c>
      <c r="I31" s="26">
        <f t="shared" si="11"/>
        <v>3486.8860976829324</v>
      </c>
      <c r="J31" s="25"/>
      <c r="K31" s="25"/>
    </row>
    <row r="32" spans="1:11" x14ac:dyDescent="0.25">
      <c r="A32" s="24" t="s">
        <v>34</v>
      </c>
      <c r="B32" s="23"/>
      <c r="C32" s="20">
        <f>H32/D32</f>
        <v>25.770881736043883</v>
      </c>
      <c r="D32" s="22">
        <f>SUM(D26:D31)</f>
        <v>4958.3999999999996</v>
      </c>
      <c r="E32" s="21">
        <f t="shared" si="7"/>
        <v>0.57213407950152884</v>
      </c>
      <c r="F32" s="20">
        <f>I32/D32</f>
        <v>27.969760968899763</v>
      </c>
      <c r="G32" s="19">
        <f>F32/C32-1</f>
        <v>8.5324175376602085E-2</v>
      </c>
      <c r="H32" s="18">
        <f>SUM(H26:H31)</f>
        <v>127782.33999999998</v>
      </c>
      <c r="I32" s="18">
        <f>SUM(I26:I31)</f>
        <v>138685.26278819257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14.8</v>
      </c>
      <c r="D34" s="30">
        <f>644+555.2</f>
        <v>1199.2</v>
      </c>
      <c r="E34" s="29">
        <f t="shared" ref="E34:E40" si="13">D34/$D$48</f>
        <v>0.13837189176714937</v>
      </c>
      <c r="F34" s="28">
        <f t="shared" ref="F34:F39" si="14">C34-(C34*$E$6)</f>
        <v>16.062797795573712</v>
      </c>
      <c r="G34" s="27" t="str">
        <f t="shared" ref="G34:G39" si="15">IF(C34&gt;=F34,"-","+")</f>
        <v>+</v>
      </c>
      <c r="H34" s="26">
        <f t="shared" ref="H34:H39" si="16">C34*D34</f>
        <v>17748.16</v>
      </c>
      <c r="I34" s="26">
        <f t="shared" ref="I34:I39" si="17">F34*D34</f>
        <v>19262.507116451994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11.4</v>
      </c>
      <c r="D35" s="30">
        <v>104.8</v>
      </c>
      <c r="E35" s="29">
        <f t="shared" si="13"/>
        <v>1.2092540241158483E-2</v>
      </c>
      <c r="F35" s="28">
        <f t="shared" si="14"/>
        <v>12.372695599293264</v>
      </c>
      <c r="G35" s="27" t="str">
        <f t="shared" si="15"/>
        <v>+</v>
      </c>
      <c r="H35" s="26">
        <f t="shared" si="16"/>
        <v>1194.72</v>
      </c>
      <c r="I35" s="26">
        <f t="shared" si="17"/>
        <v>1296.658498805934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9.1</v>
      </c>
      <c r="D36" s="30"/>
      <c r="E36" s="29">
        <f t="shared" si="13"/>
        <v>0</v>
      </c>
      <c r="F36" s="28">
        <f t="shared" si="14"/>
        <v>9.8764499959270786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24.2</v>
      </c>
      <c r="D37" s="30"/>
      <c r="E37" s="29">
        <f t="shared" si="13"/>
        <v>0</v>
      </c>
      <c r="F37" s="28">
        <f t="shared" si="14"/>
        <v>26.26484504411377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24.2</v>
      </c>
      <c r="D38" s="30"/>
      <c r="E38" s="29">
        <f t="shared" si="13"/>
        <v>0</v>
      </c>
      <c r="F38" s="28">
        <f t="shared" si="14"/>
        <v>26.26484504411377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</v>
      </c>
      <c r="D39" s="30"/>
      <c r="E39" s="29">
        <f t="shared" si="13"/>
        <v>0</v>
      </c>
      <c r="F39" s="28">
        <f t="shared" si="14"/>
        <v>27.133104384415052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14.52674846625767</v>
      </c>
      <c r="D40" s="22">
        <f>SUM(D34:D39)</f>
        <v>1304</v>
      </c>
      <c r="E40" s="21">
        <f t="shared" si="13"/>
        <v>0.15046443200830786</v>
      </c>
      <c r="F40" s="20">
        <f>I40/D40</f>
        <v>15.766231300044423</v>
      </c>
      <c r="G40" s="19">
        <f>F40/C40-1</f>
        <v>8.5324175376601863E-2</v>
      </c>
      <c r="H40" s="18">
        <f>SUM(H34:H39)</f>
        <v>18942.88</v>
      </c>
      <c r="I40" s="18">
        <f>SUM(I34:I39)</f>
        <v>20559.165615257927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f>890+133.4+810.1</f>
        <v>1833.5</v>
      </c>
      <c r="E42" s="107">
        <f>D42/$D$48</f>
        <v>0.21156176080309236</v>
      </c>
      <c r="F42" s="28">
        <f>C42-(C42*$E$6)</f>
        <v>0.32559725261298061</v>
      </c>
      <c r="G42" s="27" t="str">
        <f>IF(C42&gt;=F42,"-","+")</f>
        <v>+</v>
      </c>
      <c r="H42" s="26">
        <f>C42*D42</f>
        <v>550.04999999999995</v>
      </c>
      <c r="I42" s="26">
        <f>F42*D42</f>
        <v>596.98256266589999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33.700000000000003</v>
      </c>
      <c r="E43" s="107">
        <f>D43/$D$48</f>
        <v>3.888536318006116E-3</v>
      </c>
      <c r="F43" s="28">
        <f>C43-(C43*$E$6)</f>
        <v>0.32559725261298061</v>
      </c>
      <c r="G43" s="27" t="str">
        <f>IF(C43&gt;=F43,"-","+")</f>
        <v>+</v>
      </c>
      <c r="H43" s="26">
        <f>C43*D43</f>
        <v>10.110000000000001</v>
      </c>
      <c r="I43" s="26">
        <f>F43*D43</f>
        <v>10.972627413057447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8.1</v>
      </c>
      <c r="E45" s="107">
        <f>D45/$D$48</f>
        <v>9.3463335833381405E-4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0.29870420732682768</v>
      </c>
      <c r="D46" s="22">
        <f>SUM(D41:D45)</f>
        <v>1875.3</v>
      </c>
      <c r="E46" s="21">
        <f>D46/$D$48</f>
        <v>0.2163849304794323</v>
      </c>
      <c r="F46" s="20">
        <f>I46/D46</f>
        <v>0.32419089749851088</v>
      </c>
      <c r="G46" s="19">
        <f>F46/C46-1</f>
        <v>8.5324175376602307E-2</v>
      </c>
      <c r="H46" s="18">
        <f>SUM(H41:H44)</f>
        <v>560.16</v>
      </c>
      <c r="I46" s="18">
        <f>SUM(I41:I44)</f>
        <v>607.95519007895746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78.259723214469531</v>
      </c>
      <c r="D48" s="13">
        <f>D24+D32+D40+D46</f>
        <v>8666.5</v>
      </c>
      <c r="E48" s="12">
        <f>SUM(E20:E46)/2</f>
        <v>0.99999999999999989</v>
      </c>
      <c r="F48" s="11">
        <f>I48/D48</f>
        <v>20.939033519875384</v>
      </c>
      <c r="G48" s="10"/>
      <c r="H48" s="9">
        <f>SUM(H20:H46)/2</f>
        <v>167201.77999999997</v>
      </c>
      <c r="I48" s="9">
        <f>SUM(I20:I46)/2</f>
        <v>181468.13400000002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8666.5</v>
      </c>
      <c r="E50" s="12">
        <f>D50/G2</f>
        <v>1.0000461568641026</v>
      </c>
      <c r="F50" s="11">
        <f>I50/D50</f>
        <v>20.939033519875384</v>
      </c>
      <c r="G50" s="10"/>
      <c r="H50" s="9">
        <f>H48+H19</f>
        <v>167201.77999999997</v>
      </c>
      <c r="I50" s="9">
        <f>I48+I19</f>
        <v>181468.13400000002</v>
      </c>
      <c r="J50" s="106">
        <f>D50-G2</f>
        <v>0.3999999999996362</v>
      </c>
      <c r="K50" s="8"/>
    </row>
    <row r="51" spans="1:11" ht="23.25" x14ac:dyDescent="0.35">
      <c r="A51" s="174" t="s">
        <v>250</v>
      </c>
      <c r="B51" s="169"/>
      <c r="C51" s="170"/>
      <c r="G51" s="7"/>
      <c r="H51" s="6"/>
      <c r="I51" s="6">
        <f>+I50/D50</f>
        <v>20.939033519875384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243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243</v>
      </c>
      <c r="D2" s="96" t="s">
        <v>3</v>
      </c>
      <c r="E2" s="95" t="s">
        <v>112</v>
      </c>
      <c r="F2" s="94" t="s">
        <v>5</v>
      </c>
      <c r="G2" s="93">
        <v>7710.4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116</v>
      </c>
      <c r="F3" s="88" t="s">
        <v>8</v>
      </c>
      <c r="G3" s="87">
        <v>22.5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3</v>
      </c>
      <c r="D4" s="83" t="s">
        <v>11</v>
      </c>
      <c r="E4" s="82">
        <f>G2/E3</f>
        <v>66.468965517241372</v>
      </c>
      <c r="F4" s="81" t="s">
        <v>12</v>
      </c>
      <c r="G4" s="80">
        <f>G2*G3</f>
        <v>173484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-5.3147641727287143E-2</v>
      </c>
      <c r="F6" s="69" t="s">
        <v>16</v>
      </c>
      <c r="G6" s="68">
        <f>(I50-I19)/(D50-(SUM(D42:D44)+D19))</f>
        <v>27.805933548107888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22.5</v>
      </c>
      <c r="D10" s="30"/>
      <c r="E10" s="29" t="e">
        <f t="shared" ref="E10:E19" si="1">D10/$D$19</f>
        <v>#DIV/0!</v>
      </c>
      <c r="F10" s="28">
        <f t="shared" ref="F10:F18" si="2">C10-(C10*$E$6)</f>
        <v>23.695821938863961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23.4</v>
      </c>
      <c r="D11" s="30"/>
      <c r="E11" s="29" t="e">
        <f t="shared" si="1"/>
        <v>#DIV/0!</v>
      </c>
      <c r="F11" s="28">
        <f t="shared" si="2"/>
        <v>24.643654816418518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21.4</v>
      </c>
      <c r="D12" s="30"/>
      <c r="E12" s="29" t="e">
        <f t="shared" si="1"/>
        <v>#DIV/0!</v>
      </c>
      <c r="F12" s="28">
        <f t="shared" si="2"/>
        <v>22.537359532963944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23.4</v>
      </c>
      <c r="D13" s="30"/>
      <c r="E13" s="29" t="e">
        <f t="shared" si="1"/>
        <v>#DIV/0!</v>
      </c>
      <c r="F13" s="28">
        <f t="shared" si="2"/>
        <v>24.643654816418518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26.2</v>
      </c>
      <c r="D14" s="30"/>
      <c r="E14" s="29" t="e">
        <f t="shared" si="1"/>
        <v>#DIV/0!</v>
      </c>
      <c r="F14" s="28">
        <f t="shared" si="2"/>
        <v>27.592468213254921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21.6</v>
      </c>
      <c r="D15" s="30"/>
      <c r="E15" s="29" t="e">
        <f t="shared" si="1"/>
        <v>#DIV/0!</v>
      </c>
      <c r="F15" s="28">
        <f t="shared" si="2"/>
        <v>22.747989061309404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29.6</v>
      </c>
      <c r="D16" s="30"/>
      <c r="E16" s="29" t="e">
        <f t="shared" si="1"/>
        <v>#DIV/0!</v>
      </c>
      <c r="F16" s="28">
        <f t="shared" si="2"/>
        <v>31.1731701951277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43.5</v>
      </c>
      <c r="D17" s="30"/>
      <c r="E17" s="29" t="e">
        <f t="shared" si="1"/>
        <v>#DIV/0!</v>
      </c>
      <c r="F17" s="28">
        <f t="shared" si="2"/>
        <v>45.811922415136991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38.1</v>
      </c>
      <c r="D18" s="30"/>
      <c r="E18" s="29" t="e">
        <f t="shared" si="1"/>
        <v>#DIV/0!</v>
      </c>
      <c r="F18" s="28">
        <f t="shared" si="2"/>
        <v>40.124925149809641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56.6</v>
      </c>
      <c r="D21" s="30">
        <v>102.8</v>
      </c>
      <c r="E21" s="29">
        <f>D21/$D$48</f>
        <v>1.3332641626893545E-2</v>
      </c>
      <c r="F21" s="28">
        <f>C21-(C21*$E$6)</f>
        <v>59.608156521764457</v>
      </c>
      <c r="G21" s="27" t="str">
        <f>IF(C21&gt;=F21,"-","+")</f>
        <v>+</v>
      </c>
      <c r="H21" s="26">
        <f>C21*D21</f>
        <v>5818.48</v>
      </c>
      <c r="I21" s="26">
        <f>F21*D21</f>
        <v>6127.7184904373862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</v>
      </c>
      <c r="D22" s="30">
        <v>222.4</v>
      </c>
      <c r="E22" s="29">
        <f>D22/$D$48</f>
        <v>2.8844158539115997E-2</v>
      </c>
      <c r="F22" s="28">
        <f>C22-(C22*$E$6)</f>
        <v>40.019610385636909</v>
      </c>
      <c r="G22" s="27" t="str">
        <f>IF(C22&gt;=F22,"-","+")</f>
        <v>+</v>
      </c>
      <c r="H22" s="26">
        <f>C22*D22</f>
        <v>8451.2000000000007</v>
      </c>
      <c r="I22" s="26">
        <f>F22*D22</f>
        <v>8900.3613497656497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34.700000000000003</v>
      </c>
      <c r="D23" s="30">
        <v>217</v>
      </c>
      <c r="E23" s="29">
        <f>D23/$D$48</f>
        <v>2.8143805768831708E-2</v>
      </c>
      <c r="F23" s="28">
        <f>C23-(C23*$E$6)</f>
        <v>36.544223167936863</v>
      </c>
      <c r="G23" s="27" t="str">
        <f>IF(C23&gt;=F23,"-","+")</f>
        <v>+</v>
      </c>
      <c r="H23" s="26">
        <f>C23*D23</f>
        <v>7529.9000000000005</v>
      </c>
      <c r="I23" s="26">
        <f>F23*D23</f>
        <v>7930.0964274422995</v>
      </c>
      <c r="J23" s="25"/>
      <c r="K23" s="25"/>
    </row>
    <row r="24" spans="1:11" x14ac:dyDescent="0.25">
      <c r="A24" s="24" t="s">
        <v>34</v>
      </c>
      <c r="B24" s="23"/>
      <c r="C24" s="20">
        <f>H24/D24</f>
        <v>40.205791220951681</v>
      </c>
      <c r="D24" s="22">
        <f>SUM(D21:D23)</f>
        <v>542.20000000000005</v>
      </c>
      <c r="E24" s="21">
        <f>D24/$D$48</f>
        <v>7.0320605934841254E-2</v>
      </c>
      <c r="F24" s="20">
        <f>I24/D24</f>
        <v>42.342634208124927</v>
      </c>
      <c r="G24" s="19">
        <f>F24/C24-1</f>
        <v>5.3147641727287143E-2</v>
      </c>
      <c r="H24" s="18">
        <f>SUM(H21:H23)</f>
        <v>21799.58</v>
      </c>
      <c r="I24" s="18">
        <f>SUM(I21:I23)</f>
        <v>22958.176267645336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30.2</v>
      </c>
      <c r="D26" s="30">
        <v>1476</v>
      </c>
      <c r="E26" s="29">
        <f t="shared" ref="E26:E32" si="7">D26/$D$48</f>
        <v>0.19142975721103961</v>
      </c>
      <c r="F26" s="28">
        <f t="shared" ref="F26:F31" si="8">C26-(C26*$E$6)</f>
        <v>31.805058780164071</v>
      </c>
      <c r="G26" s="27" t="str">
        <f t="shared" ref="G26:G31" si="9">IF(C26&gt;=F26,"-","+")</f>
        <v>+</v>
      </c>
      <c r="H26" s="26">
        <f t="shared" ref="H26:H31" si="10">C26*D26</f>
        <v>44575.199999999997</v>
      </c>
      <c r="I26" s="26">
        <f t="shared" ref="I26:I31" si="11">F26*D26</f>
        <v>46944.266759522172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26.9</v>
      </c>
      <c r="D27" s="30">
        <v>1403.8</v>
      </c>
      <c r="E27" s="29">
        <f t="shared" si="7"/>
        <v>0.18206578128242373</v>
      </c>
      <c r="F27" s="28">
        <f t="shared" si="8"/>
        <v>28.329671562464021</v>
      </c>
      <c r="G27" s="27" t="str">
        <f t="shared" si="9"/>
        <v>+</v>
      </c>
      <c r="H27" s="26">
        <f t="shared" si="10"/>
        <v>37762.219999999994</v>
      </c>
      <c r="I27" s="26">
        <f t="shared" si="11"/>
        <v>39769.192939386994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26.9</v>
      </c>
      <c r="D28" s="30">
        <v>365.4</v>
      </c>
      <c r="E28" s="29">
        <f t="shared" si="7"/>
        <v>4.7390537455903707E-2</v>
      </c>
      <c r="F28" s="28">
        <f t="shared" si="8"/>
        <v>28.329671562464021</v>
      </c>
      <c r="G28" s="27" t="str">
        <f t="shared" si="9"/>
        <v>+</v>
      </c>
      <c r="H28" s="26">
        <f t="shared" si="10"/>
        <v>9829.2599999999984</v>
      </c>
      <c r="I28" s="26">
        <f t="shared" si="11"/>
        <v>10351.661988924352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</v>
      </c>
      <c r="D29" s="30">
        <v>564.6</v>
      </c>
      <c r="E29" s="29">
        <f t="shared" si="7"/>
        <v>7.3225772981946463E-2</v>
      </c>
      <c r="F29" s="28">
        <f t="shared" si="8"/>
        <v>27.381838684909464</v>
      </c>
      <c r="G29" s="27" t="str">
        <f t="shared" si="9"/>
        <v>+</v>
      </c>
      <c r="H29" s="26">
        <f t="shared" si="10"/>
        <v>14679.6</v>
      </c>
      <c r="I29" s="26">
        <f t="shared" si="11"/>
        <v>15459.786121499885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</v>
      </c>
      <c r="D30" s="30">
        <v>496.6</v>
      </c>
      <c r="E30" s="29">
        <f t="shared" si="7"/>
        <v>6.4406515874662798E-2</v>
      </c>
      <c r="F30" s="28">
        <f t="shared" si="8"/>
        <v>27.381838684909464</v>
      </c>
      <c r="G30" s="27" t="str">
        <f t="shared" si="9"/>
        <v>+</v>
      </c>
      <c r="H30" s="26">
        <f t="shared" si="10"/>
        <v>12911.6</v>
      </c>
      <c r="I30" s="26">
        <f t="shared" si="11"/>
        <v>13597.821090926042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26.4</v>
      </c>
      <c r="D31" s="30">
        <v>97</v>
      </c>
      <c r="E31" s="29">
        <f t="shared" si="7"/>
        <v>1.2580410873625233E-2</v>
      </c>
      <c r="F31" s="28">
        <f t="shared" si="8"/>
        <v>27.803097741600379</v>
      </c>
      <c r="G31" s="27" t="str">
        <f t="shared" si="9"/>
        <v>+</v>
      </c>
      <c r="H31" s="26">
        <f t="shared" si="10"/>
        <v>2560.7999999999997</v>
      </c>
      <c r="I31" s="26">
        <f t="shared" si="11"/>
        <v>2696.9004809352368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27.778235000227092</v>
      </c>
      <c r="D32" s="22">
        <f>SUM(D26:D31)</f>
        <v>4403.4000000000005</v>
      </c>
      <c r="E32" s="21">
        <f t="shared" si="7"/>
        <v>0.57109877567960166</v>
      </c>
      <c r="F32" s="20">
        <f>I32/D32</f>
        <v>29.254582681835547</v>
      </c>
      <c r="G32" s="19">
        <f>F32/C32-1</f>
        <v>5.3147641727287143E-2</v>
      </c>
      <c r="H32" s="18">
        <f>SUM(H26:H31)</f>
        <v>122318.68</v>
      </c>
      <c r="I32" s="18">
        <f>SUM(I26:I31)</f>
        <v>128819.62938119467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15.9</v>
      </c>
      <c r="D34" s="30">
        <f>746.4+421.4</f>
        <v>1167.8</v>
      </c>
      <c r="E34" s="29">
        <f t="shared" ref="E34:E40" si="13">D34/$D$48</f>
        <v>0.15145777132185098</v>
      </c>
      <c r="F34" s="28">
        <f t="shared" ref="F34:F39" si="14">C34-(C34*$E$6)</f>
        <v>16.745047503463866</v>
      </c>
      <c r="G34" s="27" t="str">
        <f t="shared" ref="G34:G39" si="15">IF(C34&gt;=F34,"-","+")</f>
        <v>+</v>
      </c>
      <c r="H34" s="26">
        <f t="shared" ref="H34:H39" si="16">C34*D34</f>
        <v>18568.02</v>
      </c>
      <c r="I34" s="26">
        <f t="shared" ref="I34:I39" si="17">F34*D34</f>
        <v>19554.866474545102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12.2</v>
      </c>
      <c r="D35" s="30">
        <v>119.2</v>
      </c>
      <c r="E35" s="29">
        <f t="shared" si="13"/>
        <v>1.545963892923843E-2</v>
      </c>
      <c r="F35" s="28">
        <f t="shared" si="14"/>
        <v>12.848401229072902</v>
      </c>
      <c r="G35" s="27" t="str">
        <f t="shared" si="15"/>
        <v>+</v>
      </c>
      <c r="H35" s="26">
        <f t="shared" si="16"/>
        <v>1454.24</v>
      </c>
      <c r="I35" s="26">
        <f t="shared" si="17"/>
        <v>1531.5294265054899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9.8000000000000007</v>
      </c>
      <c r="D36" s="30"/>
      <c r="E36" s="29">
        <f t="shared" si="13"/>
        <v>0</v>
      </c>
      <c r="F36" s="28">
        <f t="shared" si="14"/>
        <v>10.320846888927415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</v>
      </c>
      <c r="D37" s="30"/>
      <c r="E37" s="29">
        <f t="shared" si="13"/>
        <v>0</v>
      </c>
      <c r="F37" s="28">
        <f t="shared" si="14"/>
        <v>27.381838684909464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</v>
      </c>
      <c r="D38" s="30"/>
      <c r="E38" s="29">
        <f t="shared" si="13"/>
        <v>0</v>
      </c>
      <c r="F38" s="28">
        <f t="shared" si="14"/>
        <v>27.381838684909464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26.9</v>
      </c>
      <c r="D39" s="30"/>
      <c r="E39" s="29">
        <f t="shared" si="13"/>
        <v>0</v>
      </c>
      <c r="F39" s="28">
        <f t="shared" si="14"/>
        <v>28.329671562464021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15.557311577311578</v>
      </c>
      <c r="D40" s="22">
        <f>SUM(D34:D39)</f>
        <v>1287</v>
      </c>
      <c r="E40" s="21">
        <f t="shared" si="13"/>
        <v>0.16691741025108942</v>
      </c>
      <c r="F40" s="20">
        <f>I40/D40</f>
        <v>16.384145999262309</v>
      </c>
      <c r="G40" s="19">
        <f>F40/C40-1</f>
        <v>5.3147641727286921E-2</v>
      </c>
      <c r="H40" s="18">
        <f>SUM(H34:H39)</f>
        <v>20022.260000000002</v>
      </c>
      <c r="I40" s="18">
        <f>SUM(I34:I39)</f>
        <v>21086.395901050593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700+101.4+623.9</f>
        <v>1425.3</v>
      </c>
      <c r="E42" s="107">
        <f>D42/$D$48</f>
        <v>0.18485422286781489</v>
      </c>
      <c r="F42" s="28">
        <f>C42-(C42*$E$6)</f>
        <v>0.4212590566909149</v>
      </c>
      <c r="G42" s="27" t="str">
        <f>IF(C42&gt;=F42,"-","+")</f>
        <v>+</v>
      </c>
      <c r="H42" s="26">
        <f>C42*D42</f>
        <v>570.12</v>
      </c>
      <c r="I42" s="26">
        <f>F42*D42</f>
        <v>600.42053350156095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46</v>
      </c>
      <c r="E43" s="107">
        <f>D43/$D$48</f>
        <v>5.9659680431624817E-3</v>
      </c>
      <c r="F43" s="28">
        <f>C43-(C43*$E$6)</f>
        <v>0.4212590566909149</v>
      </c>
      <c r="G43" s="27" t="str">
        <f>IF(C43&gt;=F43,"-","+")</f>
        <v>+</v>
      </c>
      <c r="H43" s="26">
        <f>C43*D43</f>
        <v>18.400000000000002</v>
      </c>
      <c r="I43" s="26">
        <f>F43*D43</f>
        <v>19.377916607782087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6.5</v>
      </c>
      <c r="E45" s="107">
        <f>D45/$D$48</f>
        <v>8.4301722349035063E-4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0.39824062796048182</v>
      </c>
      <c r="D46" s="22">
        <f>SUM(D41:D45)</f>
        <v>1477.8</v>
      </c>
      <c r="E46" s="21">
        <f>D46/$D$48</f>
        <v>0.19166320813446772</v>
      </c>
      <c r="F46" s="20">
        <f>I46/D46</f>
        <v>0.41940617817657538</v>
      </c>
      <c r="G46" s="19">
        <f>F46/C46-1</f>
        <v>5.3147641727287143E-2</v>
      </c>
      <c r="H46" s="18">
        <f>SUM(H41:H44)</f>
        <v>588.52</v>
      </c>
      <c r="I46" s="18">
        <f>SUM(I41:I44)</f>
        <v>619.79845010934309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83.939578426450822</v>
      </c>
      <c r="D48" s="13">
        <f>D24+D32+D40+D46</f>
        <v>7710.4000000000005</v>
      </c>
      <c r="E48" s="12">
        <f>SUM(E20:E46)/2</f>
        <v>1.0000000000000002</v>
      </c>
      <c r="F48" s="11">
        <f>I48/D48</f>
        <v>22.499999999999986</v>
      </c>
      <c r="G48" s="10"/>
      <c r="H48" s="9">
        <f>SUM(H20:H46)/2</f>
        <v>164729.04000000004</v>
      </c>
      <c r="I48" s="9">
        <f>SUM(I20:I46)/2</f>
        <v>173483.99999999991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7710.4</v>
      </c>
      <c r="E50" s="12">
        <f>D50/G2</f>
        <v>1</v>
      </c>
      <c r="F50" s="11">
        <f>I50/D50</f>
        <v>22.499999999999989</v>
      </c>
      <c r="G50" s="10"/>
      <c r="H50" s="9">
        <f>H48+H19</f>
        <v>164729.04000000004</v>
      </c>
      <c r="I50" s="9">
        <f>I48+I19</f>
        <v>173483.99999999991</v>
      </c>
      <c r="J50" s="106">
        <f>D50-G2</f>
        <v>0</v>
      </c>
      <c r="K50" s="8"/>
    </row>
    <row r="51" spans="1:11" ht="23.25" x14ac:dyDescent="0.35">
      <c r="A51" s="174" t="s">
        <v>251</v>
      </c>
      <c r="B51" s="169"/>
      <c r="C51" s="170"/>
      <c r="G51" s="7"/>
      <c r="H51" s="6"/>
      <c r="I51" s="6">
        <f>+I50/D50</f>
        <v>22.499999999999989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252</v>
      </c>
      <c r="D1" s="100" t="s">
        <v>1</v>
      </c>
      <c r="E1" s="168" t="s">
        <v>253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252</v>
      </c>
      <c r="D2" s="96" t="s">
        <v>3</v>
      </c>
      <c r="E2" s="95" t="s">
        <v>112</v>
      </c>
      <c r="F2" s="94" t="s">
        <v>5</v>
      </c>
      <c r="G2" s="93">
        <v>6132.1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104</v>
      </c>
      <c r="F3" s="88" t="s">
        <v>8</v>
      </c>
      <c r="G3" s="87">
        <v>21.08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58.962500000000006</v>
      </c>
      <c r="F4" s="81" t="s">
        <v>12</v>
      </c>
      <c r="G4" s="80">
        <f>G2*G3</f>
        <v>129264.66799999999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-8.4437044729692712E-2</v>
      </c>
      <c r="F6" s="69" t="s">
        <v>16</v>
      </c>
      <c r="G6" s="68">
        <f>(I50-I19)/(D50-(SUM(D42:D44)+D19))</f>
        <v>26.714199388278086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21.1</v>
      </c>
      <c r="D10" s="30"/>
      <c r="E10" s="29" t="e">
        <f t="shared" ref="E10:E19" si="1">D10/$D$19</f>
        <v>#DIV/0!</v>
      </c>
      <c r="F10" s="28">
        <f t="shared" ref="F10:F18" si="2">C10-(C10*$E$6)</f>
        <v>22.881621643796517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</v>
      </c>
      <c r="D11" s="30"/>
      <c r="E11" s="29" t="e">
        <f t="shared" si="1"/>
        <v>#DIV/0!</v>
      </c>
      <c r="F11" s="28">
        <f t="shared" si="2"/>
        <v>23.857614984053239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20.100000000000001</v>
      </c>
      <c r="D12" s="30"/>
      <c r="E12" s="29" t="e">
        <f t="shared" si="1"/>
        <v>#DIV/0!</v>
      </c>
      <c r="F12" s="28">
        <f t="shared" si="2"/>
        <v>21.797184599066824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</v>
      </c>
      <c r="D13" s="30"/>
      <c r="E13" s="29" t="e">
        <f t="shared" si="1"/>
        <v>#DIV/0!</v>
      </c>
      <c r="F13" s="28">
        <f t="shared" si="2"/>
        <v>23.857614984053239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24.5</v>
      </c>
      <c r="D14" s="30"/>
      <c r="E14" s="29" t="e">
        <f t="shared" si="1"/>
        <v>#DIV/0!</v>
      </c>
      <c r="F14" s="28">
        <f t="shared" si="2"/>
        <v>26.56870759587747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20.2</v>
      </c>
      <c r="D15" s="30"/>
      <c r="E15" s="29" t="e">
        <f t="shared" si="1"/>
        <v>#DIV/0!</v>
      </c>
      <c r="F15" s="28">
        <f t="shared" si="2"/>
        <v>21.905628303539793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27.7</v>
      </c>
      <c r="D16" s="30"/>
      <c r="E16" s="29" t="e">
        <f t="shared" si="1"/>
        <v>#DIV/0!</v>
      </c>
      <c r="F16" s="28">
        <f t="shared" si="2"/>
        <v>30.038906139012486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40.799999999999997</v>
      </c>
      <c r="D17" s="30"/>
      <c r="E17" s="29" t="e">
        <f t="shared" si="1"/>
        <v>#DIV/0!</v>
      </c>
      <c r="F17" s="28">
        <f t="shared" si="2"/>
        <v>44.245031424971458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35.700000000000003</v>
      </c>
      <c r="D18" s="30"/>
      <c r="E18" s="29" t="e">
        <f t="shared" si="1"/>
        <v>#DIV/0!</v>
      </c>
      <c r="F18" s="28">
        <f t="shared" si="2"/>
        <v>38.714402496850035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53</v>
      </c>
      <c r="D21" s="30">
        <v>76.8</v>
      </c>
      <c r="E21" s="29">
        <f>D21/$D$48</f>
        <v>1.2524257595277311E-2</v>
      </c>
      <c r="F21" s="28">
        <f>C21-(C21*$E$6)</f>
        <v>57.475163370673712</v>
      </c>
      <c r="G21" s="27" t="str">
        <f>IF(C21&gt;=F21,"-","+")</f>
        <v>+</v>
      </c>
      <c r="H21" s="26">
        <f>C21*D21</f>
        <v>4070.3999999999996</v>
      </c>
      <c r="I21" s="26">
        <f>F21*D21</f>
        <v>4414.0925468677406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35.6</v>
      </c>
      <c r="D22" s="30">
        <v>153.80000000000001</v>
      </c>
      <c r="E22" s="29">
        <f>D22/$D$48</f>
        <v>2.5081130444708992E-2</v>
      </c>
      <c r="F22" s="28">
        <f>C22-(C22*$E$6)</f>
        <v>38.605958792377059</v>
      </c>
      <c r="G22" s="27" t="str">
        <f>IF(C22&gt;=F22,"-","+")</f>
        <v>+</v>
      </c>
      <c r="H22" s="26">
        <f>C22*D22</f>
        <v>5475.2800000000007</v>
      </c>
      <c r="I22" s="26">
        <f>F22*D22</f>
        <v>5937.596462267592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32.5</v>
      </c>
      <c r="D23" s="30">
        <v>131.4</v>
      </c>
      <c r="E23" s="29">
        <f>D23/$D$48</f>
        <v>2.1428221979419775E-2</v>
      </c>
      <c r="F23" s="28">
        <f>C23-(C23*$E$6)</f>
        <v>35.244203953715015</v>
      </c>
      <c r="G23" s="27" t="str">
        <f>IF(C23&gt;=F23,"-","+")</f>
        <v>+</v>
      </c>
      <c r="H23" s="26">
        <f>C23*D23</f>
        <v>4270.5</v>
      </c>
      <c r="I23" s="26">
        <f>F23*D23</f>
        <v>4631.088399518153</v>
      </c>
      <c r="J23" s="25"/>
      <c r="K23" s="25"/>
    </row>
    <row r="24" spans="1:11" x14ac:dyDescent="0.25">
      <c r="A24" s="24" t="s">
        <v>34</v>
      </c>
      <c r="B24" s="23"/>
      <c r="C24" s="20">
        <f>H24/D24</f>
        <v>38.166243093922652</v>
      </c>
      <c r="D24" s="22">
        <f>SUM(D21:D23)</f>
        <v>362</v>
      </c>
      <c r="E24" s="21">
        <f>D24/$D$48</f>
        <v>5.9033610019406074E-2</v>
      </c>
      <c r="F24" s="20">
        <f>I24/D24</f>
        <v>41.388887869208524</v>
      </c>
      <c r="G24" s="19">
        <f>F24/C24-1</f>
        <v>8.4437044729692712E-2</v>
      </c>
      <c r="H24" s="18">
        <f>SUM(H21:H23)</f>
        <v>13816.18</v>
      </c>
      <c r="I24" s="18">
        <f>SUM(I21:I23)</f>
        <v>14982.777408653485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28.3</v>
      </c>
      <c r="D26" s="30">
        <v>1155</v>
      </c>
      <c r="E26" s="29">
        <f t="shared" ref="E26:E32" si="7">D26/$D$48</f>
        <v>0.18835309274147519</v>
      </c>
      <c r="F26" s="28">
        <f t="shared" ref="F26:F31" si="8">C26-(C26*$E$6)</f>
        <v>30.689568365850306</v>
      </c>
      <c r="G26" s="27" t="str">
        <f t="shared" ref="G26:G31" si="9">IF(C26&gt;=F26,"-","+")</f>
        <v>+</v>
      </c>
      <c r="H26" s="26">
        <f t="shared" ref="H26:H31" si="10">C26*D26</f>
        <v>32686.5</v>
      </c>
      <c r="I26" s="26">
        <f t="shared" ref="I26:I31" si="11">F26*D26</f>
        <v>35446.451462557103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25.2</v>
      </c>
      <c r="D27" s="30">
        <v>778.2</v>
      </c>
      <c r="E27" s="29">
        <f t="shared" si="7"/>
        <v>0.12690595391464587</v>
      </c>
      <c r="F27" s="28">
        <f t="shared" si="8"/>
        <v>27.327813527188255</v>
      </c>
      <c r="G27" s="27" t="str">
        <f t="shared" si="9"/>
        <v>+</v>
      </c>
      <c r="H27" s="26">
        <f t="shared" si="10"/>
        <v>19610.64</v>
      </c>
      <c r="I27" s="26">
        <f t="shared" si="11"/>
        <v>21266.504486857903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25.2</v>
      </c>
      <c r="D28" s="30">
        <v>607</v>
      </c>
      <c r="E28" s="29">
        <f t="shared" si="7"/>
        <v>9.8987296358506865E-2</v>
      </c>
      <c r="F28" s="28">
        <f t="shared" si="8"/>
        <v>27.327813527188255</v>
      </c>
      <c r="G28" s="27" t="str">
        <f t="shared" si="9"/>
        <v>+</v>
      </c>
      <c r="H28" s="26">
        <f t="shared" si="10"/>
        <v>15296.4</v>
      </c>
      <c r="I28" s="26">
        <f t="shared" si="11"/>
        <v>16587.982811003272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24.3</v>
      </c>
      <c r="D29" s="30">
        <v>573.6</v>
      </c>
      <c r="E29" s="29">
        <f t="shared" si="7"/>
        <v>9.354054891472742E-2</v>
      </c>
      <c r="F29" s="28">
        <f t="shared" si="8"/>
        <v>26.351820186931533</v>
      </c>
      <c r="G29" s="27" t="str">
        <f t="shared" si="9"/>
        <v>+</v>
      </c>
      <c r="H29" s="26">
        <f t="shared" si="10"/>
        <v>13938.480000000001</v>
      </c>
      <c r="I29" s="26">
        <f t="shared" si="11"/>
        <v>15115.404059223929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24.3</v>
      </c>
      <c r="D30" s="30">
        <v>296</v>
      </c>
      <c r="E30" s="29">
        <f t="shared" si="7"/>
        <v>4.8270576148464632E-2</v>
      </c>
      <c r="F30" s="28">
        <f t="shared" si="8"/>
        <v>26.351820186931533</v>
      </c>
      <c r="G30" s="27" t="str">
        <f t="shared" si="9"/>
        <v>+</v>
      </c>
      <c r="H30" s="26">
        <f t="shared" si="10"/>
        <v>7192.8</v>
      </c>
      <c r="I30" s="26">
        <f t="shared" si="11"/>
        <v>7800.138775331734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24.8</v>
      </c>
      <c r="D31" s="30">
        <v>69.099999999999994</v>
      </c>
      <c r="E31" s="29">
        <f t="shared" si="7"/>
        <v>1.1268570310334142E-2</v>
      </c>
      <c r="F31" s="28">
        <f t="shared" si="8"/>
        <v>26.894038709296382</v>
      </c>
      <c r="G31" s="27" t="str">
        <f t="shared" si="9"/>
        <v>+</v>
      </c>
      <c r="H31" s="26">
        <f t="shared" si="10"/>
        <v>1713.6799999999998</v>
      </c>
      <c r="I31" s="26">
        <f t="shared" si="11"/>
        <v>1858.3780748123797</v>
      </c>
      <c r="J31" s="25"/>
      <c r="K31" s="25"/>
    </row>
    <row r="32" spans="1:11" x14ac:dyDescent="0.25">
      <c r="A32" s="24" t="s">
        <v>34</v>
      </c>
      <c r="B32" s="23"/>
      <c r="C32" s="20">
        <f>H32/D32</f>
        <v>25.996291931357611</v>
      </c>
      <c r="D32" s="22">
        <f>SUM(D26:D31)</f>
        <v>3478.8999999999996</v>
      </c>
      <c r="E32" s="21">
        <f t="shared" si="7"/>
        <v>0.5673260383881541</v>
      </c>
      <c r="F32" s="20">
        <f>I32/D32</f>
        <v>28.191341995971811</v>
      </c>
      <c r="G32" s="19">
        <f>F32/C32-1</f>
        <v>8.4437044729692934E-2</v>
      </c>
      <c r="H32" s="18">
        <f>SUM(H26:H31)</f>
        <v>90438.499999999985</v>
      </c>
      <c r="I32" s="18">
        <f>SUM(I26:I31)</f>
        <v>98074.859669786325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14.9</v>
      </c>
      <c r="D34" s="30">
        <f>524.2+396.6</f>
        <v>920.80000000000007</v>
      </c>
      <c r="E34" s="29">
        <f t="shared" ref="E34:E40" si="13">D34/$D$48</f>
        <v>0.15016063012671027</v>
      </c>
      <c r="F34" s="28">
        <f t="shared" ref="F34:F39" si="14">C34-(C34*$E$6)</f>
        <v>16.158111966472422</v>
      </c>
      <c r="G34" s="27" t="str">
        <f t="shared" ref="G34:G39" si="15">IF(C34&gt;=F34,"-","+")</f>
        <v>+</v>
      </c>
      <c r="H34" s="26">
        <f t="shared" ref="H34:H39" si="16">C34*D34</f>
        <v>13719.920000000002</v>
      </c>
      <c r="I34" s="26">
        <f t="shared" ref="I34:I39" si="17">F34*D34</f>
        <v>14878.389498727807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11.5</v>
      </c>
      <c r="D35" s="30">
        <v>72.8</v>
      </c>
      <c r="E35" s="29">
        <f t="shared" si="13"/>
        <v>1.187195251218995E-2</v>
      </c>
      <c r="F35" s="28">
        <f t="shared" si="14"/>
        <v>12.471026014391466</v>
      </c>
      <c r="G35" s="27" t="str">
        <f t="shared" si="15"/>
        <v>+</v>
      </c>
      <c r="H35" s="26">
        <f t="shared" si="16"/>
        <v>837.19999999999993</v>
      </c>
      <c r="I35" s="26">
        <f t="shared" si="17"/>
        <v>907.89069384769869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9.1999999999999993</v>
      </c>
      <c r="D36" s="30"/>
      <c r="E36" s="29">
        <f t="shared" si="13"/>
        <v>0</v>
      </c>
      <c r="F36" s="28">
        <f t="shared" si="14"/>
        <v>9.9768208115131713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24.3</v>
      </c>
      <c r="D37" s="30"/>
      <c r="E37" s="29">
        <f t="shared" si="13"/>
        <v>0</v>
      </c>
      <c r="F37" s="28">
        <f t="shared" si="14"/>
        <v>26.351820186931533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24.3</v>
      </c>
      <c r="D38" s="30"/>
      <c r="E38" s="29">
        <f t="shared" si="13"/>
        <v>0</v>
      </c>
      <c r="F38" s="28">
        <f t="shared" si="14"/>
        <v>26.351820186931533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25.2</v>
      </c>
      <c r="D39" s="30"/>
      <c r="E39" s="29">
        <f t="shared" si="13"/>
        <v>0</v>
      </c>
      <c r="F39" s="28">
        <f t="shared" si="14"/>
        <v>27.327813527188255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14.650885668276976</v>
      </c>
      <c r="D40" s="22">
        <f>SUM(D34:D39)</f>
        <v>993.6</v>
      </c>
      <c r="E40" s="21">
        <f t="shared" si="13"/>
        <v>0.16203258263890022</v>
      </c>
      <c r="F40" s="20">
        <f>I40/D40</f>
        <v>15.887963156778891</v>
      </c>
      <c r="G40" s="19">
        <f>F40/C40-1</f>
        <v>8.4437044729692712E-2</v>
      </c>
      <c r="H40" s="18">
        <f>SUM(H34:H39)</f>
        <v>14557.120000000003</v>
      </c>
      <c r="I40" s="18">
        <f>SUM(I34:I39)</f>
        <v>15786.280192575507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f>620+93.8+552.8</f>
        <v>1266.5999999999999</v>
      </c>
      <c r="E42" s="107">
        <f>D42/$D$48</f>
        <v>0.20655240455961249</v>
      </c>
      <c r="F42" s="28">
        <f>C42-(C42*$E$6)</f>
        <v>0.3253311134189078</v>
      </c>
      <c r="G42" s="27" t="str">
        <f>IF(C42&gt;=F42,"-","+")</f>
        <v>+</v>
      </c>
      <c r="H42" s="26">
        <f>C42*D42</f>
        <v>379.97999999999996</v>
      </c>
      <c r="I42" s="26">
        <f>F42*D42</f>
        <v>412.06438825638861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26.7</v>
      </c>
      <c r="E43" s="107">
        <f>D43/$D$48</f>
        <v>4.3541364296081275E-3</v>
      </c>
      <c r="F43" s="28">
        <f>C43-(C43*$E$6)</f>
        <v>0.3253311134189078</v>
      </c>
      <c r="G43" s="27" t="str">
        <f>IF(C43&gt;=F43,"-","+")</f>
        <v>+</v>
      </c>
      <c r="H43" s="26">
        <f>C43*D43</f>
        <v>8.01</v>
      </c>
      <c r="I43" s="26">
        <f>F43*D43</f>
        <v>8.6863407282848382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4.3</v>
      </c>
      <c r="E45" s="107">
        <f>D45/$D$48</f>
        <v>7.0122796431891185E-4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0.29900585696670773</v>
      </c>
      <c r="D46" s="22">
        <f>SUM(D41:D45)</f>
        <v>1297.5999999999999</v>
      </c>
      <c r="E46" s="21">
        <f>D46/$D$48</f>
        <v>0.21160776895353955</v>
      </c>
      <c r="F46" s="20">
        <f>I46/D46</f>
        <v>0.32425302788584576</v>
      </c>
      <c r="G46" s="19">
        <f>F46/C46-1</f>
        <v>8.4437044729692712E-2</v>
      </c>
      <c r="H46" s="18">
        <f>SUM(H41:H44)</f>
        <v>387.98999999999995</v>
      </c>
      <c r="I46" s="18">
        <f>SUM(I41:I44)</f>
        <v>420.75072898467346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79.112426550523935</v>
      </c>
      <c r="D48" s="13">
        <f>D24+D32+D40+D46</f>
        <v>6132.1</v>
      </c>
      <c r="E48" s="12">
        <f>SUM(E20:E46)/2</f>
        <v>0.99999999999999989</v>
      </c>
      <c r="F48" s="11">
        <f>I48/D48</f>
        <v>21.08</v>
      </c>
      <c r="G48" s="10"/>
      <c r="H48" s="9">
        <f>SUM(H20:H46)/2</f>
        <v>119199.79000000001</v>
      </c>
      <c r="I48" s="9">
        <f>SUM(I20:I46)/2</f>
        <v>129264.66799999999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6132.0999999999995</v>
      </c>
      <c r="E50" s="12">
        <f>D50/G2</f>
        <v>0.99999999999999989</v>
      </c>
      <c r="F50" s="11">
        <f>I50/D50</f>
        <v>21.080000000000002</v>
      </c>
      <c r="G50" s="10"/>
      <c r="H50" s="9">
        <f>H48+H19</f>
        <v>119199.79000000001</v>
      </c>
      <c r="I50" s="9">
        <f>I48+I19</f>
        <v>129264.66799999999</v>
      </c>
      <c r="J50" s="106">
        <f>D50-G2</f>
        <v>0</v>
      </c>
      <c r="K50" s="8"/>
    </row>
    <row r="51" spans="1:11" ht="23.25" x14ac:dyDescent="0.35">
      <c r="A51" s="174" t="s">
        <v>254</v>
      </c>
      <c r="B51" s="169"/>
      <c r="C51" s="170"/>
      <c r="G51" s="7"/>
      <c r="H51" s="6"/>
      <c r="I51" s="6">
        <f>+I50/D50</f>
        <v>21.080000000000002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252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252</v>
      </c>
      <c r="D2" s="96" t="s">
        <v>3</v>
      </c>
      <c r="E2" s="95" t="s">
        <v>112</v>
      </c>
      <c r="F2" s="94" t="s">
        <v>5</v>
      </c>
      <c r="G2" s="93">
        <v>12933.7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208</v>
      </c>
      <c r="F3" s="88" t="s">
        <v>8</v>
      </c>
      <c r="G3" s="87">
        <v>20.96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62.181250000000006</v>
      </c>
      <c r="F4" s="81" t="s">
        <v>12</v>
      </c>
      <c r="G4" s="80">
        <f>G2*G3</f>
        <v>271090.35200000001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-0.11190785774406597</v>
      </c>
      <c r="F6" s="69" t="s">
        <v>16</v>
      </c>
      <c r="G6" s="68">
        <f>(I50-I19)/(D50-(SUM(D42:D44)+D19))</f>
        <v>27.107950881964726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</v>
      </c>
      <c r="D10" s="30"/>
      <c r="E10" s="29" t="e">
        <f t="shared" ref="E10:E19" si="1">D10/$D$19</f>
        <v>#DIV/0!</v>
      </c>
      <c r="F10" s="28">
        <f t="shared" ref="F10:F18" si="2">C10-(C10*$E$6)</f>
        <v>23.350065012625386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21.8</v>
      </c>
      <c r="D11" s="30"/>
      <c r="E11" s="29" t="e">
        <f t="shared" si="1"/>
        <v>#DIV/0!</v>
      </c>
      <c r="F11" s="28">
        <f t="shared" si="2"/>
        <v>24.239591298820638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19.899999999999999</v>
      </c>
      <c r="D12" s="30"/>
      <c r="E12" s="29" t="e">
        <f t="shared" si="1"/>
        <v>#DIV/0!</v>
      </c>
      <c r="F12" s="28">
        <f t="shared" si="2"/>
        <v>22.12696636910691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21.8</v>
      </c>
      <c r="D13" s="30"/>
      <c r="E13" s="29" t="e">
        <f t="shared" si="1"/>
        <v>#DIV/0!</v>
      </c>
      <c r="F13" s="28">
        <f t="shared" si="2"/>
        <v>24.239591298820638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24.4</v>
      </c>
      <c r="D14" s="30"/>
      <c r="E14" s="29" t="e">
        <f t="shared" si="1"/>
        <v>#DIV/0!</v>
      </c>
      <c r="F14" s="28">
        <f t="shared" si="2"/>
        <v>27.130551728955208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20.100000000000001</v>
      </c>
      <c r="D15" s="30"/>
      <c r="E15" s="29" t="e">
        <f t="shared" si="1"/>
        <v>#DIV/0!</v>
      </c>
      <c r="F15" s="28">
        <f t="shared" si="2"/>
        <v>22.349347940655729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27.5</v>
      </c>
      <c r="D16" s="30"/>
      <c r="E16" s="29" t="e">
        <f t="shared" si="1"/>
        <v>#DIV/0!</v>
      </c>
      <c r="F16" s="28">
        <f t="shared" si="2"/>
        <v>30.577466087961813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40.5</v>
      </c>
      <c r="D17" s="30"/>
      <c r="E17" s="29" t="e">
        <f t="shared" si="1"/>
        <v>#DIV/0!</v>
      </c>
      <c r="F17" s="28">
        <f t="shared" si="2"/>
        <v>45.032268238634671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35.5</v>
      </c>
      <c r="D18" s="30"/>
      <c r="E18" s="29" t="e">
        <f t="shared" si="1"/>
        <v>#DIV/0!</v>
      </c>
      <c r="F18" s="28">
        <f t="shared" si="2"/>
        <v>39.472728949914341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52.7</v>
      </c>
      <c r="D21" s="30">
        <v>160.80000000000001</v>
      </c>
      <c r="E21" s="29">
        <f>D21/$D$48</f>
        <v>1.2432637219047913E-2</v>
      </c>
      <c r="F21" s="28">
        <f>C21-(C21*$E$6)</f>
        <v>58.597544103112277</v>
      </c>
      <c r="G21" s="27" t="str">
        <f>IF(C21&gt;=F21,"-","+")</f>
        <v>+</v>
      </c>
      <c r="H21" s="26">
        <f>C21*D21</f>
        <v>8474.1600000000017</v>
      </c>
      <c r="I21" s="26">
        <f>F21*D21</f>
        <v>9422.4850917804542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35.4</v>
      </c>
      <c r="D22" s="30">
        <v>336</v>
      </c>
      <c r="E22" s="29">
        <f>D22/$D$48</f>
        <v>2.5978644935323997E-2</v>
      </c>
      <c r="F22" s="28">
        <f>C22-(C22*$E$6)</f>
        <v>39.361538164139937</v>
      </c>
      <c r="G22" s="27" t="str">
        <f>IF(C22&gt;=F22,"-","+")</f>
        <v>+</v>
      </c>
      <c r="H22" s="26">
        <f>C22*D22</f>
        <v>11894.4</v>
      </c>
      <c r="I22" s="26">
        <f>F22*D22</f>
        <v>13225.476823151019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32.299999999999997</v>
      </c>
      <c r="D23" s="30">
        <v>274.39999999999998</v>
      </c>
      <c r="E23" s="29">
        <f>D23/$D$48</f>
        <v>2.1215893363847931E-2</v>
      </c>
      <c r="F23" s="28">
        <f>C23-(C23*$E$6)</f>
        <v>35.914623805133331</v>
      </c>
      <c r="G23" s="27" t="str">
        <f>IF(C23&gt;=F23,"-","+")</f>
        <v>+</v>
      </c>
      <c r="H23" s="26">
        <f>C23*D23</f>
        <v>8863.119999999999</v>
      </c>
      <c r="I23" s="26">
        <f>F23*D23</f>
        <v>9854.9727721285853</v>
      </c>
      <c r="J23" s="25"/>
      <c r="K23" s="25"/>
    </row>
    <row r="24" spans="1:11" x14ac:dyDescent="0.25">
      <c r="A24" s="24" t="s">
        <v>34</v>
      </c>
      <c r="B24" s="23"/>
      <c r="C24" s="20">
        <f>H24/D24</f>
        <v>37.904149377593356</v>
      </c>
      <c r="D24" s="22">
        <f>SUM(D21:D23)</f>
        <v>771.2</v>
      </c>
      <c r="E24" s="21">
        <f>D24/$D$48</f>
        <v>5.9627175518219847E-2</v>
      </c>
      <c r="F24" s="20">
        <f>I24/D24</f>
        <v>42.145921534050906</v>
      </c>
      <c r="G24" s="19">
        <f>F24/C24-1</f>
        <v>0.1119078577440662</v>
      </c>
      <c r="H24" s="18">
        <f>SUM(H21:H23)</f>
        <v>29231.68</v>
      </c>
      <c r="I24" s="18">
        <f>SUM(I21:I23)</f>
        <v>32502.93468706006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28.1</v>
      </c>
      <c r="D26" s="30">
        <v>2345</v>
      </c>
      <c r="E26" s="29">
        <f t="shared" ref="E26:E32" si="7">D26/$D$48</f>
        <v>0.18130929277778207</v>
      </c>
      <c r="F26" s="28">
        <f t="shared" ref="F26:F31" si="8">C26-(C26*$E$6)</f>
        <v>31.244610802608257</v>
      </c>
      <c r="G26" s="27" t="str">
        <f t="shared" ref="G26:G31" si="9">IF(C26&gt;=F26,"-","+")</f>
        <v>+</v>
      </c>
      <c r="H26" s="26">
        <f t="shared" ref="H26:H31" si="10">C26*D26</f>
        <v>65894.5</v>
      </c>
      <c r="I26" s="26">
        <f t="shared" ref="I26:I31" si="11">F26*D26</f>
        <v>73268.612332116361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</v>
      </c>
      <c r="D27" s="30">
        <v>1676</v>
      </c>
      <c r="E27" s="29">
        <f t="shared" si="7"/>
        <v>0.1295839550940566</v>
      </c>
      <c r="F27" s="28">
        <f t="shared" si="8"/>
        <v>27.797696443601648</v>
      </c>
      <c r="G27" s="27" t="str">
        <f t="shared" si="9"/>
        <v>+</v>
      </c>
      <c r="H27" s="26">
        <f t="shared" si="10"/>
        <v>41900</v>
      </c>
      <c r="I27" s="26">
        <f t="shared" si="11"/>
        <v>46588.939239476364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</v>
      </c>
      <c r="D28" s="30">
        <v>1104.2</v>
      </c>
      <c r="E28" s="29">
        <f t="shared" si="7"/>
        <v>8.53738682666213E-2</v>
      </c>
      <c r="F28" s="28">
        <f t="shared" si="8"/>
        <v>27.797696443601648</v>
      </c>
      <c r="G28" s="27" t="str">
        <f t="shared" si="9"/>
        <v>+</v>
      </c>
      <c r="H28" s="26">
        <f t="shared" si="10"/>
        <v>27605</v>
      </c>
      <c r="I28" s="26">
        <f t="shared" si="11"/>
        <v>30694.21641302494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24.2</v>
      </c>
      <c r="D29" s="30">
        <v>1012.8</v>
      </c>
      <c r="E29" s="29">
        <f t="shared" si="7"/>
        <v>7.8307058305048041E-2</v>
      </c>
      <c r="F29" s="28">
        <f t="shared" si="8"/>
        <v>26.908170157406396</v>
      </c>
      <c r="G29" s="27" t="str">
        <f t="shared" si="9"/>
        <v>+</v>
      </c>
      <c r="H29" s="26">
        <f t="shared" si="10"/>
        <v>24509.759999999998</v>
      </c>
      <c r="I29" s="26">
        <f t="shared" si="11"/>
        <v>27252.594735421197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24.2</v>
      </c>
      <c r="D30" s="30">
        <v>730.6</v>
      </c>
      <c r="E30" s="29">
        <f t="shared" si="7"/>
        <v>5.6488089255201525E-2</v>
      </c>
      <c r="F30" s="28">
        <f t="shared" si="8"/>
        <v>26.908170157406396</v>
      </c>
      <c r="G30" s="27" t="str">
        <f t="shared" si="9"/>
        <v>+</v>
      </c>
      <c r="H30" s="26">
        <f t="shared" si="10"/>
        <v>17680.52</v>
      </c>
      <c r="I30" s="26">
        <f t="shared" si="11"/>
        <v>19659.109117001113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24.6</v>
      </c>
      <c r="D31" s="30">
        <v>181.8</v>
      </c>
      <c r="E31" s="29">
        <f t="shared" si="7"/>
        <v>1.4056302527505664E-2</v>
      </c>
      <c r="F31" s="28">
        <f t="shared" si="8"/>
        <v>27.352933300504024</v>
      </c>
      <c r="G31" s="27" t="str">
        <f t="shared" si="9"/>
        <v>+</v>
      </c>
      <c r="H31" s="26">
        <f t="shared" si="10"/>
        <v>4472.2800000000007</v>
      </c>
      <c r="I31" s="26">
        <f t="shared" si="11"/>
        <v>4972.7632740316321</v>
      </c>
      <c r="J31" s="25"/>
      <c r="K31" s="25"/>
    </row>
    <row r="32" spans="1:11" x14ac:dyDescent="0.25">
      <c r="A32" s="24" t="s">
        <v>34</v>
      </c>
      <c r="B32" s="23"/>
      <c r="C32" s="20">
        <f>H32/D32</f>
        <v>25.822940542380572</v>
      </c>
      <c r="D32" s="22">
        <f>SUM(D26:D31)</f>
        <v>7050.4000000000005</v>
      </c>
      <c r="E32" s="21">
        <f t="shared" si="7"/>
        <v>0.54511856622621524</v>
      </c>
      <c r="F32" s="20">
        <f>I32/D32</f>
        <v>28.712730499130771</v>
      </c>
      <c r="G32" s="19">
        <f>F32/C32-1</f>
        <v>0.11190785774406597</v>
      </c>
      <c r="H32" s="18">
        <f>SUM(H26:H31)</f>
        <v>182062.06</v>
      </c>
      <c r="I32" s="18">
        <f>SUM(I26:I31)</f>
        <v>202436.23511107161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14.8</v>
      </c>
      <c r="D34" s="30">
        <f>1172.2+847.8</f>
        <v>2020</v>
      </c>
      <c r="E34" s="29">
        <f t="shared" ref="E34:E40" si="13">D34/$D$48</f>
        <v>0.15618113919450735</v>
      </c>
      <c r="F34" s="28">
        <f t="shared" ref="F34:F39" si="14">C34-(C34*$E$6)</f>
        <v>16.456236294612179</v>
      </c>
      <c r="G34" s="27" t="str">
        <f t="shared" ref="G34:G39" si="15">IF(C34&gt;=F34,"-","+")</f>
        <v>+</v>
      </c>
      <c r="H34" s="26">
        <f t="shared" ref="H34:H39" si="16">C34*D34</f>
        <v>29896</v>
      </c>
      <c r="I34" s="26">
        <f t="shared" ref="I34:I39" si="17">F34*D34</f>
        <v>33241.597315116604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11.4</v>
      </c>
      <c r="D35" s="30">
        <v>153.4</v>
      </c>
      <c r="E35" s="29">
        <f t="shared" si="13"/>
        <v>1.1860488491305658E-2</v>
      </c>
      <c r="F35" s="28">
        <f t="shared" si="14"/>
        <v>12.675749578282353</v>
      </c>
      <c r="G35" s="27" t="str">
        <f t="shared" si="15"/>
        <v>+</v>
      </c>
      <c r="H35" s="26">
        <f t="shared" si="16"/>
        <v>1748.7600000000002</v>
      </c>
      <c r="I35" s="26">
        <f t="shared" si="17"/>
        <v>1944.4599853085131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9.1999999999999993</v>
      </c>
      <c r="D36" s="30"/>
      <c r="E36" s="29">
        <f t="shared" si="13"/>
        <v>0</v>
      </c>
      <c r="F36" s="28">
        <f t="shared" si="14"/>
        <v>10.229552291245406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24.2</v>
      </c>
      <c r="D37" s="30"/>
      <c r="E37" s="29">
        <f t="shared" si="13"/>
        <v>0</v>
      </c>
      <c r="F37" s="28">
        <f t="shared" si="14"/>
        <v>26.908170157406396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24.2</v>
      </c>
      <c r="D38" s="30"/>
      <c r="E38" s="29">
        <f t="shared" si="13"/>
        <v>0</v>
      </c>
      <c r="F38" s="28">
        <f t="shared" si="14"/>
        <v>26.908170157406396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</v>
      </c>
      <c r="D39" s="30"/>
      <c r="E39" s="29">
        <f t="shared" si="13"/>
        <v>0</v>
      </c>
      <c r="F39" s="28">
        <f t="shared" si="14"/>
        <v>27.797696443601648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14.560025766080795</v>
      </c>
      <c r="D40" s="22">
        <f>SUM(D34:D39)</f>
        <v>2173.4</v>
      </c>
      <c r="E40" s="21">
        <f t="shared" si="13"/>
        <v>0.16804162768581302</v>
      </c>
      <c r="F40" s="20">
        <f>I40/D40</f>
        <v>16.189407058261303</v>
      </c>
      <c r="G40" s="19">
        <f>F40/C40-1</f>
        <v>0.1119078577440662</v>
      </c>
      <c r="H40" s="18">
        <f>SUM(H34:H39)</f>
        <v>31644.760000000002</v>
      </c>
      <c r="I40" s="18">
        <f>SUM(I34:I39)</f>
        <v>35186.05730042512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0.3</v>
      </c>
      <c r="D42" s="30">
        <f>1355+196.6+1248</f>
        <v>2799.6</v>
      </c>
      <c r="E42" s="107">
        <f>D42/$D$48</f>
        <v>0.21645778083611031</v>
      </c>
      <c r="F42" s="28">
        <f>C42-(C42*$E$6)</f>
        <v>0.33357235732321977</v>
      </c>
      <c r="G42" s="27" t="str">
        <f>IF(C42&gt;=F42,"-","+")</f>
        <v>+</v>
      </c>
      <c r="H42" s="26">
        <f>C42*D42</f>
        <v>839.88</v>
      </c>
      <c r="I42" s="26">
        <f>F42*D42</f>
        <v>933.86917156208608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0.3</v>
      </c>
      <c r="D43" s="30">
        <v>93.7</v>
      </c>
      <c r="E43" s="107">
        <f>D43/$D$48</f>
        <v>7.2446399715471984E-3</v>
      </c>
      <c r="F43" s="28">
        <f>C43-(C43*$E$6)</f>
        <v>0.33357235732321977</v>
      </c>
      <c r="G43" s="27" t="str">
        <f>IF(C43&gt;=F43,"-","+")</f>
        <v>+</v>
      </c>
      <c r="H43" s="26">
        <f>C43*D43</f>
        <v>28.11</v>
      </c>
      <c r="I43" s="26">
        <f>F43*D43</f>
        <v>31.255729881185694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40</v>
      </c>
      <c r="E44" s="107">
        <f>D44/$D$48</f>
        <v>3.0926958256338091E-3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4.1751393646056426E-4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0.29536529758056285</v>
      </c>
      <c r="D46" s="22">
        <f>SUM(D41:D45)</f>
        <v>2938.7</v>
      </c>
      <c r="E46" s="21">
        <f>D46/$D$48</f>
        <v>0.22721263056975186</v>
      </c>
      <c r="F46" s="20">
        <f>I46/D46</f>
        <v>0.32841899528474222</v>
      </c>
      <c r="G46" s="19">
        <f>F46/C46-1</f>
        <v>0.1119078577440662</v>
      </c>
      <c r="H46" s="18">
        <f>SUM(H41:H44)</f>
        <v>867.99</v>
      </c>
      <c r="I46" s="18">
        <f>SUM(I41:I44)</f>
        <v>965.12490144327182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78.582480983635278</v>
      </c>
      <c r="D48" s="13">
        <f>D24+D32+D40+D46</f>
        <v>12933.7</v>
      </c>
      <c r="E48" s="12">
        <f>SUM(E20:E46)/2</f>
        <v>1</v>
      </c>
      <c r="F48" s="11">
        <f>I48/D48</f>
        <v>20.960000000000008</v>
      </c>
      <c r="G48" s="10"/>
      <c r="H48" s="9">
        <f>SUM(H20:H46)/2</f>
        <v>243806.49</v>
      </c>
      <c r="I48" s="9">
        <f>SUM(I20:I46)/2</f>
        <v>271090.35200000013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12933.700000000003</v>
      </c>
      <c r="E50" s="12">
        <f>D50/G2</f>
        <v>1.0000000000000002</v>
      </c>
      <c r="F50" s="11">
        <f>I50/D50</f>
        <v>20.960000000000004</v>
      </c>
      <c r="G50" s="10"/>
      <c r="H50" s="9">
        <f>H48+H19</f>
        <v>243806.49</v>
      </c>
      <c r="I50" s="9">
        <f>I48+I19</f>
        <v>271090.35200000013</v>
      </c>
      <c r="J50" s="106">
        <f>D50-G2</f>
        <v>0</v>
      </c>
      <c r="K50" s="8"/>
    </row>
    <row r="51" spans="1:11" ht="23.25" x14ac:dyDescent="0.35">
      <c r="A51" s="174" t="s">
        <v>255</v>
      </c>
      <c r="B51" s="169"/>
      <c r="C51" s="170"/>
      <c r="G51" s="7"/>
      <c r="H51" s="6"/>
      <c r="I51" s="6">
        <f>+I50/D50</f>
        <v>20.960000000000004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92D050"/>
  </sheetPr>
  <dimension ref="A1:K56"/>
  <sheetViews>
    <sheetView topLeftCell="A2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252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252</v>
      </c>
      <c r="D2" s="96" t="s">
        <v>3</v>
      </c>
      <c r="E2" s="95" t="s">
        <v>71</v>
      </c>
      <c r="F2" s="94" t="s">
        <v>5</v>
      </c>
      <c r="G2" s="93">
        <v>23086.2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244</v>
      </c>
      <c r="D3" s="90" t="s">
        <v>7</v>
      </c>
      <c r="E3" s="89">
        <v>332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69.536746987951815</v>
      </c>
      <c r="F4" s="81" t="s">
        <v>12</v>
      </c>
      <c r="G4" s="80">
        <f>G2*G3</f>
        <v>611784.30000000005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-3.4362984869457991E-2</v>
      </c>
      <c r="F6" s="69" t="s">
        <v>16</v>
      </c>
      <c r="G6" s="68">
        <f>(I50-I19)/(D50-(SUM(D42:D44)+D19))</f>
        <v>31.912429444638057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27.410619099040638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>
        <f t="shared" si="1"/>
        <v>0</v>
      </c>
      <c r="F11" s="28">
        <f t="shared" si="2"/>
        <v>28.548418382397042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>
        <f t="shared" si="1"/>
        <v>0</v>
      </c>
      <c r="F12" s="28">
        <f t="shared" si="2"/>
        <v>26.065947218710342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28.548418382397042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>
        <v>207.8</v>
      </c>
      <c r="E14" s="29">
        <f t="shared" si="1"/>
        <v>1</v>
      </c>
      <c r="F14" s="28">
        <f t="shared" si="2"/>
        <v>31.961816232466251</v>
      </c>
      <c r="G14" s="27" t="str">
        <f t="shared" si="3"/>
        <v>+</v>
      </c>
      <c r="H14" s="34">
        <f t="shared" si="4"/>
        <v>6421.02</v>
      </c>
      <c r="I14" s="34">
        <f t="shared" si="5"/>
        <v>6641.665413106487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/>
      <c r="E15" s="29">
        <f t="shared" si="1"/>
        <v>0</v>
      </c>
      <c r="F15" s="28">
        <f t="shared" si="2"/>
        <v>26.272819815684233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>
        <f t="shared" si="1"/>
        <v>0</v>
      </c>
      <c r="F16" s="28">
        <f t="shared" si="2"/>
        <v>35.995831873457135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/>
      <c r="E17" s="29">
        <f t="shared" si="1"/>
        <v>0</v>
      </c>
      <c r="F17" s="28">
        <f t="shared" si="2"/>
        <v>53.062821123803189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46.442898020638665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30.900000000000002</v>
      </c>
      <c r="D19" s="49">
        <f>SUM(D10:D18)</f>
        <v>207.8</v>
      </c>
      <c r="E19" s="48">
        <f t="shared" si="1"/>
        <v>1</v>
      </c>
      <c r="F19" s="47">
        <f>I19/D19</f>
        <v>31.961816232466248</v>
      </c>
      <c r="G19" s="46">
        <f>F19/C19-1</f>
        <v>3.4362984869457769E-2</v>
      </c>
      <c r="H19" s="9">
        <f>SUM(H10:H18)</f>
        <v>6421.02</v>
      </c>
      <c r="I19" s="9">
        <f>SUM(I10:I18)</f>
        <v>6641.665413106487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>
        <v>235.2</v>
      </c>
      <c r="E21" s="29">
        <f>D21/$D$48</f>
        <v>1.0280439191551855E-2</v>
      </c>
      <c r="F21" s="28">
        <f>C21-(C21*$E$6)</f>
        <v>68.888574792305903</v>
      </c>
      <c r="G21" s="27" t="str">
        <f>IF(C21&gt;=F21,"-","+")</f>
        <v>+</v>
      </c>
      <c r="H21" s="26">
        <f>C21*D21</f>
        <v>15664.319999999998</v>
      </c>
      <c r="I21" s="26">
        <f>F21*D21</f>
        <v>16202.592791150348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640</v>
      </c>
      <c r="E22" s="29">
        <f>D22/$D$48</f>
        <v>2.7973984194698927E-2</v>
      </c>
      <c r="F22" s="28">
        <f>C22-(C22*$E$6)</f>
        <v>46.339461722151718</v>
      </c>
      <c r="G22" s="27" t="str">
        <f>IF(C22&gt;=F22,"-","+")</f>
        <v>+</v>
      </c>
      <c r="H22" s="26">
        <f>C22*D22</f>
        <v>28672</v>
      </c>
      <c r="I22" s="26">
        <f>F22*D22</f>
        <v>29657.2555021771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>
        <v>590.9</v>
      </c>
      <c r="E23" s="29">
        <f>D23/$D$48</f>
        <v>2.5827855094761869E-2</v>
      </c>
      <c r="F23" s="28">
        <f>C23-(C23*$E$6)</f>
        <v>42.202009782673883</v>
      </c>
      <c r="G23" s="27" t="str">
        <f>IF(C23&gt;=F23,"-","+")</f>
        <v>+</v>
      </c>
      <c r="H23" s="26">
        <f>C23*D23</f>
        <v>24108.719999999998</v>
      </c>
      <c r="I23" s="26">
        <f>F23*D23</f>
        <v>24937.167580581998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46.685110156196714</v>
      </c>
      <c r="D24" s="22">
        <f>SUM(D21:D23)</f>
        <v>1466.1</v>
      </c>
      <c r="E24" s="21">
        <f>D24/$D$48</f>
        <v>6.4082278481012653E-2</v>
      </c>
      <c r="F24" s="20">
        <f>I24/D24</f>
        <v>48.289349890123084</v>
      </c>
      <c r="G24" s="19">
        <f>F24/C24-1</f>
        <v>3.4362984869457991E-2</v>
      </c>
      <c r="H24" s="18">
        <f>SUM(H21:H23)</f>
        <v>68445.039999999994</v>
      </c>
      <c r="I24" s="18">
        <f>SUM(I21:I23)</f>
        <v>70797.015873909448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>
        <f>4168.6+69.9</f>
        <v>4238.5</v>
      </c>
      <c r="E26" s="29">
        <f t="shared" ref="E26:E32" si="7">D26/$D$48</f>
        <v>0.18526208126442406</v>
      </c>
      <c r="F26" s="28">
        <f t="shared" ref="F26:F31" si="8">C26-(C26*$E$6)</f>
        <v>36.823322261352708</v>
      </c>
      <c r="G26" s="27" t="str">
        <f t="shared" ref="G26:G31" si="9">IF(C26&gt;=F26,"-","+")</f>
        <v>+</v>
      </c>
      <c r="H26" s="26">
        <f t="shared" ref="H26:H31" si="10">C26*D26</f>
        <v>150890.6</v>
      </c>
      <c r="I26" s="26">
        <f t="shared" ref="I26:I31" si="11">F26*D26</f>
        <v>156075.65140474346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3006.7</v>
      </c>
      <c r="E27" s="29">
        <f t="shared" si="7"/>
        <v>0.13142090355968947</v>
      </c>
      <c r="F27" s="28">
        <f t="shared" si="8"/>
        <v>32.78930662036182</v>
      </c>
      <c r="G27" s="27" t="str">
        <f t="shared" si="9"/>
        <v>+</v>
      </c>
      <c r="H27" s="26">
        <f t="shared" si="10"/>
        <v>95312.389999999985</v>
      </c>
      <c r="I27" s="26">
        <f t="shared" si="11"/>
        <v>98587.608215441884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2189.1</v>
      </c>
      <c r="E28" s="29">
        <f t="shared" si="7"/>
        <v>9.56841387509616E-2</v>
      </c>
      <c r="F28" s="28">
        <f t="shared" si="8"/>
        <v>32.78930662036182</v>
      </c>
      <c r="G28" s="27" t="str">
        <f t="shared" si="9"/>
        <v>+</v>
      </c>
      <c r="H28" s="26">
        <f t="shared" si="10"/>
        <v>69394.47</v>
      </c>
      <c r="I28" s="26">
        <f t="shared" si="11"/>
        <v>71779.071122634065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2120</v>
      </c>
      <c r="E29" s="29">
        <f t="shared" si="7"/>
        <v>9.2663822644940205E-2</v>
      </c>
      <c r="F29" s="28">
        <f t="shared" si="8"/>
        <v>31.651507337005416</v>
      </c>
      <c r="G29" s="27" t="str">
        <f t="shared" si="9"/>
        <v>+</v>
      </c>
      <c r="H29" s="26">
        <f t="shared" si="10"/>
        <v>64872</v>
      </c>
      <c r="I29" s="26">
        <f t="shared" si="11"/>
        <v>67101.195554451479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>
        <v>1703</v>
      </c>
      <c r="E30" s="29">
        <f t="shared" si="7"/>
        <v>7.4437023568081684E-2</v>
      </c>
      <c r="F30" s="28">
        <f t="shared" si="8"/>
        <v>31.651507337005416</v>
      </c>
      <c r="G30" s="27" t="str">
        <f t="shared" si="9"/>
        <v>+</v>
      </c>
      <c r="H30" s="26">
        <f t="shared" si="10"/>
        <v>52111.8</v>
      </c>
      <c r="I30" s="26">
        <f t="shared" si="11"/>
        <v>53902.516994920225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>
        <v>341.4</v>
      </c>
      <c r="E31" s="29">
        <f t="shared" si="7"/>
        <v>1.4922372193859709E-2</v>
      </c>
      <c r="F31" s="28">
        <f t="shared" si="8"/>
        <v>32.168688829440143</v>
      </c>
      <c r="G31" s="27" t="str">
        <f t="shared" si="9"/>
        <v>+</v>
      </c>
      <c r="H31" s="26">
        <f t="shared" si="10"/>
        <v>10617.539999999999</v>
      </c>
      <c r="I31" s="26">
        <f t="shared" si="11"/>
        <v>10982.390366370864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32.591262400082357</v>
      </c>
      <c r="D32" s="22">
        <f>SUM(D26:D31)</f>
        <v>13598.699999999999</v>
      </c>
      <c r="E32" s="21">
        <f t="shared" si="7"/>
        <v>0.59439034198195673</v>
      </c>
      <c r="F32" s="20">
        <f>I32/D32</f>
        <v>33.711195456812931</v>
      </c>
      <c r="G32" s="19">
        <f>F32/C32-1</f>
        <v>3.4362984869458213E-2</v>
      </c>
      <c r="H32" s="18">
        <f>SUM(H26:H31)</f>
        <v>443198.79999999993</v>
      </c>
      <c r="I32" s="18">
        <f>SUM(I26:I31)</f>
        <v>458428.43365856196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1266.9+2404.8</f>
        <v>3671.7000000000003</v>
      </c>
      <c r="E34" s="29">
        <f t="shared" ref="E34:E40" si="13">D34/$D$48</f>
        <v>0.16048762151199386</v>
      </c>
      <c r="F34" s="28">
        <f t="shared" ref="F34:F39" si="14">C34-(C34*$E$6)</f>
        <v>19.342587817058863</v>
      </c>
      <c r="G34" s="27" t="str">
        <f t="shared" ref="G34:G39" si="15">IF(C34&gt;=F34,"-","+")</f>
        <v>+</v>
      </c>
      <c r="H34" s="26">
        <f t="shared" ref="H34:H39" si="16">C34*D34</f>
        <v>68660.790000000008</v>
      </c>
      <c r="I34" s="26">
        <f t="shared" ref="I34:I39" si="17">F34*D34</f>
        <v>71020.179687895026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220</v>
      </c>
      <c r="E35" s="29">
        <f t="shared" si="13"/>
        <v>9.6160570669277558E-3</v>
      </c>
      <c r="F35" s="28">
        <f t="shared" si="14"/>
        <v>14.894826982120195</v>
      </c>
      <c r="G35" s="27" t="str">
        <f t="shared" si="15"/>
        <v>+</v>
      </c>
      <c r="H35" s="26">
        <f t="shared" si="16"/>
        <v>3168</v>
      </c>
      <c r="I35" s="26">
        <f t="shared" si="17"/>
        <v>3276.8619360664429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11.998610624485712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31.651507337005416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31.651507337005416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32.78930662036182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18.456918570290618</v>
      </c>
      <c r="D40" s="22">
        <f>SUM(D34:D39)</f>
        <v>3891.7000000000003</v>
      </c>
      <c r="E40" s="21">
        <f t="shared" si="13"/>
        <v>0.17010367857892161</v>
      </c>
      <c r="F40" s="20">
        <f>I40/D40</f>
        <v>19.09115338385833</v>
      </c>
      <c r="G40" s="19">
        <f>F40/C40-1</f>
        <v>3.4362984869457769E-2</v>
      </c>
      <c r="H40" s="18">
        <f>SUM(H34:H39)</f>
        <v>71828.790000000008</v>
      </c>
      <c r="I40" s="18">
        <f>SUM(I34:I39)</f>
        <v>74297.041623961471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228.8+1918+1633</f>
        <v>3779.8</v>
      </c>
      <c r="E42" s="107">
        <f>D42/$D$48</f>
        <v>0.16521260227987972</v>
      </c>
      <c r="F42" s="28">
        <f>C42-(C42*$E$6)</f>
        <v>0.4137451939477832</v>
      </c>
      <c r="G42" s="27" t="str">
        <f>IF(C42&gt;=F42,"-","+")</f>
        <v>+</v>
      </c>
      <c r="H42" s="26">
        <f>C42*D42</f>
        <v>1511.92</v>
      </c>
      <c r="I42" s="26">
        <f>F42*D42</f>
        <v>1563.8740840838309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136</v>
      </c>
      <c r="E43" s="107">
        <f>D43/$D$48</f>
        <v>5.9444716413735227E-3</v>
      </c>
      <c r="F43" s="28">
        <f>C43-(C43*$E$6)</f>
        <v>0.4137451939477832</v>
      </c>
      <c r="G43" s="27" t="str">
        <f>IF(C43&gt;=F43,"-","+")</f>
        <v>+</v>
      </c>
      <c r="H43" s="26">
        <f>C43*D43</f>
        <v>54.400000000000006</v>
      </c>
      <c r="I43" s="26">
        <f>F43*D43</f>
        <v>56.269346376898511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6.1</v>
      </c>
      <c r="E45" s="107">
        <f>D45/$D$48</f>
        <v>2.6662703685572417E-4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0.39937785257145775</v>
      </c>
      <c r="D46" s="22">
        <f>SUM(D41:D45)</f>
        <v>3921.9</v>
      </c>
      <c r="E46" s="21">
        <f>D46/$D$48</f>
        <v>0.17142370095810897</v>
      </c>
      <c r="F46" s="20">
        <f>I46/D46</f>
        <v>0.41310166767656731</v>
      </c>
      <c r="G46" s="19">
        <f>F46/C46-1</f>
        <v>3.4362984869457769E-2</v>
      </c>
      <c r="H46" s="18">
        <f>SUM(H41:H44)</f>
        <v>1566.3200000000002</v>
      </c>
      <c r="I46" s="18">
        <f>SUM(I41:I44)</f>
        <v>1620.1434304607294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98.132668979141158</v>
      </c>
      <c r="D48" s="13">
        <f>D24+D32+D40+D46</f>
        <v>22878.400000000001</v>
      </c>
      <c r="E48" s="12">
        <f>SUM(E20:E46)/2</f>
        <v>0.99999999999999989</v>
      </c>
      <c r="F48" s="11">
        <f>I48/D48</f>
        <v>26.450391399175359</v>
      </c>
      <c r="G48" s="10"/>
      <c r="H48" s="9">
        <f>SUM(H20:H46)/2</f>
        <v>585038.94999999995</v>
      </c>
      <c r="I48" s="9">
        <f>SUM(I20:I46)/2</f>
        <v>605142.6345868936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23086.199999999997</v>
      </c>
      <c r="E50" s="12">
        <f>D50/G2</f>
        <v>0.99999999999999989</v>
      </c>
      <c r="F50" s="11">
        <f>I50/D50</f>
        <v>26.500000000000007</v>
      </c>
      <c r="G50" s="10"/>
      <c r="H50" s="9">
        <f>H48+H19</f>
        <v>591459.97</v>
      </c>
      <c r="I50" s="9">
        <f>I48+I19</f>
        <v>611784.30000000005</v>
      </c>
      <c r="J50" s="106">
        <f>D50-G2</f>
        <v>0</v>
      </c>
      <c r="K50" s="8"/>
    </row>
    <row r="51" spans="1:11" ht="23.25" x14ac:dyDescent="0.35">
      <c r="A51" s="174" t="s">
        <v>256</v>
      </c>
      <c r="B51" s="169"/>
      <c r="C51" s="170"/>
      <c r="G51" s="7"/>
      <c r="H51" s="6"/>
      <c r="I51" s="6">
        <f>+I50/D50</f>
        <v>26.500000000000007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257</v>
      </c>
      <c r="D1" s="100" t="s">
        <v>1</v>
      </c>
      <c r="E1" s="168" t="s">
        <v>193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257</v>
      </c>
      <c r="D2" s="96" t="s">
        <v>3</v>
      </c>
      <c r="E2" s="95" t="s">
        <v>112</v>
      </c>
      <c r="F2" s="94" t="s">
        <v>5</v>
      </c>
      <c r="G2" s="93">
        <v>5963.4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89</v>
      </c>
      <c r="F3" s="88" t="s">
        <v>8</v>
      </c>
      <c r="G3" s="87">
        <v>21.38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67.004494382022472</v>
      </c>
      <c r="F4" s="81" t="s">
        <v>12</v>
      </c>
      <c r="G4" s="80">
        <f>G2*G3</f>
        <v>127497.49199999998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-6.2022607282636422E-2</v>
      </c>
      <c r="F6" s="69" t="s">
        <v>16</v>
      </c>
      <c r="G6" s="68">
        <f>(I50-I19)/(D50-(SUM(D42:D44)+D19))</f>
        <v>27.183807087117817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21.4</v>
      </c>
      <c r="D10" s="30"/>
      <c r="E10" s="29" t="e">
        <f t="shared" ref="E10:E19" si="1">D10/$D$19</f>
        <v>#DIV/0!</v>
      </c>
      <c r="F10" s="28">
        <f t="shared" ref="F10:F18" si="2">C10-(C10*$E$6)</f>
        <v>22.727283795848418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22.3</v>
      </c>
      <c r="D11" s="30"/>
      <c r="E11" s="29" t="e">
        <f t="shared" si="1"/>
        <v>#DIV/0!</v>
      </c>
      <c r="F11" s="28">
        <f t="shared" si="2"/>
        <v>23.683104142402794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20.3</v>
      </c>
      <c r="D12" s="30"/>
      <c r="E12" s="29" t="e">
        <f t="shared" si="1"/>
        <v>#DIV/0!</v>
      </c>
      <c r="F12" s="28">
        <f t="shared" si="2"/>
        <v>21.559058927837519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22.3</v>
      </c>
      <c r="D13" s="30"/>
      <c r="E13" s="29" t="e">
        <f t="shared" si="1"/>
        <v>#DIV/0!</v>
      </c>
      <c r="F13" s="28">
        <f t="shared" si="2"/>
        <v>23.683104142402794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24.9</v>
      </c>
      <c r="D14" s="30"/>
      <c r="E14" s="29" t="e">
        <f t="shared" si="1"/>
        <v>#DIV/0!</v>
      </c>
      <c r="F14" s="28">
        <f t="shared" si="2"/>
        <v>26.444362921337646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20.5</v>
      </c>
      <c r="D15" s="30"/>
      <c r="E15" s="29" t="e">
        <f t="shared" si="1"/>
        <v>#DIV/0!</v>
      </c>
      <c r="F15" s="28">
        <f t="shared" si="2"/>
        <v>21.771463449294046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28.1</v>
      </c>
      <c r="D16" s="30"/>
      <c r="E16" s="29" t="e">
        <f t="shared" si="1"/>
        <v>#DIV/0!</v>
      </c>
      <c r="F16" s="28">
        <f t="shared" si="2"/>
        <v>29.842835264642083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41.4</v>
      </c>
      <c r="D17" s="30"/>
      <c r="E17" s="29" t="e">
        <f t="shared" si="1"/>
        <v>#DIV/0!</v>
      </c>
      <c r="F17" s="28">
        <f t="shared" si="2"/>
        <v>43.967735941501147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36.200000000000003</v>
      </c>
      <c r="D18" s="30"/>
      <c r="E18" s="29" t="e">
        <f t="shared" si="1"/>
        <v>#DIV/0!</v>
      </c>
      <c r="F18" s="28">
        <f t="shared" si="2"/>
        <v>38.445218383631442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53.8</v>
      </c>
      <c r="D21" s="30">
        <v>80</v>
      </c>
      <c r="E21" s="29">
        <f>D21/$D$48</f>
        <v>1.341516584498776E-2</v>
      </c>
      <c r="F21" s="28">
        <f>C21-(C21*$E$6)</f>
        <v>57.136816271805834</v>
      </c>
      <c r="G21" s="27" t="str">
        <f>IF(C21&gt;=F21,"-","+")</f>
        <v>+</v>
      </c>
      <c r="H21" s="26">
        <f>C21*D21</f>
        <v>4304</v>
      </c>
      <c r="I21" s="26">
        <f>F21*D21</f>
        <v>4570.9453017444666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36.1</v>
      </c>
      <c r="D22" s="30">
        <v>151.80000000000001</v>
      </c>
      <c r="E22" s="29">
        <f>D22/$D$48</f>
        <v>2.5455277190864274E-2</v>
      </c>
      <c r="F22" s="28">
        <f>C22-(C22*$E$6)</f>
        <v>38.339016122903175</v>
      </c>
      <c r="G22" s="27" t="str">
        <f>IF(C22&gt;=F22,"-","+")</f>
        <v>+</v>
      </c>
      <c r="H22" s="26">
        <f>C22*D22</f>
        <v>5479.9800000000005</v>
      </c>
      <c r="I22" s="26">
        <f>F22*D22</f>
        <v>5819.8626474567027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32.9</v>
      </c>
      <c r="D23" s="30">
        <v>133</v>
      </c>
      <c r="E23" s="29">
        <f>D23/$D$48</f>
        <v>2.2302713217292151E-2</v>
      </c>
      <c r="F23" s="28">
        <f>C23-(C23*$E$6)</f>
        <v>34.940543779598734</v>
      </c>
      <c r="G23" s="27" t="str">
        <f>IF(C23&gt;=F23,"-","+")</f>
        <v>+</v>
      </c>
      <c r="H23" s="26">
        <f>C23*D23</f>
        <v>4375.7</v>
      </c>
      <c r="I23" s="26">
        <f>F23*D23</f>
        <v>4647.0923226866316</v>
      </c>
      <c r="J23" s="25"/>
      <c r="K23" s="25"/>
    </row>
    <row r="24" spans="1:11" x14ac:dyDescent="0.25">
      <c r="A24" s="24" t="s">
        <v>34</v>
      </c>
      <c r="B24" s="23"/>
      <c r="C24" s="20">
        <f>H24/D24</f>
        <v>38.814912280701755</v>
      </c>
      <c r="D24" s="22">
        <f>SUM(D21:D23)</f>
        <v>364.8</v>
      </c>
      <c r="E24" s="21">
        <f>D24/$D$48</f>
        <v>6.1173156253144186E-2</v>
      </c>
      <c r="F24" s="20">
        <f>I24/D24</f>
        <v>41.222314341797698</v>
      </c>
      <c r="G24" s="19">
        <f>F24/C24-1</f>
        <v>6.2022607282636422E-2</v>
      </c>
      <c r="H24" s="18">
        <f>SUM(H21:H23)</f>
        <v>14159.68</v>
      </c>
      <c r="I24" s="18">
        <f>SUM(I21:I23)</f>
        <v>15037.9002718878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28.7</v>
      </c>
      <c r="D26" s="30">
        <v>1189</v>
      </c>
      <c r="E26" s="29">
        <f t="shared" ref="E26:E32" si="7">D26/$D$48</f>
        <v>0.19938290237113057</v>
      </c>
      <c r="F26" s="28">
        <f t="shared" ref="F26:F31" si="8">C26-(C26*$E$6)</f>
        <v>30.480048829011665</v>
      </c>
      <c r="G26" s="27" t="str">
        <f t="shared" ref="G26:G31" si="9">IF(C26&gt;=F26,"-","+")</f>
        <v>+</v>
      </c>
      <c r="H26" s="26">
        <f t="shared" ref="H26:H31" si="10">C26*D26</f>
        <v>34124.299999999996</v>
      </c>
      <c r="I26" s="26">
        <f t="shared" ref="I26:I31" si="11">F26*D26</f>
        <v>36240.778057694872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25.5</v>
      </c>
      <c r="D27" s="30">
        <v>834</v>
      </c>
      <c r="E27" s="29">
        <f t="shared" si="7"/>
        <v>0.13985310393399739</v>
      </c>
      <c r="F27" s="28">
        <f t="shared" si="8"/>
        <v>27.081576485707227</v>
      </c>
      <c r="G27" s="27" t="str">
        <f t="shared" si="9"/>
        <v>+</v>
      </c>
      <c r="H27" s="26">
        <f t="shared" si="10"/>
        <v>21267</v>
      </c>
      <c r="I27" s="26">
        <f t="shared" si="11"/>
        <v>22586.034789079829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25.5</v>
      </c>
      <c r="D28" s="30">
        <v>541.20000000000005</v>
      </c>
      <c r="E28" s="29">
        <f t="shared" si="7"/>
        <v>9.0753596941342204E-2</v>
      </c>
      <c r="F28" s="28">
        <f t="shared" si="8"/>
        <v>27.081576485707227</v>
      </c>
      <c r="G28" s="27" t="str">
        <f t="shared" si="9"/>
        <v>+</v>
      </c>
      <c r="H28" s="26">
        <f t="shared" si="10"/>
        <v>13800.6</v>
      </c>
      <c r="I28" s="26">
        <f t="shared" si="11"/>
        <v>14656.549194064753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24.7</v>
      </c>
      <c r="D29" s="30">
        <v>476.8</v>
      </c>
      <c r="E29" s="29">
        <f t="shared" si="7"/>
        <v>7.9954388436127052E-2</v>
      </c>
      <c r="F29" s="28">
        <f t="shared" si="8"/>
        <v>26.231958399881119</v>
      </c>
      <c r="G29" s="27" t="str">
        <f t="shared" si="9"/>
        <v>+</v>
      </c>
      <c r="H29" s="26">
        <f t="shared" si="10"/>
        <v>11776.96</v>
      </c>
      <c r="I29" s="26">
        <f t="shared" si="11"/>
        <v>12507.397765063319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24.7</v>
      </c>
      <c r="D30" s="30">
        <v>430.2</v>
      </c>
      <c r="E30" s="29">
        <f t="shared" si="7"/>
        <v>7.2140054331421677E-2</v>
      </c>
      <c r="F30" s="28">
        <f t="shared" si="8"/>
        <v>26.231958399881119</v>
      </c>
      <c r="G30" s="27" t="str">
        <f t="shared" si="9"/>
        <v>+</v>
      </c>
      <c r="H30" s="26">
        <f t="shared" si="10"/>
        <v>10625.939999999999</v>
      </c>
      <c r="I30" s="26">
        <f t="shared" si="11"/>
        <v>11284.988503628858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25.1</v>
      </c>
      <c r="D31" s="30">
        <v>98</v>
      </c>
      <c r="E31" s="29">
        <f t="shared" si="7"/>
        <v>1.6433578160110006E-2</v>
      </c>
      <c r="F31" s="28">
        <f t="shared" si="8"/>
        <v>26.656767442794177</v>
      </c>
      <c r="G31" s="27" t="str">
        <f t="shared" si="9"/>
        <v>+</v>
      </c>
      <c r="H31" s="26">
        <f t="shared" si="10"/>
        <v>2459.8000000000002</v>
      </c>
      <c r="I31" s="26">
        <f t="shared" si="11"/>
        <v>2612.3632093938295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26.351731480443796</v>
      </c>
      <c r="D32" s="22">
        <f>SUM(D26:D31)</f>
        <v>3569.2</v>
      </c>
      <c r="E32" s="21">
        <f t="shared" si="7"/>
        <v>0.5985176241741289</v>
      </c>
      <c r="F32" s="20">
        <f>I32/D32</f>
        <v>27.986134573272853</v>
      </c>
      <c r="G32" s="19">
        <f>F32/C32-1</f>
        <v>6.2022607282636644E-2</v>
      </c>
      <c r="H32" s="18">
        <f>SUM(H26:H31)</f>
        <v>94054.599999999991</v>
      </c>
      <c r="I32" s="18">
        <f>SUM(I26:I31)</f>
        <v>99888.111518925463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15.1</v>
      </c>
      <c r="D34" s="30">
        <v>750.2</v>
      </c>
      <c r="E34" s="29">
        <f t="shared" ref="E34:E40" si="13">D34/$D$48</f>
        <v>0.12580071771137272</v>
      </c>
      <c r="F34" s="28">
        <f t="shared" ref="F34:F39" si="14">C34-(C34*$E$6)</f>
        <v>16.036541369967811</v>
      </c>
      <c r="G34" s="27" t="str">
        <f t="shared" ref="G34:G39" si="15">IF(C34&gt;=F34,"-","+")</f>
        <v>+</v>
      </c>
      <c r="H34" s="26">
        <f t="shared" ref="H34:H39" si="16">C34*D34</f>
        <v>11328.02</v>
      </c>
      <c r="I34" s="26">
        <f t="shared" ref="I34:I39" si="17">F34*D34</f>
        <v>12030.613335749853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11.6</v>
      </c>
      <c r="D35" s="30"/>
      <c r="E35" s="29">
        <f t="shared" si="13"/>
        <v>0</v>
      </c>
      <c r="F35" s="28">
        <f t="shared" si="14"/>
        <v>12.319462244478583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9.3000000000000007</v>
      </c>
      <c r="D36" s="30"/>
      <c r="E36" s="29">
        <f t="shared" si="13"/>
        <v>0</v>
      </c>
      <c r="F36" s="28">
        <f t="shared" si="14"/>
        <v>9.8768102477285193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24.7</v>
      </c>
      <c r="D37" s="30"/>
      <c r="E37" s="29">
        <f t="shared" si="13"/>
        <v>0</v>
      </c>
      <c r="F37" s="28">
        <f t="shared" si="14"/>
        <v>26.231958399881119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24.7</v>
      </c>
      <c r="D38" s="30"/>
      <c r="E38" s="29">
        <f t="shared" si="13"/>
        <v>0</v>
      </c>
      <c r="F38" s="28">
        <f t="shared" si="14"/>
        <v>26.231958399881119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25.5</v>
      </c>
      <c r="D39" s="30"/>
      <c r="E39" s="29">
        <f t="shared" si="13"/>
        <v>0</v>
      </c>
      <c r="F39" s="28">
        <f t="shared" si="14"/>
        <v>27.081576485707227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15.1</v>
      </c>
      <c r="D40" s="22">
        <f>SUM(D34:D39)</f>
        <v>750.2</v>
      </c>
      <c r="E40" s="21">
        <f t="shared" si="13"/>
        <v>0.12580071771137272</v>
      </c>
      <c r="F40" s="20">
        <f>I40/D40</f>
        <v>16.036541369967811</v>
      </c>
      <c r="G40" s="19">
        <f>F40/C40-1</f>
        <v>6.2022607282636422E-2</v>
      </c>
      <c r="H40" s="18">
        <f>SUM(H34:H39)</f>
        <v>11328.02</v>
      </c>
      <c r="I40" s="18">
        <f>SUM(I34:I39)</f>
        <v>12030.613335749853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1233</v>
      </c>
      <c r="E42" s="107">
        <f>D42/$D$48</f>
        <v>0.20676124358587383</v>
      </c>
      <c r="F42" s="28">
        <f>C42-(C42*$E$6)</f>
        <v>0.4248090429130546</v>
      </c>
      <c r="G42" s="27" t="str">
        <f>IF(C42&gt;=F42,"-","+")</f>
        <v>+</v>
      </c>
      <c r="H42" s="26">
        <f>C42*D42</f>
        <v>493.20000000000005</v>
      </c>
      <c r="I42" s="26">
        <f>F42*D42</f>
        <v>523.78954991179637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40.200000000000003</v>
      </c>
      <c r="E43" s="107">
        <f>D43/$D$48</f>
        <v>6.7411208371063493E-3</v>
      </c>
      <c r="F43" s="28">
        <f>C43-(C43*$E$6)</f>
        <v>0.4248090429130546</v>
      </c>
      <c r="G43" s="27" t="str">
        <f>IF(C43&gt;=F43,"-","+")</f>
        <v>+</v>
      </c>
      <c r="H43" s="26">
        <f>C43*D43</f>
        <v>16.080000000000002</v>
      </c>
      <c r="I43" s="26">
        <f>F43*D43</f>
        <v>17.077323525104795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1.0061374383740819E-3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0.3981238273921201</v>
      </c>
      <c r="D46" s="22">
        <f>SUM(D41:D45)</f>
        <v>1279.2</v>
      </c>
      <c r="E46" s="21">
        <f>D46/$D$48</f>
        <v>0.21450850186135428</v>
      </c>
      <c r="F46" s="20">
        <f>I46/D46</f>
        <v>0.42281650518832176</v>
      </c>
      <c r="G46" s="19">
        <f>F46/C46-1</f>
        <v>6.2022607282636644E-2</v>
      </c>
      <c r="H46" s="18">
        <f>SUM(H41:H44)</f>
        <v>509.28000000000003</v>
      </c>
      <c r="I46" s="18">
        <f>SUM(I41:I44)</f>
        <v>540.86687343690119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80.664767588537671</v>
      </c>
      <c r="D48" s="13">
        <f>D24+D32+D40+D46</f>
        <v>5963.4</v>
      </c>
      <c r="E48" s="12">
        <f>SUM(E20:E46)/2</f>
        <v>1.0000000000000002</v>
      </c>
      <c r="F48" s="11">
        <f>I48/D48</f>
        <v>21.380000000000006</v>
      </c>
      <c r="G48" s="10"/>
      <c r="H48" s="9">
        <f>SUM(H20:H46)/2</f>
        <v>120051.57999999999</v>
      </c>
      <c r="I48" s="9">
        <f>SUM(I20:I46)/2</f>
        <v>127497.49200000003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5963.4000000000015</v>
      </c>
      <c r="E50" s="12">
        <f>D50/G2</f>
        <v>1.0000000000000002</v>
      </c>
      <c r="F50" s="11">
        <f>I50/D50</f>
        <v>21.38</v>
      </c>
      <c r="G50" s="10"/>
      <c r="H50" s="9">
        <f>H48+H19</f>
        <v>120051.57999999999</v>
      </c>
      <c r="I50" s="9">
        <f>I48+I19</f>
        <v>127497.49200000003</v>
      </c>
      <c r="J50" s="106">
        <f>D50-G2</f>
        <v>0</v>
      </c>
      <c r="K50" s="8"/>
    </row>
    <row r="51" spans="1:11" ht="23.25" x14ac:dyDescent="0.35">
      <c r="A51" s="174" t="s">
        <v>258</v>
      </c>
      <c r="B51" s="169"/>
      <c r="C51" s="170"/>
      <c r="G51" s="7"/>
      <c r="H51" s="6"/>
      <c r="I51" s="6">
        <f>+I50/D50</f>
        <v>21.38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257</v>
      </c>
      <c r="D1" s="100" t="s">
        <v>1</v>
      </c>
      <c r="E1" s="168" t="s">
        <v>259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257</v>
      </c>
      <c r="D2" s="96" t="s">
        <v>3</v>
      </c>
      <c r="E2" s="95" t="s">
        <v>112</v>
      </c>
      <c r="F2" s="94" t="s">
        <v>5</v>
      </c>
      <c r="G2" s="93">
        <v>15169.9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220</v>
      </c>
      <c r="F3" s="88" t="s">
        <v>8</v>
      </c>
      <c r="G3" s="87">
        <v>21.87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68.954090909090908</v>
      </c>
      <c r="F4" s="81" t="s">
        <v>12</v>
      </c>
      <c r="G4" s="80">
        <f>G2*G3</f>
        <v>331765.71299999999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-5.9125867803600407E-2</v>
      </c>
      <c r="F6" s="69" t="s">
        <v>16</v>
      </c>
      <c r="G6" s="68">
        <f>(I50-I19)/(D50-(SUM(D42:D44)+D19))</f>
        <v>27.17535702831092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21.9</v>
      </c>
      <c r="D10" s="30"/>
      <c r="E10" s="29">
        <f t="shared" ref="E10:E19" si="1">D10/$D$19</f>
        <v>0</v>
      </c>
      <c r="F10" s="28">
        <f t="shared" ref="F10:F18" si="2">C10-(C10*$E$6)</f>
        <v>23.194856504898848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22.8</v>
      </c>
      <c r="D11" s="30"/>
      <c r="E11" s="29">
        <f t="shared" si="1"/>
        <v>0</v>
      </c>
      <c r="F11" s="28">
        <f t="shared" si="2"/>
        <v>24.14806978592209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20.8</v>
      </c>
      <c r="D12" s="30"/>
      <c r="E12" s="29">
        <f t="shared" si="1"/>
        <v>0</v>
      </c>
      <c r="F12" s="28">
        <f t="shared" si="2"/>
        <v>22.029818050314891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22.8</v>
      </c>
      <c r="D13" s="30"/>
      <c r="E13" s="29">
        <f t="shared" si="1"/>
        <v>0</v>
      </c>
      <c r="F13" s="28">
        <f t="shared" si="2"/>
        <v>24.14806978592209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25.5</v>
      </c>
      <c r="D14" s="30"/>
      <c r="E14" s="29">
        <f t="shared" si="1"/>
        <v>0</v>
      </c>
      <c r="F14" s="28">
        <f t="shared" si="2"/>
        <v>27.007709628991812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21</v>
      </c>
      <c r="D15" s="30"/>
      <c r="E15" s="29">
        <f t="shared" si="1"/>
        <v>0</v>
      </c>
      <c r="F15" s="28">
        <f t="shared" si="2"/>
        <v>22.241643223875609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28.7</v>
      </c>
      <c r="D16" s="30"/>
      <c r="E16" s="29">
        <f t="shared" si="1"/>
        <v>0</v>
      </c>
      <c r="F16" s="28">
        <f t="shared" si="2"/>
        <v>30.396912405963331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42.3</v>
      </c>
      <c r="D17" s="30">
        <v>50</v>
      </c>
      <c r="E17" s="29">
        <f t="shared" si="1"/>
        <v>1</v>
      </c>
      <c r="F17" s="28">
        <f t="shared" si="2"/>
        <v>44.801024208092294</v>
      </c>
      <c r="G17" s="27" t="str">
        <f t="shared" si="3"/>
        <v>+</v>
      </c>
      <c r="H17" s="34">
        <f t="shared" si="4"/>
        <v>2115</v>
      </c>
      <c r="I17" s="34">
        <f t="shared" si="5"/>
        <v>2240.0512104046147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37.1</v>
      </c>
      <c r="D18" s="30"/>
      <c r="E18" s="29">
        <f t="shared" si="1"/>
        <v>0</v>
      </c>
      <c r="F18" s="28">
        <f t="shared" si="2"/>
        <v>39.293569695513575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42.3</v>
      </c>
      <c r="D19" s="49">
        <f>SUM(D10:D18)</f>
        <v>50</v>
      </c>
      <c r="E19" s="48">
        <f t="shared" si="1"/>
        <v>1</v>
      </c>
      <c r="F19" s="47">
        <f>I19/D19</f>
        <v>44.801024208092294</v>
      </c>
      <c r="G19" s="46">
        <f>F19/C19-1</f>
        <v>5.9125867803600407E-2</v>
      </c>
      <c r="H19" s="9">
        <f>SUM(H10:H18)</f>
        <v>2115</v>
      </c>
      <c r="I19" s="9">
        <f>SUM(I10:I18)</f>
        <v>2240.0512104046147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55</v>
      </c>
      <c r="D21" s="30">
        <v>180.8</v>
      </c>
      <c r="E21" s="29">
        <f>D21/$D$48</f>
        <v>1.1957751043327006E-2</v>
      </c>
      <c r="F21" s="28">
        <f>C21-(C21*$E$6)</f>
        <v>58.251922729198021</v>
      </c>
      <c r="G21" s="27" t="str">
        <f>IF(C21&gt;=F21,"-","+")</f>
        <v>+</v>
      </c>
      <c r="H21" s="26">
        <f>C21*D21</f>
        <v>9944</v>
      </c>
      <c r="I21" s="26">
        <f>F21*D21</f>
        <v>10531.947629439002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36.9</v>
      </c>
      <c r="D22" s="30">
        <v>414.8</v>
      </c>
      <c r="E22" s="29">
        <f>D22/$D$48</f>
        <v>2.743404387595156E-2</v>
      </c>
      <c r="F22" s="28">
        <f>C22-(C22*$E$6)</f>
        <v>39.081744521952857</v>
      </c>
      <c r="G22" s="27" t="str">
        <f>IF(C22&gt;=F22,"-","+")</f>
        <v>+</v>
      </c>
      <c r="H22" s="26">
        <f>C22*D22</f>
        <v>15306.119999999999</v>
      </c>
      <c r="I22" s="26">
        <f>F22*D22</f>
        <v>16211.107627706046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33.700000000000003</v>
      </c>
      <c r="D23" s="30">
        <v>328.4</v>
      </c>
      <c r="E23" s="29">
        <f>D23/$D$48</f>
        <v>2.1719720368520951E-2</v>
      </c>
      <c r="F23" s="28">
        <f>C23-(C23*$E$6)</f>
        <v>35.692541744981334</v>
      </c>
      <c r="G23" s="27" t="str">
        <f>IF(C23&gt;=F23,"-","+")</f>
        <v>+</v>
      </c>
      <c r="H23" s="26">
        <f>C23*D23</f>
        <v>11067.08</v>
      </c>
      <c r="I23" s="26">
        <f>F23*D23</f>
        <v>11721.430709051869</v>
      </c>
      <c r="J23" s="25"/>
      <c r="K23" s="25"/>
    </row>
    <row r="24" spans="1:11" x14ac:dyDescent="0.25">
      <c r="A24" s="24" t="s">
        <v>34</v>
      </c>
      <c r="B24" s="23"/>
      <c r="C24" s="20">
        <f>H24/D24</f>
        <v>39.304329004328999</v>
      </c>
      <c r="D24" s="22">
        <f>SUM(D21:D23)</f>
        <v>924</v>
      </c>
      <c r="E24" s="21">
        <f>D24/$D$48</f>
        <v>6.1111515287799519E-2</v>
      </c>
      <c r="F24" s="20">
        <f>I24/D24</f>
        <v>41.628231565148177</v>
      </c>
      <c r="G24" s="19">
        <f>F24/C24-1</f>
        <v>5.9125867803600629E-2</v>
      </c>
      <c r="H24" s="18">
        <f>SUM(H21:H23)</f>
        <v>36317.199999999997</v>
      </c>
      <c r="I24" s="18">
        <f>SUM(I21:I23)</f>
        <v>38464.485966196917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29.3</v>
      </c>
      <c r="D26" s="30">
        <v>2782.4</v>
      </c>
      <c r="E26" s="29">
        <f t="shared" ref="E26:E32" si="7">D26/$D$48</f>
        <v>0.18402238110040409</v>
      </c>
      <c r="F26" s="28">
        <f t="shared" ref="F26:F31" si="8">C26-(C26*$E$6)</f>
        <v>31.032387926645491</v>
      </c>
      <c r="G26" s="27" t="str">
        <f t="shared" ref="G26:G31" si="9">IF(C26&gt;=F26,"-","+")</f>
        <v>+</v>
      </c>
      <c r="H26" s="26">
        <f t="shared" ref="H26:H31" si="10">C26*D26</f>
        <v>81524.320000000007</v>
      </c>
      <c r="I26" s="26">
        <f t="shared" ref="I26:I31" si="11">F26*D26</f>
        <v>86344.516167098423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26.1</v>
      </c>
      <c r="D27" s="30">
        <v>2079.1999999999998</v>
      </c>
      <c r="E27" s="29">
        <f t="shared" si="7"/>
        <v>0.13751413699826054</v>
      </c>
      <c r="F27" s="28">
        <f t="shared" si="8"/>
        <v>27.643185149673972</v>
      </c>
      <c r="G27" s="27" t="str">
        <f t="shared" si="9"/>
        <v>+</v>
      </c>
      <c r="H27" s="26">
        <f t="shared" si="10"/>
        <v>54267.119999999995</v>
      </c>
      <c r="I27" s="26">
        <f t="shared" si="11"/>
        <v>57475.710563202119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26.1</v>
      </c>
      <c r="D28" s="30">
        <v>1440.8</v>
      </c>
      <c r="E28" s="29">
        <f t="shared" si="7"/>
        <v>9.5291635526689983E-2</v>
      </c>
      <c r="F28" s="28">
        <f t="shared" si="8"/>
        <v>27.643185149673972</v>
      </c>
      <c r="G28" s="27" t="str">
        <f t="shared" si="9"/>
        <v>+</v>
      </c>
      <c r="H28" s="26">
        <f t="shared" si="10"/>
        <v>37604.879999999997</v>
      </c>
      <c r="I28" s="26">
        <f t="shared" si="11"/>
        <v>39828.301163650256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25.3</v>
      </c>
      <c r="D29" s="30">
        <v>1493.2</v>
      </c>
      <c r="E29" s="29">
        <f t="shared" si="7"/>
        <v>9.8757266913140948E-2</v>
      </c>
      <c r="F29" s="28">
        <f t="shared" si="8"/>
        <v>26.795884455431093</v>
      </c>
      <c r="G29" s="27" t="str">
        <f t="shared" si="9"/>
        <v>+</v>
      </c>
      <c r="H29" s="26">
        <f t="shared" si="10"/>
        <v>37777.96</v>
      </c>
      <c r="I29" s="26">
        <f t="shared" si="11"/>
        <v>40011.61466884971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25.3</v>
      </c>
      <c r="D30" s="30">
        <v>810.6</v>
      </c>
      <c r="E30" s="29">
        <f t="shared" si="7"/>
        <v>5.3611465684296852E-2</v>
      </c>
      <c r="F30" s="28">
        <f t="shared" si="8"/>
        <v>26.795884455431093</v>
      </c>
      <c r="G30" s="27" t="str">
        <f t="shared" si="9"/>
        <v>+</v>
      </c>
      <c r="H30" s="26">
        <f t="shared" si="10"/>
        <v>20508.18</v>
      </c>
      <c r="I30" s="26">
        <f t="shared" si="11"/>
        <v>21720.743939572443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25.7</v>
      </c>
      <c r="D31" s="30">
        <v>235.2</v>
      </c>
      <c r="E31" s="29">
        <f t="shared" si="7"/>
        <v>1.5555658436894422E-2</v>
      </c>
      <c r="F31" s="28">
        <f t="shared" si="8"/>
        <v>27.219534802552531</v>
      </c>
      <c r="G31" s="27" t="str">
        <f t="shared" si="9"/>
        <v>+</v>
      </c>
      <c r="H31" s="26">
        <f t="shared" si="10"/>
        <v>6044.6399999999994</v>
      </c>
      <c r="I31" s="26">
        <f t="shared" si="11"/>
        <v>6402.0345855603546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26.887947610106991</v>
      </c>
      <c r="D32" s="22">
        <f>SUM(D26:D31)</f>
        <v>8841.4000000000015</v>
      </c>
      <c r="E32" s="21">
        <f t="shared" si="7"/>
        <v>0.58475254465968696</v>
      </c>
      <c r="F32" s="20">
        <f>I32/D32</f>
        <v>28.477720846012314</v>
      </c>
      <c r="G32" s="19">
        <f>F32/C32-1</f>
        <v>5.9125867803600629E-2</v>
      </c>
      <c r="H32" s="18">
        <f>SUM(H26:H31)</f>
        <v>237727.09999999998</v>
      </c>
      <c r="I32" s="18">
        <f>SUM(I26:I31)</f>
        <v>251782.92108793333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15.5</v>
      </c>
      <c r="D34" s="30">
        <f>1197+993.9</f>
        <v>2190.9</v>
      </c>
      <c r="E34" s="29">
        <f t="shared" ref="E34:E40" si="13">D34/$D$48</f>
        <v>0.14490175199571426</v>
      </c>
      <c r="F34" s="28">
        <f t="shared" ref="F34:F39" si="14">C34-(C34*$E$6)</f>
        <v>16.416450950955806</v>
      </c>
      <c r="G34" s="27" t="str">
        <f t="shared" ref="G34:G39" si="15">IF(C34&gt;=F34,"-","+")</f>
        <v>+</v>
      </c>
      <c r="H34" s="26">
        <f t="shared" ref="H34:H39" si="16">C34*D34</f>
        <v>33958.950000000004</v>
      </c>
      <c r="I34" s="26">
        <f t="shared" ref="I34:I39" si="17">F34*D34</f>
        <v>35966.802388449076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11.9</v>
      </c>
      <c r="D35" s="30">
        <v>162.1</v>
      </c>
      <c r="E35" s="29">
        <f t="shared" si="13"/>
        <v>1.0720970376788205E-2</v>
      </c>
      <c r="F35" s="28">
        <f t="shared" si="14"/>
        <v>12.603597826862845</v>
      </c>
      <c r="G35" s="27" t="str">
        <f t="shared" si="15"/>
        <v>+</v>
      </c>
      <c r="H35" s="26">
        <f t="shared" si="16"/>
        <v>1928.99</v>
      </c>
      <c r="I35" s="26">
        <f t="shared" si="17"/>
        <v>2043.0432077344672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9.6</v>
      </c>
      <c r="D36" s="30"/>
      <c r="E36" s="29">
        <f t="shared" si="13"/>
        <v>0</v>
      </c>
      <c r="F36" s="28">
        <f t="shared" si="14"/>
        <v>10.167608330914563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25.3</v>
      </c>
      <c r="D37" s="30"/>
      <c r="E37" s="29">
        <f t="shared" si="13"/>
        <v>0</v>
      </c>
      <c r="F37" s="28">
        <f t="shared" si="14"/>
        <v>26.795884455431093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25.3</v>
      </c>
      <c r="D38" s="30"/>
      <c r="E38" s="29">
        <f t="shared" si="13"/>
        <v>0</v>
      </c>
      <c r="F38" s="28">
        <f t="shared" si="14"/>
        <v>26.795884455431093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26.1</v>
      </c>
      <c r="D39" s="30"/>
      <c r="E39" s="29">
        <f t="shared" si="13"/>
        <v>0</v>
      </c>
      <c r="F39" s="28">
        <f t="shared" si="14"/>
        <v>27.643185149673972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15.251993200169997</v>
      </c>
      <c r="D40" s="22">
        <f>SUM(D34:D39)</f>
        <v>2353</v>
      </c>
      <c r="E40" s="21">
        <f t="shared" si="13"/>
        <v>0.15562272237250244</v>
      </c>
      <c r="F40" s="20">
        <f>I40/D40</f>
        <v>16.153780533864659</v>
      </c>
      <c r="G40" s="19">
        <f>F40/C40-1</f>
        <v>5.9125867803600185E-2</v>
      </c>
      <c r="H40" s="18">
        <f>SUM(H34:H39)</f>
        <v>35887.94</v>
      </c>
      <c r="I40" s="18">
        <f>SUM(I34:I39)</f>
        <v>38009.845596183543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1316+201.5+1378.9</f>
        <v>2896.4</v>
      </c>
      <c r="E42" s="107">
        <f>D42/$D$48</f>
        <v>0.19156211350604169</v>
      </c>
      <c r="F42" s="28">
        <f>C42-(C42*$E$6)</f>
        <v>0.42365034712144017</v>
      </c>
      <c r="G42" s="27" t="str">
        <f>IF(C42&gt;=F42,"-","+")</f>
        <v>+</v>
      </c>
      <c r="H42" s="26">
        <f>C42*D42</f>
        <v>1158.5600000000002</v>
      </c>
      <c r="I42" s="26">
        <f>F42*D42</f>
        <v>1227.0608654025393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97.6</v>
      </c>
      <c r="E43" s="107">
        <f>D43/$D$48</f>
        <v>6.4550691472827189E-3</v>
      </c>
      <c r="F43" s="28">
        <f>C43-(C43*$E$6)</f>
        <v>0.42365034712144017</v>
      </c>
      <c r="G43" s="27" t="str">
        <f>IF(C43&gt;=F43,"-","+")</f>
        <v>+</v>
      </c>
      <c r="H43" s="26">
        <f>C43*D43</f>
        <v>39.04</v>
      </c>
      <c r="I43" s="26">
        <f>F43*D43</f>
        <v>41.348273879052556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7.5</v>
      </c>
      <c r="E45" s="107">
        <f>D45/$D$48</f>
        <v>4.9603502668668436E-4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0.39900049975012497</v>
      </c>
      <c r="D46" s="22">
        <f>SUM(D41:D45)</f>
        <v>3001.5</v>
      </c>
      <c r="E46" s="21">
        <f>D46/$D$48</f>
        <v>0.19851321768001109</v>
      </c>
      <c r="F46" s="20">
        <f>I46/D46</f>
        <v>0.42259175055192133</v>
      </c>
      <c r="G46" s="19">
        <f>F46/C46-1</f>
        <v>5.9125867803600407E-2</v>
      </c>
      <c r="H46" s="18">
        <f>SUM(H41:H44)</f>
        <v>1197.6000000000001</v>
      </c>
      <c r="I46" s="18">
        <f>SUM(I41:I44)</f>
        <v>1268.4091392815919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81.843270314356118</v>
      </c>
      <c r="D48" s="13">
        <f>D24+D32+D40+D46</f>
        <v>15119.900000000001</v>
      </c>
      <c r="E48" s="12">
        <f>SUM(E20:E46)/2</f>
        <v>0.99999999999999989</v>
      </c>
      <c r="F48" s="11">
        <f>I48/D48</f>
        <v>21.794169391966573</v>
      </c>
      <c r="G48" s="10"/>
      <c r="H48" s="9">
        <f>SUM(H20:H46)/2</f>
        <v>311129.84000000003</v>
      </c>
      <c r="I48" s="9">
        <f>SUM(I20:I46)/2</f>
        <v>329525.66178959544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15169.900000000001</v>
      </c>
      <c r="E50" s="12">
        <f>D50/G2</f>
        <v>1.0000000000000002</v>
      </c>
      <c r="F50" s="11">
        <f>I50/D50</f>
        <v>21.87</v>
      </c>
      <c r="G50" s="10"/>
      <c r="H50" s="9">
        <f>H48+H19</f>
        <v>313244.84000000003</v>
      </c>
      <c r="I50" s="9">
        <f>I48+I19</f>
        <v>331765.71300000005</v>
      </c>
      <c r="J50" s="106">
        <f>D50-G2</f>
        <v>0</v>
      </c>
      <c r="K50" s="8"/>
    </row>
    <row r="51" spans="1:11" ht="23.25" x14ac:dyDescent="0.35">
      <c r="A51" s="174" t="s">
        <v>260</v>
      </c>
      <c r="B51" s="169"/>
      <c r="C51" s="170"/>
      <c r="G51" s="7"/>
      <c r="H51" s="6"/>
      <c r="I51" s="6">
        <f>+I50/D50</f>
        <v>21.87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257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257</v>
      </c>
      <c r="D2" s="96" t="s">
        <v>3</v>
      </c>
      <c r="E2" s="95" t="s">
        <v>4</v>
      </c>
      <c r="F2" s="94" t="s">
        <v>5</v>
      </c>
      <c r="G2" s="93">
        <v>27139.3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400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67.848249999999993</v>
      </c>
      <c r="F4" s="81" t="s">
        <v>12</v>
      </c>
      <c r="G4" s="80">
        <f>G2*G3</f>
        <v>719191.45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-2.9840041544630713E-2</v>
      </c>
      <c r="F6" s="69" t="s">
        <v>16</v>
      </c>
      <c r="G6" s="68">
        <f>(I50-I19)/(D50-(SUM(D42:D44)+D19))</f>
        <v>32.222406139233847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27.290761100932713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>
        <v>173</v>
      </c>
      <c r="E11" s="29">
        <f t="shared" si="1"/>
        <v>0.34482758620689657</v>
      </c>
      <c r="F11" s="28">
        <f t="shared" si="2"/>
        <v>28.423585146631808</v>
      </c>
      <c r="G11" s="27" t="str">
        <f t="shared" si="3"/>
        <v>+</v>
      </c>
      <c r="H11" s="34">
        <f t="shared" si="4"/>
        <v>4774.8</v>
      </c>
      <c r="I11" s="34">
        <f t="shared" si="5"/>
        <v>4917.2802303673025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>
        <f t="shared" si="1"/>
        <v>0</v>
      </c>
      <c r="F12" s="28">
        <f t="shared" si="2"/>
        <v>25.951969046924692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>
        <v>234</v>
      </c>
      <c r="E13" s="29">
        <f t="shared" si="1"/>
        <v>0.46641419174805659</v>
      </c>
      <c r="F13" s="28">
        <f t="shared" si="2"/>
        <v>28.423585146631808</v>
      </c>
      <c r="G13" s="27" t="str">
        <f t="shared" si="3"/>
        <v>+</v>
      </c>
      <c r="H13" s="34">
        <f t="shared" si="4"/>
        <v>6458.4000000000005</v>
      </c>
      <c r="I13" s="34">
        <f t="shared" si="5"/>
        <v>6651.1189243118433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31.822057283729087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>
        <v>49</v>
      </c>
      <c r="E15" s="29">
        <f t="shared" si="1"/>
        <v>9.7667929041259718E-2</v>
      </c>
      <c r="F15" s="28">
        <f t="shared" si="2"/>
        <v>26.157937055233617</v>
      </c>
      <c r="G15" s="27" t="str">
        <f t="shared" si="3"/>
        <v>+</v>
      </c>
      <c r="H15" s="34">
        <f t="shared" si="4"/>
        <v>1244.5999999999999</v>
      </c>
      <c r="I15" s="34">
        <f t="shared" si="5"/>
        <v>1281.7389157064472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>
        <v>20.7</v>
      </c>
      <c r="E16" s="29">
        <f t="shared" si="1"/>
        <v>4.1259716962328087E-2</v>
      </c>
      <c r="F16" s="28">
        <f t="shared" si="2"/>
        <v>35.838433445753147</v>
      </c>
      <c r="G16" s="27" t="str">
        <f t="shared" si="3"/>
        <v>+</v>
      </c>
      <c r="H16" s="34">
        <f t="shared" si="4"/>
        <v>720.3599999999999</v>
      </c>
      <c r="I16" s="34">
        <f t="shared" si="5"/>
        <v>741.85557232709016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>
        <v>25</v>
      </c>
      <c r="E17" s="29">
        <f t="shared" si="1"/>
        <v>4.9830576041459039E-2</v>
      </c>
      <c r="F17" s="28">
        <f t="shared" si="2"/>
        <v>52.83079413123955</v>
      </c>
      <c r="G17" s="27" t="str">
        <f t="shared" si="3"/>
        <v>+</v>
      </c>
      <c r="H17" s="34">
        <f t="shared" si="4"/>
        <v>1282.5</v>
      </c>
      <c r="I17" s="34">
        <f t="shared" si="5"/>
        <v>1320.7698532809889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46.23981786535392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28.863185170420575</v>
      </c>
      <c r="D19" s="49">
        <f>SUM(D10:D18)</f>
        <v>501.7</v>
      </c>
      <c r="E19" s="48">
        <f t="shared" si="1"/>
        <v>1</v>
      </c>
      <c r="F19" s="47">
        <f>I19/D19</f>
        <v>29.724463815016293</v>
      </c>
      <c r="G19" s="46">
        <f>F19/C19-1</f>
        <v>2.9840041544630713E-2</v>
      </c>
      <c r="H19" s="9">
        <f>SUM(H10:H18)</f>
        <v>14480.660000000002</v>
      </c>
      <c r="I19" s="9">
        <f>SUM(I10:I18)</f>
        <v>14912.763495993673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>
        <v>308.2</v>
      </c>
      <c r="E21" s="29">
        <f>D21/$D$48</f>
        <v>1.157011142144938E-2</v>
      </c>
      <c r="F21" s="28">
        <f>C21-(C21*$E$6)</f>
        <v>68.5873467668724</v>
      </c>
      <c r="G21" s="27" t="str">
        <f>IF(C21&gt;=F21,"-","+")</f>
        <v>+</v>
      </c>
      <c r="H21" s="26">
        <f>C21*D21</f>
        <v>20526.12</v>
      </c>
      <c r="I21" s="26">
        <f>F21*D21</f>
        <v>21138.620273550074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737.4</v>
      </c>
      <c r="E22" s="29">
        <f>D22/$D$48</f>
        <v>2.7682674114785116E-2</v>
      </c>
      <c r="F22" s="28">
        <f>C22-(C22*$E$6)</f>
        <v>46.136833861199456</v>
      </c>
      <c r="G22" s="27" t="str">
        <f>IF(C22&gt;=F22,"-","+")</f>
        <v>+</v>
      </c>
      <c r="H22" s="26">
        <f>C22*D22</f>
        <v>33035.519999999997</v>
      </c>
      <c r="I22" s="26">
        <f>F22*D22</f>
        <v>34021.301289248477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>
        <v>633.6</v>
      </c>
      <c r="E23" s="29">
        <f>D23/$D$48</f>
        <v>2.3785926660059468E-2</v>
      </c>
      <c r="F23" s="28">
        <f>C23-(C23*$E$6)</f>
        <v>42.017473695020932</v>
      </c>
      <c r="G23" s="27" t="str">
        <f>IF(C23&gt;=F23,"-","+")</f>
        <v>+</v>
      </c>
      <c r="H23" s="26">
        <f>C23*D23</f>
        <v>25850.879999999997</v>
      </c>
      <c r="I23" s="26">
        <f>F23*D23</f>
        <v>26622.271333165263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47.291877084325868</v>
      </c>
      <c r="D24" s="22">
        <f>SUM(D21:D23)</f>
        <v>1679.1999999999998</v>
      </c>
      <c r="E24" s="21">
        <f>D24/$D$48</f>
        <v>6.3038712196293964E-2</v>
      </c>
      <c r="F24" s="20">
        <f>I24/D24</f>
        <v>48.70306866124573</v>
      </c>
      <c r="G24" s="19">
        <f>F24/C24-1</f>
        <v>2.9840041544630935E-2</v>
      </c>
      <c r="H24" s="18">
        <f>SUM(H21:H23)</f>
        <v>79412.51999999999</v>
      </c>
      <c r="I24" s="18">
        <f>SUM(I21:I23)</f>
        <v>81782.192895963817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>
        <f>355+4861.7</f>
        <v>5216.7</v>
      </c>
      <c r="E26" s="29">
        <f t="shared" ref="E26:E32" si="7">D26/$D$48</f>
        <v>0.19583971528966573</v>
      </c>
      <c r="F26" s="28">
        <f t="shared" ref="F26:F31" si="8">C26-(C26*$E$6)</f>
        <v>36.662305478988856</v>
      </c>
      <c r="G26" s="27" t="str">
        <f t="shared" ref="G26:G31" si="9">IF(C26&gt;=F26,"-","+")</f>
        <v>+</v>
      </c>
      <c r="H26" s="26">
        <f t="shared" ref="H26:H31" si="10">C26*D26</f>
        <v>185714.52</v>
      </c>
      <c r="I26" s="26">
        <f t="shared" ref="I26:I31" si="11">F26*D26</f>
        <v>191256.24899224116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3934.1</v>
      </c>
      <c r="E27" s="29">
        <f t="shared" si="7"/>
        <v>0.14768973180767037</v>
      </c>
      <c r="F27" s="28">
        <f t="shared" si="8"/>
        <v>32.645929316964796</v>
      </c>
      <c r="G27" s="27" t="str">
        <f t="shared" si="9"/>
        <v>+</v>
      </c>
      <c r="H27" s="26">
        <f t="shared" si="10"/>
        <v>124710.97</v>
      </c>
      <c r="I27" s="26">
        <f t="shared" si="11"/>
        <v>128432.3505258712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2530.5</v>
      </c>
      <c r="E28" s="29">
        <f t="shared" si="7"/>
        <v>9.4997297053788635E-2</v>
      </c>
      <c r="F28" s="28">
        <f t="shared" si="8"/>
        <v>32.645929316964796</v>
      </c>
      <c r="G28" s="27" t="str">
        <f t="shared" si="9"/>
        <v>+</v>
      </c>
      <c r="H28" s="26">
        <f t="shared" si="10"/>
        <v>80216.849999999991</v>
      </c>
      <c r="I28" s="26">
        <f t="shared" si="11"/>
        <v>82610.524136579421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2522.3000000000002</v>
      </c>
      <c r="E29" s="29">
        <f t="shared" si="7"/>
        <v>9.4689461513049231E-2</v>
      </c>
      <c r="F29" s="28">
        <f t="shared" si="8"/>
        <v>31.513105271265701</v>
      </c>
      <c r="G29" s="27" t="str">
        <f t="shared" si="9"/>
        <v>+</v>
      </c>
      <c r="H29" s="26">
        <f t="shared" si="10"/>
        <v>77182.38</v>
      </c>
      <c r="I29" s="26">
        <f t="shared" si="11"/>
        <v>79485.505425713476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>
        <v>1623.4</v>
      </c>
      <c r="E30" s="29">
        <f t="shared" si="7"/>
        <v>6.0943928882481915E-2</v>
      </c>
      <c r="F30" s="28">
        <f t="shared" si="8"/>
        <v>31.513105271265701</v>
      </c>
      <c r="G30" s="27" t="str">
        <f t="shared" si="9"/>
        <v>+</v>
      </c>
      <c r="H30" s="26">
        <f t="shared" si="10"/>
        <v>49676.040000000008</v>
      </c>
      <c r="I30" s="26">
        <f t="shared" si="11"/>
        <v>51158.375097372744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>
        <v>402</v>
      </c>
      <c r="E31" s="29">
        <f t="shared" si="7"/>
        <v>1.5091449680151366E-2</v>
      </c>
      <c r="F31" s="28">
        <f t="shared" si="8"/>
        <v>32.028025292038016</v>
      </c>
      <c r="G31" s="27" t="str">
        <f t="shared" si="9"/>
        <v>+</v>
      </c>
      <c r="H31" s="26">
        <f t="shared" si="10"/>
        <v>12502.2</v>
      </c>
      <c r="I31" s="26">
        <f t="shared" si="11"/>
        <v>12875.266167399282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32.657770657465036</v>
      </c>
      <c r="D32" s="22">
        <f>SUM(D26:D31)</f>
        <v>16228.999999999998</v>
      </c>
      <c r="E32" s="21">
        <f t="shared" si="7"/>
        <v>0.60925158422680714</v>
      </c>
      <c r="F32" s="20">
        <f>I32/D32</f>
        <v>33.632279890638813</v>
      </c>
      <c r="G32" s="19">
        <f>F32/C32-1</f>
        <v>2.9840041544630713E-2</v>
      </c>
      <c r="H32" s="18">
        <f>SUM(H26:H31)</f>
        <v>530002.96</v>
      </c>
      <c r="I32" s="18">
        <f>SUM(I26:I31)</f>
        <v>545818.27034517727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1346.7+2333.7</f>
        <v>3680.3999999999996</v>
      </c>
      <c r="E34" s="29">
        <f t="shared" ref="E34:E40" si="13">D34/$D$48</f>
        <v>0.13816560050454996</v>
      </c>
      <c r="F34" s="28">
        <f t="shared" ref="F34:F39" si="14">C34-(C34*$E$6)</f>
        <v>19.258008776884594</v>
      </c>
      <c r="G34" s="27" t="str">
        <f t="shared" ref="G34:G39" si="15">IF(C34&gt;=F34,"-","+")</f>
        <v>+</v>
      </c>
      <c r="H34" s="26">
        <f t="shared" ref="H34:H39" si="16">C34*D34</f>
        <v>68823.48</v>
      </c>
      <c r="I34" s="26">
        <f t="shared" ref="I34:I39" si="17">F34*D34</f>
        <v>70877.175502446058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260.60000000000002</v>
      </c>
      <c r="E35" s="29">
        <f t="shared" si="13"/>
        <v>9.7831636483767317E-3</v>
      </c>
      <c r="F35" s="28">
        <f t="shared" si="14"/>
        <v>14.829696598242682</v>
      </c>
      <c r="G35" s="27" t="str">
        <f t="shared" si="15"/>
        <v>+</v>
      </c>
      <c r="H35" s="26">
        <f t="shared" si="16"/>
        <v>3752.6400000000003</v>
      </c>
      <c r="I35" s="26">
        <f t="shared" si="17"/>
        <v>3864.6189335020435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11.946144481917717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31.513105271265701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31.513105271265701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32.645929316964796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18.415660999746258</v>
      </c>
      <c r="D40" s="22">
        <f>SUM(D34:D39)</f>
        <v>3940.9999999999995</v>
      </c>
      <c r="E40" s="21">
        <f t="shared" si="13"/>
        <v>0.14794876415292668</v>
      </c>
      <c r="F40" s="20">
        <f>I40/D40</f>
        <v>18.965185089050525</v>
      </c>
      <c r="G40" s="19">
        <f>F40/C40-1</f>
        <v>2.9840041544630935E-2</v>
      </c>
      <c r="H40" s="18">
        <f>SUM(H34:H39)</f>
        <v>72576.12</v>
      </c>
      <c r="I40" s="18">
        <f>SUM(I34:I39)</f>
        <v>74741.794435948104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1989.8+324+2223</f>
        <v>4536.8</v>
      </c>
      <c r="E42" s="107">
        <f>D42/$D$48</f>
        <v>0.17031564405201671</v>
      </c>
      <c r="F42" s="28">
        <f>C42-(C42*$E$6)</f>
        <v>0.41193601661785229</v>
      </c>
      <c r="G42" s="27" t="str">
        <f>IF(C42&gt;=F42,"-","+")</f>
        <v>+</v>
      </c>
      <c r="H42" s="26">
        <f>C42*D42</f>
        <v>1814.7200000000003</v>
      </c>
      <c r="I42" s="26">
        <f>F42*D42</f>
        <v>1868.8713201918724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164</v>
      </c>
      <c r="E43" s="107">
        <f>D43/$D$48</f>
        <v>6.1567108147881191E-3</v>
      </c>
      <c r="F43" s="28">
        <f>C43-(C43*$E$6)</f>
        <v>0.41193601661785229</v>
      </c>
      <c r="G43" s="27" t="str">
        <f>IF(C43&gt;=F43,"-","+")</f>
        <v>+</v>
      </c>
      <c r="H43" s="26">
        <f>C43*D43</f>
        <v>65.600000000000009</v>
      </c>
      <c r="I43" s="26">
        <f>F43*D43</f>
        <v>67.557506725327769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80</v>
      </c>
      <c r="E44" s="107">
        <f>D44/$D$48</f>
        <v>3.0032735681893266E-3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7.6</v>
      </c>
      <c r="E45" s="107">
        <f>D45/$D$48</f>
        <v>2.8531098897798603E-4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0.39268231559602373</v>
      </c>
      <c r="D46" s="22">
        <f>SUM(D41:D45)</f>
        <v>4788.4000000000005</v>
      </c>
      <c r="E46" s="21">
        <f>D46/$D$48</f>
        <v>0.17976093942397217</v>
      </c>
      <c r="F46" s="20">
        <f>I46/D46</f>
        <v>0.40439997220725088</v>
      </c>
      <c r="G46" s="19">
        <f>F46/C46-1</f>
        <v>2.9840041544630713E-2</v>
      </c>
      <c r="H46" s="18">
        <f>SUM(H41:H44)</f>
        <v>1880.3200000000002</v>
      </c>
      <c r="I46" s="18">
        <f>SUM(I41:I44)</f>
        <v>1936.4288269172002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98.757991057133168</v>
      </c>
      <c r="D48" s="13">
        <f>D24+D32+D40+D46</f>
        <v>26637.599999999999</v>
      </c>
      <c r="E48" s="12">
        <f>SUM(E20:E46)/2</f>
        <v>1</v>
      </c>
      <c r="F48" s="11">
        <f>I48/D48</f>
        <v>26.439269547707241</v>
      </c>
      <c r="G48" s="10"/>
      <c r="H48" s="9">
        <f>SUM(H20:H46)/2</f>
        <v>683871.91999999993</v>
      </c>
      <c r="I48" s="9">
        <f>SUM(I20:I46)/2</f>
        <v>704278.68650400639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27139.300000000003</v>
      </c>
      <c r="E50" s="12">
        <f>D50/G2</f>
        <v>1.0000000000000002</v>
      </c>
      <c r="F50" s="11">
        <f>I50/D50</f>
        <v>26.5</v>
      </c>
      <c r="G50" s="10"/>
      <c r="H50" s="9">
        <f>H48+H19</f>
        <v>698352.58</v>
      </c>
      <c r="I50" s="9">
        <f>I48+I19</f>
        <v>719191.45000000007</v>
      </c>
      <c r="J50" s="106">
        <f>D50-G2</f>
        <v>0</v>
      </c>
      <c r="K50" s="8"/>
    </row>
    <row r="51" spans="1:11" ht="23.25" x14ac:dyDescent="0.35">
      <c r="A51" s="174" t="s">
        <v>261</v>
      </c>
      <c r="B51" s="169"/>
      <c r="C51" s="170"/>
      <c r="G51" s="7"/>
      <c r="H51" s="6"/>
      <c r="I51" s="6">
        <f>+I50/D50</f>
        <v>26.5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262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262</v>
      </c>
      <c r="D2" s="96" t="s">
        <v>3</v>
      </c>
      <c r="E2" s="95" t="s">
        <v>71</v>
      </c>
      <c r="F2" s="94" t="s">
        <v>5</v>
      </c>
      <c r="G2" s="93">
        <v>15662.6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212</v>
      </c>
      <c r="F3" s="88" t="s">
        <v>8</v>
      </c>
      <c r="G3" s="87">
        <v>26.4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73.880188679245279</v>
      </c>
      <c r="F4" s="81" t="s">
        <v>12</v>
      </c>
      <c r="G4" s="80">
        <f>G2*G3</f>
        <v>413492.64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-8.4750237508022241E-3</v>
      </c>
      <c r="F6" s="69" t="s">
        <v>16</v>
      </c>
      <c r="G6" s="68">
        <f>(I50-I19)/(D50-(SUM(D42:D44)+D19))</f>
        <v>31.237639948628843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 t="e">
        <f t="shared" ref="E10:E19" si="1">D10/$D$19</f>
        <v>#DIV/0!</v>
      </c>
      <c r="F10" s="28">
        <f t="shared" ref="F10:F18" si="2">C10-(C10*$E$6)</f>
        <v>26.623740627021178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/>
      <c r="E11" s="29" t="e">
        <f t="shared" si="1"/>
        <v>#DIV/0!</v>
      </c>
      <c r="F11" s="28">
        <f t="shared" si="2"/>
        <v>27.733063153147061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 t="e">
        <f t="shared" si="1"/>
        <v>#DIV/0!</v>
      </c>
      <c r="F12" s="28">
        <f t="shared" si="2"/>
        <v>25.312723096145138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 t="e">
        <f t="shared" si="1"/>
        <v>#DIV/0!</v>
      </c>
      <c r="F13" s="28">
        <f t="shared" si="2"/>
        <v>27.733063153147061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 t="e">
        <f t="shared" si="1"/>
        <v>#DIV/0!</v>
      </c>
      <c r="F14" s="28">
        <f t="shared" si="2"/>
        <v>30.960183229149628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 t="e">
        <f t="shared" si="1"/>
        <v>#DIV/0!</v>
      </c>
      <c r="F15" s="28">
        <f t="shared" si="2"/>
        <v>25.514418100895298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 t="e">
        <f t="shared" si="1"/>
        <v>#DIV/0!</v>
      </c>
      <c r="F16" s="28">
        <f t="shared" si="2"/>
        <v>34.99408332415284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 t="e">
        <f t="shared" si="1"/>
        <v>#DIV/0!</v>
      </c>
      <c r="F17" s="28">
        <f t="shared" si="2"/>
        <v>51.533073713665992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 t="e">
        <f t="shared" si="1"/>
        <v>#DIV/0!</v>
      </c>
      <c r="F18" s="28">
        <f t="shared" si="2"/>
        <v>45.078833561660865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185.7</v>
      </c>
      <c r="E21" s="29">
        <f>D21/$D$48</f>
        <v>1.1856269074100085E-2</v>
      </c>
      <c r="F21" s="28">
        <f>C21-(C21*$E$6)</f>
        <v>66.962741577053279</v>
      </c>
      <c r="G21" s="27" t="str">
        <f>IF(C21&gt;=F21,"-","+")</f>
        <v>+</v>
      </c>
      <c r="H21" s="26">
        <f>C21*D21</f>
        <v>12330.48</v>
      </c>
      <c r="I21" s="26">
        <f>F21*D21</f>
        <v>12434.981110858793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526.5</v>
      </c>
      <c r="E22" s="29">
        <f>D22/$D$48</f>
        <v>3.361510860265856E-2</v>
      </c>
      <c r="F22" s="28">
        <f>C22-(C22*$E$6)</f>
        <v>44.977986059285783</v>
      </c>
      <c r="G22" s="27" t="str">
        <f>IF(C22&gt;=F22,"-","+")</f>
        <v>+</v>
      </c>
      <c r="H22" s="26">
        <f>C22*D22</f>
        <v>23481.9</v>
      </c>
      <c r="I22" s="26">
        <f>F22*D22</f>
        <v>23680.909660213965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40.700000000000003</v>
      </c>
      <c r="D23" s="30">
        <v>398.5</v>
      </c>
      <c r="E23" s="29">
        <f>D23/$D$48</f>
        <v>2.5442774507425332E-2</v>
      </c>
      <c r="F23" s="28">
        <f>C23-(C23*$E$6)</f>
        <v>41.044933466657653</v>
      </c>
      <c r="G23" s="27" t="str">
        <f>IF(C23&gt;=F23,"-","+")</f>
        <v>+</v>
      </c>
      <c r="H23" s="26">
        <f>C23*D23</f>
        <v>16218.95</v>
      </c>
      <c r="I23" s="26">
        <f>F23*D23</f>
        <v>16356.405986463074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46.845529846043036</v>
      </c>
      <c r="D24" s="22">
        <f>SUM(D21:D23)</f>
        <v>1110.7</v>
      </c>
      <c r="E24" s="21">
        <f>D24/$D$48</f>
        <v>7.0914152184183982E-2</v>
      </c>
      <c r="F24" s="20">
        <f>I24/D24</f>
        <v>47.242546824107166</v>
      </c>
      <c r="G24" s="19">
        <f>F24/C24-1</f>
        <v>8.4750237508022241E-3</v>
      </c>
      <c r="H24" s="18">
        <f>SUM(H21:H23)</f>
        <v>52031.33</v>
      </c>
      <c r="I24" s="18">
        <f>SUM(I21:I23)</f>
        <v>52472.296757535834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v>2809.4</v>
      </c>
      <c r="E26" s="29">
        <f t="shared" ref="E26:E32" si="7">D26/$D$48</f>
        <v>0.1793699641183456</v>
      </c>
      <c r="F26" s="28">
        <f t="shared" ref="F26:F31" si="8">C26-(C26*$E$6)</f>
        <v>35.700015840778399</v>
      </c>
      <c r="G26" s="27" t="str">
        <f t="shared" ref="G26:G31" si="9">IF(C26&gt;=F26,"-","+")</f>
        <v>+</v>
      </c>
      <c r="H26" s="26">
        <f t="shared" ref="H26:H31" si="10">C26*D26</f>
        <v>99452.76</v>
      </c>
      <c r="I26" s="26">
        <f t="shared" ref="I26:I31" si="11">F26*D26</f>
        <v>100295.62450308284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2442.4</v>
      </c>
      <c r="E27" s="29">
        <f t="shared" si="7"/>
        <v>0.1559383499546691</v>
      </c>
      <c r="F27" s="28">
        <f t="shared" si="8"/>
        <v>31.766963248150269</v>
      </c>
      <c r="G27" s="27" t="str">
        <f t="shared" si="9"/>
        <v>+</v>
      </c>
      <c r="H27" s="26">
        <f t="shared" si="10"/>
        <v>76935.600000000006</v>
      </c>
      <c r="I27" s="26">
        <f t="shared" si="11"/>
        <v>77587.631037282219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1471.8</v>
      </c>
      <c r="E28" s="29">
        <f t="shared" si="7"/>
        <v>9.3969072823158348E-2</v>
      </c>
      <c r="F28" s="28">
        <f t="shared" si="8"/>
        <v>31.766963248150269</v>
      </c>
      <c r="G28" s="27" t="str">
        <f t="shared" si="9"/>
        <v>+</v>
      </c>
      <c r="H28" s="26">
        <f t="shared" si="10"/>
        <v>46361.7</v>
      </c>
      <c r="I28" s="26">
        <f t="shared" si="11"/>
        <v>46754.616508627565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v>1355.8</v>
      </c>
      <c r="E29" s="29">
        <f t="shared" si="7"/>
        <v>8.6562895049353231E-2</v>
      </c>
      <c r="F29" s="28">
        <f t="shared" si="8"/>
        <v>30.758488224399468</v>
      </c>
      <c r="G29" s="27" t="str">
        <f t="shared" si="9"/>
        <v>+</v>
      </c>
      <c r="H29" s="26">
        <f t="shared" si="10"/>
        <v>41351.9</v>
      </c>
      <c r="I29" s="26">
        <f t="shared" si="11"/>
        <v>41702.358334640798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1030.5999999999999</v>
      </c>
      <c r="E30" s="29">
        <f t="shared" si="7"/>
        <v>6.5800058738651301E-2</v>
      </c>
      <c r="F30" s="28">
        <f t="shared" si="8"/>
        <v>30.758488224399468</v>
      </c>
      <c r="G30" s="27" t="str">
        <f t="shared" si="9"/>
        <v>+</v>
      </c>
      <c r="H30" s="26">
        <f t="shared" si="10"/>
        <v>31433.299999999996</v>
      </c>
      <c r="I30" s="26">
        <f t="shared" si="11"/>
        <v>31699.69796406609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f>417.7+3.2</f>
        <v>420.9</v>
      </c>
      <c r="E31" s="29">
        <f t="shared" si="7"/>
        <v>2.6872932974091147E-2</v>
      </c>
      <c r="F31" s="28">
        <f t="shared" si="8"/>
        <v>31.26272573627487</v>
      </c>
      <c r="G31" s="27" t="str">
        <f t="shared" si="9"/>
        <v>+</v>
      </c>
      <c r="H31" s="26">
        <f t="shared" si="10"/>
        <v>13047.9</v>
      </c>
      <c r="I31" s="26">
        <f t="shared" si="11"/>
        <v>13158.481262398092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32.377127028926971</v>
      </c>
      <c r="D32" s="22">
        <f>SUM(D26:D31)</f>
        <v>9530.9</v>
      </c>
      <c r="E32" s="21">
        <f t="shared" si="7"/>
        <v>0.60851327365826868</v>
      </c>
      <c r="F32" s="20">
        <f>I32/D32</f>
        <v>32.651523949479859</v>
      </c>
      <c r="G32" s="19">
        <f>F32/C32-1</f>
        <v>8.4750237508020021E-3</v>
      </c>
      <c r="H32" s="18">
        <f>SUM(H26:H31)</f>
        <v>308583.16000000003</v>
      </c>
      <c r="I32" s="18">
        <f>SUM(I26:I31)</f>
        <v>311198.40961009759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2590</v>
      </c>
      <c r="E34" s="29">
        <f t="shared" ref="E34:E40" si="13">D34/$D$48</f>
        <v>0.16536207270823489</v>
      </c>
      <c r="F34" s="28">
        <f t="shared" ref="F34:F39" si="14">C34-(C34*$E$6)</f>
        <v>18.85848294414</v>
      </c>
      <c r="G34" s="27" t="str">
        <f t="shared" ref="G34:G39" si="15">IF(C34&gt;=F34,"-","+")</f>
        <v>+</v>
      </c>
      <c r="H34" s="26">
        <f t="shared" ref="H34:H39" si="16">C34*D34</f>
        <v>48433</v>
      </c>
      <c r="I34" s="26">
        <f t="shared" ref="I34:I39" si="17">F34*D34</f>
        <v>48843.470825322598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14.421192839636472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11.597462773134225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30.758488224399468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30.758488224399468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31.766963248150269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2590</v>
      </c>
      <c r="E40" s="21">
        <f t="shared" si="13"/>
        <v>0.16536207270823489</v>
      </c>
      <c r="F40" s="20">
        <f>I40/D40</f>
        <v>18.85848294414</v>
      </c>
      <c r="G40" s="19">
        <f>F40/C40-1</f>
        <v>8.4750237508022241E-3</v>
      </c>
      <c r="H40" s="18">
        <f>SUM(H34:H39)</f>
        <v>48433</v>
      </c>
      <c r="I40" s="18">
        <f>SUM(I34:I39)</f>
        <v>48843.470825322598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2326</v>
      </c>
      <c r="E42" s="107">
        <f>D42/$D$48</f>
        <v>0.14850663363681635</v>
      </c>
      <c r="F42" s="28">
        <f>C42-(C42*$E$6)</f>
        <v>0.40339000950032089</v>
      </c>
      <c r="G42" s="27" t="str">
        <f>IF(C42&gt;=F42,"-","+")</f>
        <v>+</v>
      </c>
      <c r="H42" s="26">
        <f>C42*D42</f>
        <v>930.40000000000009</v>
      </c>
      <c r="I42" s="26">
        <f>F42*D42</f>
        <v>938.28516209774637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99.6</v>
      </c>
      <c r="E43" s="107">
        <f>D43/$D$48</f>
        <v>6.3590974678533569E-3</v>
      </c>
      <c r="F43" s="28">
        <f>C43-(C43*$E$6)</f>
        <v>0.40339000950032089</v>
      </c>
      <c r="G43" s="27" t="str">
        <f>IF(C43&gt;=F43,"-","+")</f>
        <v>+</v>
      </c>
      <c r="H43" s="26">
        <f>C43*D43</f>
        <v>39.840000000000003</v>
      </c>
      <c r="I43" s="26">
        <f>F43*D43</f>
        <v>40.177644946231958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3.4477034464265192E-4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0.39911147675853564</v>
      </c>
      <c r="D46" s="22">
        <f>SUM(D41:D45)</f>
        <v>2431</v>
      </c>
      <c r="E46" s="21">
        <f>D46/$D$48</f>
        <v>0.15521050144931237</v>
      </c>
      <c r="F46" s="20">
        <f>I46/D46</f>
        <v>0.40249395600328192</v>
      </c>
      <c r="G46" s="19">
        <f>F46/C46-1</f>
        <v>8.4750237508020021E-3</v>
      </c>
      <c r="H46" s="18">
        <f>SUM(H41:H44)</f>
        <v>970.24000000000012</v>
      </c>
      <c r="I46" s="18">
        <f>SUM(I41:I44)</f>
        <v>978.46280704397827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98.321768351728537</v>
      </c>
      <c r="D48" s="13">
        <f>D24+D32+D40+D46</f>
        <v>15662.6</v>
      </c>
      <c r="E48" s="12">
        <f>SUM(E20:E46)/2</f>
        <v>1</v>
      </c>
      <c r="F48" s="11">
        <f>I48/D48</f>
        <v>26.399999999999995</v>
      </c>
      <c r="G48" s="10"/>
      <c r="H48" s="9">
        <f>SUM(H20:H46)/2</f>
        <v>410017.73000000004</v>
      </c>
      <c r="I48" s="9">
        <f>SUM(I20:I46)/2</f>
        <v>413492.63999999996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15662.599999999999</v>
      </c>
      <c r="E50" s="12">
        <f>D50/G2</f>
        <v>0.99999999999999989</v>
      </c>
      <c r="F50" s="11">
        <f>I50/D50</f>
        <v>26.4</v>
      </c>
      <c r="G50" s="10"/>
      <c r="H50" s="9">
        <f>H48+H19</f>
        <v>410017.73000000004</v>
      </c>
      <c r="I50" s="9">
        <f>I48+I19</f>
        <v>413492.63999999996</v>
      </c>
      <c r="J50" s="106">
        <f>D50-G2</f>
        <v>0</v>
      </c>
      <c r="K50" s="8"/>
    </row>
    <row r="51" spans="1:11" ht="23.25" x14ac:dyDescent="0.35">
      <c r="A51" s="174" t="s">
        <v>264</v>
      </c>
      <c r="B51" s="169"/>
      <c r="C51" s="170"/>
      <c r="G51" s="7"/>
      <c r="H51" s="6"/>
      <c r="I51" s="6">
        <f>+I50/D50</f>
        <v>26.4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262</v>
      </c>
      <c r="D1" s="100" t="s">
        <v>1</v>
      </c>
      <c r="E1" s="168" t="s">
        <v>227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262</v>
      </c>
      <c r="D2" s="96" t="s">
        <v>3</v>
      </c>
      <c r="E2" s="95" t="s">
        <v>112</v>
      </c>
      <c r="F2" s="94" t="s">
        <v>5</v>
      </c>
      <c r="G2" s="93">
        <v>13089.5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220</v>
      </c>
      <c r="F3" s="88" t="s">
        <v>8</v>
      </c>
      <c r="G3" s="87">
        <v>22.5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</v>
      </c>
      <c r="D4" s="83" t="s">
        <v>11</v>
      </c>
      <c r="E4" s="82">
        <f>G2/E3</f>
        <v>59.497727272727275</v>
      </c>
      <c r="F4" s="81" t="s">
        <v>12</v>
      </c>
      <c r="G4" s="80">
        <f>G2*G3</f>
        <v>294513.75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-7.5187549405664411E-2</v>
      </c>
      <c r="F6" s="69" t="s">
        <v>16</v>
      </c>
      <c r="G6" s="68">
        <f>(I50-I19)/(D50-(SUM(D42:D44)+D19))</f>
        <v>28.306925982526458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22.5</v>
      </c>
      <c r="D10" s="30"/>
      <c r="E10" s="29" t="e">
        <f t="shared" ref="E10:E19" si="1">D10/$D$19</f>
        <v>#DIV/0!</v>
      </c>
      <c r="F10" s="28">
        <f t="shared" ref="F10:F18" si="2">C10-(C10*$E$6)</f>
        <v>24.191719861627448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23.4</v>
      </c>
      <c r="D11" s="30"/>
      <c r="E11" s="29" t="e">
        <f t="shared" si="1"/>
        <v>#DIV/0!</v>
      </c>
      <c r="F11" s="28">
        <f t="shared" si="2"/>
        <v>25.159388656092545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21.4</v>
      </c>
      <c r="D12" s="30"/>
      <c r="E12" s="29" t="e">
        <f t="shared" si="1"/>
        <v>#DIV/0!</v>
      </c>
      <c r="F12" s="28">
        <f t="shared" si="2"/>
        <v>23.009013557281218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23.4</v>
      </c>
      <c r="D13" s="30"/>
      <c r="E13" s="29" t="e">
        <f t="shared" si="1"/>
        <v>#DIV/0!</v>
      </c>
      <c r="F13" s="28">
        <f t="shared" si="2"/>
        <v>25.159388656092545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26.2</v>
      </c>
      <c r="D14" s="30"/>
      <c r="E14" s="29" t="e">
        <f t="shared" si="1"/>
        <v>#DIV/0!</v>
      </c>
      <c r="F14" s="28">
        <f t="shared" si="2"/>
        <v>28.169913794428407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21.6</v>
      </c>
      <c r="D15" s="30"/>
      <c r="E15" s="29" t="e">
        <f t="shared" si="1"/>
        <v>#DIV/0!</v>
      </c>
      <c r="F15" s="28">
        <f t="shared" si="2"/>
        <v>23.224051067162353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29.6</v>
      </c>
      <c r="D16" s="30"/>
      <c r="E16" s="29" t="e">
        <f t="shared" si="1"/>
        <v>#DIV/0!</v>
      </c>
      <c r="F16" s="28">
        <f t="shared" si="2"/>
        <v>31.825551462407667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43.5</v>
      </c>
      <c r="D17" s="30"/>
      <c r="E17" s="29" t="e">
        <f t="shared" si="1"/>
        <v>#DIV/0!</v>
      </c>
      <c r="F17" s="28">
        <f t="shared" si="2"/>
        <v>46.770658399146399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38.1</v>
      </c>
      <c r="D18" s="30"/>
      <c r="E18" s="29" t="e">
        <f t="shared" si="1"/>
        <v>#DIV/0!</v>
      </c>
      <c r="F18" s="28">
        <f t="shared" si="2"/>
        <v>40.964645632355818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56.6</v>
      </c>
      <c r="D21" s="30">
        <v>167.6</v>
      </c>
      <c r="E21" s="29">
        <f>D21/$D$48</f>
        <v>1.280415600290309E-2</v>
      </c>
      <c r="F21" s="28">
        <f>C21-(C21*$E$6)</f>
        <v>60.855615296360611</v>
      </c>
      <c r="G21" s="27" t="str">
        <f>IF(C21&gt;=F21,"-","+")</f>
        <v>+</v>
      </c>
      <c r="H21" s="26">
        <f>C21*D21</f>
        <v>9486.16</v>
      </c>
      <c r="I21" s="26">
        <f>F21*D21</f>
        <v>10199.401123670039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</v>
      </c>
      <c r="D22" s="30">
        <v>368.2</v>
      </c>
      <c r="E22" s="29">
        <f>D22/$D$48</f>
        <v>2.8129416708048433E-2</v>
      </c>
      <c r="F22" s="28">
        <f>C22-(C22*$E$6)</f>
        <v>40.857126877415247</v>
      </c>
      <c r="G22" s="27" t="str">
        <f>IF(C22&gt;=F22,"-","+")</f>
        <v>+</v>
      </c>
      <c r="H22" s="26">
        <f>C22*D22</f>
        <v>13991.6</v>
      </c>
      <c r="I22" s="26">
        <f>F22*D22</f>
        <v>15043.594116264294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34.700000000000003</v>
      </c>
      <c r="D23" s="30">
        <v>305.8</v>
      </c>
      <c r="E23" s="29">
        <f>D23/$D$48</f>
        <v>2.3362236907444899E-2</v>
      </c>
      <c r="F23" s="28">
        <f>C23-(C23*$E$6)</f>
        <v>37.309007964376555</v>
      </c>
      <c r="G23" s="27" t="str">
        <f>IF(C23&gt;=F23,"-","+")</f>
        <v>+</v>
      </c>
      <c r="H23" s="26">
        <f>C23*D23</f>
        <v>10611.260000000002</v>
      </c>
      <c r="I23" s="26">
        <f>F23*D23</f>
        <v>11409.094635506352</v>
      </c>
      <c r="J23" s="25"/>
      <c r="K23" s="25"/>
    </row>
    <row r="24" spans="1:11" x14ac:dyDescent="0.25">
      <c r="A24" s="24" t="s">
        <v>34</v>
      </c>
      <c r="B24" s="23"/>
      <c r="C24" s="20">
        <f>H24/D24</f>
        <v>40.505014258555143</v>
      </c>
      <c r="D24" s="22">
        <f>SUM(D21:D23)</f>
        <v>841.59999999999991</v>
      </c>
      <c r="E24" s="21">
        <f>D24/$D$48</f>
        <v>6.4295809618396413E-2</v>
      </c>
      <c r="F24" s="20">
        <f>I24/D24</f>
        <v>43.550487019297393</v>
      </c>
      <c r="G24" s="19">
        <f>F24/C24-1</f>
        <v>7.5187549405664189E-2</v>
      </c>
      <c r="H24" s="18">
        <f>SUM(H21:H23)</f>
        <v>34089.020000000004</v>
      </c>
      <c r="I24" s="18">
        <f>SUM(I21:I23)</f>
        <v>36652.089875440681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30.2</v>
      </c>
      <c r="D26" s="30">
        <v>2385.6999999999998</v>
      </c>
      <c r="E26" s="29">
        <f t="shared" ref="E26:E32" si="7">D26/$D$48</f>
        <v>0.18226059054967722</v>
      </c>
      <c r="F26" s="28">
        <f t="shared" ref="F26:F31" si="8">C26-(C26*$E$6)</f>
        <v>32.470663992051065</v>
      </c>
      <c r="G26" s="27" t="str">
        <f t="shared" ref="G26:G31" si="9">IF(C26&gt;=F26,"-","+")</f>
        <v>+</v>
      </c>
      <c r="H26" s="26">
        <f t="shared" ref="H26:H31" si="10">C26*D26</f>
        <v>72048.14</v>
      </c>
      <c r="I26" s="26">
        <f t="shared" ref="I26:I31" si="11">F26*D26</f>
        <v>77465.263085836224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26.9</v>
      </c>
      <c r="D27" s="30">
        <v>1745.5</v>
      </c>
      <c r="E27" s="29">
        <f t="shared" si="7"/>
        <v>0.13335115932617747</v>
      </c>
      <c r="F27" s="28">
        <f t="shared" si="8"/>
        <v>28.922545079012373</v>
      </c>
      <c r="G27" s="27" t="str">
        <f t="shared" si="9"/>
        <v>+</v>
      </c>
      <c r="H27" s="26">
        <f t="shared" si="10"/>
        <v>46953.95</v>
      </c>
      <c r="I27" s="26">
        <f t="shared" si="11"/>
        <v>50484.302435416095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26.9</v>
      </c>
      <c r="D28" s="30">
        <v>1217.8</v>
      </c>
      <c r="E28" s="29">
        <f t="shared" si="7"/>
        <v>9.3036403223958133E-2</v>
      </c>
      <c r="F28" s="28">
        <f t="shared" si="8"/>
        <v>28.922545079012373</v>
      </c>
      <c r="G28" s="27" t="str">
        <f t="shared" si="9"/>
        <v>+</v>
      </c>
      <c r="H28" s="26">
        <f t="shared" si="10"/>
        <v>32758.819999999996</v>
      </c>
      <c r="I28" s="26">
        <f t="shared" si="11"/>
        <v>35221.875397221265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</v>
      </c>
      <c r="D29" s="30">
        <v>1129.8</v>
      </c>
      <c r="E29" s="29">
        <f t="shared" si="7"/>
        <v>8.6313457351312114E-2</v>
      </c>
      <c r="F29" s="28">
        <f t="shared" si="8"/>
        <v>27.954876284547275</v>
      </c>
      <c r="G29" s="27" t="str">
        <f t="shared" si="9"/>
        <v>+</v>
      </c>
      <c r="H29" s="26">
        <f t="shared" si="10"/>
        <v>29374.799999999999</v>
      </c>
      <c r="I29" s="26">
        <f t="shared" si="11"/>
        <v>31583.419226281509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</v>
      </c>
      <c r="D30" s="30">
        <v>695.3</v>
      </c>
      <c r="E30" s="29">
        <f t="shared" si="7"/>
        <v>5.3118912105122422E-2</v>
      </c>
      <c r="F30" s="28">
        <f t="shared" si="8"/>
        <v>27.954876284547275</v>
      </c>
      <c r="G30" s="27" t="str">
        <f t="shared" si="9"/>
        <v>+</v>
      </c>
      <c r="H30" s="26">
        <f t="shared" si="10"/>
        <v>18077.8</v>
      </c>
      <c r="I30" s="26">
        <f t="shared" si="11"/>
        <v>19437.02548064572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26.4</v>
      </c>
      <c r="D31" s="30">
        <v>203.8</v>
      </c>
      <c r="E31" s="29">
        <f t="shared" si="7"/>
        <v>1.5569731464150655E-2</v>
      </c>
      <c r="F31" s="28">
        <f t="shared" si="8"/>
        <v>28.384951304309539</v>
      </c>
      <c r="G31" s="27" t="str">
        <f t="shared" si="9"/>
        <v>+</v>
      </c>
      <c r="H31" s="26">
        <f t="shared" si="10"/>
        <v>5380.32</v>
      </c>
      <c r="I31" s="26">
        <f t="shared" si="11"/>
        <v>5784.8530758182842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27.73063202266227</v>
      </c>
      <c r="D32" s="22">
        <f>SUM(D26:D31)</f>
        <v>7377.9000000000005</v>
      </c>
      <c r="E32" s="21">
        <f t="shared" si="7"/>
        <v>0.56365025402039803</v>
      </c>
      <c r="F32" s="20">
        <f>I32/D32</f>
        <v>29.815630287916491</v>
      </c>
      <c r="G32" s="19">
        <f>F32/C32-1</f>
        <v>7.5187549405664411E-2</v>
      </c>
      <c r="H32" s="18">
        <f>SUM(H26:H31)</f>
        <v>204593.83</v>
      </c>
      <c r="I32" s="18">
        <f>SUM(I26:I31)</f>
        <v>219976.73870121909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15.9</v>
      </c>
      <c r="D34" s="30">
        <f>1198.3+841.5</f>
        <v>2039.8</v>
      </c>
      <c r="E34" s="29">
        <f t="shared" ref="E34:E40" si="13">D34/$D$48</f>
        <v>0.15583482944344704</v>
      </c>
      <c r="F34" s="28">
        <f t="shared" ref="F34:F39" si="14">C34-(C34*$E$6)</f>
        <v>17.095482035550063</v>
      </c>
      <c r="G34" s="27" t="str">
        <f t="shared" ref="G34:G39" si="15">IF(C34&gt;=F34,"-","+")</f>
        <v>+</v>
      </c>
      <c r="H34" s="26">
        <f t="shared" ref="H34:H39" si="16">C34*D34</f>
        <v>32432.82</v>
      </c>
      <c r="I34" s="26">
        <f t="shared" ref="I34:I39" si="17">F34*D34</f>
        <v>34871.364256115019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12.2</v>
      </c>
      <c r="D35" s="30">
        <v>141.69999999999999</v>
      </c>
      <c r="E35" s="29">
        <f t="shared" si="13"/>
        <v>1.0825470797203866E-2</v>
      </c>
      <c r="F35" s="28">
        <f t="shared" si="14"/>
        <v>13.117288102749106</v>
      </c>
      <c r="G35" s="27" t="str">
        <f t="shared" si="15"/>
        <v>+</v>
      </c>
      <c r="H35" s="26">
        <f t="shared" si="16"/>
        <v>1728.7399999999998</v>
      </c>
      <c r="I35" s="26">
        <f t="shared" si="17"/>
        <v>1858.7197241595482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9.8000000000000007</v>
      </c>
      <c r="D36" s="30"/>
      <c r="E36" s="29">
        <f t="shared" si="13"/>
        <v>0</v>
      </c>
      <c r="F36" s="28">
        <f t="shared" si="14"/>
        <v>10.536837984175513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</v>
      </c>
      <c r="D37" s="30"/>
      <c r="E37" s="29">
        <f t="shared" si="13"/>
        <v>0</v>
      </c>
      <c r="F37" s="28">
        <f t="shared" si="14"/>
        <v>27.954876284547275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</v>
      </c>
      <c r="D38" s="30"/>
      <c r="E38" s="29">
        <f t="shared" si="13"/>
        <v>0</v>
      </c>
      <c r="F38" s="28">
        <f t="shared" si="14"/>
        <v>27.954876284547275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26.9</v>
      </c>
      <c r="D39" s="30"/>
      <c r="E39" s="29">
        <f t="shared" si="13"/>
        <v>0</v>
      </c>
      <c r="F39" s="28">
        <f t="shared" si="14"/>
        <v>28.922545079012373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15.659665367866147</v>
      </c>
      <c r="D40" s="22">
        <f>SUM(D34:D39)</f>
        <v>2181.5</v>
      </c>
      <c r="E40" s="21">
        <f t="shared" si="13"/>
        <v>0.1666603002406509</v>
      </c>
      <c r="F40" s="20">
        <f>I40/D40</f>
        <v>16.837077231388754</v>
      </c>
      <c r="G40" s="19">
        <f>F40/C40-1</f>
        <v>7.5187549405664411E-2</v>
      </c>
      <c r="H40" s="18">
        <f>SUM(H34:H39)</f>
        <v>34161.56</v>
      </c>
      <c r="I40" s="18">
        <f>SUM(I34:I39)</f>
        <v>36730.083980274569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1325+162.8+1123.6</f>
        <v>2611.3999999999996</v>
      </c>
      <c r="E42" s="107">
        <f>D42/$D$48</f>
        <v>0.19950341877077044</v>
      </c>
      <c r="F42" s="28">
        <f>C42-(C42*$E$6)</f>
        <v>0.43007501976226581</v>
      </c>
      <c r="G42" s="27" t="str">
        <f>IF(C42&gt;=F42,"-","+")</f>
        <v>+</v>
      </c>
      <c r="H42" s="26">
        <f>C42*D42</f>
        <v>1044.56</v>
      </c>
      <c r="I42" s="26">
        <f>F42*D42</f>
        <v>1123.0979066071807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73.8</v>
      </c>
      <c r="E43" s="107">
        <f>D43/$D$48</f>
        <v>5.6381068795599521E-3</v>
      </c>
      <c r="F43" s="28">
        <f>C43-(C43*$E$6)</f>
        <v>0.43007501976226581</v>
      </c>
      <c r="G43" s="27" t="str">
        <f>IF(C43&gt;=F43,"-","+")</f>
        <v>+</v>
      </c>
      <c r="H43" s="26">
        <f>C43*D43</f>
        <v>29.52</v>
      </c>
      <c r="I43" s="26">
        <f>F43*D43</f>
        <v>31.739536458455216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3.3</v>
      </c>
      <c r="E45" s="107">
        <f>D45/$D$48</f>
        <v>2.5211047022422549E-4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0.39950901989957222</v>
      </c>
      <c r="D46" s="22">
        <f>SUM(D41:D45)</f>
        <v>2688.5</v>
      </c>
      <c r="E46" s="21">
        <f>D46/$D$48</f>
        <v>0.20539363612055464</v>
      </c>
      <c r="F46" s="20">
        <f>I46/D46</f>
        <v>0.42954712407127982</v>
      </c>
      <c r="G46" s="19">
        <f>F46/C46-1</f>
        <v>7.5187549405664189E-2</v>
      </c>
      <c r="H46" s="18">
        <f>SUM(H41:H44)</f>
        <v>1074.08</v>
      </c>
      <c r="I46" s="18">
        <f>SUM(I41:I44)</f>
        <v>1154.8374430656359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84.294820668983135</v>
      </c>
      <c r="D48" s="13">
        <f>D24+D32+D40+D46</f>
        <v>13089.5</v>
      </c>
      <c r="E48" s="12">
        <f>SUM(E20:E46)/2</f>
        <v>1</v>
      </c>
      <c r="F48" s="11">
        <f>I48/D48</f>
        <v>22.5</v>
      </c>
      <c r="G48" s="10"/>
      <c r="H48" s="9">
        <f>SUM(H20:H46)/2</f>
        <v>273918.49</v>
      </c>
      <c r="I48" s="9">
        <f>SUM(I20:I46)/2</f>
        <v>294513.75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13089.5</v>
      </c>
      <c r="E50" s="12">
        <f>D50/G2</f>
        <v>1</v>
      </c>
      <c r="F50" s="11">
        <f>I50/D50</f>
        <v>22.5</v>
      </c>
      <c r="G50" s="10"/>
      <c r="H50" s="9">
        <f>H48+H19</f>
        <v>273918.49</v>
      </c>
      <c r="I50" s="9">
        <f>I48+I19</f>
        <v>294513.75</v>
      </c>
      <c r="J50" s="106">
        <f>D50-G2</f>
        <v>0</v>
      </c>
      <c r="K50" s="8"/>
    </row>
    <row r="51" spans="1:11" ht="23.25" x14ac:dyDescent="0.35">
      <c r="A51" s="174" t="s">
        <v>265</v>
      </c>
      <c r="B51" s="169"/>
      <c r="C51" s="170"/>
      <c r="G51" s="7"/>
      <c r="H51" s="6"/>
      <c r="I51" s="6">
        <f>+I50/D50</f>
        <v>22.5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262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262</v>
      </c>
      <c r="D2" s="96" t="s">
        <v>3</v>
      </c>
      <c r="E2" s="95" t="s">
        <v>71</v>
      </c>
      <c r="F2" s="94" t="s">
        <v>5</v>
      </c>
      <c r="G2" s="93">
        <v>23317.9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336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69.398511904761904</v>
      </c>
      <c r="F4" s="81" t="s">
        <v>12</v>
      </c>
      <c r="G4" s="80">
        <f>G2*G3</f>
        <v>617924.35000000009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-2.7935607021546849E-2</v>
      </c>
      <c r="F6" s="69" t="s">
        <v>16</v>
      </c>
      <c r="G6" s="68">
        <f>(I50-I19)/(D50-(SUM(D42:D44)+D19))</f>
        <v>31.906787782815087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27.24029358607099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>
        <v>2222.6</v>
      </c>
      <c r="E11" s="29">
        <f t="shared" si="1"/>
        <v>0.81446736780387696</v>
      </c>
      <c r="F11" s="28">
        <f t="shared" si="2"/>
        <v>28.371022753794694</v>
      </c>
      <c r="G11" s="27" t="str">
        <f t="shared" si="3"/>
        <v>+</v>
      </c>
      <c r="H11" s="34">
        <f t="shared" si="4"/>
        <v>61343.76</v>
      </c>
      <c r="I11" s="34">
        <f t="shared" si="5"/>
        <v>63057.435172584082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>
        <v>506.3</v>
      </c>
      <c r="E12" s="29">
        <f t="shared" si="1"/>
        <v>0.18553263219612298</v>
      </c>
      <c r="F12" s="28">
        <f t="shared" si="2"/>
        <v>25.90397729694298</v>
      </c>
      <c r="G12" s="27" t="str">
        <f t="shared" si="3"/>
        <v>+</v>
      </c>
      <c r="H12" s="34">
        <f t="shared" si="4"/>
        <v>12758.76</v>
      </c>
      <c r="I12" s="34">
        <f t="shared" si="5"/>
        <v>13115.18370544223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28.371022753794694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31.763210256965795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/>
      <c r="E15" s="29">
        <f t="shared" si="1"/>
        <v>0</v>
      </c>
      <c r="F15" s="28">
        <f t="shared" si="2"/>
        <v>26.10956441834729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>
        <f t="shared" si="1"/>
        <v>0</v>
      </c>
      <c r="F16" s="28">
        <f t="shared" si="2"/>
        <v>35.772159124349827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/>
      <c r="E17" s="29">
        <f t="shared" si="1"/>
        <v>0</v>
      </c>
      <c r="F17" s="28">
        <f t="shared" si="2"/>
        <v>52.733096640205353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46.154308755267451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27.154721682729306</v>
      </c>
      <c r="D19" s="49">
        <f>SUM(D10:D18)</f>
        <v>2728.9</v>
      </c>
      <c r="E19" s="48">
        <f t="shared" si="1"/>
        <v>1</v>
      </c>
      <c r="F19" s="47">
        <f>I19/D19</f>
        <v>27.913305316437508</v>
      </c>
      <c r="G19" s="46">
        <f>F19/C19-1</f>
        <v>2.7935607021546849E-2</v>
      </c>
      <c r="H19" s="9">
        <f>SUM(H10:H18)</f>
        <v>74102.52</v>
      </c>
      <c r="I19" s="9">
        <f>SUM(I10:I18)</f>
        <v>76172.618878026318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>
        <v>225.8</v>
      </c>
      <c r="E21" s="29">
        <f>D21/$D$48</f>
        <v>1.0967021224925931E-2</v>
      </c>
      <c r="F21" s="28">
        <f>C21-(C21*$E$6)</f>
        <v>68.460511427635012</v>
      </c>
      <c r="G21" s="27" t="str">
        <f>IF(C21&gt;=F21,"-","+")</f>
        <v>+</v>
      </c>
      <c r="H21" s="26">
        <f>C21*D21</f>
        <v>15038.279999999999</v>
      </c>
      <c r="I21" s="26">
        <f>F21*D21</f>
        <v>15458.383480359986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618.5</v>
      </c>
      <c r="E22" s="29">
        <f>D22/$D$48</f>
        <v>3.004031278838214E-2</v>
      </c>
      <c r="F22" s="28">
        <f>C22-(C22*$E$6)</f>
        <v>46.051515194565297</v>
      </c>
      <c r="G22" s="27" t="str">
        <f>IF(C22&gt;=F22,"-","+")</f>
        <v>+</v>
      </c>
      <c r="H22" s="26">
        <f>C22*D22</f>
        <v>27708.799999999999</v>
      </c>
      <c r="I22" s="26">
        <f>F22*D22</f>
        <v>28482.862147838638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>
        <v>466.9</v>
      </c>
      <c r="E23" s="29">
        <f>D23/$D$48</f>
        <v>2.2677157705570931E-2</v>
      </c>
      <c r="F23" s="28">
        <f>C23-(C23*$E$6)</f>
        <v>41.939772766479109</v>
      </c>
      <c r="G23" s="27" t="str">
        <f>IF(C23&gt;=F23,"-","+")</f>
        <v>+</v>
      </c>
      <c r="H23" s="26">
        <f>C23*D23</f>
        <v>19049.519999999997</v>
      </c>
      <c r="I23" s="26">
        <f>F23*D23</f>
        <v>19581.679904669094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47.129804758999398</v>
      </c>
      <c r="D24" s="22">
        <f>SUM(D21:D23)</f>
        <v>1311.1999999999998</v>
      </c>
      <c r="E24" s="21">
        <f>D24/$D$48</f>
        <v>6.3684491718878994E-2</v>
      </c>
      <c r="F24" s="20">
        <f>I24/D24</f>
        <v>48.446404463749026</v>
      </c>
      <c r="G24" s="19">
        <f>F24/C24-1</f>
        <v>2.7935607021546627E-2</v>
      </c>
      <c r="H24" s="18">
        <f>SUM(H21:H23)</f>
        <v>61796.6</v>
      </c>
      <c r="I24" s="18">
        <f>SUM(I21:I23)</f>
        <v>63522.925532867717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>
        <f>77+3815.2</f>
        <v>3892.2</v>
      </c>
      <c r="E26" s="29">
        <f t="shared" ref="E26:E32" si="7">D26/$D$48</f>
        <v>0.18904269269998539</v>
      </c>
      <c r="F26" s="28">
        <f t="shared" ref="F26:F31" si="8">C26-(C26*$E$6)</f>
        <v>36.594507609967067</v>
      </c>
      <c r="G26" s="27" t="str">
        <f t="shared" ref="G26:G31" si="9">IF(C26&gt;=F26,"-","+")</f>
        <v>+</v>
      </c>
      <c r="H26" s="26">
        <f t="shared" ref="H26:H31" si="10">C26*D26</f>
        <v>138562.32</v>
      </c>
      <c r="I26" s="26">
        <f t="shared" ref="I26:I31" si="11">F26*D26</f>
        <v>142433.14251951381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2984.1</v>
      </c>
      <c r="E27" s="29">
        <f t="shared" si="7"/>
        <v>0.14493661663995333</v>
      </c>
      <c r="F27" s="28">
        <f t="shared" si="8"/>
        <v>32.585558742583032</v>
      </c>
      <c r="G27" s="27" t="str">
        <f t="shared" si="9"/>
        <v>+</v>
      </c>
      <c r="H27" s="26">
        <f t="shared" si="10"/>
        <v>94595.97</v>
      </c>
      <c r="I27" s="26">
        <f t="shared" si="11"/>
        <v>97238.565843742021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1855.2</v>
      </c>
      <c r="E28" s="29">
        <f t="shared" si="7"/>
        <v>9.0106367477779378E-2</v>
      </c>
      <c r="F28" s="28">
        <f t="shared" si="8"/>
        <v>32.585558742583032</v>
      </c>
      <c r="G28" s="27" t="str">
        <f t="shared" si="9"/>
        <v>+</v>
      </c>
      <c r="H28" s="26">
        <f t="shared" si="10"/>
        <v>58809.84</v>
      </c>
      <c r="I28" s="26">
        <f t="shared" si="11"/>
        <v>60452.728579240043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1911.1</v>
      </c>
      <c r="E29" s="29">
        <f t="shared" si="7"/>
        <v>9.2821409490504617E-2</v>
      </c>
      <c r="F29" s="28">
        <f t="shared" si="8"/>
        <v>31.454829574859335</v>
      </c>
      <c r="G29" s="27" t="str">
        <f t="shared" si="9"/>
        <v>+</v>
      </c>
      <c r="H29" s="26">
        <f t="shared" si="10"/>
        <v>58479.66</v>
      </c>
      <c r="I29" s="26">
        <f t="shared" si="11"/>
        <v>60113.32480051367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>
        <v>1442.6</v>
      </c>
      <c r="E30" s="29">
        <f t="shared" si="7"/>
        <v>7.0066540385642806E-2</v>
      </c>
      <c r="F30" s="28">
        <f t="shared" si="8"/>
        <v>31.454829574859335</v>
      </c>
      <c r="G30" s="27" t="str">
        <f t="shared" si="9"/>
        <v>+</v>
      </c>
      <c r="H30" s="26">
        <f t="shared" si="10"/>
        <v>44143.56</v>
      </c>
      <c r="I30" s="26">
        <f t="shared" si="11"/>
        <v>45376.737144692073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>
        <v>260</v>
      </c>
      <c r="E31" s="29">
        <f t="shared" si="7"/>
        <v>1.2628102384768563E-2</v>
      </c>
      <c r="F31" s="28">
        <f t="shared" si="8"/>
        <v>31.968797378370109</v>
      </c>
      <c r="G31" s="27" t="str">
        <f t="shared" si="9"/>
        <v>+</v>
      </c>
      <c r="H31" s="26">
        <f t="shared" si="10"/>
        <v>8086</v>
      </c>
      <c r="I31" s="26">
        <f t="shared" si="11"/>
        <v>8311.887318376228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32.618130933480217</v>
      </c>
      <c r="D32" s="22">
        <f>SUM(D26:D31)</f>
        <v>12345.2</v>
      </c>
      <c r="E32" s="21">
        <f t="shared" si="7"/>
        <v>0.59960172907863418</v>
      </c>
      <c r="F32" s="20">
        <f>I32/D32</f>
        <v>33.52933822101528</v>
      </c>
      <c r="G32" s="19">
        <f>F32/C32-1</f>
        <v>2.7935607021546849E-2</v>
      </c>
      <c r="H32" s="18">
        <f>SUM(H26:H31)</f>
        <v>402677.35000000003</v>
      </c>
      <c r="I32" s="18">
        <f>SUM(I26:I31)</f>
        <v>413926.38620607788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1096.6+2021.5</f>
        <v>3118.1</v>
      </c>
      <c r="E34" s="29">
        <f t="shared" ref="E34:E40" si="13">D34/$D$48</f>
        <v>0.15144494633056482</v>
      </c>
      <c r="F34" s="28">
        <f t="shared" ref="F34:F39" si="14">C34-(C34*$E$6)</f>
        <v>19.222395851302924</v>
      </c>
      <c r="G34" s="27" t="str">
        <f t="shared" ref="G34:G39" si="15">IF(C34&gt;=F34,"-","+")</f>
        <v>+</v>
      </c>
      <c r="H34" s="26">
        <f t="shared" ref="H34:H39" si="16">C34*D34</f>
        <v>58308.469999999994</v>
      </c>
      <c r="I34" s="26">
        <f t="shared" ref="I34:I39" si="17">F34*D34</f>
        <v>59937.352503947644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196.3</v>
      </c>
      <c r="E35" s="29">
        <f t="shared" si="13"/>
        <v>9.5342173005002664E-3</v>
      </c>
      <c r="F35" s="28">
        <f t="shared" si="14"/>
        <v>14.802272741110276</v>
      </c>
      <c r="G35" s="27" t="str">
        <f t="shared" si="15"/>
        <v>+</v>
      </c>
      <c r="H35" s="26">
        <f t="shared" si="16"/>
        <v>2826.7200000000003</v>
      </c>
      <c r="I35" s="26">
        <f t="shared" si="17"/>
        <v>2905.6861390799472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11.924053041449943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31.454829574859335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31.454829574859335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32.585558742583032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18.445326454260197</v>
      </c>
      <c r="D40" s="22">
        <f>SUM(D34:D39)</f>
        <v>3314.4</v>
      </c>
      <c r="E40" s="21">
        <f t="shared" si="13"/>
        <v>0.1609791636310651</v>
      </c>
      <c r="F40" s="20">
        <f>I40/D40</f>
        <v>18.960607845470548</v>
      </c>
      <c r="G40" s="19">
        <f>F40/C40-1</f>
        <v>2.7935607021546627E-2</v>
      </c>
      <c r="H40" s="18">
        <f>SUM(H34:H39)</f>
        <v>61135.189999999995</v>
      </c>
      <c r="I40" s="18">
        <f>SUM(I34:I39)</f>
        <v>62843.03864302759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223.8+1466.9+1734</f>
        <v>3424.7</v>
      </c>
      <c r="E42" s="107">
        <f>D42/$D$48</f>
        <v>0.16633639321968038</v>
      </c>
      <c r="F42" s="28">
        <f>C42-(C42*$E$6)</f>
        <v>0.41117424280861875</v>
      </c>
      <c r="G42" s="27" t="str">
        <f>IF(C42&gt;=F42,"-","+")</f>
        <v>+</v>
      </c>
      <c r="H42" s="26">
        <f>C42*D42</f>
        <v>1369.88</v>
      </c>
      <c r="I42" s="26">
        <f>F42*D42</f>
        <v>1408.1484293466765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124.6</v>
      </c>
      <c r="E43" s="107">
        <f>D43/$D$48</f>
        <v>6.05177521977755E-3</v>
      </c>
      <c r="F43" s="28">
        <f>C43-(C43*$E$6)</f>
        <v>0.41117424280861875</v>
      </c>
      <c r="G43" s="27" t="str">
        <f>IF(C43&gt;=F43,"-","+")</f>
        <v>+</v>
      </c>
      <c r="H43" s="26">
        <f>C43*D43</f>
        <v>49.84</v>
      </c>
      <c r="I43" s="26">
        <f>F43*D43</f>
        <v>51.232310653953895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60.5</v>
      </c>
      <c r="E44" s="107">
        <f>D44/$D$48</f>
        <v>2.938462285686531E-3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8.4</v>
      </c>
      <c r="E45" s="107">
        <f>D45/$D$48</f>
        <v>4.0798484627713823E-4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0.39238295284948321</v>
      </c>
      <c r="D46" s="22">
        <f>SUM(D41:D45)</f>
        <v>3618.2</v>
      </c>
      <c r="E46" s="21">
        <f>D46/$D$48</f>
        <v>0.17573461557142159</v>
      </c>
      <c r="F46" s="20">
        <f>I46/D46</f>
        <v>0.40334440882224043</v>
      </c>
      <c r="G46" s="19">
        <f>F46/C46-1</f>
        <v>2.7935607021546627E-2</v>
      </c>
      <c r="H46" s="18">
        <f>SUM(H41:H44)</f>
        <v>1419.72</v>
      </c>
      <c r="I46" s="18">
        <f>SUM(I41:I44)</f>
        <v>1459.3807400006303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98.5856450995893</v>
      </c>
      <c r="D48" s="13">
        <f>D24+D32+D40+D46</f>
        <v>20589.000000000004</v>
      </c>
      <c r="E48" s="12">
        <f>SUM(E20:E46)/2</f>
        <v>0.99999999999999989</v>
      </c>
      <c r="F48" s="11">
        <f>I48/D48</f>
        <v>26.312678183591906</v>
      </c>
      <c r="G48" s="10"/>
      <c r="H48" s="9">
        <f>SUM(H20:H46)/2</f>
        <v>527028.86</v>
      </c>
      <c r="I48" s="9">
        <f>SUM(I20:I46)/2</f>
        <v>541751.73112197383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23317.899999999998</v>
      </c>
      <c r="E50" s="12">
        <f>D50/G2</f>
        <v>0.99999999999999989</v>
      </c>
      <c r="F50" s="11">
        <f>I50/D50</f>
        <v>26.500000000000007</v>
      </c>
      <c r="G50" s="10"/>
      <c r="H50" s="9">
        <f>H48+H19</f>
        <v>601131.38</v>
      </c>
      <c r="I50" s="9">
        <f>I48+I19</f>
        <v>617924.35000000009</v>
      </c>
      <c r="J50" s="106">
        <f>D50-G2</f>
        <v>0</v>
      </c>
      <c r="K50" s="8"/>
    </row>
    <row r="51" spans="1:11" ht="23.25" x14ac:dyDescent="0.35">
      <c r="A51" s="174" t="s">
        <v>266</v>
      </c>
      <c r="B51" s="169"/>
      <c r="C51" s="170"/>
      <c r="G51" s="7"/>
      <c r="H51" s="6"/>
      <c r="I51" s="6">
        <f>+I50/D50</f>
        <v>26.500000000000007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rgb="FF92D050"/>
  </sheetPr>
  <dimension ref="A1:K56"/>
  <sheetViews>
    <sheetView workbookViewId="0">
      <selection activeCell="M3" sqref="M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267</v>
      </c>
      <c r="D1" s="100" t="s">
        <v>1</v>
      </c>
      <c r="E1" s="168" t="s">
        <v>218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267</v>
      </c>
      <c r="D2" s="96" t="s">
        <v>3</v>
      </c>
      <c r="E2" s="95" t="s">
        <v>71</v>
      </c>
      <c r="F2" s="94" t="s">
        <v>5</v>
      </c>
      <c r="G2" s="93">
        <v>8667.9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223</v>
      </c>
      <c r="D3" s="90" t="s">
        <v>7</v>
      </c>
      <c r="E3" s="89">
        <v>140</v>
      </c>
      <c r="F3" s="88" t="s">
        <v>8</v>
      </c>
      <c r="G3" s="87">
        <v>22.01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61.913571428571423</v>
      </c>
      <c r="F4" s="81" t="s">
        <v>12</v>
      </c>
      <c r="G4" s="80">
        <f>G2*G3</f>
        <v>190780.47899999999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-8.7862178848244321E-2</v>
      </c>
      <c r="F6" s="69" t="s">
        <v>16</v>
      </c>
      <c r="G6" s="68">
        <f>(I50-I19)/(D50-(SUM(D42:D44)+D19))</f>
        <v>27.832474396755469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22</v>
      </c>
      <c r="D10" s="30"/>
      <c r="E10" s="29" t="e">
        <f t="shared" ref="E10:E19" si="1">D10/$D$19</f>
        <v>#DIV/0!</v>
      </c>
      <c r="F10" s="28">
        <f t="shared" ref="F10:F18" si="2">C10-(C10*$E$6)</f>
        <v>23.932967934661374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22.9</v>
      </c>
      <c r="D11" s="30"/>
      <c r="E11" s="29" t="e">
        <f t="shared" si="1"/>
        <v>#DIV/0!</v>
      </c>
      <c r="F11" s="28">
        <f t="shared" si="2"/>
        <v>24.912043895624794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20.9</v>
      </c>
      <c r="D12" s="30"/>
      <c r="E12" s="29" t="e">
        <f t="shared" si="1"/>
        <v>#DIV/0!</v>
      </c>
      <c r="F12" s="28">
        <f t="shared" si="2"/>
        <v>22.736319537928306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22.9</v>
      </c>
      <c r="D13" s="30"/>
      <c r="E13" s="29" t="e">
        <f t="shared" si="1"/>
        <v>#DIV/0!</v>
      </c>
      <c r="F13" s="28">
        <f t="shared" si="2"/>
        <v>24.912043895624794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25.6</v>
      </c>
      <c r="D14" s="30"/>
      <c r="E14" s="29" t="e">
        <f t="shared" si="1"/>
        <v>#DIV/0!</v>
      </c>
      <c r="F14" s="28">
        <f t="shared" si="2"/>
        <v>27.849271778515057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21.1</v>
      </c>
      <c r="D15" s="30"/>
      <c r="E15" s="29" t="e">
        <f t="shared" si="1"/>
        <v>#DIV/0!</v>
      </c>
      <c r="F15" s="28">
        <f t="shared" si="2"/>
        <v>22.953891973697957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28.9</v>
      </c>
      <c r="D16" s="30"/>
      <c r="E16" s="29" t="e">
        <f t="shared" si="1"/>
        <v>#DIV/0!</v>
      </c>
      <c r="F16" s="28">
        <f t="shared" si="2"/>
        <v>31.439216968714259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42.6</v>
      </c>
      <c r="D17" s="30"/>
      <c r="E17" s="29" t="e">
        <f t="shared" si="1"/>
        <v>#DIV/0!</v>
      </c>
      <c r="F17" s="28">
        <f t="shared" si="2"/>
        <v>46.342928818935206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37.299999999999997</v>
      </c>
      <c r="D18" s="30"/>
      <c r="E18" s="29" t="e">
        <f t="shared" si="1"/>
        <v>#DIV/0!</v>
      </c>
      <c r="F18" s="28">
        <f t="shared" si="2"/>
        <v>40.577259271039509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55.4</v>
      </c>
      <c r="D21" s="30">
        <v>106.6</v>
      </c>
      <c r="E21" s="29">
        <f>D21/$D$48</f>
        <v>1.2298249864442367E-2</v>
      </c>
      <c r="F21" s="28">
        <f>C21-(C21*$E$6)</f>
        <v>60.267564708192737</v>
      </c>
      <c r="G21" s="27" t="str">
        <f>IF(C21&gt;=F21,"-","+")</f>
        <v>+</v>
      </c>
      <c r="H21" s="26">
        <f>C21*D21</f>
        <v>5905.6399999999994</v>
      </c>
      <c r="I21" s="26">
        <f>F21*D21</f>
        <v>6424.5223978933454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37.200000000000003</v>
      </c>
      <c r="D22" s="30">
        <v>221.4</v>
      </c>
      <c r="E22" s="29">
        <f>D22/$D$48</f>
        <v>2.5542518949226458E-2</v>
      </c>
      <c r="F22" s="28">
        <f>C22-(C22*$E$6)</f>
        <v>40.468473053154689</v>
      </c>
      <c r="G22" s="27" t="str">
        <f>IF(C22&gt;=F22,"-","+")</f>
        <v>+</v>
      </c>
      <c r="H22" s="26">
        <f>C22*D22</f>
        <v>8236.0800000000017</v>
      </c>
      <c r="I22" s="26">
        <f>F22*D22</f>
        <v>8959.7199339684485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33.9</v>
      </c>
      <c r="D23" s="30">
        <v>195.6</v>
      </c>
      <c r="E23" s="29">
        <f>D23/$D$48</f>
        <v>2.2566019451078115E-2</v>
      </c>
      <c r="F23" s="28">
        <f>C23-(C23*$E$6)</f>
        <v>36.87852786295548</v>
      </c>
      <c r="G23" s="27" t="str">
        <f>IF(C23&gt;=F23,"-","+")</f>
        <v>+</v>
      </c>
      <c r="H23" s="26">
        <f>C23*D23</f>
        <v>6630.8399999999992</v>
      </c>
      <c r="I23" s="26">
        <f>F23*D23</f>
        <v>7213.4400499940912</v>
      </c>
      <c r="J23" s="25"/>
      <c r="K23" s="25"/>
    </row>
    <row r="24" spans="1:11" x14ac:dyDescent="0.25">
      <c r="A24" s="24" t="s">
        <v>34</v>
      </c>
      <c r="B24" s="23"/>
      <c r="C24" s="20">
        <f>H24/D24</f>
        <v>39.672574484339194</v>
      </c>
      <c r="D24" s="22">
        <f>SUM(D21:D23)</f>
        <v>523.6</v>
      </c>
      <c r="E24" s="21">
        <f>D24/$D$48</f>
        <v>6.0406788264746943E-2</v>
      </c>
      <c r="F24" s="20">
        <f>I24/D24</f>
        <v>43.15829331905249</v>
      </c>
      <c r="G24" s="19">
        <f>F24/C24-1</f>
        <v>8.7862178848244099E-2</v>
      </c>
      <c r="H24" s="18">
        <f>SUM(H21:H23)</f>
        <v>20772.560000000001</v>
      </c>
      <c r="I24" s="18">
        <f>SUM(I21:I23)</f>
        <v>22597.682381855884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29.5</v>
      </c>
      <c r="D26" s="30">
        <v>1468</v>
      </c>
      <c r="E26" s="29">
        <f t="shared" ref="E26:E32" si="7">D26/$D$48</f>
        <v>0.16936051408068853</v>
      </c>
      <c r="F26" s="28">
        <f t="shared" ref="F26:F31" si="8">C26-(C26*$E$6)</f>
        <v>32.09193427602321</v>
      </c>
      <c r="G26" s="27" t="str">
        <f t="shared" ref="G26:G31" si="9">IF(C26&gt;=F26,"-","+")</f>
        <v>+</v>
      </c>
      <c r="H26" s="26">
        <f t="shared" ref="H26:H31" si="10">C26*D26</f>
        <v>43306</v>
      </c>
      <c r="I26" s="26">
        <f t="shared" ref="I26:I31" si="11">F26*D26</f>
        <v>47110.959517202071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26.3</v>
      </c>
      <c r="D27" s="30">
        <v>1089</v>
      </c>
      <c r="E27" s="29">
        <f t="shared" si="7"/>
        <v>0.1256359671892846</v>
      </c>
      <c r="F27" s="28">
        <f t="shared" si="8"/>
        <v>28.610775303708827</v>
      </c>
      <c r="G27" s="27" t="str">
        <f t="shared" si="9"/>
        <v>+</v>
      </c>
      <c r="H27" s="26">
        <f t="shared" si="10"/>
        <v>28640.7</v>
      </c>
      <c r="I27" s="26">
        <f t="shared" si="11"/>
        <v>31157.134305738913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26.3</v>
      </c>
      <c r="D28" s="30">
        <v>857</v>
      </c>
      <c r="E28" s="29">
        <f t="shared" si="7"/>
        <v>9.8870545345470073E-2</v>
      </c>
      <c r="F28" s="28">
        <f t="shared" si="8"/>
        <v>28.610775303708827</v>
      </c>
      <c r="G28" s="27" t="str">
        <f t="shared" si="9"/>
        <v>+</v>
      </c>
      <c r="H28" s="26">
        <f t="shared" si="10"/>
        <v>22539.100000000002</v>
      </c>
      <c r="I28" s="26">
        <f t="shared" si="11"/>
        <v>24519.434435278465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25.4</v>
      </c>
      <c r="D29" s="30">
        <v>726.2</v>
      </c>
      <c r="E29" s="29">
        <f t="shared" si="7"/>
        <v>8.3780385099043606E-2</v>
      </c>
      <c r="F29" s="28">
        <f t="shared" si="8"/>
        <v>27.631699342745403</v>
      </c>
      <c r="G29" s="27" t="str">
        <f t="shared" si="9"/>
        <v>+</v>
      </c>
      <c r="H29" s="26">
        <f t="shared" si="10"/>
        <v>18445.48</v>
      </c>
      <c r="I29" s="26">
        <f t="shared" si="11"/>
        <v>20066.140062701714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25.4</v>
      </c>
      <c r="D30" s="30">
        <v>597.20000000000005</v>
      </c>
      <c r="E30" s="29">
        <f t="shared" si="7"/>
        <v>6.88978876083019E-2</v>
      </c>
      <c r="F30" s="28">
        <f t="shared" si="8"/>
        <v>27.631699342745403</v>
      </c>
      <c r="G30" s="27" t="str">
        <f t="shared" si="9"/>
        <v>+</v>
      </c>
      <c r="H30" s="26">
        <f t="shared" si="10"/>
        <v>15168.880000000001</v>
      </c>
      <c r="I30" s="26">
        <f t="shared" si="11"/>
        <v>16501.650847487555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25.9</v>
      </c>
      <c r="D31" s="30">
        <v>148.19999999999999</v>
      </c>
      <c r="E31" s="29">
        <f t="shared" si="7"/>
        <v>1.7097566884712558E-2</v>
      </c>
      <c r="F31" s="28">
        <f t="shared" si="8"/>
        <v>28.175630432169527</v>
      </c>
      <c r="G31" s="27" t="str">
        <f t="shared" si="9"/>
        <v>+</v>
      </c>
      <c r="H31" s="26">
        <f t="shared" si="10"/>
        <v>3838.3799999999997</v>
      </c>
      <c r="I31" s="26">
        <f t="shared" si="11"/>
        <v>4175.6284300475236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27.005596037334211</v>
      </c>
      <c r="D32" s="22">
        <f>SUM(D26:D31)</f>
        <v>4885.5999999999995</v>
      </c>
      <c r="E32" s="21">
        <f t="shared" si="7"/>
        <v>0.56364286620750115</v>
      </c>
      <c r="F32" s="20">
        <f>I32/D32</f>
        <v>29.378366546269906</v>
      </c>
      <c r="G32" s="19">
        <f>F32/C32-1</f>
        <v>8.7862178848244321E-2</v>
      </c>
      <c r="H32" s="18">
        <f>SUM(H26:H31)</f>
        <v>131938.54</v>
      </c>
      <c r="I32" s="18">
        <f>SUM(I26:I31)</f>
        <v>143530.94759845623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15.5</v>
      </c>
      <c r="D34" s="30">
        <f>564.4+765.4</f>
        <v>1329.8</v>
      </c>
      <c r="E34" s="29">
        <f t="shared" ref="E34:E40" si="13">D34/$D$48</f>
        <v>0.15341662917200244</v>
      </c>
      <c r="F34" s="28">
        <f t="shared" ref="F34:F39" si="14">C34-(C34*$E$6)</f>
        <v>16.861863772147785</v>
      </c>
      <c r="G34" s="27" t="str">
        <f t="shared" ref="G34:G39" si="15">IF(C34&gt;=F34,"-","+")</f>
        <v>+</v>
      </c>
      <c r="H34" s="26">
        <f t="shared" ref="H34:H39" si="16">C34*D34</f>
        <v>20611.899999999998</v>
      </c>
      <c r="I34" s="26">
        <f t="shared" ref="I34:I39" si="17">F34*D34</f>
        <v>22422.906444202123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</v>
      </c>
      <c r="D35" s="30">
        <v>110.3</v>
      </c>
      <c r="E35" s="29">
        <f t="shared" si="13"/>
        <v>1.2725112195572168E-2</v>
      </c>
      <c r="F35" s="28">
        <f t="shared" si="14"/>
        <v>13.054346146178933</v>
      </c>
      <c r="G35" s="27" t="str">
        <f t="shared" si="15"/>
        <v>+</v>
      </c>
      <c r="H35" s="26">
        <f t="shared" si="16"/>
        <v>1323.6</v>
      </c>
      <c r="I35" s="26">
        <f t="shared" si="17"/>
        <v>1439.8943799235362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9.6</v>
      </c>
      <c r="D36" s="30"/>
      <c r="E36" s="29">
        <f t="shared" si="13"/>
        <v>0</v>
      </c>
      <c r="F36" s="28">
        <f t="shared" si="14"/>
        <v>10.443476916943146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25.4</v>
      </c>
      <c r="D37" s="30"/>
      <c r="E37" s="29">
        <f t="shared" si="13"/>
        <v>0</v>
      </c>
      <c r="F37" s="28">
        <f t="shared" si="14"/>
        <v>27.631699342745403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25.4</v>
      </c>
      <c r="D38" s="30"/>
      <c r="E38" s="29">
        <f t="shared" si="13"/>
        <v>0</v>
      </c>
      <c r="F38" s="28">
        <f t="shared" si="14"/>
        <v>27.631699342745403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26.3</v>
      </c>
      <c r="D39" s="30"/>
      <c r="E39" s="29">
        <f t="shared" si="13"/>
        <v>0</v>
      </c>
      <c r="F39" s="28">
        <f t="shared" si="14"/>
        <v>28.610775303708827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15.231928338309839</v>
      </c>
      <c r="D40" s="22">
        <f>SUM(D34:D39)</f>
        <v>1440.1</v>
      </c>
      <c r="E40" s="21">
        <f t="shared" si="13"/>
        <v>0.16614174136757462</v>
      </c>
      <c r="F40" s="20">
        <f>I40/D40</f>
        <v>16.570238750174056</v>
      </c>
      <c r="G40" s="19">
        <f>F40/C40-1</f>
        <v>8.7862178848244099E-2</v>
      </c>
      <c r="H40" s="18">
        <f>SUM(H34:H39)</f>
        <v>21935.499999999996</v>
      </c>
      <c r="I40" s="18">
        <f>SUM(I34:I39)</f>
        <v>23862.800824125658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875+101.1+790.2</f>
        <v>1766.3000000000002</v>
      </c>
      <c r="E42" s="107">
        <f>D42/$D$48</f>
        <v>0.20377484742555871</v>
      </c>
      <c r="F42" s="28">
        <f>C42-(C42*$E$6)</f>
        <v>0.43514487153929776</v>
      </c>
      <c r="G42" s="27" t="str">
        <f>IF(C42&gt;=F42,"-","+")</f>
        <v>+</v>
      </c>
      <c r="H42" s="26">
        <f>C42*D42</f>
        <v>706.5200000000001</v>
      </c>
      <c r="I42" s="26">
        <f>F42*D42</f>
        <v>768.59638659986172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47</v>
      </c>
      <c r="E43" s="107">
        <f>D43/$D$48</f>
        <v>5.4223052873244963E-3</v>
      </c>
      <c r="F43" s="28">
        <f>C43-(C43*$E$6)</f>
        <v>0.43514487153929776</v>
      </c>
      <c r="G43" s="27" t="str">
        <f>IF(C43&gt;=F43,"-","+")</f>
        <v>+</v>
      </c>
      <c r="H43" s="26">
        <f>C43*D43</f>
        <v>18.8</v>
      </c>
      <c r="I43" s="26">
        <f>F43*D43</f>
        <v>20.451808962346995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6.1145144729403888E-4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0.39883426811833278</v>
      </c>
      <c r="D46" s="22">
        <f>SUM(D41:D45)</f>
        <v>1818.6000000000001</v>
      </c>
      <c r="E46" s="21">
        <f>D46/$D$48</f>
        <v>0.20980860416017724</v>
      </c>
      <c r="F46" s="20">
        <f>I46/D46</f>
        <v>0.4338767159145544</v>
      </c>
      <c r="G46" s="19">
        <f>F46/C46-1</f>
        <v>8.7862178848244321E-2</v>
      </c>
      <c r="H46" s="18">
        <f>SUM(H41:H44)</f>
        <v>725.32</v>
      </c>
      <c r="I46" s="18">
        <f>SUM(I41:I44)</f>
        <v>789.04819556220866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82.308933128101586</v>
      </c>
      <c r="D48" s="13">
        <f>D24+D32+D40+D46</f>
        <v>8667.9</v>
      </c>
      <c r="E48" s="12">
        <f>SUM(E20:E46)/2</f>
        <v>1.0000000000000002</v>
      </c>
      <c r="F48" s="11">
        <f>I48/D48</f>
        <v>22.009999999999998</v>
      </c>
      <c r="G48" s="10"/>
      <c r="H48" s="9">
        <f>SUM(H20:H46)/2</f>
        <v>175371.92</v>
      </c>
      <c r="I48" s="9">
        <f>SUM(I20:I46)/2</f>
        <v>190780.47899999996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8667.8999999999978</v>
      </c>
      <c r="E50" s="12">
        <f>D50/G2</f>
        <v>0.99999999999999978</v>
      </c>
      <c r="F50" s="11">
        <f>I50/D50</f>
        <v>22.01</v>
      </c>
      <c r="G50" s="10"/>
      <c r="H50" s="9">
        <f>H48+H19</f>
        <v>175371.92</v>
      </c>
      <c r="I50" s="9">
        <f>I48+I19</f>
        <v>190780.47899999996</v>
      </c>
      <c r="J50" s="106">
        <f>D50-G2</f>
        <v>0</v>
      </c>
      <c r="K50" s="8"/>
    </row>
    <row r="51" spans="1:11" ht="23.25" x14ac:dyDescent="0.35">
      <c r="A51" s="174" t="s">
        <v>268</v>
      </c>
      <c r="B51" s="169"/>
      <c r="C51" s="170"/>
      <c r="G51" s="7"/>
      <c r="H51" s="6"/>
      <c r="I51" s="6">
        <f>+I50/D50</f>
        <v>22.01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92D050"/>
  </sheetPr>
  <dimension ref="A1:K56"/>
  <sheetViews>
    <sheetView workbookViewId="0">
      <selection activeCell="L6" sqref="L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267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267</v>
      </c>
      <c r="D2" s="96" t="s">
        <v>3</v>
      </c>
      <c r="E2" s="95" t="s">
        <v>71</v>
      </c>
      <c r="F2" s="94" t="s">
        <v>5</v>
      </c>
      <c r="G2" s="93">
        <v>15397.2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216</v>
      </c>
      <c r="F3" s="88" t="s">
        <v>8</v>
      </c>
      <c r="G3" s="87">
        <v>21.75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71.283333333333331</v>
      </c>
      <c r="F4" s="81" t="s">
        <v>12</v>
      </c>
      <c r="G4" s="80">
        <f>G2*G3</f>
        <v>334889.10000000003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-0.10315311449959008</v>
      </c>
      <c r="F6" s="69" t="s">
        <v>16</v>
      </c>
      <c r="G6" s="68">
        <f>(I50-I19)/(D50-(SUM(D42:D44)+D19))</f>
        <v>27.349772149997357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21.8</v>
      </c>
      <c r="D10" s="30"/>
      <c r="E10" s="29">
        <f t="shared" ref="E10:E19" si="1">D10/$D$19</f>
        <v>0</v>
      </c>
      <c r="F10" s="28">
        <f t="shared" ref="F10:F18" si="2">C10-(C10*$E$6)</f>
        <v>24.048737896091065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22.7</v>
      </c>
      <c r="D11" s="30"/>
      <c r="E11" s="29">
        <f t="shared" si="1"/>
        <v>0</v>
      </c>
      <c r="F11" s="28">
        <f t="shared" si="2"/>
        <v>25.041575699140694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20.7</v>
      </c>
      <c r="D12" s="30"/>
      <c r="E12" s="29">
        <f t="shared" si="1"/>
        <v>0</v>
      </c>
      <c r="F12" s="28">
        <f t="shared" si="2"/>
        <v>22.835269470141515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22.7</v>
      </c>
      <c r="D13" s="30"/>
      <c r="E13" s="29">
        <f t="shared" si="1"/>
        <v>0</v>
      </c>
      <c r="F13" s="28">
        <f t="shared" si="2"/>
        <v>25.041575699140694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25.3</v>
      </c>
      <c r="D14" s="30"/>
      <c r="E14" s="29">
        <f t="shared" si="1"/>
        <v>0</v>
      </c>
      <c r="F14" s="28">
        <f t="shared" si="2"/>
        <v>27.90977379683963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20.9</v>
      </c>
      <c r="D15" s="30">
        <v>32</v>
      </c>
      <c r="E15" s="29">
        <f t="shared" si="1"/>
        <v>1</v>
      </c>
      <c r="F15" s="28">
        <f t="shared" si="2"/>
        <v>23.05590009304143</v>
      </c>
      <c r="G15" s="27" t="str">
        <f t="shared" si="3"/>
        <v>+</v>
      </c>
      <c r="H15" s="34">
        <f t="shared" si="4"/>
        <v>668.8</v>
      </c>
      <c r="I15" s="34">
        <f t="shared" si="5"/>
        <v>737.78880297732576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28.6</v>
      </c>
      <c r="D16" s="30"/>
      <c r="E16" s="29">
        <f t="shared" si="1"/>
        <v>0</v>
      </c>
      <c r="F16" s="28">
        <f t="shared" si="2"/>
        <v>31.550179074688277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42.1</v>
      </c>
      <c r="D17" s="30"/>
      <c r="E17" s="29">
        <f t="shared" si="1"/>
        <v>0</v>
      </c>
      <c r="F17" s="28">
        <f t="shared" si="2"/>
        <v>46.442746120432744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36.799999999999997</v>
      </c>
      <c r="D18" s="30"/>
      <c r="E18" s="29">
        <f t="shared" si="1"/>
        <v>0</v>
      </c>
      <c r="F18" s="28">
        <f t="shared" si="2"/>
        <v>40.596034613584912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20.9</v>
      </c>
      <c r="D19" s="49">
        <f>SUM(D10:D18)</f>
        <v>32</v>
      </c>
      <c r="E19" s="48">
        <f t="shared" si="1"/>
        <v>1</v>
      </c>
      <c r="F19" s="47">
        <f>I19/D19</f>
        <v>23.05590009304143</v>
      </c>
      <c r="G19" s="46">
        <f>F19/C19-1</f>
        <v>0.10315311449959008</v>
      </c>
      <c r="H19" s="9">
        <f>SUM(H10:H18)</f>
        <v>668.8</v>
      </c>
      <c r="I19" s="9">
        <f>SUM(I10:I18)</f>
        <v>737.78880297732576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54.7</v>
      </c>
      <c r="D21" s="30">
        <v>171.5</v>
      </c>
      <c r="E21" s="29">
        <f>D21/$D$48</f>
        <v>1.1161585921432848E-2</v>
      </c>
      <c r="F21" s="28">
        <f>C21-(C21*$E$6)</f>
        <v>60.342475363127583</v>
      </c>
      <c r="G21" s="27" t="str">
        <f>IF(C21&gt;=F21,"-","+")</f>
        <v>+</v>
      </c>
      <c r="H21" s="26">
        <f>C21*D21</f>
        <v>9381.0500000000011</v>
      </c>
      <c r="I21" s="26">
        <f>F21*D21</f>
        <v>10348.734524776381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36.700000000000003</v>
      </c>
      <c r="D22" s="30">
        <v>310.3</v>
      </c>
      <c r="E22" s="29">
        <f>D22/$D$48</f>
        <v>2.0194986072423399E-2</v>
      </c>
      <c r="F22" s="28">
        <f>C22-(C22*$E$6)</f>
        <v>40.48571930213496</v>
      </c>
      <c r="G22" s="27" t="str">
        <f>IF(C22&gt;=F22,"-","+")</f>
        <v>+</v>
      </c>
      <c r="H22" s="26">
        <f>C22*D22</f>
        <v>11388.010000000002</v>
      </c>
      <c r="I22" s="26">
        <f>F22*D22</f>
        <v>12562.718699452478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33.5</v>
      </c>
      <c r="D23" s="30">
        <v>324.7</v>
      </c>
      <c r="E23" s="29">
        <f>D23/$D$48</f>
        <v>2.1132168797021841E-2</v>
      </c>
      <c r="F23" s="28">
        <f>C23-(C23*$E$6)</f>
        <v>36.955629335736269</v>
      </c>
      <c r="G23" s="27" t="str">
        <f>IF(C23&gt;=F23,"-","+")</f>
        <v>+</v>
      </c>
      <c r="H23" s="26">
        <f>C23*D23</f>
        <v>10877.449999999999</v>
      </c>
      <c r="I23" s="26">
        <f>F23*D23</f>
        <v>11999.492845313565</v>
      </c>
      <c r="J23" s="25"/>
      <c r="K23" s="25"/>
    </row>
    <row r="24" spans="1:11" x14ac:dyDescent="0.25">
      <c r="A24" s="24" t="s">
        <v>34</v>
      </c>
      <c r="B24" s="23"/>
      <c r="C24" s="20">
        <f>H24/D24</f>
        <v>39.239318040917546</v>
      </c>
      <c r="D24" s="22">
        <f>SUM(D21:D23)</f>
        <v>806.5</v>
      </c>
      <c r="E24" s="21">
        <f>D24/$D$48</f>
        <v>5.2488740790878084E-2</v>
      </c>
      <c r="F24" s="20">
        <f>I24/D24</f>
        <v>43.286975907678141</v>
      </c>
      <c r="G24" s="19">
        <f>F24/C24-1</f>
        <v>0.10315311449959008</v>
      </c>
      <c r="H24" s="18">
        <f>SUM(H21:H23)</f>
        <v>31646.510000000002</v>
      </c>
      <c r="I24" s="18">
        <f>SUM(I21:I23)</f>
        <v>34910.94606954242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29.2</v>
      </c>
      <c r="D26" s="30">
        <v>2457</v>
      </c>
      <c r="E26" s="29">
        <f t="shared" ref="E26:E32" si="7">D26/$D$48</f>
        <v>0.15990680238460936</v>
      </c>
      <c r="F26" s="28">
        <f t="shared" ref="F26:F31" si="8">C26-(C26*$E$6)</f>
        <v>32.212070943388028</v>
      </c>
      <c r="G26" s="27" t="str">
        <f t="shared" ref="G26:G31" si="9">IF(C26&gt;=F26,"-","+")</f>
        <v>+</v>
      </c>
      <c r="H26" s="26">
        <f t="shared" ref="H26:H31" si="10">C26*D26</f>
        <v>71744.399999999994</v>
      </c>
      <c r="I26" s="26">
        <f t="shared" ref="I26:I31" si="11">F26*D26</f>
        <v>79145.058307904386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</v>
      </c>
      <c r="D27" s="30">
        <v>2077.1999999999998</v>
      </c>
      <c r="E27" s="29">
        <f t="shared" si="7"/>
        <v>0.13518860802332541</v>
      </c>
      <c r="F27" s="28">
        <f t="shared" si="8"/>
        <v>28.681980976989344</v>
      </c>
      <c r="G27" s="27" t="str">
        <f t="shared" si="9"/>
        <v>+</v>
      </c>
      <c r="H27" s="26">
        <f t="shared" si="10"/>
        <v>54007.199999999997</v>
      </c>
      <c r="I27" s="26">
        <f t="shared" si="11"/>
        <v>59578.210885402259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</v>
      </c>
      <c r="D28" s="30">
        <v>1416</v>
      </c>
      <c r="E28" s="29">
        <f t="shared" si="7"/>
        <v>9.2156301252180245E-2</v>
      </c>
      <c r="F28" s="28">
        <f t="shared" si="8"/>
        <v>28.681980976989344</v>
      </c>
      <c r="G28" s="27" t="str">
        <f t="shared" si="9"/>
        <v>+</v>
      </c>
      <c r="H28" s="26">
        <f t="shared" si="10"/>
        <v>36816</v>
      </c>
      <c r="I28" s="26">
        <f t="shared" si="11"/>
        <v>40613.68506341691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25.1</v>
      </c>
      <c r="D29" s="30">
        <v>1404.5</v>
      </c>
      <c r="E29" s="29">
        <f t="shared" si="7"/>
        <v>9.140785671517454E-2</v>
      </c>
      <c r="F29" s="28">
        <f t="shared" si="8"/>
        <v>27.689143173939712</v>
      </c>
      <c r="G29" s="27" t="str">
        <f t="shared" si="9"/>
        <v>+</v>
      </c>
      <c r="H29" s="26">
        <f t="shared" si="10"/>
        <v>35252.950000000004</v>
      </c>
      <c r="I29" s="26">
        <f t="shared" si="11"/>
        <v>38889.401587798326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25.1</v>
      </c>
      <c r="D30" s="30">
        <v>830.5</v>
      </c>
      <c r="E30" s="29">
        <f t="shared" si="7"/>
        <v>5.405071199854216E-2</v>
      </c>
      <c r="F30" s="28">
        <f t="shared" si="8"/>
        <v>27.689143173939712</v>
      </c>
      <c r="G30" s="27" t="str">
        <f t="shared" si="9"/>
        <v>+</v>
      </c>
      <c r="H30" s="26">
        <f t="shared" si="10"/>
        <v>20845.550000000003</v>
      </c>
      <c r="I30" s="26">
        <f t="shared" si="11"/>
        <v>22995.833405956932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25.6</v>
      </c>
      <c r="D31" s="30">
        <v>230.4</v>
      </c>
      <c r="E31" s="29">
        <f t="shared" si="7"/>
        <v>1.4994923593575092E-2</v>
      </c>
      <c r="F31" s="28">
        <f t="shared" si="8"/>
        <v>28.240719731189508</v>
      </c>
      <c r="G31" s="27" t="str">
        <f t="shared" si="9"/>
        <v>+</v>
      </c>
      <c r="H31" s="26">
        <f t="shared" si="10"/>
        <v>5898.2400000000007</v>
      </c>
      <c r="I31" s="26">
        <f t="shared" si="11"/>
        <v>6506.6618260660625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26.684293455012114</v>
      </c>
      <c r="D32" s="22">
        <f>SUM(D26:D31)</f>
        <v>8415.6</v>
      </c>
      <c r="E32" s="21">
        <f t="shared" si="7"/>
        <v>0.54770520396740685</v>
      </c>
      <c r="F32" s="20">
        <f>I32/D32</f>
        <v>29.436861433117645</v>
      </c>
      <c r="G32" s="19">
        <f>F32/C32-1</f>
        <v>0.1031531144995903</v>
      </c>
      <c r="H32" s="18">
        <f>SUM(H26:H31)</f>
        <v>224564.33999999997</v>
      </c>
      <c r="I32" s="18">
        <f>SUM(I26:I31)</f>
        <v>247728.85107654487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15.4</v>
      </c>
      <c r="D34" s="30">
        <f>1001.3+1819.2</f>
        <v>2820.5</v>
      </c>
      <c r="E34" s="29">
        <f t="shared" ref="E34:E40" si="13">D34/$D$48</f>
        <v>0.18356415796735479</v>
      </c>
      <c r="F34" s="28">
        <f t="shared" ref="F34:F39" si="14">C34-(C34*$E$6)</f>
        <v>16.988557963293687</v>
      </c>
      <c r="G34" s="27" t="str">
        <f t="shared" ref="G34:G39" si="15">IF(C34&gt;=F34,"-","+")</f>
        <v>+</v>
      </c>
      <c r="H34" s="26">
        <f t="shared" ref="H34:H39" si="16">C34*D34</f>
        <v>43435.700000000004</v>
      </c>
      <c r="I34" s="26">
        <f t="shared" ref="I34:I39" si="17">F34*D34</f>
        <v>47916.227735469845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11.8</v>
      </c>
      <c r="D35" s="30">
        <v>169.5</v>
      </c>
      <c r="E35" s="29">
        <f t="shared" si="13"/>
        <v>1.1031421654127509E-2</v>
      </c>
      <c r="F35" s="28">
        <f t="shared" si="14"/>
        <v>13.017206751095163</v>
      </c>
      <c r="G35" s="27" t="str">
        <f t="shared" si="15"/>
        <v>+</v>
      </c>
      <c r="H35" s="26">
        <f t="shared" si="16"/>
        <v>2000.1000000000001</v>
      </c>
      <c r="I35" s="26">
        <f t="shared" si="17"/>
        <v>2206.4165443106299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9.5</v>
      </c>
      <c r="D36" s="30"/>
      <c r="E36" s="29">
        <f t="shared" si="13"/>
        <v>0</v>
      </c>
      <c r="F36" s="28">
        <f t="shared" si="14"/>
        <v>10.479954587746105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25.1</v>
      </c>
      <c r="D37" s="30"/>
      <c r="E37" s="29">
        <f t="shared" si="13"/>
        <v>0</v>
      </c>
      <c r="F37" s="28">
        <f t="shared" si="14"/>
        <v>27.689143173939712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25.1</v>
      </c>
      <c r="D38" s="30"/>
      <c r="E38" s="29">
        <f t="shared" si="13"/>
        <v>0</v>
      </c>
      <c r="F38" s="28">
        <f t="shared" si="14"/>
        <v>27.689143173939712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</v>
      </c>
      <c r="D39" s="30"/>
      <c r="E39" s="29">
        <f t="shared" si="13"/>
        <v>0</v>
      </c>
      <c r="F39" s="28">
        <f t="shared" si="14"/>
        <v>28.681980976989344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15.195919732441473</v>
      </c>
      <c r="D40" s="22">
        <f>SUM(D34:D39)</f>
        <v>2990</v>
      </c>
      <c r="E40" s="21">
        <f t="shared" si="13"/>
        <v>0.1945955796214823</v>
      </c>
      <c r="F40" s="20">
        <f>I40/D40</f>
        <v>16.763426180528587</v>
      </c>
      <c r="G40" s="19">
        <f>F40/C40-1</f>
        <v>0.10315311449959008</v>
      </c>
      <c r="H40" s="18">
        <f>SUM(H34:H39)</f>
        <v>45435.8</v>
      </c>
      <c r="I40" s="18">
        <f>SUM(I34:I39)</f>
        <v>50122.644279780478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1460+174.5+1420.9</f>
        <v>3055.4</v>
      </c>
      <c r="E42" s="107">
        <f>D42/$D$48</f>
        <v>0.1988519511623669</v>
      </c>
      <c r="F42" s="28">
        <f>C42-(C42*$E$6)</f>
        <v>0.44126124579983605</v>
      </c>
      <c r="G42" s="27" t="str">
        <f>IF(C42&gt;=F42,"-","+")</f>
        <v>+</v>
      </c>
      <c r="H42" s="26">
        <f>C42*D42</f>
        <v>1222.1600000000001</v>
      </c>
      <c r="I42" s="26">
        <f>F42*D42</f>
        <v>1348.229610416819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92.1</v>
      </c>
      <c r="E43" s="107">
        <f>D43/$D$48</f>
        <v>5.9940645094108758E-3</v>
      </c>
      <c r="F43" s="28">
        <f>C43-(C43*$E$6)</f>
        <v>0.44126124579983605</v>
      </c>
      <c r="G43" s="27" t="str">
        <f>IF(C43&gt;=F43,"-","+")</f>
        <v>+</v>
      </c>
      <c r="H43" s="26">
        <f>C43*D43</f>
        <v>36.839999999999996</v>
      </c>
      <c r="I43" s="26">
        <f>F43*D43</f>
        <v>40.640160738164901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5.6</v>
      </c>
      <c r="E45" s="107">
        <f>D45/$D$48</f>
        <v>3.6445994845495013E-4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0.39928958802448383</v>
      </c>
      <c r="D46" s="22">
        <f>SUM(D41:D45)</f>
        <v>3153.1</v>
      </c>
      <c r="E46" s="21">
        <f>D46/$D$48</f>
        <v>0.20521047562023273</v>
      </c>
      <c r="F46" s="20">
        <f>I46/D46</f>
        <v>0.44047755261646759</v>
      </c>
      <c r="G46" s="19">
        <f>F46/C46-1</f>
        <v>0.10315311449959008</v>
      </c>
      <c r="H46" s="18">
        <f>SUM(H41:H44)</f>
        <v>1259</v>
      </c>
      <c r="I46" s="18">
        <f>SUM(I41:I44)</f>
        <v>1388.8697711549839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81.518820816395618</v>
      </c>
      <c r="D48" s="13">
        <f>D24+D32+D40+D46</f>
        <v>15365.2</v>
      </c>
      <c r="E48" s="12">
        <f>SUM(E20:E46)/2</f>
        <v>0.99999999999999989</v>
      </c>
      <c r="F48" s="11">
        <f>I48/D48</f>
        <v>21.747280295539444</v>
      </c>
      <c r="G48" s="10"/>
      <c r="H48" s="9">
        <f>SUM(H20:H46)/2</f>
        <v>302905.64999999997</v>
      </c>
      <c r="I48" s="9">
        <f>SUM(I20:I46)/2</f>
        <v>334151.31119702267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15397.199999999999</v>
      </c>
      <c r="E50" s="12">
        <f>D50/G2</f>
        <v>0.99999999999999989</v>
      </c>
      <c r="F50" s="11">
        <f>I50/D50</f>
        <v>21.75</v>
      </c>
      <c r="G50" s="10"/>
      <c r="H50" s="9">
        <f>H48+H19</f>
        <v>303574.44999999995</v>
      </c>
      <c r="I50" s="9">
        <f>I48+I19</f>
        <v>334889.09999999998</v>
      </c>
      <c r="J50" s="106">
        <f>D50-G2</f>
        <v>0</v>
      </c>
      <c r="K50" s="8"/>
    </row>
    <row r="51" spans="1:11" ht="23.25" x14ac:dyDescent="0.35">
      <c r="A51" s="174" t="s">
        <v>269</v>
      </c>
      <c r="B51" s="169"/>
      <c r="C51" s="170"/>
      <c r="G51" s="7"/>
      <c r="H51" s="6"/>
      <c r="I51" s="6">
        <f>+I50/D50</f>
        <v>21.75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270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270</v>
      </c>
      <c r="D2" s="96" t="s">
        <v>3</v>
      </c>
      <c r="E2" s="95" t="s">
        <v>71</v>
      </c>
      <c r="F2" s="94" t="s">
        <v>5</v>
      </c>
      <c r="G2" s="93">
        <v>15361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208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73.850961538461533</v>
      </c>
      <c r="F4" s="81" t="s">
        <v>12</v>
      </c>
      <c r="G4" s="80">
        <f>G2*G3</f>
        <v>403226.25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-2.0839930997535783E-2</v>
      </c>
      <c r="F6" s="69" t="s">
        <v>16</v>
      </c>
      <c r="G6" s="68">
        <f>(I50-I19)/(D50-(SUM(D42:D44)+D19))</f>
        <v>31.717631558247458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 t="e">
        <f t="shared" ref="E10:E19" si="1">D10/$D$19</f>
        <v>#DIV/0!</v>
      </c>
      <c r="F10" s="28">
        <f t="shared" ref="F10:F18" si="2">C10-(C10*$E$6)</f>
        <v>26.848090185235193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 t="e">
        <f t="shared" si="1"/>
        <v>#DIV/0!</v>
      </c>
      <c r="F11" s="28">
        <f t="shared" si="2"/>
        <v>27.868930116232729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 t="e">
        <f t="shared" si="1"/>
        <v>#DIV/0!</v>
      </c>
      <c r="F12" s="28">
        <f t="shared" si="2"/>
        <v>25.520998274938396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 t="e">
        <f t="shared" si="1"/>
        <v>#DIV/0!</v>
      </c>
      <c r="F13" s="28">
        <f t="shared" si="2"/>
        <v>27.868930116232729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 t="e">
        <f t="shared" si="1"/>
        <v>#DIV/0!</v>
      </c>
      <c r="F14" s="28">
        <f t="shared" si="2"/>
        <v>31.237701888524597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25.7251662611379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 t="e">
        <f t="shared" si="1"/>
        <v>#DIV/0!</v>
      </c>
      <c r="F16" s="28">
        <f t="shared" si="2"/>
        <v>35.218977619414986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 t="e">
        <f t="shared" si="1"/>
        <v>#DIV/0!</v>
      </c>
      <c r="F17" s="28">
        <f t="shared" si="2"/>
        <v>51.858668494674816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 t="e">
        <f t="shared" si="1"/>
        <v>#DIV/0!</v>
      </c>
      <c r="F18" s="28">
        <f t="shared" si="2"/>
        <v>45.427376929390341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186.4</v>
      </c>
      <c r="E21" s="29">
        <f>D21/$D$48</f>
        <v>1.2134626651910682E-2</v>
      </c>
      <c r="F21" s="28">
        <f>C21-(C21*$E$6)</f>
        <v>67.375435445837368</v>
      </c>
      <c r="G21" s="27" t="str">
        <f>IF(C21&gt;=F21,"-","+")</f>
        <v>+</v>
      </c>
      <c r="H21" s="26">
        <f>C21*D21</f>
        <v>12302.4</v>
      </c>
      <c r="I21" s="26">
        <f>F21*D21</f>
        <v>12558.781167104085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512.6</v>
      </c>
      <c r="E22" s="29">
        <f>D22/$D$48</f>
        <v>3.3370223292754381E-2</v>
      </c>
      <c r="F22" s="28">
        <f>C22-(C22*$E$6)</f>
        <v>45.223208943190834</v>
      </c>
      <c r="G22" s="27" t="str">
        <f>IF(C22&gt;=F22,"-","+")</f>
        <v>+</v>
      </c>
      <c r="H22" s="26">
        <f>C22*D22</f>
        <v>22708.18</v>
      </c>
      <c r="I22" s="26">
        <f>F22*D22</f>
        <v>23181.416904279624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375.8</v>
      </c>
      <c r="E23" s="29">
        <f>D23/$D$48</f>
        <v>2.4464553088991602E-2</v>
      </c>
      <c r="F23" s="28">
        <f>C23-(C23*$E$6)</f>
        <v>41.241933212300445</v>
      </c>
      <c r="G23" s="27" t="str">
        <f>IF(C23&gt;=F23,"-","+")</f>
        <v>+</v>
      </c>
      <c r="H23" s="26">
        <f>C23*D23</f>
        <v>15182.32</v>
      </c>
      <c r="I23" s="26">
        <f>F23*D23</f>
        <v>15498.718501182508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46.699758094529216</v>
      </c>
      <c r="D24" s="22">
        <f>SUM(D21:D23)</f>
        <v>1074.8</v>
      </c>
      <c r="E24" s="21">
        <f>D24/$D$48</f>
        <v>6.996940303365666E-2</v>
      </c>
      <c r="F24" s="20">
        <f>I24/D24</f>
        <v>47.67297783082082</v>
      </c>
      <c r="G24" s="19">
        <f>F24/C24-1</f>
        <v>2.0839930997535783E-2</v>
      </c>
      <c r="H24" s="18">
        <f>SUM(H21:H23)</f>
        <v>50192.9</v>
      </c>
      <c r="I24" s="18">
        <f>SUM(I21:I23)</f>
        <v>51238.916572566217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v>2808.8</v>
      </c>
      <c r="E26" s="29">
        <f t="shared" ref="E26:E32" si="7">D26/$D$48</f>
        <v>0.18285267886205325</v>
      </c>
      <c r="F26" s="28">
        <f t="shared" ref="F26:F31" si="8">C26-(C26*$E$6)</f>
        <v>35.933565571113263</v>
      </c>
      <c r="G26" s="27" t="str">
        <f t="shared" ref="G26:G31" si="9">IF(C26&gt;=F26,"-","+")</f>
        <v>+</v>
      </c>
      <c r="H26" s="26">
        <f t="shared" ref="H26:H31" si="10">C26*D26</f>
        <v>98869.760000000009</v>
      </c>
      <c r="I26" s="26">
        <f t="shared" ref="I26:I31" si="11">F26*D26</f>
        <v>100930.19897614294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2376.5</v>
      </c>
      <c r="E27" s="29">
        <f t="shared" si="7"/>
        <v>0.15470997981902221</v>
      </c>
      <c r="F27" s="28">
        <f t="shared" si="8"/>
        <v>32.054373833322622</v>
      </c>
      <c r="G27" s="27" t="str">
        <f t="shared" si="9"/>
        <v>+</v>
      </c>
      <c r="H27" s="26">
        <f t="shared" si="10"/>
        <v>74622.099999999991</v>
      </c>
      <c r="I27" s="26">
        <f t="shared" si="11"/>
        <v>76177.219414891209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1386.4</v>
      </c>
      <c r="E28" s="29">
        <f t="shared" si="7"/>
        <v>9.0254540720005216E-2</v>
      </c>
      <c r="F28" s="28">
        <f t="shared" si="8"/>
        <v>32.054373833322622</v>
      </c>
      <c r="G28" s="27" t="str">
        <f t="shared" si="9"/>
        <v>+</v>
      </c>
      <c r="H28" s="26">
        <f t="shared" si="10"/>
        <v>43532.959999999999</v>
      </c>
      <c r="I28" s="26">
        <f t="shared" si="11"/>
        <v>44440.183882518482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1430.5</v>
      </c>
      <c r="E29" s="29">
        <f t="shared" si="7"/>
        <v>9.3125447562007677E-2</v>
      </c>
      <c r="F29" s="28">
        <f t="shared" si="8"/>
        <v>30.931449909225336</v>
      </c>
      <c r="G29" s="27" t="str">
        <f t="shared" si="9"/>
        <v>+</v>
      </c>
      <c r="H29" s="26">
        <f t="shared" si="10"/>
        <v>43344.15</v>
      </c>
      <c r="I29" s="26">
        <f t="shared" si="11"/>
        <v>44247.439095146845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941.6</v>
      </c>
      <c r="E30" s="29">
        <f t="shared" si="7"/>
        <v>6.1298092572098173E-2</v>
      </c>
      <c r="F30" s="28">
        <f t="shared" si="8"/>
        <v>30.931449909225336</v>
      </c>
      <c r="G30" s="27" t="str">
        <f t="shared" si="9"/>
        <v>+</v>
      </c>
      <c r="H30" s="26">
        <f t="shared" si="10"/>
        <v>28530.48</v>
      </c>
      <c r="I30" s="26">
        <f t="shared" si="11"/>
        <v>29125.053234526578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413.3</v>
      </c>
      <c r="E31" s="29">
        <f t="shared" si="7"/>
        <v>2.6905800403619558E-2</v>
      </c>
      <c r="F31" s="28">
        <f t="shared" si="8"/>
        <v>31.441869874724102</v>
      </c>
      <c r="G31" s="27" t="str">
        <f t="shared" si="9"/>
        <v>+</v>
      </c>
      <c r="H31" s="26">
        <f t="shared" si="10"/>
        <v>12729.640000000001</v>
      </c>
      <c r="I31" s="26">
        <f t="shared" si="11"/>
        <v>12994.924819223472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32.235317566339994</v>
      </c>
      <c r="D32" s="22">
        <f>SUM(D26:D31)</f>
        <v>9357.1</v>
      </c>
      <c r="E32" s="21">
        <f t="shared" si="7"/>
        <v>0.60914653993880608</v>
      </c>
      <c r="F32" s="20">
        <f>I32/D32</f>
        <v>32.90709936010618</v>
      </c>
      <c r="G32" s="19">
        <f>F32/C32-1</f>
        <v>2.0839930997536005E-2</v>
      </c>
      <c r="H32" s="18">
        <f>SUM(H26:H31)</f>
        <v>301629.08999999997</v>
      </c>
      <c r="I32" s="18">
        <f>SUM(I26:I31)</f>
        <v>307915.01942244952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2276.4</v>
      </c>
      <c r="E34" s="29">
        <f t="shared" ref="E34:E40" si="13">D34/$D$48</f>
        <v>0.14819347698717533</v>
      </c>
      <c r="F34" s="28">
        <f t="shared" ref="F34:F39" si="14">C34-(C34*$E$6)</f>
        <v>18.885538723454413</v>
      </c>
      <c r="G34" s="27" t="str">
        <f t="shared" ref="G34:G39" si="15">IF(C34&gt;=F34,"-","+")</f>
        <v>+</v>
      </c>
      <c r="H34" s="26">
        <f t="shared" ref="H34:H39" si="16">C34*D34</f>
        <v>42113.4</v>
      </c>
      <c r="I34" s="26">
        <f t="shared" ref="I34:I39" si="17">F34*D34</f>
        <v>42991.040350071627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14.598011013264763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11.739659206471661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30.931449909225336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30.931449909225336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32.054373833322622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</v>
      </c>
      <c r="D40" s="22">
        <f>SUM(D34:D39)</f>
        <v>2276.4</v>
      </c>
      <c r="E40" s="21">
        <f t="shared" si="13"/>
        <v>0.14819347698717533</v>
      </c>
      <c r="F40" s="20">
        <f>I40/D40</f>
        <v>18.885538723454413</v>
      </c>
      <c r="G40" s="19">
        <f>F40/C40-1</f>
        <v>2.0839930997535783E-2</v>
      </c>
      <c r="H40" s="18">
        <f>SUM(H34:H39)</f>
        <v>42113.4</v>
      </c>
      <c r="I40" s="18">
        <f>SUM(I34:I39)</f>
        <v>42991.040350071627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2526</v>
      </c>
      <c r="E42" s="107">
        <f>D42/$D$48</f>
        <v>0.16444241911333898</v>
      </c>
      <c r="F42" s="28">
        <f>C42-(C42*$E$6)</f>
        <v>0.40833597239901431</v>
      </c>
      <c r="G42" s="27" t="str">
        <f>IF(C42&gt;=F42,"-","+")</f>
        <v>+</v>
      </c>
      <c r="H42" s="26">
        <f>C42*D42</f>
        <v>1010.4000000000001</v>
      </c>
      <c r="I42" s="26">
        <f>F42*D42</f>
        <v>1031.4566662799102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122</v>
      </c>
      <c r="E43" s="107">
        <f>D43/$D$48</f>
        <v>7.9421912635896097E-3</v>
      </c>
      <c r="F43" s="28">
        <f>C43-(C43*$E$6)</f>
        <v>0.40833597239901431</v>
      </c>
      <c r="G43" s="27" t="str">
        <f>IF(C43&gt;=F43,"-","+")</f>
        <v>+</v>
      </c>
      <c r="H43" s="26">
        <f>C43*D43</f>
        <v>48.800000000000004</v>
      </c>
      <c r="I43" s="26">
        <f>F43*D43</f>
        <v>49.816988632679745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3.0596966343337021E-4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0.39929128812153658</v>
      </c>
      <c r="D46" s="22">
        <f>SUM(D41:D45)</f>
        <v>2652.7</v>
      </c>
      <c r="E46" s="21">
        <f>D46/$D$48</f>
        <v>0.17269058004036195</v>
      </c>
      <c r="F46" s="20">
        <f>I46/D46</f>
        <v>0.40761249101390662</v>
      </c>
      <c r="G46" s="19">
        <f>F46/C46-1</f>
        <v>2.0839930997535783E-2</v>
      </c>
      <c r="H46" s="18">
        <f>SUM(H41:H44)</f>
        <v>1059.2</v>
      </c>
      <c r="I46" s="18">
        <f>SUM(I41:I44)</f>
        <v>1081.27365491259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97.834366948990748</v>
      </c>
      <c r="D48" s="13">
        <f>D24+D32+D40+D46</f>
        <v>15361</v>
      </c>
      <c r="E48" s="12">
        <f>SUM(E20:E46)/2</f>
        <v>1</v>
      </c>
      <c r="F48" s="11">
        <f>I48/D48</f>
        <v>26.25</v>
      </c>
      <c r="G48" s="10"/>
      <c r="H48" s="9">
        <f>SUM(H20:H46)/2</f>
        <v>394994.59</v>
      </c>
      <c r="I48" s="9">
        <f>SUM(I20:I46)/2</f>
        <v>403226.25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15361.000000000002</v>
      </c>
      <c r="E50" s="12">
        <f>D50/G2</f>
        <v>1.0000000000000002</v>
      </c>
      <c r="F50" s="11">
        <f>I50/D50</f>
        <v>26.249999999999996</v>
      </c>
      <c r="G50" s="10"/>
      <c r="H50" s="9">
        <f>H48+H19</f>
        <v>394994.59</v>
      </c>
      <c r="I50" s="9">
        <f>I48+I19</f>
        <v>403226.25</v>
      </c>
      <c r="J50" s="106">
        <f>D50-G2</f>
        <v>0</v>
      </c>
      <c r="K50" s="8"/>
    </row>
    <row r="51" spans="1:11" ht="23.25" x14ac:dyDescent="0.35">
      <c r="A51" s="174" t="s">
        <v>271</v>
      </c>
      <c r="B51" s="169"/>
      <c r="C51" s="170"/>
      <c r="G51" s="7"/>
      <c r="H51" s="6"/>
      <c r="I51" s="6">
        <f>+I50/D50</f>
        <v>26.249999999999996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92D050"/>
  </sheetPr>
  <dimension ref="A1:K56"/>
  <sheetViews>
    <sheetView topLeftCell="A16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272</v>
      </c>
      <c r="D1" s="100" t="s">
        <v>1</v>
      </c>
      <c r="E1" s="168" t="s">
        <v>273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270</v>
      </c>
      <c r="D2" s="96" t="s">
        <v>3</v>
      </c>
      <c r="E2" s="95" t="s">
        <v>71</v>
      </c>
      <c r="F2" s="94" t="s">
        <v>5</v>
      </c>
      <c r="G2" s="93">
        <v>19611.7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264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74.286742424242433</v>
      </c>
      <c r="F4" s="81" t="s">
        <v>12</v>
      </c>
      <c r="G4" s="80">
        <f>G2*G3</f>
        <v>514807.125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-8.6364871315303127E-3</v>
      </c>
      <c r="F6" s="69" t="s">
        <v>16</v>
      </c>
      <c r="G6" s="68">
        <f>(I50-I19)/(D50-(SUM(D42:D44)+D19))</f>
        <v>30.081808938851779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>
        <f t="shared" ref="E10:E19" si="1">D10/$D$19</f>
        <v>0</v>
      </c>
      <c r="F10" s="28">
        <f t="shared" ref="F10:F18" si="2">C10-(C10*$E$6)</f>
        <v>26.527139611559249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>
        <v>8137.9</v>
      </c>
      <c r="E11" s="29">
        <f t="shared" si="1"/>
        <v>0.43209476679976216</v>
      </c>
      <c r="F11" s="28">
        <f t="shared" si="2"/>
        <v>27.535776098690778</v>
      </c>
      <c r="G11" s="27" t="str">
        <f t="shared" si="3"/>
        <v>+</v>
      </c>
      <c r="H11" s="34">
        <f t="shared" si="4"/>
        <v>222164.66999999998</v>
      </c>
      <c r="I11" s="34">
        <f t="shared" si="5"/>
        <v>224083.39231353567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>
        <v>10450.700000000001</v>
      </c>
      <c r="E12" s="29">
        <f t="shared" si="1"/>
        <v>0.55489656783620767</v>
      </c>
      <c r="F12" s="28">
        <f t="shared" si="2"/>
        <v>25.215912178288256</v>
      </c>
      <c r="G12" s="27" t="str">
        <f t="shared" si="3"/>
        <v>+</v>
      </c>
      <c r="H12" s="34">
        <f t="shared" si="4"/>
        <v>261267.50000000003</v>
      </c>
      <c r="I12" s="34">
        <f t="shared" si="5"/>
        <v>263523.93340163713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>
        <v>167</v>
      </c>
      <c r="E13" s="29">
        <f t="shared" si="1"/>
        <v>8.867131084869596E-3</v>
      </c>
      <c r="F13" s="28">
        <f t="shared" si="2"/>
        <v>27.535776098690778</v>
      </c>
      <c r="G13" s="27" t="str">
        <f t="shared" si="3"/>
        <v>+</v>
      </c>
      <c r="H13" s="34">
        <f t="shared" si="4"/>
        <v>4559.1000000000004</v>
      </c>
      <c r="I13" s="34">
        <f t="shared" si="5"/>
        <v>4598.4746084813596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>
        <f t="shared" si="1"/>
        <v>0</v>
      </c>
      <c r="F14" s="28">
        <f t="shared" si="2"/>
        <v>30.864276506224829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>
        <f t="shared" si="1"/>
        <v>0</v>
      </c>
      <c r="F15" s="28">
        <f t="shared" si="2"/>
        <v>25.417639475714562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>
        <v>78</v>
      </c>
      <c r="E16" s="29">
        <f t="shared" si="1"/>
        <v>4.1415342791606491E-3</v>
      </c>
      <c r="F16" s="28">
        <f t="shared" si="2"/>
        <v>34.797958806037798</v>
      </c>
      <c r="G16" s="27" t="str">
        <f t="shared" si="3"/>
        <v>+</v>
      </c>
      <c r="H16" s="34">
        <f t="shared" si="4"/>
        <v>2691</v>
      </c>
      <c r="I16" s="34">
        <f t="shared" si="5"/>
        <v>2714.2407868709483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>
        <f t="shared" si="1"/>
        <v>0</v>
      </c>
      <c r="F17" s="28">
        <f t="shared" si="2"/>
        <v>51.238733546281736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>
        <f t="shared" si="1"/>
        <v>0</v>
      </c>
      <c r="F18" s="28">
        <f t="shared" si="2"/>
        <v>44.884323677353102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26.053556940786681</v>
      </c>
      <c r="D19" s="49">
        <f>SUM(D10:D18)</f>
        <v>18833.599999999999</v>
      </c>
      <c r="E19" s="48">
        <f t="shared" si="1"/>
        <v>1</v>
      </c>
      <c r="F19" s="47">
        <f>I19/D19</f>
        <v>26.278568150036378</v>
      </c>
      <c r="G19" s="46">
        <f>F19/C19-1</f>
        <v>8.6364871315303127E-3</v>
      </c>
      <c r="H19" s="9">
        <f>SUM(H10:H18)</f>
        <v>490682.27</v>
      </c>
      <c r="I19" s="9">
        <f>SUM(I10:I18)</f>
        <v>494920.04111052508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9.1</v>
      </c>
      <c r="E21" s="29">
        <f>D21/$D$48</f>
        <v>1.1695154864413315E-2</v>
      </c>
      <c r="F21" s="28">
        <f>C21-(C21*$E$6)</f>
        <v>66.570008150681005</v>
      </c>
      <c r="G21" s="27" t="str">
        <f>IF(C21&gt;=F21,"-","+")</f>
        <v>+</v>
      </c>
      <c r="H21" s="26">
        <f>C21*D21</f>
        <v>600.6</v>
      </c>
      <c r="I21" s="26">
        <f>F21*D21</f>
        <v>605.7870741711971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17.8</v>
      </c>
      <c r="E22" s="29">
        <f>D22/$D$48</f>
        <v>2.2876236987533737E-2</v>
      </c>
      <c r="F22" s="28">
        <f>C22-(C22*$E$6)</f>
        <v>44.682596379926792</v>
      </c>
      <c r="G22" s="27" t="str">
        <f>IF(C22&gt;=F22,"-","+")</f>
        <v>+</v>
      </c>
      <c r="H22" s="26">
        <f>C22*D22</f>
        <v>788.54</v>
      </c>
      <c r="I22" s="26">
        <f>F22*D22</f>
        <v>795.35021556269692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17.600000000000001</v>
      </c>
      <c r="E23" s="29">
        <f>D23/$D$48</f>
        <v>2.261920061688729E-2</v>
      </c>
      <c r="F23" s="28">
        <f>C23-(C23*$E$6)</f>
        <v>40.748914080113821</v>
      </c>
      <c r="G23" s="27" t="str">
        <f>IF(C23&gt;=F23,"-","+")</f>
        <v>+</v>
      </c>
      <c r="H23" s="26">
        <f>C23*D23</f>
        <v>711.04000000000008</v>
      </c>
      <c r="I23" s="26">
        <f>F23*D23</f>
        <v>717.18088781000336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47.195056179775278</v>
      </c>
      <c r="D24" s="22">
        <f>SUM(D21:D23)</f>
        <v>44.5</v>
      </c>
      <c r="E24" s="21">
        <f>D24/$D$48</f>
        <v>5.7190592468834338E-2</v>
      </c>
      <c r="F24" s="20">
        <f>I24/D24</f>
        <v>47.602655675143765</v>
      </c>
      <c r="G24" s="19">
        <f>F24/C24-1</f>
        <v>8.6364871315305347E-3</v>
      </c>
      <c r="H24" s="18">
        <f>SUM(H21:H23)</f>
        <v>2100.1799999999998</v>
      </c>
      <c r="I24" s="18">
        <f>SUM(I21:I23)</f>
        <v>2118.3181775438975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f>109.1+35.4</f>
        <v>144.5</v>
      </c>
      <c r="E26" s="29">
        <f t="shared" ref="E26:E32" si="7">D26/$D$48</f>
        <v>0.18570877779205758</v>
      </c>
      <c r="F26" s="28">
        <f t="shared" ref="F26:F31" si="8">C26-(C26*$E$6)</f>
        <v>35.50400434702987</v>
      </c>
      <c r="G26" s="27" t="str">
        <f t="shared" ref="G26:G31" si="9">IF(C26&gt;=F26,"-","+")</f>
        <v>+</v>
      </c>
      <c r="H26" s="26">
        <f t="shared" ref="H26:H31" si="10">C26*D26</f>
        <v>5086.4000000000005</v>
      </c>
      <c r="I26" s="26">
        <f t="shared" ref="I26:I31" si="11">F26*D26</f>
        <v>5130.3286281458159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89.8</v>
      </c>
      <c r="E27" s="29">
        <f t="shared" si="7"/>
        <v>0.11540933042025446</v>
      </c>
      <c r="F27" s="28">
        <f t="shared" si="8"/>
        <v>31.671185695930049</v>
      </c>
      <c r="G27" s="27" t="str">
        <f t="shared" si="9"/>
        <v>+</v>
      </c>
      <c r="H27" s="26">
        <f t="shared" si="10"/>
        <v>2819.72</v>
      </c>
      <c r="I27" s="26">
        <f t="shared" si="11"/>
        <v>2844.0724754945181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57.2</v>
      </c>
      <c r="E28" s="29">
        <f t="shared" si="7"/>
        <v>7.3512402004883695E-2</v>
      </c>
      <c r="F28" s="28">
        <f t="shared" si="8"/>
        <v>31.671185695930049</v>
      </c>
      <c r="G28" s="27" t="str">
        <f t="shared" si="9"/>
        <v>+</v>
      </c>
      <c r="H28" s="26">
        <f t="shared" si="10"/>
        <v>1796.08</v>
      </c>
      <c r="I28" s="26">
        <f t="shared" si="11"/>
        <v>1811.5918218071988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61</v>
      </c>
      <c r="E29" s="29">
        <f t="shared" si="7"/>
        <v>7.8396093047166174E-2</v>
      </c>
      <c r="F29" s="28">
        <f t="shared" si="8"/>
        <v>30.561685560085369</v>
      </c>
      <c r="G29" s="27" t="str">
        <f t="shared" si="9"/>
        <v>+</v>
      </c>
      <c r="H29" s="26">
        <f t="shared" si="10"/>
        <v>1848.3</v>
      </c>
      <c r="I29" s="26">
        <f t="shared" si="11"/>
        <v>1864.2628191652075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83.2</v>
      </c>
      <c r="E30" s="29">
        <f t="shared" si="7"/>
        <v>0.10692713018892173</v>
      </c>
      <c r="F30" s="28">
        <f t="shared" si="8"/>
        <v>30.561685560085369</v>
      </c>
      <c r="G30" s="27" t="str">
        <f t="shared" si="9"/>
        <v>+</v>
      </c>
      <c r="H30" s="26">
        <f t="shared" si="10"/>
        <v>2520.96</v>
      </c>
      <c r="I30" s="26">
        <f t="shared" si="11"/>
        <v>2542.7322385991029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18.2</v>
      </c>
      <c r="E31" s="29">
        <f t="shared" si="7"/>
        <v>2.3390309728826629E-2</v>
      </c>
      <c r="F31" s="28">
        <f t="shared" si="8"/>
        <v>31.066003803651135</v>
      </c>
      <c r="G31" s="27" t="str">
        <f t="shared" si="9"/>
        <v>+</v>
      </c>
      <c r="H31" s="26">
        <f t="shared" si="10"/>
        <v>560.55999999999995</v>
      </c>
      <c r="I31" s="26">
        <f t="shared" si="11"/>
        <v>565.40126922645061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32.236219431592858</v>
      </c>
      <c r="D32" s="22">
        <f>SUM(D26:D31)</f>
        <v>453.9</v>
      </c>
      <c r="E32" s="21">
        <f t="shared" si="7"/>
        <v>0.58334404318211019</v>
      </c>
      <c r="F32" s="20">
        <f>I32/D32</f>
        <v>32.514627125883003</v>
      </c>
      <c r="G32" s="19">
        <f>F32/C32-1</f>
        <v>8.6364871315305347E-3</v>
      </c>
      <c r="H32" s="18">
        <f>SUM(H26:H31)</f>
        <v>14632.019999999999</v>
      </c>
      <c r="I32" s="18">
        <f>SUM(I26:I31)</f>
        <v>14758.389252438294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158.80000000000001</v>
      </c>
      <c r="E34" s="29">
        <f t="shared" ref="E34:E40" si="13">D34/$D$48</f>
        <v>0.20408687829327851</v>
      </c>
      <c r="F34" s="28">
        <f t="shared" ref="F34:F39" si="14">C34-(C34*$E$6)</f>
        <v>18.659775011933309</v>
      </c>
      <c r="G34" s="27" t="str">
        <f t="shared" ref="G34:G39" si="15">IF(C34&gt;=F34,"-","+")</f>
        <v>+</v>
      </c>
      <c r="H34" s="26">
        <f t="shared" ref="H34:H39" si="16">C34*D34</f>
        <v>2937.8</v>
      </c>
      <c r="I34" s="26">
        <f t="shared" ref="I34:I39" si="17">F34*D34</f>
        <v>2963.1722718950095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14.423501765980884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11.599319602012599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30.561685560085369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30.561685560085369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31.671185695930049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</v>
      </c>
      <c r="D40" s="22">
        <f>SUM(D34:D39)</f>
        <v>158.80000000000001</v>
      </c>
      <c r="E40" s="21">
        <f t="shared" si="13"/>
        <v>0.20408687829327851</v>
      </c>
      <c r="F40" s="20">
        <f>I40/D40</f>
        <v>18.659775011933309</v>
      </c>
      <c r="G40" s="19">
        <f>F40/C40-1</f>
        <v>8.6364871315303127E-3</v>
      </c>
      <c r="H40" s="18">
        <f>SUM(H34:H39)</f>
        <v>2937.8</v>
      </c>
      <c r="I40" s="18">
        <f>SUM(I34:I39)</f>
        <v>2963.1722718950095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116</v>
      </c>
      <c r="E42" s="107">
        <f>D42/$D$48</f>
        <v>0.14908109497493896</v>
      </c>
      <c r="F42" s="28">
        <f>C42-(C42*$E$6)</f>
        <v>0.40345459485261215</v>
      </c>
      <c r="G42" s="27" t="str">
        <f>IF(C42&gt;=F42,"-","+")</f>
        <v>+</v>
      </c>
      <c r="H42" s="26">
        <f>C42*D42</f>
        <v>46.400000000000006</v>
      </c>
      <c r="I42" s="26">
        <f>F42*D42</f>
        <v>46.800733002903009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</v>
      </c>
      <c r="E43" s="107">
        <f>D43/$D$48</f>
        <v>1.2851818532322323E-3</v>
      </c>
      <c r="F43" s="28">
        <f>C43-(C43*$E$6)</f>
        <v>0.40345459485261215</v>
      </c>
      <c r="G43" s="27" t="str">
        <f>IF(C43&gt;=F43,"-","+")</f>
        <v>+</v>
      </c>
      <c r="H43" s="26">
        <f>C43*D43</f>
        <v>0.4</v>
      </c>
      <c r="I43" s="26">
        <f>F43*D43</f>
        <v>0.40345459485261215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3.9</v>
      </c>
      <c r="E45" s="107">
        <f>D45/$D$48</f>
        <v>5.0122092276057061E-3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0.38709677419354843</v>
      </c>
      <c r="D46" s="22">
        <f>SUM(D41:D45)</f>
        <v>120.9</v>
      </c>
      <c r="E46" s="21">
        <f>D46/$D$48</f>
        <v>0.15537848605577689</v>
      </c>
      <c r="F46" s="20">
        <f>I46/D46</f>
        <v>0.39043993050252784</v>
      </c>
      <c r="G46" s="19">
        <f>F46/C46-1</f>
        <v>8.6364871315300906E-3</v>
      </c>
      <c r="H46" s="18">
        <f>SUM(H41:H44)</f>
        <v>46.800000000000004</v>
      </c>
      <c r="I46" s="18">
        <f>SUM(I41:I44)</f>
        <v>47.20418759775562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98.318372385561688</v>
      </c>
      <c r="D48" s="13">
        <f>D24+D32+D40+D46</f>
        <v>778.1</v>
      </c>
      <c r="E48" s="12">
        <f>SUM(E20:E46)/2</f>
        <v>1</v>
      </c>
      <c r="F48" s="11">
        <f>I48/D48</f>
        <v>25.558519328460292</v>
      </c>
      <c r="G48" s="10"/>
      <c r="H48" s="9">
        <f>SUM(H20:H46)/2</f>
        <v>19716.800000000007</v>
      </c>
      <c r="I48" s="9">
        <f>SUM(I20:I46)/2</f>
        <v>19887.083889474954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19611.7</v>
      </c>
      <c r="E50" s="12">
        <f>D50/G2</f>
        <v>1</v>
      </c>
      <c r="F50" s="11">
        <f>I50/D50</f>
        <v>26.250000000000004</v>
      </c>
      <c r="G50" s="10"/>
      <c r="H50" s="9">
        <f>H48+H19</f>
        <v>510399.07</v>
      </c>
      <c r="I50" s="9">
        <f>I48+I19</f>
        <v>514807.12500000006</v>
      </c>
      <c r="J50" s="106">
        <f>D50-G2</f>
        <v>0</v>
      </c>
      <c r="K50" s="8"/>
    </row>
    <row r="51" spans="1:11" ht="23.25" x14ac:dyDescent="0.35">
      <c r="A51" s="174" t="s">
        <v>274</v>
      </c>
      <c r="B51" s="169"/>
      <c r="C51" s="170"/>
      <c r="G51" s="7"/>
      <c r="H51" s="6"/>
      <c r="I51" s="6">
        <f>+I50/D50</f>
        <v>26.250000000000004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270</v>
      </c>
      <c r="D1" s="100" t="s">
        <v>1</v>
      </c>
      <c r="E1" s="168" t="s">
        <v>199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275</v>
      </c>
      <c r="D2" s="96" t="s">
        <v>3</v>
      </c>
      <c r="E2" s="95" t="s">
        <v>71</v>
      </c>
      <c r="F2" s="94" t="s">
        <v>5</v>
      </c>
      <c r="G2" s="93">
        <v>13386.5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200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66.932500000000005</v>
      </c>
      <c r="F4" s="81" t="s">
        <v>12</v>
      </c>
      <c r="G4" s="80">
        <f>G2*G3</f>
        <v>351395.625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7.2104569106598015E-3</v>
      </c>
      <c r="F6" s="69" t="s">
        <v>16</v>
      </c>
      <c r="G6" s="68">
        <f>(I50-I19)/(D50-(SUM(D42:D44)+D19))</f>
        <v>29.930945556032629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>
        <f t="shared" ref="E10:E19" si="1">D10/$D$19</f>
        <v>0</v>
      </c>
      <c r="F10" s="28">
        <f t="shared" ref="F10:F18" si="2">C10-(C10*$E$6)</f>
        <v>26.110364983249649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>
        <v>3475.7</v>
      </c>
      <c r="E11" s="29">
        <f t="shared" si="1"/>
        <v>0.45597302757589275</v>
      </c>
      <c r="F11" s="28">
        <f t="shared" si="2"/>
        <v>27.103154526338987</v>
      </c>
      <c r="G11" s="27" t="str">
        <f t="shared" si="3"/>
        <v>-</v>
      </c>
      <c r="H11" s="34">
        <f t="shared" si="4"/>
        <v>94886.61</v>
      </c>
      <c r="I11" s="34">
        <f t="shared" si="5"/>
        <v>94202.434187196413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>
        <v>3151.2</v>
      </c>
      <c r="E12" s="29">
        <f t="shared" si="1"/>
        <v>0.41340225120037782</v>
      </c>
      <c r="F12" s="28">
        <f t="shared" si="2"/>
        <v>24.819738577233505</v>
      </c>
      <c r="G12" s="27" t="str">
        <f t="shared" si="3"/>
        <v>-</v>
      </c>
      <c r="H12" s="34">
        <f t="shared" si="4"/>
        <v>78780</v>
      </c>
      <c r="I12" s="34">
        <f t="shared" si="5"/>
        <v>78211.960204578209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>
        <f t="shared" si="1"/>
        <v>0</v>
      </c>
      <c r="F13" s="28">
        <f t="shared" si="2"/>
        <v>27.103154526338987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>
        <f t="shared" si="1"/>
        <v>0</v>
      </c>
      <c r="F14" s="28">
        <f t="shared" si="2"/>
        <v>30.379360018533813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>
        <v>276</v>
      </c>
      <c r="E15" s="29">
        <f t="shared" si="1"/>
        <v>3.6208117964998822E-2</v>
      </c>
      <c r="F15" s="28">
        <f t="shared" si="2"/>
        <v>25.018296485851373</v>
      </c>
      <c r="G15" s="27" t="str">
        <f t="shared" si="3"/>
        <v>-</v>
      </c>
      <c r="H15" s="34">
        <f t="shared" si="4"/>
        <v>6955.2</v>
      </c>
      <c r="I15" s="34">
        <f t="shared" si="5"/>
        <v>6905.0498300949785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>
        <v>684.7</v>
      </c>
      <c r="E16" s="29">
        <f t="shared" si="1"/>
        <v>8.982499409650252E-2</v>
      </c>
      <c r="F16" s="28">
        <f t="shared" si="2"/>
        <v>34.251239236582236</v>
      </c>
      <c r="G16" s="27" t="str">
        <f t="shared" si="3"/>
        <v>-</v>
      </c>
      <c r="H16" s="34">
        <f t="shared" si="4"/>
        <v>23622.15</v>
      </c>
      <c r="I16" s="34">
        <f t="shared" si="5"/>
        <v>23451.823505287859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>
        <v>35</v>
      </c>
      <c r="E17" s="29">
        <f t="shared" si="1"/>
        <v>4.5916091622281111E-3</v>
      </c>
      <c r="F17" s="28">
        <f t="shared" si="2"/>
        <v>50.433708788938482</v>
      </c>
      <c r="G17" s="27" t="str">
        <f t="shared" si="3"/>
        <v>-</v>
      </c>
      <c r="H17" s="34">
        <f t="shared" si="4"/>
        <v>1778</v>
      </c>
      <c r="I17" s="34">
        <f t="shared" si="5"/>
        <v>1765.1798076128468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>
        <f t="shared" si="1"/>
        <v>0</v>
      </c>
      <c r="F18" s="28">
        <f t="shared" si="2"/>
        <v>44.179134667475637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27.027780547319814</v>
      </c>
      <c r="D19" s="49">
        <f>SUM(D10:D18)</f>
        <v>7622.5999999999995</v>
      </c>
      <c r="E19" s="48">
        <f t="shared" si="1"/>
        <v>1</v>
      </c>
      <c r="F19" s="47">
        <f>I19/D19</f>
        <v>26.832897900292593</v>
      </c>
      <c r="G19" s="46">
        <f>F19/C19-1</f>
        <v>-7.2104569106599126E-3</v>
      </c>
      <c r="H19" s="9">
        <f>SUM(H10:H18)</f>
        <v>206021.96</v>
      </c>
      <c r="I19" s="9">
        <f>SUM(I10:I18)</f>
        <v>204536.4475347703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/>
      <c r="E21" s="29">
        <f>D21/$D$48</f>
        <v>0</v>
      </c>
      <c r="F21" s="28">
        <f>C21-(C21*$E$6)</f>
        <v>65.524109843896454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203</v>
      </c>
      <c r="E22" s="29">
        <f>D22/$D$48</f>
        <v>3.5219209215982233E-2</v>
      </c>
      <c r="F22" s="28">
        <f>C22-(C22*$E$6)</f>
        <v>43.980576758857765</v>
      </c>
      <c r="G22" s="27" t="str">
        <f>IF(C22&gt;=F22,"-","+")</f>
        <v>-</v>
      </c>
      <c r="H22" s="26">
        <f>C22*D22</f>
        <v>8992.9</v>
      </c>
      <c r="I22" s="26">
        <f>F22*D22</f>
        <v>8928.0570820481262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/>
      <c r="E23" s="29">
        <f>D23/$D$48</f>
        <v>0</v>
      </c>
      <c r="F23" s="28">
        <f>C23-(C23*$E$6)</f>
        <v>40.108697540809345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44.3</v>
      </c>
      <c r="D24" s="22">
        <f>SUM(D21:D23)</f>
        <v>203</v>
      </c>
      <c r="E24" s="21">
        <f>D24/$D$48</f>
        <v>3.5219209215982233E-2</v>
      </c>
      <c r="F24" s="20">
        <f>I24/D24</f>
        <v>43.980576758857765</v>
      </c>
      <c r="G24" s="19">
        <f>F24/C24-1</f>
        <v>-7.2104569106599126E-3</v>
      </c>
      <c r="H24" s="18">
        <f>SUM(H21:H23)</f>
        <v>8992.9</v>
      </c>
      <c r="I24" s="18">
        <f>SUM(I21:I23)</f>
        <v>8928.0570820481262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f>87.6+930.6</f>
        <v>1018.2</v>
      </c>
      <c r="E26" s="29">
        <f t="shared" ref="E26:E32" si="7">D26/$D$48</f>
        <v>0.17665122573257691</v>
      </c>
      <c r="F26" s="28">
        <f t="shared" ref="F26:F31" si="8">C26-(C26*$E$6)</f>
        <v>34.94619191674478</v>
      </c>
      <c r="G26" s="27" t="str">
        <f t="shared" ref="G26:G31" si="9">IF(C26&gt;=F26,"-","+")</f>
        <v>-</v>
      </c>
      <c r="H26" s="26">
        <f t="shared" ref="H26:H31" si="10">C26*D26</f>
        <v>35840.640000000007</v>
      </c>
      <c r="I26" s="26">
        <f t="shared" ref="I26:I31" si="11">F26*D26</f>
        <v>35582.21260962954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937</v>
      </c>
      <c r="E27" s="29">
        <f t="shared" si="7"/>
        <v>0.16256354204618401</v>
      </c>
      <c r="F27" s="28">
        <f t="shared" si="8"/>
        <v>31.173591653005282</v>
      </c>
      <c r="G27" s="27" t="str">
        <f t="shared" si="9"/>
        <v>-</v>
      </c>
      <c r="H27" s="26">
        <f t="shared" si="10"/>
        <v>29421.8</v>
      </c>
      <c r="I27" s="26">
        <f t="shared" si="11"/>
        <v>29209.655378865948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619</v>
      </c>
      <c r="E28" s="29">
        <f t="shared" si="7"/>
        <v>0.10739256406252712</v>
      </c>
      <c r="F28" s="28">
        <f t="shared" si="8"/>
        <v>31.173591653005282</v>
      </c>
      <c r="G28" s="27" t="str">
        <f t="shared" si="9"/>
        <v>-</v>
      </c>
      <c r="H28" s="26">
        <f t="shared" si="10"/>
        <v>19436.599999999999</v>
      </c>
      <c r="I28" s="26">
        <f t="shared" si="11"/>
        <v>19296.453233210268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636.70000000000005</v>
      </c>
      <c r="E29" s="29">
        <f t="shared" si="7"/>
        <v>0.11046340151633444</v>
      </c>
      <c r="F29" s="28">
        <f t="shared" si="8"/>
        <v>30.081523155607009</v>
      </c>
      <c r="G29" s="27" t="str">
        <f t="shared" si="9"/>
        <v>-</v>
      </c>
      <c r="H29" s="26">
        <f t="shared" si="10"/>
        <v>19292.010000000002</v>
      </c>
      <c r="I29" s="26">
        <f t="shared" si="11"/>
        <v>19152.905793174985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553</v>
      </c>
      <c r="E30" s="29">
        <f t="shared" si="7"/>
        <v>9.5941983726296434E-2</v>
      </c>
      <c r="F30" s="28">
        <f t="shared" si="8"/>
        <v>30.081523155607009</v>
      </c>
      <c r="G30" s="27" t="str">
        <f t="shared" si="9"/>
        <v>-</v>
      </c>
      <c r="H30" s="26">
        <f t="shared" si="10"/>
        <v>16755.900000000001</v>
      </c>
      <c r="I30" s="26">
        <f t="shared" si="11"/>
        <v>16635.082305050677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66.8</v>
      </c>
      <c r="E31" s="29">
        <f t="shared" si="7"/>
        <v>1.158937524939711E-2</v>
      </c>
      <c r="F31" s="28">
        <f t="shared" si="8"/>
        <v>30.577917927151677</v>
      </c>
      <c r="G31" s="27" t="str">
        <f t="shared" si="9"/>
        <v>-</v>
      </c>
      <c r="H31" s="26">
        <f t="shared" si="10"/>
        <v>2057.44</v>
      </c>
      <c r="I31" s="26">
        <f t="shared" si="11"/>
        <v>2042.6049175337321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32.057950244080722</v>
      </c>
      <c r="D32" s="22">
        <f>SUM(D26:D31)</f>
        <v>3830.7</v>
      </c>
      <c r="E32" s="21">
        <f t="shared" si="7"/>
        <v>0.66460209233331602</v>
      </c>
      <c r="F32" s="20">
        <f>I32/D32</f>
        <v>31.826797775201701</v>
      </c>
      <c r="G32" s="19">
        <f>F32/C32-1</f>
        <v>-7.2104569106598015E-3</v>
      </c>
      <c r="H32" s="18">
        <f>SUM(H26:H31)</f>
        <v>122804.39000000001</v>
      </c>
      <c r="I32" s="18">
        <f>SUM(I26:I31)</f>
        <v>121918.91423746516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803.2</v>
      </c>
      <c r="E34" s="29">
        <f t="shared" ref="E34:E40" si="13">D34/$D$48</f>
        <v>0.13935009281909819</v>
      </c>
      <c r="F34" s="28">
        <f t="shared" ref="F34:F39" si="14">C34-(C34*$E$6)</f>
        <v>18.366606547152795</v>
      </c>
      <c r="G34" s="27" t="str">
        <f t="shared" ref="G34:G39" si="15">IF(C34&gt;=F34,"-","+")</f>
        <v>-</v>
      </c>
      <c r="H34" s="26">
        <f t="shared" ref="H34:H39" si="16">C34*D34</f>
        <v>14859.2</v>
      </c>
      <c r="I34" s="26">
        <f t="shared" ref="I34:I39" si="17">F34*D34</f>
        <v>14752.058378673126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65</v>
      </c>
      <c r="E35" s="29">
        <f t="shared" si="13"/>
        <v>1.1277086694772637E-2</v>
      </c>
      <c r="F35" s="28">
        <f t="shared" si="14"/>
        <v>14.196890466177566</v>
      </c>
      <c r="G35" s="27" t="str">
        <f t="shared" si="15"/>
        <v>-</v>
      </c>
      <c r="H35" s="26">
        <f t="shared" si="16"/>
        <v>929.5</v>
      </c>
      <c r="I35" s="26">
        <f t="shared" si="17"/>
        <v>922.7978803015418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11.417079745527412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30.081523155607009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30.081523155607009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31.173591653005282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18.185556323427782</v>
      </c>
      <c r="D40" s="22">
        <f>SUM(D34:D39)</f>
        <v>868.2</v>
      </c>
      <c r="E40" s="21">
        <f t="shared" si="13"/>
        <v>0.15062717951387083</v>
      </c>
      <c r="F40" s="20">
        <f>I40/D40</f>
        <v>18.054430153161331</v>
      </c>
      <c r="G40" s="19">
        <f>F40/C40-1</f>
        <v>-7.2104569106596905E-3</v>
      </c>
      <c r="H40" s="18">
        <f>SUM(H34:H39)</f>
        <v>15788.7</v>
      </c>
      <c r="I40" s="18">
        <f>SUM(I34:I39)</f>
        <v>15674.856258974667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810</v>
      </c>
      <c r="E42" s="107">
        <f>D42/$D$48</f>
        <v>0.14052984958101286</v>
      </c>
      <c r="F42" s="28">
        <f>C42-(C42*$E$6)</f>
        <v>0.39711581723573608</v>
      </c>
      <c r="G42" s="27" t="str">
        <f>IF(C42&gt;=F42,"-","+")</f>
        <v>-</v>
      </c>
      <c r="H42" s="26">
        <f>C42*D42</f>
        <v>324</v>
      </c>
      <c r="I42" s="26">
        <f>F42*D42</f>
        <v>321.66381196094625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39.5</v>
      </c>
      <c r="E43" s="107">
        <f>D43/$D$48</f>
        <v>6.8529988375926028E-3</v>
      </c>
      <c r="F43" s="28">
        <f>C43-(C43*$E$6)</f>
        <v>0.39711581723573608</v>
      </c>
      <c r="G43" s="27" t="str">
        <f>IF(C43&gt;=F43,"-","+")</f>
        <v>-</v>
      </c>
      <c r="H43" s="26">
        <f>C43*D43</f>
        <v>15.8</v>
      </c>
      <c r="I43" s="26">
        <f>F43*D43</f>
        <v>15.686074780811575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7.8</v>
      </c>
      <c r="E44" s="107">
        <f>D44/$D$48</f>
        <v>1.3532504033727164E-3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8.1542011485279077E-4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0.39419953596287705</v>
      </c>
      <c r="D46" s="22">
        <f>SUM(D41:D45)</f>
        <v>862</v>
      </c>
      <c r="E46" s="21">
        <f>D46/$D$48</f>
        <v>0.14955151893683097</v>
      </c>
      <c r="F46" s="20">
        <f>I46/D46</f>
        <v>0.39135717719461466</v>
      </c>
      <c r="G46" s="19">
        <f>F46/C46-1</f>
        <v>-7.2104569106596905E-3</v>
      </c>
      <c r="H46" s="18">
        <f>SUM(H41:H44)</f>
        <v>339.8</v>
      </c>
      <c r="I46" s="18">
        <f>SUM(I41:I44)</f>
        <v>337.34988674175781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94.937706103471385</v>
      </c>
      <c r="D48" s="13">
        <f>D24+D32+D40+D46</f>
        <v>5763.9</v>
      </c>
      <c r="E48" s="12">
        <f>SUM(E20:E46)/2</f>
        <v>1</v>
      </c>
      <c r="F48" s="11">
        <f>I48/D48</f>
        <v>25.479133479975314</v>
      </c>
      <c r="G48" s="10"/>
      <c r="H48" s="9">
        <f>SUM(H20:H46)/2</f>
        <v>147925.79</v>
      </c>
      <c r="I48" s="9">
        <f>SUM(I20:I46)/2</f>
        <v>146859.1774652297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13386.5</v>
      </c>
      <c r="E50" s="12">
        <f>D50/G2</f>
        <v>1</v>
      </c>
      <c r="F50" s="11">
        <f>I50/D50</f>
        <v>26.25</v>
      </c>
      <c r="G50" s="10"/>
      <c r="H50" s="9">
        <f>H48+H19</f>
        <v>353947.75</v>
      </c>
      <c r="I50" s="9">
        <f>I48+I19</f>
        <v>351395.625</v>
      </c>
      <c r="J50" s="106">
        <f>D50-G2</f>
        <v>0</v>
      </c>
      <c r="K50" s="8"/>
    </row>
    <row r="51" spans="1:11" ht="23.25" x14ac:dyDescent="0.35">
      <c r="A51" s="174" t="s">
        <v>276</v>
      </c>
      <c r="B51" s="169"/>
      <c r="C51" s="170"/>
      <c r="G51" s="7"/>
      <c r="H51" s="6"/>
      <c r="I51" s="6">
        <f>+I50/D50</f>
        <v>26.25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92D050"/>
  </sheetPr>
  <dimension ref="A1:K56"/>
  <sheetViews>
    <sheetView topLeftCell="A35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277</v>
      </c>
      <c r="D1" s="100" t="s">
        <v>1</v>
      </c>
      <c r="E1" s="168" t="s">
        <v>199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277</v>
      </c>
      <c r="D2" s="96" t="s">
        <v>3</v>
      </c>
      <c r="E2" s="95" t="s">
        <v>71</v>
      </c>
      <c r="F2" s="94" t="s">
        <v>5</v>
      </c>
      <c r="G2" s="93">
        <v>10636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167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63.688622754491021</v>
      </c>
      <c r="F4" s="81" t="s">
        <v>12</v>
      </c>
      <c r="G4" s="80">
        <f>G2*G3</f>
        <v>279195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-2.8253097670434268E-3</v>
      </c>
      <c r="F6" s="69" t="s">
        <v>16</v>
      </c>
      <c r="G6" s="68">
        <f>(I50-I19)/(D50-(SUM(D42:D44)+D19))</f>
        <v>31.221833309103932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 t="e">
        <f t="shared" ref="E10:E19" si="1">D10/$D$19</f>
        <v>#DIV/0!</v>
      </c>
      <c r="F10" s="28">
        <f t="shared" ref="F10:F18" si="2">C10-(C10*$E$6)</f>
        <v>26.374305646873243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 t="e">
        <f t="shared" si="1"/>
        <v>#DIV/0!</v>
      </c>
      <c r="F11" s="28">
        <f t="shared" si="2"/>
        <v>27.377130956640286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 t="e">
        <f t="shared" si="1"/>
        <v>#DIV/0!</v>
      </c>
      <c r="F12" s="28">
        <f t="shared" si="2"/>
        <v>25.070632744176084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 t="e">
        <f t="shared" si="1"/>
        <v>#DIV/0!</v>
      </c>
      <c r="F13" s="28">
        <f t="shared" si="2"/>
        <v>27.377130956640286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 t="e">
        <f t="shared" si="1"/>
        <v>#DIV/0!</v>
      </c>
      <c r="F14" s="28">
        <f t="shared" si="2"/>
        <v>30.686454478871529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25.271197806129493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 t="e">
        <f t="shared" si="1"/>
        <v>#DIV/0!</v>
      </c>
      <c r="F16" s="28">
        <f t="shared" si="2"/>
        <v>34.597473186963001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 t="e">
        <f t="shared" si="1"/>
        <v>#DIV/0!</v>
      </c>
      <c r="F17" s="28">
        <f t="shared" si="2"/>
        <v>50.943525736165803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 t="e">
        <f t="shared" si="1"/>
        <v>#DIV/0!</v>
      </c>
      <c r="F18" s="28">
        <f t="shared" si="2"/>
        <v>44.62572628463343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149.30000000000001</v>
      </c>
      <c r="E21" s="29">
        <f>D21/$D$48</f>
        <v>1.4037232042121098E-2</v>
      </c>
      <c r="F21" s="28">
        <f>C21-(C21*$E$6)</f>
        <v>66.18647044462486</v>
      </c>
      <c r="G21" s="27" t="str">
        <f>IF(C21&gt;=F21,"-","+")</f>
        <v>+</v>
      </c>
      <c r="H21" s="26">
        <f>C21*D21</f>
        <v>9853.8000000000011</v>
      </c>
      <c r="I21" s="26">
        <f>F21*D21</f>
        <v>9881.6400373824927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323.39999999999998</v>
      </c>
      <c r="E22" s="29">
        <f>D22/$D$48</f>
        <v>3.040616773223016E-2</v>
      </c>
      <c r="F22" s="28">
        <f>C22-(C22*$E$6)</f>
        <v>44.425161222680018</v>
      </c>
      <c r="G22" s="27" t="str">
        <f>IF(C22&gt;=F22,"-","+")</f>
        <v>+</v>
      </c>
      <c r="H22" s="26">
        <f>C22*D22</f>
        <v>14326.619999999999</v>
      </c>
      <c r="I22" s="26">
        <f>F22*D22</f>
        <v>14367.097139414716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299</v>
      </c>
      <c r="E23" s="29">
        <f>D23/$D$48</f>
        <v>2.8112072207596841E-2</v>
      </c>
      <c r="F23" s="28">
        <f>C23-(C23*$E$6)</f>
        <v>40.514142514588556</v>
      </c>
      <c r="G23" s="27" t="str">
        <f>IF(C23&gt;=F23,"-","+")</f>
        <v>+</v>
      </c>
      <c r="H23" s="26">
        <f>C23*D23</f>
        <v>12079.6</v>
      </c>
      <c r="I23" s="26">
        <f>F23*D23</f>
        <v>12113.728611861978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46.987197097317605</v>
      </c>
      <c r="D24" s="22">
        <f>SUM(D21:D23)</f>
        <v>771.7</v>
      </c>
      <c r="E24" s="21">
        <f>D24/$D$48</f>
        <v>7.2555471981948103E-2</v>
      </c>
      <c r="F24" s="20">
        <f>I24/D24</f>
        <v>47.119950484202654</v>
      </c>
      <c r="G24" s="19">
        <f>F24/C24-1</f>
        <v>2.8253097670434268E-3</v>
      </c>
      <c r="H24" s="18">
        <f>SUM(H21:H23)</f>
        <v>36260.019999999997</v>
      </c>
      <c r="I24" s="18">
        <f>SUM(I21:I23)</f>
        <v>36362.465788659189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v>2238</v>
      </c>
      <c r="E26" s="29">
        <f t="shared" ref="E26:E32" si="7">D26/$D$48</f>
        <v>0.21041745016923655</v>
      </c>
      <c r="F26" s="28">
        <f t="shared" ref="F26:F31" si="8">C26-(C26*$E$6)</f>
        <v>35.299450903799929</v>
      </c>
      <c r="G26" s="27" t="str">
        <f t="shared" ref="G26:G31" si="9">IF(C26&gt;=F26,"-","+")</f>
        <v>+</v>
      </c>
      <c r="H26" s="26">
        <f t="shared" ref="H26:H31" si="10">C26*D26</f>
        <v>78777.600000000006</v>
      </c>
      <c r="I26" s="26">
        <f t="shared" ref="I26:I31" si="11">F26*D26</f>
        <v>79000.17112270424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1568.5</v>
      </c>
      <c r="E27" s="29">
        <f t="shared" si="7"/>
        <v>0.14747085370440016</v>
      </c>
      <c r="F27" s="28">
        <f t="shared" si="8"/>
        <v>31.488714726685163</v>
      </c>
      <c r="G27" s="27" t="str">
        <f t="shared" si="9"/>
        <v>+</v>
      </c>
      <c r="H27" s="26">
        <f t="shared" si="10"/>
        <v>49250.899999999994</v>
      </c>
      <c r="I27" s="26">
        <f t="shared" si="11"/>
        <v>49390.049048805682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765.2</v>
      </c>
      <c r="E28" s="29">
        <f t="shared" si="7"/>
        <v>7.1944339977435129E-2</v>
      </c>
      <c r="F28" s="28">
        <f t="shared" si="8"/>
        <v>31.488714726685163</v>
      </c>
      <c r="G28" s="27" t="str">
        <f t="shared" si="9"/>
        <v>+</v>
      </c>
      <c r="H28" s="26">
        <f t="shared" si="10"/>
        <v>24027.279999999999</v>
      </c>
      <c r="I28" s="26">
        <f t="shared" si="11"/>
        <v>24095.164508859489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907.6</v>
      </c>
      <c r="E29" s="29">
        <f t="shared" si="7"/>
        <v>8.533283189168861E-2</v>
      </c>
      <c r="F29" s="28">
        <f t="shared" si="8"/>
        <v>30.385606885941417</v>
      </c>
      <c r="G29" s="27" t="str">
        <f t="shared" si="9"/>
        <v>+</v>
      </c>
      <c r="H29" s="26">
        <f t="shared" si="10"/>
        <v>27500.280000000002</v>
      </c>
      <c r="I29" s="26">
        <f t="shared" si="11"/>
        <v>27577.976809680433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694.6</v>
      </c>
      <c r="E30" s="29">
        <f t="shared" si="7"/>
        <v>6.5306506205340356E-2</v>
      </c>
      <c r="F30" s="28">
        <f t="shared" si="8"/>
        <v>30.385606885941417</v>
      </c>
      <c r="G30" s="27" t="str">
        <f t="shared" si="9"/>
        <v>+</v>
      </c>
      <c r="H30" s="26">
        <f t="shared" si="10"/>
        <v>21046.38</v>
      </c>
      <c r="I30" s="26">
        <f t="shared" si="11"/>
        <v>21105.842542974908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329.4</v>
      </c>
      <c r="E31" s="29">
        <f t="shared" si="7"/>
        <v>3.0970289582549829E-2</v>
      </c>
      <c r="F31" s="28">
        <f t="shared" si="8"/>
        <v>30.887019540824937</v>
      </c>
      <c r="G31" s="27" t="str">
        <f t="shared" si="9"/>
        <v>+</v>
      </c>
      <c r="H31" s="26">
        <f t="shared" si="10"/>
        <v>10145.52</v>
      </c>
      <c r="I31" s="26">
        <f t="shared" si="11"/>
        <v>10174.184236747733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32.406310642289299</v>
      </c>
      <c r="D32" s="22">
        <f>SUM(D26:D31)</f>
        <v>6503.3</v>
      </c>
      <c r="E32" s="21">
        <f t="shared" si="7"/>
        <v>0.61144227153065067</v>
      </c>
      <c r="F32" s="20">
        <f>I32/D32</f>
        <v>32.497868508260801</v>
      </c>
      <c r="G32" s="19">
        <f>F32/C32-1</f>
        <v>2.8253097670434268E-3</v>
      </c>
      <c r="H32" s="18">
        <f>SUM(H26:H31)</f>
        <v>210747.96</v>
      </c>
      <c r="I32" s="18">
        <f>SUM(I26:I31)</f>
        <v>211343.38826977249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1660.7</v>
      </c>
      <c r="E34" s="29">
        <f t="shared" ref="E34:E40" si="13">D34/$D$48</f>
        <v>0.15613952613764573</v>
      </c>
      <c r="F34" s="28">
        <f t="shared" ref="F34:F39" si="14">C34-(C34*$E$6)</f>
        <v>18.552268230690302</v>
      </c>
      <c r="G34" s="27" t="str">
        <f t="shared" ref="G34:G39" si="15">IF(C34&gt;=F34,"-","+")</f>
        <v>+</v>
      </c>
      <c r="H34" s="26">
        <f t="shared" ref="H34:H39" si="16">C34*D34</f>
        <v>30722.95</v>
      </c>
      <c r="I34" s="26">
        <f t="shared" ref="I34:I39" si="17">F34*D34</f>
        <v>30809.751850707387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14.340401929668722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11.532491062321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30.385606885941417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30.385606885941417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31.488714726685163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</v>
      </c>
      <c r="D40" s="22">
        <f>SUM(D34:D39)</f>
        <v>1660.7</v>
      </c>
      <c r="E40" s="21">
        <f t="shared" si="13"/>
        <v>0.15613952613764573</v>
      </c>
      <c r="F40" s="20">
        <f>I40/D40</f>
        <v>18.552268230690302</v>
      </c>
      <c r="G40" s="19">
        <f>F40/C40-1</f>
        <v>2.8253097670434268E-3</v>
      </c>
      <c r="H40" s="18">
        <f>SUM(H34:H39)</f>
        <v>30722.95</v>
      </c>
      <c r="I40" s="18">
        <f>SUM(I34:I39)</f>
        <v>30809.751850707387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1612</v>
      </c>
      <c r="E42" s="107">
        <f>D42/$D$48</f>
        <v>0.15156073711921775</v>
      </c>
      <c r="F42" s="28">
        <f>C42-(C42*$E$6)</f>
        <v>0.4011301239068174</v>
      </c>
      <c r="G42" s="27" t="str">
        <f>IF(C42&gt;=F42,"-","+")</f>
        <v>+</v>
      </c>
      <c r="H42" s="26">
        <f>C42*D42</f>
        <v>644.80000000000007</v>
      </c>
      <c r="I42" s="26">
        <f>F42*D42</f>
        <v>646.6217597377896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81.7</v>
      </c>
      <c r="E43" s="107">
        <f>D43/$D$48</f>
        <v>7.6814591951861605E-3</v>
      </c>
      <c r="F43" s="28">
        <f>C43-(C43*$E$6)</f>
        <v>0.4011301239068174</v>
      </c>
      <c r="G43" s="27" t="str">
        <f>IF(C43&gt;=F43,"-","+")</f>
        <v>+</v>
      </c>
      <c r="H43" s="26">
        <f>C43*D43</f>
        <v>32.68</v>
      </c>
      <c r="I43" s="26">
        <f>F43*D43</f>
        <v>32.77233112318698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6.2053403535163596E-4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0.39844733282361938</v>
      </c>
      <c r="D46" s="22">
        <f>SUM(D41:D45)</f>
        <v>1700.3</v>
      </c>
      <c r="E46" s="21">
        <f>D46/$D$48</f>
        <v>0.15986273034975554</v>
      </c>
      <c r="F46" s="20">
        <f>I46/D46</f>
        <v>0.39957306996469832</v>
      </c>
      <c r="G46" s="19">
        <f>F46/C46-1</f>
        <v>2.8253097670434268E-3</v>
      </c>
      <c r="H46" s="18">
        <f>SUM(H41:H44)</f>
        <v>677.48</v>
      </c>
      <c r="I46" s="18">
        <f>SUM(I41:I44)</f>
        <v>679.39409086097658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98.291955072430525</v>
      </c>
      <c r="D48" s="13">
        <f>D24+D32+D40+D46</f>
        <v>10636</v>
      </c>
      <c r="E48" s="12">
        <f>SUM(E20:E46)/2</f>
        <v>1</v>
      </c>
      <c r="F48" s="11">
        <f>I48/D48</f>
        <v>26.250000000000007</v>
      </c>
      <c r="G48" s="10"/>
      <c r="H48" s="9">
        <f>SUM(H20:H46)/2</f>
        <v>278408.40999999997</v>
      </c>
      <c r="I48" s="9">
        <f>SUM(I20:I46)/2</f>
        <v>279195.00000000006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10636</v>
      </c>
      <c r="E50" s="12">
        <f>D50/G2</f>
        <v>1</v>
      </c>
      <c r="F50" s="11">
        <f>I50/D50</f>
        <v>26.250000000000007</v>
      </c>
      <c r="G50" s="10"/>
      <c r="H50" s="9">
        <f>H48+H19</f>
        <v>278408.40999999997</v>
      </c>
      <c r="I50" s="9">
        <f>I48+I19</f>
        <v>279195.00000000006</v>
      </c>
      <c r="J50" s="106">
        <f>D50-G2</f>
        <v>0</v>
      </c>
      <c r="K50" s="8"/>
    </row>
    <row r="51" spans="1:11" ht="23.25" x14ac:dyDescent="0.35">
      <c r="A51" s="174" t="s">
        <v>278</v>
      </c>
      <c r="B51" s="169"/>
      <c r="C51" s="170"/>
      <c r="G51" s="7"/>
      <c r="H51" s="6"/>
      <c r="I51" s="6">
        <f>+I50/D50</f>
        <v>26.250000000000007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277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277</v>
      </c>
      <c r="D2" s="96" t="s">
        <v>3</v>
      </c>
      <c r="E2" s="95" t="s">
        <v>71</v>
      </c>
      <c r="F2" s="94" t="s">
        <v>5</v>
      </c>
      <c r="G2" s="93">
        <v>4685.8999999999996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68</v>
      </c>
      <c r="F3" s="88" t="s">
        <v>8</v>
      </c>
      <c r="G3" s="87">
        <v>26.75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68.910294117647055</v>
      </c>
      <c r="F4" s="81" t="s">
        <v>12</v>
      </c>
      <c r="G4" s="80">
        <f>G2*G3</f>
        <v>125347.825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-5.6884765115716718E-3</v>
      </c>
      <c r="F6" s="69" t="s">
        <v>16</v>
      </c>
      <c r="G6" s="68">
        <f>(I50-I19)/(D50-(SUM(D42:D44)+D19))</f>
        <v>31.871602379923225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 t="e">
        <f t="shared" ref="E10:E19" si="1">D10/$D$19</f>
        <v>#DIV/0!</v>
      </c>
      <c r="F10" s="28">
        <f t="shared" ref="F10:F18" si="2">C10-(C10*$E$6)</f>
        <v>26.952451170510123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27.9</v>
      </c>
      <c r="D11" s="30"/>
      <c r="E11" s="29" t="e">
        <f t="shared" si="1"/>
        <v>#DIV/0!</v>
      </c>
      <c r="F11" s="28">
        <f t="shared" si="2"/>
        <v>28.05870849467285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25.4</v>
      </c>
      <c r="D12" s="30"/>
      <c r="E12" s="29" t="e">
        <f t="shared" si="1"/>
        <v>#DIV/0!</v>
      </c>
      <c r="F12" s="28">
        <f t="shared" si="2"/>
        <v>25.544487303393918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 t="e">
        <f t="shared" si="1"/>
        <v>#DIV/0!</v>
      </c>
      <c r="F13" s="28">
        <f t="shared" si="2"/>
        <v>28.05870849467285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31.1</v>
      </c>
      <c r="D14" s="30"/>
      <c r="E14" s="29" t="e">
        <f t="shared" si="1"/>
        <v>#DIV/0!</v>
      </c>
      <c r="F14" s="28">
        <f t="shared" si="2"/>
        <v>31.276911619509882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25.7</v>
      </c>
      <c r="D15" s="30"/>
      <c r="E15" s="29" t="e">
        <f t="shared" si="1"/>
        <v>#DIV/0!</v>
      </c>
      <c r="F15" s="28">
        <f t="shared" si="2"/>
        <v>25.84619384634739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 t="e">
        <f t="shared" si="1"/>
        <v>#DIV/0!</v>
      </c>
      <c r="F16" s="28">
        <f t="shared" si="2"/>
        <v>35.400234373207326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51.7</v>
      </c>
      <c r="D17" s="30"/>
      <c r="E17" s="29" t="e">
        <f t="shared" si="1"/>
        <v>#DIV/0!</v>
      </c>
      <c r="F17" s="28">
        <f t="shared" si="2"/>
        <v>51.994094235648255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45.3</v>
      </c>
      <c r="D18" s="30"/>
      <c r="E18" s="29" t="e">
        <f t="shared" si="1"/>
        <v>#DIV/0!</v>
      </c>
      <c r="F18" s="28">
        <f t="shared" si="2"/>
        <v>45.557687985974191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67.3</v>
      </c>
      <c r="D21" s="30">
        <v>59.6</v>
      </c>
      <c r="E21" s="29">
        <f>D21/$D$48</f>
        <v>1.2719008088094071E-2</v>
      </c>
      <c r="F21" s="28">
        <f>C21-(C21*$E$6)</f>
        <v>67.682834469228766</v>
      </c>
      <c r="G21" s="27" t="str">
        <f>IF(C21&gt;=F21,"-","+")</f>
        <v>+</v>
      </c>
      <c r="H21" s="26">
        <f>C21*D21</f>
        <v>4011.08</v>
      </c>
      <c r="I21" s="26">
        <f>F21*D21</f>
        <v>4033.8969343660347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45.2</v>
      </c>
      <c r="D22" s="30">
        <v>155</v>
      </c>
      <c r="E22" s="29">
        <f>D22/$D$48</f>
        <v>3.3077957276083571E-2</v>
      </c>
      <c r="F22" s="28">
        <f>C22-(C22*$E$6)</f>
        <v>45.457119138323044</v>
      </c>
      <c r="G22" s="27" t="str">
        <f>IF(C22&gt;=F22,"-","+")</f>
        <v>+</v>
      </c>
      <c r="H22" s="26">
        <f>C22*D22</f>
        <v>7006</v>
      </c>
      <c r="I22" s="26">
        <f>F22*D22</f>
        <v>7045.8534664400722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41.2</v>
      </c>
      <c r="D23" s="30">
        <v>122</v>
      </c>
      <c r="E23" s="29">
        <f>D23/$D$48</f>
        <v>2.6035553468917394E-2</v>
      </c>
      <c r="F23" s="28">
        <f>C23-(C23*$E$6)</f>
        <v>41.434365232276754</v>
      </c>
      <c r="G23" s="27" t="str">
        <f>IF(C23&gt;=F23,"-","+")</f>
        <v>+</v>
      </c>
      <c r="H23" s="26">
        <f>C23*D23</f>
        <v>5026.4000000000005</v>
      </c>
      <c r="I23" s="26">
        <f>F23*D23</f>
        <v>5054.9925583377644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47.663339275103979</v>
      </c>
      <c r="D24" s="22">
        <f>SUM(D21:D23)</f>
        <v>336.6</v>
      </c>
      <c r="E24" s="21">
        <f>D24/$D$48</f>
        <v>7.1832518833095035E-2</v>
      </c>
      <c r="F24" s="20">
        <f>I24/D24</f>
        <v>47.934471061033484</v>
      </c>
      <c r="G24" s="19">
        <f>F24/C24-1</f>
        <v>5.6884765115716718E-3</v>
      </c>
      <c r="H24" s="18">
        <f>SUM(H21:H23)</f>
        <v>16043.48</v>
      </c>
      <c r="I24" s="18">
        <f>SUM(I21:I23)</f>
        <v>16134.742959143872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35.9</v>
      </c>
      <c r="D26" s="30">
        <v>894.6</v>
      </c>
      <c r="E26" s="29">
        <f t="shared" ref="E26:E32" si="7">D26/$D$48</f>
        <v>0.1909131650269959</v>
      </c>
      <c r="F26" s="28">
        <f t="shared" ref="F26:F31" si="8">C26-(C26*$E$6)</f>
        <v>36.104216306765423</v>
      </c>
      <c r="G26" s="27" t="str">
        <f t="shared" ref="G26:G31" si="9">IF(C26&gt;=F26,"-","+")</f>
        <v>+</v>
      </c>
      <c r="H26" s="26">
        <f t="shared" ref="H26:H31" si="10">C26*D26</f>
        <v>32116.14</v>
      </c>
      <c r="I26" s="26">
        <f t="shared" ref="I26:I31" si="11">F26*D26</f>
        <v>32298.831908032349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793.8</v>
      </c>
      <c r="E27" s="29">
        <f t="shared" si="7"/>
        <v>0.16940182248874283</v>
      </c>
      <c r="F27" s="28">
        <f t="shared" si="8"/>
        <v>32.182031248370293</v>
      </c>
      <c r="G27" s="27" t="str">
        <f t="shared" si="9"/>
        <v>+</v>
      </c>
      <c r="H27" s="26">
        <f t="shared" si="10"/>
        <v>25401.599999999999</v>
      </c>
      <c r="I27" s="26">
        <f t="shared" si="11"/>
        <v>25546.096404956337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392.6</v>
      </c>
      <c r="E28" s="29">
        <f t="shared" si="7"/>
        <v>8.3783264687680076E-2</v>
      </c>
      <c r="F28" s="28">
        <f t="shared" si="8"/>
        <v>32.182031248370293</v>
      </c>
      <c r="G28" s="27" t="str">
        <f t="shared" si="9"/>
        <v>+</v>
      </c>
      <c r="H28" s="26">
        <f t="shared" si="10"/>
        <v>12563.2</v>
      </c>
      <c r="I28" s="26">
        <f t="shared" si="11"/>
        <v>12634.665468110177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30.9</v>
      </c>
      <c r="D29" s="30">
        <v>378.4</v>
      </c>
      <c r="E29" s="29">
        <f t="shared" si="7"/>
        <v>8.0752896988838863E-2</v>
      </c>
      <c r="F29" s="28">
        <f t="shared" si="8"/>
        <v>31.075773924207564</v>
      </c>
      <c r="G29" s="27" t="str">
        <f t="shared" si="9"/>
        <v>+</v>
      </c>
      <c r="H29" s="26">
        <f t="shared" si="10"/>
        <v>11692.56</v>
      </c>
      <c r="I29" s="26">
        <f t="shared" si="11"/>
        <v>11759.072852920141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30.9</v>
      </c>
      <c r="D30" s="30">
        <v>301</v>
      </c>
      <c r="E30" s="29">
        <f t="shared" si="7"/>
        <v>6.4235258968394549E-2</v>
      </c>
      <c r="F30" s="28">
        <f t="shared" si="8"/>
        <v>31.075773924207564</v>
      </c>
      <c r="G30" s="27" t="str">
        <f t="shared" si="9"/>
        <v>+</v>
      </c>
      <c r="H30" s="26">
        <f t="shared" si="10"/>
        <v>9300.9</v>
      </c>
      <c r="I30" s="26">
        <f t="shared" si="11"/>
        <v>9353.8079511864762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31.4</v>
      </c>
      <c r="D31" s="30">
        <v>120.2</v>
      </c>
      <c r="E31" s="29">
        <f t="shared" si="7"/>
        <v>2.5651422352162875E-2</v>
      </c>
      <c r="F31" s="28">
        <f t="shared" si="8"/>
        <v>31.57861816246335</v>
      </c>
      <c r="G31" s="27" t="str">
        <f t="shared" si="9"/>
        <v>+</v>
      </c>
      <c r="H31" s="26">
        <f t="shared" si="10"/>
        <v>3774.2799999999997</v>
      </c>
      <c r="I31" s="26">
        <f t="shared" si="11"/>
        <v>3795.749903128095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32.926709713254183</v>
      </c>
      <c r="D32" s="22">
        <f>SUM(D26:D31)</f>
        <v>2880.6</v>
      </c>
      <c r="E32" s="21">
        <f t="shared" si="7"/>
        <v>0.61473783051281505</v>
      </c>
      <c r="F32" s="20">
        <f>I32/D32</f>
        <v>33.114012528061373</v>
      </c>
      <c r="G32" s="19">
        <f>F32/C32-1</f>
        <v>5.6884765115718938E-3</v>
      </c>
      <c r="H32" s="18">
        <f>SUM(H26:H31)</f>
        <v>94848.68</v>
      </c>
      <c r="I32" s="18">
        <f>SUM(I26:I31)</f>
        <v>95388.224488333581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711.4</v>
      </c>
      <c r="E34" s="29">
        <f t="shared" ref="E34:E40" si="13">D34/$D$48</f>
        <v>0.15181715358842485</v>
      </c>
      <c r="F34" s="28">
        <f t="shared" ref="F34:F39" si="14">C34-(C34*$E$6)</f>
        <v>19.007512206068704</v>
      </c>
      <c r="G34" s="27" t="str">
        <f t="shared" ref="G34:G39" si="15">IF(C34&gt;=F34,"-","+")</f>
        <v>+</v>
      </c>
      <c r="H34" s="26">
        <f t="shared" ref="H34:H39" si="16">C34*D34</f>
        <v>13445.46</v>
      </c>
      <c r="I34" s="26">
        <f t="shared" ref="I34:I39" si="17">F34*D34</f>
        <v>13521.944183397276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14.5</v>
      </c>
      <c r="D35" s="30"/>
      <c r="E35" s="29">
        <f t="shared" si="13"/>
        <v>0</v>
      </c>
      <c r="F35" s="28">
        <f t="shared" si="14"/>
        <v>14.58248290941779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11.766555175185388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30.9</v>
      </c>
      <c r="D37" s="30"/>
      <c r="E37" s="29">
        <f t="shared" si="13"/>
        <v>0</v>
      </c>
      <c r="F37" s="28">
        <f t="shared" si="14"/>
        <v>31.075773924207564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30.9</v>
      </c>
      <c r="D38" s="30"/>
      <c r="E38" s="29">
        <f t="shared" si="13"/>
        <v>0</v>
      </c>
      <c r="F38" s="28">
        <f t="shared" si="14"/>
        <v>31.075773924207564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32.182031248370293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711.4</v>
      </c>
      <c r="E40" s="21">
        <f t="shared" si="13"/>
        <v>0.15181715358842485</v>
      </c>
      <c r="F40" s="20">
        <f>I40/D40</f>
        <v>19.007512206068704</v>
      </c>
      <c r="G40" s="19">
        <f>F40/C40-1</f>
        <v>5.6884765115716718E-3</v>
      </c>
      <c r="H40" s="18">
        <f>SUM(H34:H39)</f>
        <v>13445.46</v>
      </c>
      <c r="I40" s="18">
        <f>SUM(I34:I39)</f>
        <v>13521.944183397276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717</v>
      </c>
      <c r="E42" s="107">
        <f>D42/$D$48</f>
        <v>0.15301222817388335</v>
      </c>
      <c r="F42" s="28">
        <f>C42-(C42*$E$6)</f>
        <v>0.40227539060462869</v>
      </c>
      <c r="G42" s="27" t="str">
        <f>IF(C42&gt;=F42,"-","+")</f>
        <v>+</v>
      </c>
      <c r="H42" s="26">
        <f>C42*D42</f>
        <v>286.8</v>
      </c>
      <c r="I42" s="26">
        <f>F42*D42</f>
        <v>288.4314550635188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36</v>
      </c>
      <c r="E43" s="107">
        <f>D43/$D$48</f>
        <v>7.6826223350903783E-3</v>
      </c>
      <c r="F43" s="28">
        <f>C43-(C43*$E$6)</f>
        <v>0.40227539060462869</v>
      </c>
      <c r="G43" s="27" t="str">
        <f>IF(C43&gt;=F43,"-","+")</f>
        <v>+</v>
      </c>
      <c r="H43" s="26">
        <f>C43*D43</f>
        <v>14.4</v>
      </c>
      <c r="I43" s="26">
        <f>F43*D43</f>
        <v>14.481914061766632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4.3</v>
      </c>
      <c r="E45" s="107">
        <f>D45/$D$48</f>
        <v>9.1764655669135072E-4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0.39772877327347156</v>
      </c>
      <c r="D46" s="22">
        <f>SUM(D41:D45)</f>
        <v>757.3</v>
      </c>
      <c r="E46" s="21">
        <f>D46/$D$48</f>
        <v>0.16161249706566508</v>
      </c>
      <c r="F46" s="20">
        <f>I46/D46</f>
        <v>0.39999124405821401</v>
      </c>
      <c r="G46" s="19">
        <f>F46/C46-1</f>
        <v>5.6884765115718938E-3</v>
      </c>
      <c r="H46" s="18">
        <f>SUM(H41:H44)</f>
        <v>301.2</v>
      </c>
      <c r="I46" s="18">
        <f>SUM(I41:I44)</f>
        <v>302.91336912528544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99.887777761631625</v>
      </c>
      <c r="D48" s="13">
        <f>D24+D32+D40+D46</f>
        <v>4685.8999999999996</v>
      </c>
      <c r="E48" s="12">
        <f>SUM(E20:E46)/2</f>
        <v>1</v>
      </c>
      <c r="F48" s="11">
        <f>I48/D48</f>
        <v>26.750000000000004</v>
      </c>
      <c r="G48" s="10"/>
      <c r="H48" s="9">
        <f>SUM(H20:H46)/2</f>
        <v>124638.81999999998</v>
      </c>
      <c r="I48" s="9">
        <f>SUM(I20:I46)/2</f>
        <v>125347.82500000001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4685.8999999999987</v>
      </c>
      <c r="E50" s="12">
        <f>D50/G2</f>
        <v>0.99999999999999978</v>
      </c>
      <c r="F50" s="11">
        <f>I50/D50</f>
        <v>26.750000000000011</v>
      </c>
      <c r="G50" s="10"/>
      <c r="H50" s="9">
        <f>H48+H19</f>
        <v>124638.81999999998</v>
      </c>
      <c r="I50" s="9">
        <f>I48+I19</f>
        <v>125347.82500000001</v>
      </c>
      <c r="J50" s="106">
        <f>D50-G2</f>
        <v>0</v>
      </c>
      <c r="K50" s="8"/>
    </row>
    <row r="51" spans="1:11" ht="23.25" x14ac:dyDescent="0.35">
      <c r="A51" s="174" t="s">
        <v>279</v>
      </c>
      <c r="B51" s="169"/>
      <c r="C51" s="170"/>
      <c r="G51" s="7"/>
      <c r="H51" s="6"/>
      <c r="I51" s="6">
        <f>+I50/D50</f>
        <v>26.750000000000011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280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280</v>
      </c>
      <c r="D2" s="96" t="s">
        <v>3</v>
      </c>
      <c r="E2" s="95" t="s">
        <v>71</v>
      </c>
      <c r="F2" s="94" t="s">
        <v>5</v>
      </c>
      <c r="G2" s="93">
        <v>17249.5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248</v>
      </c>
      <c r="F3" s="88" t="s">
        <v>8</v>
      </c>
      <c r="G3" s="87">
        <v>27.1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69.554435483870961</v>
      </c>
      <c r="F4" s="81" t="s">
        <v>12</v>
      </c>
      <c r="G4" s="80">
        <f>G2*G3</f>
        <v>467461.45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-1.5530689065827774E-2</v>
      </c>
      <c r="F6" s="69" t="s">
        <v>16</v>
      </c>
      <c r="G6" s="68">
        <f>(I50-I19)/(D50-(SUM(D42:D44)+D19))</f>
        <v>32.296408757712058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27.1</v>
      </c>
      <c r="D10" s="30"/>
      <c r="E10" s="29" t="e">
        <f t="shared" ref="E10:E19" si="1">D10/$D$19</f>
        <v>#DIV/0!</v>
      </c>
      <c r="F10" s="28">
        <f t="shared" ref="F10:F18" si="2">C10-(C10*$E$6)</f>
        <v>27.520881673683935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28.2</v>
      </c>
      <c r="D11" s="30"/>
      <c r="E11" s="29" t="e">
        <f t="shared" si="1"/>
        <v>#DIV/0!</v>
      </c>
      <c r="F11" s="28">
        <f t="shared" si="2"/>
        <v>28.637965431656344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25.8</v>
      </c>
      <c r="D12" s="30"/>
      <c r="E12" s="29" t="e">
        <f t="shared" si="1"/>
        <v>#DIV/0!</v>
      </c>
      <c r="F12" s="28">
        <f t="shared" si="2"/>
        <v>26.200691777898356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28.2</v>
      </c>
      <c r="D13" s="30"/>
      <c r="E13" s="29" t="e">
        <f t="shared" si="1"/>
        <v>#DIV/0!</v>
      </c>
      <c r="F13" s="28">
        <f t="shared" si="2"/>
        <v>28.637965431656344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31.6</v>
      </c>
      <c r="D14" s="30"/>
      <c r="E14" s="29" t="e">
        <f t="shared" si="1"/>
        <v>#DIV/0!</v>
      </c>
      <c r="F14" s="28">
        <f t="shared" si="2"/>
        <v>32.090769774480158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</v>
      </c>
      <c r="D15" s="30"/>
      <c r="E15" s="29" t="e">
        <f t="shared" si="1"/>
        <v>#DIV/0!</v>
      </c>
      <c r="F15" s="28">
        <f t="shared" si="2"/>
        <v>26.403797915711522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35.6</v>
      </c>
      <c r="D16" s="30"/>
      <c r="E16" s="29" t="e">
        <f t="shared" si="1"/>
        <v>#DIV/0!</v>
      </c>
      <c r="F16" s="28">
        <f t="shared" si="2"/>
        <v>36.152892530743472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52.4</v>
      </c>
      <c r="D17" s="30"/>
      <c r="E17" s="29" t="e">
        <f t="shared" si="1"/>
        <v>#DIV/0!</v>
      </c>
      <c r="F17" s="28">
        <f t="shared" si="2"/>
        <v>53.213808107049374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45.9</v>
      </c>
      <c r="D18" s="30"/>
      <c r="E18" s="29" t="e">
        <f t="shared" si="1"/>
        <v>#DIV/0!</v>
      </c>
      <c r="F18" s="28">
        <f t="shared" si="2"/>
        <v>46.612858628121494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68.2</v>
      </c>
      <c r="D21" s="30">
        <v>209.2</v>
      </c>
      <c r="E21" s="29">
        <f>D21/$D$48</f>
        <v>1.2127887764862748E-2</v>
      </c>
      <c r="F21" s="28">
        <f>C21-(C21*$E$6)</f>
        <v>69.259192994289464</v>
      </c>
      <c r="G21" s="27" t="str">
        <f>IF(C21&gt;=F21,"-","+")</f>
        <v>+</v>
      </c>
      <c r="H21" s="26">
        <f>C21*D21</f>
        <v>14267.44</v>
      </c>
      <c r="I21" s="26">
        <f>F21*D21</f>
        <v>14489.023174405354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45.8</v>
      </c>
      <c r="D22" s="30">
        <v>571</v>
      </c>
      <c r="E22" s="29">
        <f>D22/$D$48</f>
        <v>3.3102408765471464E-2</v>
      </c>
      <c r="F22" s="28">
        <f>C22-(C22*$E$6)</f>
        <v>46.511305559214911</v>
      </c>
      <c r="G22" s="27" t="str">
        <f>IF(C22&gt;=F22,"-","+")</f>
        <v>+</v>
      </c>
      <c r="H22" s="26">
        <f>C22*D22</f>
        <v>26151.8</v>
      </c>
      <c r="I22" s="26">
        <f>F22*D22</f>
        <v>26557.955474311715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41.7</v>
      </c>
      <c r="D23" s="30">
        <v>415.2</v>
      </c>
      <c r="E23" s="29">
        <f>D23/$D$48</f>
        <v>2.4070262906171192E-2</v>
      </c>
      <c r="F23" s="28">
        <f>C23-(C23*$E$6)</f>
        <v>42.347629734045022</v>
      </c>
      <c r="G23" s="27" t="str">
        <f>IF(C23&gt;=F23,"-","+")</f>
        <v>+</v>
      </c>
      <c r="H23" s="26">
        <f>C23*D23</f>
        <v>17313.84</v>
      </c>
      <c r="I23" s="26">
        <f>F23*D23</f>
        <v>17582.735865575494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48.29603480006692</v>
      </c>
      <c r="D24" s="22">
        <f>SUM(D21:D23)</f>
        <v>1195.4000000000001</v>
      </c>
      <c r="E24" s="21">
        <f>D24/$D$48</f>
        <v>6.9300559436505413E-2</v>
      </c>
      <c r="F24" s="20">
        <f>I24/D24</f>
        <v>49.046105499659163</v>
      </c>
      <c r="G24" s="19">
        <f>F24/C24-1</f>
        <v>1.5530689065827996E-2</v>
      </c>
      <c r="H24" s="18">
        <f>SUM(H21:H23)</f>
        <v>57733.08</v>
      </c>
      <c r="I24" s="18">
        <f>SUM(I21:I23)</f>
        <v>58629.714514292566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36.4</v>
      </c>
      <c r="D26" s="30">
        <v>3153</v>
      </c>
      <c r="E26" s="29">
        <f t="shared" ref="E26:E32" si="7">D26/$D$48</f>
        <v>0.18278790689585206</v>
      </c>
      <c r="F26" s="28">
        <f t="shared" ref="F26:F31" si="8">C26-(C26*$E$6)</f>
        <v>36.965317081996126</v>
      </c>
      <c r="G26" s="27" t="str">
        <f t="shared" ref="G26:G31" si="9">IF(C26&gt;=F26,"-","+")</f>
        <v>+</v>
      </c>
      <c r="H26" s="26">
        <f t="shared" ref="H26:H31" si="10">C26*D26</f>
        <v>114769.2</v>
      </c>
      <c r="I26" s="26">
        <f t="shared" ref="I26:I31" si="11">F26*D26</f>
        <v>116551.64475953378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32.4</v>
      </c>
      <c r="D27" s="30">
        <v>2701.7</v>
      </c>
      <c r="E27" s="29">
        <f t="shared" si="7"/>
        <v>0.15662482970520883</v>
      </c>
      <c r="F27" s="28">
        <f t="shared" si="8"/>
        <v>32.903194325732819</v>
      </c>
      <c r="G27" s="27" t="str">
        <f t="shared" si="9"/>
        <v>+</v>
      </c>
      <c r="H27" s="26">
        <f t="shared" si="10"/>
        <v>87535.079999999987</v>
      </c>
      <c r="I27" s="26">
        <f t="shared" si="11"/>
        <v>88894.560109832353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32.4</v>
      </c>
      <c r="D28" s="30">
        <v>1538.8</v>
      </c>
      <c r="E28" s="29">
        <f t="shared" si="7"/>
        <v>8.9208382851676857E-2</v>
      </c>
      <c r="F28" s="28">
        <f t="shared" si="8"/>
        <v>32.903194325732819</v>
      </c>
      <c r="G28" s="27" t="str">
        <f t="shared" si="9"/>
        <v>+</v>
      </c>
      <c r="H28" s="26">
        <f t="shared" si="10"/>
        <v>49857.119999999995</v>
      </c>
      <c r="I28" s="26">
        <f t="shared" si="11"/>
        <v>50631.43542843766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31.3</v>
      </c>
      <c r="D29" s="30">
        <v>1539.4</v>
      </c>
      <c r="E29" s="29">
        <f t="shared" si="7"/>
        <v>8.9243166468593302E-2</v>
      </c>
      <c r="F29" s="28">
        <f t="shared" si="8"/>
        <v>31.78611056776041</v>
      </c>
      <c r="G29" s="27" t="str">
        <f t="shared" si="9"/>
        <v>+</v>
      </c>
      <c r="H29" s="26">
        <f t="shared" si="10"/>
        <v>48183.22</v>
      </c>
      <c r="I29" s="26">
        <f t="shared" si="11"/>
        <v>48931.538608010378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31.3</v>
      </c>
      <c r="D30" s="30">
        <v>1003.8</v>
      </c>
      <c r="E30" s="29">
        <f t="shared" si="7"/>
        <v>5.8192991101191339E-2</v>
      </c>
      <c r="F30" s="28">
        <f t="shared" si="8"/>
        <v>31.78611056776041</v>
      </c>
      <c r="G30" s="27" t="str">
        <f t="shared" si="9"/>
        <v>+</v>
      </c>
      <c r="H30" s="26">
        <f t="shared" si="10"/>
        <v>31418.94</v>
      </c>
      <c r="I30" s="26">
        <f t="shared" si="11"/>
        <v>31906.897787917896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31.8</v>
      </c>
      <c r="D31" s="30">
        <v>470.6</v>
      </c>
      <c r="E31" s="29">
        <f t="shared" si="7"/>
        <v>2.7281950201455116E-2</v>
      </c>
      <c r="F31" s="28">
        <f t="shared" si="8"/>
        <v>32.293875912293323</v>
      </c>
      <c r="G31" s="27" t="str">
        <f t="shared" si="9"/>
        <v>+</v>
      </c>
      <c r="H31" s="26">
        <f t="shared" si="10"/>
        <v>14965.080000000002</v>
      </c>
      <c r="I31" s="26">
        <f t="shared" si="11"/>
        <v>15197.498004325238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33.31590710366762</v>
      </c>
      <c r="D32" s="22">
        <f>SUM(D26:D31)</f>
        <v>10407.299999999999</v>
      </c>
      <c r="E32" s="21">
        <f t="shared" si="7"/>
        <v>0.60333922722397748</v>
      </c>
      <c r="F32" s="20">
        <f>I32/D32</f>
        <v>33.833326097840683</v>
      </c>
      <c r="G32" s="19">
        <f>F32/C32-1</f>
        <v>1.5530689065827774E-2</v>
      </c>
      <c r="H32" s="18">
        <f>SUM(H26:H31)</f>
        <v>346728.64</v>
      </c>
      <c r="I32" s="18">
        <f>SUM(I26:I31)</f>
        <v>352113.57469805732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19.100000000000001</v>
      </c>
      <c r="D34" s="30">
        <v>2866</v>
      </c>
      <c r="E34" s="29">
        <f t="shared" ref="E34:E40" si="13">D34/$D$48</f>
        <v>0.16614974347082523</v>
      </c>
      <c r="F34" s="28">
        <f t="shared" ref="F34:F39" si="14">C34-(C34*$E$6)</f>
        <v>19.396636161157311</v>
      </c>
      <c r="G34" s="27" t="str">
        <f t="shared" ref="G34:G39" si="15">IF(C34&gt;=F34,"-","+")</f>
        <v>+</v>
      </c>
      <c r="H34" s="26">
        <f t="shared" ref="H34:H39" si="16">C34*D34</f>
        <v>54740.600000000006</v>
      </c>
      <c r="I34" s="26">
        <f t="shared" ref="I34:I39" si="17">F34*D34</f>
        <v>55590.759237876853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14.7</v>
      </c>
      <c r="D35" s="30"/>
      <c r="E35" s="29">
        <f t="shared" si="13"/>
        <v>0</v>
      </c>
      <c r="F35" s="28">
        <f t="shared" si="14"/>
        <v>14.928301129267668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30"/>
      <c r="E36" s="29">
        <f t="shared" si="13"/>
        <v>0</v>
      </c>
      <c r="F36" s="28">
        <f t="shared" si="14"/>
        <v>11.983262130976769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31.3</v>
      </c>
      <c r="D37" s="30"/>
      <c r="E37" s="29">
        <f t="shared" si="13"/>
        <v>0</v>
      </c>
      <c r="F37" s="28">
        <f t="shared" si="14"/>
        <v>31.78611056776041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31.3</v>
      </c>
      <c r="D38" s="30"/>
      <c r="E38" s="29">
        <f t="shared" si="13"/>
        <v>0</v>
      </c>
      <c r="F38" s="28">
        <f t="shared" si="14"/>
        <v>31.78611056776041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32.4</v>
      </c>
      <c r="D39" s="30"/>
      <c r="E39" s="29">
        <f t="shared" si="13"/>
        <v>0</v>
      </c>
      <c r="F39" s="28">
        <f t="shared" si="14"/>
        <v>32.903194325732819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19.100000000000001</v>
      </c>
      <c r="D40" s="22">
        <f>SUM(D34:D39)</f>
        <v>2866</v>
      </c>
      <c r="E40" s="21">
        <f t="shared" si="13"/>
        <v>0.16614974347082523</v>
      </c>
      <c r="F40" s="20">
        <f>I40/D40</f>
        <v>19.396636161157311</v>
      </c>
      <c r="G40" s="19">
        <f>F40/C40-1</f>
        <v>1.5530689065827774E-2</v>
      </c>
      <c r="H40" s="18">
        <f>SUM(H34:H39)</f>
        <v>54740.600000000006</v>
      </c>
      <c r="I40" s="18">
        <f>SUM(I34:I39)</f>
        <v>55590.759237876853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2627</v>
      </c>
      <c r="E42" s="107">
        <f>D42/$D$48</f>
        <v>0.15229426939911303</v>
      </c>
      <c r="F42" s="28">
        <f>C42-(C42*$E$6)</f>
        <v>0.40621227562633111</v>
      </c>
      <c r="G42" s="27" t="str">
        <f>IF(C42&gt;=F42,"-","+")</f>
        <v>+</v>
      </c>
      <c r="H42" s="26">
        <f>C42*D42</f>
        <v>1050.8</v>
      </c>
      <c r="I42" s="26">
        <f>F42*D42</f>
        <v>1067.1196480703718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148.4</v>
      </c>
      <c r="E43" s="107">
        <f>D43/$D$48</f>
        <v>8.6031479173309371E-3</v>
      </c>
      <c r="F43" s="28">
        <f>C43-(C43*$E$6)</f>
        <v>0.40621227562633111</v>
      </c>
      <c r="G43" s="27" t="str">
        <f>IF(C43&gt;=F43,"-","+")</f>
        <v>+</v>
      </c>
      <c r="H43" s="26">
        <f>C43*D43</f>
        <v>59.360000000000007</v>
      </c>
      <c r="I43" s="26">
        <f>F43*D43</f>
        <v>60.281901702947536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3.1305255224789127E-4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0.399223245109321</v>
      </c>
      <c r="D46" s="22">
        <f>SUM(D41:D45)</f>
        <v>2780.8</v>
      </c>
      <c r="E46" s="21">
        <f>D46/$D$48</f>
        <v>0.16121046986869186</v>
      </c>
      <c r="F46" s="20">
        <f>I46/D46</f>
        <v>0.40542345719696465</v>
      </c>
      <c r="G46" s="19">
        <f>F46/C46-1</f>
        <v>1.5530689065827774E-2</v>
      </c>
      <c r="H46" s="18">
        <f>SUM(H41:H44)</f>
        <v>1110.1599999999999</v>
      </c>
      <c r="I46" s="18">
        <f>SUM(I41:I44)</f>
        <v>1127.4015497733194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101.11116514884385</v>
      </c>
      <c r="D48" s="13">
        <f>D24+D32+D40+D46</f>
        <v>17249.5</v>
      </c>
      <c r="E48" s="12">
        <f>SUM(E20:E46)/2</f>
        <v>1</v>
      </c>
      <c r="F48" s="11">
        <f>I48/D48</f>
        <v>27.100000000000005</v>
      </c>
      <c r="G48" s="10"/>
      <c r="H48" s="9">
        <f>SUM(H20:H46)/2</f>
        <v>460312.48</v>
      </c>
      <c r="I48" s="9">
        <f>SUM(I20:I46)/2</f>
        <v>467461.45000000007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17249.5</v>
      </c>
      <c r="E50" s="12">
        <f>D50/G2</f>
        <v>1</v>
      </c>
      <c r="F50" s="11">
        <f>I50/D50</f>
        <v>27.100000000000005</v>
      </c>
      <c r="G50" s="10"/>
      <c r="H50" s="9">
        <f>H48+H19</f>
        <v>460312.48</v>
      </c>
      <c r="I50" s="9">
        <f>I48+I19</f>
        <v>467461.45000000007</v>
      </c>
      <c r="J50" s="106">
        <f>D50-G2</f>
        <v>0</v>
      </c>
      <c r="K50" s="8"/>
    </row>
    <row r="51" spans="1:11" ht="23.25" x14ac:dyDescent="0.35">
      <c r="A51" s="174" t="s">
        <v>281</v>
      </c>
      <c r="B51" s="169"/>
      <c r="C51" s="170"/>
      <c r="G51" s="7"/>
      <c r="H51" s="6"/>
      <c r="I51" s="6">
        <f>+I50/D50</f>
        <v>27.100000000000005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277</v>
      </c>
      <c r="D1" s="100" t="s">
        <v>1</v>
      </c>
      <c r="E1" s="168" t="s">
        <v>199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280</v>
      </c>
      <c r="D2" s="96" t="s">
        <v>3</v>
      </c>
      <c r="E2" s="95" t="s">
        <v>71</v>
      </c>
      <c r="F2" s="94" t="s">
        <v>5</v>
      </c>
      <c r="G2" s="93">
        <v>13893.8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213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65.22910798122065</v>
      </c>
      <c r="F4" s="81" t="s">
        <v>12</v>
      </c>
      <c r="G4" s="80">
        <f>G2*G3</f>
        <v>364712.25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-9.6421881275878807E-3</v>
      </c>
      <c r="F6" s="69" t="s">
        <v>16</v>
      </c>
      <c r="G6" s="68">
        <f>(I50-I19)/(D50-(SUM(D42:D44)+D19))</f>
        <v>30.354322609210747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>
        <f t="shared" ref="E10:E19" si="1">D10/$D$19</f>
        <v>0</v>
      </c>
      <c r="F10" s="28">
        <f t="shared" ref="F10:F18" si="2">C10-(C10*$E$6)</f>
        <v>26.553589547755561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>
        <v>1384.6</v>
      </c>
      <c r="E11" s="29">
        <f t="shared" si="1"/>
        <v>0.23679709946641131</v>
      </c>
      <c r="F11" s="28">
        <f t="shared" si="2"/>
        <v>27.56323173588315</v>
      </c>
      <c r="G11" s="27" t="str">
        <f t="shared" si="3"/>
        <v>+</v>
      </c>
      <c r="H11" s="34">
        <f t="shared" si="4"/>
        <v>37799.58</v>
      </c>
      <c r="I11" s="34">
        <f t="shared" si="5"/>
        <v>38164.05066150381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>
        <v>3627.7</v>
      </c>
      <c r="E12" s="29">
        <f t="shared" si="1"/>
        <v>0.62041660965932421</v>
      </c>
      <c r="F12" s="28">
        <f t="shared" si="2"/>
        <v>25.241054703189697</v>
      </c>
      <c r="G12" s="27" t="str">
        <f t="shared" si="3"/>
        <v>+</v>
      </c>
      <c r="H12" s="34">
        <f t="shared" si="4"/>
        <v>90692.5</v>
      </c>
      <c r="I12" s="34">
        <f t="shared" si="5"/>
        <v>91566.974146761262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>
        <f t="shared" si="1"/>
        <v>0</v>
      </c>
      <c r="F13" s="28">
        <f t="shared" si="2"/>
        <v>27.56323173588315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>
        <f t="shared" si="1"/>
        <v>0</v>
      </c>
      <c r="F14" s="28">
        <f t="shared" si="2"/>
        <v>30.895050956704189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>
        <f t="shared" si="1"/>
        <v>0</v>
      </c>
      <c r="F15" s="28">
        <f t="shared" si="2"/>
        <v>25.442983140815215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>
        <v>834.9</v>
      </c>
      <c r="E16" s="29">
        <f t="shared" si="1"/>
        <v>0.14278629087426462</v>
      </c>
      <c r="F16" s="28">
        <f t="shared" si="2"/>
        <v>34.832655490401784</v>
      </c>
      <c r="G16" s="27" t="str">
        <f t="shared" si="3"/>
        <v>+</v>
      </c>
      <c r="H16" s="34">
        <f t="shared" si="4"/>
        <v>28804.05</v>
      </c>
      <c r="I16" s="34">
        <f t="shared" si="5"/>
        <v>29081.784068936449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>
        <f t="shared" si="1"/>
        <v>0</v>
      </c>
      <c r="F17" s="28">
        <f t="shared" si="2"/>
        <v>51.289823156881461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>
        <f t="shared" si="1"/>
        <v>0</v>
      </c>
      <c r="F18" s="28">
        <f t="shared" si="2"/>
        <v>44.929077371677664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26.901103092078266</v>
      </c>
      <c r="D19" s="49">
        <f>SUM(D10:D18)</f>
        <v>5847.1999999999989</v>
      </c>
      <c r="E19" s="48">
        <f t="shared" si="1"/>
        <v>1</v>
      </c>
      <c r="F19" s="47">
        <f>I19/D19</f>
        <v>27.16048858893172</v>
      </c>
      <c r="G19" s="46">
        <f>F19/C19-1</f>
        <v>9.6421881275878807E-3</v>
      </c>
      <c r="H19" s="9">
        <f>SUM(H10:H18)</f>
        <v>157296.13</v>
      </c>
      <c r="I19" s="9">
        <f>SUM(I10:I18)</f>
        <v>158812.80887720152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/>
      <c r="E21" s="29">
        <f>D21/$D$48</f>
        <v>0</v>
      </c>
      <c r="F21" s="28">
        <f>C21-(C21*$E$6)</f>
        <v>66.636384416420796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243.1</v>
      </c>
      <c r="E22" s="29">
        <f>D22/$D$48</f>
        <v>3.0212644320992261E-2</v>
      </c>
      <c r="F22" s="28">
        <f>C22-(C22*$E$6)</f>
        <v>44.727148934052138</v>
      </c>
      <c r="G22" s="27" t="str">
        <f>IF(C22&gt;=F22,"-","+")</f>
        <v>+</v>
      </c>
      <c r="H22" s="26">
        <f>C22*D22</f>
        <v>10769.33</v>
      </c>
      <c r="I22" s="26">
        <f>F22*D22</f>
        <v>10873.169905868075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/>
      <c r="E23" s="29">
        <f>D23/$D$48</f>
        <v>0</v>
      </c>
      <c r="F23" s="28">
        <f>C23-(C23*$E$6)</f>
        <v>40.789544400354551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44.300000000000004</v>
      </c>
      <c r="D24" s="22">
        <f>SUM(D21:D23)</f>
        <v>243.1</v>
      </c>
      <c r="E24" s="21">
        <f>D24/$D$48</f>
        <v>3.0212644320992261E-2</v>
      </c>
      <c r="F24" s="20">
        <f>I24/D24</f>
        <v>44.727148934052138</v>
      </c>
      <c r="G24" s="19">
        <f>F24/C24-1</f>
        <v>9.6421881275876586E-3</v>
      </c>
      <c r="H24" s="18">
        <f>SUM(H21:H23)</f>
        <v>10769.33</v>
      </c>
      <c r="I24" s="18">
        <f>SUM(I21:I23)</f>
        <v>10873.169905868075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f>915.7+708</f>
        <v>1623.7</v>
      </c>
      <c r="E26" s="29">
        <f t="shared" ref="E26:E32" si="7">D26/$D$48</f>
        <v>0.20179461367336543</v>
      </c>
      <c r="F26" s="28">
        <f t="shared" ref="F26:F31" si="8">C26-(C26*$E$6)</f>
        <v>35.539405022091096</v>
      </c>
      <c r="G26" s="27" t="str">
        <f t="shared" ref="G26:G31" si="9">IF(C26&gt;=F26,"-","+")</f>
        <v>+</v>
      </c>
      <c r="H26" s="26">
        <f t="shared" ref="H26:H31" si="10">C26*D26</f>
        <v>57154.240000000005</v>
      </c>
      <c r="I26" s="26">
        <f t="shared" ref="I26:I31" si="11">F26*D26</f>
        <v>57705.331934369315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1258</v>
      </c>
      <c r="E27" s="29">
        <f t="shared" si="7"/>
        <v>0.15634515243030961</v>
      </c>
      <c r="F27" s="28">
        <f t="shared" si="8"/>
        <v>31.702764707206256</v>
      </c>
      <c r="G27" s="27" t="str">
        <f t="shared" si="9"/>
        <v>+</v>
      </c>
      <c r="H27" s="26">
        <f t="shared" si="10"/>
        <v>39501.199999999997</v>
      </c>
      <c r="I27" s="26">
        <f t="shared" si="11"/>
        <v>39882.078001665468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865.2</v>
      </c>
      <c r="E28" s="29">
        <f t="shared" si="7"/>
        <v>0.1075276835315611</v>
      </c>
      <c r="F28" s="28">
        <f t="shared" si="8"/>
        <v>31.702764707206256</v>
      </c>
      <c r="G28" s="27" t="str">
        <f t="shared" si="9"/>
        <v>+</v>
      </c>
      <c r="H28" s="26">
        <f t="shared" si="10"/>
        <v>27167.279999999999</v>
      </c>
      <c r="I28" s="26">
        <f t="shared" si="11"/>
        <v>27429.232024674853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835.7</v>
      </c>
      <c r="E29" s="29">
        <f t="shared" si="7"/>
        <v>0.10386140213514287</v>
      </c>
      <c r="F29" s="28">
        <f t="shared" si="8"/>
        <v>30.592158300265915</v>
      </c>
      <c r="G29" s="27" t="str">
        <f t="shared" si="9"/>
        <v>+</v>
      </c>
      <c r="H29" s="26">
        <f t="shared" si="10"/>
        <v>25321.710000000003</v>
      </c>
      <c r="I29" s="26">
        <f t="shared" si="11"/>
        <v>25565.866691532225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554.4</v>
      </c>
      <c r="E30" s="29">
        <f t="shared" si="7"/>
        <v>6.8901234107602252E-2</v>
      </c>
      <c r="F30" s="28">
        <f t="shared" si="8"/>
        <v>30.592158300265915</v>
      </c>
      <c r="G30" s="27" t="str">
        <f t="shared" si="9"/>
        <v>+</v>
      </c>
      <c r="H30" s="26">
        <f t="shared" si="10"/>
        <v>16798.32</v>
      </c>
      <c r="I30" s="26">
        <f t="shared" si="11"/>
        <v>16960.292561667422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91.7</v>
      </c>
      <c r="E31" s="29">
        <f t="shared" si="7"/>
        <v>1.1396542510222091E-2</v>
      </c>
      <c r="F31" s="28">
        <f t="shared" si="8"/>
        <v>31.096979394329708</v>
      </c>
      <c r="G31" s="27" t="str">
        <f t="shared" si="9"/>
        <v>+</v>
      </c>
      <c r="H31" s="26">
        <f t="shared" si="10"/>
        <v>2824.36</v>
      </c>
      <c r="I31" s="26">
        <f t="shared" si="11"/>
        <v>2851.5930104600343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32.277068869891181</v>
      </c>
      <c r="D32" s="22">
        <f>SUM(D26:D31)</f>
        <v>5228.6999999999989</v>
      </c>
      <c r="E32" s="21">
        <f t="shared" si="7"/>
        <v>0.64982662838820315</v>
      </c>
      <c r="F32" s="20">
        <f>I32/D32</f>
        <v>32.588290440141783</v>
      </c>
      <c r="G32" s="19">
        <f>F32/C32-1</f>
        <v>9.6421881275878807E-3</v>
      </c>
      <c r="H32" s="18">
        <f>SUM(H26:H31)</f>
        <v>168767.11</v>
      </c>
      <c r="I32" s="18">
        <f>SUM(I26:I31)</f>
        <v>170394.39422436932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f>1333.4-78</f>
        <v>1255.4000000000001</v>
      </c>
      <c r="E34" s="29">
        <f t="shared" ref="E34:E40" si="13">D34/$D$48</f>
        <v>0.1560220225445236</v>
      </c>
      <c r="F34" s="28">
        <f t="shared" ref="F34:F39" si="14">C34-(C34*$E$6)</f>
        <v>18.678380480360374</v>
      </c>
      <c r="G34" s="27" t="str">
        <f t="shared" ref="G34:G39" si="15">IF(C34&gt;=F34,"-","+")</f>
        <v>+</v>
      </c>
      <c r="H34" s="26">
        <f t="shared" ref="H34:H39" si="16">C34*D34</f>
        <v>23224.9</v>
      </c>
      <c r="I34" s="26">
        <f t="shared" ref="I34:I39" si="17">F34*D34</f>
        <v>23448.838855044414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47</v>
      </c>
      <c r="E35" s="29">
        <f t="shared" si="13"/>
        <v>5.8411940892087047E-3</v>
      </c>
      <c r="F35" s="28">
        <f t="shared" si="14"/>
        <v>14.437883290224507</v>
      </c>
      <c r="G35" s="27" t="str">
        <f t="shared" si="15"/>
        <v>+</v>
      </c>
      <c r="H35" s="26">
        <f t="shared" si="16"/>
        <v>672.1</v>
      </c>
      <c r="I35" s="26">
        <f t="shared" si="17"/>
        <v>678.58051464055177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11.610885163467261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30.592158300265915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30.592158300265915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31.702764707206256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18.348433660933658</v>
      </c>
      <c r="D40" s="22">
        <f>SUM(D34:D39)</f>
        <v>1302.4000000000001</v>
      </c>
      <c r="E40" s="21">
        <f t="shared" si="13"/>
        <v>0.16186321663373229</v>
      </c>
      <c r="F40" s="20">
        <f>I40/D40</f>
        <v>18.525352710138947</v>
      </c>
      <c r="G40" s="19">
        <f>F40/C40-1</f>
        <v>9.6421881275878807E-3</v>
      </c>
      <c r="H40" s="18">
        <f>SUM(H34:H39)</f>
        <v>23897</v>
      </c>
      <c r="I40" s="18">
        <f>SUM(I34:I39)</f>
        <v>24127.419369684965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1192</v>
      </c>
      <c r="E42" s="107">
        <f>D42/$D$48</f>
        <v>0.14814262456035696</v>
      </c>
      <c r="F42" s="28">
        <f>C42-(C42*$E$6)</f>
        <v>0.4038568752510352</v>
      </c>
      <c r="G42" s="27" t="str">
        <f>IF(C42&gt;=F42,"-","+")</f>
        <v>+</v>
      </c>
      <c r="H42" s="26">
        <f>C42*D42</f>
        <v>476.8</v>
      </c>
      <c r="I42" s="26">
        <f>F42*D42</f>
        <v>481.39739529923395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57.1</v>
      </c>
      <c r="E43" s="107">
        <f>D43/$D$48</f>
        <v>7.0964294147620654E-3</v>
      </c>
      <c r="F43" s="28">
        <f>C43-(C43*$E$6)</f>
        <v>0.4038568752510352</v>
      </c>
      <c r="G43" s="27" t="str">
        <f>IF(C43&gt;=F43,"-","+")</f>
        <v>+</v>
      </c>
      <c r="H43" s="26">
        <f>C43*D43</f>
        <v>22.840000000000003</v>
      </c>
      <c r="I43" s="26">
        <f>F43*D43</f>
        <v>23.060227576834109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</v>
      </c>
      <c r="E44" s="107">
        <f>D44/$D$48</f>
        <v>1.7399301542323803E-3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9</v>
      </c>
      <c r="E45" s="107">
        <f>D45/$D$48</f>
        <v>1.1185265277208159E-3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0.39276786416162252</v>
      </c>
      <c r="D46" s="22">
        <f>SUM(D41:D45)</f>
        <v>1272.0999999999999</v>
      </c>
      <c r="E46" s="21">
        <f>D46/$D$48</f>
        <v>0.1580975106570722</v>
      </c>
      <c r="F46" s="20">
        <f>I46/D46</f>
        <v>0.39655500579833985</v>
      </c>
      <c r="G46" s="19">
        <f>F46/C46-1</f>
        <v>9.6421881275881027E-3</v>
      </c>
      <c r="H46" s="18">
        <f>SUM(H41:H44)</f>
        <v>499.64</v>
      </c>
      <c r="I46" s="18">
        <f>SUM(I41:I44)</f>
        <v>504.45762287606806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95.31827039498647</v>
      </c>
      <c r="D48" s="13">
        <f>D24+D32+D40+D46</f>
        <v>8046.2999999999993</v>
      </c>
      <c r="E48" s="12">
        <f>SUM(E20:E46)/2</f>
        <v>1</v>
      </c>
      <c r="F48" s="11">
        <f>I48/D48</f>
        <v>25.589331882082249</v>
      </c>
      <c r="G48" s="10"/>
      <c r="H48" s="9">
        <f>SUM(H20:H46)/2</f>
        <v>203933.08000000002</v>
      </c>
      <c r="I48" s="9">
        <f>SUM(I20:I46)/2</f>
        <v>205899.44112279837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13893.5</v>
      </c>
      <c r="E50" s="12">
        <f>D50/G2</f>
        <v>0.9999784076350603</v>
      </c>
      <c r="F50" s="11">
        <f>I50/D50</f>
        <v>26.250566811818469</v>
      </c>
      <c r="G50" s="10"/>
      <c r="H50" s="9">
        <f>H48+H19</f>
        <v>361229.21</v>
      </c>
      <c r="I50" s="9">
        <f>I48+I19</f>
        <v>364712.24999999988</v>
      </c>
      <c r="J50" s="106">
        <f>D50-G2</f>
        <v>-0.2999999999992724</v>
      </c>
      <c r="K50" s="8"/>
    </row>
    <row r="51" spans="1:11" ht="23.25" x14ac:dyDescent="0.35">
      <c r="A51" s="174" t="s">
        <v>282</v>
      </c>
      <c r="B51" s="169"/>
      <c r="C51" s="170"/>
      <c r="G51" s="7"/>
      <c r="H51" s="6"/>
      <c r="I51" s="6">
        <f>+I50/D50</f>
        <v>26.250566811818469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283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280</v>
      </c>
      <c r="D2" s="96" t="s">
        <v>3</v>
      </c>
      <c r="E2" s="95" t="s">
        <v>71</v>
      </c>
      <c r="F2" s="94" t="s">
        <v>5</v>
      </c>
      <c r="G2" s="93">
        <v>16503.599999999999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188</v>
      </c>
      <c r="F3" s="88" t="s">
        <v>8</v>
      </c>
      <c r="G3" s="87">
        <v>27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87.785106382978711</v>
      </c>
      <c r="F4" s="81" t="s">
        <v>12</v>
      </c>
      <c r="G4" s="80">
        <f>G2*G3</f>
        <v>445597.19999999995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-8.7249141203200598E-3</v>
      </c>
      <c r="F6" s="69" t="s">
        <v>16</v>
      </c>
      <c r="G6" s="68">
        <f>(I50-I19)/(D50-(SUM(D42:D44)+D19))</f>
        <v>31.818244718739415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</v>
      </c>
      <c r="D10" s="30"/>
      <c r="E10" s="29">
        <f t="shared" ref="E10:E19" si="1">D10/$D$19</f>
        <v>0</v>
      </c>
      <c r="F10" s="28">
        <f t="shared" ref="F10:F18" si="2">C10-(C10*$E$6)</f>
        <v>27.235572681248641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28.1</v>
      </c>
      <c r="D11" s="30">
        <f>7561.6-662.7</f>
        <v>6898.9000000000005</v>
      </c>
      <c r="E11" s="29">
        <f t="shared" si="1"/>
        <v>0.4811283911011926</v>
      </c>
      <c r="F11" s="28">
        <f t="shared" si="2"/>
        <v>28.345170086780996</v>
      </c>
      <c r="G11" s="27" t="str">
        <f t="shared" si="3"/>
        <v>+</v>
      </c>
      <c r="H11" s="34">
        <f t="shared" si="4"/>
        <v>193859.09000000003</v>
      </c>
      <c r="I11" s="34">
        <f t="shared" si="5"/>
        <v>195550.49391169343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25.7</v>
      </c>
      <c r="D12" s="30">
        <f>8262.5-822.4</f>
        <v>7440.1</v>
      </c>
      <c r="E12" s="29">
        <f t="shared" si="1"/>
        <v>0.51887160889880746</v>
      </c>
      <c r="F12" s="28">
        <f t="shared" si="2"/>
        <v>25.924230292892226</v>
      </c>
      <c r="G12" s="27" t="str">
        <f t="shared" si="3"/>
        <v>+</v>
      </c>
      <c r="H12" s="34">
        <f t="shared" si="4"/>
        <v>191210.57</v>
      </c>
      <c r="I12" s="34">
        <f t="shared" si="5"/>
        <v>192878.86580214745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28.1</v>
      </c>
      <c r="D13" s="30"/>
      <c r="E13" s="29">
        <f t="shared" si="1"/>
        <v>0</v>
      </c>
      <c r="F13" s="28">
        <f t="shared" si="2"/>
        <v>28.345170086780996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31.4</v>
      </c>
      <c r="D14" s="30"/>
      <c r="E14" s="29">
        <f t="shared" si="1"/>
        <v>0</v>
      </c>
      <c r="F14" s="28">
        <f t="shared" si="2"/>
        <v>31.673962303378048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25.9</v>
      </c>
      <c r="D15" s="30"/>
      <c r="E15" s="29">
        <f t="shared" si="1"/>
        <v>0</v>
      </c>
      <c r="F15" s="28">
        <f t="shared" si="2"/>
        <v>26.125975275716289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35.5</v>
      </c>
      <c r="D16" s="30"/>
      <c r="E16" s="29">
        <f t="shared" si="1"/>
        <v>0</v>
      </c>
      <c r="F16" s="28">
        <f t="shared" si="2"/>
        <v>35.80973445127136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52.2</v>
      </c>
      <c r="D17" s="30"/>
      <c r="E17" s="29">
        <f t="shared" si="1"/>
        <v>0</v>
      </c>
      <c r="F17" s="28">
        <f t="shared" si="2"/>
        <v>52.655440517080713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45.7</v>
      </c>
      <c r="D18" s="30"/>
      <c r="E18" s="29">
        <f t="shared" si="1"/>
        <v>0</v>
      </c>
      <c r="F18" s="28">
        <f t="shared" si="2"/>
        <v>46.09872857529863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26.854708138642863</v>
      </c>
      <c r="D19" s="49">
        <f>SUM(D10:D18)</f>
        <v>14339</v>
      </c>
      <c r="E19" s="48">
        <f t="shared" si="1"/>
        <v>1</v>
      </c>
      <c r="F19" s="47">
        <f>I19/D19</f>
        <v>27.089013160878785</v>
      </c>
      <c r="G19" s="46">
        <f>F19/C19-1</f>
        <v>8.7249141203202818E-3</v>
      </c>
      <c r="H19" s="9">
        <f>SUM(H10:H18)</f>
        <v>385069.66000000003</v>
      </c>
      <c r="I19" s="9">
        <f>SUM(I10:I18)</f>
        <v>388429.35971384088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67.900000000000006</v>
      </c>
      <c r="D21" s="30">
        <v>15.6</v>
      </c>
      <c r="E21" s="29">
        <f>D21/$D$48</f>
        <v>7.2082062655946773E-3</v>
      </c>
      <c r="F21" s="28">
        <f>C21-(C21*$E$6)</f>
        <v>68.492421668769737</v>
      </c>
      <c r="G21" s="27" t="str">
        <f>IF(C21&gt;=F21,"-","+")</f>
        <v>+</v>
      </c>
      <c r="H21" s="26">
        <f>C21*D21</f>
        <v>1059.24</v>
      </c>
      <c r="I21" s="26">
        <f>F21*D21</f>
        <v>1068.4817780328078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45.6</v>
      </c>
      <c r="D22" s="30">
        <v>81.599999999999994</v>
      </c>
      <c r="E22" s="29">
        <f>D22/$D$48</f>
        <v>3.770446354311062E-2</v>
      </c>
      <c r="F22" s="28">
        <f>C22-(C22*$E$6)</f>
        <v>45.997856083886596</v>
      </c>
      <c r="G22" s="27" t="str">
        <f>IF(C22&gt;=F22,"-","+")</f>
        <v>+</v>
      </c>
      <c r="H22" s="26">
        <f>C22*D22</f>
        <v>3720.96</v>
      </c>
      <c r="I22" s="26">
        <f>F22*D22</f>
        <v>3753.4250564451459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41.6</v>
      </c>
      <c r="D23" s="30">
        <v>20.399999999999999</v>
      </c>
      <c r="E23" s="29">
        <f>D23/$D$48</f>
        <v>9.4261158857776549E-3</v>
      </c>
      <c r="F23" s="28">
        <f>C23-(C23*$E$6)</f>
        <v>41.962956427405317</v>
      </c>
      <c r="G23" s="27" t="str">
        <f>IF(C23&gt;=F23,"-","+")</f>
        <v>+</v>
      </c>
      <c r="H23" s="26">
        <f>C23*D23</f>
        <v>848.64</v>
      </c>
      <c r="I23" s="26">
        <f>F23*D23</f>
        <v>856.04431111906842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47.864285714285721</v>
      </c>
      <c r="D24" s="22">
        <f>SUM(D21:D23)</f>
        <v>117.6</v>
      </c>
      <c r="E24" s="21">
        <f>D24/$D$48</f>
        <v>5.4338785694482951E-2</v>
      </c>
      <c r="F24" s="20">
        <f>I24/D24</f>
        <v>48.281897496573322</v>
      </c>
      <c r="G24" s="19">
        <f>F24/C24-1</f>
        <v>8.7249141203200598E-3</v>
      </c>
      <c r="H24" s="18">
        <f>SUM(H21:H23)</f>
        <v>5628.84</v>
      </c>
      <c r="I24" s="18">
        <f>SUM(I21:I23)</f>
        <v>5677.9511455970223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36.200000000000003</v>
      </c>
      <c r="D26" s="30">
        <v>366</v>
      </c>
      <c r="E26" s="29">
        <f t="shared" ref="E26:E32" si="7">D26/$D$48</f>
        <v>0.16911560853895205</v>
      </c>
      <c r="F26" s="28">
        <f t="shared" ref="F26:F31" si="8">C26-(C26*$E$6)</f>
        <v>36.515841891155588</v>
      </c>
      <c r="G26" s="27" t="str">
        <f t="shared" ref="G26:G31" si="9">IF(C26&gt;=F26,"-","+")</f>
        <v>+</v>
      </c>
      <c r="H26" s="26">
        <f t="shared" ref="H26:H31" si="10">C26*D26</f>
        <v>13249.2</v>
      </c>
      <c r="I26" s="26">
        <f t="shared" ref="I26:I31" si="11">F26*D26</f>
        <v>13364.798132162945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32.299999999999997</v>
      </c>
      <c r="D27" s="30">
        <v>295</v>
      </c>
      <c r="E27" s="29">
        <f t="shared" si="7"/>
        <v>0.13630902874041217</v>
      </c>
      <c r="F27" s="28">
        <f t="shared" si="8"/>
        <v>32.581814726086336</v>
      </c>
      <c r="G27" s="27" t="str">
        <f t="shared" si="9"/>
        <v>+</v>
      </c>
      <c r="H27" s="26">
        <f t="shared" si="10"/>
        <v>9528.5</v>
      </c>
      <c r="I27" s="26">
        <f t="shared" si="11"/>
        <v>9611.6353441954689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32.299999999999997</v>
      </c>
      <c r="D28" s="30">
        <v>272</v>
      </c>
      <c r="E28" s="29">
        <f t="shared" si="7"/>
        <v>0.12568154514370208</v>
      </c>
      <c r="F28" s="28">
        <f t="shared" si="8"/>
        <v>32.581814726086336</v>
      </c>
      <c r="G28" s="27" t="str">
        <f t="shared" si="9"/>
        <v>+</v>
      </c>
      <c r="H28" s="26">
        <f t="shared" si="10"/>
        <v>8785.5999999999985</v>
      </c>
      <c r="I28" s="26">
        <f t="shared" si="11"/>
        <v>8862.2536054954835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31.2</v>
      </c>
      <c r="D29" s="30">
        <v>303.39999999999998</v>
      </c>
      <c r="E29" s="29">
        <f t="shared" si="7"/>
        <v>0.14019037057573239</v>
      </c>
      <c r="F29" s="28">
        <f t="shared" si="8"/>
        <v>31.472217320553984</v>
      </c>
      <c r="G29" s="27" t="str">
        <f t="shared" si="9"/>
        <v>+</v>
      </c>
      <c r="H29" s="26">
        <f t="shared" si="10"/>
        <v>9466.08</v>
      </c>
      <c r="I29" s="26">
        <f t="shared" si="11"/>
        <v>9548.6707350560773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31.2</v>
      </c>
      <c r="D30" s="30">
        <v>90</v>
      </c>
      <c r="E30" s="29">
        <f t="shared" si="7"/>
        <v>4.1585805378430832E-2</v>
      </c>
      <c r="F30" s="28">
        <f t="shared" si="8"/>
        <v>31.472217320553984</v>
      </c>
      <c r="G30" s="27" t="str">
        <f t="shared" si="9"/>
        <v>+</v>
      </c>
      <c r="H30" s="26">
        <f t="shared" si="10"/>
        <v>2808</v>
      </c>
      <c r="I30" s="26">
        <f t="shared" si="11"/>
        <v>2832.4995588498587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31.7</v>
      </c>
      <c r="D31" s="30">
        <v>30.8</v>
      </c>
      <c r="E31" s="29">
        <f t="shared" si="7"/>
        <v>1.4231586729507441E-2</v>
      </c>
      <c r="F31" s="28">
        <f t="shared" si="8"/>
        <v>31.976579777614145</v>
      </c>
      <c r="G31" s="27" t="str">
        <f t="shared" si="9"/>
        <v>+</v>
      </c>
      <c r="H31" s="26">
        <f t="shared" si="10"/>
        <v>976.36</v>
      </c>
      <c r="I31" s="26">
        <f t="shared" si="11"/>
        <v>984.87865715051566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33.019260241674033</v>
      </c>
      <c r="D32" s="22">
        <f>SUM(D26:D31)</f>
        <v>1357.2</v>
      </c>
      <c r="E32" s="21">
        <f t="shared" si="7"/>
        <v>0.62711394510673701</v>
      </c>
      <c r="F32" s="20">
        <f>I32/D32</f>
        <v>33.307350451599135</v>
      </c>
      <c r="G32" s="19">
        <f>F32/C32-1</f>
        <v>8.7249141203200598E-3</v>
      </c>
      <c r="H32" s="18">
        <f>SUM(H26:H31)</f>
        <v>44813.74</v>
      </c>
      <c r="I32" s="18">
        <f>SUM(I26:I31)</f>
        <v>45204.736032910347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19.100000000000001</v>
      </c>
      <c r="D34" s="30">
        <v>318.89999999999998</v>
      </c>
      <c r="E34" s="29">
        <f t="shared" ref="E34:E40" si="13">D34/$D$48</f>
        <v>0.14735237039090657</v>
      </c>
      <c r="F34" s="28">
        <f t="shared" ref="F34:F39" si="14">C34-(C34*$E$6)</f>
        <v>19.266645859698116</v>
      </c>
      <c r="G34" s="27" t="str">
        <f t="shared" ref="G34:G39" si="15">IF(C34&gt;=F34,"-","+")</f>
        <v>+</v>
      </c>
      <c r="H34" s="26">
        <f t="shared" ref="H34:H39" si="16">C34*D34</f>
        <v>6090.99</v>
      </c>
      <c r="I34" s="26">
        <f t="shared" ref="I34:I39" si="17">F34*D34</f>
        <v>6144.1333646577286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14.7</v>
      </c>
      <c r="D35" s="30"/>
      <c r="E35" s="29">
        <f t="shared" si="13"/>
        <v>0</v>
      </c>
      <c r="F35" s="28">
        <f t="shared" si="14"/>
        <v>14.828256237568704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30"/>
      <c r="E36" s="29">
        <f t="shared" si="13"/>
        <v>0</v>
      </c>
      <c r="F36" s="28">
        <f t="shared" si="14"/>
        <v>11.902953986619778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31.2</v>
      </c>
      <c r="D37" s="30"/>
      <c r="E37" s="29">
        <f t="shared" si="13"/>
        <v>0</v>
      </c>
      <c r="F37" s="28">
        <f t="shared" si="14"/>
        <v>31.472217320553984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31.2</v>
      </c>
      <c r="D38" s="30"/>
      <c r="E38" s="29">
        <f t="shared" si="13"/>
        <v>0</v>
      </c>
      <c r="F38" s="28">
        <f t="shared" si="14"/>
        <v>31.472217320553984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32.299999999999997</v>
      </c>
      <c r="D39" s="30"/>
      <c r="E39" s="29">
        <f t="shared" si="13"/>
        <v>0</v>
      </c>
      <c r="F39" s="28">
        <f t="shared" si="14"/>
        <v>32.581814726086336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19.100000000000001</v>
      </c>
      <c r="D40" s="22">
        <f>SUM(D34:D39)</f>
        <v>318.89999999999998</v>
      </c>
      <c r="E40" s="21">
        <f t="shared" si="13"/>
        <v>0.14735237039090657</v>
      </c>
      <c r="F40" s="20">
        <f>I40/D40</f>
        <v>19.266645859698116</v>
      </c>
      <c r="G40" s="19">
        <f>F40/C40-1</f>
        <v>8.7249141203200598E-3</v>
      </c>
      <c r="H40" s="18">
        <f>SUM(H34:H39)</f>
        <v>6090.99</v>
      </c>
      <c r="I40" s="18">
        <f>SUM(I34:I39)</f>
        <v>6144.1333646577286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345</v>
      </c>
      <c r="E42" s="107">
        <f>D42/$D$48</f>
        <v>0.15941225395065153</v>
      </c>
      <c r="F42" s="28">
        <f>C42-(C42*$E$6)</f>
        <v>0.40348996564812806</v>
      </c>
      <c r="G42" s="27" t="str">
        <f>IF(C42&gt;=F42,"-","+")</f>
        <v>+</v>
      </c>
      <c r="H42" s="26">
        <f>C42*D42</f>
        <v>138</v>
      </c>
      <c r="I42" s="26">
        <f>F42*D42</f>
        <v>139.20403814860418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4.5</v>
      </c>
      <c r="E43" s="107">
        <f>D43/$D$48</f>
        <v>2.0792902689215414E-3</v>
      </c>
      <c r="F43" s="28">
        <f>C43-(C43*$E$6)</f>
        <v>0.40348996564812806</v>
      </c>
      <c r="G43" s="27" t="str">
        <f>IF(C43&gt;=F43,"-","+")</f>
        <v>+</v>
      </c>
      <c r="H43" s="26">
        <f>C43*D43</f>
        <v>1.8</v>
      </c>
      <c r="I43" s="26">
        <f>F43*D43</f>
        <v>1.8157048454165763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18</v>
      </c>
      <c r="E44" s="107">
        <f>D44/$D$48</f>
        <v>8.3171610756861657E-3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</v>
      </c>
      <c r="E45" s="107">
        <f>D45/$D$48</f>
        <v>1.3861935126143611E-3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0.37732793522267211</v>
      </c>
      <c r="D46" s="22">
        <f>SUM(D41:D45)</f>
        <v>370.5</v>
      </c>
      <c r="E46" s="21">
        <f>D46/$D$48</f>
        <v>0.17119489880787359</v>
      </c>
      <c r="F46" s="20">
        <f>I46/D46</f>
        <v>0.38062008905268763</v>
      </c>
      <c r="G46" s="19">
        <f>F46/C46-1</f>
        <v>8.7249141203200598E-3</v>
      </c>
      <c r="H46" s="18">
        <f>SUM(H41:H44)</f>
        <v>139.80000000000001</v>
      </c>
      <c r="I46" s="18">
        <f>SUM(I41:I44)</f>
        <v>141.01974299402076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100.36087389118242</v>
      </c>
      <c r="D48" s="13">
        <f>D24+D32+D40+D46</f>
        <v>2164.1999999999998</v>
      </c>
      <c r="E48" s="12">
        <f>SUM(E20:E46)/2</f>
        <v>1</v>
      </c>
      <c r="F48" s="11">
        <f>I48/D48</f>
        <v>26.415229778282562</v>
      </c>
      <c r="G48" s="10"/>
      <c r="H48" s="9">
        <f>SUM(H20:H46)/2</f>
        <v>56673.37000000001</v>
      </c>
      <c r="I48" s="9">
        <f>SUM(I20:I46)/2</f>
        <v>57167.840286159117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16503.2</v>
      </c>
      <c r="E50" s="12">
        <f>D50/G2</f>
        <v>0.99997576286386014</v>
      </c>
      <c r="F50" s="11">
        <f>I50/D50</f>
        <v>27.00065441853701</v>
      </c>
      <c r="G50" s="10"/>
      <c r="H50" s="9">
        <f>H48+H19</f>
        <v>441743.03</v>
      </c>
      <c r="I50" s="9">
        <f>I48+I19</f>
        <v>445597.2</v>
      </c>
      <c r="J50" s="106">
        <f>D50-G2</f>
        <v>-0.39999999999781721</v>
      </c>
      <c r="K50" s="8"/>
    </row>
    <row r="51" spans="1:11" ht="23.25" x14ac:dyDescent="0.35">
      <c r="A51" s="174" t="s">
        <v>284</v>
      </c>
      <c r="B51" s="169"/>
      <c r="C51" s="170"/>
      <c r="G51" s="7"/>
      <c r="H51" s="6"/>
      <c r="I51" s="6">
        <f>+I50/D50</f>
        <v>27.00065441853701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285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285</v>
      </c>
      <c r="D2" s="96" t="s">
        <v>3</v>
      </c>
      <c r="E2" s="95" t="s">
        <v>71</v>
      </c>
      <c r="F2" s="94" t="s">
        <v>5</v>
      </c>
      <c r="G2" s="93">
        <v>14172.9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200</v>
      </c>
      <c r="F3" s="88" t="s">
        <v>8</v>
      </c>
      <c r="G3" s="87">
        <v>27.1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70.864499999999992</v>
      </c>
      <c r="F4" s="81" t="s">
        <v>12</v>
      </c>
      <c r="G4" s="80">
        <f>G2*G3</f>
        <v>384085.59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-1.5604135919426776E-2</v>
      </c>
      <c r="F6" s="69" t="s">
        <v>16</v>
      </c>
      <c r="G6" s="68">
        <f>(I50-I19)/(D50-(SUM(D42:D44)+D19))</f>
        <v>32.552109059165531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27.1</v>
      </c>
      <c r="D10" s="30"/>
      <c r="E10" s="29" t="e">
        <f t="shared" ref="E10:E19" si="1">D10/$D$19</f>
        <v>#DIV/0!</v>
      </c>
      <c r="F10" s="28">
        <f t="shared" ref="F10:F18" si="2">C10-(C10*$E$6)</f>
        <v>27.522872083416466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28.2</v>
      </c>
      <c r="D11" s="30"/>
      <c r="E11" s="29" t="e">
        <f t="shared" si="1"/>
        <v>#DIV/0!</v>
      </c>
      <c r="F11" s="28">
        <f t="shared" si="2"/>
        <v>28.640036632927835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25.8</v>
      </c>
      <c r="D12" s="30"/>
      <c r="E12" s="29" t="e">
        <f t="shared" si="1"/>
        <v>#DIV/0!</v>
      </c>
      <c r="F12" s="28">
        <f t="shared" si="2"/>
        <v>26.202586706721213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28.2</v>
      </c>
      <c r="D13" s="30"/>
      <c r="E13" s="29" t="e">
        <f t="shared" si="1"/>
        <v>#DIV/0!</v>
      </c>
      <c r="F13" s="28">
        <f t="shared" si="2"/>
        <v>28.640036632927835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31.6</v>
      </c>
      <c r="D14" s="30"/>
      <c r="E14" s="29" t="e">
        <f t="shared" si="1"/>
        <v>#DIV/0!</v>
      </c>
      <c r="F14" s="28">
        <f t="shared" si="2"/>
        <v>32.093090695053888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</v>
      </c>
      <c r="D15" s="30"/>
      <c r="E15" s="29" t="e">
        <f t="shared" si="1"/>
        <v>#DIV/0!</v>
      </c>
      <c r="F15" s="28">
        <f t="shared" si="2"/>
        <v>26.405707533905098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35.6</v>
      </c>
      <c r="D16" s="30"/>
      <c r="E16" s="29" t="e">
        <f t="shared" si="1"/>
        <v>#DIV/0!</v>
      </c>
      <c r="F16" s="28">
        <f t="shared" si="2"/>
        <v>36.155507238731595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52.4</v>
      </c>
      <c r="D17" s="30"/>
      <c r="E17" s="29" t="e">
        <f t="shared" si="1"/>
        <v>#DIV/0!</v>
      </c>
      <c r="F17" s="28">
        <f t="shared" si="2"/>
        <v>53.217656722177964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45.9</v>
      </c>
      <c r="D18" s="30"/>
      <c r="E18" s="29" t="e">
        <f t="shared" si="1"/>
        <v>#DIV/0!</v>
      </c>
      <c r="F18" s="28">
        <f t="shared" si="2"/>
        <v>46.616229838701685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68.2</v>
      </c>
      <c r="D21" s="30">
        <v>164.6</v>
      </c>
      <c r="E21" s="29">
        <f>D21/$D$48</f>
        <v>1.1613713495473757E-2</v>
      </c>
      <c r="F21" s="28">
        <f>C21-(C21*$E$6)</f>
        <v>69.264202069704908</v>
      </c>
      <c r="G21" s="27" t="str">
        <f>IF(C21&gt;=F21,"-","+")</f>
        <v>+</v>
      </c>
      <c r="H21" s="26">
        <f>C21*D21</f>
        <v>11225.72</v>
      </c>
      <c r="I21" s="26">
        <f>F21*D21</f>
        <v>11400.887660673427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45.8</v>
      </c>
      <c r="D22" s="30">
        <v>423.6</v>
      </c>
      <c r="E22" s="29">
        <f>D22/$D$48</f>
        <v>2.9888025739262962E-2</v>
      </c>
      <c r="F22" s="28">
        <f>C22-(C22*$E$6)</f>
        <v>46.514669425109744</v>
      </c>
      <c r="G22" s="27" t="str">
        <f>IF(C22&gt;=F22,"-","+")</f>
        <v>+</v>
      </c>
      <c r="H22" s="26">
        <f>C22*D22</f>
        <v>19400.88</v>
      </c>
      <c r="I22" s="26">
        <f>F22*D22</f>
        <v>19703.613968476489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41.7</v>
      </c>
      <c r="D23" s="30">
        <v>343.6</v>
      </c>
      <c r="E23" s="29">
        <f>D23/$D$48</f>
        <v>2.4243450528826142E-2</v>
      </c>
      <c r="F23" s="28">
        <f>C23-(C23*$E$6)</f>
        <v>42.350692467840098</v>
      </c>
      <c r="G23" s="27" t="str">
        <f>IF(C23&gt;=F23,"-","+")</f>
        <v>+</v>
      </c>
      <c r="H23" s="26">
        <f>C23*D23</f>
        <v>14328.120000000003</v>
      </c>
      <c r="I23" s="26">
        <f>F23*D23</f>
        <v>14551.697931949859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48.245031122558487</v>
      </c>
      <c r="D24" s="22">
        <f>SUM(D21:D23)</f>
        <v>931.80000000000007</v>
      </c>
      <c r="E24" s="21">
        <f>D24/$D$48</f>
        <v>6.5745189763562861E-2</v>
      </c>
      <c r="F24" s="20">
        <f>I24/D24</f>
        <v>48.997853145631865</v>
      </c>
      <c r="G24" s="19">
        <f>F24/C24-1</f>
        <v>1.5604135919426776E-2</v>
      </c>
      <c r="H24" s="18">
        <f>SUM(H21:H23)</f>
        <v>44954.720000000001</v>
      </c>
      <c r="I24" s="18">
        <f>SUM(I21:I23)</f>
        <v>45656.199561099776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36.4</v>
      </c>
      <c r="D26" s="30">
        <v>2746.6</v>
      </c>
      <c r="E26" s="29">
        <f t="shared" ref="E26:E32" si="7">D26/$D$48</f>
        <v>0.19379237841232211</v>
      </c>
      <c r="F26" s="28">
        <f t="shared" ref="F26:F31" si="8">C26-(C26*$E$6)</f>
        <v>36.967990547467132</v>
      </c>
      <c r="G26" s="27" t="str">
        <f t="shared" ref="G26:G31" si="9">IF(C26&gt;=F26,"-","+")</f>
        <v>+</v>
      </c>
      <c r="H26" s="26">
        <f t="shared" ref="H26:H31" si="10">C26*D26</f>
        <v>99976.239999999991</v>
      </c>
      <c r="I26" s="26">
        <f t="shared" ref="I26:I31" si="11">F26*D26</f>
        <v>101536.28283767322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32.4</v>
      </c>
      <c r="D27" s="30">
        <v>2205.1999999999998</v>
      </c>
      <c r="E27" s="29">
        <f t="shared" si="7"/>
        <v>0.15559271567569091</v>
      </c>
      <c r="F27" s="28">
        <f t="shared" si="8"/>
        <v>32.905574003789425</v>
      </c>
      <c r="G27" s="27" t="str">
        <f t="shared" si="9"/>
        <v>+</v>
      </c>
      <c r="H27" s="26">
        <f t="shared" si="10"/>
        <v>71448.479999999996</v>
      </c>
      <c r="I27" s="26">
        <f t="shared" si="11"/>
        <v>72563.371793156432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32.4</v>
      </c>
      <c r="D28" s="30">
        <v>1340.8</v>
      </c>
      <c r="E28" s="29">
        <f t="shared" si="7"/>
        <v>9.4603080526921096E-2</v>
      </c>
      <c r="F28" s="28">
        <f t="shared" si="8"/>
        <v>32.905574003789425</v>
      </c>
      <c r="G28" s="27" t="str">
        <f t="shared" si="9"/>
        <v>+</v>
      </c>
      <c r="H28" s="26">
        <f t="shared" si="10"/>
        <v>43441.919999999998</v>
      </c>
      <c r="I28" s="26">
        <f t="shared" si="11"/>
        <v>44119.793624280857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31.3</v>
      </c>
      <c r="D29" s="30">
        <v>1245</v>
      </c>
      <c r="E29" s="29">
        <f t="shared" si="7"/>
        <v>8.7843701712423006E-2</v>
      </c>
      <c r="F29" s="28">
        <f t="shared" si="8"/>
        <v>31.78840945427806</v>
      </c>
      <c r="G29" s="27" t="str">
        <f t="shared" si="9"/>
        <v>+</v>
      </c>
      <c r="H29" s="26">
        <f t="shared" si="10"/>
        <v>38968.5</v>
      </c>
      <c r="I29" s="26">
        <f t="shared" si="11"/>
        <v>39576.569770576185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31.3</v>
      </c>
      <c r="D30" s="30">
        <v>812</v>
      </c>
      <c r="E30" s="29">
        <f t="shared" si="7"/>
        <v>5.7292438385933717E-2</v>
      </c>
      <c r="F30" s="28">
        <f t="shared" si="8"/>
        <v>31.78840945427806</v>
      </c>
      <c r="G30" s="27" t="str">
        <f t="shared" si="9"/>
        <v>+</v>
      </c>
      <c r="H30" s="26">
        <f t="shared" si="10"/>
        <v>25415.600000000002</v>
      </c>
      <c r="I30" s="26">
        <f t="shared" si="11"/>
        <v>25812.188476873784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31.8</v>
      </c>
      <c r="D31" s="30">
        <v>397.2</v>
      </c>
      <c r="E31" s="29">
        <f t="shared" si="7"/>
        <v>2.802531591981881E-2</v>
      </c>
      <c r="F31" s="28">
        <f t="shared" si="8"/>
        <v>32.296211522237769</v>
      </c>
      <c r="G31" s="27" t="str">
        <f t="shared" si="9"/>
        <v>+</v>
      </c>
      <c r="H31" s="26">
        <f t="shared" si="10"/>
        <v>12630.96</v>
      </c>
      <c r="I31" s="26">
        <f t="shared" si="11"/>
        <v>12828.055216632842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33.370112498285081</v>
      </c>
      <c r="D32" s="22">
        <f>SUM(D26:D31)</f>
        <v>8746.7999999999993</v>
      </c>
      <c r="E32" s="21">
        <f t="shared" si="7"/>
        <v>0.61714963063310968</v>
      </c>
      <c r="F32" s="20">
        <f>I32/D32</f>
        <v>33.890824269354887</v>
      </c>
      <c r="G32" s="19">
        <f>F32/C32-1</f>
        <v>1.5604135919426776E-2</v>
      </c>
      <c r="H32" s="18">
        <f>SUM(H26:H31)</f>
        <v>291881.69999999995</v>
      </c>
      <c r="I32" s="18">
        <f>SUM(I26:I31)</f>
        <v>296436.26171919331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19.100000000000001</v>
      </c>
      <c r="D34" s="30">
        <v>2115.1</v>
      </c>
      <c r="E34" s="29">
        <f t="shared" ref="E34:E40" si="13">D34/$D$48</f>
        <v>0.14923551284493647</v>
      </c>
      <c r="F34" s="28">
        <f t="shared" ref="F34:F39" si="14">C34-(C34*$E$6)</f>
        <v>19.398038996061054</v>
      </c>
      <c r="G34" s="27" t="str">
        <f t="shared" ref="G34:G39" si="15">IF(C34&gt;=F34,"-","+")</f>
        <v>+</v>
      </c>
      <c r="H34" s="26">
        <f t="shared" ref="H34:H39" si="16">C34*D34</f>
        <v>40398.410000000003</v>
      </c>
      <c r="I34" s="26">
        <f t="shared" ref="I34:I39" si="17">F34*D34</f>
        <v>41028.792280568734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14.7</v>
      </c>
      <c r="D35" s="30"/>
      <c r="E35" s="29">
        <f t="shared" si="13"/>
        <v>0</v>
      </c>
      <c r="F35" s="28">
        <f t="shared" si="14"/>
        <v>14.929380798015574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30"/>
      <c r="E36" s="29">
        <f t="shared" si="13"/>
        <v>0</v>
      </c>
      <c r="F36" s="28">
        <f t="shared" si="14"/>
        <v>11.984128803849236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31.3</v>
      </c>
      <c r="D37" s="30"/>
      <c r="E37" s="29">
        <f t="shared" si="13"/>
        <v>0</v>
      </c>
      <c r="F37" s="28">
        <f t="shared" si="14"/>
        <v>31.78840945427806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31.3</v>
      </c>
      <c r="D38" s="30"/>
      <c r="E38" s="29">
        <f t="shared" si="13"/>
        <v>0</v>
      </c>
      <c r="F38" s="28">
        <f t="shared" si="14"/>
        <v>31.78840945427806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32.4</v>
      </c>
      <c r="D39" s="30"/>
      <c r="E39" s="29">
        <f t="shared" si="13"/>
        <v>0</v>
      </c>
      <c r="F39" s="28">
        <f t="shared" si="14"/>
        <v>32.905574003789425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19.100000000000001</v>
      </c>
      <c r="D40" s="22">
        <f>SUM(D34:D39)</f>
        <v>2115.1</v>
      </c>
      <c r="E40" s="21">
        <f t="shared" si="13"/>
        <v>0.14923551284493647</v>
      </c>
      <c r="F40" s="20">
        <f>I40/D40</f>
        <v>19.398038996061054</v>
      </c>
      <c r="G40" s="19">
        <f>F40/C40-1</f>
        <v>1.5604135919426776E-2</v>
      </c>
      <c r="H40" s="18">
        <f>SUM(H34:H39)</f>
        <v>40398.410000000003</v>
      </c>
      <c r="I40" s="18">
        <f>SUM(I34:I39)</f>
        <v>41028.792280568734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2253</v>
      </c>
      <c r="E42" s="107">
        <f>D42/$D$48</f>
        <v>0.15896534936392692</v>
      </c>
      <c r="F42" s="28">
        <f>C42-(C42*$E$6)</f>
        <v>0.40624165436777071</v>
      </c>
      <c r="G42" s="27" t="str">
        <f>IF(C42&gt;=F42,"-","+")</f>
        <v>+</v>
      </c>
      <c r="H42" s="26">
        <f>C42*D42</f>
        <v>901.2</v>
      </c>
      <c r="I42" s="26">
        <f>F42*D42</f>
        <v>915.26244729058737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120.8</v>
      </c>
      <c r="E43" s="107">
        <f>D43/$D$48</f>
        <v>8.5233085677595983E-3</v>
      </c>
      <c r="F43" s="28">
        <f>C43-(C43*$E$6)</f>
        <v>0.40624165436777071</v>
      </c>
      <c r="G43" s="27" t="str">
        <f>IF(C43&gt;=F43,"-","+")</f>
        <v>+</v>
      </c>
      <c r="H43" s="26">
        <f>C43*D43</f>
        <v>48.32</v>
      </c>
      <c r="I43" s="26">
        <f>F43*D43</f>
        <v>49.073991847626701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3.8100882670448537E-4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0.39909213180901143</v>
      </c>
      <c r="D46" s="22">
        <f>SUM(D41:D45)</f>
        <v>2379.2000000000003</v>
      </c>
      <c r="E46" s="21">
        <f>D46/$D$48</f>
        <v>0.16786966675839105</v>
      </c>
      <c r="F46" s="20">
        <f>I46/D46</f>
        <v>0.40531961967813296</v>
      </c>
      <c r="G46" s="19">
        <f>F46/C46-1</f>
        <v>1.5604135919426554E-2</v>
      </c>
      <c r="H46" s="18">
        <f>SUM(H41:H44)</f>
        <v>949.5200000000001</v>
      </c>
      <c r="I46" s="18">
        <f>SUM(I41:I44)</f>
        <v>964.33643913821402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101.11423575265259</v>
      </c>
      <c r="D48" s="13">
        <f>D24+D32+D40+D46</f>
        <v>14172.9</v>
      </c>
      <c r="E48" s="12">
        <f>SUM(E20:E46)/2</f>
        <v>1</v>
      </c>
      <c r="F48" s="11">
        <f>I48/D48</f>
        <v>27.099999999999998</v>
      </c>
      <c r="G48" s="10"/>
      <c r="H48" s="9">
        <f>SUM(H20:H46)/2</f>
        <v>378184.34999999992</v>
      </c>
      <c r="I48" s="9">
        <f>SUM(I20:I46)/2</f>
        <v>384085.58999999997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14172.9</v>
      </c>
      <c r="E50" s="12">
        <f>D50/G2</f>
        <v>1</v>
      </c>
      <c r="F50" s="11">
        <f>I50/D50</f>
        <v>27.099999999999998</v>
      </c>
      <c r="G50" s="10"/>
      <c r="H50" s="9">
        <f>H48+H19</f>
        <v>378184.34999999992</v>
      </c>
      <c r="I50" s="9">
        <f>I48+I19</f>
        <v>384085.58999999997</v>
      </c>
      <c r="J50" s="106">
        <f>D50-G2</f>
        <v>0</v>
      </c>
      <c r="K50" s="8"/>
    </row>
    <row r="51" spans="1:11" ht="23.25" x14ac:dyDescent="0.35">
      <c r="A51" s="174" t="s">
        <v>286</v>
      </c>
      <c r="B51" s="169"/>
      <c r="C51" s="170"/>
      <c r="G51" s="7"/>
      <c r="H51" s="6"/>
      <c r="I51" s="6">
        <f>+I50/D50</f>
        <v>27.099999999999998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280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287</v>
      </c>
      <c r="D2" s="96" t="s">
        <v>3</v>
      </c>
      <c r="E2" s="95" t="s">
        <v>71</v>
      </c>
      <c r="F2" s="94" t="s">
        <v>5</v>
      </c>
      <c r="G2" s="93">
        <v>17107.900000000001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240</v>
      </c>
      <c r="F3" s="88" t="s">
        <v>8</v>
      </c>
      <c r="G3" s="87">
        <v>26.75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71.282916666666679</v>
      </c>
      <c r="F4" s="81" t="s">
        <v>12</v>
      </c>
      <c r="G4" s="80">
        <f>G2*G3</f>
        <v>457636.32500000001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-8.6548211295092159E-3</v>
      </c>
      <c r="F6" s="69" t="s">
        <v>16</v>
      </c>
      <c r="G6" s="68">
        <f>(I50-I19)/(D50-(SUM(D42:D44)+D19))</f>
        <v>30.443380030869157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27.031949206270848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27.9</v>
      </c>
      <c r="D11" s="30">
        <v>6689.1</v>
      </c>
      <c r="E11" s="29">
        <f t="shared" si="1"/>
        <v>0.48928762133259213</v>
      </c>
      <c r="F11" s="28">
        <f t="shared" si="2"/>
        <v>28.141469509513307</v>
      </c>
      <c r="G11" s="27" t="str">
        <f t="shared" si="3"/>
        <v>+</v>
      </c>
      <c r="H11" s="34">
        <f t="shared" si="4"/>
        <v>186625.89</v>
      </c>
      <c r="I11" s="34">
        <f t="shared" si="5"/>
        <v>188241.10369608548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25.4</v>
      </c>
      <c r="D12" s="30">
        <v>6197.1</v>
      </c>
      <c r="E12" s="29">
        <f t="shared" si="1"/>
        <v>0.453299295594356</v>
      </c>
      <c r="F12" s="28">
        <f t="shared" si="2"/>
        <v>25.619832456689533</v>
      </c>
      <c r="G12" s="27" t="str">
        <f t="shared" si="3"/>
        <v>+</v>
      </c>
      <c r="H12" s="34">
        <f t="shared" si="4"/>
        <v>157406.34</v>
      </c>
      <c r="I12" s="34">
        <f t="shared" si="5"/>
        <v>158768.66371735072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28.141469509513307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31.1</v>
      </c>
      <c r="D14" s="30">
        <v>536.4</v>
      </c>
      <c r="E14" s="29">
        <f t="shared" si="1"/>
        <v>3.9236052695101345E-2</v>
      </c>
      <c r="F14" s="28">
        <f t="shared" si="2"/>
        <v>31.369164937127739</v>
      </c>
      <c r="G14" s="27" t="str">
        <f t="shared" si="3"/>
        <v>+</v>
      </c>
      <c r="H14" s="34">
        <f t="shared" si="4"/>
        <v>16682.04</v>
      </c>
      <c r="I14" s="34">
        <f t="shared" si="5"/>
        <v>16826.420072275319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25.7</v>
      </c>
      <c r="D15" s="30"/>
      <c r="E15" s="29">
        <f t="shared" si="1"/>
        <v>0</v>
      </c>
      <c r="F15" s="28">
        <f t="shared" si="2"/>
        <v>25.922428903028386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35.200000000000003</v>
      </c>
      <c r="D16" s="30">
        <v>209.5</v>
      </c>
      <c r="E16" s="29">
        <f t="shared" si="1"/>
        <v>1.5324297240163556E-2</v>
      </c>
      <c r="F16" s="28">
        <f t="shared" si="2"/>
        <v>35.50464970375873</v>
      </c>
      <c r="G16" s="27" t="str">
        <f t="shared" si="3"/>
        <v>+</v>
      </c>
      <c r="H16" s="34">
        <f t="shared" si="4"/>
        <v>7374.4000000000005</v>
      </c>
      <c r="I16" s="34">
        <f t="shared" si="5"/>
        <v>7438.2241129374543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51.7</v>
      </c>
      <c r="D17" s="30">
        <v>39</v>
      </c>
      <c r="E17" s="29">
        <f t="shared" si="1"/>
        <v>2.8527331377870106E-3</v>
      </c>
      <c r="F17" s="28">
        <f t="shared" si="2"/>
        <v>52.147454252395626</v>
      </c>
      <c r="G17" s="27" t="str">
        <f t="shared" si="3"/>
        <v>+</v>
      </c>
      <c r="H17" s="34">
        <f t="shared" si="4"/>
        <v>2016.3000000000002</v>
      </c>
      <c r="I17" s="34">
        <f t="shared" si="5"/>
        <v>2033.7507158434294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45.3</v>
      </c>
      <c r="D18" s="30"/>
      <c r="E18" s="29">
        <f t="shared" si="1"/>
        <v>0</v>
      </c>
      <c r="F18" s="28">
        <f t="shared" si="2"/>
        <v>45.692063397166763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27.072069548170955</v>
      </c>
      <c r="D19" s="49">
        <f>SUM(D10:D18)</f>
        <v>13671.1</v>
      </c>
      <c r="E19" s="48">
        <f t="shared" si="1"/>
        <v>1</v>
      </c>
      <c r="F19" s="47">
        <f>I19/D19</f>
        <v>27.306373467716014</v>
      </c>
      <c r="G19" s="46">
        <f>F19/C19-1</f>
        <v>8.6548211295094379E-3</v>
      </c>
      <c r="H19" s="9">
        <f>SUM(H10:H18)</f>
        <v>370104.97</v>
      </c>
      <c r="I19" s="9">
        <f>SUM(I10:I18)</f>
        <v>373308.16231449239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67.3</v>
      </c>
      <c r="D21" s="30"/>
      <c r="E21" s="29">
        <f>D21/$D$48</f>
        <v>0</v>
      </c>
      <c r="F21" s="28">
        <f>C21-(C21*$E$6)</f>
        <v>67.882469462015962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45.2</v>
      </c>
      <c r="D22" s="30">
        <v>158.4</v>
      </c>
      <c r="E22" s="29">
        <f>D22/$D$48</f>
        <v>4.6086703520512078E-2</v>
      </c>
      <c r="F22" s="28">
        <f>C22-(C22*$E$6)</f>
        <v>45.591197915053819</v>
      </c>
      <c r="G22" s="27" t="str">
        <f>IF(C22&gt;=F22,"-","+")</f>
        <v>+</v>
      </c>
      <c r="H22" s="26">
        <f>C22*D22</f>
        <v>7159.68</v>
      </c>
      <c r="I22" s="26">
        <f>F22*D22</f>
        <v>7221.6457497445253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41.2</v>
      </c>
      <c r="D23" s="30"/>
      <c r="E23" s="29">
        <f>D23/$D$48</f>
        <v>0</v>
      </c>
      <c r="F23" s="28">
        <f>C23-(C23*$E$6)</f>
        <v>41.556578630535782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45.2</v>
      </c>
      <c r="D24" s="22">
        <f>SUM(D21:D23)</f>
        <v>158.4</v>
      </c>
      <c r="E24" s="21">
        <f>D24/$D$48</f>
        <v>4.6086703520512078E-2</v>
      </c>
      <c r="F24" s="20">
        <f>I24/D24</f>
        <v>45.591197915053819</v>
      </c>
      <c r="G24" s="19">
        <f>F24/C24-1</f>
        <v>8.6548211295092159E-3</v>
      </c>
      <c r="H24" s="18">
        <f>SUM(H21:H23)</f>
        <v>7159.68</v>
      </c>
      <c r="I24" s="18">
        <f>SUM(I21:I23)</f>
        <v>7221.6457497445253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35.9</v>
      </c>
      <c r="D26" s="30">
        <v>38</v>
      </c>
      <c r="E26" s="29">
        <f t="shared" ref="E26:E32" si="7">D26/$D$48</f>
        <v>1.1056153622345069E-2</v>
      </c>
      <c r="F26" s="28">
        <f t="shared" ref="F26:F31" si="8">C26-(C26*$E$6)</f>
        <v>36.210708078549381</v>
      </c>
      <c r="G26" s="27" t="str">
        <f t="shared" ref="G26:G31" si="9">IF(C26&gt;=F26,"-","+")</f>
        <v>+</v>
      </c>
      <c r="H26" s="26">
        <f t="shared" ref="H26:H31" si="10">C26*D26</f>
        <v>1364.2</v>
      </c>
      <c r="I26" s="26">
        <f t="shared" ref="I26:I31" si="11">F26*D26</f>
        <v>1376.0069069848764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746.2</v>
      </c>
      <c r="E27" s="29">
        <f t="shared" si="7"/>
        <v>0.21710794297352343</v>
      </c>
      <c r="F27" s="28">
        <f t="shared" si="8"/>
        <v>32.276954276144295</v>
      </c>
      <c r="G27" s="27" t="str">
        <f t="shared" si="9"/>
        <v>+</v>
      </c>
      <c r="H27" s="26">
        <f t="shared" si="10"/>
        <v>23878.400000000001</v>
      </c>
      <c r="I27" s="26">
        <f t="shared" si="11"/>
        <v>24085.063280858874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514.6</v>
      </c>
      <c r="E28" s="29">
        <f t="shared" si="7"/>
        <v>0.14972359615944139</v>
      </c>
      <c r="F28" s="28">
        <f t="shared" si="8"/>
        <v>32.276954276144295</v>
      </c>
      <c r="G28" s="27" t="str">
        <f t="shared" si="9"/>
        <v>+</v>
      </c>
      <c r="H28" s="26">
        <f t="shared" si="10"/>
        <v>16467.2</v>
      </c>
      <c r="I28" s="26">
        <f t="shared" si="11"/>
        <v>16609.720670503855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30.9</v>
      </c>
      <c r="D29" s="30">
        <v>547</v>
      </c>
      <c r="E29" s="29">
        <f t="shared" si="7"/>
        <v>0.15915042187954612</v>
      </c>
      <c r="F29" s="28">
        <f t="shared" si="8"/>
        <v>31.167433972901833</v>
      </c>
      <c r="G29" s="27" t="str">
        <f t="shared" si="9"/>
        <v>+</v>
      </c>
      <c r="H29" s="26">
        <f t="shared" si="10"/>
        <v>16902.3</v>
      </c>
      <c r="I29" s="26">
        <f t="shared" si="11"/>
        <v>17048.586383177302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30.9</v>
      </c>
      <c r="D30" s="30">
        <v>225.2</v>
      </c>
      <c r="E30" s="29">
        <f t="shared" si="7"/>
        <v>6.5522257782950247E-2</v>
      </c>
      <c r="F30" s="28">
        <f t="shared" si="8"/>
        <v>31.167433972901833</v>
      </c>
      <c r="G30" s="27" t="str">
        <f t="shared" si="9"/>
        <v>+</v>
      </c>
      <c r="H30" s="26">
        <f t="shared" si="10"/>
        <v>6958.6799999999994</v>
      </c>
      <c r="I30" s="26">
        <f t="shared" si="11"/>
        <v>7018.9061306974927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31.4</v>
      </c>
      <c r="D31" s="30">
        <v>35.799999999999997</v>
      </c>
      <c r="E31" s="29">
        <f t="shared" si="7"/>
        <v>1.0416060517893511E-2</v>
      </c>
      <c r="F31" s="28">
        <f t="shared" si="8"/>
        <v>31.671761383466588</v>
      </c>
      <c r="G31" s="27" t="str">
        <f t="shared" si="9"/>
        <v>+</v>
      </c>
      <c r="H31" s="26">
        <f t="shared" si="10"/>
        <v>1124.1199999999999</v>
      </c>
      <c r="I31" s="26">
        <f t="shared" si="11"/>
        <v>1133.8490575281037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31.656967913423195</v>
      </c>
      <c r="D32" s="22">
        <f>SUM(D26:D31)</f>
        <v>2106.8000000000002</v>
      </c>
      <c r="E32" s="21">
        <f t="shared" si="7"/>
        <v>0.61297643293569981</v>
      </c>
      <c r="F32" s="20">
        <f>I32/D32</f>
        <v>31.930953308216488</v>
      </c>
      <c r="G32" s="19">
        <f>F32/C32-1</f>
        <v>8.6548211295092159E-3</v>
      </c>
      <c r="H32" s="18">
        <f>SUM(H26:H31)</f>
        <v>66694.899999999994</v>
      </c>
      <c r="I32" s="18">
        <f>SUM(I26:I31)</f>
        <v>67272.132429750505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504</v>
      </c>
      <c r="E34" s="29">
        <f t="shared" ref="E34:E40" si="13">D34/$D$48</f>
        <v>0.14663951120162932</v>
      </c>
      <c r="F34" s="28">
        <f t="shared" ref="F34:F39" si="14">C34-(C34*$E$6)</f>
        <v>19.063576119347722</v>
      </c>
      <c r="G34" s="27" t="str">
        <f t="shared" ref="G34:G39" si="15">IF(C34&gt;=F34,"-","+")</f>
        <v>+</v>
      </c>
      <c r="H34" s="26">
        <f t="shared" ref="H34:H39" si="16">C34*D34</f>
        <v>9525.5999999999985</v>
      </c>
      <c r="I34" s="26">
        <f t="shared" ref="I34:I39" si="17">F34*D34</f>
        <v>9608.0423641512516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14.5</v>
      </c>
      <c r="D35" s="30"/>
      <c r="E35" s="29">
        <f t="shared" si="13"/>
        <v>0</v>
      </c>
      <c r="F35" s="28">
        <f t="shared" si="14"/>
        <v>14.625494906377885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11.801261407215257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30.9</v>
      </c>
      <c r="D37" s="30"/>
      <c r="E37" s="29">
        <f t="shared" si="13"/>
        <v>0</v>
      </c>
      <c r="F37" s="28">
        <f t="shared" si="14"/>
        <v>31.167433972901833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30.9</v>
      </c>
      <c r="D38" s="30"/>
      <c r="E38" s="29">
        <f t="shared" si="13"/>
        <v>0</v>
      </c>
      <c r="F38" s="28">
        <f t="shared" si="14"/>
        <v>31.167433972901833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32.276954276144295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504</v>
      </c>
      <c r="E40" s="21">
        <f t="shared" si="13"/>
        <v>0.14663951120162932</v>
      </c>
      <c r="F40" s="20">
        <f>I40/D40</f>
        <v>19.063576119347722</v>
      </c>
      <c r="G40" s="19">
        <f>F40/C40-1</f>
        <v>8.6548211295092159E-3</v>
      </c>
      <c r="H40" s="18">
        <f>SUM(H34:H39)</f>
        <v>9525.5999999999985</v>
      </c>
      <c r="I40" s="18">
        <f>SUM(I34:I39)</f>
        <v>9608.0423641512516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555</v>
      </c>
      <c r="E42" s="107">
        <f>D42/$D$48</f>
        <v>0.16147803316846088</v>
      </c>
      <c r="F42" s="28">
        <f>C42-(C42*$E$6)</f>
        <v>0.40346192845180373</v>
      </c>
      <c r="G42" s="27" t="str">
        <f>IF(C42&gt;=F42,"-","+")</f>
        <v>+</v>
      </c>
      <c r="H42" s="26">
        <f>C42*D42</f>
        <v>222</v>
      </c>
      <c r="I42" s="26">
        <f>F42*D42</f>
        <v>223.92137029075107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</v>
      </c>
      <c r="E43" s="107">
        <f>D43/$D$48</f>
        <v>1.7457084666860634E-3</v>
      </c>
      <c r="F43" s="28">
        <f>C43-(C43*$E$6)</f>
        <v>0.40346192845180373</v>
      </c>
      <c r="G43" s="27" t="str">
        <f>IF(C43&gt;=F43,"-","+")</f>
        <v>+</v>
      </c>
      <c r="H43" s="26">
        <f>C43*D43</f>
        <v>2.4000000000000004</v>
      </c>
      <c r="I43" s="26">
        <f>F43*D43</f>
        <v>2.4207715707108224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106</v>
      </c>
      <c r="E44" s="107">
        <f>D44/$D$48</f>
        <v>3.0840849578120454E-2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0.8</v>
      </c>
      <c r="E45" s="107">
        <f>D45/$D$48</f>
        <v>2.3276112889147513E-4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0.33602875112309077</v>
      </c>
      <c r="D46" s="22">
        <f>SUM(D41:D45)</f>
        <v>667.8</v>
      </c>
      <c r="E46" s="21">
        <f>D46/$D$48</f>
        <v>0.19429735234215884</v>
      </c>
      <c r="F46" s="20">
        <f>I46/D46</f>
        <v>0.33893701985843355</v>
      </c>
      <c r="G46" s="19">
        <f>F46/C46-1</f>
        <v>8.6548211295094379E-3</v>
      </c>
      <c r="H46" s="18">
        <f>SUM(H41:H44)</f>
        <v>224.4</v>
      </c>
      <c r="I46" s="18">
        <f>SUM(I41:I44)</f>
        <v>226.3421418614619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96.092996664546305</v>
      </c>
      <c r="D48" s="13">
        <f>D24+D32+D40+D46</f>
        <v>3437</v>
      </c>
      <c r="E48" s="12">
        <f>SUM(E20:E46)/2</f>
        <v>1.0000000000000002</v>
      </c>
      <c r="F48" s="11">
        <f>I48/D48</f>
        <v>24.535397930028434</v>
      </c>
      <c r="G48" s="10"/>
      <c r="H48" s="9">
        <f>SUM(H20:H46)/2</f>
        <v>83604.579999999987</v>
      </c>
      <c r="I48" s="9">
        <f>SUM(I20:I46)/2</f>
        <v>84328.162685507734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17108.100000000006</v>
      </c>
      <c r="E50" s="12">
        <f>D50/G2</f>
        <v>1.0000116905055563</v>
      </c>
      <c r="F50" s="11">
        <f>I50/D50</f>
        <v>26.749687282632202</v>
      </c>
      <c r="G50" s="10"/>
      <c r="H50" s="9">
        <f>H48+H19</f>
        <v>453709.54999999993</v>
      </c>
      <c r="I50" s="9">
        <f>I48+I19</f>
        <v>457636.32500000013</v>
      </c>
      <c r="J50" s="106">
        <f>D50-G2</f>
        <v>0.20000000000436557</v>
      </c>
      <c r="K50" s="8"/>
    </row>
    <row r="51" spans="1:11" ht="23.25" x14ac:dyDescent="0.35">
      <c r="A51" s="174" t="s">
        <v>289</v>
      </c>
      <c r="B51" s="169"/>
      <c r="C51" s="170"/>
      <c r="G51" s="7"/>
      <c r="H51" s="6"/>
      <c r="I51" s="6">
        <f>+I50/D50</f>
        <v>26.749687282632202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280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287</v>
      </c>
      <c r="D2" s="96" t="s">
        <v>3</v>
      </c>
      <c r="E2" s="95" t="s">
        <v>71</v>
      </c>
      <c r="F2" s="94" t="s">
        <v>5</v>
      </c>
      <c r="G2" s="93">
        <v>4348.8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60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5</v>
      </c>
      <c r="D4" s="83" t="s">
        <v>11</v>
      </c>
      <c r="E4" s="82">
        <f>G2/E3</f>
        <v>72.48</v>
      </c>
      <c r="F4" s="81" t="s">
        <v>12</v>
      </c>
      <c r="G4" s="80">
        <f>G2*G3</f>
        <v>121766.40000000001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-1.3815676416636391E-2</v>
      </c>
      <c r="F6" s="69" t="s">
        <v>16</v>
      </c>
      <c r="G6" s="68">
        <f>(I50-I19)/(D50-(SUM(D42:D44)+D19))</f>
        <v>32.460760829560463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28.386838939665818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1790.1</v>
      </c>
      <c r="E11" s="29">
        <f t="shared" si="1"/>
        <v>0.42411391205458687</v>
      </c>
      <c r="F11" s="28">
        <f t="shared" si="2"/>
        <v>29.603417751365782</v>
      </c>
      <c r="G11" s="27" t="str">
        <f t="shared" si="3"/>
        <v>+</v>
      </c>
      <c r="H11" s="34">
        <f t="shared" si="4"/>
        <v>52270.92</v>
      </c>
      <c r="I11" s="34">
        <f t="shared" si="5"/>
        <v>52993.078116719887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2348.3000000000002</v>
      </c>
      <c r="E12" s="29">
        <f t="shared" si="1"/>
        <v>0.55636372251705857</v>
      </c>
      <c r="F12" s="28">
        <f t="shared" si="2"/>
        <v>26.967496992682531</v>
      </c>
      <c r="G12" s="27" t="str">
        <f t="shared" si="3"/>
        <v>+</v>
      </c>
      <c r="H12" s="34">
        <f t="shared" si="4"/>
        <v>62464.780000000006</v>
      </c>
      <c r="I12" s="34">
        <f t="shared" si="5"/>
        <v>63327.773187916391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29.603417751365782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64.400000000000006</v>
      </c>
      <c r="E14" s="29">
        <f t="shared" si="1"/>
        <v>1.5257771038665659E-2</v>
      </c>
      <c r="F14" s="28">
        <f t="shared" si="2"/>
        <v>33.050391051182345</v>
      </c>
      <c r="G14" s="27" t="str">
        <f t="shared" si="3"/>
        <v>+</v>
      </c>
      <c r="H14" s="34">
        <f t="shared" si="4"/>
        <v>2099.44</v>
      </c>
      <c r="I14" s="34">
        <f t="shared" si="5"/>
        <v>2128.445183696143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27.271641695607517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>
        <v>18</v>
      </c>
      <c r="E16" s="29">
        <f t="shared" si="1"/>
        <v>4.2645943896891594E-3</v>
      </c>
      <c r="F16" s="28">
        <f t="shared" si="2"/>
        <v>37.308416892132215</v>
      </c>
      <c r="G16" s="27" t="str">
        <f t="shared" si="3"/>
        <v>+</v>
      </c>
      <c r="H16" s="34">
        <f t="shared" si="4"/>
        <v>662.4</v>
      </c>
      <c r="I16" s="34">
        <f t="shared" si="5"/>
        <v>671.55150405837981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54.948809661781695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48.054863062148563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27.837741660348755</v>
      </c>
      <c r="D19" s="49">
        <f>SUM(D10:D18)</f>
        <v>4220.7999999999993</v>
      </c>
      <c r="E19" s="48">
        <f t="shared" si="1"/>
        <v>1</v>
      </c>
      <c r="F19" s="47">
        <f>I19/D19</f>
        <v>28.222338891298055</v>
      </c>
      <c r="G19" s="46">
        <f>F19/C19-1</f>
        <v>1.3815676416636613E-2</v>
      </c>
      <c r="H19" s="9">
        <f>SUM(H10:H18)</f>
        <v>117497.54000000001</v>
      </c>
      <c r="I19" s="9">
        <f>SUM(I10:I18)</f>
        <v>119120.8479923908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/>
      <c r="E21" s="29">
        <f>D21/$D$48</f>
        <v>0</v>
      </c>
      <c r="F21" s="28">
        <f>C21-(C21*$E$6)</f>
        <v>71.372623619731215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4.0999999999999996</v>
      </c>
      <c r="E22" s="29">
        <f>D22/$D$48</f>
        <v>3.2031249999999997E-2</v>
      </c>
      <c r="F22" s="28">
        <f>C22-(C22*$E$6)</f>
        <v>47.953481494506896</v>
      </c>
      <c r="G22" s="27" t="str">
        <f>IF(C22&gt;=F22,"-","+")</f>
        <v>+</v>
      </c>
      <c r="H22" s="26">
        <f>C22*D22</f>
        <v>193.92999999999998</v>
      </c>
      <c r="I22" s="26">
        <f>F22*D22</f>
        <v>196.60927412747824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/>
      <c r="E23" s="29">
        <f>D23/$D$48</f>
        <v>0</v>
      </c>
      <c r="F23" s="28">
        <f>C23-(C23*$E$6)</f>
        <v>43.695455653557033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</v>
      </c>
      <c r="D24" s="22">
        <f>SUM(D21:D23)</f>
        <v>4.0999999999999996</v>
      </c>
      <c r="E24" s="21">
        <f>D24/$D$48</f>
        <v>3.2031249999999997E-2</v>
      </c>
      <c r="F24" s="20">
        <f>I24/D24</f>
        <v>47.953481494506896</v>
      </c>
      <c r="G24" s="19">
        <f>F24/C24-1</f>
        <v>1.3815676416636391E-2</v>
      </c>
      <c r="H24" s="18">
        <f>SUM(H21:H23)</f>
        <v>193.92999999999998</v>
      </c>
      <c r="I24" s="18">
        <f>SUM(I21:I23)</f>
        <v>196.60927412747824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/>
      <c r="E26" s="29">
        <f t="shared" ref="E26:E32" si="7">D26/$D$48</f>
        <v>0</v>
      </c>
      <c r="F26" s="28">
        <f t="shared" ref="F26:F31" si="8">C26-(C26*$E$6)</f>
        <v>38.119469433265529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18.600000000000001</v>
      </c>
      <c r="E27" s="29">
        <f t="shared" si="7"/>
        <v>0.14531250000000001</v>
      </c>
      <c r="F27" s="28">
        <f t="shared" si="8"/>
        <v>33.962825159957319</v>
      </c>
      <c r="G27" s="27" t="str">
        <f t="shared" si="9"/>
        <v>+</v>
      </c>
      <c r="H27" s="26">
        <f t="shared" si="10"/>
        <v>623.1</v>
      </c>
      <c r="I27" s="26">
        <f t="shared" si="11"/>
        <v>631.70854797520622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15</v>
      </c>
      <c r="E28" s="29">
        <f t="shared" si="7"/>
        <v>0.1171875</v>
      </c>
      <c r="F28" s="28">
        <f t="shared" si="8"/>
        <v>33.962825159957319</v>
      </c>
      <c r="G28" s="27" t="str">
        <f t="shared" si="9"/>
        <v>+</v>
      </c>
      <c r="H28" s="26">
        <f t="shared" si="10"/>
        <v>502.5</v>
      </c>
      <c r="I28" s="26">
        <f t="shared" si="11"/>
        <v>509.44237739935977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11</v>
      </c>
      <c r="E29" s="29">
        <f t="shared" si="7"/>
        <v>8.59375E-2</v>
      </c>
      <c r="F29" s="28">
        <f t="shared" si="8"/>
        <v>32.746246348257351</v>
      </c>
      <c r="G29" s="27" t="str">
        <f t="shared" si="9"/>
        <v>+</v>
      </c>
      <c r="H29" s="26">
        <f t="shared" si="10"/>
        <v>355.29999999999995</v>
      </c>
      <c r="I29" s="26">
        <f t="shared" si="11"/>
        <v>360.20870983083086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19.2</v>
      </c>
      <c r="E30" s="29">
        <f t="shared" si="7"/>
        <v>0.15</v>
      </c>
      <c r="F30" s="28">
        <f t="shared" si="8"/>
        <v>32.746246348257351</v>
      </c>
      <c r="G30" s="27" t="str">
        <f t="shared" si="9"/>
        <v>+</v>
      </c>
      <c r="H30" s="26">
        <f t="shared" si="10"/>
        <v>620.16</v>
      </c>
      <c r="I30" s="26">
        <f t="shared" si="11"/>
        <v>628.72792988654112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4</v>
      </c>
      <c r="E31" s="29">
        <f t="shared" si="7"/>
        <v>3.125E-2</v>
      </c>
      <c r="F31" s="28">
        <f t="shared" si="8"/>
        <v>33.354535754107339</v>
      </c>
      <c r="G31" s="27" t="str">
        <f t="shared" si="9"/>
        <v>+</v>
      </c>
      <c r="H31" s="26">
        <f t="shared" si="10"/>
        <v>131.6</v>
      </c>
      <c r="I31" s="26">
        <f t="shared" si="11"/>
        <v>133.41814301642935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32.93008849557522</v>
      </c>
      <c r="D32" s="22">
        <f>SUM(D26:D31)</f>
        <v>67.8</v>
      </c>
      <c r="E32" s="21">
        <f t="shared" si="7"/>
        <v>0.52968749999999998</v>
      </c>
      <c r="F32" s="20">
        <f>I32/D32</f>
        <v>33.385039942601288</v>
      </c>
      <c r="G32" s="19">
        <f>F32/C32-1</f>
        <v>1.3815676416636391E-2</v>
      </c>
      <c r="H32" s="18">
        <f>SUM(H26:H31)</f>
        <v>2232.66</v>
      </c>
      <c r="I32" s="18">
        <f>SUM(I26:I31)</f>
        <v>2263.5057081083673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8.6999999999999993</v>
      </c>
      <c r="E34" s="29">
        <f t="shared" ref="E34:E40" si="13">D34/$D$48</f>
        <v>6.7968749999999994E-2</v>
      </c>
      <c r="F34" s="28">
        <f t="shared" ref="F34:F39" si="14">C34-(C34*$E$6)</f>
        <v>20.073550393049402</v>
      </c>
      <c r="G34" s="27" t="str">
        <f t="shared" ref="G34:G39" si="15">IF(C34&gt;=F34,"-","+")</f>
        <v>+</v>
      </c>
      <c r="H34" s="26">
        <f t="shared" ref="H34:H39" si="16">C34*D34</f>
        <v>172.26</v>
      </c>
      <c r="I34" s="26">
        <f t="shared" ref="I34:I39" si="17">F34*D34</f>
        <v>174.63988841952977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15.409998281532872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12.368551252282963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32.746246348257351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32.746246348257351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33.962825159957319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8.6999999999999993</v>
      </c>
      <c r="E40" s="21">
        <f t="shared" si="13"/>
        <v>6.7968749999999994E-2</v>
      </c>
      <c r="F40" s="20">
        <f>I40/D40</f>
        <v>20.073550393049402</v>
      </c>
      <c r="G40" s="19">
        <f>F40/C40-1</f>
        <v>1.3815676416636391E-2</v>
      </c>
      <c r="H40" s="18">
        <f>SUM(H34:H39)</f>
        <v>172.26</v>
      </c>
      <c r="I40" s="18">
        <f>SUM(I34:I39)</f>
        <v>174.63988841952977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21</v>
      </c>
      <c r="E42" s="107">
        <f>D42/$D$48</f>
        <v>0.1640625</v>
      </c>
      <c r="F42" s="28">
        <f>C42-(C42*$E$6)</f>
        <v>0.5069078382083182</v>
      </c>
      <c r="G42" s="27" t="str">
        <f>IF(C42&gt;=F42,"-","+")</f>
        <v>+</v>
      </c>
      <c r="H42" s="26">
        <f>C42*D42</f>
        <v>10.5</v>
      </c>
      <c r="I42" s="26">
        <f>F42*D42</f>
        <v>10.645064602374681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0.3</v>
      </c>
      <c r="E43" s="107">
        <f>D43/$D$48</f>
        <v>2.3437499999999999E-3</v>
      </c>
      <c r="F43" s="28">
        <f>C43-(C43*$E$6)</f>
        <v>0.5069078382083182</v>
      </c>
      <c r="G43" s="27" t="str">
        <f>IF(C43&gt;=F43,"-","+")</f>
        <v>+</v>
      </c>
      <c r="H43" s="26">
        <f>C43*D43</f>
        <v>0.15</v>
      </c>
      <c r="I43" s="26">
        <f>F43*D43</f>
        <v>0.15207235146249545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25.2</v>
      </c>
      <c r="E44" s="107">
        <f>D44/$D$48</f>
        <v>0.19687499999999999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0.9</v>
      </c>
      <c r="E45" s="107">
        <f>D45/$D$48</f>
        <v>7.0312500000000002E-3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0.22468354430379747</v>
      </c>
      <c r="D46" s="22">
        <f>SUM(D41:D45)</f>
        <v>47.4</v>
      </c>
      <c r="E46" s="21">
        <f>D46/$D$48</f>
        <v>0.37031249999999999</v>
      </c>
      <c r="F46" s="20">
        <f>I46/D46</f>
        <v>0.2277876994480417</v>
      </c>
      <c r="G46" s="19">
        <f>F46/C46-1</f>
        <v>1.3815676416636169E-2</v>
      </c>
      <c r="H46" s="18">
        <f>SUM(H41:H44)</f>
        <v>10.65</v>
      </c>
      <c r="I46" s="18">
        <f>SUM(I41:I44)</f>
        <v>10.797136953837176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100.25477203987901</v>
      </c>
      <c r="D48" s="13">
        <f>D24+D32+D40+D46</f>
        <v>128</v>
      </c>
      <c r="E48" s="12">
        <f>SUM(E20:E46)/2</f>
        <v>1</v>
      </c>
      <c r="F48" s="11">
        <f>I48/D48</f>
        <v>20.668375059446973</v>
      </c>
      <c r="G48" s="10"/>
      <c r="H48" s="9">
        <f>SUM(H20:H46)/2</f>
        <v>2609.5</v>
      </c>
      <c r="I48" s="9">
        <f>SUM(I20:I46)/2</f>
        <v>2645.5520076092125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4348.8</v>
      </c>
      <c r="E50" s="12">
        <f>D50/G2</f>
        <v>1</v>
      </c>
      <c r="F50" s="11">
        <f>I50/D50</f>
        <v>28</v>
      </c>
      <c r="G50" s="10"/>
      <c r="H50" s="9">
        <f>H48+H19</f>
        <v>120107.04000000001</v>
      </c>
      <c r="I50" s="9">
        <f>I48+I19</f>
        <v>121766.40000000001</v>
      </c>
      <c r="J50" s="106">
        <f>D50-G2</f>
        <v>0</v>
      </c>
      <c r="K50" s="8"/>
    </row>
    <row r="51" spans="1:11" ht="23.25" x14ac:dyDescent="0.35">
      <c r="A51" s="174" t="s">
        <v>290</v>
      </c>
      <c r="B51" s="169"/>
      <c r="C51" s="170"/>
      <c r="G51" s="7"/>
      <c r="H51" s="6"/>
      <c r="I51" s="6">
        <f>+I50/D50</f>
        <v>28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291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291</v>
      </c>
      <c r="D2" s="96" t="s">
        <v>3</v>
      </c>
      <c r="E2" s="95" t="s">
        <v>71</v>
      </c>
      <c r="F2" s="94" t="s">
        <v>5</v>
      </c>
      <c r="G2" s="93">
        <v>14769.2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232</v>
      </c>
      <c r="F3" s="88" t="s">
        <v>8</v>
      </c>
      <c r="G3" s="87">
        <v>27.15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63.660344827586208</v>
      </c>
      <c r="F4" s="81" t="s">
        <v>12</v>
      </c>
      <c r="G4" s="80">
        <f>G2*G3</f>
        <v>400983.77999999997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-1.3289948954906983E-2</v>
      </c>
      <c r="F6" s="69" t="s">
        <v>16</v>
      </c>
      <c r="G6" s="68">
        <f>(I50-I19)/(D50-(SUM(D42:D44)+D19))</f>
        <v>32.712807459800757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 t="e">
        <f t="shared" ref="E10:E19" si="1">D10/$D$19</f>
        <v>#DIV/0!</v>
      </c>
      <c r="F10" s="28">
        <f t="shared" ref="F10:F18" si="2">C10-(C10*$E$6)</f>
        <v>27.561486611573468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28.3</v>
      </c>
      <c r="D11" s="30"/>
      <c r="E11" s="29" t="e">
        <f t="shared" si="1"/>
        <v>#DIV/0!</v>
      </c>
      <c r="F11" s="28">
        <f t="shared" si="2"/>
        <v>28.676105555423867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25.8</v>
      </c>
      <c r="D12" s="30"/>
      <c r="E12" s="29" t="e">
        <f t="shared" si="1"/>
        <v>#DIV/0!</v>
      </c>
      <c r="F12" s="28">
        <f t="shared" si="2"/>
        <v>26.142880683036601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 t="e">
        <f t="shared" si="1"/>
        <v>#DIV/0!</v>
      </c>
      <c r="F13" s="28">
        <f t="shared" si="2"/>
        <v>28.676105555423867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31.6</v>
      </c>
      <c r="D14" s="30"/>
      <c r="E14" s="29" t="e">
        <f t="shared" si="1"/>
        <v>#DIV/0!</v>
      </c>
      <c r="F14" s="28">
        <f t="shared" si="2"/>
        <v>32.01996238697506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26.1</v>
      </c>
      <c r="D15" s="30"/>
      <c r="E15" s="29" t="e">
        <f t="shared" si="1"/>
        <v>#DIV/0!</v>
      </c>
      <c r="F15" s="28">
        <f t="shared" si="2"/>
        <v>26.446867667723073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35.700000000000003</v>
      </c>
      <c r="D16" s="30"/>
      <c r="E16" s="29" t="e">
        <f t="shared" si="1"/>
        <v>#DIV/0!</v>
      </c>
      <c r="F16" s="28">
        <f t="shared" si="2"/>
        <v>36.17445117769018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52.5</v>
      </c>
      <c r="D17" s="30"/>
      <c r="E17" s="29" t="e">
        <f t="shared" si="1"/>
        <v>#DIV/0!</v>
      </c>
      <c r="F17" s="28">
        <f t="shared" si="2"/>
        <v>53.19772232013262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</v>
      </c>
      <c r="D18" s="30"/>
      <c r="E18" s="29" t="e">
        <f t="shared" si="1"/>
        <v>#DIV/0!</v>
      </c>
      <c r="F18" s="28">
        <f t="shared" si="2"/>
        <v>46.611337651925723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68.3</v>
      </c>
      <c r="D21" s="30">
        <v>199.2</v>
      </c>
      <c r="E21" s="29">
        <f>D21/$D$48</f>
        <v>1.3487528099016871E-2</v>
      </c>
      <c r="F21" s="28">
        <f>C21-(C21*$E$6)</f>
        <v>69.207703513620146</v>
      </c>
      <c r="G21" s="27" t="str">
        <f>IF(C21&gt;=F21,"-","+")</f>
        <v>+</v>
      </c>
      <c r="H21" s="26">
        <f>C21*D21</f>
        <v>13605.359999999999</v>
      </c>
      <c r="I21" s="26">
        <f>F21*D21</f>
        <v>13786.174539913132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464</v>
      </c>
      <c r="E22" s="29">
        <f>D22/$D$48</f>
        <v>3.141673211819191E-2</v>
      </c>
      <c r="F22" s="28">
        <f>C22-(C22*$E$6)</f>
        <v>46.510008657030227</v>
      </c>
      <c r="G22" s="27" t="str">
        <f>IF(C22&gt;=F22,"-","+")</f>
        <v>+</v>
      </c>
      <c r="H22" s="26">
        <f>C22*D22</f>
        <v>21297.599999999999</v>
      </c>
      <c r="I22" s="26">
        <f>F22*D22</f>
        <v>21580.644016862025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41.8</v>
      </c>
      <c r="D23" s="30">
        <v>373</v>
      </c>
      <c r="E23" s="29">
        <f>D23/$D$48</f>
        <v>2.5255260948460308E-2</v>
      </c>
      <c r="F23" s="28">
        <f>C23-(C23*$E$6)</f>
        <v>42.355519866315106</v>
      </c>
      <c r="G23" s="27" t="str">
        <f>IF(C23&gt;=F23,"-","+")</f>
        <v>+</v>
      </c>
      <c r="H23" s="26">
        <f>C23*D23</f>
        <v>15591.4</v>
      </c>
      <c r="I23" s="26">
        <f>F23*D23</f>
        <v>15798.608910135534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48.730322331596213</v>
      </c>
      <c r="D24" s="22">
        <f>SUM(D21:D23)</f>
        <v>1036.2</v>
      </c>
      <c r="E24" s="21">
        <f>D24/$D$48</f>
        <v>7.0159521165669092E-2</v>
      </c>
      <c r="F24" s="20">
        <f>I24/D24</f>
        <v>49.377945827939286</v>
      </c>
      <c r="G24" s="19">
        <f>F24/C24-1</f>
        <v>1.3289948954906983E-2</v>
      </c>
      <c r="H24" s="18">
        <f>SUM(H21:H23)</f>
        <v>50494.36</v>
      </c>
      <c r="I24" s="18">
        <f>SUM(I21:I23)</f>
        <v>51165.427466910689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36.4</v>
      </c>
      <c r="D26" s="30">
        <v>2890</v>
      </c>
      <c r="E26" s="29">
        <f t="shared" ref="E26:E32" si="7">D26/$D$48</f>
        <v>0.19567749099477288</v>
      </c>
      <c r="F26" s="28">
        <f t="shared" ref="F26:F31" si="8">C26-(C26*$E$6)</f>
        <v>36.883754141958612</v>
      </c>
      <c r="G26" s="27" t="str">
        <f t="shared" ref="G26:G31" si="9">IF(C26&gt;=F26,"-","+")</f>
        <v>+</v>
      </c>
      <c r="H26" s="26">
        <f t="shared" ref="H26:H31" si="10">C26*D26</f>
        <v>105196</v>
      </c>
      <c r="I26" s="26">
        <f t="shared" ref="I26:I31" si="11">F26*D26</f>
        <v>106594.04947026039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32.4</v>
      </c>
      <c r="D27" s="30">
        <v>2257.6</v>
      </c>
      <c r="E27" s="29">
        <f t="shared" si="7"/>
        <v>0.15285865178885788</v>
      </c>
      <c r="F27" s="28">
        <f t="shared" si="8"/>
        <v>32.830594346138987</v>
      </c>
      <c r="G27" s="27" t="str">
        <f t="shared" si="9"/>
        <v>+</v>
      </c>
      <c r="H27" s="26">
        <f t="shared" si="10"/>
        <v>73146.239999999991</v>
      </c>
      <c r="I27" s="26">
        <f t="shared" si="11"/>
        <v>74118.349795843373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32.4</v>
      </c>
      <c r="D28" s="30">
        <v>1385.6</v>
      </c>
      <c r="E28" s="29">
        <f t="shared" si="7"/>
        <v>9.381686211846274E-2</v>
      </c>
      <c r="F28" s="28">
        <f t="shared" si="8"/>
        <v>32.830594346138987</v>
      </c>
      <c r="G28" s="27" t="str">
        <f t="shared" si="9"/>
        <v>+</v>
      </c>
      <c r="H28" s="26">
        <f t="shared" si="10"/>
        <v>44893.439999999995</v>
      </c>
      <c r="I28" s="26">
        <f t="shared" si="11"/>
        <v>45490.071526010179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1265</v>
      </c>
      <c r="E29" s="29">
        <f t="shared" si="7"/>
        <v>8.5651220106708545E-2</v>
      </c>
      <c r="F29" s="28">
        <f t="shared" si="8"/>
        <v>31.817304397184078</v>
      </c>
      <c r="G29" s="27" t="str">
        <f t="shared" si="9"/>
        <v>+</v>
      </c>
      <c r="H29" s="26">
        <f t="shared" si="10"/>
        <v>39721</v>
      </c>
      <c r="I29" s="26">
        <f t="shared" si="11"/>
        <v>40248.890062437858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834.2</v>
      </c>
      <c r="E30" s="29">
        <f t="shared" si="7"/>
        <v>5.6482409338352788E-2</v>
      </c>
      <c r="F30" s="28">
        <f t="shared" si="8"/>
        <v>31.817304397184078</v>
      </c>
      <c r="G30" s="27" t="str">
        <f t="shared" si="9"/>
        <v>+</v>
      </c>
      <c r="H30" s="26">
        <f t="shared" si="10"/>
        <v>26193.88</v>
      </c>
      <c r="I30" s="26">
        <f t="shared" si="11"/>
        <v>26541.995328130961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31.9</v>
      </c>
      <c r="D31" s="30">
        <v>429.8</v>
      </c>
      <c r="E31" s="29">
        <f t="shared" si="7"/>
        <v>2.9101102293963111E-2</v>
      </c>
      <c r="F31" s="28">
        <f t="shared" si="8"/>
        <v>32.323949371661534</v>
      </c>
      <c r="G31" s="27" t="str">
        <f t="shared" si="9"/>
        <v>+</v>
      </c>
      <c r="H31" s="26">
        <f t="shared" si="10"/>
        <v>13710.619999999999</v>
      </c>
      <c r="I31" s="26">
        <f t="shared" si="11"/>
        <v>13892.833439940128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33.42027101586811</v>
      </c>
      <c r="D32" s="22">
        <f>SUM(D26:D31)</f>
        <v>9062.2000000000007</v>
      </c>
      <c r="E32" s="21">
        <f t="shared" si="7"/>
        <v>0.61358773664111799</v>
      </c>
      <c r="F32" s="20">
        <f>I32/D32</f>
        <v>33.864424711728148</v>
      </c>
      <c r="G32" s="19">
        <f>F32/C32-1</f>
        <v>1.3289948954906761E-2</v>
      </c>
      <c r="H32" s="18">
        <f>SUM(H26:H31)</f>
        <v>302861.18</v>
      </c>
      <c r="I32" s="18">
        <f>SUM(I26:I31)</f>
        <v>306886.18962262286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2154.4</v>
      </c>
      <c r="E34" s="29">
        <f t="shared" ref="E34:E40" si="13">D34/$D$48</f>
        <v>0.14587113723153589</v>
      </c>
      <c r="F34" s="28">
        <f t="shared" ref="F34:F39" si="14">C34-(C34*$E$6)</f>
        <v>19.455167019934212</v>
      </c>
      <c r="G34" s="27" t="str">
        <f t="shared" ref="G34:G39" si="15">IF(C34&gt;=F34,"-","+")</f>
        <v>+</v>
      </c>
      <c r="H34" s="26">
        <f t="shared" ref="H34:H39" si="16">C34*D34</f>
        <v>41364.480000000003</v>
      </c>
      <c r="I34" s="26">
        <f t="shared" ref="I34:I39" si="17">F34*D34</f>
        <v>41914.211827746265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/>
      <c r="E35" s="29">
        <f t="shared" si="13"/>
        <v>0</v>
      </c>
      <c r="F35" s="28">
        <f t="shared" si="14"/>
        <v>14.996691244532624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12.058150392563393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31.817304397184078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31.817304397184078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32.4</v>
      </c>
      <c r="D39" s="30"/>
      <c r="E39" s="29">
        <f t="shared" si="13"/>
        <v>0</v>
      </c>
      <c r="F39" s="28">
        <f t="shared" si="14"/>
        <v>32.830594346138987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</v>
      </c>
      <c r="D40" s="22">
        <f>SUM(D34:D39)</f>
        <v>2154.4</v>
      </c>
      <c r="E40" s="21">
        <f t="shared" si="13"/>
        <v>0.14587113723153589</v>
      </c>
      <c r="F40" s="20">
        <f>I40/D40</f>
        <v>19.455167019934212</v>
      </c>
      <c r="G40" s="19">
        <f>F40/C40-1</f>
        <v>1.3289948954906983E-2</v>
      </c>
      <c r="H40" s="18">
        <f>SUM(H34:H39)</f>
        <v>41364.480000000003</v>
      </c>
      <c r="I40" s="18">
        <f>SUM(I34:I39)</f>
        <v>41914.211827746265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2392</v>
      </c>
      <c r="E42" s="107">
        <f>D42/$D$48</f>
        <v>0.16195867074723072</v>
      </c>
      <c r="F42" s="28">
        <f>C42-(C42*$E$6)</f>
        <v>0.4053159795819628</v>
      </c>
      <c r="G42" s="27" t="str">
        <f>IF(C42&gt;=F42,"-","+")</f>
        <v>+</v>
      </c>
      <c r="H42" s="26">
        <f>C42*D42</f>
        <v>956.80000000000007</v>
      </c>
      <c r="I42" s="26">
        <f>F42*D42</f>
        <v>969.51582316005499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119.5</v>
      </c>
      <c r="E43" s="107">
        <f>D43/$D$48</f>
        <v>8.0911626899222711E-3</v>
      </c>
      <c r="F43" s="28">
        <f>C43-(C43*$E$6)</f>
        <v>0.4053159795819628</v>
      </c>
      <c r="G43" s="27" t="str">
        <f>IF(C43&gt;=F43,"-","+")</f>
        <v>+</v>
      </c>
      <c r="H43" s="26">
        <f>C43*D43</f>
        <v>47.800000000000004</v>
      </c>
      <c r="I43" s="26">
        <f>F43*D43</f>
        <v>48.435259560044557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4.9000000000000004</v>
      </c>
      <c r="E45" s="107">
        <f>D45/$D$48</f>
        <v>3.3177152452400942E-4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0.39922110952153872</v>
      </c>
      <c r="D46" s="22">
        <f>SUM(D41:D45)</f>
        <v>2516.4</v>
      </c>
      <c r="E46" s="21">
        <f>D46/$D$48</f>
        <v>0.17038160496167701</v>
      </c>
      <c r="F46" s="20">
        <f>I46/D46</f>
        <v>0.40452673768880126</v>
      </c>
      <c r="G46" s="19">
        <f>F46/C46-1</f>
        <v>1.3289948954906983E-2</v>
      </c>
      <c r="H46" s="18">
        <f>SUM(H41:H44)</f>
        <v>1004.6</v>
      </c>
      <c r="I46" s="18">
        <f>SUM(I41:I44)</f>
        <v>1017.9510827200995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101.74981445698586</v>
      </c>
      <c r="D48" s="13">
        <f>D24+D32+D40+D46</f>
        <v>14769.2</v>
      </c>
      <c r="E48" s="12">
        <f>SUM(E20:E46)/2</f>
        <v>1</v>
      </c>
      <c r="F48" s="11">
        <f>I48/D48</f>
        <v>27.149999999999988</v>
      </c>
      <c r="G48" s="10"/>
      <c r="H48" s="9">
        <f>SUM(H20:H46)/2</f>
        <v>395724.62</v>
      </c>
      <c r="I48" s="9">
        <f>SUM(I20:I46)/2</f>
        <v>400983.77999999985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14769.200000000004</v>
      </c>
      <c r="E50" s="12">
        <f>D50/G2</f>
        <v>1.0000000000000002</v>
      </c>
      <c r="F50" s="11">
        <f>I50/D50</f>
        <v>27.149999999999981</v>
      </c>
      <c r="G50" s="10"/>
      <c r="H50" s="9">
        <f>H48+H19</f>
        <v>395724.62</v>
      </c>
      <c r="I50" s="9">
        <f>I48+I19</f>
        <v>400983.77999999985</v>
      </c>
      <c r="J50" s="106">
        <f>D50-G2</f>
        <v>0</v>
      </c>
      <c r="K50" s="8"/>
    </row>
    <row r="51" spans="1:11" ht="23.25" x14ac:dyDescent="0.35">
      <c r="A51" s="174" t="s">
        <v>292</v>
      </c>
      <c r="B51" s="169"/>
      <c r="C51" s="170"/>
      <c r="G51" s="7"/>
      <c r="H51" s="6"/>
      <c r="I51" s="6">
        <f>+I50/D50</f>
        <v>27.149999999999981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293</v>
      </c>
      <c r="D1" s="100" t="s">
        <v>1</v>
      </c>
      <c r="E1" s="168" t="s">
        <v>294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295</v>
      </c>
      <c r="D2" s="96" t="s">
        <v>3</v>
      </c>
      <c r="E2" s="95" t="s">
        <v>71</v>
      </c>
      <c r="F2" s="94" t="s">
        <v>5</v>
      </c>
      <c r="G2" s="93">
        <v>5605.8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80</v>
      </c>
      <c r="F3" s="88" t="s">
        <v>8</v>
      </c>
      <c r="G3" s="87">
        <v>25.75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5</v>
      </c>
      <c r="D4" s="83" t="s">
        <v>11</v>
      </c>
      <c r="E4" s="82">
        <f>G2/E3</f>
        <v>70.072500000000005</v>
      </c>
      <c r="F4" s="81" t="s">
        <v>12</v>
      </c>
      <c r="G4" s="80">
        <f>G2*G3</f>
        <v>144349.35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-1.0303320528868065E-2</v>
      </c>
      <c r="F6" s="69" t="s">
        <v>16</v>
      </c>
      <c r="G6" s="68">
        <f>(I50-I19)/(D50-(SUM(D42:D44)+D19))</f>
        <v>32.796960627549915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25.8</v>
      </c>
      <c r="D10" s="30"/>
      <c r="E10" s="29">
        <f t="shared" ref="E10:E19" si="1">D10/$D$19</f>
        <v>0</v>
      </c>
      <c r="F10" s="28">
        <f t="shared" ref="F10:F18" si="2">C10-(C10*$E$6)</f>
        <v>26.065825669644799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26.8</v>
      </c>
      <c r="D11" s="30">
        <v>2357.1999999999998</v>
      </c>
      <c r="E11" s="29">
        <f t="shared" si="1"/>
        <v>0.43195103626468262</v>
      </c>
      <c r="F11" s="28">
        <f t="shared" si="2"/>
        <v>27.076128990173665</v>
      </c>
      <c r="G11" s="27" t="str">
        <f t="shared" si="3"/>
        <v>+</v>
      </c>
      <c r="H11" s="34">
        <f t="shared" si="4"/>
        <v>63172.959999999999</v>
      </c>
      <c r="I11" s="34">
        <f t="shared" si="5"/>
        <v>63823.851255637361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>
        <v>3095.8</v>
      </c>
      <c r="E12" s="29">
        <f t="shared" si="1"/>
        <v>0.5672976489344157</v>
      </c>
      <c r="F12" s="28">
        <f t="shared" si="2"/>
        <v>24.752431352957267</v>
      </c>
      <c r="G12" s="27" t="str">
        <f t="shared" si="3"/>
        <v>+</v>
      </c>
      <c r="H12" s="34">
        <f t="shared" si="4"/>
        <v>75847.100000000006</v>
      </c>
      <c r="I12" s="34">
        <f t="shared" si="5"/>
        <v>76628.576982485116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26.8</v>
      </c>
      <c r="D13" s="30"/>
      <c r="E13" s="29">
        <f t="shared" si="1"/>
        <v>0</v>
      </c>
      <c r="F13" s="28">
        <f t="shared" si="2"/>
        <v>27.076128990173665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</v>
      </c>
      <c r="D14" s="30"/>
      <c r="E14" s="29">
        <f t="shared" si="1"/>
        <v>0</v>
      </c>
      <c r="F14" s="28">
        <f t="shared" si="2"/>
        <v>30.309099615866042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24.7</v>
      </c>
      <c r="D15" s="30">
        <v>4.0999999999999996</v>
      </c>
      <c r="E15" s="29">
        <f t="shared" si="1"/>
        <v>7.5131480090157769E-4</v>
      </c>
      <c r="F15" s="28">
        <f t="shared" si="2"/>
        <v>24.954492017063039</v>
      </c>
      <c r="G15" s="27" t="str">
        <f t="shared" si="3"/>
        <v>+</v>
      </c>
      <c r="H15" s="34">
        <f t="shared" si="4"/>
        <v>101.26999999999998</v>
      </c>
      <c r="I15" s="34">
        <f t="shared" si="5"/>
        <v>102.31341726995845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33.799999999999997</v>
      </c>
      <c r="D16" s="30"/>
      <c r="E16" s="29">
        <f t="shared" si="1"/>
        <v>0</v>
      </c>
      <c r="F16" s="28">
        <f t="shared" si="2"/>
        <v>34.148252233875738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49.8</v>
      </c>
      <c r="D17" s="30"/>
      <c r="E17" s="29">
        <f t="shared" si="1"/>
        <v>0</v>
      </c>
      <c r="F17" s="28">
        <f t="shared" si="2"/>
        <v>50.313105362337623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43.6</v>
      </c>
      <c r="D18" s="30"/>
      <c r="E18" s="29">
        <f t="shared" si="1"/>
        <v>0</v>
      </c>
      <c r="F18" s="28">
        <f t="shared" si="2"/>
        <v>44.049224775058647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25.493637646368946</v>
      </c>
      <c r="D19" s="49">
        <f>SUM(D10:D18)</f>
        <v>5457.1</v>
      </c>
      <c r="E19" s="48">
        <f t="shared" si="1"/>
        <v>1</v>
      </c>
      <c r="F19" s="47">
        <f>I19/D19</f>
        <v>25.756306766486311</v>
      </c>
      <c r="G19" s="46">
        <f>F19/C19-1</f>
        <v>1.0303320528868509E-2</v>
      </c>
      <c r="H19" s="9">
        <f>SUM(H10:H18)</f>
        <v>139121.32999999999</v>
      </c>
      <c r="I19" s="9">
        <f>SUM(I10:I18)</f>
        <v>140554.74165539246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64.8</v>
      </c>
      <c r="D21" s="30">
        <v>3.7</v>
      </c>
      <c r="E21" s="29">
        <f>D21/$D$48</f>
        <v>2.4848891873740765E-2</v>
      </c>
      <c r="F21" s="28">
        <f>C21-(C21*$E$6)</f>
        <v>65.467655170270646</v>
      </c>
      <c r="G21" s="27" t="str">
        <f>IF(C21&gt;=F21,"-","+")</f>
        <v>+</v>
      </c>
      <c r="H21" s="26">
        <f>C21*D21</f>
        <v>239.76</v>
      </c>
      <c r="I21" s="26">
        <f>F21*D21</f>
        <v>242.23032413000141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43.5</v>
      </c>
      <c r="D22" s="30"/>
      <c r="E22" s="29">
        <f>D22/$D$48</f>
        <v>0</v>
      </c>
      <c r="F22" s="28">
        <f>C22-(C22*$E$6)</f>
        <v>43.948194443005761</v>
      </c>
      <c r="G22" s="27" t="str">
        <f>IF(C22&gt;=F22,"-","+")</f>
        <v>+</v>
      </c>
      <c r="H22" s="26">
        <f>C22*D22</f>
        <v>0</v>
      </c>
      <c r="I22" s="26">
        <f>F22*D22</f>
        <v>0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39.700000000000003</v>
      </c>
      <c r="D23" s="30">
        <v>6.2</v>
      </c>
      <c r="E23" s="29">
        <f>D23/$D$48</f>
        <v>4.1638683680322364E-2</v>
      </c>
      <c r="F23" s="28">
        <f>C23-(C23*$E$6)</f>
        <v>40.109041824996062</v>
      </c>
      <c r="G23" s="27" t="str">
        <f>IF(C23&gt;=F23,"-","+")</f>
        <v>+</v>
      </c>
      <c r="H23" s="26">
        <f>C23*D23</f>
        <v>246.14000000000001</v>
      </c>
      <c r="I23" s="26">
        <f>F23*D23</f>
        <v>248.67605931497559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49.080808080808076</v>
      </c>
      <c r="D24" s="22">
        <f>SUM(D21:D23)</f>
        <v>9.9</v>
      </c>
      <c r="E24" s="21">
        <f>D24/$D$48</f>
        <v>6.6487575554063136E-2</v>
      </c>
      <c r="F24" s="20">
        <f>I24/D24</f>
        <v>49.586503378280504</v>
      </c>
      <c r="G24" s="19">
        <f>F24/C24-1</f>
        <v>1.0303320528868065E-2</v>
      </c>
      <c r="H24" s="18">
        <f>SUM(H21:H23)</f>
        <v>485.9</v>
      </c>
      <c r="I24" s="18">
        <f>SUM(I21:I23)</f>
        <v>490.906383444977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34.6</v>
      </c>
      <c r="D26" s="30">
        <v>71.8</v>
      </c>
      <c r="E26" s="29">
        <f t="shared" ref="E26:E32" si="7">D26/$D$48</f>
        <v>0.48220282068502346</v>
      </c>
      <c r="F26" s="28">
        <f t="shared" ref="F26:F31" si="8">C26-(C26*$E$6)</f>
        <v>34.956494890298835</v>
      </c>
      <c r="G26" s="27" t="str">
        <f t="shared" ref="G26:G31" si="9">IF(C26&gt;=F26,"-","+")</f>
        <v>+</v>
      </c>
      <c r="H26" s="26">
        <f t="shared" ref="H26:H31" si="10">C26*D26</f>
        <v>2484.2800000000002</v>
      </c>
      <c r="I26" s="26">
        <f t="shared" ref="I26:I31" si="11">F26*D26</f>
        <v>2509.8763331234563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30.8</v>
      </c>
      <c r="D27" s="30"/>
      <c r="E27" s="29">
        <f t="shared" si="7"/>
        <v>0</v>
      </c>
      <c r="F27" s="28">
        <f t="shared" si="8"/>
        <v>31.117342272289136</v>
      </c>
      <c r="G27" s="27" t="str">
        <f t="shared" si="9"/>
        <v>+</v>
      </c>
      <c r="H27" s="26">
        <f t="shared" si="10"/>
        <v>0</v>
      </c>
      <c r="I27" s="26">
        <f t="shared" si="11"/>
        <v>0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30.8</v>
      </c>
      <c r="D28" s="30"/>
      <c r="E28" s="29">
        <f t="shared" si="7"/>
        <v>0</v>
      </c>
      <c r="F28" s="28">
        <f t="shared" si="8"/>
        <v>31.117342272289136</v>
      </c>
      <c r="G28" s="27" t="str">
        <f t="shared" si="9"/>
        <v>+</v>
      </c>
      <c r="H28" s="26">
        <f t="shared" si="10"/>
        <v>0</v>
      </c>
      <c r="I28" s="26">
        <f t="shared" si="11"/>
        <v>0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29.7</v>
      </c>
      <c r="D29" s="30"/>
      <c r="E29" s="29">
        <f t="shared" si="7"/>
        <v>0</v>
      </c>
      <c r="F29" s="28">
        <f t="shared" si="8"/>
        <v>30.00600861970738</v>
      </c>
      <c r="G29" s="27" t="str">
        <f t="shared" si="9"/>
        <v>+</v>
      </c>
      <c r="H29" s="26">
        <f t="shared" si="10"/>
        <v>0</v>
      </c>
      <c r="I29" s="26">
        <f t="shared" si="11"/>
        <v>0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29.7</v>
      </c>
      <c r="D30" s="30">
        <v>13.1</v>
      </c>
      <c r="E30" s="29">
        <f t="shared" si="7"/>
        <v>8.7978509066487576E-2</v>
      </c>
      <c r="F30" s="28">
        <f t="shared" si="8"/>
        <v>30.00600861970738</v>
      </c>
      <c r="G30" s="27" t="str">
        <f t="shared" si="9"/>
        <v>+</v>
      </c>
      <c r="H30" s="26">
        <f t="shared" si="10"/>
        <v>389.07</v>
      </c>
      <c r="I30" s="26">
        <f t="shared" si="11"/>
        <v>393.07871291816667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30.3</v>
      </c>
      <c r="D31" s="30">
        <v>2.2000000000000002</v>
      </c>
      <c r="E31" s="29">
        <f t="shared" si="7"/>
        <v>1.4775016789791807E-2</v>
      </c>
      <c r="F31" s="28">
        <f t="shared" si="8"/>
        <v>30.612190612024705</v>
      </c>
      <c r="G31" s="27" t="str">
        <f t="shared" si="9"/>
        <v>+</v>
      </c>
      <c r="H31" s="26">
        <f t="shared" si="10"/>
        <v>66.660000000000011</v>
      </c>
      <c r="I31" s="26">
        <f t="shared" si="11"/>
        <v>67.346819346454353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33.75442020665902</v>
      </c>
      <c r="D32" s="22">
        <f>SUM(D26:D31)</f>
        <v>87.1</v>
      </c>
      <c r="E32" s="21">
        <f t="shared" si="7"/>
        <v>0.5849563465413028</v>
      </c>
      <c r="F32" s="20">
        <f>I32/D32</f>
        <v>34.102202817314321</v>
      </c>
      <c r="G32" s="19">
        <f>F32/C32-1</f>
        <v>1.0303320528867843E-2</v>
      </c>
      <c r="H32" s="18">
        <f>SUM(H26:H31)</f>
        <v>2940.01</v>
      </c>
      <c r="I32" s="18">
        <f>SUM(I26:I31)</f>
        <v>2970.3018653880772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v>18</v>
      </c>
      <c r="E34" s="29">
        <f t="shared" ref="E34:E40" si="13">D34/$D$48</f>
        <v>0.1208865010073875</v>
      </c>
      <c r="F34" s="28">
        <f t="shared" ref="F34:F39" si="14">C34-(C34*$E$6)</f>
        <v>18.387520433625397</v>
      </c>
      <c r="G34" s="27" t="str">
        <f t="shared" ref="G34:G39" si="15">IF(C34&gt;=F34,"-","+")</f>
        <v>+</v>
      </c>
      <c r="H34" s="26">
        <f t="shared" ref="H34:H39" si="16">C34*D34</f>
        <v>327.59999999999997</v>
      </c>
      <c r="I34" s="26">
        <f t="shared" ref="I34:I39" si="17">F34*D34</f>
        <v>330.97536780525718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/>
      <c r="E35" s="29">
        <f t="shared" si="13"/>
        <v>0</v>
      </c>
      <c r="F35" s="28">
        <f t="shared" si="14"/>
        <v>14.144246487404153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11.315397189923322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29.7</v>
      </c>
      <c r="D37" s="30"/>
      <c r="E37" s="29">
        <f t="shared" si="13"/>
        <v>0</v>
      </c>
      <c r="F37" s="28">
        <f t="shared" si="14"/>
        <v>30.00600861970738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29.7</v>
      </c>
      <c r="D38" s="30"/>
      <c r="E38" s="29">
        <f t="shared" si="13"/>
        <v>0</v>
      </c>
      <c r="F38" s="28">
        <f t="shared" si="14"/>
        <v>30.00600861970738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30.8</v>
      </c>
      <c r="D39" s="30"/>
      <c r="E39" s="29">
        <f t="shared" si="13"/>
        <v>0</v>
      </c>
      <c r="F39" s="28">
        <f t="shared" si="14"/>
        <v>31.117342272289136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18.2</v>
      </c>
      <c r="D40" s="22">
        <f>SUM(D34:D39)</f>
        <v>18</v>
      </c>
      <c r="E40" s="21">
        <f t="shared" si="13"/>
        <v>0.1208865010073875</v>
      </c>
      <c r="F40" s="20">
        <f>I40/D40</f>
        <v>18.387520433625397</v>
      </c>
      <c r="G40" s="19">
        <f>F40/C40-1</f>
        <v>1.0303320528868065E-2</v>
      </c>
      <c r="H40" s="18">
        <f>SUM(H34:H39)</f>
        <v>327.59999999999997</v>
      </c>
      <c r="I40" s="18">
        <f>SUM(I34:I39)</f>
        <v>330.97536780525718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6</v>
      </c>
      <c r="E42" s="107">
        <f>D42/$D$48</f>
        <v>4.0295500335795834E-2</v>
      </c>
      <c r="F42" s="28">
        <f>C42-(C42*$E$6)</f>
        <v>0.40412132821154723</v>
      </c>
      <c r="G42" s="27" t="str">
        <f>IF(C42&gt;=F42,"-","+")</f>
        <v>+</v>
      </c>
      <c r="H42" s="26">
        <f>C42*D42</f>
        <v>2.4000000000000004</v>
      </c>
      <c r="I42" s="26">
        <f>F42*D42</f>
        <v>2.4247279692692834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/>
      <c r="E43" s="107">
        <f>D43/$D$48</f>
        <v>0</v>
      </c>
      <c r="F43" s="28">
        <f>C43-(C43*$E$6)</f>
        <v>0.40412132821154723</v>
      </c>
      <c r="G43" s="27" t="str">
        <f>IF(C43&gt;=F43,"-","+")</f>
        <v>+</v>
      </c>
      <c r="H43" s="26">
        <f>C43*D43</f>
        <v>0</v>
      </c>
      <c r="I43" s="26">
        <f>F43*D43</f>
        <v>0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27.2</v>
      </c>
      <c r="E44" s="107">
        <f>D44/$D$48</f>
        <v>0.18267293485560779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0.7</v>
      </c>
      <c r="E45" s="107">
        <f>D45/$D$48</f>
        <v>4.7011417058428467E-3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7.0796460176991149E-2</v>
      </c>
      <c r="D46" s="22">
        <f>SUM(D41:D45)</f>
        <v>33.900000000000006</v>
      </c>
      <c r="E46" s="21">
        <f>D46/$D$48</f>
        <v>0.22766957689724651</v>
      </c>
      <c r="F46" s="20">
        <f>I46/D46</f>
        <v>7.152589879850392E-2</v>
      </c>
      <c r="G46" s="19">
        <f>F46/C46-1</f>
        <v>1.0303320528867843E-2</v>
      </c>
      <c r="H46" s="18">
        <f>SUM(H41:H44)</f>
        <v>2.4000000000000004</v>
      </c>
      <c r="I46" s="18">
        <f>SUM(I41:I44)</f>
        <v>2.4247279692692834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101.10602474764408</v>
      </c>
      <c r="D48" s="13">
        <f>D24+D32+D40+D46</f>
        <v>148.9</v>
      </c>
      <c r="E48" s="12">
        <f>SUM(E20:E46)/2</f>
        <v>0.99999999999999989</v>
      </c>
      <c r="F48" s="11">
        <f>I48/D48</f>
        <v>25.484273637391407</v>
      </c>
      <c r="G48" s="10"/>
      <c r="H48" s="9">
        <f>SUM(H20:H46)/2</f>
        <v>3755.91</v>
      </c>
      <c r="I48" s="9">
        <f>SUM(I20:I46)/2</f>
        <v>3794.6083446075809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5606.0000000000018</v>
      </c>
      <c r="E50" s="12">
        <f>D50/G2</f>
        <v>1.0000356773341899</v>
      </c>
      <c r="F50" s="11">
        <f>I50/D50</f>
        <v>25.749081341419906</v>
      </c>
      <c r="G50" s="10"/>
      <c r="H50" s="9">
        <f>H48+H19</f>
        <v>142877.24</v>
      </c>
      <c r="I50" s="9">
        <f>I48+I19</f>
        <v>144349.35000000003</v>
      </c>
      <c r="J50" s="106">
        <f>D50-G2</f>
        <v>0.20000000000163709</v>
      </c>
      <c r="K50" s="8"/>
    </row>
    <row r="51" spans="1:11" ht="23.25" x14ac:dyDescent="0.35">
      <c r="A51" s="174" t="s">
        <v>296</v>
      </c>
      <c r="B51" s="169"/>
      <c r="C51" s="170"/>
      <c r="G51" s="7"/>
      <c r="H51" s="6"/>
      <c r="I51" s="6">
        <f>+I50/D50</f>
        <v>25.749081341419906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291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295</v>
      </c>
      <c r="D2" s="96" t="s">
        <v>3</v>
      </c>
      <c r="E2" s="95" t="s">
        <v>71</v>
      </c>
      <c r="F2" s="94" t="s">
        <v>5</v>
      </c>
      <c r="G2" s="93">
        <v>19289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232</v>
      </c>
      <c r="F3" s="88" t="s">
        <v>8</v>
      </c>
      <c r="G3" s="87">
        <v>27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83.142241379310349</v>
      </c>
      <c r="F4" s="81" t="s">
        <v>12</v>
      </c>
      <c r="G4" s="80">
        <f>G2*G3</f>
        <v>520803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-7.2475569890828595E-3</v>
      </c>
      <c r="F6" s="69" t="s">
        <v>16</v>
      </c>
      <c r="G6" s="68">
        <f>(I50-I19)/(D50-(SUM(D42:D44)+D19))</f>
        <v>32.260569771486232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</v>
      </c>
      <c r="D10" s="30">
        <v>3181.1</v>
      </c>
      <c r="E10" s="29">
        <f t="shared" ref="E10:E19" si="1">D10/$D$19</f>
        <v>0.39600398356778294</v>
      </c>
      <c r="F10" s="28">
        <f t="shared" ref="F10:F18" si="2">C10-(C10*$E$6)</f>
        <v>27.195684038705238</v>
      </c>
      <c r="G10" s="27" t="str">
        <f t="shared" ref="G10:G18" si="3">IF(C10&gt;=F10,"-","+")</f>
        <v>+</v>
      </c>
      <c r="H10" s="34">
        <f t="shared" ref="H10:H18" si="4">C10*D10</f>
        <v>85889.7</v>
      </c>
      <c r="I10" s="34">
        <f t="shared" ref="I10:I18" si="5">F10*D10</f>
        <v>86512.190495525225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28.1</v>
      </c>
      <c r="D11" s="30">
        <v>4513.8</v>
      </c>
      <c r="E11" s="29">
        <f t="shared" si="1"/>
        <v>0.56190713307606133</v>
      </c>
      <c r="F11" s="28">
        <f t="shared" si="2"/>
        <v>28.303656351393229</v>
      </c>
      <c r="G11" s="27" t="str">
        <f t="shared" si="3"/>
        <v>+</v>
      </c>
      <c r="H11" s="34">
        <f t="shared" si="4"/>
        <v>126837.78000000001</v>
      </c>
      <c r="I11" s="34">
        <f t="shared" si="5"/>
        <v>127757.04403891876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25.7</v>
      </c>
      <c r="D12" s="30"/>
      <c r="E12" s="29">
        <f t="shared" si="1"/>
        <v>0</v>
      </c>
      <c r="F12" s="28">
        <f t="shared" si="2"/>
        <v>25.886262214619428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28.1</v>
      </c>
      <c r="D13" s="30"/>
      <c r="E13" s="29">
        <f t="shared" si="1"/>
        <v>0</v>
      </c>
      <c r="F13" s="28">
        <f t="shared" si="2"/>
        <v>28.303656351393229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31.4</v>
      </c>
      <c r="D14" s="30">
        <v>211.4</v>
      </c>
      <c r="E14" s="29">
        <f t="shared" si="1"/>
        <v>2.6316444665753769E-2</v>
      </c>
      <c r="F14" s="28">
        <f t="shared" si="2"/>
        <v>31.627573289457199</v>
      </c>
      <c r="G14" s="27" t="str">
        <f t="shared" si="3"/>
        <v>+</v>
      </c>
      <c r="H14" s="34">
        <f t="shared" si="4"/>
        <v>6637.96</v>
      </c>
      <c r="I14" s="34">
        <f t="shared" si="5"/>
        <v>6686.0689933912518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25.9</v>
      </c>
      <c r="D15" s="30">
        <v>126.7</v>
      </c>
      <c r="E15" s="29">
        <f t="shared" si="1"/>
        <v>1.5772438690402093E-2</v>
      </c>
      <c r="F15" s="28">
        <f t="shared" si="2"/>
        <v>26.087711726017243</v>
      </c>
      <c r="G15" s="27" t="str">
        <f t="shared" si="3"/>
        <v>+</v>
      </c>
      <c r="H15" s="34">
        <f t="shared" si="4"/>
        <v>3281.5299999999997</v>
      </c>
      <c r="I15" s="34">
        <f t="shared" si="5"/>
        <v>3305.3130756863848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35.5</v>
      </c>
      <c r="D16" s="30"/>
      <c r="E16" s="29">
        <f t="shared" si="1"/>
        <v>0</v>
      </c>
      <c r="F16" s="28">
        <f t="shared" si="2"/>
        <v>35.757288273112444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52.2</v>
      </c>
      <c r="D17" s="30"/>
      <c r="E17" s="29">
        <f t="shared" si="1"/>
        <v>0</v>
      </c>
      <c r="F17" s="28">
        <f t="shared" si="2"/>
        <v>52.578322474830131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45.7</v>
      </c>
      <c r="D18" s="30"/>
      <c r="E18" s="29">
        <f t="shared" si="1"/>
        <v>0</v>
      </c>
      <c r="F18" s="28">
        <f t="shared" si="2"/>
        <v>46.031213354401089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27.716540520353544</v>
      </c>
      <c r="D19" s="49">
        <f>SUM(D10:D18)</f>
        <v>8032.9999999999991</v>
      </c>
      <c r="E19" s="48">
        <f t="shared" si="1"/>
        <v>1</v>
      </c>
      <c r="F19" s="47">
        <f>I19/D19</f>
        <v>27.917417727315037</v>
      </c>
      <c r="G19" s="46">
        <f>F19/C19-1</f>
        <v>7.2475569890830815E-3</v>
      </c>
      <c r="H19" s="9">
        <f>SUM(H10:H18)</f>
        <v>222646.97</v>
      </c>
      <c r="I19" s="9">
        <f>SUM(I10:I18)</f>
        <v>224260.61660352166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67.900000000000006</v>
      </c>
      <c r="D21" s="30">
        <v>116.4</v>
      </c>
      <c r="E21" s="29">
        <f>D21/$D$48</f>
        <v>1.0341151385927503E-2</v>
      </c>
      <c r="F21" s="28">
        <f>C21-(C21*$E$6)</f>
        <v>68.392109119558725</v>
      </c>
      <c r="G21" s="27" t="str">
        <f>IF(C21&gt;=F21,"-","+")</f>
        <v>+</v>
      </c>
      <c r="H21" s="26">
        <f>C21*D21</f>
        <v>7903.5600000000013</v>
      </c>
      <c r="I21" s="26">
        <f>F21*D21</f>
        <v>7960.8415015166356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45.6</v>
      </c>
      <c r="D22" s="30">
        <v>426.4</v>
      </c>
      <c r="E22" s="29">
        <f>D22/$D$48</f>
        <v>3.78820184790334E-2</v>
      </c>
      <c r="F22" s="28">
        <f>C22-(C22*$E$6)</f>
        <v>45.930488598702183</v>
      </c>
      <c r="G22" s="27" t="str">
        <f>IF(C22&gt;=F22,"-","+")</f>
        <v>+</v>
      </c>
      <c r="H22" s="26">
        <f>C22*D22</f>
        <v>19443.84</v>
      </c>
      <c r="I22" s="26">
        <f>F22*D22</f>
        <v>19584.760338486609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41.6</v>
      </c>
      <c r="D23" s="30">
        <v>207.5</v>
      </c>
      <c r="E23" s="29">
        <f>D23/$D$48</f>
        <v>1.8434612651030559E-2</v>
      </c>
      <c r="F23" s="28">
        <f>C23-(C23*$E$6)</f>
        <v>41.901498370745848</v>
      </c>
      <c r="G23" s="27" t="str">
        <f>IF(C23&gt;=F23,"-","+")</f>
        <v>+</v>
      </c>
      <c r="H23" s="26">
        <f>C23*D23</f>
        <v>8632</v>
      </c>
      <c r="I23" s="26">
        <f>F23*D23</f>
        <v>8694.5609119297642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47.953351992536327</v>
      </c>
      <c r="D24" s="22">
        <f>SUM(D21:D23)</f>
        <v>750.3</v>
      </c>
      <c r="E24" s="21">
        <f>D24/$D$48</f>
        <v>6.6657782515991457E-2</v>
      </c>
      <c r="F24" s="20">
        <f>I24/D24</f>
        <v>48.300896643919778</v>
      </c>
      <c r="G24" s="19">
        <f>F24/C24-1</f>
        <v>7.2475569890826375E-3</v>
      </c>
      <c r="H24" s="18">
        <f>SUM(H21:H23)</f>
        <v>35979.4</v>
      </c>
      <c r="I24" s="18">
        <f>SUM(I21:I23)</f>
        <v>36240.162751933007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36.200000000000003</v>
      </c>
      <c r="D26" s="30">
        <f>50+1910.6</f>
        <v>1960.6</v>
      </c>
      <c r="E26" s="29">
        <f t="shared" ref="E26:E32" si="7">D26/$D$48</f>
        <v>0.17418265813788197</v>
      </c>
      <c r="F26" s="28">
        <f t="shared" ref="F26:F31" si="8">C26-(C26*$E$6)</f>
        <v>36.462361563004805</v>
      </c>
      <c r="G26" s="27" t="str">
        <f t="shared" ref="G26:G31" si="9">IF(C26&gt;=F26,"-","+")</f>
        <v>+</v>
      </c>
      <c r="H26" s="26">
        <f t="shared" ref="H26:H31" si="10">C26*D26</f>
        <v>70973.72</v>
      </c>
      <c r="I26" s="26">
        <f t="shared" ref="I26:I31" si="11">F26*D26</f>
        <v>71488.106080427213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32.299999999999997</v>
      </c>
      <c r="D27" s="30">
        <f>68.5+1637.3</f>
        <v>1705.8</v>
      </c>
      <c r="E27" s="29">
        <f t="shared" si="7"/>
        <v>0.15154584221748399</v>
      </c>
      <c r="F27" s="28">
        <f t="shared" si="8"/>
        <v>32.534096090747376</v>
      </c>
      <c r="G27" s="27" t="str">
        <f t="shared" si="9"/>
        <v>+</v>
      </c>
      <c r="H27" s="26">
        <f t="shared" si="10"/>
        <v>55097.34</v>
      </c>
      <c r="I27" s="26">
        <f t="shared" si="11"/>
        <v>55496.66111159687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32.299999999999997</v>
      </c>
      <c r="D28" s="30">
        <v>1257.3</v>
      </c>
      <c r="E28" s="29">
        <f t="shared" si="7"/>
        <v>0.11170042643923239</v>
      </c>
      <c r="F28" s="28">
        <f t="shared" si="8"/>
        <v>32.534096090747376</v>
      </c>
      <c r="G28" s="27" t="str">
        <f t="shared" si="9"/>
        <v>+</v>
      </c>
      <c r="H28" s="26">
        <f t="shared" si="10"/>
        <v>40610.789999999994</v>
      </c>
      <c r="I28" s="26">
        <f t="shared" si="11"/>
        <v>40905.119014896671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31.2</v>
      </c>
      <c r="D29" s="30">
        <v>1308.9000000000001</v>
      </c>
      <c r="E29" s="29">
        <f t="shared" si="7"/>
        <v>0.11628464818763325</v>
      </c>
      <c r="F29" s="28">
        <f t="shared" si="8"/>
        <v>31.426123778059385</v>
      </c>
      <c r="G29" s="27" t="str">
        <f t="shared" si="9"/>
        <v>+</v>
      </c>
      <c r="H29" s="26">
        <f t="shared" si="10"/>
        <v>40837.68</v>
      </c>
      <c r="I29" s="26">
        <f t="shared" si="11"/>
        <v>41133.653413101929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31.2</v>
      </c>
      <c r="D30" s="30">
        <v>602.79999999999995</v>
      </c>
      <c r="E30" s="29">
        <f t="shared" si="7"/>
        <v>5.3553660270078171E-2</v>
      </c>
      <c r="F30" s="28">
        <f t="shared" si="8"/>
        <v>31.426123778059385</v>
      </c>
      <c r="G30" s="27" t="str">
        <f t="shared" si="9"/>
        <v>+</v>
      </c>
      <c r="H30" s="26">
        <f t="shared" si="10"/>
        <v>18807.359999999997</v>
      </c>
      <c r="I30" s="26">
        <f t="shared" si="11"/>
        <v>18943.667413414194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31.7</v>
      </c>
      <c r="D31" s="30">
        <v>92.8</v>
      </c>
      <c r="E31" s="29">
        <f t="shared" si="7"/>
        <v>8.2444918265813776E-3</v>
      </c>
      <c r="F31" s="28">
        <f t="shared" si="8"/>
        <v>31.929747556553927</v>
      </c>
      <c r="G31" s="27" t="str">
        <f t="shared" si="9"/>
        <v>+</v>
      </c>
      <c r="H31" s="26">
        <f t="shared" si="10"/>
        <v>2941.7599999999998</v>
      </c>
      <c r="I31" s="26">
        <f t="shared" si="11"/>
        <v>2963.0805732482045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33.092094627753234</v>
      </c>
      <c r="D32" s="22">
        <f>SUM(D26:D31)</f>
        <v>6928.2000000000007</v>
      </c>
      <c r="E32" s="21">
        <f t="shared" si="7"/>
        <v>0.61551172707889124</v>
      </c>
      <c r="F32" s="20">
        <f>I32/D32</f>
        <v>33.331931469456002</v>
      </c>
      <c r="G32" s="19">
        <f>F32/C32-1</f>
        <v>7.2475569890830815E-3</v>
      </c>
      <c r="H32" s="18">
        <f>SUM(H26:H31)</f>
        <v>229268.64999999997</v>
      </c>
      <c r="I32" s="18">
        <f>SUM(I26:I31)</f>
        <v>230930.2876066851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19.100000000000001</v>
      </c>
      <c r="D34" s="30">
        <v>1410.4</v>
      </c>
      <c r="E34" s="29">
        <f t="shared" ref="E34:E40" si="13">D34/$D$48</f>
        <v>0.12530206112295664</v>
      </c>
      <c r="F34" s="28">
        <f t="shared" ref="F34:F39" si="14">C34-(C34*$E$6)</f>
        <v>19.238428338491484</v>
      </c>
      <c r="G34" s="27" t="str">
        <f t="shared" ref="G34:G39" si="15">IF(C34&gt;=F34,"-","+")</f>
        <v>+</v>
      </c>
      <c r="H34" s="26">
        <f t="shared" ref="H34:H39" si="16">C34*D34</f>
        <v>26938.640000000003</v>
      </c>
      <c r="I34" s="26">
        <f t="shared" ref="I34:I39" si="17">F34*D34</f>
        <v>27133.879328608393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14.7</v>
      </c>
      <c r="D35" s="30">
        <v>96.5</v>
      </c>
      <c r="E35" s="29">
        <f t="shared" si="13"/>
        <v>8.5732054015636092E-3</v>
      </c>
      <c r="F35" s="28">
        <f t="shared" si="14"/>
        <v>14.806539087739518</v>
      </c>
      <c r="G35" s="27" t="str">
        <f t="shared" si="15"/>
        <v>+</v>
      </c>
      <c r="H35" s="26">
        <f t="shared" si="16"/>
        <v>1418.55</v>
      </c>
      <c r="I35" s="26">
        <f t="shared" si="17"/>
        <v>1428.8310219668635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30"/>
      <c r="E36" s="29">
        <f t="shared" si="13"/>
        <v>0</v>
      </c>
      <c r="F36" s="28">
        <f t="shared" si="14"/>
        <v>11.885521172471179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31.2</v>
      </c>
      <c r="D37" s="30"/>
      <c r="E37" s="29">
        <f t="shared" si="13"/>
        <v>0</v>
      </c>
      <c r="F37" s="28">
        <f t="shared" si="14"/>
        <v>31.426123778059385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31.2</v>
      </c>
      <c r="D38" s="30"/>
      <c r="E38" s="29">
        <f t="shared" si="13"/>
        <v>0</v>
      </c>
      <c r="F38" s="28">
        <f t="shared" si="14"/>
        <v>31.426123778059385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32.299999999999997</v>
      </c>
      <c r="D39" s="30"/>
      <c r="E39" s="29">
        <f t="shared" si="13"/>
        <v>0</v>
      </c>
      <c r="F39" s="28">
        <f t="shared" si="14"/>
        <v>32.534096090747376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18.818229477735748</v>
      </c>
      <c r="D40" s="22">
        <f>SUM(D34:D39)</f>
        <v>1506.9</v>
      </c>
      <c r="E40" s="21">
        <f t="shared" si="13"/>
        <v>0.13387526652452025</v>
      </c>
      <c r="F40" s="20">
        <f>I40/D40</f>
        <v>18.95461566830928</v>
      </c>
      <c r="G40" s="19">
        <f>F40/C40-1</f>
        <v>7.2475569890830815E-3</v>
      </c>
      <c r="H40" s="18">
        <f>SUM(H34:H39)</f>
        <v>28357.190000000002</v>
      </c>
      <c r="I40" s="18">
        <f>SUM(I34:I39)</f>
        <v>28562.710350575257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1912</v>
      </c>
      <c r="E42" s="107">
        <f>D42/$D$48</f>
        <v>0.16986496090973699</v>
      </c>
      <c r="F42" s="28">
        <f>C42-(C42*$E$6)</f>
        <v>0.40289902279563317</v>
      </c>
      <c r="G42" s="27" t="str">
        <f>IF(C42&gt;=F42,"-","+")</f>
        <v>+</v>
      </c>
      <c r="H42" s="26">
        <f>C42*D42</f>
        <v>764.80000000000007</v>
      </c>
      <c r="I42" s="26">
        <f>F42*D42</f>
        <v>770.34293158525065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96.5</v>
      </c>
      <c r="E43" s="107">
        <f>D43/$D$48</f>
        <v>8.5732054015636092E-3</v>
      </c>
      <c r="F43" s="28">
        <f>C43-(C43*$E$6)</f>
        <v>0.40289902279563317</v>
      </c>
      <c r="G43" s="27" t="str">
        <f>IF(C43&gt;=F43,"-","+")</f>
        <v>+</v>
      </c>
      <c r="H43" s="26">
        <f>C43*D43</f>
        <v>38.6</v>
      </c>
      <c r="I43" s="26">
        <f>F43*D43</f>
        <v>38.879755699778599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55.4</v>
      </c>
      <c r="E44" s="107">
        <f>D44/$D$48</f>
        <v>4.9218194740582788E-3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6.7</v>
      </c>
      <c r="E45" s="107">
        <f>D45/$D$48</f>
        <v>5.9523809523809518E-4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0.38800347725297024</v>
      </c>
      <c r="D46" s="22">
        <f>SUM(D41:D45)</f>
        <v>2070.6</v>
      </c>
      <c r="E46" s="21">
        <f>D46/$D$48</f>
        <v>0.18395522388059699</v>
      </c>
      <c r="F46" s="20">
        <f>I46/D46</f>
        <v>0.39081555456632339</v>
      </c>
      <c r="G46" s="19">
        <f>F46/C46-1</f>
        <v>7.2475569890826375E-3</v>
      </c>
      <c r="H46" s="18">
        <f>SUM(H41:H44)</f>
        <v>803.40000000000009</v>
      </c>
      <c r="I46" s="18">
        <f>SUM(I41:I44)</f>
        <v>809.22268728502922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100.25167957527827</v>
      </c>
      <c r="D48" s="13">
        <f>D24+D32+D40+D46</f>
        <v>11256.000000000002</v>
      </c>
      <c r="E48" s="12">
        <f>SUM(E20:E46)/2</f>
        <v>1</v>
      </c>
      <c r="F48" s="11">
        <f>I48/D48</f>
        <v>26.345272156758917</v>
      </c>
      <c r="G48" s="10"/>
      <c r="H48" s="9">
        <f>SUM(H20:H46)/2</f>
        <v>294408.64</v>
      </c>
      <c r="I48" s="9">
        <f>SUM(I20:I46)/2</f>
        <v>296542.38339647843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19288.999999999996</v>
      </c>
      <c r="E50" s="12">
        <f>D50/G2</f>
        <v>0.99999999999999978</v>
      </c>
      <c r="F50" s="11">
        <f>I50/D50</f>
        <v>27.000000000000011</v>
      </c>
      <c r="G50" s="10"/>
      <c r="H50" s="9">
        <f>H48+H19</f>
        <v>517055.61</v>
      </c>
      <c r="I50" s="9">
        <f>I48+I19</f>
        <v>520803.00000000012</v>
      </c>
      <c r="J50" s="106">
        <f>D50-G2</f>
        <v>0</v>
      </c>
      <c r="K50" s="8"/>
    </row>
    <row r="51" spans="1:11" ht="23.25" x14ac:dyDescent="0.35">
      <c r="A51" s="174" t="s">
        <v>297</v>
      </c>
      <c r="B51" s="169"/>
      <c r="C51" s="170"/>
      <c r="G51" s="7"/>
      <c r="H51" s="6"/>
      <c r="I51" s="6">
        <f>+I50/D50</f>
        <v>27.000000000000011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291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298</v>
      </c>
      <c r="D2" s="96" t="s">
        <v>3</v>
      </c>
      <c r="E2" s="95" t="s">
        <v>71</v>
      </c>
      <c r="F2" s="94" t="s">
        <v>5</v>
      </c>
      <c r="G2" s="93">
        <v>1082.4000000000001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67.650000000000006</v>
      </c>
      <c r="F4" s="81" t="s">
        <v>12</v>
      </c>
      <c r="G4" s="80">
        <f>G2*G3</f>
        <v>30307.200000000004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4.253090895305256E-2</v>
      </c>
      <c r="F6" s="69" t="s">
        <v>16</v>
      </c>
      <c r="G6" s="68">
        <f>(I50-I19)/(D50-(SUM(D42:D44)+D19))</f>
        <v>33.032478586345775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26.809134549314528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256.5</v>
      </c>
      <c r="E11" s="29">
        <f t="shared" si="1"/>
        <v>1</v>
      </c>
      <c r="F11" s="28">
        <f t="shared" si="2"/>
        <v>27.958097458570865</v>
      </c>
      <c r="G11" s="27" t="str">
        <f t="shared" si="3"/>
        <v>-</v>
      </c>
      <c r="H11" s="34">
        <f t="shared" si="4"/>
        <v>7489.8</v>
      </c>
      <c r="I11" s="34">
        <f t="shared" si="5"/>
        <v>7171.2519981234273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25.468677821848804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27.958097458570865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31.213492368130488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25.755918549162885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35.234862550527666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51.894824734744553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45.384034915625307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29.2</v>
      </c>
      <c r="D19" s="49">
        <f>SUM(D10:D18)</f>
        <v>256.5</v>
      </c>
      <c r="E19" s="48">
        <f t="shared" si="1"/>
        <v>1</v>
      </c>
      <c r="F19" s="47">
        <f>I19/D19</f>
        <v>27.958097458570865</v>
      </c>
      <c r="G19" s="46">
        <f>F19/C19-1</f>
        <v>-4.253090895305256E-2</v>
      </c>
      <c r="H19" s="9">
        <f>SUM(H10:H18)</f>
        <v>7489.8</v>
      </c>
      <c r="I19" s="9">
        <f>SUM(I10:I18)</f>
        <v>7171.2519981234273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9.8000000000000007</v>
      </c>
      <c r="E21" s="29">
        <f>D21/$D$48</f>
        <v>1.1865843322436131E-2</v>
      </c>
      <c r="F21" s="28">
        <f>C21-(C21*$E$6)</f>
        <v>67.4058240097051</v>
      </c>
      <c r="G21" s="27" t="str">
        <f>IF(C21&gt;=F21,"-","+")</f>
        <v>-</v>
      </c>
      <c r="H21" s="26">
        <f>C21*D21</f>
        <v>689.92000000000007</v>
      </c>
      <c r="I21" s="26">
        <f>F21*D21</f>
        <v>660.57707529511003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35.4</v>
      </c>
      <c r="E22" s="29">
        <f>D22/$D$48</f>
        <v>4.2862332001452959E-2</v>
      </c>
      <c r="F22" s="28">
        <f>C22-(C22*$E$6)</f>
        <v>45.288288006520609</v>
      </c>
      <c r="G22" s="27" t="str">
        <f>IF(C22&gt;=F22,"-","+")</f>
        <v>-</v>
      </c>
      <c r="H22" s="26">
        <f>C22*D22</f>
        <v>1674.4199999999998</v>
      </c>
      <c r="I22" s="26">
        <f>F22*D22</f>
        <v>1603.2053954308294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19.2</v>
      </c>
      <c r="E23" s="29">
        <f>D23/$D$48</f>
        <v>2.3247366509262624E-2</v>
      </c>
      <c r="F23" s="28">
        <f>C23-(C23*$E$6)</f>
        <v>41.266917824123439</v>
      </c>
      <c r="G23" s="27" t="str">
        <f>IF(C23&gt;=F23,"-","+")</f>
        <v>-</v>
      </c>
      <c r="H23" s="26">
        <f>C23*D23</f>
        <v>827.52</v>
      </c>
      <c r="I23" s="26">
        <f>F23*D23</f>
        <v>792.32482222317003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49.563043478260866</v>
      </c>
      <c r="D24" s="22">
        <f>SUM(D21:D23)</f>
        <v>64.400000000000006</v>
      </c>
      <c r="E24" s="21">
        <f>D24/$D$48</f>
        <v>7.7975541833151724E-2</v>
      </c>
      <c r="F24" s="20">
        <f>I24/D24</f>
        <v>47.455082188650771</v>
      </c>
      <c r="G24" s="19">
        <f>F24/C24-1</f>
        <v>-4.2530908953052449E-2</v>
      </c>
      <c r="H24" s="18">
        <f>SUM(H21:H23)</f>
        <v>3191.86</v>
      </c>
      <c r="I24" s="18">
        <f>SUM(I21:I23)</f>
        <v>3056.1072929491097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164</v>
      </c>
      <c r="E26" s="29">
        <f t="shared" ref="E26:E32" si="7">D26/$D$48</f>
        <v>0.19857125559995156</v>
      </c>
      <c r="F26" s="28">
        <f t="shared" ref="F26:F31" si="8">C26-(C26*$E$6)</f>
        <v>36.000837823365224</v>
      </c>
      <c r="G26" s="27" t="str">
        <f t="shared" ref="G26:G31" si="9">IF(C26&gt;=F26,"-","+")</f>
        <v>-</v>
      </c>
      <c r="H26" s="26">
        <f t="shared" ref="H26:H31" si="10">C26*D26</f>
        <v>6166.4000000000005</v>
      </c>
      <c r="I26" s="26">
        <f t="shared" ref="I26:I31" si="11">F26*D26</f>
        <v>5904.1374030318966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148</v>
      </c>
      <c r="E27" s="29">
        <f t="shared" si="7"/>
        <v>0.17919845017556604</v>
      </c>
      <c r="F27" s="28">
        <f t="shared" si="8"/>
        <v>32.075214550072737</v>
      </c>
      <c r="G27" s="27" t="str">
        <f t="shared" si="9"/>
        <v>-</v>
      </c>
      <c r="H27" s="26">
        <f t="shared" si="10"/>
        <v>4958</v>
      </c>
      <c r="I27" s="26">
        <f t="shared" si="11"/>
        <v>4747.1317534107648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110</v>
      </c>
      <c r="E28" s="29">
        <f t="shared" si="7"/>
        <v>0.13318803729265044</v>
      </c>
      <c r="F28" s="28">
        <f t="shared" si="8"/>
        <v>32.075214550072737</v>
      </c>
      <c r="G28" s="27" t="str">
        <f t="shared" si="9"/>
        <v>-</v>
      </c>
      <c r="H28" s="26">
        <f t="shared" si="10"/>
        <v>3685</v>
      </c>
      <c r="I28" s="26">
        <f t="shared" si="11"/>
        <v>3528.273600508001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102</v>
      </c>
      <c r="E29" s="29">
        <f t="shared" si="7"/>
        <v>0.12350163458045768</v>
      </c>
      <c r="F29" s="28">
        <f t="shared" si="8"/>
        <v>30.9262516408164</v>
      </c>
      <c r="G29" s="27" t="str">
        <f t="shared" si="9"/>
        <v>-</v>
      </c>
      <c r="H29" s="26">
        <f t="shared" si="10"/>
        <v>3294.6</v>
      </c>
      <c r="I29" s="26">
        <f t="shared" si="11"/>
        <v>3154.4776673632728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39.799999999999997</v>
      </c>
      <c r="E30" s="29">
        <f t="shared" si="7"/>
        <v>4.8189853493158977E-2</v>
      </c>
      <c r="F30" s="28">
        <f t="shared" si="8"/>
        <v>30.9262516408164</v>
      </c>
      <c r="G30" s="27" t="str">
        <f t="shared" si="9"/>
        <v>-</v>
      </c>
      <c r="H30" s="26">
        <f t="shared" si="10"/>
        <v>1285.5399999999997</v>
      </c>
      <c r="I30" s="26">
        <f t="shared" si="11"/>
        <v>1230.8648153044926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9.5</v>
      </c>
      <c r="E31" s="29">
        <f t="shared" si="7"/>
        <v>1.1502603220728902E-2</v>
      </c>
      <c r="F31" s="28">
        <f t="shared" si="8"/>
        <v>31.50073309544457</v>
      </c>
      <c r="G31" s="27" t="str">
        <f t="shared" si="9"/>
        <v>-</v>
      </c>
      <c r="H31" s="26">
        <f t="shared" si="10"/>
        <v>312.55</v>
      </c>
      <c r="I31" s="26">
        <f t="shared" si="11"/>
        <v>299.2569644067234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34.366108494679928</v>
      </c>
      <c r="D32" s="22">
        <f>SUM(D26:D31)</f>
        <v>573.29999999999995</v>
      </c>
      <c r="E32" s="21">
        <f t="shared" si="7"/>
        <v>0.6941518343625136</v>
      </c>
      <c r="F32" s="20">
        <f>I32/D32</f>
        <v>32.904486663221959</v>
      </c>
      <c r="G32" s="19">
        <f>F32/C32-1</f>
        <v>-4.2530908953052893E-2</v>
      </c>
      <c r="H32" s="18">
        <f>SUM(H26:H31)</f>
        <v>19702.09</v>
      </c>
      <c r="I32" s="18">
        <f>SUM(I26:I31)</f>
        <v>18864.142204025149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61</v>
      </c>
      <c r="E34" s="29">
        <f t="shared" ref="E34:E40" si="13">D34/$D$48</f>
        <v>7.3858820680469797E-2</v>
      </c>
      <c r="F34" s="28">
        <f t="shared" ref="F34:F39" si="14">C34-(C34*$E$6)</f>
        <v>18.957888002729561</v>
      </c>
      <c r="G34" s="27" t="str">
        <f t="shared" ref="G34:G39" si="15">IF(C34&gt;=F34,"-","+")</f>
        <v>-</v>
      </c>
      <c r="H34" s="26">
        <f t="shared" ref="H34:H39" si="16">C34*D34</f>
        <v>1207.8</v>
      </c>
      <c r="I34" s="26">
        <f t="shared" ref="I34:I39" si="17">F34*D34</f>
        <v>1156.4311681665033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14.553530183913601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11.681122910772759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30.9262516408164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30.9262516408164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32.075214550072737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61</v>
      </c>
      <c r="E40" s="21">
        <f t="shared" si="13"/>
        <v>7.3858820680469797E-2</v>
      </c>
      <c r="F40" s="20">
        <f>I40/D40</f>
        <v>18.957888002729561</v>
      </c>
      <c r="G40" s="19">
        <f>F40/C40-1</f>
        <v>-4.253090895305256E-2</v>
      </c>
      <c r="H40" s="18">
        <f>SUM(H34:H39)</f>
        <v>1207.8</v>
      </c>
      <c r="I40" s="18">
        <f>SUM(I34:I39)</f>
        <v>1156.4311681665033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122</v>
      </c>
      <c r="E42" s="107">
        <f>D42/$D$48</f>
        <v>0.14771764136093959</v>
      </c>
      <c r="F42" s="28">
        <f>C42-(C42*$E$6)</f>
        <v>0.47873454552347372</v>
      </c>
      <c r="G42" s="27" t="str">
        <f>IF(C42&gt;=F42,"-","+")</f>
        <v>-</v>
      </c>
      <c r="H42" s="26">
        <f>C42*D42</f>
        <v>61</v>
      </c>
      <c r="I42" s="26">
        <f>F42*D42</f>
        <v>58.405614553863792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1.8</v>
      </c>
      <c r="E43" s="107">
        <f>D43/$D$48</f>
        <v>2.179440610243371E-3</v>
      </c>
      <c r="F43" s="28">
        <f>C43-(C43*$E$6)</f>
        <v>0.47873454552347372</v>
      </c>
      <c r="G43" s="27" t="str">
        <f>IF(C43&gt;=F43,"-","+")</f>
        <v>-</v>
      </c>
      <c r="H43" s="26">
        <f>C43*D43</f>
        <v>0.9</v>
      </c>
      <c r="I43" s="26">
        <f>F43*D43</f>
        <v>0.8617221819422527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1.7</v>
      </c>
      <c r="E44" s="107">
        <f>D44/$D$48</f>
        <v>2.0583605763409615E-3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1.7</v>
      </c>
      <c r="E45" s="107">
        <f>D45/$D$48</f>
        <v>2.0583605763409615E-3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0.48663522012578614</v>
      </c>
      <c r="D46" s="22">
        <f>SUM(D41:D45)</f>
        <v>127.2</v>
      </c>
      <c r="E46" s="21">
        <f>D46/$D$48</f>
        <v>0.1540138031238649</v>
      </c>
      <c r="F46" s="20">
        <f>I46/D46</f>
        <v>0.46593818188526764</v>
      </c>
      <c r="G46" s="19">
        <f>F46/C46-1</f>
        <v>-4.253090895305256E-2</v>
      </c>
      <c r="H46" s="18">
        <f>SUM(H41:H44)</f>
        <v>61.9</v>
      </c>
      <c r="I46" s="18">
        <f>SUM(I41:I44)</f>
        <v>59.267336735806047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104.21578719306657</v>
      </c>
      <c r="D48" s="13">
        <f>D24+D32+D40+D46</f>
        <v>825.9</v>
      </c>
      <c r="E48" s="12">
        <f>SUM(E20:E46)/2</f>
        <v>0.99999999999999989</v>
      </c>
      <c r="F48" s="11">
        <f>I48/D48</f>
        <v>28.01301368431599</v>
      </c>
      <c r="G48" s="10"/>
      <c r="H48" s="9">
        <f>SUM(H20:H46)/2</f>
        <v>24163.650000000005</v>
      </c>
      <c r="I48" s="9">
        <f>SUM(I20:I46)/2</f>
        <v>23135.948001876575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1082.3999999999999</v>
      </c>
      <c r="E50" s="12">
        <f>D50/G2</f>
        <v>0.99999999999999978</v>
      </c>
      <c r="F50" s="11">
        <f>I50/D50</f>
        <v>28.000000000000007</v>
      </c>
      <c r="G50" s="10"/>
      <c r="H50" s="9">
        <f>H48+H19</f>
        <v>31653.450000000004</v>
      </c>
      <c r="I50" s="9">
        <f>I48+I19</f>
        <v>30307.200000000004</v>
      </c>
      <c r="J50" s="106">
        <f>D50-G2</f>
        <v>0</v>
      </c>
      <c r="K50" s="8"/>
    </row>
    <row r="51" spans="1:11" ht="23.25" x14ac:dyDescent="0.35">
      <c r="A51" s="174" t="s">
        <v>299</v>
      </c>
      <c r="B51" s="169"/>
      <c r="C51" s="170"/>
      <c r="G51" s="7"/>
      <c r="H51" s="6"/>
      <c r="I51" s="6">
        <f>+I50/D50</f>
        <v>28.000000000000007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295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298</v>
      </c>
      <c r="D2" s="96" t="s">
        <v>3</v>
      </c>
      <c r="E2" s="95" t="s">
        <v>71</v>
      </c>
      <c r="F2" s="94" t="s">
        <v>5</v>
      </c>
      <c r="G2" s="93">
        <v>22874.1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300</v>
      </c>
      <c r="F3" s="88" t="s">
        <v>8</v>
      </c>
      <c r="G3" s="87">
        <v>26.75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76.247</v>
      </c>
      <c r="F4" s="81" t="s">
        <v>12</v>
      </c>
      <c r="G4" s="80">
        <f>G2*G3</f>
        <v>611882.17499999993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-9.0192441356653497E-3</v>
      </c>
      <c r="F6" s="69" t="s">
        <v>16</v>
      </c>
      <c r="G6" s="68">
        <f>(I50-I19)/(D50-(SUM(D42:D44)+D19))</f>
        <v>30.925936820590064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27.041715742835834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27.9</v>
      </c>
      <c r="D11" s="30">
        <v>5619.9</v>
      </c>
      <c r="E11" s="29">
        <f t="shared" si="1"/>
        <v>0.68143127364438827</v>
      </c>
      <c r="F11" s="28">
        <f t="shared" si="2"/>
        <v>28.151636911385062</v>
      </c>
      <c r="G11" s="27" t="str">
        <f t="shared" si="3"/>
        <v>+</v>
      </c>
      <c r="H11" s="34">
        <f t="shared" si="4"/>
        <v>156795.21</v>
      </c>
      <c r="I11" s="34">
        <f t="shared" si="5"/>
        <v>158209.38427829288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25.4</v>
      </c>
      <c r="D12" s="30">
        <v>1569.1</v>
      </c>
      <c r="E12" s="29">
        <f t="shared" si="1"/>
        <v>0.19025851197982344</v>
      </c>
      <c r="F12" s="28">
        <f t="shared" si="2"/>
        <v>25.629088801045899</v>
      </c>
      <c r="G12" s="27" t="str">
        <f t="shared" si="3"/>
        <v>+</v>
      </c>
      <c r="H12" s="34">
        <f t="shared" si="4"/>
        <v>39855.139999999992</v>
      </c>
      <c r="I12" s="34">
        <f t="shared" si="5"/>
        <v>40214.603237721116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28.151636911385062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31.1</v>
      </c>
      <c r="D14" s="30">
        <v>243</v>
      </c>
      <c r="E14" s="29">
        <f t="shared" si="1"/>
        <v>2.9464545542729651E-2</v>
      </c>
      <c r="F14" s="28">
        <f t="shared" si="2"/>
        <v>31.380498492619193</v>
      </c>
      <c r="G14" s="27" t="str">
        <f t="shared" si="3"/>
        <v>+</v>
      </c>
      <c r="H14" s="34">
        <f t="shared" si="4"/>
        <v>7557.3</v>
      </c>
      <c r="I14" s="34">
        <f t="shared" si="5"/>
        <v>7625.4611337064634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25.7</v>
      </c>
      <c r="D15" s="30">
        <v>31.3</v>
      </c>
      <c r="E15" s="29">
        <f t="shared" si="1"/>
        <v>3.7952274711417207E-3</v>
      </c>
      <c r="F15" s="28">
        <f t="shared" si="2"/>
        <v>25.931794574286599</v>
      </c>
      <c r="G15" s="27" t="str">
        <f t="shared" si="3"/>
        <v>+</v>
      </c>
      <c r="H15" s="34">
        <f t="shared" si="4"/>
        <v>804.41</v>
      </c>
      <c r="I15" s="34">
        <f t="shared" si="5"/>
        <v>811.6651701751706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35.200000000000003</v>
      </c>
      <c r="D16" s="30">
        <v>783.9</v>
      </c>
      <c r="E16" s="29">
        <f t="shared" si="1"/>
        <v>9.505044136191676E-2</v>
      </c>
      <c r="F16" s="28">
        <f t="shared" si="2"/>
        <v>35.517477393575426</v>
      </c>
      <c r="G16" s="27" t="str">
        <f t="shared" si="3"/>
        <v>+</v>
      </c>
      <c r="H16" s="34">
        <f t="shared" si="4"/>
        <v>27593.280000000002</v>
      </c>
      <c r="I16" s="34">
        <f t="shared" si="5"/>
        <v>27842.150528823775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51.7</v>
      </c>
      <c r="D17" s="30"/>
      <c r="E17" s="29">
        <f t="shared" si="1"/>
        <v>0</v>
      </c>
      <c r="F17" s="28">
        <f t="shared" si="2"/>
        <v>52.1662949218139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45.3</v>
      </c>
      <c r="D18" s="30"/>
      <c r="E18" s="29">
        <f t="shared" si="1"/>
        <v>0</v>
      </c>
      <c r="F18" s="28">
        <f t="shared" si="2"/>
        <v>45.708571759345638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28.204158987292651</v>
      </c>
      <c r="D19" s="49">
        <f>SUM(D10:D18)</f>
        <v>8247.2000000000007</v>
      </c>
      <c r="E19" s="48">
        <f t="shared" si="1"/>
        <v>1</v>
      </c>
      <c r="F19" s="47">
        <f>I19/D19</f>
        <v>28.458539182840163</v>
      </c>
      <c r="G19" s="46">
        <f>F19/C19-1</f>
        <v>9.0192441356653497E-3</v>
      </c>
      <c r="H19" s="9">
        <f>SUM(H10:H18)</f>
        <v>232605.33999999997</v>
      </c>
      <c r="I19" s="9">
        <f>SUM(I10:I18)</f>
        <v>234703.26434871941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67.3</v>
      </c>
      <c r="D21" s="30"/>
      <c r="E21" s="29">
        <f>D21/$D$48</f>
        <v>0</v>
      </c>
      <c r="F21" s="28">
        <f>C21-(C21*$E$6)</f>
        <v>67.906995130330273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45.2</v>
      </c>
      <c r="D22" s="30">
        <v>634.1</v>
      </c>
      <c r="E22" s="29">
        <f>D22/$D$48</f>
        <v>4.3352225724189321E-2</v>
      </c>
      <c r="F22" s="28">
        <f>C22-(C22*$E$6)</f>
        <v>45.607669834932075</v>
      </c>
      <c r="G22" s="27" t="str">
        <f>IF(C22&gt;=F22,"-","+")</f>
        <v>+</v>
      </c>
      <c r="H22" s="26">
        <f>C22*D22</f>
        <v>28661.320000000003</v>
      </c>
      <c r="I22" s="26">
        <f>F22*D22</f>
        <v>28919.823442330431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41.2</v>
      </c>
      <c r="D23" s="30"/>
      <c r="E23" s="29">
        <f>D23/$D$48</f>
        <v>0</v>
      </c>
      <c r="F23" s="28">
        <f>C23-(C23*$E$6)</f>
        <v>41.571592858389415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45.2</v>
      </c>
      <c r="D24" s="22">
        <f>SUM(D21:D23)</f>
        <v>634.1</v>
      </c>
      <c r="E24" s="21">
        <f>D24/$D$48</f>
        <v>4.3352225724189321E-2</v>
      </c>
      <c r="F24" s="20">
        <f>I24/D24</f>
        <v>45.607669834932075</v>
      </c>
      <c r="G24" s="19">
        <f>F24/C24-1</f>
        <v>9.0192441356653497E-3</v>
      </c>
      <c r="H24" s="18">
        <f>SUM(H21:H23)</f>
        <v>28661.320000000003</v>
      </c>
      <c r="I24" s="18">
        <f>SUM(I21:I23)</f>
        <v>28919.823442330431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35.9</v>
      </c>
      <c r="D26" s="30">
        <v>1763.6</v>
      </c>
      <c r="E26" s="29">
        <f t="shared" ref="E26:E32" si="7">D26/$D$48</f>
        <v>0.12057401874653884</v>
      </c>
      <c r="F26" s="28">
        <f t="shared" ref="F26:F31" si="8">C26-(C26*$E$6)</f>
        <v>36.223790864470388</v>
      </c>
      <c r="G26" s="27" t="str">
        <f t="shared" ref="G26:G31" si="9">IF(C26&gt;=F26,"-","+")</f>
        <v>+</v>
      </c>
      <c r="H26" s="26">
        <f t="shared" ref="H26:H31" si="10">C26*D26</f>
        <v>63313.239999999991</v>
      </c>
      <c r="I26" s="26">
        <f t="shared" ref="I26:I31" si="11">F26*D26</f>
        <v>63884.277568579972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2605.1</v>
      </c>
      <c r="E27" s="29">
        <f t="shared" si="7"/>
        <v>0.17810579283091876</v>
      </c>
      <c r="F27" s="28">
        <f t="shared" si="8"/>
        <v>32.288615812341291</v>
      </c>
      <c r="G27" s="27" t="str">
        <f t="shared" si="9"/>
        <v>+</v>
      </c>
      <c r="H27" s="26">
        <f t="shared" si="10"/>
        <v>83363.199999999997</v>
      </c>
      <c r="I27" s="26">
        <f t="shared" si="11"/>
        <v>84115.073052730295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2097.9</v>
      </c>
      <c r="E28" s="29">
        <f t="shared" si="7"/>
        <v>0.14342948170127232</v>
      </c>
      <c r="F28" s="28">
        <f t="shared" si="8"/>
        <v>32.288615812341291</v>
      </c>
      <c r="G28" s="27" t="str">
        <f t="shared" si="9"/>
        <v>+</v>
      </c>
      <c r="H28" s="26">
        <f t="shared" si="10"/>
        <v>67132.800000000003</v>
      </c>
      <c r="I28" s="26">
        <f t="shared" si="11"/>
        <v>67738.287112710794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30.9</v>
      </c>
      <c r="D29" s="30">
        <f>2091.3-24</f>
        <v>2067.3000000000002</v>
      </c>
      <c r="E29" s="29">
        <f t="shared" si="7"/>
        <v>0.14133741718911305</v>
      </c>
      <c r="F29" s="28">
        <f t="shared" si="8"/>
        <v>31.178694643792056</v>
      </c>
      <c r="G29" s="27" t="str">
        <f t="shared" si="9"/>
        <v>+</v>
      </c>
      <c r="H29" s="26">
        <f t="shared" si="10"/>
        <v>63879.57</v>
      </c>
      <c r="I29" s="26">
        <f t="shared" si="11"/>
        <v>64455.715437111321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30.9</v>
      </c>
      <c r="D30" s="30">
        <v>670.2</v>
      </c>
      <c r="E30" s="29">
        <f t="shared" si="7"/>
        <v>4.5820314903566757E-2</v>
      </c>
      <c r="F30" s="28">
        <f t="shared" si="8"/>
        <v>31.178694643792056</v>
      </c>
      <c r="G30" s="27" t="str">
        <f t="shared" si="9"/>
        <v>+</v>
      </c>
      <c r="H30" s="26">
        <f t="shared" si="10"/>
        <v>20709.18</v>
      </c>
      <c r="I30" s="26">
        <f t="shared" si="11"/>
        <v>20895.961150269439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31.4</v>
      </c>
      <c r="D31" s="30">
        <v>159.6</v>
      </c>
      <c r="E31" s="29">
        <f t="shared" si="7"/>
        <v>1.0911552161458154E-2</v>
      </c>
      <c r="F31" s="28">
        <f t="shared" si="8"/>
        <v>31.683204265859892</v>
      </c>
      <c r="G31" s="27" t="str">
        <f t="shared" si="9"/>
        <v>+</v>
      </c>
      <c r="H31" s="26">
        <f t="shared" si="10"/>
        <v>5011.4399999999996</v>
      </c>
      <c r="I31" s="26">
        <f t="shared" si="11"/>
        <v>5056.6394008312391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32.402728622232658</v>
      </c>
      <c r="D32" s="22">
        <f>SUM(D26:D31)</f>
        <v>9363.7000000000025</v>
      </c>
      <c r="E32" s="21">
        <f t="shared" si="7"/>
        <v>0.640178577532868</v>
      </c>
      <c r="F32" s="20">
        <f>I32/D32</f>
        <v>32.694976742338284</v>
      </c>
      <c r="G32" s="19">
        <f>F32/C32-1</f>
        <v>9.0192441356653497E-3</v>
      </c>
      <c r="H32" s="18">
        <f>SUM(H26:H31)</f>
        <v>303409.43</v>
      </c>
      <c r="I32" s="18">
        <f>SUM(I26:I31)</f>
        <v>306145.95372223307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f>801.8+1241.2</f>
        <v>2043</v>
      </c>
      <c r="E34" s="29">
        <f t="shared" ref="E34:E40" si="13">D34/$D$48</f>
        <v>0.13967607184122185</v>
      </c>
      <c r="F34" s="28">
        <f t="shared" ref="F34:F39" si="14">C34-(C34*$E$6)</f>
        <v>19.070463714164074</v>
      </c>
      <c r="G34" s="27" t="str">
        <f t="shared" ref="G34:G39" si="15">IF(C34&gt;=F34,"-","+")</f>
        <v>+</v>
      </c>
      <c r="H34" s="26">
        <f t="shared" ref="H34:H39" si="16">C34*D34</f>
        <v>38612.699999999997</v>
      </c>
      <c r="I34" s="26">
        <f t="shared" ref="I34:I39" si="17">F34*D34</f>
        <v>38960.957368037205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14.5</v>
      </c>
      <c r="D35" s="30">
        <v>148.4</v>
      </c>
      <c r="E35" s="29">
        <f t="shared" si="13"/>
        <v>1.0145829202759336E-2</v>
      </c>
      <c r="F35" s="28">
        <f t="shared" si="14"/>
        <v>14.630779039967148</v>
      </c>
      <c r="G35" s="27" t="str">
        <f t="shared" si="15"/>
        <v>+</v>
      </c>
      <c r="H35" s="26">
        <f t="shared" si="16"/>
        <v>2151.8000000000002</v>
      </c>
      <c r="I35" s="26">
        <f t="shared" si="17"/>
        <v>2171.2076095311249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11.805525156387285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30.9</v>
      </c>
      <c r="D37" s="30"/>
      <c r="E37" s="29">
        <f t="shared" si="13"/>
        <v>0</v>
      </c>
      <c r="F37" s="28">
        <f t="shared" si="14"/>
        <v>31.178694643792056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30.9</v>
      </c>
      <c r="D38" s="30"/>
      <c r="E38" s="29">
        <f t="shared" si="13"/>
        <v>0</v>
      </c>
      <c r="F38" s="28">
        <f t="shared" si="14"/>
        <v>31.178694643792056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32.288615812341291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18.602035228620974</v>
      </c>
      <c r="D40" s="22">
        <f>SUM(D34:D39)</f>
        <v>2191.4</v>
      </c>
      <c r="E40" s="113">
        <f t="shared" si="13"/>
        <v>0.14982190104398119</v>
      </c>
      <c r="F40" s="20">
        <f>I40/D40</f>
        <v>18.769811525768151</v>
      </c>
      <c r="G40" s="19">
        <f>F40/C40-1</f>
        <v>9.0192441356653497E-3</v>
      </c>
      <c r="H40" s="18">
        <f>SUM(H34:H39)</f>
        <v>40764.5</v>
      </c>
      <c r="I40" s="18">
        <f>SUM(I34:I39)</f>
        <v>41132.164977568333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178.2+1196.4+985</f>
        <v>2359.6000000000004</v>
      </c>
      <c r="E42" s="107">
        <f>D42/$D$48</f>
        <v>0.16132141904872596</v>
      </c>
      <c r="F42" s="28">
        <f>C42-(C42*$E$6)</f>
        <v>0.40360769765426618</v>
      </c>
      <c r="G42" s="27" t="str">
        <f>IF(C42&gt;=F42,"-","+")</f>
        <v>+</v>
      </c>
      <c r="H42" s="26">
        <f>C42*D42</f>
        <v>943.84000000000015</v>
      </c>
      <c r="I42" s="26">
        <f>F42*D42</f>
        <v>952.35272338500658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70.900000000000006</v>
      </c>
      <c r="E43" s="107">
        <f>D43/$D$48</f>
        <v>4.8472998010487666E-3</v>
      </c>
      <c r="F43" s="28">
        <f>C43-(C43*$E$6)</f>
        <v>0.40360769765426618</v>
      </c>
      <c r="G43" s="27" t="str">
        <f>IF(C43&gt;=F43,"-","+")</f>
        <v>+</v>
      </c>
      <c r="H43" s="26">
        <f>C43*D43</f>
        <v>28.360000000000003</v>
      </c>
      <c r="I43" s="26">
        <f>F43*D43</f>
        <v>28.615785763687473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</v>
      </c>
      <c r="E45" s="107">
        <f>D45/$D$48</f>
        <v>4.7857684918676109E-4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0.39885128205128206</v>
      </c>
      <c r="D46" s="22">
        <f>SUM(D41:D45)</f>
        <v>2437.5000000000005</v>
      </c>
      <c r="E46" s="113">
        <f>D46/$D$48</f>
        <v>0.1666472956989615</v>
      </c>
      <c r="F46" s="20">
        <f>I46/D46</f>
        <v>0.40244861913792568</v>
      </c>
      <c r="G46" s="19">
        <f>F46/C46-1</f>
        <v>9.0192441356653497E-3</v>
      </c>
      <c r="H46" s="18">
        <f>SUM(H41:H44)</f>
        <v>972.20000000000016</v>
      </c>
      <c r="I46" s="18">
        <f>SUM(I41:I44)</f>
        <v>980.96850914869401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96.60361513290492</v>
      </c>
      <c r="D48" s="13">
        <f>D24+D32+D40+D46</f>
        <v>14626.700000000003</v>
      </c>
      <c r="E48" s="12">
        <f>SUM(E20:E46)/2</f>
        <v>1</v>
      </c>
      <c r="F48" s="11">
        <f>I48/D48</f>
        <v>25.78701351988353</v>
      </c>
      <c r="G48" s="10"/>
      <c r="H48" s="9">
        <f>SUM(H20:H46)/2</f>
        <v>373807.44999999995</v>
      </c>
      <c r="I48" s="9">
        <f>SUM(I20:I46)/2</f>
        <v>377178.91065128049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22873.9</v>
      </c>
      <c r="E50" s="12">
        <f>D50/G2</f>
        <v>0.99999125648659415</v>
      </c>
      <c r="F50" s="11">
        <f>I50/D50</f>
        <v>26.750233891028635</v>
      </c>
      <c r="G50" s="10"/>
      <c r="H50" s="9">
        <f>H48+H19</f>
        <v>606412.78999999992</v>
      </c>
      <c r="I50" s="9">
        <f>I48+I19</f>
        <v>611882.17499999993</v>
      </c>
      <c r="J50" s="106">
        <f>D50-G2</f>
        <v>-0.19999999999708962</v>
      </c>
      <c r="K50" s="8"/>
    </row>
    <row r="51" spans="1:11" ht="23.25" x14ac:dyDescent="0.35">
      <c r="A51" s="174" t="s">
        <v>300</v>
      </c>
      <c r="B51" s="169"/>
      <c r="C51" s="170"/>
      <c r="G51" s="7"/>
      <c r="H51" s="6"/>
      <c r="I51" s="6">
        <f>+I50/D50</f>
        <v>26.750233891028635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rgb="FF92D050"/>
  </sheetPr>
  <dimension ref="A1:K56"/>
  <sheetViews>
    <sheetView topLeftCell="A3"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301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301</v>
      </c>
      <c r="D2" s="96" t="s">
        <v>3</v>
      </c>
      <c r="E2" s="95" t="s">
        <v>71</v>
      </c>
      <c r="F2" s="94" t="s">
        <v>5</v>
      </c>
      <c r="G2" s="93">
        <v>13333.9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208</v>
      </c>
      <c r="F3" s="88" t="s">
        <v>8</v>
      </c>
      <c r="G3" s="87">
        <v>27.15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64.105288461538464</v>
      </c>
      <c r="F4" s="81" t="s">
        <v>12</v>
      </c>
      <c r="G4" s="80">
        <f>G2*G3</f>
        <v>362015.38499999995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-1.5600973869445145E-2</v>
      </c>
      <c r="F6" s="69" t="s">
        <v>16</v>
      </c>
      <c r="G6" s="68">
        <f>(I50-I19)/(D50-(SUM(D42:D44)+D19))</f>
        <v>32.880000817423856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 t="e">
        <f t="shared" ref="E10:E19" si="1">D10/$D$19</f>
        <v>#DIV/0!</v>
      </c>
      <c r="F10" s="28">
        <f t="shared" ref="F10:F18" si="2">C10-(C10*$E$6)</f>
        <v>27.624346489248907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28.3</v>
      </c>
      <c r="D11" s="30"/>
      <c r="E11" s="29" t="e">
        <f t="shared" si="1"/>
        <v>#DIV/0!</v>
      </c>
      <c r="F11" s="28">
        <f t="shared" si="2"/>
        <v>28.741507560505298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25.8</v>
      </c>
      <c r="D12" s="30"/>
      <c r="E12" s="29" t="e">
        <f t="shared" si="1"/>
        <v>#DIV/0!</v>
      </c>
      <c r="F12" s="28">
        <f t="shared" si="2"/>
        <v>26.202505125831685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 t="e">
        <f t="shared" si="1"/>
        <v>#DIV/0!</v>
      </c>
      <c r="F13" s="28">
        <f t="shared" si="2"/>
        <v>28.741507560505298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31.6</v>
      </c>
      <c r="D14" s="30"/>
      <c r="E14" s="29" t="e">
        <f t="shared" si="1"/>
        <v>#DIV/0!</v>
      </c>
      <c r="F14" s="28">
        <f t="shared" si="2"/>
        <v>32.092990774274469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26.1</v>
      </c>
      <c r="D15" s="30"/>
      <c r="E15" s="29" t="e">
        <f t="shared" si="1"/>
        <v>#DIV/0!</v>
      </c>
      <c r="F15" s="28">
        <f t="shared" si="2"/>
        <v>26.50718541799252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35.700000000000003</v>
      </c>
      <c r="D16" s="30"/>
      <c r="E16" s="29" t="e">
        <f t="shared" si="1"/>
        <v>#DIV/0!</v>
      </c>
      <c r="F16" s="28">
        <f t="shared" si="2"/>
        <v>36.256954767139192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52.5</v>
      </c>
      <c r="D17" s="30"/>
      <c r="E17" s="29" t="e">
        <f t="shared" si="1"/>
        <v>#DIV/0!</v>
      </c>
      <c r="F17" s="28">
        <f t="shared" si="2"/>
        <v>53.319051128145873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</v>
      </c>
      <c r="D18" s="30"/>
      <c r="E18" s="29" t="e">
        <f t="shared" si="1"/>
        <v>#DIV/0!</v>
      </c>
      <c r="F18" s="28">
        <f t="shared" si="2"/>
        <v>46.717644797994474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68.3</v>
      </c>
      <c r="D21" s="30">
        <v>168.3</v>
      </c>
      <c r="E21" s="29">
        <f>D21/$D$48</f>
        <v>1.2622058227962021E-2</v>
      </c>
      <c r="F21" s="28">
        <f>C21-(C21*$E$6)</f>
        <v>69.3655465152831</v>
      </c>
      <c r="G21" s="27" t="str">
        <f>IF(C21&gt;=F21,"-","+")</f>
        <v>+</v>
      </c>
      <c r="H21" s="26">
        <f>C21*D21</f>
        <v>11494.89</v>
      </c>
      <c r="I21" s="26">
        <f>F21*D21</f>
        <v>11674.221478522146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378.6</v>
      </c>
      <c r="E22" s="29">
        <f>D22/$D$48</f>
        <v>2.8394006209782656E-2</v>
      </c>
      <c r="F22" s="28">
        <f>C22-(C22*$E$6)</f>
        <v>46.61608470060753</v>
      </c>
      <c r="G22" s="27" t="str">
        <f>IF(C22&gt;=F22,"-","+")</f>
        <v>+</v>
      </c>
      <c r="H22" s="26">
        <f>C22*D22</f>
        <v>17377.740000000002</v>
      </c>
      <c r="I22" s="26">
        <f>F22*D22</f>
        <v>17648.849667650011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41.8</v>
      </c>
      <c r="D23" s="30">
        <v>319.3</v>
      </c>
      <c r="E23" s="29">
        <f>D23/$D$48</f>
        <v>2.3946661866834661E-2</v>
      </c>
      <c r="F23" s="28">
        <f>C23-(C23*$E$6)</f>
        <v>42.452120707742807</v>
      </c>
      <c r="G23" s="27" t="str">
        <f>IF(C23&gt;=F23,"-","+")</f>
        <v>+</v>
      </c>
      <c r="H23" s="26">
        <f>C23*D23</f>
        <v>13346.74</v>
      </c>
      <c r="I23" s="26">
        <f>F23*D23</f>
        <v>13554.96214198228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48.740902793812054</v>
      </c>
      <c r="D24" s="22">
        <f>SUM(D21:D23)</f>
        <v>866.2</v>
      </c>
      <c r="E24" s="21">
        <f>D24/$D$48</f>
        <v>6.4962726304579332E-2</v>
      </c>
      <c r="F24" s="20">
        <f>I24/D24</f>
        <v>49.501308344671479</v>
      </c>
      <c r="G24" s="19">
        <f>F24/C24-1</f>
        <v>1.5600973869445145E-2</v>
      </c>
      <c r="H24" s="18">
        <f>SUM(H21:H23)</f>
        <v>42219.37</v>
      </c>
      <c r="I24" s="18">
        <f>SUM(I21:I23)</f>
        <v>42878.033288154438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36.4</v>
      </c>
      <c r="D26" s="30">
        <v>2647.9</v>
      </c>
      <c r="E26" s="29">
        <f t="shared" ref="E26:E32" si="7">D26/$D$48</f>
        <v>0.19858554950576729</v>
      </c>
      <c r="F26" s="28">
        <f t="shared" ref="F26:F31" si="8">C26-(C26*$E$6)</f>
        <v>36.967875448847799</v>
      </c>
      <c r="G26" s="27" t="str">
        <f t="shared" ref="G26:G31" si="9">IF(C26&gt;=F26,"-","+")</f>
        <v>+</v>
      </c>
      <c r="H26" s="26">
        <f t="shared" ref="H26:H31" si="10">C26*D26</f>
        <v>96383.56</v>
      </c>
      <c r="I26" s="26">
        <f t="shared" ref="I26:I31" si="11">F26*D26</f>
        <v>97887.237401004095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32.4</v>
      </c>
      <c r="D27" s="30">
        <v>2120.4</v>
      </c>
      <c r="E27" s="29">
        <f t="shared" si="7"/>
        <v>0.15902443414480494</v>
      </c>
      <c r="F27" s="28">
        <f t="shared" si="8"/>
        <v>32.90547155337002</v>
      </c>
      <c r="G27" s="27" t="str">
        <f t="shared" si="9"/>
        <v>+</v>
      </c>
      <c r="H27" s="26">
        <f t="shared" si="10"/>
        <v>68700.960000000006</v>
      </c>
      <c r="I27" s="26">
        <f t="shared" si="11"/>
        <v>69772.761881765793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32.4</v>
      </c>
      <c r="D28" s="30">
        <v>1421.8</v>
      </c>
      <c r="E28" s="29">
        <f t="shared" si="7"/>
        <v>0.10663126790562329</v>
      </c>
      <c r="F28" s="28">
        <f t="shared" si="8"/>
        <v>32.90547155337002</v>
      </c>
      <c r="G28" s="27" t="str">
        <f t="shared" si="9"/>
        <v>+</v>
      </c>
      <c r="H28" s="26">
        <f t="shared" si="10"/>
        <v>46066.32</v>
      </c>
      <c r="I28" s="26">
        <f t="shared" si="11"/>
        <v>46784.999454581492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1053.7</v>
      </c>
      <c r="E29" s="29">
        <f t="shared" si="7"/>
        <v>7.9024734134305302E-2</v>
      </c>
      <c r="F29" s="28">
        <f t="shared" si="8"/>
        <v>31.889870579500577</v>
      </c>
      <c r="G29" s="27" t="str">
        <f t="shared" si="9"/>
        <v>+</v>
      </c>
      <c r="H29" s="26">
        <f t="shared" si="10"/>
        <v>33086.18</v>
      </c>
      <c r="I29" s="26">
        <f t="shared" si="11"/>
        <v>33602.35662961976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711</v>
      </c>
      <c r="E30" s="29">
        <f t="shared" si="7"/>
        <v>5.3323133690320837E-2</v>
      </c>
      <c r="F30" s="28">
        <f t="shared" si="8"/>
        <v>31.889870579500577</v>
      </c>
      <c r="G30" s="27" t="str">
        <f t="shared" si="9"/>
        <v>+</v>
      </c>
      <c r="H30" s="26">
        <f t="shared" si="10"/>
        <v>22325.399999999998</v>
      </c>
      <c r="I30" s="26">
        <f t="shared" si="11"/>
        <v>22673.697982024911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31.9</v>
      </c>
      <c r="D31" s="30">
        <v>376.8</v>
      </c>
      <c r="E31" s="29">
        <f t="shared" si="7"/>
        <v>2.8259010934617287E-2</v>
      </c>
      <c r="F31" s="28">
        <f t="shared" si="8"/>
        <v>32.397671066435301</v>
      </c>
      <c r="G31" s="27" t="str">
        <f t="shared" si="9"/>
        <v>+</v>
      </c>
      <c r="H31" s="26">
        <f t="shared" si="10"/>
        <v>12019.92</v>
      </c>
      <c r="I31" s="26">
        <f t="shared" si="11"/>
        <v>12207.442457832822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33.436835661817661</v>
      </c>
      <c r="D32" s="22">
        <f>SUM(D26:D31)</f>
        <v>8331.6</v>
      </c>
      <c r="E32" s="21">
        <f t="shared" si="7"/>
        <v>0.62484813031543895</v>
      </c>
      <c r="F32" s="20">
        <f>I32/D32</f>
        <v>33.958482861254602</v>
      </c>
      <c r="G32" s="19">
        <f>F32/C32-1</f>
        <v>1.5600973869444923E-2</v>
      </c>
      <c r="H32" s="18">
        <f>SUM(H26:H31)</f>
        <v>278582.34000000003</v>
      </c>
      <c r="I32" s="18">
        <f>SUM(I26:I31)</f>
        <v>282928.49580682884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1808.5</v>
      </c>
      <c r="E34" s="29">
        <f t="shared" ref="E34:E40" si="13">D34/$D$48</f>
        <v>0.13563275285365012</v>
      </c>
      <c r="F34" s="28">
        <f t="shared" ref="F34:F39" si="14">C34-(C34*$E$6)</f>
        <v>19.499538698293346</v>
      </c>
      <c r="G34" s="27" t="str">
        <f t="shared" ref="G34:G39" si="15">IF(C34&gt;=F34,"-","+")</f>
        <v>+</v>
      </c>
      <c r="H34" s="26">
        <f t="shared" ref="H34:H39" si="16">C34*D34</f>
        <v>34723.199999999997</v>
      </c>
      <c r="I34" s="26">
        <f t="shared" ref="I34:I39" si="17">F34*D34</f>
        <v>35264.915735863513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/>
      <c r="E35" s="29">
        <f t="shared" si="13"/>
        <v>0</v>
      </c>
      <c r="F35" s="28">
        <f t="shared" si="14"/>
        <v>15.030894413267788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12.085651589046398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31.889870579500577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31.889870579500577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32.4</v>
      </c>
      <c r="D39" s="30"/>
      <c r="E39" s="29">
        <f t="shared" si="13"/>
        <v>0</v>
      </c>
      <c r="F39" s="28">
        <f t="shared" si="14"/>
        <v>32.90547155337002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</v>
      </c>
      <c r="D40" s="22">
        <f>SUM(D34:D39)</f>
        <v>1808.5</v>
      </c>
      <c r="E40" s="113">
        <f t="shared" si="13"/>
        <v>0.13563275285365012</v>
      </c>
      <c r="F40" s="20">
        <f>I40/D40</f>
        <v>19.499538698293343</v>
      </c>
      <c r="G40" s="19">
        <f>F40/C40-1</f>
        <v>1.5600973869444923E-2</v>
      </c>
      <c r="H40" s="18">
        <f>SUM(H34:H39)</f>
        <v>34723.199999999997</v>
      </c>
      <c r="I40" s="18">
        <f>SUM(I34:I39)</f>
        <v>35264.915735863513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2199</v>
      </c>
      <c r="E42" s="107">
        <f>D42/$D$48</f>
        <v>0.16491922782702603</v>
      </c>
      <c r="F42" s="28">
        <f>C42-(C42*$E$6)</f>
        <v>0.40624038954777808</v>
      </c>
      <c r="G42" s="27" t="str">
        <f>IF(C42&gt;=F42,"-","+")</f>
        <v>+</v>
      </c>
      <c r="H42" s="26">
        <f>C42*D42</f>
        <v>879.6</v>
      </c>
      <c r="I42" s="26">
        <f>F42*D42</f>
        <v>893.32261661556402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124.6</v>
      </c>
      <c r="E43" s="107">
        <f>D43/$D$48</f>
        <v>9.3446729364472236E-3</v>
      </c>
      <c r="F43" s="28">
        <f>C43-(C43*$E$6)</f>
        <v>0.40624038954777808</v>
      </c>
      <c r="G43" s="27" t="str">
        <f>IF(C43&gt;=F43,"-","+")</f>
        <v>+</v>
      </c>
      <c r="H43" s="26">
        <f>C43*D43</f>
        <v>49.84</v>
      </c>
      <c r="I43" s="26">
        <f>F43*D43</f>
        <v>50.617552537653147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3.9</v>
      </c>
      <c r="E45" s="107">
        <f>D45/$D$48</f>
        <v>2.9248976285829991E-4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0.39932975295381312</v>
      </c>
      <c r="D46" s="22">
        <f>SUM(D41:D45)</f>
        <v>2327.5</v>
      </c>
      <c r="E46" s="113">
        <f>D46/$D$48</f>
        <v>0.17455639052633157</v>
      </c>
      <c r="F46" s="20">
        <f>I46/D46</f>
        <v>0.40555968599493758</v>
      </c>
      <c r="G46" s="19">
        <f>F46/C46-1</f>
        <v>1.5600973869445145E-2</v>
      </c>
      <c r="H46" s="18">
        <f>SUM(H41:H44)</f>
        <v>929.44</v>
      </c>
      <c r="I46" s="18">
        <f>SUM(I41:I44)</f>
        <v>943.9401691532172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101.77706820858353</v>
      </c>
      <c r="D48" s="13">
        <f>D24+D32+D40+D46</f>
        <v>13333.800000000001</v>
      </c>
      <c r="E48" s="12">
        <f>SUM(E20:E46)/2</f>
        <v>0.99999999999999989</v>
      </c>
      <c r="F48" s="11">
        <f>I48/D48</f>
        <v>27.150203617873377</v>
      </c>
      <c r="G48" s="10"/>
      <c r="H48" s="9">
        <f>SUM(H20:H46)/2</f>
        <v>356454.34999999992</v>
      </c>
      <c r="I48" s="9">
        <f>SUM(I20:I46)/2</f>
        <v>362015.38500000007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13333.8</v>
      </c>
      <c r="E50" s="12">
        <f>D50/G2</f>
        <v>0.99999250031873643</v>
      </c>
      <c r="F50" s="11">
        <f>I50/D50</f>
        <v>27.15020361787338</v>
      </c>
      <c r="G50" s="10"/>
      <c r="H50" s="9">
        <f>H48+H19</f>
        <v>356454.34999999992</v>
      </c>
      <c r="I50" s="9">
        <f>I48+I19</f>
        <v>362015.38500000007</v>
      </c>
      <c r="J50" s="106">
        <f>D50-G2</f>
        <v>-0.1000000000003638</v>
      </c>
      <c r="K50" s="8"/>
    </row>
    <row r="51" spans="1:11" ht="23.25" x14ac:dyDescent="0.35">
      <c r="A51" s="174" t="s">
        <v>302</v>
      </c>
      <c r="B51" s="169"/>
      <c r="C51" s="170"/>
      <c r="G51" s="7"/>
      <c r="H51" s="6"/>
      <c r="I51" s="6">
        <f>+I50/D50</f>
        <v>27.15020361787338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rgb="FFFF000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6.14062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/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YIL28-19022728'!G2+'ÖA27-19022627'!G2+'AYG27-19022425'!G2++'BA26-19022425'!G2+'AL26-19022223'!G2+'YIL25-19022425'!G2+'AY22-19021718'!G2+'BO22-19021618'!G2+'YIL21-19022021'!G2+'BA18-19021415'!G2+'ÖB18-19021314'!G2+'YIL18-19021718'!G2+'BO14-19021214'!G2+'ÖB14-19021314-1'!G2+'ÖZ13-19020911'!G2+'BA11-19020708'!G2+'BA11-19021011'!G2+'ÜN10-19020810'!G2+'AT10-19020810-S'!G2+'G07-19020607'!G2+'İP7-19020607-S'!G2+'BA7-19020607'!G2+'G6-19020506'!G2+'3E6-19020506-S'!G2+'FA6-19020506-S'!G2+'G5-19020405'!G2+'ÜN5-19020405-S'!G2+'YÜK5-19023005-S'!G2+'AY4-19020304-S'!G2+'ATK4-19020304-S'!G2+'ATK4-19020304'!G2+'SA4-19020204-S'!G2+'AY4-19013031'!G2+'G4-19020204-1'!G2+'G4-19020204'!G2+'MY2-19020102-S'!G2+'ÖA2-19020102'!G2+'3E1-19023001-S'!G2+'SA1-19012931-S'!G2+'ÖA1-19013031-1'!G2</f>
        <v>484141.10000000003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30">
        <f>'YIL28-19022728'!E3+'ÖA27-19022627'!E3+'AYG27-19022425'!E3++'BA26-19022425'!E3+'AL26-19022223'!E3+'YIL25-19022425'!E3+'AY22-19021718'!E3+'BO22-19021618'!E3+'YIL21-19022021'!E3+'BA18-19021415'!E3+'ÖB18-19021314'!E3+'YIL18-19021718'!E3+'BO14-19021214'!E3+'ÖB14-19021314-1'!E3+'ÖZ13-19020911'!E3+'BA11-19020708'!E3+'BA11-19021011'!E3+'ÜN10-19020810'!E3+'AT10-19020810-S'!E3+'G07-19020607'!E3+'İP7-19020607-S'!E3+'BA7-19020607'!E3+'G6-19020506'!E3+'3E6-19020506-S'!E3+'FA6-19020506-S'!E3+'G5-19020405'!E3+'ÜN5-19020405-S'!E3+'YÜK5-19023005-S'!E3+'AY4-19020304-S'!E3+'ATK4-19020304-S'!E3+'ATK4-19020304'!E3+'SA4-19020204-S'!E3+'AY4-19013031'!E3+'G4-19020204-1'!E3+'G4-19020204'!E3+'MY2-19020102-S'!E3+'ÖA2-19020102'!E3+'3E1-19023001-S'!E3+'SA1-19012931-S'!E3+'ÖA1-19013031-1'!E3</f>
        <v>6959</v>
      </c>
      <c r="F3" s="111" t="s">
        <v>8</v>
      </c>
      <c r="G3" s="109">
        <v>24.99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69.570498634861337</v>
      </c>
      <c r="F4" s="81" t="s">
        <v>12</v>
      </c>
      <c r="G4" s="112">
        <f>G2*G3</f>
        <v>12098686.089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-2.85958965845583E-2</v>
      </c>
      <c r="F6" s="69" t="s">
        <v>16</v>
      </c>
      <c r="G6" s="68">
        <f>(I50-I19)/(D50-(SUM(D42:D44)+D19))</f>
        <v>30.168856521578455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>
        <f>'YIL28-19022728'!D10+'ÖA27-19022627'!D10+'AYG27-19022425'!D10++'BA26-19022425'!D10+'AL26-19022223'!D10+'YIL25-19022425'!D10+'AY22-19021718'!D10+'BO22-19021618'!D10+'YIL21-19022021'!D10+'BA18-19021415'!D10+'ÖB18-19021314'!D10+'YIL18-19021718'!D10+'BO14-19021214'!D10+'ÖB14-19021314-1'!D10+'ÖZ13-19020911'!D10+'BA11-19020708'!D10+'BA11-19021011'!D10+'ÜN10-19020810'!D10+'AT10-19020810-S'!D10+'G07-19020607'!D10+'İP7-19020607-S'!D10+'BA7-19020607'!D10+'G6-19020506'!D10+'3E6-19020506-S'!D10+'FA6-19020506-S'!D10+'G5-19020405'!D10+'ÜN5-19020405-S'!D10+'YÜK5-19023005-S'!D10+'AY4-19020304-S'!D10+'ATK4-19020304-S'!D10+'ATK4-19020304'!D10+'SA4-19020204-S'!D10+'AY4-19013031'!D10+'G4-19020204-1'!D10+'G4-19020204'!D10+'MY2-19020102-S'!D10+'ÖA2-19020102'!D10+'3E1-19023001-S'!D10+'SA1-19012931-S'!D10+'ÖA1-19013031-1'!D10</f>
        <v>3181.1</v>
      </c>
      <c r="E10" s="29">
        <f t="shared" ref="E10:E19" si="1">D10/$D$19</f>
        <v>3.3721920043081284E-2</v>
      </c>
      <c r="F10" s="28">
        <f t="shared" ref="F10:F18" si="2">C10-(C10*$E$6)</f>
        <v>25.714897414613958</v>
      </c>
      <c r="G10" s="27" t="str">
        <f t="shared" ref="G10:G18" si="3">IF(C10&gt;=F10,"-","+")</f>
        <v>+</v>
      </c>
      <c r="H10" s="34">
        <f t="shared" ref="H10:H18" si="4">C10*D10</f>
        <v>79527.5</v>
      </c>
      <c r="I10" s="34">
        <f t="shared" ref="I10:I18" si="5">F10*D10</f>
        <v>81801.660165628462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>
        <f>'YIL28-19022728'!D11+'ÖA27-19022627'!D11+'AYG27-19022425'!D11++'BA26-19022425'!D11+'AL26-19022223'!D11+'YIL25-19022425'!D11+'AY22-19021718'!D11+'BO22-19021618'!D11+'YIL21-19022021'!D11+'BA18-19021415'!D11+'ÖB18-19021314'!D11+'YIL18-19021718'!D11+'BO14-19021214'!D11+'ÖB14-19021314-1'!D11+'ÖZ13-19020911'!D11+'BA11-19020708'!D11+'BA11-19021011'!D11+'ÜN10-19020810'!D11+'AT10-19020810-S'!D11+'G07-19020607'!D11+'İP7-19020607-S'!D11+'BA7-19020607'!D11+'G6-19020506'!D11+'3E6-19020506-S'!D11+'FA6-19020506-S'!D11+'G5-19020405'!D11+'ÜN5-19020405-S'!D11+'YÜK5-19023005-S'!D11+'AY4-19020304-S'!D11+'ATK4-19020304-S'!D11+'ATK4-19020304'!D11+'SA4-19020204-S'!D11+'AY4-19013031'!D11+'G4-19020204-1'!D11+'G4-19020204'!D11+'MY2-19020102-S'!D11+'ÖA2-19020102'!D11+'3E1-19023001-S'!D11+'SA1-19012931-S'!D11+'ÖA1-19013031-1'!D11</f>
        <v>44649.700000000004</v>
      </c>
      <c r="E11" s="29">
        <f t="shared" si="1"/>
        <v>0.47331854180867206</v>
      </c>
      <c r="F11" s="28">
        <f t="shared" si="2"/>
        <v>26.743493311198517</v>
      </c>
      <c r="G11" s="27" t="str">
        <f t="shared" si="3"/>
        <v>+</v>
      </c>
      <c r="H11" s="34">
        <f t="shared" si="4"/>
        <v>1160892.2000000002</v>
      </c>
      <c r="I11" s="34">
        <f t="shared" si="5"/>
        <v>1194088.9532970206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>
        <f>'YIL28-19022728'!D12+'ÖA27-19022627'!D12+'AYG27-19022425'!D12++'BA26-19022425'!D12+'AL26-19022223'!D12+'YIL25-19022425'!D12+'AY22-19021718'!D12+'BO22-19021618'!D12+'YIL21-19022021'!D12+'BA18-19021415'!D12+'ÖB18-19021314'!D12+'YIL18-19021718'!D12+'BO14-19021214'!D12+'ÖB14-19021314-1'!D12+'ÖZ13-19020911'!D12+'BA11-19020708'!D12+'BA11-19021011'!D12+'ÜN10-19020810'!D12+'AT10-19020810-S'!D12+'G07-19020607'!D12+'İP7-19020607-S'!D12+'BA7-19020607'!D12+'G6-19020506'!D12+'3E6-19020506-S'!D12+'FA6-19020506-S'!D12+'G5-19020405'!D12+'ÜN5-19020405-S'!D12+'YÜK5-19023005-S'!D12+'AY4-19020304-S'!D12+'ATK4-19020304-S'!D12+'ATK4-19020304'!D12+'SA4-19020204-S'!D12+'AY4-19013031'!D12+'G4-19020204-1'!D12+'G4-19020204'!D12+'MY2-19020102-S'!D12+'ÖA2-19020102'!D12+'3E1-19023001-S'!D12+'SA1-19012931-S'!D12+'ÖA1-19013031-1'!D12</f>
        <v>40744.200000000004</v>
      </c>
      <c r="E12" s="29">
        <f t="shared" si="1"/>
        <v>0.43191746710864565</v>
      </c>
      <c r="F12" s="28">
        <f t="shared" si="2"/>
        <v>24.480582338712487</v>
      </c>
      <c r="G12" s="27" t="str">
        <f>IF(C12&gt;=F12,"-","+")</f>
        <v>+</v>
      </c>
      <c r="H12" s="34">
        <f t="shared" si="4"/>
        <v>969711.96000000008</v>
      </c>
      <c r="I12" s="34">
        <f t="shared" si="5"/>
        <v>997441.74292496941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>
        <f>'YIL28-19022728'!D13+'ÖA27-19022627'!D13+'AYG27-19022425'!D13++'BA26-19022425'!D13+'AL26-19022223'!D13+'YIL25-19022425'!D13+'AY22-19021718'!D13+'BO22-19021618'!D13+'YIL21-19022021'!D13+'BA18-19021415'!D13+'ÖB18-19021314'!D13+'YIL18-19021718'!D13+'BO14-19021214'!D13+'ÖB14-19021314-1'!D13+'ÖZ13-19020911'!D13+'BA11-19020708'!D13+'BA11-19021011'!D13+'ÜN10-19020810'!D13+'AT10-19020810-S'!D13+'G07-19020607'!D13+'İP7-19020607-S'!D13+'BA7-19020607'!D13+'G6-19020506'!D13+'3E6-19020506-S'!D13+'FA6-19020506-S'!D13+'G5-19020405'!D13+'ÜN5-19020405-S'!D13+'YÜK5-19023005-S'!D13+'AY4-19020304-S'!D13+'ATK4-19020304-S'!D13+'ATK4-19020304'!D13+'SA4-19020204-S'!D13+'AY4-19013031'!D13+'G4-19020204-1'!D13+'G4-19020204'!D13+'MY2-19020102-S'!D13+'ÖA2-19020102'!D13+'3E1-19023001-S'!D13+'SA1-19012931-S'!D13+'ÖA1-19013031-1'!D13</f>
        <v>401</v>
      </c>
      <c r="E13" s="29">
        <f t="shared" si="1"/>
        <v>4.2508848943056165E-3</v>
      </c>
      <c r="F13" s="28">
        <f t="shared" si="2"/>
        <v>26.743493311198517</v>
      </c>
      <c r="G13" s="27" t="str">
        <f t="shared" si="3"/>
        <v>+</v>
      </c>
      <c r="H13" s="34">
        <f t="shared" si="4"/>
        <v>10426</v>
      </c>
      <c r="I13" s="34">
        <f t="shared" si="5"/>
        <v>10724.140817790605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>
        <f>'YIL28-19022728'!D14+'ÖA27-19022627'!D14+'AYG27-19022425'!D14++'BA26-19022425'!D14+'AL26-19022223'!D14+'YIL25-19022425'!D14+'AY22-19021718'!D14+'BO22-19021618'!D14+'YIL21-19022021'!D14+'BA18-19021415'!D14+'ÖB18-19021314'!D14+'YIL18-19021718'!D14+'BO14-19021214'!D14+'ÖB14-19021314-1'!D14+'ÖZ13-19020911'!D14+'BA11-19020708'!D14+'BA11-19021011'!D14+'ÜN10-19020810'!D14+'AT10-19020810-S'!D14+'G07-19020607'!D14+'İP7-19020607-S'!D14+'BA7-19020607'!D14+'G6-19020506'!D14+'3E6-19020506-S'!D14+'FA6-19020506-S'!D14+'G5-19020405'!D14+'ÜN5-19020405-S'!D14+'YÜK5-19023005-S'!D14+'AY4-19020304-S'!D14+'ATK4-19020304-S'!D14+'ATK4-19020304'!D14+'SA4-19020204-S'!D14+'AY4-19013031'!D14+'G4-19020204-1'!D14+'G4-19020204'!D14+'MY2-19020102-S'!D14+'ÖA2-19020102'!D14+'3E1-19023001-S'!D14+'SA1-19012931-S'!D14+'ÖA1-19013031-1'!D14</f>
        <v>1737.1999999999996</v>
      </c>
      <c r="E14" s="29">
        <f t="shared" si="1"/>
        <v>1.8415554210443177E-2</v>
      </c>
      <c r="F14" s="28">
        <f t="shared" si="2"/>
        <v>29.932140590610647</v>
      </c>
      <c r="G14" s="27" t="str">
        <f t="shared" si="3"/>
        <v>+</v>
      </c>
      <c r="H14" s="34">
        <f t="shared" si="4"/>
        <v>50552.51999999999</v>
      </c>
      <c r="I14" s="34">
        <f t="shared" si="5"/>
        <v>51998.114634008802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>
        <f>'YIL28-19022728'!D15+'ÖA27-19022627'!D15+'AYG27-19022425'!D15++'BA26-19022425'!D15+'AL26-19022223'!D15+'YIL25-19022425'!D15+'AY22-19021718'!D15+'BO22-19021618'!D15+'YIL21-19022021'!D15+'BA18-19021415'!D15+'ÖB18-19021314'!D15+'YIL18-19021718'!D15+'BO14-19021214'!D15+'ÖB14-19021314-1'!D15+'ÖZ13-19020911'!D15+'BA11-19020708'!D15+'BA11-19021011'!D15+'ÜN10-19020810'!D15+'AT10-19020810-S'!D15+'G07-19020607'!D15+'İP7-19020607-S'!D15+'BA7-19020607'!D15+'G6-19020506'!D15+'3E6-19020506-S'!D15+'FA6-19020506-S'!D15+'G5-19020405'!D15+'ÜN5-19020405-S'!D15+'YÜK5-19023005-S'!D15+'AY4-19020304-S'!D15+'ATK4-19020304-S'!D15+'ATK4-19020304'!D15+'SA4-19020204-S'!D15+'AY4-19013031'!D15+'G4-19020204-1'!D15+'G4-19020204'!D15+'MY2-19020102-S'!D15+'ÖA2-19020102'!D15+'3E1-19023001-S'!D15+'SA1-19012931-S'!D15+'ÖA1-19013031-1'!D15</f>
        <v>819.1</v>
      </c>
      <c r="E15" s="29">
        <f t="shared" si="1"/>
        <v>8.6830419374706487E-3</v>
      </c>
      <c r="F15" s="28">
        <f t="shared" si="2"/>
        <v>24.686301518029399</v>
      </c>
      <c r="G15" s="27" t="str">
        <f t="shared" si="3"/>
        <v>+</v>
      </c>
      <c r="H15" s="34">
        <f t="shared" si="4"/>
        <v>19658.400000000001</v>
      </c>
      <c r="I15" s="34">
        <f t="shared" si="5"/>
        <v>20220.54957341788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32.799999999999997</v>
      </c>
      <c r="D16" s="30">
        <f>'YIL28-19022728'!D16+'ÖA27-19022627'!D16+'AYG27-19022425'!D16++'BA26-19022425'!D16+'AL26-19022223'!D16+'YIL25-19022425'!D16+'AY22-19021718'!D16+'BO22-19021618'!D16+'YIL21-19022021'!D16+'BA18-19021415'!D16+'ÖB18-19021314'!D16+'YIL18-19021718'!D16+'BO14-19021214'!D16+'ÖB14-19021314-1'!D16+'ÖZ13-19020911'!D16+'BA11-19020708'!D16+'BA11-19021011'!D16+'ÜN10-19020810'!D16+'AT10-19020810-S'!D16+'G07-19020607'!D16+'İP7-19020607-S'!D16+'BA7-19020607'!D16+'G6-19020506'!D16+'3E6-19020506-S'!D16+'FA6-19020506-S'!D16+'G5-19020405'!D16+'ÜN5-19020405-S'!D16+'YÜK5-19023005-S'!D16+'AY4-19020304-S'!D16+'ATK4-19020304-S'!D16+'ATK4-19020304'!D16+'SA4-19020204-S'!D16+'AY4-19013031'!D16+'G4-19020204-1'!D16+'G4-19020204'!D16+'MY2-19020102-S'!D16+'ÖA2-19020102'!D16+'3E1-19023001-S'!D16+'SA1-19012931-S'!D16+'ÖA1-19013031-1'!D16</f>
        <v>2629.7</v>
      </c>
      <c r="E16" s="29">
        <f t="shared" si="1"/>
        <v>2.7876688295649571E-2</v>
      </c>
      <c r="F16" s="28">
        <f t="shared" si="2"/>
        <v>33.737945407973513</v>
      </c>
      <c r="G16" s="27" t="str">
        <f t="shared" si="3"/>
        <v>+</v>
      </c>
      <c r="H16" s="34">
        <f t="shared" si="4"/>
        <v>86254.159999999989</v>
      </c>
      <c r="I16" s="34">
        <f t="shared" si="5"/>
        <v>88720.675039347945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>
        <f>'YIL28-19022728'!D17+'ÖA27-19022627'!D17+'AYG27-19022425'!D17++'BA26-19022425'!D17+'AL26-19022223'!D17+'YIL25-19022425'!D17+'AY22-19021718'!D17+'BO22-19021618'!D17+'YIL21-19022021'!D17+'BA18-19021415'!D17+'ÖB18-19021314'!D17+'YIL18-19021718'!D17+'BO14-19021214'!D17+'ÖB14-19021314-1'!D17+'ÖZ13-19020911'!D17+'BA11-19020708'!D17+'BA11-19021011'!D17+'ÜN10-19020810'!D17+'AT10-19020810-S'!D17+'G07-19020607'!D17+'İP7-19020607-S'!D17+'BA7-19020607'!D17+'G6-19020506'!D17+'3E6-19020506-S'!D17+'FA6-19020506-S'!D17+'G5-19020405'!D17+'ÜN5-19020405-S'!D17+'YÜK5-19023005-S'!D17+'AY4-19020304-S'!D17+'ATK4-19020304-S'!D17+'ATK4-19020304'!D17+'SA4-19020204-S'!D17+'AY4-19013031'!D17+'G4-19020204-1'!D17+'G4-19020204'!D17+'MY2-19020102-S'!D17+'ÖA2-19020102'!D17+'3E1-19023001-S'!D17+'SA1-19012931-S'!D17+'ÖA1-19013031-1'!D17</f>
        <v>165</v>
      </c>
      <c r="E17" s="29">
        <f t="shared" si="1"/>
        <v>1.7491172258364755E-3</v>
      </c>
      <c r="F17" s="28">
        <f t="shared" si="2"/>
        <v>49.681181805034164</v>
      </c>
      <c r="G17" s="27" t="str">
        <f t="shared" si="3"/>
        <v>+</v>
      </c>
      <c r="H17" s="34">
        <f t="shared" si="4"/>
        <v>7969.4999999999991</v>
      </c>
      <c r="I17" s="34">
        <f t="shared" si="5"/>
        <v>8197.3949978306373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42.3</v>
      </c>
      <c r="D18" s="30">
        <f>'YIL28-19022728'!D18+'ÖA27-19022627'!D18+'AYG27-19022425'!D18++'BA26-19022425'!D18+'AL26-19022223'!D18+'YIL25-19022425'!D18+'AY22-19021718'!D18+'BO22-19021618'!D18+'YIL21-19022021'!D18+'BA18-19021415'!D18+'ÖB18-19021314'!D18+'YIL18-19021718'!D18+'BO14-19021214'!D18+'ÖB14-19021314-1'!D18+'ÖZ13-19020911'!D18+'BA11-19020708'!D18+'BA11-19021011'!D18+'ÜN10-19020810'!D18+'AT10-19020810-S'!D18+'G07-19020607'!D18+'İP7-19020607-S'!D18+'BA7-19020607'!D18+'G6-19020506'!D18+'3E6-19020506-S'!D18+'FA6-19020506-S'!D18+'G5-19020405'!D18+'ÜN5-19020405-S'!D18+'YÜK5-19023005-S'!D18+'AY4-19020304-S'!D18+'ATK4-19020304-S'!D18+'ATK4-19020304'!D18+'SA4-19020204-S'!D18+'AY4-19013031'!D18+'G4-19020204-1'!D18+'G4-19020204'!D18+'MY2-19020102-S'!D18+'ÖA2-19020102'!D18+'3E1-19023001-S'!D18+'SA1-19012931-S'!D18+'ÖA1-19013031-1'!D18</f>
        <v>6.3</v>
      </c>
      <c r="E18" s="29">
        <f t="shared" si="1"/>
        <v>6.6784475895574524E-5</v>
      </c>
      <c r="F18" s="28">
        <f t="shared" si="2"/>
        <v>43.509606425526812</v>
      </c>
      <c r="G18" s="27" t="str">
        <f t="shared" si="3"/>
        <v>+</v>
      </c>
      <c r="H18" s="34">
        <f t="shared" si="4"/>
        <v>266.48999999999995</v>
      </c>
      <c r="I18" s="34">
        <f t="shared" si="5"/>
        <v>274.11052048081893</v>
      </c>
      <c r="J18" s="52"/>
      <c r="K18" s="52"/>
    </row>
    <row r="19" spans="1:11" x14ac:dyDescent="0.25">
      <c r="A19" s="51" t="s">
        <v>34</v>
      </c>
      <c r="B19" s="50"/>
      <c r="C19" s="47">
        <f>H19/D19</f>
        <v>25.285437167999003</v>
      </c>
      <c r="D19" s="49">
        <f>SUM(D10:D18)</f>
        <v>94333.3</v>
      </c>
      <c r="E19" s="48">
        <f t="shared" si="1"/>
        <v>1</v>
      </c>
      <c r="F19" s="47">
        <f>I19/D19</f>
        <v>26.008496914350442</v>
      </c>
      <c r="G19" s="46">
        <f>F19/C19-1</f>
        <v>2.8595896584558078E-2</v>
      </c>
      <c r="H19" s="9">
        <f>SUM(H10:H18)</f>
        <v>2385258.7300000004</v>
      </c>
      <c r="I19" s="9">
        <f>SUM(I10:I18)</f>
        <v>2453467.3419704945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62.8</v>
      </c>
      <c r="D21" s="30">
        <f>'YIL28-19022728'!D21+'ÖA27-19022627'!D21+'AYG27-19022425'!D21++'BA26-19022425'!D21+'AL26-19022223'!D21+'YIL25-19022425'!D21+'AY22-19021718'!D21+'BO22-19021618'!D21+'YIL21-19022021'!D21+'BA18-19021415'!D21+'ÖB18-19021314'!D21+'YIL18-19021718'!D21+'BO14-19021214'!D21+'ÖB14-19021314-1'!D21+'ÖZ13-19020911'!D21+'BA11-19020708'!D21+'BA11-19021011'!D21+'ÜN10-19020810'!D21+'AT10-19020810-S'!D21+'G07-19020607'!D21+'İP7-19020607-S'!D21+'BA7-19020607'!D21+'G6-19020506'!D21+'3E6-19020506-S'!D21+'FA6-19020506-S'!D21+'G5-19020405'!D21+'ÜN5-19020405-S'!D21+'YÜK5-19023005-S'!D21+'AY4-19020304-S'!D21+'ATK4-19020304-S'!D21+'ATK4-19020304'!D21+'SA4-19020204-S'!D21+'AY4-19013031'!D21+'G4-19020204-1'!D21+'G4-19020204'!D21+'MY2-19020102-S'!D21+'ÖA2-19020102'!D21+'3E1-19023001-S'!D21+'SA1-19012931-S'!D21+'ÖA1-19013031-1'!D21</f>
        <v>4323.8999999999987</v>
      </c>
      <c r="E21" s="29">
        <f>D21/$D$48</f>
        <v>1.1092383942864176E-2</v>
      </c>
      <c r="F21" s="28">
        <f>C21-(C21*$E$6)</f>
        <v>64.595822305510254</v>
      </c>
      <c r="G21" s="27" t="str">
        <f>IF(C21&gt;=F21,"-","+")</f>
        <v>+</v>
      </c>
      <c r="H21" s="26">
        <f>C21*D21</f>
        <v>271540.91999999993</v>
      </c>
      <c r="I21" s="26">
        <f>F21*D21</f>
        <v>279305.87606679572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f>'YIL28-19022728'!D22+'ÖA27-19022627'!D22+'AYG27-19022425'!D22++'BA26-19022425'!D22+'AL26-19022223'!D22+'YIL25-19022425'!D22+'AY22-19021718'!D22+'BO22-19021618'!D22+'YIL21-19022021'!D22+'BA18-19021415'!D22+'ÖB18-19021314'!D22+'YIL18-19021718'!D22+'BO14-19021214'!D22+'ÖB14-19021314-1'!D22+'ÖZ13-19020911'!D22+'BA11-19020708'!D22+'BA11-19021011'!D22+'ÜN10-19020810'!D22+'AT10-19020810-S'!D22+'G07-19020607'!D22+'İP7-19020607-S'!D22+'BA7-19020607'!D22+'G6-19020506'!D22+'3E6-19020506-S'!D22+'FA6-19020506-S'!D22+'G5-19020405'!D22+'ÜN5-19020405-S'!D22+'YÜK5-19023005-S'!D22+'AY4-19020304-S'!D22+'ATK4-19020304-S'!D22+'ATK4-19020304'!D22+'SA4-19020204-S'!D22+'AY4-19013031'!D22+'G4-19020204-1'!D22+'G4-19020204'!D22+'MY2-19020102-S'!D22+'ÖA2-19020102'!D22+'3E1-19023001-S'!D22+'SA1-19012931-S'!D22+'ÖA1-19013031-1'!D22</f>
        <v>11573.599999999999</v>
      </c>
      <c r="E22" s="29">
        <f>D22/$D$48</f>
        <v>2.9690514304478097E-2</v>
      </c>
      <c r="F22" s="28">
        <f>C22-(C22*$E$6)</f>
        <v>43.406746835868361</v>
      </c>
      <c r="G22" s="27" t="str">
        <f>IF(C22&gt;=F22,"-","+")</f>
        <v>+</v>
      </c>
      <c r="H22" s="26">
        <f>C22*D22</f>
        <v>488405.92</v>
      </c>
      <c r="I22" s="26">
        <f>F22*D22</f>
        <v>502372.32517960598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>
        <f>'YIL28-19022728'!D23+'ÖA27-19022627'!D23+'AYG27-19022425'!D23++'BA26-19022425'!D23+'AL26-19022223'!D23+'YIL25-19022425'!D23+'AY22-19021718'!D23+'BO22-19021618'!D23+'YIL21-19022021'!D23+'BA18-19021415'!D23+'ÖB18-19021314'!D23+'YIL18-19021718'!D23+'BO14-19021214'!D23+'ÖB14-19021314-1'!D23+'ÖZ13-19020911'!D23+'BA11-19020708'!D23+'BA11-19021011'!D23+'ÜN10-19020810'!D23+'AT10-19020810-S'!D23+'G07-19020607'!D23+'İP7-19020607-S'!D23+'BA7-19020607'!D23+'G6-19020506'!D23+'3E6-19020506-S'!D23+'FA6-19020506-S'!D23+'G5-19020405'!D23+'ÜN5-19020405-S'!D23+'YÜK5-19023005-S'!D23+'AY4-19020304-S'!D23+'ATK4-19020304-S'!D23+'ATK4-19020304'!D23+'SA4-19020204-S'!D23+'AY4-19013031'!D23+'G4-19020204-1'!D23+'G4-19020204'!D23+'MY2-19020102-S'!D23+'ÖA2-19020102'!D23+'3E1-19023001-S'!D23+'SA1-19012931-S'!D23+'ÖA1-19013031-1'!D23</f>
        <v>8563</v>
      </c>
      <c r="E23" s="29">
        <f>D23/$D$48</f>
        <v>2.1967224890202357E-2</v>
      </c>
      <c r="F23" s="28">
        <f>C23-(C23*$E$6)</f>
        <v>39.600942018505492</v>
      </c>
      <c r="G23" s="27" t="str">
        <f>IF(C23&gt;=F23,"-","+")</f>
        <v>+</v>
      </c>
      <c r="H23" s="26">
        <f>C23*D23</f>
        <v>329675.5</v>
      </c>
      <c r="I23" s="26">
        <f>F23*D23</f>
        <v>339102.86650446255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44.546200609145359</v>
      </c>
      <c r="D24" s="22">
        <f>SUM(D21:D23)</f>
        <v>24460.499999999996</v>
      </c>
      <c r="E24" s="21">
        <f>D24/$D$48</f>
        <v>6.2750123137544633E-2</v>
      </c>
      <c r="F24" s="20">
        <f>I24/D24</f>
        <v>45.820039154999463</v>
      </c>
      <c r="G24" s="19">
        <f>F24/C24-1</f>
        <v>2.85958965845583E-2</v>
      </c>
      <c r="H24" s="18">
        <f>SUM(H21:H23)</f>
        <v>1089622.3399999999</v>
      </c>
      <c r="I24" s="18">
        <f>SUM(I21:I23)</f>
        <v>1120781.0677508642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f>'YIL28-19022728'!D26+'ÖA27-19022627'!D26+'AYG27-19022425'!D26++'BA26-19022425'!D26+'AL26-19022223'!D26+'YIL25-19022425'!D26+'AY22-19021718'!D26+'BO22-19021618'!D26+'YIL21-19022021'!D26+'BA18-19021415'!D26+'ÖB18-19021314'!D26+'YIL18-19021718'!D26+'BO14-19021214'!D26+'ÖB14-19021314-1'!D26+'ÖZ13-19020911'!D26+'BA11-19020708'!D26+'BA11-19021011'!D26+'ÜN10-19020810'!D26+'AT10-19020810-S'!D26+'G07-19020607'!D26+'İP7-19020607-S'!D26+'BA7-19020607'!D26+'G6-19020506'!D26+'3E6-19020506-S'!D26+'FA6-19020506-S'!D26+'G5-19020405'!D26+'ÜN5-19020405-S'!D26+'YÜK5-19023005-S'!D26+'AY4-19020304-S'!D26+'ATK4-19020304-S'!D26+'ATK4-19020304'!D26+'SA4-19020204-S'!D26+'AY4-19013031'!D26+'G4-19020204-1'!D26+'G4-19020204'!D26+'MY2-19020102-S'!D26+'ÖA2-19020102'!D26+'3E1-19023001-S'!D26+'SA1-19012931-S'!D26+'ÖA1-19013031-1'!D26</f>
        <v>71168.800000000003</v>
      </c>
      <c r="E26" s="29">
        <f t="shared" ref="E26:E32" si="7">D26/$D$48</f>
        <v>0.18257398514140297</v>
      </c>
      <c r="F26" s="28">
        <f t="shared" ref="F26:F31" si="8">C26-(C26*$E$6)</f>
        <v>34.457962535582702</v>
      </c>
      <c r="G26" s="27" t="str">
        <f t="shared" ref="G26:G31" si="9">IF(C26&gt;=F26,"-","+")</f>
        <v>+</v>
      </c>
      <c r="H26" s="26">
        <f t="shared" ref="H26:H31" si="10">C26*D26</f>
        <v>2384154.8000000003</v>
      </c>
      <c r="I26" s="26">
        <f t="shared" ref="I26:I31" si="11">F26*D26</f>
        <v>2452331.8441023785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f>'YIL28-19022728'!D27+'ÖA27-19022627'!D27+'AYG27-19022425'!D27++'BA26-19022425'!D27+'AL26-19022223'!D27+'YIL25-19022425'!D27+'AY22-19021718'!D27+'BO22-19021618'!D27+'YIL21-19022021'!D27+'BA18-19021415'!D27+'ÖB18-19021314'!D27+'YIL18-19021718'!D27+'BO14-19021214'!D27+'ÖB14-19021314-1'!D27+'ÖZ13-19020911'!D27+'BA11-19020708'!D27+'BA11-19021011'!D27+'ÜN10-19020810'!D27+'AT10-19020810-S'!D27+'G07-19020607'!D27+'İP7-19020607-S'!D27+'BA7-19020607'!D27+'G6-19020506'!D27+'3E6-19020506-S'!D27+'FA6-19020506-S'!D27+'G5-19020405'!D27+'ÜN5-19020405-S'!D27+'YÜK5-19023005-S'!D27+'AY4-19020304-S'!D27+'ATK4-19020304-S'!D27+'ATK4-19020304'!D27+'SA4-19020204-S'!D27+'AY4-19013031'!D27+'G4-19020204-1'!D27+'G4-19020204'!D27+'MY2-19020102-S'!D27+'ÖA2-19020102'!D27+'3E1-19023001-S'!D27+'SA1-19012931-S'!D27+'ÖA1-19013031-1'!D27</f>
        <v>57451.69999999999</v>
      </c>
      <c r="E27" s="29">
        <f t="shared" si="7"/>
        <v>0.1473846098592127</v>
      </c>
      <c r="F27" s="28">
        <f t="shared" si="8"/>
        <v>30.75501730787829</v>
      </c>
      <c r="G27" s="27" t="str">
        <f t="shared" si="9"/>
        <v>+</v>
      </c>
      <c r="H27" s="26">
        <f t="shared" si="10"/>
        <v>1717805.8299999996</v>
      </c>
      <c r="I27" s="26">
        <f t="shared" si="11"/>
        <v>1766928.0278670308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f>'YIL28-19022728'!D28+'ÖA27-19022627'!D28+'AYG27-19022425'!D28++'BA26-19022425'!D28+'AL26-19022223'!D28+'YIL25-19022425'!D28+'AY22-19021718'!D28+'BO22-19021618'!D28+'YIL21-19022021'!D28+'BA18-19021415'!D28+'ÖB18-19021314'!D28+'YIL18-19021718'!D28+'BO14-19021214'!D28+'ÖB14-19021314-1'!D28+'ÖZ13-19020911'!D28+'BA11-19020708'!D28+'BA11-19021011'!D28+'ÜN10-19020810'!D28+'AT10-19020810-S'!D28+'G07-19020607'!D28+'İP7-19020607-S'!D28+'BA7-19020607'!D28+'G6-19020506'!D28+'3E6-19020506-S'!D28+'FA6-19020506-S'!D28+'G5-19020405'!D28+'ÜN5-19020405-S'!D28+'YÜK5-19023005-S'!D28+'AY4-19020304-S'!D28+'ATK4-19020304-S'!D28+'ATK4-19020304'!D28+'SA4-19020204-S'!D28+'AY4-19013031'!D28+'G4-19020204-1'!D28+'G4-19020204'!D28+'MY2-19020102-S'!D28+'ÖA2-19020102'!D28+'3E1-19023001-S'!D28+'SA1-19012931-S'!D28+'ÖA1-19013031-1'!D28</f>
        <v>37635</v>
      </c>
      <c r="E28" s="29">
        <f t="shared" si="7"/>
        <v>9.6547531092230021E-2</v>
      </c>
      <c r="F28" s="28">
        <f t="shared" si="8"/>
        <v>30.75501730787829</v>
      </c>
      <c r="G28" s="27" t="str">
        <f t="shared" si="9"/>
        <v>+</v>
      </c>
      <c r="H28" s="26">
        <f t="shared" si="10"/>
        <v>1125286.5</v>
      </c>
      <c r="I28" s="26">
        <f t="shared" si="11"/>
        <v>1157465.0763819995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f>'YIL28-19022728'!D29+'ÖA27-19022627'!D29+'AYG27-19022425'!D29++'BA26-19022425'!D29+'AL26-19022223'!D29+'YIL25-19022425'!D29+'AY22-19021718'!D29+'BO22-19021618'!D29+'YIL21-19022021'!D29+'BA18-19021415'!D29+'ÖB18-19021314'!D29+'YIL18-19021718'!D29+'BO14-19021214'!D29+'ÖB14-19021314-1'!D29+'ÖZ13-19020911'!D29+'BA11-19020708'!D29+'BA11-19021011'!D29+'ÜN10-19020810'!D29+'AT10-19020810-S'!D29+'G07-19020607'!D29+'İP7-19020607-S'!D29+'BA7-19020607'!D29+'G6-19020506'!D29+'3E6-19020506-S'!D29+'FA6-19020506-S'!D29+'G5-19020405'!D29+'ÜN5-19020405-S'!D29+'YÜK5-19023005-S'!D29+'AY4-19020304-S'!D29+'ATK4-19020304-S'!D29+'ATK4-19020304'!D29+'SA4-19020204-S'!D29+'AY4-19013031'!D29+'G4-19020204-1'!D29+'G4-19020204'!D29+'MY2-19020102-S'!D29+'ÖA2-19020102'!D29+'3E1-19023001-S'!D29+'SA1-19012931-S'!D29+'ÖA1-19013031-1'!D29</f>
        <v>36251.599999999999</v>
      </c>
      <c r="E29" s="29">
        <f t="shared" si="7"/>
        <v>9.2998604441160773E-2</v>
      </c>
      <c r="F29" s="28">
        <f t="shared" si="8"/>
        <v>29.726421411293732</v>
      </c>
      <c r="G29" s="27" t="str">
        <f t="shared" si="9"/>
        <v>+</v>
      </c>
      <c r="H29" s="26">
        <f t="shared" si="10"/>
        <v>1047671.2399999999</v>
      </c>
      <c r="I29" s="26">
        <f t="shared" si="11"/>
        <v>1077630.3384336559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f>'YIL28-19022728'!D30+'ÖA27-19022627'!D30+'AYG27-19022425'!D30++'BA26-19022425'!D30+'AL26-19022223'!D30+'YIL25-19022425'!D30+'AY22-19021718'!D30+'BO22-19021618'!D30+'YIL21-19022021'!D30+'BA18-19021415'!D30+'ÖB18-19021314'!D30+'YIL18-19021718'!D30+'BO14-19021214'!D30+'ÖB14-19021314-1'!D30+'ÖZ13-19020911'!D30+'BA11-19020708'!D30+'BA11-19021011'!D30+'ÜN10-19020810'!D30+'AT10-19020810-S'!D30+'G07-19020607'!D30+'İP7-19020607-S'!D30+'BA7-19020607'!D30+'G6-19020506'!D30+'3E6-19020506-S'!D30+'FA6-19020506-S'!D30+'G5-19020405'!D30+'ÜN5-19020405-S'!D30+'YÜK5-19023005-S'!D30+'AY4-19020304-S'!D30+'ATK4-19020304-S'!D30+'ATK4-19020304'!D30+'SA4-19020204-S'!D30+'AY4-19013031'!D30+'G4-19020204-1'!D30+'G4-19020204'!D30+'MY2-19020102-S'!D30+'ÖA2-19020102'!D30+'3E1-19023001-S'!D30+'SA1-19012931-S'!D30+'ÖA1-19013031-1'!D30</f>
        <v>24357.600000000002</v>
      </c>
      <c r="E30" s="29">
        <f t="shared" si="7"/>
        <v>6.2486147026228303E-2</v>
      </c>
      <c r="F30" s="28">
        <f t="shared" si="8"/>
        <v>29.726421411293732</v>
      </c>
      <c r="G30" s="27" t="str">
        <f t="shared" si="9"/>
        <v>+</v>
      </c>
      <c r="H30" s="26">
        <f t="shared" si="10"/>
        <v>703934.64</v>
      </c>
      <c r="I30" s="26">
        <f t="shared" si="11"/>
        <v>724064.28216772829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f>'YIL28-19022728'!D31+'ÖA27-19022627'!D31+'AYG27-19022425'!D31++'BA26-19022425'!D31+'AL26-19022223'!D31+'YIL25-19022425'!D31+'AY22-19021718'!D31+'BO22-19021618'!D31+'YIL21-19022021'!D31+'BA18-19021415'!D31+'ÖB18-19021314'!D31+'YIL18-19021718'!D31+'BO14-19021214'!D31+'ÖB14-19021314-1'!D31+'ÖZ13-19020911'!D31+'BA11-19020708'!D31+'BA11-19021011'!D31+'ÜN10-19020810'!D31+'AT10-19020810-S'!D31+'G07-19020607'!D31+'İP7-19020607-S'!D31+'BA7-19020607'!D31+'G6-19020506'!D31+'3E6-19020506-S'!D31+'FA6-19020506-S'!D31+'G5-19020405'!D31+'ÜN5-19020405-S'!D31+'YÜK5-19023005-S'!D31+'AY4-19020304-S'!D31+'ATK4-19020304-S'!D31+'ATK4-19020304'!D31+'SA4-19020204-S'!D31+'AY4-19013031'!D31+'G4-19020204-1'!D31+'G4-19020204'!D31+'MY2-19020102-S'!D31+'ÖA2-19020102'!D31+'3E1-19023001-S'!D31+'SA1-19012931-S'!D31+'ÖA1-19013031-1'!D31</f>
        <v>7162.4000000000024</v>
      </c>
      <c r="E31" s="29">
        <f t="shared" si="7"/>
        <v>1.8374173952304729E-2</v>
      </c>
      <c r="F31" s="28">
        <f t="shared" si="8"/>
        <v>30.240719359586013</v>
      </c>
      <c r="G31" s="27" t="str">
        <f t="shared" si="9"/>
        <v>+</v>
      </c>
      <c r="H31" s="26">
        <f t="shared" si="10"/>
        <v>210574.56000000006</v>
      </c>
      <c r="I31" s="26">
        <f t="shared" si="11"/>
        <v>216596.12834109893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30.720491643916453</v>
      </c>
      <c r="D32" s="22">
        <f>SUM(D26:D31)</f>
        <v>234027.1</v>
      </c>
      <c r="E32" s="21">
        <f t="shared" si="7"/>
        <v>0.60036505151253949</v>
      </c>
      <c r="F32" s="20">
        <f>I32/D32</f>
        <v>31.598971645992673</v>
      </c>
      <c r="G32" s="19">
        <f>F32/C32-1</f>
        <v>2.85958965845583E-2</v>
      </c>
      <c r="H32" s="18">
        <f>SUM(H26:H31)</f>
        <v>7189427.5700000003</v>
      </c>
      <c r="I32" s="18">
        <f>SUM(I26:I31)</f>
        <v>7395015.6972938925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'YIL28-19022728'!D34+'ÖA27-19022627'!D34+'AYG27-19022425'!D34++'BA26-19022425'!D34+'AL26-19022223'!D34+'YIL25-19022425'!D34+'AY22-19021718'!D34+'BO22-19021618'!D34+'YIL21-19022021'!D34+'BA18-19021415'!D34+'ÖB18-19021314'!D34+'YIL18-19021718'!D34+'BO14-19021214'!D34+'ÖB14-19021314-1'!D34+'ÖZ13-19020911'!D34+'BA11-19020708'!D34+'BA11-19021011'!D34+'ÜN10-19020810'!D34+'AT10-19020810-S'!D34+'G07-19020607'!D34+'İP7-19020607-S'!D34+'BA7-19020607'!D34+'G6-19020506'!D34+'3E6-19020506-S'!D34+'FA6-19020506-S'!D34+'G5-19020405'!D34+'ÜN5-19020405-S'!D34+'YÜK5-19023005-S'!D34+'AY4-19020304-S'!D34+'ATK4-19020304-S'!D34+'ATK4-19020304'!D34+'SA4-19020204-S'!D34+'AY4-19013031'!D34+'G4-19020204-1'!D34+'G4-19020204'!D34+'MY2-19020102-S'!D34+'ÖA2-19020102'!D34+'3E1-19023001-S'!D34+'SA1-19012931-S'!D34+'ÖA1-19013031-1'!D34</f>
        <v>58569.969999999979</v>
      </c>
      <c r="E34" s="29">
        <f t="shared" ref="E34:E40" si="13">D34/$D$48</f>
        <v>0.15025338115174644</v>
      </c>
      <c r="F34" s="28">
        <f t="shared" ref="F34:F39" si="14">C34-(C34*$E$6)</f>
        <v>18.206147369546681</v>
      </c>
      <c r="G34" s="27" t="str">
        <f t="shared" ref="G34:G39" si="15">IF(C34&gt;=F34,"-","+")</f>
        <v>+</v>
      </c>
      <c r="H34" s="26">
        <f t="shared" ref="H34:H39" si="16">C34*D34</f>
        <v>1036688.4689999996</v>
      </c>
      <c r="I34" s="26">
        <f t="shared" ref="I34:I39" si="17">F34*D34</f>
        <v>1066333.5052499278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f>'YIL28-19022728'!D35+'ÖA27-19022627'!D35+'AYG27-19022425'!D35++'BA26-19022425'!D35+'AL26-19022223'!D35+'YIL25-19022425'!D35+'AY22-19021718'!D35+'BO22-19021618'!D35+'YIL21-19022021'!D35+'BA18-19021415'!D35+'ÖB18-19021314'!D35+'YIL18-19021718'!D35+'BO14-19021214'!D35+'ÖB14-19021314-1'!D35+'ÖZ13-19020911'!D35+'BA11-19020708'!D35+'BA11-19021011'!D35+'ÜN10-19020810'!D35+'AT10-19020810-S'!D35+'G07-19020607'!D35+'İP7-19020607-S'!D35+'BA7-19020607'!D35+'G6-19020506'!D35+'3E6-19020506-S'!D35+'FA6-19020506-S'!D35+'G5-19020405'!D35+'ÜN5-19020405-S'!D35+'YÜK5-19023005-S'!D35+'AY4-19020304-S'!D35+'ATK4-19020304-S'!D35+'ATK4-19020304'!D35+'SA4-19020204-S'!D35+'AY4-19013031'!D35+'G4-19020204-1'!D35+'G4-19020204'!D35+'MY2-19020102-S'!D35+'ÖA2-19020102'!D35+'3E1-19023001-S'!D35+'SA1-19012931-S'!D35+'ÖA1-19013031-1'!D35</f>
        <v>2461.3000000000006</v>
      </c>
      <c r="E35" s="29">
        <f t="shared" si="13"/>
        <v>6.3141341378319601E-3</v>
      </c>
      <c r="F35" s="28">
        <f t="shared" si="14"/>
        <v>13.988904193549992</v>
      </c>
      <c r="G35" s="27" t="str">
        <f t="shared" si="15"/>
        <v>+</v>
      </c>
      <c r="H35" s="26">
        <f t="shared" si="16"/>
        <v>33473.680000000008</v>
      </c>
      <c r="I35" s="26">
        <f t="shared" si="17"/>
        <v>34430.8898915846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>
        <f>'YIL28-19022728'!D36+'ÖA27-19022627'!D36+'AYG27-19022425'!D36++'BA26-19022425'!D36+'AL26-19022223'!D36+'YIL25-19022425'!D36+'AY22-19021718'!D36+'BO22-19021618'!D36+'YIL21-19022021'!D36+'BA18-19021415'!D36+'ÖB18-19021314'!D36+'YIL18-19021718'!D36+'BO14-19021214'!D36+'ÖB14-19021314-1'!D36+'ÖZ13-19020911'!D36+'BA11-19020708'!D36+'BA11-19021011'!D36+'ÜN10-19020810'!D36+'AT10-19020810-S'!D36+'G07-19020607'!D36+'İP7-19020607-S'!D36+'BA7-19020607'!D36+'G6-19020506'!D36+'3E6-19020506-S'!D36+'FA6-19020506-S'!D36+'G5-19020405'!D36+'ÜN5-19020405-S'!D36+'YÜK5-19023005-S'!D36+'AY4-19020304-S'!D36+'ATK4-19020304-S'!D36+'ATK4-19020304'!D36+'SA4-19020204-S'!D36+'AY4-19013031'!D36+'G4-19020204-1'!D36+'G4-19020204'!D36+'MY2-19020102-S'!D36+'ÖA2-19020102'!D36+'3E1-19023001-S'!D36+'SA1-19012931-S'!D36+'ÖA1-19013031-1'!D36</f>
        <v>0</v>
      </c>
      <c r="E36" s="29">
        <f t="shared" si="13"/>
        <v>0</v>
      </c>
      <c r="F36" s="28">
        <f t="shared" si="14"/>
        <v>11.211695272771685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>
        <f>'YIL28-19022728'!D37+'ÖA27-19022627'!D37+'AYG27-19022425'!D37++'BA26-19022425'!D37+'AL26-19022223'!D37+'YIL25-19022425'!D37+'AY22-19021718'!D37+'BO22-19021618'!D37+'YIL21-19022021'!D37+'BA18-19021415'!D37+'ÖB18-19021314'!D37+'YIL18-19021718'!D37+'BO14-19021214'!D37+'ÖB14-19021314-1'!D37+'ÖZ13-19020911'!D37+'BA11-19020708'!D37+'BA11-19021011'!D37+'ÜN10-19020810'!D37+'AT10-19020810-S'!D37+'G07-19020607'!D37+'İP7-19020607-S'!D37+'BA7-19020607'!D37+'G6-19020506'!D37+'3E6-19020506-S'!D37+'FA6-19020506-S'!D37+'G5-19020405'!D37+'ÜN5-19020405-S'!D37+'YÜK5-19023005-S'!D37+'AY4-19020304-S'!D37+'ATK4-19020304-S'!D37+'ATK4-19020304'!D37+'SA4-19020204-S'!D37+'AY4-19013031'!D37+'G4-19020204-1'!D37+'G4-19020204'!D37+'MY2-19020102-S'!D37+'ÖA2-19020102'!D37+'3E1-19023001-S'!D37+'SA1-19012931-S'!D37+'ÖA1-19013031-1'!D37</f>
        <v>0</v>
      </c>
      <c r="E37" s="29">
        <f t="shared" si="13"/>
        <v>0</v>
      </c>
      <c r="F37" s="28">
        <f t="shared" si="14"/>
        <v>29.726421411293732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>
        <f>'YIL28-19022728'!D38+'ÖA27-19022627'!D38+'AYG27-19022425'!D38++'BA26-19022425'!D38+'AL26-19022223'!D38+'YIL25-19022425'!D38+'AY22-19021718'!D38+'BO22-19021618'!D38+'YIL21-19022021'!D38+'BA18-19021415'!D38+'ÖB18-19021314'!D38+'YIL18-19021718'!D38+'BO14-19021214'!D38+'ÖB14-19021314-1'!D38+'ÖZ13-19020911'!D38+'BA11-19020708'!D38+'BA11-19021011'!D38+'ÜN10-19020810'!D38+'AT10-19020810-S'!D38+'G07-19020607'!D38+'İP7-19020607-S'!D38+'BA7-19020607'!D38+'G6-19020506'!D38+'3E6-19020506-S'!D38+'FA6-19020506-S'!D38+'G5-19020405'!D38+'ÜN5-19020405-S'!D38+'YÜK5-19023005-S'!D38+'AY4-19020304-S'!D38+'ATK4-19020304-S'!D38+'ATK4-19020304'!D38+'SA4-19020204-S'!D38+'AY4-19013031'!D38+'G4-19020204-1'!D38+'G4-19020204'!D38+'MY2-19020102-S'!D38+'ÖA2-19020102'!D38+'3E1-19023001-S'!D38+'SA1-19012931-S'!D38+'ÖA1-19013031-1'!D38</f>
        <v>0</v>
      </c>
      <c r="E38" s="29">
        <f t="shared" si="13"/>
        <v>0</v>
      </c>
      <c r="F38" s="28">
        <f t="shared" si="14"/>
        <v>29.726421411293732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>
        <f>'YIL28-19022728'!D39+'ÖA27-19022627'!D39+'AYG27-19022425'!D39++'BA26-19022425'!D39+'AL26-19022223'!D39+'YIL25-19022425'!D39+'AY22-19021718'!D39+'BO22-19021618'!D39+'YIL21-19022021'!D39+'BA18-19021415'!D39+'ÖB18-19021314'!D39+'YIL18-19021718'!D39+'BO14-19021214'!D39+'ÖB14-19021314-1'!D39+'ÖZ13-19020911'!D39+'BA11-19020708'!D39+'BA11-19021011'!D39+'ÜN10-19020810'!D39+'AT10-19020810-S'!D39+'G07-19020607'!D39+'İP7-19020607-S'!D39+'BA7-19020607'!D39+'G6-19020506'!D39+'3E6-19020506-S'!D39+'FA6-19020506-S'!D39+'G5-19020405'!D39+'ÜN5-19020405-S'!D39+'YÜK5-19023005-S'!D39+'AY4-19020304-S'!D39+'ATK4-19020304-S'!D39+'ATK4-19020304'!D39+'SA4-19020204-S'!D39+'AY4-19013031'!D39+'G4-19020204-1'!D39+'G4-19020204'!D39+'MY2-19020102-S'!D39+'ÖA2-19020102'!D39+'3E1-19023001-S'!D39+'SA1-19012931-S'!D39+'ÖA1-19013031-1'!D39</f>
        <v>0</v>
      </c>
      <c r="E39" s="29">
        <f t="shared" si="13"/>
        <v>0</v>
      </c>
      <c r="F39" s="28">
        <f t="shared" si="14"/>
        <v>30.75501730787829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17.534653121260622</v>
      </c>
      <c r="D40" s="22">
        <f>SUM(D34:D39)</f>
        <v>61031.269999999982</v>
      </c>
      <c r="E40" s="21">
        <f t="shared" si="13"/>
        <v>0.15656751528957841</v>
      </c>
      <c r="F40" s="20">
        <f>I40/D40</f>
        <v>18.036072248562299</v>
      </c>
      <c r="G40" s="19">
        <f>F40/C40-1</f>
        <v>2.8595896584558744E-2</v>
      </c>
      <c r="H40" s="18">
        <f>SUM(H34:H39)</f>
        <v>1070162.1489999995</v>
      </c>
      <c r="I40" s="18">
        <f>SUM(I34:I39)</f>
        <v>1100764.3951415124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'YIL28-19022728'!D42+'ÖA27-19022627'!D42+'AYG27-19022425'!D42++'BA26-19022425'!D42+'AL26-19022223'!D42+'YIL25-19022425'!D42+'AY22-19021718'!D42+'BO22-19021618'!D42+'YIL21-19022021'!D42+'BA18-19021415'!D42+'ÖB18-19021314'!D42+'YIL18-19021718'!D42+'BO14-19021214'!D42+'ÖB14-19021314-1'!D42+'ÖZ13-19020911'!D42+'BA11-19020708'!D42+'BA11-19021011'!D42+'ÜN10-19020810'!D42+'AT10-19020810-S'!D42+'G07-19020607'!D42+'İP7-19020607-S'!D42+'BA7-19020607'!D42+'G6-19020506'!D42+'3E6-19020506-S'!D42+'FA6-19020506-S'!D42+'G5-19020405'!D42+'ÜN5-19020405-S'!D42+'YÜK5-19023005-S'!D42+'AY4-19020304-S'!D42+'ATK4-19020304-S'!D42+'ATK4-19020304'!D42+'SA4-19020204-S'!D42+'AY4-19013031'!D42+'G4-19020204-1'!D42+'G4-19020204'!D42+'MY2-19020102-S'!D42+'ÖA2-19020102'!D42+'3E1-19023001-S'!D42+'SA1-19012931-S'!D42+'ÖA1-19013031-1'!D42</f>
        <v>67124.100000000006</v>
      </c>
      <c r="E42" s="107">
        <f>D42/$D$48</f>
        <v>0.1721978512498461</v>
      </c>
      <c r="F42" s="28">
        <f>C42-(C42*$E$6)</f>
        <v>0.41143835863382333</v>
      </c>
      <c r="G42" s="27" t="str">
        <f>IF(C42&gt;=F42,"-","+")</f>
        <v>+</v>
      </c>
      <c r="H42" s="26">
        <f>C42*D42</f>
        <v>26849.640000000003</v>
      </c>
      <c r="I42" s="26">
        <f>F42*D42</f>
        <v>27617.429528772624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f>'YIL28-19022728'!D43+'ÖA27-19022627'!D43+'AYG27-19022425'!D43++'BA26-19022425'!D43+'AL26-19022223'!D43+'YIL25-19022425'!D43+'AY22-19021718'!D43+'BO22-19021618'!D43+'YIL21-19022021'!D43+'BA18-19021415'!D43+'ÖB18-19021314'!D43+'YIL18-19021718'!D43+'BO14-19021214'!D43+'ÖB14-19021314-1'!D43+'ÖZ13-19020911'!D43+'BA11-19020708'!D43+'BA11-19021011'!D43+'ÜN10-19020810'!D43+'AT10-19020810-S'!D43+'G07-19020607'!D43+'İP7-19020607-S'!D43+'BA7-19020607'!D43+'G6-19020506'!D43+'3E6-19020506-S'!D43+'FA6-19020506-S'!D43+'G5-19020405'!D43+'ÜN5-19020405-S'!D43+'YÜK5-19023005-S'!D43+'AY4-19020304-S'!D43+'ATK4-19020304-S'!D43+'ATK4-19020304'!D43+'SA4-19020204-S'!D43+'AY4-19013031'!D43+'G4-19020204-1'!D43+'G4-19020204'!D43+'MY2-19020102-S'!D43+'ÖA2-19020102'!D43+'3E1-19023001-S'!D43+'SA1-19012931-S'!D43+'ÖA1-19013031-1'!D43</f>
        <v>2528.0999999999995</v>
      </c>
      <c r="E43" s="107">
        <f>D43/$D$48</f>
        <v>6.4855005541189495E-3</v>
      </c>
      <c r="F43" s="28">
        <f>C43-(C43*$E$6)</f>
        <v>0.41143835863382333</v>
      </c>
      <c r="G43" s="27" t="str">
        <f>IF(C43&gt;=F43,"-","+")</f>
        <v>+</v>
      </c>
      <c r="H43" s="26">
        <f>C43*D43</f>
        <v>1011.2399999999998</v>
      </c>
      <c r="I43" s="26">
        <f>F43*D43</f>
        <v>1040.1573144621686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f>'YIL28-19022728'!D44+'ÖA27-19022627'!D44+'AYG27-19022425'!D44++'BA26-19022425'!D44+'AL26-19022223'!D44+'YIL25-19022425'!D44+'AY22-19021718'!D44+'BO22-19021618'!D44+'YIL21-19022021'!D44+'BA18-19021415'!D44+'ÖB18-19021314'!D44+'YIL18-19021718'!D44+'BO14-19021214'!D44+'ÖB14-19021314-1'!D44+'ÖZ13-19020911'!D44+'BA11-19020708'!D44+'BA11-19021011'!D44+'ÜN10-19020810'!D44+'AT10-19020810-S'!D44+'G07-19020607'!D44+'İP7-19020607-S'!D44+'BA7-19020607'!D44+'G6-19020506'!D44+'3E6-19020506-S'!D44+'FA6-19020506-S'!D44+'G5-19020405'!D44+'ÜN5-19020405-S'!D44+'YÜK5-19023005-S'!D44+'AY4-19020304-S'!D44+'ATK4-19020304-S'!D44+'ATK4-19020304'!D44+'SA4-19020204-S'!D44+'AY4-19013031'!D44+'G4-19020204-1'!D44+'G4-19020204'!D44+'MY2-19020102-S'!D44+'ÖA2-19020102'!D44+'3E1-19023001-S'!D44+'SA1-19012931-S'!D44+'ÖA1-19013031-1'!D44</f>
        <v>448.00000000000006</v>
      </c>
      <c r="E44" s="107">
        <f>D44/$D$48</f>
        <v>1.1492837499486928E-3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f>'YIL28-19022728'!D45+'ÖA27-19022627'!D45+'AYG27-19022425'!D45++'BA26-19022425'!D45+'AL26-19022223'!D45+'YIL25-19022425'!D45+'AY22-19021718'!D45+'BO22-19021618'!D45+'YIL21-19022021'!D45+'BA18-19021415'!D45+'ÖB18-19021314'!D45+'YIL18-19021718'!D45+'BO14-19021214'!D45+'ÖB14-19021314-1'!D45+'ÖZ13-19020911'!D45+'BA11-19020708'!D45+'BA11-19021011'!D45+'ÜN10-19020810'!D45+'AT10-19020810-S'!D45+'G07-19020607'!D45+'İP7-19020607-S'!D45+'BA7-19020607'!D45+'G6-19020506'!D45+'3E6-19020506-S'!D45+'FA6-19020506-S'!D45+'G5-19020405'!D45+'ÜN5-19020405-S'!D45+'YÜK5-19023005-S'!D45+'AY4-19020304-S'!D45+'ATK4-19020304-S'!D45+'ATK4-19020304'!D45+'SA4-19020204-S'!D45+'AY4-19013031'!D45+'G4-19020204-1'!D45+'G4-19020204'!D45+'MY2-19020102-S'!D45+'ÖA2-19020102'!D45+'3E1-19023001-S'!D45+'SA1-19012931-S'!D45+'ÖA1-19013031-1'!D45</f>
        <v>188.93000000000004</v>
      </c>
      <c r="E45" s="107">
        <f>D45/$D$48</f>
        <v>4.8467450642367534E-4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0.396375371270067</v>
      </c>
      <c r="D46" s="22">
        <f>SUM(D41:D45)</f>
        <v>70289.13</v>
      </c>
      <c r="E46" s="21">
        <f>D46/$D$48</f>
        <v>0.18031731006033741</v>
      </c>
      <c r="F46" s="20">
        <f>I46/D46</f>
        <v>0.40771008039557172</v>
      </c>
      <c r="G46" s="19">
        <f>F46/C46-1</f>
        <v>2.85958965845583E-2</v>
      </c>
      <c r="H46" s="18">
        <f>SUM(H41:H44)</f>
        <v>27860.880000000005</v>
      </c>
      <c r="I46" s="18">
        <f>SUM(I41:I44)</f>
        <v>28657.586843234792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93.197720745592505</v>
      </c>
      <c r="D48" s="13">
        <f>D24+D32+D40+D46</f>
        <v>389808</v>
      </c>
      <c r="E48" s="12">
        <f>SUM(E20:E46)/2</f>
        <v>0.99999999999999989</v>
      </c>
      <c r="F48" s="11">
        <f>I48/D48</f>
        <v>24.743511541655128</v>
      </c>
      <c r="G48" s="10"/>
      <c r="H48" s="9">
        <f>SUM(H20:H46)/2</f>
        <v>9377072.9389999993</v>
      </c>
      <c r="I48" s="9">
        <f>SUM(I20:I46)/2</f>
        <v>9645218.7470295019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484141.30000000005</v>
      </c>
      <c r="E50" s="12">
        <f>D50/G2</f>
        <v>1.0000004131027092</v>
      </c>
      <c r="F50" s="11">
        <f>I50/D50</f>
        <v>24.989989676567554</v>
      </c>
      <c r="G50" s="10"/>
      <c r="H50" s="9">
        <f>H48+H19</f>
        <v>11762331.669</v>
      </c>
      <c r="I50" s="9">
        <f>I48+I19</f>
        <v>12098686.088999996</v>
      </c>
      <c r="J50" s="106">
        <f>D50-G2</f>
        <v>0.20000000001164153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24.989989676567554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303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305</v>
      </c>
      <c r="D2" s="96" t="s">
        <v>3</v>
      </c>
      <c r="E2" s="95" t="s">
        <v>71</v>
      </c>
      <c r="F2" s="94" t="s">
        <v>5</v>
      </c>
      <c r="G2" s="93">
        <v>11303.9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160</v>
      </c>
      <c r="F3" s="88" t="s">
        <v>8</v>
      </c>
      <c r="G3" s="87">
        <v>26.375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70.649374999999992</v>
      </c>
      <c r="F4" s="81" t="s">
        <v>12</v>
      </c>
      <c r="G4" s="80">
        <f>G2*G3</f>
        <v>298140.36249999999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2.7816300808022776E-2</v>
      </c>
      <c r="F6" s="69" t="s">
        <v>16</v>
      </c>
      <c r="G6" s="68">
        <f>(I50-I19)/(D50-(SUM(D42:D44)+D19))</f>
        <v>30.546766880697884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>
        <f t="shared" ref="E10:E19" si="1">D10/$D$19</f>
        <v>0</v>
      </c>
      <c r="F10" s="28">
        <f t="shared" ref="F10:F18" si="2">C10-(C10*$E$6)</f>
        <v>25.665649658668197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>
        <v>2138.6</v>
      </c>
      <c r="E11" s="29">
        <f t="shared" si="1"/>
        <v>0.64099028893418064</v>
      </c>
      <c r="F11" s="28">
        <f t="shared" si="2"/>
        <v>26.735051727779375</v>
      </c>
      <c r="G11" s="27" t="str">
        <f t="shared" si="3"/>
        <v>-</v>
      </c>
      <c r="H11" s="34">
        <f t="shared" si="4"/>
        <v>58811.5</v>
      </c>
      <c r="I11" s="34">
        <f t="shared" si="5"/>
        <v>57175.581625028972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>
        <v>661.6</v>
      </c>
      <c r="E12" s="29">
        <f t="shared" si="1"/>
        <v>0.19829756623906009</v>
      </c>
      <c r="F12" s="28">
        <f t="shared" si="2"/>
        <v>24.401810849718629</v>
      </c>
      <c r="G12" s="27" t="str">
        <f t="shared" si="3"/>
        <v>-</v>
      </c>
      <c r="H12" s="34">
        <f t="shared" si="4"/>
        <v>16606.16</v>
      </c>
      <c r="I12" s="34">
        <f t="shared" si="5"/>
        <v>16144.238058173845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>
        <f t="shared" si="1"/>
        <v>0</v>
      </c>
      <c r="F13" s="28">
        <f t="shared" si="2"/>
        <v>26.735051727779375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>
        <f t="shared" si="1"/>
        <v>0</v>
      </c>
      <c r="F14" s="28">
        <f t="shared" si="2"/>
        <v>29.846039565193699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>
        <f t="shared" si="1"/>
        <v>0</v>
      </c>
      <c r="F15" s="28">
        <f t="shared" si="2"/>
        <v>24.596247589557024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>
        <v>471.2</v>
      </c>
      <c r="E16" s="29">
        <f t="shared" si="1"/>
        <v>0.14123006833712987</v>
      </c>
      <c r="F16" s="28">
        <f t="shared" si="2"/>
        <v>33.734774361961612</v>
      </c>
      <c r="G16" s="27" t="str">
        <f t="shared" si="3"/>
        <v>-</v>
      </c>
      <c r="H16" s="34">
        <f t="shared" si="4"/>
        <v>16350.640000000001</v>
      </c>
      <c r="I16" s="34">
        <f t="shared" si="5"/>
        <v>15895.825679356312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</v>
      </c>
      <c r="D17" s="30">
        <v>65</v>
      </c>
      <c r="E17" s="29">
        <f t="shared" si="1"/>
        <v>1.9482076489629543E-2</v>
      </c>
      <c r="F17" s="28">
        <f t="shared" si="2"/>
        <v>49.581368658790836</v>
      </c>
      <c r="G17" s="27" t="str">
        <f t="shared" si="3"/>
        <v>-</v>
      </c>
      <c r="H17" s="34">
        <f t="shared" si="4"/>
        <v>3315</v>
      </c>
      <c r="I17" s="34">
        <f t="shared" si="5"/>
        <v>3222.7889628214043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>
        <f t="shared" si="1"/>
        <v>0</v>
      </c>
      <c r="F18" s="28">
        <f t="shared" si="2"/>
        <v>43.456611353881385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28.498771130559888</v>
      </c>
      <c r="D19" s="49">
        <f>SUM(D10:D18)</f>
        <v>3336.3999999999996</v>
      </c>
      <c r="E19" s="48">
        <f t="shared" si="1"/>
        <v>1</v>
      </c>
      <c r="F19" s="47">
        <f>I19/D19</f>
        <v>27.70604074013324</v>
      </c>
      <c r="G19" s="46">
        <f>F19/C19-1</f>
        <v>-2.7816300808022776E-2</v>
      </c>
      <c r="H19" s="9">
        <f>SUM(H10:H18)</f>
        <v>95083.3</v>
      </c>
      <c r="I19" s="9">
        <f>SUM(I10:I18)</f>
        <v>92438.434325380527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66.3</v>
      </c>
      <c r="D21" s="30"/>
      <c r="E21" s="29">
        <f>D21/$D$48</f>
        <v>0</v>
      </c>
      <c r="F21" s="28">
        <f>C21-(C21*$E$6)</f>
        <v>64.455779256428087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44.5</v>
      </c>
      <c r="D22" s="30">
        <v>288.5</v>
      </c>
      <c r="E22" s="29">
        <f>D22/$D$48</f>
        <v>3.6207329317269075E-2</v>
      </c>
      <c r="F22" s="28">
        <f>C22-(C22*$E$6)</f>
        <v>43.262174614042983</v>
      </c>
      <c r="G22" s="27" t="str">
        <f>IF(C22&gt;=F22,"-","+")</f>
        <v>-</v>
      </c>
      <c r="H22" s="26">
        <f>C22*D22</f>
        <v>12838.25</v>
      </c>
      <c r="I22" s="26">
        <f>F22*D22</f>
        <v>12481.137376151401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40.6</v>
      </c>
      <c r="D23" s="30"/>
      <c r="E23" s="29">
        <f>D23/$D$48</f>
        <v>0</v>
      </c>
      <c r="F23" s="28">
        <f>C23-(C23*$E$6)</f>
        <v>39.470658187194275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44.5</v>
      </c>
      <c r="D24" s="22">
        <f>SUM(D21:D23)</f>
        <v>288.5</v>
      </c>
      <c r="E24" s="21">
        <f>D24/$D$48</f>
        <v>3.6207329317269075E-2</v>
      </c>
      <c r="F24" s="20">
        <f>I24/D24</f>
        <v>43.262174614042983</v>
      </c>
      <c r="G24" s="19">
        <f>F24/C24-1</f>
        <v>-2.7816300808022887E-2</v>
      </c>
      <c r="H24" s="18">
        <f>SUM(H21:H23)</f>
        <v>12838.25</v>
      </c>
      <c r="I24" s="18">
        <f>SUM(I21:I23)</f>
        <v>12481.137376151401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v>1535.5</v>
      </c>
      <c r="E26" s="29">
        <f t="shared" ref="E26:E32" si="7">D26/$D$48</f>
        <v>0.19270833333333334</v>
      </c>
      <c r="F26" s="28">
        <f t="shared" ref="F26:F31" si="8">C26-(C26*$E$6)</f>
        <v>34.415302951395994</v>
      </c>
      <c r="G26" s="27" t="str">
        <f t="shared" ref="G26:G31" si="9">IF(C26&gt;=F26,"-","+")</f>
        <v>-</v>
      </c>
      <c r="H26" s="26">
        <f t="shared" ref="H26:H31" si="10">C26*D26</f>
        <v>54356.7</v>
      </c>
      <c r="I26" s="26">
        <f t="shared" ref="I26:I31" si="11">F26*D26</f>
        <v>52844.697681868551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1502</v>
      </c>
      <c r="E27" s="29">
        <f t="shared" si="7"/>
        <v>0.18850401606425704</v>
      </c>
      <c r="F27" s="28">
        <f t="shared" si="8"/>
        <v>30.623786524547281</v>
      </c>
      <c r="G27" s="27" t="str">
        <f t="shared" si="9"/>
        <v>-</v>
      </c>
      <c r="H27" s="26">
        <f t="shared" si="10"/>
        <v>47313</v>
      </c>
      <c r="I27" s="26">
        <f t="shared" si="11"/>
        <v>45996.927359870017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1087.4000000000001</v>
      </c>
      <c r="E28" s="29">
        <f t="shared" si="7"/>
        <v>0.13647088353413656</v>
      </c>
      <c r="F28" s="28">
        <f t="shared" si="8"/>
        <v>30.623786524547281</v>
      </c>
      <c r="G28" s="27" t="str">
        <f t="shared" si="9"/>
        <v>-</v>
      </c>
      <c r="H28" s="26">
        <f t="shared" si="10"/>
        <v>34253.100000000006</v>
      </c>
      <c r="I28" s="26">
        <f t="shared" si="11"/>
        <v>33300.305466792714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f>1331.6-280</f>
        <v>1051.5999999999999</v>
      </c>
      <c r="E29" s="29">
        <f t="shared" si="7"/>
        <v>0.13197791164658634</v>
      </c>
      <c r="F29" s="28">
        <f t="shared" si="8"/>
        <v>29.651602825355305</v>
      </c>
      <c r="G29" s="27" t="str">
        <f t="shared" si="9"/>
        <v>-</v>
      </c>
      <c r="H29" s="26">
        <f t="shared" si="10"/>
        <v>32073.799999999996</v>
      </c>
      <c r="I29" s="26">
        <f t="shared" si="11"/>
        <v>31181.625531143636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458.2</v>
      </c>
      <c r="E30" s="29">
        <f t="shared" si="7"/>
        <v>5.7505020080321281E-2</v>
      </c>
      <c r="F30" s="28">
        <f t="shared" si="8"/>
        <v>29.651602825355305</v>
      </c>
      <c r="G30" s="27" t="str">
        <f t="shared" si="9"/>
        <v>-</v>
      </c>
      <c r="H30" s="26">
        <f t="shared" si="10"/>
        <v>13975.1</v>
      </c>
      <c r="I30" s="26">
        <f t="shared" si="11"/>
        <v>13586.3644145778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105.2</v>
      </c>
      <c r="E31" s="29">
        <f t="shared" si="7"/>
        <v>1.320281124497992E-2</v>
      </c>
      <c r="F31" s="28">
        <f t="shared" si="8"/>
        <v>30.137694674951295</v>
      </c>
      <c r="G31" s="27" t="str">
        <f t="shared" si="9"/>
        <v>-</v>
      </c>
      <c r="H31" s="26">
        <f t="shared" si="10"/>
        <v>3261.2000000000003</v>
      </c>
      <c r="I31" s="26">
        <f t="shared" si="11"/>
        <v>3170.4854798048764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32.271102284011917</v>
      </c>
      <c r="D32" s="22">
        <f>SUM(D26:D31)</f>
        <v>5739.9</v>
      </c>
      <c r="E32" s="21">
        <f t="shared" si="7"/>
        <v>0.72036897590361437</v>
      </c>
      <c r="F32" s="20">
        <f>I32/D32</f>
        <v>31.373439595473375</v>
      </c>
      <c r="G32" s="19">
        <f>F32/C32-1</f>
        <v>-2.7816300808022665E-2</v>
      </c>
      <c r="H32" s="18">
        <f>SUM(H26:H31)</f>
        <v>185232.9</v>
      </c>
      <c r="I32" s="18">
        <f>SUM(I26:I31)</f>
        <v>180080.40593405761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18.600000000000001</v>
      </c>
      <c r="D34" s="30">
        <v>700.6</v>
      </c>
      <c r="E34" s="29">
        <f t="shared" ref="E34:E40" si="13">D34/$D$48</f>
        <v>8.7926706827309242E-2</v>
      </c>
      <c r="F34" s="28">
        <f t="shared" ref="F34:F39" si="14">C34-(C34*$E$6)</f>
        <v>18.082616804970776</v>
      </c>
      <c r="G34" s="27" t="str">
        <f t="shared" ref="G34:G39" si="15">IF(C34&gt;=F34,"-","+")</f>
        <v>-</v>
      </c>
      <c r="H34" s="26">
        <f t="shared" ref="H34:H39" si="16">C34*D34</f>
        <v>13031.160000000002</v>
      </c>
      <c r="I34" s="26">
        <f t="shared" ref="I34:I39" si="17">F34*D34</f>
        <v>12668.681333562527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13.902226898445274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11.180112540707738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29.651602825355305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29.651602825355305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30.623786524547281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18.600000000000001</v>
      </c>
      <c r="D40" s="22">
        <f>SUM(D34:D39)</f>
        <v>700.6</v>
      </c>
      <c r="E40" s="113">
        <f t="shared" si="13"/>
        <v>8.7926706827309242E-2</v>
      </c>
      <c r="F40" s="20">
        <f>I40/D40</f>
        <v>18.082616804970776</v>
      </c>
      <c r="G40" s="19">
        <f>F40/C40-1</f>
        <v>-2.7816300808022887E-2</v>
      </c>
      <c r="H40" s="18">
        <f>SUM(H34:H39)</f>
        <v>13031.160000000002</v>
      </c>
      <c r="I40" s="18">
        <f>SUM(I34:I39)</f>
        <v>12668.681333562527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1170</v>
      </c>
      <c r="E42" s="107">
        <f>D42/$D$48</f>
        <v>0.14683734939759036</v>
      </c>
      <c r="F42" s="28">
        <f>C42-(C42*$E$6)</f>
        <v>0.38887347967679092</v>
      </c>
      <c r="G42" s="27" t="str">
        <f>IF(C42&gt;=F42,"-","+")</f>
        <v>-</v>
      </c>
      <c r="H42" s="26">
        <f>C42*D42</f>
        <v>468</v>
      </c>
      <c r="I42" s="26">
        <f>F42*D42</f>
        <v>454.98197122184536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43</v>
      </c>
      <c r="E43" s="107">
        <f>D43/$D$48</f>
        <v>5.3965863453815264E-3</v>
      </c>
      <c r="F43" s="28">
        <f>C43-(C43*$E$6)</f>
        <v>0.38887347967679092</v>
      </c>
      <c r="G43" s="27" t="str">
        <f>IF(C43&gt;=F43,"-","+")</f>
        <v>-</v>
      </c>
      <c r="H43" s="26">
        <f>C43*D43</f>
        <v>17.2</v>
      </c>
      <c r="I43" s="26">
        <f>F43*D43</f>
        <v>16.72155962610201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21</v>
      </c>
      <c r="E44" s="107">
        <f>D44/$D$48</f>
        <v>2.6355421686746986E-3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6.2751004016064257E-4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0.39160613397901534</v>
      </c>
      <c r="D46" s="22">
        <f>SUM(D41:D45)</f>
        <v>1239</v>
      </c>
      <c r="E46" s="113">
        <f>D46/$D$48</f>
        <v>0.15549698795180722</v>
      </c>
      <c r="F46" s="20">
        <f>I46/D46</f>
        <v>0.38071309995798819</v>
      </c>
      <c r="G46" s="19">
        <f>F46/C46-1</f>
        <v>-2.7816300808022776E-2</v>
      </c>
      <c r="H46" s="18">
        <f>SUM(H41:H44)</f>
        <v>485.2</v>
      </c>
      <c r="I46" s="18">
        <f>SUM(I41:I44)</f>
        <v>471.70353084794738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95.762708417990936</v>
      </c>
      <c r="D48" s="13">
        <f>D24+D32+D40+D46</f>
        <v>7968</v>
      </c>
      <c r="E48" s="12">
        <f>SUM(E20:E46)/2</f>
        <v>1.0000000000000002</v>
      </c>
      <c r="F48" s="11">
        <f>I48/D48</f>
        <v>25.816005041995421</v>
      </c>
      <c r="G48" s="10"/>
      <c r="H48" s="9">
        <f>SUM(H20:H46)/2</f>
        <v>211587.50999999998</v>
      </c>
      <c r="I48" s="9">
        <f>SUM(I20:I46)/2</f>
        <v>205701.9281746195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11304.399999999998</v>
      </c>
      <c r="E50" s="12">
        <f>D50/G2</f>
        <v>1.0000442325215189</v>
      </c>
      <c r="F50" s="11">
        <f>I50/D50</f>
        <v>26.37383341884577</v>
      </c>
      <c r="G50" s="10"/>
      <c r="H50" s="9">
        <f>H48+H19</f>
        <v>306670.81</v>
      </c>
      <c r="I50" s="9">
        <f>I48+I19</f>
        <v>298140.36250000005</v>
      </c>
      <c r="J50" s="106">
        <f>D50-G2</f>
        <v>0.49999999999818101</v>
      </c>
      <c r="K50" s="8"/>
    </row>
    <row r="51" spans="1:11" ht="23.25" x14ac:dyDescent="0.35">
      <c r="A51" s="174" t="s">
        <v>306</v>
      </c>
      <c r="B51" s="169"/>
      <c r="C51" s="170"/>
      <c r="G51" s="7"/>
      <c r="H51" s="6"/>
      <c r="I51" s="6">
        <f>+I50/D50</f>
        <v>26.37383341884577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307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307</v>
      </c>
      <c r="D2" s="96" t="s">
        <v>3</v>
      </c>
      <c r="E2" s="95" t="s">
        <v>71</v>
      </c>
      <c r="F2" s="94" t="s">
        <v>5</v>
      </c>
      <c r="G2" s="93">
        <v>10651.4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159</v>
      </c>
      <c r="F3" s="88" t="s">
        <v>8</v>
      </c>
      <c r="G3" s="87">
        <v>26.85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66.989937106918234</v>
      </c>
      <c r="F4" s="81" t="s">
        <v>12</v>
      </c>
      <c r="G4" s="80">
        <f>G2*G3</f>
        <v>285990.09000000003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-1.4332050903641536E-2</v>
      </c>
      <c r="F6" s="69" t="s">
        <v>16</v>
      </c>
      <c r="G6" s="68">
        <f>(I50-I19)/(D50-(SUM(D42:D44)+D19))</f>
        <v>32.087929583627862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 t="e">
        <f t="shared" ref="E10:E19" si="1">D10/$D$19</f>
        <v>#DIV/0!</v>
      </c>
      <c r="F10" s="28">
        <f t="shared" ref="F10:F18" si="2">C10-(C10*$E$6)</f>
        <v>27.285532169307956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/>
      <c r="E11" s="29" t="e">
        <f t="shared" si="1"/>
        <v>#DIV/0!</v>
      </c>
      <c r="F11" s="28">
        <f t="shared" si="2"/>
        <v>28.401297425301962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25.5</v>
      </c>
      <c r="D12" s="30"/>
      <c r="E12" s="29" t="e">
        <f t="shared" si="1"/>
        <v>#DIV/0!</v>
      </c>
      <c r="F12" s="28">
        <f t="shared" si="2"/>
        <v>25.865467298042859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 t="e">
        <f t="shared" si="1"/>
        <v>#DIV/0!</v>
      </c>
      <c r="F13" s="28">
        <f t="shared" si="2"/>
        <v>28.401297425301962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 t="e">
        <f t="shared" si="1"/>
        <v>#DIV/0!</v>
      </c>
      <c r="F14" s="28">
        <f t="shared" si="2"/>
        <v>31.74859319328398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 t="e">
        <f t="shared" si="1"/>
        <v>#DIV/0!</v>
      </c>
      <c r="F15" s="28">
        <f t="shared" si="2"/>
        <v>26.169766913313953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35.299999999999997</v>
      </c>
      <c r="D16" s="30"/>
      <c r="E16" s="29" t="e">
        <f t="shared" si="1"/>
        <v>#DIV/0!</v>
      </c>
      <c r="F16" s="28">
        <f t="shared" si="2"/>
        <v>35.80592139689854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51.9</v>
      </c>
      <c r="D17" s="30"/>
      <c r="E17" s="29" t="e">
        <f t="shared" si="1"/>
        <v>#DIV/0!</v>
      </c>
      <c r="F17" s="28">
        <f t="shared" si="2"/>
        <v>52.643833441898991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45.5</v>
      </c>
      <c r="D18" s="30"/>
      <c r="E18" s="29" t="e">
        <f t="shared" si="1"/>
        <v>#DIV/0!</v>
      </c>
      <c r="F18" s="28">
        <f t="shared" si="2"/>
        <v>46.152108316115687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67.5</v>
      </c>
      <c r="D21" s="30">
        <v>127.6</v>
      </c>
      <c r="E21" s="29">
        <f>D21/$D$48</f>
        <v>1.1979645868148788E-2</v>
      </c>
      <c r="F21" s="28">
        <f>C21-(C21*$E$6)</f>
        <v>68.467413435995809</v>
      </c>
      <c r="G21" s="27" t="str">
        <f>IF(C21&gt;=F21,"-","+")</f>
        <v>+</v>
      </c>
      <c r="H21" s="26">
        <f>C21*D21</f>
        <v>8613</v>
      </c>
      <c r="I21" s="26">
        <f>F21*D21</f>
        <v>8736.4419544330649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226.4</v>
      </c>
      <c r="E22" s="29">
        <f>D22/$D$48</f>
        <v>2.1255421822483432E-2</v>
      </c>
      <c r="F22" s="28">
        <f>C22-(C22*$E$6)</f>
        <v>45.949241905934961</v>
      </c>
      <c r="G22" s="27" t="str">
        <f>IF(C22&gt;=F22,"-","+")</f>
        <v>+</v>
      </c>
      <c r="H22" s="26">
        <f>C22*D22</f>
        <v>10255.92</v>
      </c>
      <c r="I22" s="26">
        <f>F22*D22</f>
        <v>10402.908367503676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268.39999999999998</v>
      </c>
      <c r="E23" s="29">
        <f>D23/$D$48</f>
        <v>2.5198565446795725E-2</v>
      </c>
      <c r="F23" s="28">
        <f>C23-(C23*$E$6)</f>
        <v>41.891913702320394</v>
      </c>
      <c r="G23" s="27" t="str">
        <f>IF(C23&gt;=F23,"-","+")</f>
        <v>+</v>
      </c>
      <c r="H23" s="26">
        <f>C23*D23</f>
        <v>11084.919999999998</v>
      </c>
      <c r="I23" s="26">
        <f>F23*D23</f>
        <v>11243.789637702794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48.126349614395885</v>
      </c>
      <c r="D24" s="22">
        <f>SUM(D21:D23)</f>
        <v>622.4</v>
      </c>
      <c r="E24" s="21">
        <f>D24/$D$48</f>
        <v>5.8433633137427943E-2</v>
      </c>
      <c r="F24" s="20">
        <f>I24/D24</f>
        <v>48.816098906875858</v>
      </c>
      <c r="G24" s="19">
        <f>F24/C24-1</f>
        <v>1.4332050903641536E-2</v>
      </c>
      <c r="H24" s="18">
        <f>SUM(H21:H23)</f>
        <v>29953.839999999997</v>
      </c>
      <c r="I24" s="18">
        <f>SUM(I21:I23)</f>
        <v>30383.139959639535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v>1898.6</v>
      </c>
      <c r="E26" s="29">
        <f t="shared" ref="E26:E32" si="7">D26/$D$48</f>
        <v>0.1782488686933173</v>
      </c>
      <c r="F26" s="28">
        <f t="shared" ref="F26:F31" si="8">C26-(C26*$E$6)</f>
        <v>36.515953832531096</v>
      </c>
      <c r="G26" s="27" t="str">
        <f t="shared" ref="G26:G31" si="9">IF(C26&gt;=F26,"-","+")</f>
        <v>+</v>
      </c>
      <c r="H26" s="26">
        <f t="shared" ref="H26:H31" si="10">C26*D26</f>
        <v>68349.599999999991</v>
      </c>
      <c r="I26" s="26">
        <f t="shared" ref="I26:I31" si="11">F26*D26</f>
        <v>69329.189946443541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1969</v>
      </c>
      <c r="E27" s="29">
        <f t="shared" si="7"/>
        <v>0.18485832848264078</v>
      </c>
      <c r="F27" s="28">
        <f t="shared" si="8"/>
        <v>32.560058834006895</v>
      </c>
      <c r="G27" s="27" t="str">
        <f t="shared" si="9"/>
        <v>+</v>
      </c>
      <c r="H27" s="26">
        <f t="shared" si="10"/>
        <v>63204.9</v>
      </c>
      <c r="I27" s="26">
        <f t="shared" si="11"/>
        <v>64110.755844159576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949.6</v>
      </c>
      <c r="E28" s="29">
        <f t="shared" si="7"/>
        <v>8.9152599658260889E-2</v>
      </c>
      <c r="F28" s="28">
        <f t="shared" si="8"/>
        <v>32.560058834006895</v>
      </c>
      <c r="G28" s="27" t="str">
        <f t="shared" si="9"/>
        <v>+</v>
      </c>
      <c r="H28" s="26">
        <f t="shared" si="10"/>
        <v>30482.160000000003</v>
      </c>
      <c r="I28" s="26">
        <f t="shared" si="11"/>
        <v>30919.031868772949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1019.9</v>
      </c>
      <c r="E29" s="29">
        <f t="shared" si="7"/>
        <v>9.5752671010383608E-2</v>
      </c>
      <c r="F29" s="28">
        <f t="shared" si="8"/>
        <v>31.444293578012889</v>
      </c>
      <c r="G29" s="27" t="str">
        <f t="shared" si="9"/>
        <v>+</v>
      </c>
      <c r="H29" s="26">
        <f t="shared" si="10"/>
        <v>31616.899999999998</v>
      </c>
      <c r="I29" s="26">
        <f t="shared" si="11"/>
        <v>32070.035020215346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615</v>
      </c>
      <c r="E30" s="29">
        <f t="shared" si="7"/>
        <v>5.7738888784572923E-2</v>
      </c>
      <c r="F30" s="28">
        <f t="shared" si="8"/>
        <v>31.444293578012889</v>
      </c>
      <c r="G30" s="27" t="str">
        <f t="shared" si="9"/>
        <v>+</v>
      </c>
      <c r="H30" s="26">
        <f t="shared" si="10"/>
        <v>19065</v>
      </c>
      <c r="I30" s="26">
        <f t="shared" si="11"/>
        <v>19338.240550477927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300.8</v>
      </c>
      <c r="E31" s="29">
        <f t="shared" si="7"/>
        <v>2.8240419099836642E-2</v>
      </c>
      <c r="F31" s="28">
        <f t="shared" si="8"/>
        <v>31.951459603464709</v>
      </c>
      <c r="G31" s="27" t="str">
        <f t="shared" si="9"/>
        <v>+</v>
      </c>
      <c r="H31" s="26">
        <f t="shared" si="10"/>
        <v>9475.2000000000007</v>
      </c>
      <c r="I31" s="26">
        <f t="shared" si="11"/>
        <v>9610.9990487221858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32.903457773697227</v>
      </c>
      <c r="D32" s="22">
        <f>SUM(D26:D31)</f>
        <v>6752.9</v>
      </c>
      <c r="E32" s="21">
        <f t="shared" si="7"/>
        <v>0.63399177572901211</v>
      </c>
      <c r="F32" s="20">
        <f>I32/D32</f>
        <v>33.375031805415681</v>
      </c>
      <c r="G32" s="19">
        <f>F32/C32-1</f>
        <v>1.4332050903641758E-2</v>
      </c>
      <c r="H32" s="18">
        <f>SUM(H26:H31)</f>
        <v>222193.76</v>
      </c>
      <c r="I32" s="18">
        <f>SUM(I26:I31)</f>
        <v>225378.25227879154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1531.9</v>
      </c>
      <c r="E34" s="29">
        <f t="shared" ref="E34:E40" si="13">D34/$D$48</f>
        <v>0.14382146947819066</v>
      </c>
      <c r="F34" s="28">
        <f t="shared" ref="F34:F39" si="14">C34-(C34*$E$6)</f>
        <v>19.272308967169188</v>
      </c>
      <c r="G34" s="27" t="str">
        <f t="shared" ref="G34:G39" si="15">IF(C34&gt;=F34,"-","+")</f>
        <v>+</v>
      </c>
      <c r="H34" s="26">
        <f t="shared" ref="H34:H39" si="16">C34*D34</f>
        <v>29106.100000000002</v>
      </c>
      <c r="I34" s="26">
        <f t="shared" ref="I34:I39" si="17">F34*D34</f>
        <v>29523.250106806481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14.809247943193165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11.867684995572604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31.444293578012889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31.444293578012889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32.560058834006895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</v>
      </c>
      <c r="D40" s="22">
        <f>SUM(D34:D39)</f>
        <v>1531.9</v>
      </c>
      <c r="E40" s="113">
        <f t="shared" si="13"/>
        <v>0.14382146947819066</v>
      </c>
      <c r="F40" s="20">
        <f>I40/D40</f>
        <v>19.272308967169188</v>
      </c>
      <c r="G40" s="19">
        <f>F40/C40-1</f>
        <v>1.4332050903641536E-2</v>
      </c>
      <c r="H40" s="18">
        <f>SUM(H34:H39)</f>
        <v>29106.100000000002</v>
      </c>
      <c r="I40" s="18">
        <f>SUM(I34:I39)</f>
        <v>29523.250106806481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1667</v>
      </c>
      <c r="E42" s="107">
        <f>D42/$D$48</f>
        <v>0.15650524813639521</v>
      </c>
      <c r="F42" s="28">
        <f>C42-(C42*$E$6)</f>
        <v>0.40573282036145664</v>
      </c>
      <c r="G42" s="27" t="str">
        <f>IF(C42&gt;=F42,"-","+")</f>
        <v>+</v>
      </c>
      <c r="H42" s="26">
        <f>C42*D42</f>
        <v>666.80000000000007</v>
      </c>
      <c r="I42" s="26">
        <f>F42*D42</f>
        <v>676.35661154254819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71.7</v>
      </c>
      <c r="E43" s="107">
        <f>D43/$D$48</f>
        <v>6.7315094729331363E-3</v>
      </c>
      <c r="F43" s="28">
        <f>C43-(C43*$E$6)</f>
        <v>0.40573282036145664</v>
      </c>
      <c r="G43" s="27" t="str">
        <f>IF(C43&gt;=F43,"-","+")</f>
        <v>+</v>
      </c>
      <c r="H43" s="26">
        <f>C43*D43</f>
        <v>28.680000000000003</v>
      </c>
      <c r="I43" s="26">
        <f>F43*D43</f>
        <v>29.091043219916443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5.5</v>
      </c>
      <c r="E45" s="107">
        <f>D45/$D$48</f>
        <v>5.1636404604089609E-4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0.39873867675725261</v>
      </c>
      <c r="D46" s="22">
        <f>SUM(D41:D45)</f>
        <v>1744.2</v>
      </c>
      <c r="E46" s="113">
        <f>D46/$D$48</f>
        <v>0.16375312165536926</v>
      </c>
      <c r="F46" s="20">
        <f>I46/D46</f>
        <v>0.40445341976978821</v>
      </c>
      <c r="G46" s="19">
        <f>F46/C46-1</f>
        <v>1.4332050903641536E-2</v>
      </c>
      <c r="H46" s="18">
        <f>SUM(H41:H44)</f>
        <v>695.48</v>
      </c>
      <c r="I46" s="18">
        <f>SUM(I41:I44)</f>
        <v>705.44765476246459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100.42854606485035</v>
      </c>
      <c r="D48" s="13">
        <f>D24+D32+D40+D46</f>
        <v>10651.4</v>
      </c>
      <c r="E48" s="12">
        <f>SUM(E20:E46)/2</f>
        <v>1</v>
      </c>
      <c r="F48" s="11">
        <f>I48/D48</f>
        <v>26.850000000000005</v>
      </c>
      <c r="G48" s="10"/>
      <c r="H48" s="9">
        <f>SUM(H20:H46)/2</f>
        <v>281949.18000000005</v>
      </c>
      <c r="I48" s="9">
        <f>SUM(I20:I46)/2</f>
        <v>285990.09000000003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10651.4</v>
      </c>
      <c r="E50" s="12">
        <f>D50/G2</f>
        <v>1</v>
      </c>
      <c r="F50" s="11">
        <f>I50/D50</f>
        <v>26.850000000000005</v>
      </c>
      <c r="G50" s="10"/>
      <c r="H50" s="9">
        <f>H48+H19</f>
        <v>281949.18000000005</v>
      </c>
      <c r="I50" s="9">
        <f>I48+I19</f>
        <v>285990.09000000003</v>
      </c>
      <c r="J50" s="106">
        <f>D50-G2</f>
        <v>0</v>
      </c>
      <c r="K50" s="8"/>
    </row>
    <row r="51" spans="1:11" ht="23.25" x14ac:dyDescent="0.35">
      <c r="A51" s="174" t="s">
        <v>308</v>
      </c>
      <c r="B51" s="169"/>
      <c r="C51" s="170"/>
      <c r="G51" s="7"/>
      <c r="H51" s="6"/>
      <c r="I51" s="6">
        <f>+I50/D50</f>
        <v>26.850000000000005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307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309</v>
      </c>
      <c r="D2" s="96" t="s">
        <v>3</v>
      </c>
      <c r="E2" s="95" t="s">
        <v>71</v>
      </c>
      <c r="F2" s="94" t="s">
        <v>5</v>
      </c>
      <c r="G2" s="93">
        <v>8365.6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125</v>
      </c>
      <c r="F3" s="88" t="s">
        <v>8</v>
      </c>
      <c r="G3" s="87">
        <v>26.85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66.924800000000005</v>
      </c>
      <c r="F4" s="81" t="s">
        <v>12</v>
      </c>
      <c r="G4" s="80">
        <f>G2*G3</f>
        <v>224616.36000000002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3.6662421872046824E-4</v>
      </c>
      <c r="F6" s="69" t="s">
        <v>16</v>
      </c>
      <c r="G6" s="68">
        <f>(I50-I19)/(D50-(SUM(D42:D44)+D19))</f>
        <v>32.493609804935431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>
        <f t="shared" ref="E10:E19" si="1">D10/$D$19</f>
        <v>0</v>
      </c>
      <c r="F10" s="28">
        <f t="shared" ref="F10:F18" si="2">C10-(C10*$E$6)</f>
        <v>26.890137808516418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>
        <v>922.4</v>
      </c>
      <c r="E11" s="29">
        <f t="shared" si="1"/>
        <v>0.23802028230072508</v>
      </c>
      <c r="F11" s="28">
        <f t="shared" si="2"/>
        <v>27.989734521875828</v>
      </c>
      <c r="G11" s="27" t="str">
        <f t="shared" si="3"/>
        <v>-</v>
      </c>
      <c r="H11" s="34">
        <f t="shared" si="4"/>
        <v>25827.200000000001</v>
      </c>
      <c r="I11" s="34">
        <f t="shared" si="5"/>
        <v>25817.731122978264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25.5</v>
      </c>
      <c r="D12" s="30">
        <v>2885.9</v>
      </c>
      <c r="E12" s="29">
        <f t="shared" si="1"/>
        <v>0.74469073362062288</v>
      </c>
      <c r="F12" s="28">
        <f t="shared" si="2"/>
        <v>25.490651082422627</v>
      </c>
      <c r="G12" s="27" t="str">
        <f t="shared" si="3"/>
        <v>-</v>
      </c>
      <c r="H12" s="34">
        <f t="shared" si="4"/>
        <v>73590.45</v>
      </c>
      <c r="I12" s="34">
        <f t="shared" si="5"/>
        <v>73563.469958763468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>
        <f t="shared" si="1"/>
        <v>0</v>
      </c>
      <c r="F13" s="28">
        <f t="shared" si="2"/>
        <v>27.989734521875828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>
        <f t="shared" si="1"/>
        <v>0</v>
      </c>
      <c r="F14" s="28">
        <f t="shared" si="2"/>
        <v>31.28852466195405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>
        <v>19</v>
      </c>
      <c r="E15" s="29">
        <f t="shared" si="1"/>
        <v>4.9028462312595148E-3</v>
      </c>
      <c r="F15" s="28">
        <f t="shared" si="2"/>
        <v>25.790541095157014</v>
      </c>
      <c r="G15" s="27" t="str">
        <f t="shared" si="3"/>
        <v>-</v>
      </c>
      <c r="H15" s="34">
        <f t="shared" si="4"/>
        <v>490.2</v>
      </c>
      <c r="I15" s="34">
        <f t="shared" si="5"/>
        <v>490.02028080798328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35.299999999999997</v>
      </c>
      <c r="D16" s="30"/>
      <c r="E16" s="29">
        <f t="shared" si="1"/>
        <v>0</v>
      </c>
      <c r="F16" s="28">
        <f t="shared" si="2"/>
        <v>35.287058165079166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51.9</v>
      </c>
      <c r="D17" s="30">
        <v>7</v>
      </c>
      <c r="E17" s="29">
        <f t="shared" si="1"/>
        <v>1.8063117694114004E-3</v>
      </c>
      <c r="F17" s="28">
        <f t="shared" si="2"/>
        <v>51.880972203048408</v>
      </c>
      <c r="G17" s="27" t="str">
        <f t="shared" si="3"/>
        <v>-</v>
      </c>
      <c r="H17" s="34">
        <f t="shared" si="4"/>
        <v>363.3</v>
      </c>
      <c r="I17" s="34">
        <f t="shared" si="5"/>
        <v>363.16680542133884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45.5</v>
      </c>
      <c r="D18" s="30">
        <v>41</v>
      </c>
      <c r="E18" s="29">
        <f t="shared" si="1"/>
        <v>1.057982607798106E-2</v>
      </c>
      <c r="F18" s="28">
        <f t="shared" si="2"/>
        <v>45.483318598048221</v>
      </c>
      <c r="G18" s="27" t="str">
        <f t="shared" si="3"/>
        <v>-</v>
      </c>
      <c r="H18" s="34">
        <f t="shared" si="4"/>
        <v>1865.5</v>
      </c>
      <c r="I18" s="34">
        <f t="shared" si="5"/>
        <v>1864.8160625199771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26.355804711893271</v>
      </c>
      <c r="D19" s="49">
        <f>SUM(D10:D18)</f>
        <v>3875.3</v>
      </c>
      <c r="E19" s="48">
        <f t="shared" si="1"/>
        <v>1</v>
      </c>
      <c r="F19" s="47">
        <f>I19/D19</f>
        <v>26.346142035582027</v>
      </c>
      <c r="G19" s="46">
        <f>F19/C19-1</f>
        <v>-3.6662421872035722E-4</v>
      </c>
      <c r="H19" s="9">
        <f>SUM(H10:H18)</f>
        <v>102136.65</v>
      </c>
      <c r="I19" s="9">
        <f>SUM(I10:I18)</f>
        <v>102099.20423049103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67.5</v>
      </c>
      <c r="D21" s="30">
        <v>70.400000000000006</v>
      </c>
      <c r="E21" s="29">
        <f>D21/$D$48</f>
        <v>1.5678239761263167E-2</v>
      </c>
      <c r="F21" s="28">
        <f>C21-(C21*$E$6)</f>
        <v>67.475252865236371</v>
      </c>
      <c r="G21" s="27" t="str">
        <f>IF(C21&gt;=F21,"-","+")</f>
        <v>-</v>
      </c>
      <c r="H21" s="26">
        <f>C21*D21</f>
        <v>4752</v>
      </c>
      <c r="I21" s="26">
        <f>F21*D21</f>
        <v>4750.2578017126407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92.2</v>
      </c>
      <c r="E22" s="29">
        <f>D22/$D$48</f>
        <v>2.0533149232790683E-2</v>
      </c>
      <c r="F22" s="28">
        <f>C22-(C22*$E$6)</f>
        <v>45.283391922891958</v>
      </c>
      <c r="G22" s="27" t="str">
        <f>IF(C22&gt;=F22,"-","+")</f>
        <v>-</v>
      </c>
      <c r="H22" s="26">
        <f>C22*D22</f>
        <v>4176.66</v>
      </c>
      <c r="I22" s="26">
        <f>F22*D22</f>
        <v>4175.1287352906384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149.4</v>
      </c>
      <c r="E23" s="29">
        <f>D23/$D$48</f>
        <v>3.3271719038817003E-2</v>
      </c>
      <c r="F23" s="28">
        <f>C23-(C23*$E$6)</f>
        <v>41.284858419766842</v>
      </c>
      <c r="G23" s="27" t="str">
        <f>IF(C23&gt;=F23,"-","+")</f>
        <v>-</v>
      </c>
      <c r="H23" s="26">
        <f>C23*D23</f>
        <v>6170.22</v>
      </c>
      <c r="I23" s="26">
        <f>F23*D23</f>
        <v>6167.957847913166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48.393846153846155</v>
      </c>
      <c r="D24" s="22">
        <f>SUM(D21:D23)</f>
        <v>312</v>
      </c>
      <c r="E24" s="21">
        <f>D24/$D$48</f>
        <v>6.9483108032870847E-2</v>
      </c>
      <c r="F24" s="20">
        <f>I24/D24</f>
        <v>48.376103797809122</v>
      </c>
      <c r="G24" s="19">
        <f>F24/C24-1</f>
        <v>-3.6662421872046824E-4</v>
      </c>
      <c r="H24" s="18">
        <f>SUM(H21:H23)</f>
        <v>15098.880000000001</v>
      </c>
      <c r="I24" s="18">
        <f>SUM(I21:I23)</f>
        <v>15093.344384916447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f>183.5+30+1044.2</f>
        <v>1257.7</v>
      </c>
      <c r="E26" s="29">
        <f t="shared" ref="E26:E32" si="7">D26/$D$48</f>
        <v>0.28009264414404383</v>
      </c>
      <c r="F26" s="28">
        <f t="shared" ref="F26:F31" si="8">C26-(C26*$E$6)</f>
        <v>35.986801528126065</v>
      </c>
      <c r="G26" s="27" t="str">
        <f t="shared" ref="G26:G31" si="9">IF(C26&gt;=F26,"-","+")</f>
        <v>-</v>
      </c>
      <c r="H26" s="26">
        <f t="shared" ref="H26:H31" si="10">C26*D26</f>
        <v>45277.200000000004</v>
      </c>
      <c r="I26" s="26">
        <f t="shared" ref="I26:I31" si="11">F26*D26</f>
        <v>45260.600281924155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442.9</v>
      </c>
      <c r="E27" s="29">
        <f t="shared" si="7"/>
        <v>9.8634835088969544E-2</v>
      </c>
      <c r="F27" s="28">
        <f t="shared" si="8"/>
        <v>32.088231362579073</v>
      </c>
      <c r="G27" s="27" t="str">
        <f t="shared" si="9"/>
        <v>-</v>
      </c>
      <c r="H27" s="26">
        <f t="shared" si="10"/>
        <v>14217.09</v>
      </c>
      <c r="I27" s="26">
        <f t="shared" si="11"/>
        <v>14211.87767048627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329</v>
      </c>
      <c r="E28" s="29">
        <f t="shared" si="7"/>
        <v>7.3269046611584968E-2</v>
      </c>
      <c r="F28" s="28">
        <f t="shared" si="8"/>
        <v>32.088231362579073</v>
      </c>
      <c r="G28" s="27" t="str">
        <f t="shared" si="9"/>
        <v>-</v>
      </c>
      <c r="H28" s="26">
        <f t="shared" si="10"/>
        <v>10560.9</v>
      </c>
      <c r="I28" s="26">
        <f t="shared" si="11"/>
        <v>10557.028118288516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309.10000000000002</v>
      </c>
      <c r="E29" s="29">
        <f t="shared" si="7"/>
        <v>6.8837271451796092E-2</v>
      </c>
      <c r="F29" s="28">
        <f t="shared" si="8"/>
        <v>30.988634649219666</v>
      </c>
      <c r="G29" s="27" t="str">
        <f t="shared" si="9"/>
        <v>-</v>
      </c>
      <c r="H29" s="26">
        <f t="shared" si="10"/>
        <v>9582.1</v>
      </c>
      <c r="I29" s="26">
        <f t="shared" si="11"/>
        <v>9578.5869700737985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416.4</v>
      </c>
      <c r="E30" s="29">
        <f t="shared" si="7"/>
        <v>9.2733224951562249E-2</v>
      </c>
      <c r="F30" s="28">
        <f t="shared" si="8"/>
        <v>30.988634649219666</v>
      </c>
      <c r="G30" s="27" t="str">
        <f t="shared" si="9"/>
        <v>-</v>
      </c>
      <c r="H30" s="26">
        <f t="shared" si="10"/>
        <v>12908.4</v>
      </c>
      <c r="I30" s="26">
        <f t="shared" si="11"/>
        <v>12903.667467935069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108.8</v>
      </c>
      <c r="E31" s="29">
        <f t="shared" si="7"/>
        <v>2.4230006903770349E-2</v>
      </c>
      <c r="F31" s="28">
        <f t="shared" si="8"/>
        <v>31.488451337110305</v>
      </c>
      <c r="G31" s="27" t="str">
        <f t="shared" si="9"/>
        <v>-</v>
      </c>
      <c r="H31" s="26">
        <f t="shared" si="10"/>
        <v>3427.2</v>
      </c>
      <c r="I31" s="26">
        <f t="shared" si="11"/>
        <v>3425.9435054776013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33.511257376305039</v>
      </c>
      <c r="D32" s="22">
        <f>SUM(D26:D31)</f>
        <v>2863.9</v>
      </c>
      <c r="E32" s="21">
        <f t="shared" si="7"/>
        <v>0.63779702915172709</v>
      </c>
      <c r="F32" s="20">
        <f>I32/D32</f>
        <v>33.498971337751108</v>
      </c>
      <c r="G32" s="19">
        <f>F32/C32-1</f>
        <v>-3.6662421872057926E-4</v>
      </c>
      <c r="H32" s="18">
        <f>SUM(H26:H31)</f>
        <v>95972.89</v>
      </c>
      <c r="I32" s="18">
        <f>SUM(I26:I31)</f>
        <v>95937.704014185394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590</v>
      </c>
      <c r="E34" s="29">
        <f t="shared" ref="E34:E40" si="13">D34/$D$48</f>
        <v>0.13139433890831348</v>
      </c>
      <c r="F34" s="28">
        <f t="shared" ref="F34:F39" si="14">C34-(C34*$E$6)</f>
        <v>18.993034139844312</v>
      </c>
      <c r="G34" s="27" t="str">
        <f t="shared" ref="G34:G39" si="15">IF(C34&gt;=F34,"-","+")</f>
        <v>-</v>
      </c>
      <c r="H34" s="26">
        <f t="shared" ref="H34:H39" si="16">C34*D34</f>
        <v>11210</v>
      </c>
      <c r="I34" s="26">
        <f t="shared" ref="I34:I39" si="17">F34*D34</f>
        <v>11205.890142508144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14.594647286406682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11.69571049664097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30.988634649219666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30.988634649219666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32.088231362579073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</v>
      </c>
      <c r="D40" s="22">
        <f>SUM(D34:D39)</f>
        <v>590</v>
      </c>
      <c r="E40" s="113">
        <f t="shared" si="13"/>
        <v>0.13139433890831348</v>
      </c>
      <c r="F40" s="20">
        <f>I40/D40</f>
        <v>18.993034139844312</v>
      </c>
      <c r="G40" s="19">
        <f>F40/C40-1</f>
        <v>-3.6662421872046824E-4</v>
      </c>
      <c r="H40" s="18">
        <f>SUM(H34:H39)</f>
        <v>11210</v>
      </c>
      <c r="I40" s="18">
        <f>SUM(I34:I39)</f>
        <v>11205.890142508144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671</v>
      </c>
      <c r="E42" s="107">
        <f>D42/$D$48</f>
        <v>0.14943322272453954</v>
      </c>
      <c r="F42" s="28">
        <f>C42-(C42*$E$6)</f>
        <v>0.39985335031251185</v>
      </c>
      <c r="G42" s="27" t="str">
        <f>IF(C42&gt;=F42,"-","+")</f>
        <v>-</v>
      </c>
      <c r="H42" s="26">
        <f>C42*D42</f>
        <v>268.40000000000003</v>
      </c>
      <c r="I42" s="26">
        <f>F42*D42</f>
        <v>268.30159805969544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29.8</v>
      </c>
      <c r="E43" s="107">
        <f>D43/$D$48</f>
        <v>6.6365276262165106E-3</v>
      </c>
      <c r="F43" s="28">
        <f>C43-(C43*$E$6)</f>
        <v>0.39985335031251185</v>
      </c>
      <c r="G43" s="27" t="str">
        <f>IF(C43&gt;=F43,"-","+")</f>
        <v>-</v>
      </c>
      <c r="H43" s="26">
        <f>C43*D43</f>
        <v>11.920000000000002</v>
      </c>
      <c r="I43" s="26">
        <f>F43*D43</f>
        <v>11.915629839312853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19</v>
      </c>
      <c r="E44" s="107">
        <f>D44/$D$48</f>
        <v>4.2313431173863656E-3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4.5999999999999996</v>
      </c>
      <c r="E45" s="107">
        <f>D45/$D$48</f>
        <v>1.0244304389461728E-3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0.38696852567642193</v>
      </c>
      <c r="D46" s="22">
        <f>SUM(D41:D45)</f>
        <v>724.4</v>
      </c>
      <c r="E46" s="113">
        <f>D46/$D$48</f>
        <v>0.1613255239070886</v>
      </c>
      <c r="F46" s="20">
        <f>I46/D46</f>
        <v>0.38682665364302632</v>
      </c>
      <c r="G46" s="19">
        <f>F46/C46-1</f>
        <v>-3.6662421872069029E-4</v>
      </c>
      <c r="H46" s="18">
        <f>SUM(H41:H44)</f>
        <v>280.32000000000005</v>
      </c>
      <c r="I46" s="18">
        <f>SUM(I41:I44)</f>
        <v>280.21722789900826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101.29207205582762</v>
      </c>
      <c r="D48" s="13">
        <f>D24+D32+D40+D46</f>
        <v>4490.3</v>
      </c>
      <c r="E48" s="12">
        <f>SUM(E20:E46)/2</f>
        <v>0.99999999999999989</v>
      </c>
      <c r="F48" s="11">
        <f>I48/D48</f>
        <v>27.284848622477114</v>
      </c>
      <c r="G48" s="10"/>
      <c r="H48" s="9">
        <f>SUM(H20:H46)/2</f>
        <v>122562.09</v>
      </c>
      <c r="I48" s="9">
        <f>SUM(I20:I46)/2</f>
        <v>122517.15576950899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8365.5999999999985</v>
      </c>
      <c r="E50" s="12">
        <f>D50/G2</f>
        <v>0.99999999999999978</v>
      </c>
      <c r="F50" s="11">
        <f>I50/D50</f>
        <v>26.850000000000005</v>
      </c>
      <c r="G50" s="10"/>
      <c r="H50" s="9">
        <f>H48+H19</f>
        <v>224698.74</v>
      </c>
      <c r="I50" s="9">
        <f>I48+I19</f>
        <v>224616.36000000002</v>
      </c>
      <c r="J50" s="106">
        <f>D50-G2</f>
        <v>0</v>
      </c>
      <c r="K50" s="8"/>
    </row>
    <row r="51" spans="1:11" ht="23.25" x14ac:dyDescent="0.35">
      <c r="A51" s="174" t="s">
        <v>310</v>
      </c>
      <c r="B51" s="169"/>
      <c r="C51" s="170"/>
      <c r="G51" s="7"/>
      <c r="H51" s="6"/>
      <c r="I51" s="6">
        <f>+I50/D50</f>
        <v>26.850000000000005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307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309</v>
      </c>
      <c r="D2" s="96" t="s">
        <v>3</v>
      </c>
      <c r="E2" s="95" t="s">
        <v>71</v>
      </c>
      <c r="F2" s="94" t="s">
        <v>5</v>
      </c>
      <c r="G2" s="93">
        <v>23110.7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340</v>
      </c>
      <c r="F3" s="88" t="s">
        <v>8</v>
      </c>
      <c r="G3" s="87">
        <v>26.375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67.972647058823526</v>
      </c>
      <c r="F4" s="81" t="s">
        <v>12</v>
      </c>
      <c r="G4" s="80">
        <f>G2*G3</f>
        <v>609544.71250000002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-5.8679176622433715E-3</v>
      </c>
      <c r="F6" s="69" t="s">
        <v>16</v>
      </c>
      <c r="G6" s="68">
        <f>(I50-I19)/(D50-(SUM(D42:D44)+D19))</f>
        <v>31.086944293618323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>
        <f t="shared" ref="E10:E19" si="1">D10/$D$19</f>
        <v>0</v>
      </c>
      <c r="F10" s="28">
        <f t="shared" ref="F10:F18" si="2">C10-(C10*$E$6)</f>
        <v>26.554913026283224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>
        <v>6635</v>
      </c>
      <c r="E11" s="29">
        <f t="shared" si="1"/>
        <v>0.81473022421965169</v>
      </c>
      <c r="F11" s="28">
        <f t="shared" si="2"/>
        <v>27.661367735711693</v>
      </c>
      <c r="G11" s="27" t="str">
        <f t="shared" si="3"/>
        <v>+</v>
      </c>
      <c r="H11" s="34">
        <f t="shared" si="4"/>
        <v>182462.5</v>
      </c>
      <c r="I11" s="34">
        <f t="shared" si="5"/>
        <v>183533.17492644707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>
        <v>1508.8</v>
      </c>
      <c r="E12" s="29">
        <f t="shared" si="1"/>
        <v>0.18526977578034823</v>
      </c>
      <c r="F12" s="28">
        <f t="shared" si="2"/>
        <v>25.24728473332231</v>
      </c>
      <c r="G12" s="27" t="str">
        <f t="shared" si="3"/>
        <v>+</v>
      </c>
      <c r="H12" s="34">
        <f t="shared" si="4"/>
        <v>37870.879999999997</v>
      </c>
      <c r="I12" s="34">
        <f t="shared" si="5"/>
        <v>38093.103205636697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>
        <f t="shared" si="1"/>
        <v>0</v>
      </c>
      <c r="F13" s="28">
        <f t="shared" si="2"/>
        <v>27.661367735711693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>
        <f t="shared" si="1"/>
        <v>0</v>
      </c>
      <c r="F14" s="28">
        <f t="shared" si="2"/>
        <v>30.880145072230871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>
        <f t="shared" si="1"/>
        <v>0</v>
      </c>
      <c r="F15" s="28">
        <f t="shared" si="2"/>
        <v>25.448458316854758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>
        <f t="shared" si="1"/>
        <v>0</v>
      </c>
      <c r="F16" s="28">
        <f t="shared" si="2"/>
        <v>34.903616742879848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</v>
      </c>
      <c r="D17" s="30"/>
      <c r="E17" s="29">
        <f t="shared" si="1"/>
        <v>0</v>
      </c>
      <c r="F17" s="28">
        <f t="shared" si="2"/>
        <v>51.299263800774412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>
        <f t="shared" si="1"/>
        <v>0</v>
      </c>
      <c r="F18" s="28">
        <f t="shared" si="2"/>
        <v>44.962295919502282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27.055352538127163</v>
      </c>
      <c r="D19" s="49">
        <f>SUM(D10:D18)</f>
        <v>8143.8</v>
      </c>
      <c r="E19" s="48">
        <f t="shared" si="1"/>
        <v>1</v>
      </c>
      <c r="F19" s="47">
        <f>I19/D19</f>
        <v>27.214111119143858</v>
      </c>
      <c r="G19" s="46">
        <f>F19/C19-1</f>
        <v>5.8679176622433715E-3</v>
      </c>
      <c r="H19" s="9">
        <f>SUM(H10:H18)</f>
        <v>220333.38</v>
      </c>
      <c r="I19" s="9">
        <f>SUM(I10:I18)</f>
        <v>221626.27813208377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66.3</v>
      </c>
      <c r="D21" s="30">
        <v>108</v>
      </c>
      <c r="E21" s="29">
        <f>D21/$D$48</f>
        <v>7.2159231370557712E-3</v>
      </c>
      <c r="F21" s="28">
        <f>C21-(C21*$E$6)</f>
        <v>66.689042941006733</v>
      </c>
      <c r="G21" s="27" t="str">
        <f>IF(C21&gt;=F21,"-","+")</f>
        <v>+</v>
      </c>
      <c r="H21" s="26">
        <f>C21*D21</f>
        <v>7160.4</v>
      </c>
      <c r="I21" s="26">
        <f>F21*D21</f>
        <v>7202.4166376287267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44.5</v>
      </c>
      <c r="D22" s="30">
        <v>572.29999999999995</v>
      </c>
      <c r="E22" s="29">
        <f>D22/$D$48</f>
        <v>3.8237711216083492E-2</v>
      </c>
      <c r="F22" s="28">
        <f>C22-(C22*$E$6)</f>
        <v>44.76112233596983</v>
      </c>
      <c r="G22" s="27" t="str">
        <f>IF(C22&gt;=F22,"-","+")</f>
        <v>+</v>
      </c>
      <c r="H22" s="26">
        <f>C22*D22</f>
        <v>25467.35</v>
      </c>
      <c r="I22" s="26">
        <f>F22*D22</f>
        <v>25616.790312875532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40.6</v>
      </c>
      <c r="D23" s="30">
        <v>232.7</v>
      </c>
      <c r="E23" s="29">
        <f>D23/$D$48</f>
        <v>1.554764179623035E-2</v>
      </c>
      <c r="F23" s="28">
        <f>C23-(C23*$E$6)</f>
        <v>40.838237457087082</v>
      </c>
      <c r="G23" s="27" t="str">
        <f>IF(C23&gt;=F23,"-","+")</f>
        <v>+</v>
      </c>
      <c r="H23" s="26">
        <f>C23*D23</f>
        <v>9447.619999999999</v>
      </c>
      <c r="I23" s="26">
        <f>F23*D23</f>
        <v>9503.057856264164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46.084742606790797</v>
      </c>
      <c r="D24" s="22">
        <f>SUM(D21:D23)</f>
        <v>913</v>
      </c>
      <c r="E24" s="21">
        <f>D24/$D$48</f>
        <v>6.1001276149369621E-2</v>
      </c>
      <c r="F24" s="20">
        <f>I24/D24</f>
        <v>46.355164081893122</v>
      </c>
      <c r="G24" s="19">
        <f>F24/C24-1</f>
        <v>5.8679176622433715E-3</v>
      </c>
      <c r="H24" s="18">
        <f>SUM(H21:H23)</f>
        <v>42075.369999999995</v>
      </c>
      <c r="I24" s="18">
        <f>SUM(I21:I23)</f>
        <v>42322.26480676842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f>440.9+1804</f>
        <v>2244.9</v>
      </c>
      <c r="E26" s="29">
        <f t="shared" ref="E26:E32" si="7">D26/$D$48</f>
        <v>0.1499909800960787</v>
      </c>
      <c r="F26" s="28">
        <f t="shared" ref="F26:F31" si="8">C26-(C26*$E$6)</f>
        <v>35.607724285243414</v>
      </c>
      <c r="G26" s="27" t="str">
        <f t="shared" ref="G26:G31" si="9">IF(C26&gt;=F26,"-","+")</f>
        <v>+</v>
      </c>
      <c r="H26" s="26">
        <f t="shared" ref="H26:H31" si="10">C26*D26</f>
        <v>79469.460000000006</v>
      </c>
      <c r="I26" s="26">
        <f t="shared" ref="I26:I31" si="11">F26*D26</f>
        <v>79935.780247942937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2784.9</v>
      </c>
      <c r="E27" s="29">
        <f t="shared" si="7"/>
        <v>0.18607059578135757</v>
      </c>
      <c r="F27" s="28">
        <f t="shared" si="8"/>
        <v>31.684839406360666</v>
      </c>
      <c r="G27" s="27" t="str">
        <f t="shared" si="9"/>
        <v>+</v>
      </c>
      <c r="H27" s="26">
        <f t="shared" si="10"/>
        <v>87724.35</v>
      </c>
      <c r="I27" s="26">
        <f t="shared" si="11"/>
        <v>88239.109262773825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1976.4</v>
      </c>
      <c r="E28" s="29">
        <f t="shared" si="7"/>
        <v>0.13205139340812061</v>
      </c>
      <c r="F28" s="28">
        <f t="shared" si="8"/>
        <v>31.684839406360666</v>
      </c>
      <c r="G28" s="27" t="str">
        <f t="shared" si="9"/>
        <v>+</v>
      </c>
      <c r="H28" s="26">
        <f t="shared" si="10"/>
        <v>62256.600000000006</v>
      </c>
      <c r="I28" s="26">
        <f t="shared" si="11"/>
        <v>62621.916602731224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v>1552.5</v>
      </c>
      <c r="E29" s="29">
        <f t="shared" si="7"/>
        <v>0.1037288950951767</v>
      </c>
      <c r="F29" s="28">
        <f t="shared" si="8"/>
        <v>30.678971488698423</v>
      </c>
      <c r="G29" s="27" t="str">
        <f t="shared" si="9"/>
        <v>+</v>
      </c>
      <c r="H29" s="26">
        <f t="shared" si="10"/>
        <v>47351.25</v>
      </c>
      <c r="I29" s="26">
        <f t="shared" si="11"/>
        <v>47629.103236204304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695.3</v>
      </c>
      <c r="E30" s="29">
        <f t="shared" si="7"/>
        <v>4.6455845899952566E-2</v>
      </c>
      <c r="F30" s="28">
        <f t="shared" si="8"/>
        <v>30.678971488698423</v>
      </c>
      <c r="G30" s="27" t="str">
        <f t="shared" si="9"/>
        <v>+</v>
      </c>
      <c r="H30" s="26">
        <f t="shared" si="10"/>
        <v>21206.649999999998</v>
      </c>
      <c r="I30" s="26">
        <f t="shared" si="11"/>
        <v>21331.088876092013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158.80000000000001</v>
      </c>
      <c r="E31" s="29">
        <f t="shared" si="7"/>
        <v>1.061007957559682E-2</v>
      </c>
      <c r="F31" s="28">
        <f t="shared" si="8"/>
        <v>31.181905447529545</v>
      </c>
      <c r="G31" s="27" t="str">
        <f t="shared" si="9"/>
        <v>+</v>
      </c>
      <c r="H31" s="26">
        <f t="shared" si="10"/>
        <v>4922.8</v>
      </c>
      <c r="I31" s="26">
        <f t="shared" si="11"/>
        <v>4951.6865850676922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32.182890319564855</v>
      </c>
      <c r="D32" s="22">
        <f>SUM(D26:D31)</f>
        <v>9412.7999999999993</v>
      </c>
      <c r="E32" s="21">
        <f t="shared" si="7"/>
        <v>0.62890778985628293</v>
      </c>
      <c r="F32" s="20">
        <f>I32/D32</f>
        <v>32.371736870093066</v>
      </c>
      <c r="G32" s="19">
        <f>F32/C32-1</f>
        <v>5.8679176622431495E-3</v>
      </c>
      <c r="H32" s="18">
        <f>SUM(H26:H31)</f>
        <v>302931.11000000004</v>
      </c>
      <c r="I32" s="18">
        <f>SUM(I26:I31)</f>
        <v>304708.684810812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18.600000000000001</v>
      </c>
      <c r="D34" s="30">
        <v>2084.6</v>
      </c>
      <c r="E34" s="29">
        <f t="shared" ref="E34:E40" si="13">D34/$D$48</f>
        <v>0.13928067936580055</v>
      </c>
      <c r="F34" s="28">
        <f t="shared" ref="F34:F39" si="14">C34-(C34*$E$6)</f>
        <v>18.709143268517728</v>
      </c>
      <c r="G34" s="27" t="str">
        <f t="shared" ref="G34:G39" si="15">IF(C34&gt;=F34,"-","+")</f>
        <v>+</v>
      </c>
      <c r="H34" s="26">
        <f t="shared" ref="H34:H39" si="16">C34*D34</f>
        <v>38773.56</v>
      </c>
      <c r="I34" s="26">
        <f t="shared" ref="I34:I39" si="17">F34*D34</f>
        <v>39001.080057552055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63.2</v>
      </c>
      <c r="E35" s="29">
        <f t="shared" si="13"/>
        <v>4.2226513172400441E-3</v>
      </c>
      <c r="F35" s="28">
        <f t="shared" si="14"/>
        <v>14.383911222570081</v>
      </c>
      <c r="G35" s="27" t="str">
        <f t="shared" si="15"/>
        <v>+</v>
      </c>
      <c r="H35" s="26">
        <f t="shared" si="16"/>
        <v>903.7600000000001</v>
      </c>
      <c r="I35" s="26">
        <f t="shared" si="17"/>
        <v>909.06318926642916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11.567481053115799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30.678971488698423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30.678971488698423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31.684839406360666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18.473470527982123</v>
      </c>
      <c r="D40" s="22">
        <f>SUM(D34:D39)</f>
        <v>2147.7999999999997</v>
      </c>
      <c r="E40" s="113">
        <f t="shared" si="13"/>
        <v>0.14350333068304058</v>
      </c>
      <c r="F40" s="20">
        <f>I40/D40</f>
        <v>18.581871331976206</v>
      </c>
      <c r="G40" s="19">
        <f>F40/C40-1</f>
        <v>5.8679176622435936E-3</v>
      </c>
      <c r="H40" s="18">
        <f>SUM(H34:H39)</f>
        <v>39677.32</v>
      </c>
      <c r="I40" s="18">
        <f>SUM(I34:I39)</f>
        <v>39910.143246818487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2355</v>
      </c>
      <c r="E42" s="107">
        <f>D42/$D$48</f>
        <v>0.15734721284968833</v>
      </c>
      <c r="F42" s="28">
        <f>C42-(C42*$E$6)</f>
        <v>0.40234716706489737</v>
      </c>
      <c r="G42" s="27" t="str">
        <f>IF(C42&gt;=F42,"-","+")</f>
        <v>+</v>
      </c>
      <c r="H42" s="26">
        <f>C42*D42</f>
        <v>942</v>
      </c>
      <c r="I42" s="26">
        <f>F42*D42</f>
        <v>947.52757843783331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74.099999999999994</v>
      </c>
      <c r="E43" s="107">
        <f>D43/$D$48</f>
        <v>4.9509250412577092E-3</v>
      </c>
      <c r="F43" s="28">
        <f>C43-(C43*$E$6)</f>
        <v>0.40234716706489737</v>
      </c>
      <c r="G43" s="27" t="str">
        <f>IF(C43&gt;=F43,"-","+")</f>
        <v>+</v>
      </c>
      <c r="H43" s="26">
        <f>C43*D43</f>
        <v>29.64</v>
      </c>
      <c r="I43" s="26">
        <f>F43*D43</f>
        <v>29.813925079508891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59.3</v>
      </c>
      <c r="E44" s="107">
        <f>D44/$D$48</f>
        <v>3.9620763150685851E-3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4.9000000000000004</v>
      </c>
      <c r="E45" s="107">
        <f>D45/$D$48</f>
        <v>3.2738910529234519E-4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0.38970039706413184</v>
      </c>
      <c r="D46" s="22">
        <f>SUM(D41:D45)</f>
        <v>2493.3000000000002</v>
      </c>
      <c r="E46" s="113">
        <f>D46/$D$48</f>
        <v>0.16658760331130698</v>
      </c>
      <c r="F46" s="20">
        <f>I46/D46</f>
        <v>0.39198712690704773</v>
      </c>
      <c r="G46" s="19">
        <f>F46/C46-1</f>
        <v>5.8679176622433715E-3</v>
      </c>
      <c r="H46" s="18">
        <f>SUM(H41:H44)</f>
        <v>971.64</v>
      </c>
      <c r="I46" s="18">
        <f>SUM(I41:I44)</f>
        <v>977.34150351734218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97.130803851401907</v>
      </c>
      <c r="D48" s="13">
        <f>D24+D32+D40+D46</f>
        <v>14966.899999999998</v>
      </c>
      <c r="E48" s="12">
        <f>SUM(E20:E46)/2</f>
        <v>1.0000000000000002</v>
      </c>
      <c r="F48" s="11">
        <f>I48/D48</f>
        <v>25.918422276350903</v>
      </c>
      <c r="G48" s="10"/>
      <c r="H48" s="9">
        <f>SUM(H20:H46)/2</f>
        <v>385655.44</v>
      </c>
      <c r="I48" s="9">
        <f>SUM(I20:I46)/2</f>
        <v>387918.43436791626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23110.7</v>
      </c>
      <c r="E50" s="12">
        <f>D50/G2</f>
        <v>1</v>
      </c>
      <c r="F50" s="11">
        <f>I50/D50</f>
        <v>26.375</v>
      </c>
      <c r="G50" s="10"/>
      <c r="H50" s="9">
        <f>H48+H19</f>
        <v>605988.82000000007</v>
      </c>
      <c r="I50" s="9">
        <f>I48+I19</f>
        <v>609544.71250000002</v>
      </c>
      <c r="J50" s="106">
        <f>D50-G2</f>
        <v>0</v>
      </c>
      <c r="K50" s="8"/>
    </row>
    <row r="51" spans="1:11" ht="23.25" x14ac:dyDescent="0.35">
      <c r="A51" s="174" t="s">
        <v>311</v>
      </c>
      <c r="B51" s="169"/>
      <c r="C51" s="170"/>
      <c r="G51" s="7"/>
      <c r="H51" s="6"/>
      <c r="I51" s="6">
        <f>+I50/D50</f>
        <v>26.375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309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309</v>
      </c>
      <c r="D2" s="96" t="s">
        <v>3</v>
      </c>
      <c r="E2" s="95" t="s">
        <v>71</v>
      </c>
      <c r="F2" s="94" t="s">
        <v>5</v>
      </c>
      <c r="G2" s="93">
        <v>16395.7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224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73.195089285714289</v>
      </c>
      <c r="F4" s="81" t="s">
        <v>12</v>
      </c>
      <c r="G4" s="80">
        <f>G2*G3</f>
        <v>441044.33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-5.1448901769655109E-3</v>
      </c>
      <c r="F6" s="69" t="s">
        <v>16</v>
      </c>
      <c r="G6" s="68">
        <f>(I50-I19)/(D50-(SUM(D42:D44)+D19))</f>
        <v>31.115961084541439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>
        <f t="shared" ref="E10:E19" si="1">D10/$D$19</f>
        <v>0</v>
      </c>
      <c r="F10" s="28">
        <f t="shared" ref="F10:F18" si="2">C10-(C10*$E$6)</f>
        <v>27.038397545760372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>
        <v>956.6</v>
      </c>
      <c r="E11" s="29">
        <f t="shared" si="1"/>
        <v>0.21883149563069043</v>
      </c>
      <c r="F11" s="28">
        <f t="shared" si="2"/>
        <v>28.144056924955034</v>
      </c>
      <c r="G11" s="27" t="str">
        <f t="shared" si="3"/>
        <v>+</v>
      </c>
      <c r="H11" s="34">
        <f t="shared" si="4"/>
        <v>26784.799999999999</v>
      </c>
      <c r="I11" s="34">
        <f t="shared" si="5"/>
        <v>26922.604854411988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>
        <v>2454.6</v>
      </c>
      <c r="E12" s="29">
        <f t="shared" si="1"/>
        <v>0.5615134739442742</v>
      </c>
      <c r="F12" s="28">
        <f t="shared" si="2"/>
        <v>25.731709188530317</v>
      </c>
      <c r="G12" s="27" t="str">
        <f t="shared" si="3"/>
        <v>+</v>
      </c>
      <c r="H12" s="34">
        <f t="shared" si="4"/>
        <v>62837.760000000002</v>
      </c>
      <c r="I12" s="34">
        <f t="shared" si="5"/>
        <v>63161.053374166513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>
        <f t="shared" si="1"/>
        <v>0</v>
      </c>
      <c r="F13" s="28">
        <f t="shared" si="2"/>
        <v>28.144056924955034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/>
      <c r="E14" s="29">
        <f t="shared" si="1"/>
        <v>0</v>
      </c>
      <c r="F14" s="28">
        <f t="shared" si="2"/>
        <v>31.461035062539022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/>
      <c r="E15" s="29">
        <f t="shared" si="1"/>
        <v>0</v>
      </c>
      <c r="F15" s="28">
        <f t="shared" si="2"/>
        <v>25.932738166565709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>
        <v>960.2</v>
      </c>
      <c r="E16" s="29">
        <f t="shared" si="1"/>
        <v>0.21965503042503548</v>
      </c>
      <c r="F16" s="28">
        <f t="shared" si="2"/>
        <v>35.582129112264575</v>
      </c>
      <c r="G16" s="27" t="str">
        <f t="shared" si="3"/>
        <v>+</v>
      </c>
      <c r="H16" s="34">
        <f t="shared" si="4"/>
        <v>33991.08</v>
      </c>
      <c r="I16" s="34">
        <f t="shared" si="5"/>
        <v>34165.960373596448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>
        <f t="shared" si="1"/>
        <v>0</v>
      </c>
      <c r="F17" s="28">
        <f t="shared" si="2"/>
        <v>52.267534289202203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>
        <f t="shared" si="1"/>
        <v>0</v>
      </c>
      <c r="F18" s="28">
        <f t="shared" si="2"/>
        <v>45.834606992069631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28.277814887679007</v>
      </c>
      <c r="D19" s="49">
        <f>SUM(D10:D18)</f>
        <v>4371.3999999999996</v>
      </c>
      <c r="E19" s="48">
        <f t="shared" si="1"/>
        <v>1</v>
      </c>
      <c r="F19" s="47">
        <f>I19/D19</f>
        <v>28.423301139720675</v>
      </c>
      <c r="G19" s="46">
        <f>F19/C19-1</f>
        <v>5.1448901769655109E-3</v>
      </c>
      <c r="H19" s="9">
        <f>SUM(H10:H18)</f>
        <v>123613.64</v>
      </c>
      <c r="I19" s="9">
        <f>SUM(I10:I18)</f>
        <v>124249.61860217495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1.2</v>
      </c>
      <c r="E21" s="29">
        <f>D21/$D$48</f>
        <v>9.9797909233801551E-5</v>
      </c>
      <c r="F21" s="28">
        <f>C21-(C21*$E$6)</f>
        <v>68.048309064980572</v>
      </c>
      <c r="G21" s="27" t="str">
        <f>IF(C21&gt;=F21,"-","+")</f>
        <v>+</v>
      </c>
      <c r="H21" s="26">
        <f>C21*D21</f>
        <v>81.239999999999995</v>
      </c>
      <c r="I21" s="26">
        <f>F21*D21</f>
        <v>81.65797087797668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372.5</v>
      </c>
      <c r="E22" s="29">
        <f>D22/$D$48</f>
        <v>3.0978934324659233E-2</v>
      </c>
      <c r="F22" s="28">
        <f>C22-(C22*$E$6)</f>
        <v>45.633578014034235</v>
      </c>
      <c r="G22" s="27" t="str">
        <f>IF(C22&gt;=F22,"-","+")</f>
        <v>+</v>
      </c>
      <c r="H22" s="26">
        <f>C22*D22</f>
        <v>16911.5</v>
      </c>
      <c r="I22" s="26">
        <f>F22*D22</f>
        <v>16998.507810227751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3.2</v>
      </c>
      <c r="E23" s="29">
        <f>D23/$D$48</f>
        <v>2.6612775795680415E-4</v>
      </c>
      <c r="F23" s="28">
        <f>C23-(C23*$E$6)</f>
        <v>41.612998453326369</v>
      </c>
      <c r="G23" s="27" t="str">
        <f>IF(C23&gt;=F23,"-","+")</f>
        <v>+</v>
      </c>
      <c r="H23" s="26">
        <f>C23*D23</f>
        <v>132.47999999999999</v>
      </c>
      <c r="I23" s="26">
        <f>F23*D23</f>
        <v>133.16159505064439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45.437039002387905</v>
      </c>
      <c r="D24" s="22">
        <f>SUM(D21:D23)</f>
        <v>376.9</v>
      </c>
      <c r="E24" s="21">
        <f>D24/$D$48</f>
        <v>3.1344859991849834E-2</v>
      </c>
      <c r="F24" s="20">
        <f>I24/D24</f>
        <v>45.670807578021687</v>
      </c>
      <c r="G24" s="19">
        <f>F24/C24-1</f>
        <v>5.1448901769655109E-3</v>
      </c>
      <c r="H24" s="18">
        <f>SUM(H21:H23)</f>
        <v>17125.22</v>
      </c>
      <c r="I24" s="18">
        <f>SUM(I21:I23)</f>
        <v>17213.327376156372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f>295.4+208+1905.5</f>
        <v>2408.9</v>
      </c>
      <c r="E26" s="29">
        <f t="shared" ref="E26:E32" si="7">D26/$D$48</f>
        <v>0.20033598629442048</v>
      </c>
      <c r="F26" s="28">
        <f t="shared" ref="F26:F31" si="8">C26-(C26*$E$6)</f>
        <v>36.28573053538846</v>
      </c>
      <c r="G26" s="27" t="str">
        <f t="shared" ref="G26:G31" si="9">IF(C26&gt;=F26,"-","+")</f>
        <v>+</v>
      </c>
      <c r="H26" s="26">
        <f t="shared" ref="H26:H31" si="10">C26*D26</f>
        <v>86961.290000000008</v>
      </c>
      <c r="I26" s="26">
        <f t="shared" ref="I26:I31" si="11">F26*D26</f>
        <v>87408.696286697261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1951.6</v>
      </c>
      <c r="E27" s="29">
        <f t="shared" si="7"/>
        <v>0.16230466638390592</v>
      </c>
      <c r="F27" s="28">
        <f t="shared" si="8"/>
        <v>32.265150974680594</v>
      </c>
      <c r="G27" s="27" t="str">
        <f t="shared" si="9"/>
        <v>+</v>
      </c>
      <c r="H27" s="26">
        <f t="shared" si="10"/>
        <v>62646.36</v>
      </c>
      <c r="I27" s="26">
        <f t="shared" si="11"/>
        <v>62968.668642186647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1019.5</v>
      </c>
      <c r="E28" s="29">
        <f t="shared" si="7"/>
        <v>8.478664038655058E-2</v>
      </c>
      <c r="F28" s="28">
        <f t="shared" si="8"/>
        <v>32.265150974680594</v>
      </c>
      <c r="G28" s="27" t="str">
        <f t="shared" si="9"/>
        <v>+</v>
      </c>
      <c r="H28" s="26">
        <f t="shared" si="10"/>
        <v>32725.95</v>
      </c>
      <c r="I28" s="26">
        <f t="shared" si="11"/>
        <v>32894.321418686864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1214.5</v>
      </c>
      <c r="E29" s="29">
        <f t="shared" si="7"/>
        <v>0.10100380063704333</v>
      </c>
      <c r="F29" s="28">
        <f t="shared" si="8"/>
        <v>31.26000608450363</v>
      </c>
      <c r="G29" s="27" t="str">
        <f t="shared" si="9"/>
        <v>+</v>
      </c>
      <c r="H29" s="26">
        <f t="shared" si="10"/>
        <v>37770.950000000004</v>
      </c>
      <c r="I29" s="26">
        <f t="shared" si="11"/>
        <v>37965.277389629657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1157.0999999999999</v>
      </c>
      <c r="E30" s="29">
        <f t="shared" si="7"/>
        <v>9.623013397869315E-2</v>
      </c>
      <c r="F30" s="28">
        <f t="shared" si="8"/>
        <v>31.26000608450363</v>
      </c>
      <c r="G30" s="27" t="str">
        <f t="shared" si="9"/>
        <v>+</v>
      </c>
      <c r="H30" s="26">
        <f t="shared" si="10"/>
        <v>35985.81</v>
      </c>
      <c r="I30" s="26">
        <f t="shared" si="11"/>
        <v>36170.95304037915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183.2</v>
      </c>
      <c r="E31" s="29">
        <f t="shared" si="7"/>
        <v>1.5235814143027037E-2</v>
      </c>
      <c r="F31" s="28">
        <f t="shared" si="8"/>
        <v>31.762578529592112</v>
      </c>
      <c r="G31" s="27" t="str">
        <f t="shared" si="9"/>
        <v>+</v>
      </c>
      <c r="H31" s="26">
        <f t="shared" si="10"/>
        <v>5789.12</v>
      </c>
      <c r="I31" s="26">
        <f t="shared" si="11"/>
        <v>5818.9043866212742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33.003916922921817</v>
      </c>
      <c r="D32" s="22">
        <f>SUM(D26:D31)</f>
        <v>7934.8</v>
      </c>
      <c r="E32" s="21">
        <f t="shared" si="7"/>
        <v>0.65989704182364051</v>
      </c>
      <c r="F32" s="20">
        <f>I32/D32</f>
        <v>33.173718450899941</v>
      </c>
      <c r="G32" s="19">
        <f>F32/C32-1</f>
        <v>5.1448901769655109E-3</v>
      </c>
      <c r="H32" s="18">
        <f>SUM(H26:H31)</f>
        <v>261879.48000000004</v>
      </c>
      <c r="I32" s="18">
        <f>SUM(I26:I31)</f>
        <v>263226.82116420084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1864.8</v>
      </c>
      <c r="E34" s="29">
        <f t="shared" ref="E34:E40" si="13">D34/$D$48</f>
        <v>0.15508595094932762</v>
      </c>
      <c r="F34" s="28">
        <f t="shared" ref="F34:F39" si="14">C34-(C34*$E$6)</f>
        <v>19.097752913362346</v>
      </c>
      <c r="G34" s="27" t="str">
        <f t="shared" ref="G34:G39" si="15">IF(C34&gt;=F34,"-","+")</f>
        <v>+</v>
      </c>
      <c r="H34" s="26">
        <f t="shared" ref="H34:H39" si="16">C34*D34</f>
        <v>35431.199999999997</v>
      </c>
      <c r="I34" s="26">
        <f t="shared" ref="I34:I39" si="17">F34*D34</f>
        <v>35613.4896328381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14.675115396583696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11.760195215070496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31.26000608450363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31.26000608450363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32.265150974680594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</v>
      </c>
      <c r="D40" s="22">
        <f>SUM(D34:D39)</f>
        <v>1864.8</v>
      </c>
      <c r="E40" s="113">
        <f t="shared" si="13"/>
        <v>0.15508595094932762</v>
      </c>
      <c r="F40" s="20">
        <f>I40/D40</f>
        <v>19.097752913362346</v>
      </c>
      <c r="G40" s="19">
        <f>F40/C40-1</f>
        <v>5.1448901769655109E-3</v>
      </c>
      <c r="H40" s="18">
        <f>SUM(H34:H39)</f>
        <v>35431.199999999997</v>
      </c>
      <c r="I40" s="18">
        <f>SUM(I34:I39)</f>
        <v>35613.4896328381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1800</v>
      </c>
      <c r="E42" s="107">
        <f>D42/$D$48</f>
        <v>0.14969686385070233</v>
      </c>
      <c r="F42" s="28">
        <f>C42-(C42*$E$6)</f>
        <v>0.4020579560707862</v>
      </c>
      <c r="G42" s="27" t="str">
        <f>IF(C42&gt;=F42,"-","+")</f>
        <v>+</v>
      </c>
      <c r="H42" s="26">
        <f>C42*D42</f>
        <v>720</v>
      </c>
      <c r="I42" s="26">
        <f>F42*D42</f>
        <v>723.70432092741521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43.2</v>
      </c>
      <c r="E43" s="107">
        <f>D43/$D$48</f>
        <v>3.5927247324168562E-3</v>
      </c>
      <c r="F43" s="28">
        <f>C43-(C43*$E$6)</f>
        <v>0.4020579560707862</v>
      </c>
      <c r="G43" s="27" t="str">
        <f>IF(C43&gt;=F43,"-","+")</f>
        <v>+</v>
      </c>
      <c r="H43" s="26">
        <f>C43*D43</f>
        <v>17.28</v>
      </c>
      <c r="I43" s="26">
        <f>F43*D43</f>
        <v>17.368903702257967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4.5999999999999996</v>
      </c>
      <c r="E45" s="107">
        <f>D45/$D$48</f>
        <v>3.8255865206290597E-4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0.39900422123606449</v>
      </c>
      <c r="D46" s="22">
        <f>SUM(D41:D45)</f>
        <v>1847.8</v>
      </c>
      <c r="E46" s="113">
        <f>D46/$D$48</f>
        <v>0.1536721472351821</v>
      </c>
      <c r="F46" s="20">
        <f>I46/D46</f>
        <v>0.40105705413446974</v>
      </c>
      <c r="G46" s="19">
        <f>F46/C46-1</f>
        <v>5.1448901769655109E-3</v>
      </c>
      <c r="H46" s="18">
        <f>SUM(H41:H44)</f>
        <v>737.28</v>
      </c>
      <c r="I46" s="18">
        <f>SUM(I41:I44)</f>
        <v>741.07322462967318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97.839960146545792</v>
      </c>
      <c r="D48" s="13">
        <f>D24+D32+D40+D46</f>
        <v>12024.3</v>
      </c>
      <c r="E48" s="12">
        <f>SUM(E20:E46)/2</f>
        <v>1</v>
      </c>
      <c r="F48" s="11">
        <f>I48/D48</f>
        <v>26.346208211523741</v>
      </c>
      <c r="G48" s="10"/>
      <c r="H48" s="9">
        <f>SUM(H20:H46)/2</f>
        <v>315173.18000000005</v>
      </c>
      <c r="I48" s="9">
        <f>SUM(I20:I46)/2</f>
        <v>316794.71139782493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16395.7</v>
      </c>
      <c r="E50" s="12">
        <f>D50/G2</f>
        <v>1</v>
      </c>
      <c r="F50" s="11">
        <f>I50/D50</f>
        <v>26.899999999999988</v>
      </c>
      <c r="G50" s="10"/>
      <c r="H50" s="9">
        <f>H48+H19</f>
        <v>438786.82000000007</v>
      </c>
      <c r="I50" s="9">
        <f>I48+I19</f>
        <v>441044.32999999984</v>
      </c>
      <c r="J50" s="106">
        <f>D50-G2</f>
        <v>0</v>
      </c>
      <c r="K50" s="8"/>
    </row>
    <row r="51" spans="1:11" ht="23.25" x14ac:dyDescent="0.35">
      <c r="A51" s="174" t="s">
        <v>312</v>
      </c>
      <c r="B51" s="169"/>
      <c r="C51" s="170"/>
      <c r="G51" s="7"/>
      <c r="H51" s="6"/>
      <c r="I51" s="6">
        <f>+I50/D50</f>
        <v>26.899999999999988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313</v>
      </c>
      <c r="D1" s="100" t="s">
        <v>1</v>
      </c>
      <c r="E1" s="168" t="s">
        <v>314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313</v>
      </c>
      <c r="D2" s="96" t="s">
        <v>3</v>
      </c>
      <c r="E2" s="95" t="s">
        <v>71</v>
      </c>
      <c r="F2" s="94" t="s">
        <v>5</v>
      </c>
      <c r="G2" s="93">
        <v>22663.7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328</v>
      </c>
      <c r="F3" s="88" t="s">
        <v>8</v>
      </c>
      <c r="G3" s="87">
        <v>26.8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69.096646341463412</v>
      </c>
      <c r="F4" s="81" t="s">
        <v>12</v>
      </c>
      <c r="G4" s="80">
        <f>G2*G3</f>
        <v>607387.16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-3.7321743274997932E-2</v>
      </c>
      <c r="F6" s="69" t="s">
        <v>16</v>
      </c>
      <c r="G6" s="68">
        <f>(I50-I19)/(D50-(SUM(D42:D44)+D19))</f>
        <v>32.602519914097449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27.800222719769945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27.9</v>
      </c>
      <c r="D11" s="30"/>
      <c r="E11" s="29">
        <f t="shared" si="1"/>
        <v>0</v>
      </c>
      <c r="F11" s="28">
        <f t="shared" si="2"/>
        <v>28.941276637372439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25.5</v>
      </c>
      <c r="D12" s="30"/>
      <c r="E12" s="29">
        <f t="shared" si="1"/>
        <v>0</v>
      </c>
      <c r="F12" s="28">
        <f t="shared" si="2"/>
        <v>26.451704453512448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28.941276637372439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31.2</v>
      </c>
      <c r="D14" s="30"/>
      <c r="E14" s="29">
        <f t="shared" si="1"/>
        <v>0</v>
      </c>
      <c r="F14" s="28">
        <f t="shared" si="2"/>
        <v>32.364438390179934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25.7</v>
      </c>
      <c r="D15" s="30">
        <v>108</v>
      </c>
      <c r="E15" s="29">
        <f t="shared" si="1"/>
        <v>0.93103448275862066</v>
      </c>
      <c r="F15" s="28">
        <f t="shared" si="2"/>
        <v>26.659168802167446</v>
      </c>
      <c r="G15" s="27" t="str">
        <f t="shared" si="3"/>
        <v>+</v>
      </c>
      <c r="H15" s="34">
        <f t="shared" si="4"/>
        <v>2775.6</v>
      </c>
      <c r="I15" s="34">
        <f t="shared" si="5"/>
        <v>2879.1902306340844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>
        <f t="shared" si="1"/>
        <v>0</v>
      </c>
      <c r="F16" s="28">
        <f t="shared" si="2"/>
        <v>36.513725363279931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/>
      <c r="E17" s="29">
        <f t="shared" si="1"/>
        <v>0</v>
      </c>
      <c r="F17" s="28">
        <f t="shared" si="2"/>
        <v>53.733266301644889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>
        <v>8</v>
      </c>
      <c r="E18" s="29">
        <f t="shared" si="1"/>
        <v>6.8965517241379309E-2</v>
      </c>
      <c r="F18" s="28">
        <f t="shared" si="2"/>
        <v>47.094407144684908</v>
      </c>
      <c r="G18" s="27" t="str">
        <f t="shared" si="3"/>
        <v>+</v>
      </c>
      <c r="H18" s="34">
        <f t="shared" si="4"/>
        <v>363.2</v>
      </c>
      <c r="I18" s="34">
        <f t="shared" si="5"/>
        <v>376.75525715747926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27.058620689655172</v>
      </c>
      <c r="D19" s="49">
        <f>SUM(D10:D18)</f>
        <v>116</v>
      </c>
      <c r="E19" s="48">
        <f t="shared" si="1"/>
        <v>1</v>
      </c>
      <c r="F19" s="47">
        <f>I19/D19</f>
        <v>28.06849558441003</v>
      </c>
      <c r="G19" s="46">
        <f>F19/C19-1</f>
        <v>3.7321743274997932E-2</v>
      </c>
      <c r="H19" s="9">
        <f>SUM(H10:H18)</f>
        <v>3138.7999999999997</v>
      </c>
      <c r="I19" s="9">
        <f>SUM(I10:I18)</f>
        <v>3255.9454877915637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>
        <v>257.39999999999998</v>
      </c>
      <c r="E21" s="29">
        <f>D21/$D$48</f>
        <v>1.141579850716481E-2</v>
      </c>
      <c r="F21" s="28">
        <f>C21-(C21*$E$6)</f>
        <v>69.91548549673486</v>
      </c>
      <c r="G21" s="27" t="str">
        <f>IF(C21&gt;=F21,"-","+")</f>
        <v>+</v>
      </c>
      <c r="H21" s="26">
        <f>C21*D21</f>
        <v>17348.759999999998</v>
      </c>
      <c r="I21" s="26">
        <f>F21*D21</f>
        <v>17996.245966859551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633.6</v>
      </c>
      <c r="E22" s="29">
        <f>D22/$D$48</f>
        <v>2.8100427094559535E-2</v>
      </c>
      <c r="F22" s="28">
        <f>C22-(C22*$E$6)</f>
        <v>46.990674970357404</v>
      </c>
      <c r="G22" s="27" t="str">
        <f>IF(C22&gt;=F22,"-","+")</f>
        <v>+</v>
      </c>
      <c r="H22" s="26">
        <f>C22*D22</f>
        <v>28702.079999999998</v>
      </c>
      <c r="I22" s="26">
        <f>F22*D22</f>
        <v>29773.291661218453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533.4</v>
      </c>
      <c r="E23" s="29">
        <f>D23/$D$48</f>
        <v>2.3656514855173696E-2</v>
      </c>
      <c r="F23" s="28">
        <f>C23-(C23*$E$6)</f>
        <v>42.841387997257414</v>
      </c>
      <c r="G23" s="27" t="str">
        <f>IF(C23&gt;=F23,"-","+")</f>
        <v>+</v>
      </c>
      <c r="H23" s="26">
        <f>C23*D23</f>
        <v>22029.42</v>
      </c>
      <c r="I23" s="26">
        <f>F23*D23</f>
        <v>22851.596357737104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47.795745577085079</v>
      </c>
      <c r="D24" s="22">
        <f>SUM(D21:D23)</f>
        <v>1424.4</v>
      </c>
      <c r="E24" s="21">
        <f>D24/$D$48</f>
        <v>6.3172740456898038E-2</v>
      </c>
      <c r="F24" s="20">
        <f>I24/D24</f>
        <v>49.579566123150165</v>
      </c>
      <c r="G24" s="19">
        <f>F24/C24-1</f>
        <v>3.7321743274997932E-2</v>
      </c>
      <c r="H24" s="18">
        <f>SUM(H21:H23)</f>
        <v>68080.259999999995</v>
      </c>
      <c r="I24" s="18">
        <f>SUM(I21:I23)</f>
        <v>70621.133985815104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v>4145.3</v>
      </c>
      <c r="E26" s="29">
        <f t="shared" ref="E26:E32" si="7">D26/$D$48</f>
        <v>0.18384580245435234</v>
      </c>
      <c r="F26" s="28">
        <f t="shared" ref="F26:F31" si="8">C26-(C26*$E$6)</f>
        <v>37.343582757899924</v>
      </c>
      <c r="G26" s="27" t="str">
        <f t="shared" ref="G26:G31" si="9">IF(C26&gt;=F26,"-","+")</f>
        <v>+</v>
      </c>
      <c r="H26" s="26">
        <f t="shared" ref="H26:H31" si="10">C26*D26</f>
        <v>149230.80000000002</v>
      </c>
      <c r="I26" s="26">
        <f t="shared" ref="I26:I31" si="11">F26*D26</f>
        <v>154800.35360632255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3225.4</v>
      </c>
      <c r="E27" s="29">
        <f t="shared" si="7"/>
        <v>0.1430478496698111</v>
      </c>
      <c r="F27" s="28">
        <f t="shared" si="8"/>
        <v>33.194295784799934</v>
      </c>
      <c r="G27" s="27" t="str">
        <f t="shared" si="9"/>
        <v>+</v>
      </c>
      <c r="H27" s="26">
        <f t="shared" si="10"/>
        <v>103212.8</v>
      </c>
      <c r="I27" s="26">
        <f t="shared" si="11"/>
        <v>107064.8816242937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2186.4</v>
      </c>
      <c r="E28" s="29">
        <f t="shared" si="7"/>
        <v>9.6967761678574751E-2</v>
      </c>
      <c r="F28" s="28">
        <f t="shared" si="8"/>
        <v>33.194295784799934</v>
      </c>
      <c r="G28" s="27" t="str">
        <f t="shared" si="9"/>
        <v>+</v>
      </c>
      <c r="H28" s="26">
        <f t="shared" si="10"/>
        <v>69964.800000000003</v>
      </c>
      <c r="I28" s="26">
        <f t="shared" si="11"/>
        <v>72576.008303886585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1943</v>
      </c>
      <c r="E29" s="29">
        <f t="shared" si="7"/>
        <v>8.6172869073120537E-2</v>
      </c>
      <c r="F29" s="28">
        <f t="shared" si="8"/>
        <v>32.156974041524933</v>
      </c>
      <c r="G29" s="27" t="str">
        <f t="shared" si="9"/>
        <v>+</v>
      </c>
      <c r="H29" s="26">
        <f t="shared" si="10"/>
        <v>60233</v>
      </c>
      <c r="I29" s="26">
        <f t="shared" si="11"/>
        <v>62481.000562682944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1663.8</v>
      </c>
      <c r="E30" s="29">
        <f t="shared" si="7"/>
        <v>7.3790231376149221E-2</v>
      </c>
      <c r="F30" s="28">
        <f t="shared" si="8"/>
        <v>32.156974041524933</v>
      </c>
      <c r="G30" s="27" t="str">
        <f t="shared" si="9"/>
        <v>+</v>
      </c>
      <c r="H30" s="26">
        <f t="shared" si="10"/>
        <v>51577.799999999996</v>
      </c>
      <c r="I30" s="26">
        <f t="shared" si="11"/>
        <v>53502.773410289185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406</v>
      </c>
      <c r="E31" s="29">
        <f t="shared" si="7"/>
        <v>1.8006271149607275E-2</v>
      </c>
      <c r="F31" s="28">
        <f t="shared" si="8"/>
        <v>32.675634913162433</v>
      </c>
      <c r="G31" s="27" t="str">
        <f t="shared" si="9"/>
        <v>+</v>
      </c>
      <c r="H31" s="26">
        <f t="shared" si="10"/>
        <v>12789</v>
      </c>
      <c r="I31" s="26">
        <f t="shared" si="11"/>
        <v>13266.307774743947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32.941156530261829</v>
      </c>
      <c r="D32" s="22">
        <f>SUM(D26:D31)</f>
        <v>13569.9</v>
      </c>
      <c r="E32" s="21">
        <f t="shared" si="7"/>
        <v>0.60183078540161516</v>
      </c>
      <c r="F32" s="20">
        <f>I32/D32</f>
        <v>34.170577917465778</v>
      </c>
      <c r="G32" s="19">
        <f>F32/C32-1</f>
        <v>3.732174327499771E-2</v>
      </c>
      <c r="H32" s="18">
        <f>SUM(H26:H31)</f>
        <v>447008.2</v>
      </c>
      <c r="I32" s="18">
        <f>SUM(I26:I31)</f>
        <v>463691.32528221887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f>1190.2+2113.9</f>
        <v>3304.1000000000004</v>
      </c>
      <c r="E34" s="29">
        <f t="shared" ref="E34:E40" si="13">D34/$D$48</f>
        <v>0.14653822784585568</v>
      </c>
      <c r="F34" s="28">
        <f t="shared" ref="F34:F39" si="14">C34-(C34*$E$6)</f>
        <v>19.605380947897459</v>
      </c>
      <c r="G34" s="27" t="str">
        <f t="shared" ref="G34:G39" si="15">IF(C34&gt;=F34,"-","+")</f>
        <v>+</v>
      </c>
      <c r="H34" s="26">
        <f t="shared" ref="H34:H39" si="16">C34*D34</f>
        <v>62447.490000000005</v>
      </c>
      <c r="I34" s="26">
        <f t="shared" ref="I34:I39" si="17">F34*D34</f>
        <v>64778.139189948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>
        <v>223.5</v>
      </c>
      <c r="E35" s="29">
        <f t="shared" si="13"/>
        <v>9.9123192165941534E-3</v>
      </c>
      <c r="F35" s="28">
        <f t="shared" si="14"/>
        <v>15.14489745181497</v>
      </c>
      <c r="G35" s="27" t="str">
        <f t="shared" si="15"/>
        <v>+</v>
      </c>
      <c r="H35" s="26">
        <f t="shared" si="16"/>
        <v>3263.1</v>
      </c>
      <c r="I35" s="26">
        <f t="shared" si="17"/>
        <v>3384.8845804806456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12.136664396317475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32.156974041524933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32.156974041524933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33.194295784799934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18.627562648826398</v>
      </c>
      <c r="D40" s="22">
        <f>SUM(D34:D39)</f>
        <v>3527.6000000000004</v>
      </c>
      <c r="E40" s="113">
        <f t="shared" si="13"/>
        <v>0.15645054706244985</v>
      </c>
      <c r="F40" s="20">
        <f>I40/D40</f>
        <v>19.322775759844834</v>
      </c>
      <c r="G40" s="19">
        <f>F40/C40-1</f>
        <v>3.732174327499771E-2</v>
      </c>
      <c r="H40" s="18">
        <f>SUM(H34:H39)</f>
        <v>65710.590000000011</v>
      </c>
      <c r="I40" s="18">
        <f>SUM(I34:I39)</f>
        <v>68163.023770428641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252.6+356.4+1304.7+1937</f>
        <v>3850.7</v>
      </c>
      <c r="E42" s="107">
        <f>D42/$D$48</f>
        <v>0.17078016826549935</v>
      </c>
      <c r="F42" s="28">
        <f>C42-(C42*$E$6)</f>
        <v>0.41492869730999921</v>
      </c>
      <c r="G42" s="27" t="str">
        <f>IF(C42&gt;=F42,"-","+")</f>
        <v>+</v>
      </c>
      <c r="H42" s="26">
        <f>C42*D42</f>
        <v>1540.28</v>
      </c>
      <c r="I42" s="26">
        <f>F42*D42</f>
        <v>1597.7659347316139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139.69999999999999</v>
      </c>
      <c r="E43" s="107">
        <f>D43/$D$48</f>
        <v>6.1957538906407296E-3</v>
      </c>
      <c r="F43" s="28">
        <f>C43-(C43*$E$6)</f>
        <v>0.41492869730999921</v>
      </c>
      <c r="G43" s="27" t="str">
        <f>IF(C43&gt;=F43,"-","+")</f>
        <v>+</v>
      </c>
      <c r="H43" s="26">
        <f>C43*D43</f>
        <v>55.879999999999995</v>
      </c>
      <c r="I43" s="26">
        <f>F43*D43</f>
        <v>57.965539014206882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27.1</v>
      </c>
      <c r="E44" s="107">
        <f>D44/$D$48</f>
        <v>1.2018964240255105E-3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8.3000000000000007</v>
      </c>
      <c r="E45" s="107">
        <f>D45/$D$48</f>
        <v>3.6810849887128182E-4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0.3964826866709722</v>
      </c>
      <c r="D46" s="22">
        <f>SUM(D41:D45)</f>
        <v>4025.7999999999997</v>
      </c>
      <c r="E46" s="113">
        <f>D46/$D$48</f>
        <v>0.17854592707903688</v>
      </c>
      <c r="F46" s="20">
        <f>I46/D46</f>
        <v>0.41128011171588774</v>
      </c>
      <c r="G46" s="19">
        <f>F46/C46-1</f>
        <v>3.7321743274998154E-2</v>
      </c>
      <c r="H46" s="18">
        <f>SUM(H41:H44)</f>
        <v>1596.1599999999999</v>
      </c>
      <c r="I46" s="18">
        <f>SUM(I41:I44)</f>
        <v>1655.7314737458207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99.760947442844284</v>
      </c>
      <c r="D48" s="13">
        <f>D24+D32+D40+D46</f>
        <v>22547.7</v>
      </c>
      <c r="E48" s="12">
        <f>SUM(E20:E46)/2</f>
        <v>0.99999999999999989</v>
      </c>
      <c r="F48" s="11">
        <f>I48/D48</f>
        <v>26.793474035587153</v>
      </c>
      <c r="G48" s="10"/>
      <c r="H48" s="9">
        <f>SUM(H20:H46)/2</f>
        <v>582395.21</v>
      </c>
      <c r="I48" s="9">
        <f>SUM(I20:I46)/2</f>
        <v>604131.21451220848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22663.699999999997</v>
      </c>
      <c r="E50" s="12">
        <f>D50/G2</f>
        <v>0.99999999999999989</v>
      </c>
      <c r="F50" s="11">
        <f>I50/D50</f>
        <v>26.800000000000004</v>
      </c>
      <c r="G50" s="10"/>
      <c r="H50" s="9">
        <f>H48+H19</f>
        <v>585534.01</v>
      </c>
      <c r="I50" s="9">
        <f>I48+I19</f>
        <v>607387.16</v>
      </c>
      <c r="J50" s="106">
        <f>D50-G2</f>
        <v>0</v>
      </c>
      <c r="K50" s="8"/>
    </row>
    <row r="51" spans="1:11" ht="23.25" x14ac:dyDescent="0.35">
      <c r="A51" s="174" t="s">
        <v>315</v>
      </c>
      <c r="B51" s="169"/>
      <c r="C51" s="170"/>
      <c r="G51" s="7"/>
      <c r="H51" s="6"/>
      <c r="I51" s="6">
        <f>+I50/D50</f>
        <v>26.800000000000004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316</v>
      </c>
      <c r="D1" s="100" t="s">
        <v>1</v>
      </c>
      <c r="E1" s="168" t="s">
        <v>314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316</v>
      </c>
      <c r="D2" s="96" t="s">
        <v>3</v>
      </c>
      <c r="E2" s="95" t="s">
        <v>71</v>
      </c>
      <c r="F2" s="94" t="s">
        <v>5</v>
      </c>
      <c r="G2" s="93">
        <v>13120.5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196</v>
      </c>
      <c r="F3" s="88" t="s">
        <v>8</v>
      </c>
      <c r="G3" s="87">
        <v>26.8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66.941326530612244</v>
      </c>
      <c r="F4" s="81" t="s">
        <v>12</v>
      </c>
      <c r="G4" s="80">
        <f>G2*G3</f>
        <v>351629.4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-1.4357204582203575E-2</v>
      </c>
      <c r="F6" s="69" t="s">
        <v>16</v>
      </c>
      <c r="G6" s="68">
        <f>(I50-I19)/(D50-(SUM(D42:D44)+D19))</f>
        <v>31.865209471766853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 t="e">
        <f t="shared" ref="E10:E19" si="1">D10/$D$19</f>
        <v>#DIV/0!</v>
      </c>
      <c r="F10" s="28">
        <f t="shared" ref="F10:F18" si="2">C10-(C10*$E$6)</f>
        <v>27.184773082803055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27.9</v>
      </c>
      <c r="D11" s="30"/>
      <c r="E11" s="29" t="e">
        <f t="shared" si="1"/>
        <v>#DIV/0!</v>
      </c>
      <c r="F11" s="28">
        <f t="shared" si="2"/>
        <v>28.300566007843479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25.5</v>
      </c>
      <c r="D12" s="30"/>
      <c r="E12" s="29" t="e">
        <f t="shared" si="1"/>
        <v>#DIV/0!</v>
      </c>
      <c r="F12" s="28">
        <f t="shared" si="2"/>
        <v>25.866108716846192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 t="e">
        <f t="shared" si="1"/>
        <v>#DIV/0!</v>
      </c>
      <c r="F13" s="28">
        <f t="shared" si="2"/>
        <v>28.300566007843479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31.2</v>
      </c>
      <c r="D14" s="30"/>
      <c r="E14" s="29" t="e">
        <f t="shared" si="1"/>
        <v>#DIV/0!</v>
      </c>
      <c r="F14" s="28">
        <f t="shared" si="2"/>
        <v>31.64794478296475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25.7</v>
      </c>
      <c r="D15" s="30"/>
      <c r="E15" s="29" t="e">
        <f t="shared" si="1"/>
        <v>#DIV/0!</v>
      </c>
      <c r="F15" s="28">
        <f t="shared" si="2"/>
        <v>26.068980157762631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 t="e">
        <f t="shared" si="1"/>
        <v>#DIV/0!</v>
      </c>
      <c r="F16" s="28">
        <f t="shared" si="2"/>
        <v>35.705373601293566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/>
      <c r="E17" s="29" t="e">
        <f t="shared" si="1"/>
        <v>#DIV/0!</v>
      </c>
      <c r="F17" s="28">
        <f t="shared" si="2"/>
        <v>52.543703197358141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/>
      <c r="E18" s="29" t="e">
        <f t="shared" si="1"/>
        <v>#DIV/0!</v>
      </c>
      <c r="F18" s="28">
        <f t="shared" si="2"/>
        <v>46.051817088032038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>
        <v>156.69999999999999</v>
      </c>
      <c r="E21" s="29">
        <f>D21/$D$48</f>
        <v>1.1943142410731298E-2</v>
      </c>
      <c r="F21" s="28">
        <f>C21-(C21*$E$6)</f>
        <v>68.367675588840527</v>
      </c>
      <c r="G21" s="27" t="str">
        <f>IF(C21&gt;=F21,"-","+")</f>
        <v>+</v>
      </c>
      <c r="H21" s="26">
        <f>C21*D21</f>
        <v>10561.58</v>
      </c>
      <c r="I21" s="26">
        <f>F21*D21</f>
        <v>10713.21476477131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385.7</v>
      </c>
      <c r="E22" s="29">
        <f>D22/$D$48</f>
        <v>2.9396745550855533E-2</v>
      </c>
      <c r="F22" s="28">
        <f>C22-(C22*$E$6)</f>
        <v>45.950381367573819</v>
      </c>
      <c r="G22" s="27" t="str">
        <f>IF(C22&gt;=F22,"-","+")</f>
        <v>+</v>
      </c>
      <c r="H22" s="26">
        <f>C22*D22</f>
        <v>17472.21</v>
      </c>
      <c r="I22" s="26">
        <f>F22*D22</f>
        <v>17723.062093473221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331.2</v>
      </c>
      <c r="E23" s="29">
        <f>D23/$D$48</f>
        <v>2.5242940436721165E-2</v>
      </c>
      <c r="F23" s="28">
        <f>C23-(C23*$E$6)</f>
        <v>41.892952549245003</v>
      </c>
      <c r="G23" s="27" t="str">
        <f>IF(C23&gt;=F23,"-","+")</f>
        <v>+</v>
      </c>
      <c r="H23" s="26">
        <f>C23*D23</f>
        <v>13678.56</v>
      </c>
      <c r="I23" s="26">
        <f>F23*D23</f>
        <v>13874.945884309944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47.747653388278394</v>
      </c>
      <c r="D24" s="22">
        <f>SUM(D21:D23)</f>
        <v>873.59999999999991</v>
      </c>
      <c r="E24" s="21">
        <f>D24/$D$48</f>
        <v>6.6582828398307994E-2</v>
      </c>
      <c r="F24" s="20">
        <f>I24/D24</f>
        <v>48.433176216294051</v>
      </c>
      <c r="G24" s="19">
        <f>F24/C24-1</f>
        <v>1.4357204582203575E-2</v>
      </c>
      <c r="H24" s="18">
        <f>SUM(H21:H23)</f>
        <v>41712.35</v>
      </c>
      <c r="I24" s="18">
        <f>SUM(I21:I23)</f>
        <v>42311.222742554477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v>2370.1</v>
      </c>
      <c r="E26" s="29">
        <f t="shared" ref="E26:E32" si="7">D26/$D$48</f>
        <v>0.18064098166990589</v>
      </c>
      <c r="F26" s="28">
        <f t="shared" ref="F26:F31" si="8">C26-(C26*$E$6)</f>
        <v>36.51685936495933</v>
      </c>
      <c r="G26" s="27" t="str">
        <f t="shared" ref="G26:G31" si="9">IF(C26&gt;=F26,"-","+")</f>
        <v>+</v>
      </c>
      <c r="H26" s="26">
        <f t="shared" ref="H26:H31" si="10">C26*D26</f>
        <v>85323.599999999991</v>
      </c>
      <c r="I26" s="26">
        <f t="shared" ref="I26:I31" si="11">F26*D26</f>
        <v>86548.608380890102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2047.6</v>
      </c>
      <c r="E27" s="29">
        <f t="shared" si="7"/>
        <v>0.15606112571929426</v>
      </c>
      <c r="F27" s="28">
        <f t="shared" si="8"/>
        <v>32.459430546630514</v>
      </c>
      <c r="G27" s="27" t="str">
        <f t="shared" si="9"/>
        <v>+</v>
      </c>
      <c r="H27" s="26">
        <f t="shared" si="10"/>
        <v>65523.199999999997</v>
      </c>
      <c r="I27" s="26">
        <f t="shared" si="11"/>
        <v>66463.929987280644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1368.1</v>
      </c>
      <c r="E28" s="29">
        <f t="shared" si="7"/>
        <v>0.10427194085591251</v>
      </c>
      <c r="F28" s="28">
        <f t="shared" si="8"/>
        <v>32.459430546630514</v>
      </c>
      <c r="G28" s="27" t="str">
        <f t="shared" si="9"/>
        <v>+</v>
      </c>
      <c r="H28" s="26">
        <f t="shared" si="10"/>
        <v>43779.199999999997</v>
      </c>
      <c r="I28" s="26">
        <f t="shared" si="11"/>
        <v>44407.746930845205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1036.5</v>
      </c>
      <c r="E29" s="29">
        <f t="shared" si="7"/>
        <v>7.899851377615183E-2</v>
      </c>
      <c r="F29" s="28">
        <f t="shared" si="8"/>
        <v>31.44507334204831</v>
      </c>
      <c r="G29" s="27" t="str">
        <f t="shared" si="9"/>
        <v>+</v>
      </c>
      <c r="H29" s="26">
        <f t="shared" si="10"/>
        <v>32131.5</v>
      </c>
      <c r="I29" s="26">
        <f t="shared" si="11"/>
        <v>32592.818519033073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831.4</v>
      </c>
      <c r="E30" s="29">
        <f t="shared" si="7"/>
        <v>6.3366487557638823E-2</v>
      </c>
      <c r="F30" s="28">
        <f t="shared" si="8"/>
        <v>31.44507334204831</v>
      </c>
      <c r="G30" s="27" t="str">
        <f t="shared" si="9"/>
        <v>+</v>
      </c>
      <c r="H30" s="26">
        <f t="shared" si="10"/>
        <v>25773.399999999998</v>
      </c>
      <c r="I30" s="26">
        <f t="shared" si="11"/>
        <v>26143.433976578963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344.9</v>
      </c>
      <c r="E31" s="29">
        <f t="shared" si="7"/>
        <v>2.6287107960824667E-2</v>
      </c>
      <c r="F31" s="28">
        <f t="shared" si="8"/>
        <v>31.952251944339412</v>
      </c>
      <c r="G31" s="27" t="str">
        <f t="shared" si="9"/>
        <v>+</v>
      </c>
      <c r="H31" s="26">
        <f t="shared" si="10"/>
        <v>10864.349999999999</v>
      </c>
      <c r="I31" s="26">
        <f t="shared" si="11"/>
        <v>11020.331695602663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32.930169029580185</v>
      </c>
      <c r="D32" s="22">
        <f>SUM(D26:D31)</f>
        <v>7998.5999999999985</v>
      </c>
      <c r="E32" s="21">
        <f t="shared" si="7"/>
        <v>0.60962615753972793</v>
      </c>
      <c r="F32" s="20">
        <f>I32/D32</f>
        <v>33.402954203264407</v>
      </c>
      <c r="G32" s="19">
        <f>F32/C32-1</f>
        <v>1.4357204582203353E-2</v>
      </c>
      <c r="H32" s="18">
        <f>SUM(H26:H31)</f>
        <v>263395.25</v>
      </c>
      <c r="I32" s="18">
        <f>SUM(I26:I31)</f>
        <v>267176.86949023063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2154</v>
      </c>
      <c r="E34" s="29">
        <f t="shared" ref="E34:E40" si="13">D34/$D$48</f>
        <v>0.16417057276780614</v>
      </c>
      <c r="F34" s="28">
        <f t="shared" ref="F34:F39" si="14">C34-(C34*$E$6)</f>
        <v>19.171351166603646</v>
      </c>
      <c r="G34" s="27" t="str">
        <f t="shared" ref="G34:G39" si="15">IF(C34&gt;=F34,"-","+")</f>
        <v>+</v>
      </c>
      <c r="H34" s="26">
        <f t="shared" ref="H34:H39" si="16">C34*D34</f>
        <v>40710.6</v>
      </c>
      <c r="I34" s="26">
        <f t="shared" ref="I34:I39" si="17">F34*D34</f>
        <v>41295.090412864251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14.809615186900173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11.86797929361178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31.44507334204831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31.44507334204831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32.459430546630514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2154</v>
      </c>
      <c r="E40" s="113">
        <f t="shared" si="13"/>
        <v>0.16417057276780614</v>
      </c>
      <c r="F40" s="20">
        <f>I40/D40</f>
        <v>19.171351166603646</v>
      </c>
      <c r="G40" s="19">
        <f>F40/C40-1</f>
        <v>1.4357204582203575E-2</v>
      </c>
      <c r="H40" s="18">
        <f>SUM(H34:H39)</f>
        <v>40710.6</v>
      </c>
      <c r="I40" s="18">
        <f>SUM(I34:I39)</f>
        <v>41295.090412864251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1985</v>
      </c>
      <c r="E42" s="107">
        <f>D42/$D$48</f>
        <v>0.15128996608360964</v>
      </c>
      <c r="F42" s="28">
        <f>C42-(C42*$E$6)</f>
        <v>0.40574288183288143</v>
      </c>
      <c r="G42" s="27" t="str">
        <f>IF(C42&gt;=F42,"-","+")</f>
        <v>+</v>
      </c>
      <c r="H42" s="26">
        <f>C42*D42</f>
        <v>794</v>
      </c>
      <c r="I42" s="26">
        <f>F42*D42</f>
        <v>805.39962043826961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100.6</v>
      </c>
      <c r="E43" s="107">
        <f>D43/$D$48</f>
        <v>7.6673907244388557E-3</v>
      </c>
      <c r="F43" s="28">
        <f>C43-(C43*$E$6)</f>
        <v>0.40574288183288143</v>
      </c>
      <c r="G43" s="27" t="str">
        <f>IF(C43&gt;=F43,"-","+")</f>
        <v>+</v>
      </c>
      <c r="H43" s="26">
        <f>C43*D43</f>
        <v>40.24</v>
      </c>
      <c r="I43" s="26">
        <f>F43*D43</f>
        <v>40.817733912387872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8.6999999999999993</v>
      </c>
      <c r="E45" s="107">
        <f>D45/$D$48</f>
        <v>6.6308448610952328E-4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0.39833834694169895</v>
      </c>
      <c r="D46" s="22">
        <f>SUM(D41:D45)</f>
        <v>2094.2999999999997</v>
      </c>
      <c r="E46" s="113">
        <f>D46/$D$48</f>
        <v>0.15962044129415801</v>
      </c>
      <c r="F46" s="20">
        <f>I46/D46</f>
        <v>0.40405737208167769</v>
      </c>
      <c r="G46" s="19">
        <f>F46/C46-1</f>
        <v>1.4357204582203575E-2</v>
      </c>
      <c r="H46" s="18">
        <f>SUM(H41:H44)</f>
        <v>834.24</v>
      </c>
      <c r="I46" s="18">
        <f>SUM(I41:I44)</f>
        <v>846.2173543506575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99.976160764800284</v>
      </c>
      <c r="D48" s="13">
        <f>D24+D32+D40+D46</f>
        <v>13120.499999999998</v>
      </c>
      <c r="E48" s="12">
        <f>SUM(E20:E46)/2</f>
        <v>1.0000000000000002</v>
      </c>
      <c r="F48" s="11">
        <f>I48/D48</f>
        <v>26.8</v>
      </c>
      <c r="G48" s="10"/>
      <c r="H48" s="9">
        <f>SUM(H20:H46)/2</f>
        <v>346652.43999999994</v>
      </c>
      <c r="I48" s="9">
        <f>SUM(I20:I46)/2</f>
        <v>351629.39999999997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13120.499999999998</v>
      </c>
      <c r="E50" s="12">
        <f>D50/G2</f>
        <v>0.99999999999999989</v>
      </c>
      <c r="F50" s="11">
        <f>I50/D50</f>
        <v>26.8</v>
      </c>
      <c r="G50" s="10"/>
      <c r="H50" s="9">
        <f>H48+H19</f>
        <v>346652.43999999994</v>
      </c>
      <c r="I50" s="9">
        <f>I48+I19</f>
        <v>351629.39999999997</v>
      </c>
      <c r="J50" s="106">
        <f>D50-G2</f>
        <v>0</v>
      </c>
      <c r="K50" s="8"/>
    </row>
    <row r="51" spans="1:11" ht="23.25" x14ac:dyDescent="0.35">
      <c r="A51" s="174" t="s">
        <v>318</v>
      </c>
      <c r="B51" s="169"/>
      <c r="C51" s="170"/>
      <c r="G51" s="7"/>
      <c r="H51" s="6"/>
      <c r="I51" s="6">
        <f>+I50/D50</f>
        <v>26.8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316</v>
      </c>
      <c r="D1" s="100" t="s">
        <v>1</v>
      </c>
      <c r="E1" s="168" t="s">
        <v>314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319</v>
      </c>
      <c r="D2" s="96" t="s">
        <v>3</v>
      </c>
      <c r="E2" s="95" t="s">
        <v>71</v>
      </c>
      <c r="F2" s="94" t="s">
        <v>5</v>
      </c>
      <c r="G2" s="93">
        <v>7533.6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116</v>
      </c>
      <c r="F3" s="88" t="s">
        <v>8</v>
      </c>
      <c r="G3" s="87">
        <v>26.8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64.944827586206898</v>
      </c>
      <c r="F4" s="81" t="s">
        <v>12</v>
      </c>
      <c r="G4" s="80">
        <f>G2*G3</f>
        <v>201900.48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-2.9223269054063916E-3</v>
      </c>
      <c r="F6" s="69" t="s">
        <v>16</v>
      </c>
      <c r="G6" s="68">
        <f>(I50-I19)/(D50-(SUM(D42:D44)+D19))</f>
        <v>31.011257422773461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26.878318361064892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27.9</v>
      </c>
      <c r="D11" s="30">
        <v>866.3</v>
      </c>
      <c r="E11" s="29">
        <f t="shared" si="1"/>
        <v>0.42586766296332706</v>
      </c>
      <c r="F11" s="28">
        <f t="shared" si="2"/>
        <v>27.981532920660836</v>
      </c>
      <c r="G11" s="27" t="str">
        <f t="shared" si="3"/>
        <v>+</v>
      </c>
      <c r="H11" s="34">
        <f t="shared" si="4"/>
        <v>24169.769999999997</v>
      </c>
      <c r="I11" s="34">
        <f t="shared" si="5"/>
        <v>24240.401969168481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25.5</v>
      </c>
      <c r="D12" s="30">
        <v>719.7</v>
      </c>
      <c r="E12" s="29">
        <f t="shared" si="1"/>
        <v>0.35380001966374991</v>
      </c>
      <c r="F12" s="28">
        <f t="shared" si="2"/>
        <v>25.574519336087864</v>
      </c>
      <c r="G12" s="27" t="str">
        <f t="shared" si="3"/>
        <v>+</v>
      </c>
      <c r="H12" s="34">
        <f t="shared" si="4"/>
        <v>18352.350000000002</v>
      </c>
      <c r="I12" s="34">
        <f t="shared" si="5"/>
        <v>18405.981566182436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27.981532920660836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31.2</v>
      </c>
      <c r="D14" s="30"/>
      <c r="E14" s="29">
        <f t="shared" si="1"/>
        <v>0</v>
      </c>
      <c r="F14" s="28">
        <f t="shared" si="2"/>
        <v>31.291176599448679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25.7</v>
      </c>
      <c r="D15" s="30">
        <v>50</v>
      </c>
      <c r="E15" s="29">
        <f t="shared" si="1"/>
        <v>2.4579687346376954E-2</v>
      </c>
      <c r="F15" s="28">
        <f t="shared" si="2"/>
        <v>25.775103801468944</v>
      </c>
      <c r="G15" s="27" t="str">
        <f t="shared" si="3"/>
        <v>+</v>
      </c>
      <c r="H15" s="34">
        <f t="shared" si="4"/>
        <v>1285</v>
      </c>
      <c r="I15" s="34">
        <f t="shared" si="5"/>
        <v>1288.7551900734472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35.200000000000003</v>
      </c>
      <c r="D16" s="30">
        <v>398.2</v>
      </c>
      <c r="E16" s="29">
        <f t="shared" si="1"/>
        <v>0.19575263002654605</v>
      </c>
      <c r="F16" s="28">
        <f t="shared" si="2"/>
        <v>35.302865907070306</v>
      </c>
      <c r="G16" s="27" t="str">
        <f t="shared" si="3"/>
        <v>+</v>
      </c>
      <c r="H16" s="34">
        <f t="shared" si="4"/>
        <v>14016.640000000001</v>
      </c>
      <c r="I16" s="34">
        <f t="shared" si="5"/>
        <v>14057.601204195395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/>
      <c r="E17" s="29">
        <f t="shared" si="1"/>
        <v>0</v>
      </c>
      <c r="F17" s="28">
        <f t="shared" si="2"/>
        <v>51.951376533700049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/>
      <c r="E18" s="29">
        <f t="shared" si="1"/>
        <v>0</v>
      </c>
      <c r="F18" s="28">
        <f t="shared" si="2"/>
        <v>45.532673641505447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28.425798839838755</v>
      </c>
      <c r="D19" s="49">
        <f>SUM(D10:D18)</f>
        <v>2034.2</v>
      </c>
      <c r="E19" s="48">
        <f t="shared" si="1"/>
        <v>1</v>
      </c>
      <c r="F19" s="47">
        <f>I19/D19</f>
        <v>28.508868316596086</v>
      </c>
      <c r="G19" s="46">
        <f>F19/C19-1</f>
        <v>2.9223269054063916E-3</v>
      </c>
      <c r="H19" s="9">
        <f>SUM(H10:H18)</f>
        <v>57823.759999999995</v>
      </c>
      <c r="I19" s="9">
        <f>SUM(I10:I18)</f>
        <v>57992.739929619762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/>
      <c r="E21" s="29">
        <f>D21/$D$48</f>
        <v>0</v>
      </c>
      <c r="F21" s="28">
        <f>C21-(C21*$E$6)</f>
        <v>67.596964833424394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156</v>
      </c>
      <c r="E22" s="29">
        <f>D22/$D$48</f>
        <v>2.8366730916099935E-2</v>
      </c>
      <c r="F22" s="28">
        <f>C22-(C22*$E$6)</f>
        <v>45.432381408814905</v>
      </c>
      <c r="G22" s="27" t="str">
        <f>IF(C22&gt;=F22,"-","+")</f>
        <v>+</v>
      </c>
      <c r="H22" s="26">
        <f>C22*D22</f>
        <v>7066.7999999999993</v>
      </c>
      <c r="I22" s="26">
        <f>F22*D22</f>
        <v>7087.4514997751248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/>
      <c r="E23" s="29">
        <f>D23/$D$48</f>
        <v>0</v>
      </c>
      <c r="F23" s="28">
        <f>C23-(C23*$E$6)</f>
        <v>41.420692101193282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</v>
      </c>
      <c r="D24" s="22">
        <f>SUM(D21:D23)</f>
        <v>156</v>
      </c>
      <c r="E24" s="21">
        <f>D24/$D$48</f>
        <v>2.8366730916099935E-2</v>
      </c>
      <c r="F24" s="20">
        <f>I24/D24</f>
        <v>45.432381408814905</v>
      </c>
      <c r="G24" s="19">
        <f>F24/C24-1</f>
        <v>2.9223269054063916E-3</v>
      </c>
      <c r="H24" s="18">
        <f>SUM(H21:H23)</f>
        <v>7066.7999999999993</v>
      </c>
      <c r="I24" s="18">
        <f>SUM(I21:I23)</f>
        <v>7087.4514997751248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v>1014</v>
      </c>
      <c r="E26" s="29">
        <f t="shared" ref="E26:E32" si="7">D26/$D$48</f>
        <v>0.18438375095464957</v>
      </c>
      <c r="F26" s="28">
        <f t="shared" ref="F26:F31" si="8">C26-(C26*$E$6)</f>
        <v>36.105203768594627</v>
      </c>
      <c r="G26" s="27" t="str">
        <f t="shared" ref="G26:G31" si="9">IF(C26&gt;=F26,"-","+")</f>
        <v>+</v>
      </c>
      <c r="H26" s="26">
        <f t="shared" ref="H26:H31" si="10">C26*D26</f>
        <v>36504</v>
      </c>
      <c r="I26" s="26">
        <f t="shared" ref="I26:I31" si="11">F26*D26</f>
        <v>36610.676621354949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912</v>
      </c>
      <c r="E27" s="29">
        <f t="shared" si="7"/>
        <v>0.16583627304796886</v>
      </c>
      <c r="F27" s="28">
        <f t="shared" si="8"/>
        <v>32.093514460973005</v>
      </c>
      <c r="G27" s="27" t="str">
        <f t="shared" si="9"/>
        <v>+</v>
      </c>
      <c r="H27" s="26">
        <f t="shared" si="10"/>
        <v>29184</v>
      </c>
      <c r="I27" s="26">
        <f t="shared" si="11"/>
        <v>29269.285188407379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620</v>
      </c>
      <c r="E28" s="29">
        <f t="shared" si="7"/>
        <v>0.11273957158962795</v>
      </c>
      <c r="F28" s="28">
        <f t="shared" si="8"/>
        <v>32.093514460973005</v>
      </c>
      <c r="G28" s="27" t="str">
        <f t="shared" si="9"/>
        <v>+</v>
      </c>
      <c r="H28" s="26">
        <f t="shared" si="10"/>
        <v>19840</v>
      </c>
      <c r="I28" s="26">
        <f t="shared" si="11"/>
        <v>19897.978965803264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553.6</v>
      </c>
      <c r="E29" s="29">
        <f t="shared" si="7"/>
        <v>0.10066552714841619</v>
      </c>
      <c r="F29" s="28">
        <f t="shared" si="8"/>
        <v>31.090592134067599</v>
      </c>
      <c r="G29" s="27" t="str">
        <f t="shared" si="9"/>
        <v>+</v>
      </c>
      <c r="H29" s="26">
        <f t="shared" si="10"/>
        <v>17161.600000000002</v>
      </c>
      <c r="I29" s="26">
        <f t="shared" si="11"/>
        <v>17211.751805419823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518</v>
      </c>
      <c r="E30" s="29">
        <f t="shared" si="7"/>
        <v>9.4192093682947217E-2</v>
      </c>
      <c r="F30" s="28">
        <f t="shared" si="8"/>
        <v>31.090592134067599</v>
      </c>
      <c r="G30" s="27" t="str">
        <f t="shared" si="9"/>
        <v>+</v>
      </c>
      <c r="H30" s="26">
        <f t="shared" si="10"/>
        <v>16058</v>
      </c>
      <c r="I30" s="26">
        <f t="shared" si="11"/>
        <v>16104.926725447016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103.9</v>
      </c>
      <c r="E31" s="29">
        <f t="shared" si="7"/>
        <v>1.8892970142197329E-2</v>
      </c>
      <c r="F31" s="28">
        <f t="shared" si="8"/>
        <v>31.592053297520302</v>
      </c>
      <c r="G31" s="27" t="str">
        <f t="shared" si="9"/>
        <v>+</v>
      </c>
      <c r="H31" s="26">
        <f t="shared" si="10"/>
        <v>3272.8500000000004</v>
      </c>
      <c r="I31" s="26">
        <f t="shared" si="11"/>
        <v>3282.4143376123593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32.787975278785439</v>
      </c>
      <c r="D32" s="22">
        <f>SUM(D26:D31)</f>
        <v>3721.5</v>
      </c>
      <c r="E32" s="21">
        <f t="shared" si="7"/>
        <v>0.67671018656580706</v>
      </c>
      <c r="F32" s="20">
        <f>I32/D32</f>
        <v>32.883792461116428</v>
      </c>
      <c r="G32" s="19">
        <f>F32/C32-1</f>
        <v>2.9223269054061696E-3</v>
      </c>
      <c r="H32" s="18">
        <f>SUM(H26:H31)</f>
        <v>122020.45000000001</v>
      </c>
      <c r="I32" s="18">
        <f>SUM(I26:I31)</f>
        <v>122377.0336440448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695.3</v>
      </c>
      <c r="E34" s="29">
        <f t="shared" ref="E34:E40" si="13">D34/$D$48</f>
        <v>0.12643197439720694</v>
      </c>
      <c r="F34" s="28">
        <f t="shared" ref="F34:F39" si="14">C34-(C34*$E$6)</f>
        <v>18.955231978512181</v>
      </c>
      <c r="G34" s="27" t="str">
        <f t="shared" ref="G34:G39" si="15">IF(C34&gt;=F34,"-","+")</f>
        <v>+</v>
      </c>
      <c r="H34" s="26">
        <f t="shared" ref="H34:H39" si="16">C34*D34</f>
        <v>13141.169999999998</v>
      </c>
      <c r="I34" s="26">
        <f t="shared" ref="I34:I39" si="17">F34*D34</f>
        <v>13179.572794659518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>
        <v>63</v>
      </c>
      <c r="E35" s="29">
        <f t="shared" si="13"/>
        <v>1.1455795177655744E-2</v>
      </c>
      <c r="F35" s="28">
        <f t="shared" si="14"/>
        <v>14.642665972818932</v>
      </c>
      <c r="G35" s="27" t="str">
        <f t="shared" si="15"/>
        <v>+</v>
      </c>
      <c r="H35" s="26">
        <f t="shared" si="16"/>
        <v>919.8</v>
      </c>
      <c r="I35" s="26">
        <f t="shared" si="17"/>
        <v>922.48795628759274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11.734191224793253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31.090592134067599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31.090592134067599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32.093514460973005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18.542753527627585</v>
      </c>
      <c r="D40" s="22">
        <f>SUM(D34:D39)</f>
        <v>758.3</v>
      </c>
      <c r="E40" s="113">
        <f t="shared" si="13"/>
        <v>0.13788776957486268</v>
      </c>
      <c r="F40" s="20">
        <f>I40/D40</f>
        <v>18.596941515161692</v>
      </c>
      <c r="G40" s="19">
        <f>F40/C40-1</f>
        <v>2.9223269054063916E-3</v>
      </c>
      <c r="H40" s="18">
        <f>SUM(H34:H39)</f>
        <v>14060.969999999998</v>
      </c>
      <c r="I40" s="18">
        <f>SUM(I34:I39)</f>
        <v>14102.06075094711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821</v>
      </c>
      <c r="E42" s="107">
        <f>D42/$D$48</f>
        <v>0.14928901334691055</v>
      </c>
      <c r="F42" s="28">
        <f>C42-(C42*$E$6)</f>
        <v>0.40116893076216259</v>
      </c>
      <c r="G42" s="27" t="str">
        <f>IF(C42&gt;=F42,"-","+")</f>
        <v>+</v>
      </c>
      <c r="H42" s="26">
        <f>C42*D42</f>
        <v>328.40000000000003</v>
      </c>
      <c r="I42" s="26">
        <f>F42*D42</f>
        <v>329.3596921557355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29.5</v>
      </c>
      <c r="E43" s="107">
        <f>D43/$D$48</f>
        <v>5.3642215514419752E-3</v>
      </c>
      <c r="F43" s="28">
        <f>C43-(C43*$E$6)</f>
        <v>0.40116893076216259</v>
      </c>
      <c r="G43" s="27" t="str">
        <f>IF(C43&gt;=F43,"-","+")</f>
        <v>+</v>
      </c>
      <c r="H43" s="26">
        <f>C43*D43</f>
        <v>11.8</v>
      </c>
      <c r="I43" s="26">
        <f>F43*D43</f>
        <v>11.834483457483797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8.4</v>
      </c>
      <c r="E44" s="107">
        <f>D44/$D$48</f>
        <v>1.5274393570207658E-3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8.546386878568571E-4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0.39393237610004633</v>
      </c>
      <c r="D46" s="22">
        <f>SUM(D41:D45)</f>
        <v>863.6</v>
      </c>
      <c r="E46" s="113">
        <f>D46/$D$48</f>
        <v>0.15703531294323017</v>
      </c>
      <c r="F46" s="20">
        <f>I46/D46</f>
        <v>0.39508357528163418</v>
      </c>
      <c r="G46" s="19">
        <f>F46/C46-1</f>
        <v>2.9223269054063916E-3</v>
      </c>
      <c r="H46" s="18">
        <f>SUM(H41:H44)</f>
        <v>340.20000000000005</v>
      </c>
      <c r="I46" s="18">
        <f>SUM(I41:I44)</f>
        <v>341.19417561321927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97.024661182513057</v>
      </c>
      <c r="D48" s="13">
        <f>D24+D32+D40+D46</f>
        <v>5499.4000000000005</v>
      </c>
      <c r="E48" s="12">
        <f>SUM(E20:E46)/2</f>
        <v>0.99999999999999989</v>
      </c>
      <c r="F48" s="11">
        <f>I48/D48</f>
        <v>26.167898328977749</v>
      </c>
      <c r="G48" s="10"/>
      <c r="H48" s="9">
        <f>SUM(H20:H46)/2</f>
        <v>143488.42000000001</v>
      </c>
      <c r="I48" s="9">
        <f>SUM(I20:I46)/2</f>
        <v>143907.74007038024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7533.5999999999995</v>
      </c>
      <c r="E50" s="12">
        <f>D50/G2</f>
        <v>0.99999999999999989</v>
      </c>
      <c r="F50" s="11">
        <f>I50/D50</f>
        <v>26.800000000000004</v>
      </c>
      <c r="G50" s="10"/>
      <c r="H50" s="9">
        <f>H48+H19</f>
        <v>201312.18</v>
      </c>
      <c r="I50" s="9">
        <f>I48+I19</f>
        <v>201900.48</v>
      </c>
      <c r="J50" s="106">
        <f>D50-G2</f>
        <v>0</v>
      </c>
      <c r="K50" s="8"/>
    </row>
    <row r="51" spans="1:11" ht="23.25" x14ac:dyDescent="0.35">
      <c r="A51" s="174" t="s">
        <v>320</v>
      </c>
      <c r="B51" s="169"/>
      <c r="C51" s="170"/>
      <c r="G51" s="7"/>
      <c r="H51" s="6"/>
      <c r="I51" s="6">
        <f>+I50/D50</f>
        <v>26.800000000000004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316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319</v>
      </c>
      <c r="D2" s="96" t="s">
        <v>3</v>
      </c>
      <c r="E2" s="95" t="s">
        <v>71</v>
      </c>
      <c r="F2" s="94" t="s">
        <v>5</v>
      </c>
      <c r="G2" s="93">
        <v>22685.4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/>
      <c r="F3" s="88" t="s">
        <v>8</v>
      </c>
      <c r="G3" s="87">
        <v>26.55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 t="e">
        <f>G2/E3</f>
        <v>#DIV/0!</v>
      </c>
      <c r="F4" s="81" t="s">
        <v>12</v>
      </c>
      <c r="G4" s="80">
        <f>G2*G3</f>
        <v>602297.37000000011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-3.9498255589973663E-3</v>
      </c>
      <c r="F6" s="69" t="s">
        <v>16</v>
      </c>
      <c r="G6" s="68">
        <f>(I50-I19)/(D50-(SUM(D42:D44)+D19))</f>
        <v>31.08715655687995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26.6</v>
      </c>
      <c r="D10" s="30"/>
      <c r="E10" s="29">
        <f t="shared" ref="E10:E19" si="1">D10/$D$19</f>
        <v>0</v>
      </c>
      <c r="F10" s="28">
        <f t="shared" ref="F10:F18" si="2">C10-(C10*$E$6)</f>
        <v>26.70506535986933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>
        <v>3268.4</v>
      </c>
      <c r="E11" s="29">
        <f t="shared" si="1"/>
        <v>0.38554728510256808</v>
      </c>
      <c r="F11" s="28">
        <f t="shared" si="2"/>
        <v>27.709015185428328</v>
      </c>
      <c r="G11" s="27" t="str">
        <f t="shared" si="3"/>
        <v>+</v>
      </c>
      <c r="H11" s="34">
        <f t="shared" si="4"/>
        <v>90207.840000000011</v>
      </c>
      <c r="I11" s="34">
        <f t="shared" si="5"/>
        <v>90564.145232053954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25.3</v>
      </c>
      <c r="D12" s="30">
        <v>4442.8999999999996</v>
      </c>
      <c r="E12" s="29">
        <f t="shared" si="1"/>
        <v>0.52409375626673582</v>
      </c>
      <c r="F12" s="28">
        <f t="shared" si="2"/>
        <v>25.399930586642633</v>
      </c>
      <c r="G12" s="27" t="str">
        <f t="shared" si="3"/>
        <v>+</v>
      </c>
      <c r="H12" s="34">
        <f t="shared" si="4"/>
        <v>112405.37</v>
      </c>
      <c r="I12" s="34">
        <f t="shared" si="5"/>
        <v>112849.35160339455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27.709015185428328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31.022049609773017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25.5</v>
      </c>
      <c r="D15" s="30">
        <v>196</v>
      </c>
      <c r="E15" s="29">
        <f t="shared" si="1"/>
        <v>2.3120569049107618E-2</v>
      </c>
      <c r="F15" s="28">
        <f t="shared" si="2"/>
        <v>25.600720551754431</v>
      </c>
      <c r="G15" s="27" t="str">
        <f t="shared" si="3"/>
        <v>+</v>
      </c>
      <c r="H15" s="34">
        <f t="shared" si="4"/>
        <v>4998</v>
      </c>
      <c r="I15" s="34">
        <f t="shared" si="5"/>
        <v>5017.7412281438683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34.9</v>
      </c>
      <c r="D16" s="30">
        <v>570</v>
      </c>
      <c r="E16" s="29">
        <f t="shared" si="1"/>
        <v>6.7238389581588481E-2</v>
      </c>
      <c r="F16" s="28">
        <f t="shared" si="2"/>
        <v>35.037848912009004</v>
      </c>
      <c r="G16" s="27" t="str">
        <f t="shared" si="3"/>
        <v>+</v>
      </c>
      <c r="H16" s="34">
        <f t="shared" si="4"/>
        <v>19893</v>
      </c>
      <c r="I16" s="34">
        <f t="shared" si="5"/>
        <v>19971.573879845131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51.4</v>
      </c>
      <c r="D17" s="30"/>
      <c r="E17" s="29">
        <f t="shared" si="1"/>
        <v>0</v>
      </c>
      <c r="F17" s="28">
        <f t="shared" si="2"/>
        <v>51.60302103373246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</v>
      </c>
      <c r="D18" s="30"/>
      <c r="E18" s="29">
        <f t="shared" si="1"/>
        <v>0</v>
      </c>
      <c r="F18" s="28">
        <f t="shared" si="2"/>
        <v>45.177742150154884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26.836871409528982</v>
      </c>
      <c r="D19" s="49">
        <f>SUM(D10:D18)</f>
        <v>8477.2999999999993</v>
      </c>
      <c r="E19" s="48">
        <f t="shared" si="1"/>
        <v>1</v>
      </c>
      <c r="F19" s="47">
        <f>I19/D19</f>
        <v>26.94287237014586</v>
      </c>
      <c r="G19" s="46">
        <f>F19/C19-1</f>
        <v>3.9498255589971443E-3</v>
      </c>
      <c r="H19" s="9">
        <f>SUM(H10:H18)</f>
        <v>227504.21000000002</v>
      </c>
      <c r="I19" s="9">
        <f>SUM(I10:I18)</f>
        <v>228402.81194343747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66.8</v>
      </c>
      <c r="D21" s="30">
        <v>87.3</v>
      </c>
      <c r="E21" s="29">
        <f>D21/$D$48</f>
        <v>6.1443824297407815E-3</v>
      </c>
      <c r="F21" s="28">
        <f>C21-(C21*$E$6)</f>
        <v>67.063848347341022</v>
      </c>
      <c r="G21" s="27" t="str">
        <f>IF(C21&gt;=F21,"-","+")</f>
        <v>+</v>
      </c>
      <c r="H21" s="26">
        <f>C21*D21</f>
        <v>5831.6399999999994</v>
      </c>
      <c r="I21" s="26">
        <f>F21*D21</f>
        <v>5854.673960722871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437.4</v>
      </c>
      <c r="E22" s="29">
        <f>D22/$D$48</f>
        <v>3.078525629746412E-2</v>
      </c>
      <c r="F22" s="28">
        <f>C22-(C22*$E$6)</f>
        <v>44.976952185043082</v>
      </c>
      <c r="G22" s="27" t="str">
        <f>IF(C22&gt;=F22,"-","+")</f>
        <v>+</v>
      </c>
      <c r="H22" s="26">
        <f>C22*D22</f>
        <v>19595.519999999997</v>
      </c>
      <c r="I22" s="26">
        <f>F22*D22</f>
        <v>19672.918885737843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40.9</v>
      </c>
      <c r="D23" s="30">
        <v>176.2</v>
      </c>
      <c r="E23" s="29">
        <f>D23/$D$48</f>
        <v>1.2401376679499721E-2</v>
      </c>
      <c r="F23" s="28">
        <f>C23-(C23*$E$6)</f>
        <v>41.061547865362989</v>
      </c>
      <c r="G23" s="27" t="str">
        <f>IF(C23&gt;=F23,"-","+")</f>
        <v>+</v>
      </c>
      <c r="H23" s="26">
        <f>C23*D23</f>
        <v>7206.579999999999</v>
      </c>
      <c r="I23" s="26">
        <f>F23*D23</f>
        <v>7235.0447338769582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46.559766015123415</v>
      </c>
      <c r="D24" s="22">
        <f>SUM(D21:D23)</f>
        <v>700.89999999999986</v>
      </c>
      <c r="E24" s="21">
        <f>D24/$D$48</f>
        <v>4.9331015406704613E-2</v>
      </c>
      <c r="F24" s="20">
        <f>I24/D24</f>
        <v>46.743668968950892</v>
      </c>
      <c r="G24" s="19">
        <f>F24/C24-1</f>
        <v>3.9498255589975884E-3</v>
      </c>
      <c r="H24" s="18">
        <f>SUM(H21:H23)</f>
        <v>32633.739999999994</v>
      </c>
      <c r="I24" s="18">
        <f>SUM(I21:I23)</f>
        <v>32762.637580337672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>
        <f>85.6+2908</f>
        <v>2993.6</v>
      </c>
      <c r="E26" s="29">
        <f t="shared" ref="E26:E32" si="7">D26/$D$48</f>
        <v>0.21069671525397482</v>
      </c>
      <c r="F26" s="28">
        <f t="shared" ref="F26:F31" si="8">C26-(C26*$E$6)</f>
        <v>35.740613789900308</v>
      </c>
      <c r="G26" s="27" t="str">
        <f t="shared" ref="G26:G31" si="9">IF(C26&gt;=F26,"-","+")</f>
        <v>+</v>
      </c>
      <c r="H26" s="26">
        <f t="shared" ref="H26:H31" si="10">C26*D26</f>
        <v>106572.16</v>
      </c>
      <c r="I26" s="26">
        <f t="shared" ref="I26:I31" si="11">F26*D26</f>
        <v>106993.10144144556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2101.1999999999998</v>
      </c>
      <c r="E27" s="29">
        <f t="shared" si="7"/>
        <v>0.14788747263884683</v>
      </c>
      <c r="F27" s="28">
        <f t="shared" si="8"/>
        <v>31.825209470220216</v>
      </c>
      <c r="G27" s="27" t="str">
        <f t="shared" si="9"/>
        <v>+</v>
      </c>
      <c r="H27" s="26">
        <f t="shared" si="10"/>
        <v>66608.039999999994</v>
      </c>
      <c r="I27" s="26">
        <f t="shared" si="11"/>
        <v>66871.130138826717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1416</v>
      </c>
      <c r="E28" s="29">
        <f t="shared" si="7"/>
        <v>9.9661460716070405E-2</v>
      </c>
      <c r="F28" s="28">
        <f t="shared" si="8"/>
        <v>31.825209470220216</v>
      </c>
      <c r="G28" s="27" t="str">
        <f t="shared" si="9"/>
        <v>+</v>
      </c>
      <c r="H28" s="26">
        <f t="shared" si="10"/>
        <v>44887.199999999997</v>
      </c>
      <c r="I28" s="26">
        <f t="shared" si="11"/>
        <v>45064.496609831825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30.7</v>
      </c>
      <c r="D29" s="30">
        <v>1313.5</v>
      </c>
      <c r="E29" s="29">
        <f t="shared" si="7"/>
        <v>9.2447265996157116E-2</v>
      </c>
      <c r="F29" s="28">
        <f t="shared" si="8"/>
        <v>30.821259644661218</v>
      </c>
      <c r="G29" s="27" t="str">
        <f t="shared" si="9"/>
        <v>+</v>
      </c>
      <c r="H29" s="26">
        <f t="shared" si="10"/>
        <v>40324.449999999997</v>
      </c>
      <c r="I29" s="26">
        <f t="shared" si="11"/>
        <v>40483.724543262513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30.7</v>
      </c>
      <c r="D30" s="30">
        <v>1030</v>
      </c>
      <c r="E30" s="29">
        <f t="shared" si="7"/>
        <v>7.249385913668964E-2</v>
      </c>
      <c r="F30" s="28">
        <f t="shared" si="8"/>
        <v>30.821259644661218</v>
      </c>
      <c r="G30" s="27" t="str">
        <f t="shared" si="9"/>
        <v>+</v>
      </c>
      <c r="H30" s="26">
        <f t="shared" si="10"/>
        <v>31621</v>
      </c>
      <c r="I30" s="26">
        <f t="shared" si="11"/>
        <v>31745.897434001054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31.2</v>
      </c>
      <c r="D31" s="30">
        <v>235</v>
      </c>
      <c r="E31" s="29">
        <f t="shared" si="7"/>
        <v>1.6539861065167052E-2</v>
      </c>
      <c r="F31" s="28">
        <f t="shared" si="8"/>
        <v>31.323234557440717</v>
      </c>
      <c r="G31" s="27" t="str">
        <f t="shared" si="9"/>
        <v>+</v>
      </c>
      <c r="H31" s="26">
        <f t="shared" si="10"/>
        <v>7332</v>
      </c>
      <c r="I31" s="26">
        <f t="shared" si="11"/>
        <v>7360.9601209985685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32.713723829117761</v>
      </c>
      <c r="D32" s="22">
        <f>SUM(D26:D31)</f>
        <v>9089.2999999999993</v>
      </c>
      <c r="E32" s="21">
        <f t="shared" si="7"/>
        <v>0.63972663480690584</v>
      </c>
      <c r="F32" s="20">
        <f>I32/D32</f>
        <v>32.842937331627979</v>
      </c>
      <c r="G32" s="19">
        <f>F32/C32-1</f>
        <v>3.9498255589969222E-3</v>
      </c>
      <c r="H32" s="18">
        <f>SUM(H26:H31)</f>
        <v>297344.85000000003</v>
      </c>
      <c r="I32" s="18">
        <f>SUM(I26:I31)</f>
        <v>298519.31028836616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</v>
      </c>
      <c r="D34" s="30">
        <v>2150.8000000000002</v>
      </c>
      <c r="E34" s="29">
        <f t="shared" ref="E34:E40" si="13">D34/$D$48</f>
        <v>0.15137843905940979</v>
      </c>
      <c r="F34" s="28">
        <f t="shared" ref="F34:F39" si="14">C34-(C34*$E$6)</f>
        <v>18.874256720509152</v>
      </c>
      <c r="G34" s="27" t="str">
        <f t="shared" ref="G34:G39" si="15">IF(C34&gt;=F34,"-","+")</f>
        <v>+</v>
      </c>
      <c r="H34" s="26">
        <f t="shared" ref="H34:H39" si="16">C34*D34</f>
        <v>40435.040000000008</v>
      </c>
      <c r="I34" s="26">
        <f t="shared" ref="I34:I39" si="17">F34*D34</f>
        <v>40594.751354471089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79</v>
      </c>
      <c r="E35" s="29">
        <f t="shared" si="13"/>
        <v>5.5602086133965832E-3</v>
      </c>
      <c r="F35" s="28">
        <f t="shared" si="14"/>
        <v>14.456877488049562</v>
      </c>
      <c r="G35" s="27" t="str">
        <f t="shared" si="15"/>
        <v>+</v>
      </c>
      <c r="H35" s="26">
        <f t="shared" si="16"/>
        <v>1137.6000000000001</v>
      </c>
      <c r="I35" s="26">
        <f t="shared" si="17"/>
        <v>1142.0933215559155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11.64581797648437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30.7</v>
      </c>
      <c r="D37" s="30"/>
      <c r="E37" s="29">
        <f t="shared" si="13"/>
        <v>0</v>
      </c>
      <c r="F37" s="28">
        <f t="shared" si="14"/>
        <v>30.821259644661218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30.7</v>
      </c>
      <c r="D38" s="30"/>
      <c r="E38" s="29">
        <f t="shared" si="13"/>
        <v>0</v>
      </c>
      <c r="F38" s="28">
        <f t="shared" si="14"/>
        <v>30.821259644661218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31.825209470220216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18.644111579513858</v>
      </c>
      <c r="D40" s="22">
        <f>SUM(D34:D39)</f>
        <v>2229.8000000000002</v>
      </c>
      <c r="E40" s="113">
        <f t="shared" si="13"/>
        <v>0.15693864767280635</v>
      </c>
      <c r="F40" s="20">
        <f>I40/D40</f>
        <v>18.717752567955422</v>
      </c>
      <c r="G40" s="19">
        <f>F40/C40-1</f>
        <v>3.9498255589973663E-3</v>
      </c>
      <c r="H40" s="18">
        <f>SUM(H34:H39)</f>
        <v>41572.640000000007</v>
      </c>
      <c r="I40" s="18">
        <f>SUM(I34:I39)</f>
        <v>41736.844676027002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2051</v>
      </c>
      <c r="E42" s="107">
        <f>D42/$D$48</f>
        <v>0.14435427678577711</v>
      </c>
      <c r="F42" s="28">
        <f>C42-(C42*$E$6)</f>
        <v>0.40157993022359895</v>
      </c>
      <c r="G42" s="27" t="str">
        <f>IF(C42&gt;=F42,"-","+")</f>
        <v>+</v>
      </c>
      <c r="H42" s="26">
        <f>C42*D42</f>
        <v>820.40000000000009</v>
      </c>
      <c r="I42" s="26">
        <f>F42*D42</f>
        <v>823.64043688860147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129.80000000000001</v>
      </c>
      <c r="E43" s="107">
        <f>D43/$D$48</f>
        <v>9.1356338989731223E-3</v>
      </c>
      <c r="F43" s="28">
        <f>C43-(C43*$E$6)</f>
        <v>0.40157993022359895</v>
      </c>
      <c r="G43" s="27" t="str">
        <f>IF(C43&gt;=F43,"-","+")</f>
        <v>+</v>
      </c>
      <c r="H43" s="26">
        <f>C43*D43</f>
        <v>51.920000000000009</v>
      </c>
      <c r="I43" s="26">
        <f>F43*D43</f>
        <v>52.125074943023151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7.3</v>
      </c>
      <c r="E45" s="107">
        <f>D45/$D$48</f>
        <v>5.1379142883284888E-4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0.39866550888899038</v>
      </c>
      <c r="D46" s="22">
        <f>SUM(D41:D45)</f>
        <v>2188.1000000000004</v>
      </c>
      <c r="E46" s="113">
        <f>D46/$D$48</f>
        <v>0.15400370211358311</v>
      </c>
      <c r="F46" s="20">
        <f>I46/D46</f>
        <v>0.40024016810549085</v>
      </c>
      <c r="G46" s="19">
        <f>F46/C46-1</f>
        <v>3.9498255589973663E-3</v>
      </c>
      <c r="H46" s="18">
        <f>SUM(H41:H44)</f>
        <v>872.32</v>
      </c>
      <c r="I46" s="18">
        <f>SUM(I41:I44)</f>
        <v>875.76551183162462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98.316266932644027</v>
      </c>
      <c r="D48" s="13">
        <f>D24+D32+D40+D46</f>
        <v>14208.1</v>
      </c>
      <c r="E48" s="12">
        <f>SUM(E20:E46)/2</f>
        <v>1</v>
      </c>
      <c r="F48" s="11">
        <f>I48/D48</f>
        <v>26.315591673521613</v>
      </c>
      <c r="G48" s="10"/>
      <c r="H48" s="9">
        <f>SUM(H20:H46)/2</f>
        <v>372423.55000000005</v>
      </c>
      <c r="I48" s="9">
        <f>SUM(I20:I46)/2</f>
        <v>373894.55805656244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22685.400000000005</v>
      </c>
      <c r="E50" s="12">
        <f>D50/G2</f>
        <v>1.0000000000000002</v>
      </c>
      <c r="F50" s="11">
        <f>I50/D50</f>
        <v>26.54999999999999</v>
      </c>
      <c r="G50" s="10"/>
      <c r="H50" s="9">
        <f>H48+H19</f>
        <v>599927.76</v>
      </c>
      <c r="I50" s="9">
        <f>I48+I19</f>
        <v>602297.36999999988</v>
      </c>
      <c r="J50" s="106">
        <f>D50-G2</f>
        <v>0</v>
      </c>
      <c r="K50" s="8"/>
    </row>
    <row r="51" spans="1:11" ht="23.25" x14ac:dyDescent="0.35">
      <c r="A51" s="174" t="s">
        <v>321</v>
      </c>
      <c r="B51" s="169"/>
      <c r="C51" s="170"/>
      <c r="G51" s="7"/>
      <c r="H51" s="6"/>
      <c r="I51" s="6">
        <f>+I50/D50</f>
        <v>26.54999999999999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319</v>
      </c>
      <c r="D1" s="100" t="s">
        <v>1</v>
      </c>
      <c r="E1" s="168" t="s">
        <v>314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322</v>
      </c>
      <c r="D2" s="96" t="s">
        <v>3</v>
      </c>
      <c r="E2" s="95" t="s">
        <v>71</v>
      </c>
      <c r="F2" s="94" t="s">
        <v>5</v>
      </c>
      <c r="G2" s="93">
        <v>20901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300</v>
      </c>
      <c r="F3" s="88" t="s">
        <v>8</v>
      </c>
      <c r="G3" s="87">
        <v>26.8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69.67</v>
      </c>
      <c r="F4" s="81" t="s">
        <v>12</v>
      </c>
      <c r="G4" s="80">
        <f>G2*G3</f>
        <v>560146.80000000005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-9.5582311677411269E-4</v>
      </c>
      <c r="F6" s="69" t="s">
        <v>16</v>
      </c>
      <c r="G6" s="68">
        <f>(I50-I19)/(D50-(SUM(D42:D44)+D19))</f>
        <v>31.972888794420243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26.825616059529548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27.9</v>
      </c>
      <c r="D11" s="30">
        <v>1692.6</v>
      </c>
      <c r="E11" s="29">
        <f t="shared" si="1"/>
        <v>0.87211459192085738</v>
      </c>
      <c r="F11" s="28">
        <f t="shared" si="2"/>
        <v>27.926667464957998</v>
      </c>
      <c r="G11" s="27" t="str">
        <f t="shared" si="3"/>
        <v>+</v>
      </c>
      <c r="H11" s="34">
        <f t="shared" si="4"/>
        <v>47223.539999999994</v>
      </c>
      <c r="I11" s="34">
        <f t="shared" si="5"/>
        <v>47268.677351187907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25.5</v>
      </c>
      <c r="D12" s="30"/>
      <c r="E12" s="29">
        <f t="shared" si="1"/>
        <v>0</v>
      </c>
      <c r="F12" s="28">
        <f t="shared" si="2"/>
        <v>25.524373489477739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27.926667464957998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31.2</v>
      </c>
      <c r="D14" s="30">
        <v>248.2</v>
      </c>
      <c r="E14" s="29">
        <f t="shared" si="1"/>
        <v>0.12788540807914262</v>
      </c>
      <c r="F14" s="28">
        <f t="shared" si="2"/>
        <v>31.229821681243351</v>
      </c>
      <c r="G14" s="27" t="str">
        <f t="shared" si="3"/>
        <v>+</v>
      </c>
      <c r="H14" s="34">
        <f t="shared" si="4"/>
        <v>7743.8399999999992</v>
      </c>
      <c r="I14" s="34">
        <f t="shared" si="5"/>
        <v>7751.2417412845989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25.7</v>
      </c>
      <c r="D15" s="30"/>
      <c r="E15" s="29">
        <f t="shared" si="1"/>
        <v>0</v>
      </c>
      <c r="F15" s="28">
        <f t="shared" si="2"/>
        <v>25.724564654101094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>
        <f t="shared" si="1"/>
        <v>0</v>
      </c>
      <c r="F16" s="28">
        <f t="shared" si="2"/>
        <v>35.233644973710454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/>
      <c r="E17" s="29">
        <f t="shared" si="1"/>
        <v>0</v>
      </c>
      <c r="F17" s="28">
        <f t="shared" si="2"/>
        <v>51.849511637448899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/>
      <c r="E18" s="29">
        <f t="shared" si="1"/>
        <v>0</v>
      </c>
      <c r="F18" s="28">
        <f t="shared" si="2"/>
        <v>45.44339436950154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28.322021846661166</v>
      </c>
      <c r="D19" s="49">
        <f>SUM(D10:D18)</f>
        <v>1940.8</v>
      </c>
      <c r="E19" s="48">
        <f t="shared" si="1"/>
        <v>1</v>
      </c>
      <c r="F19" s="47">
        <f>I19/D19</f>
        <v>28.34909268985599</v>
      </c>
      <c r="G19" s="46">
        <f>F19/C19-1</f>
        <v>9.5582311677433474E-4</v>
      </c>
      <c r="H19" s="9">
        <f>SUM(H10:H18)</f>
        <v>54967.37999999999</v>
      </c>
      <c r="I19" s="9">
        <f>SUM(I10:I18)</f>
        <v>55019.919092472504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>
        <v>211.1</v>
      </c>
      <c r="E21" s="29">
        <f>D21/$D$48</f>
        <v>1.1133848799063302E-2</v>
      </c>
      <c r="F21" s="28">
        <f>C21-(C21*$E$6)</f>
        <v>67.464422478070574</v>
      </c>
      <c r="G21" s="27" t="str">
        <f>IF(C21&gt;=F21,"-","+")</f>
        <v>+</v>
      </c>
      <c r="H21" s="26">
        <f>C21*D21</f>
        <v>14228.140000000001</v>
      </c>
      <c r="I21" s="26">
        <f>F21*D21</f>
        <v>14241.739585120698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584</v>
      </c>
      <c r="E22" s="29">
        <f>D22/$D$48</f>
        <v>3.0801362854822212E-2</v>
      </c>
      <c r="F22" s="28">
        <f>C22-(C22*$E$6)</f>
        <v>45.343298787189866</v>
      </c>
      <c r="G22" s="27" t="str">
        <f>IF(C22&gt;=F22,"-","+")</f>
        <v>+</v>
      </c>
      <c r="H22" s="26">
        <f>C22*D22</f>
        <v>26455.199999999997</v>
      </c>
      <c r="I22" s="26">
        <f>F22*D22</f>
        <v>26480.486491718882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439.6</v>
      </c>
      <c r="E23" s="29">
        <f>D23/$D$48</f>
        <v>2.3185409436609322E-2</v>
      </c>
      <c r="F23" s="28">
        <f>C23-(C23*$E$6)</f>
        <v>41.33947549472277</v>
      </c>
      <c r="G23" s="27" t="str">
        <f>IF(C23&gt;=F23,"-","+")</f>
        <v>+</v>
      </c>
      <c r="H23" s="26">
        <f>C23*D23</f>
        <v>18155.48</v>
      </c>
      <c r="I23" s="26">
        <f>F23*D23</f>
        <v>18172.833427480131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47.654345185065189</v>
      </c>
      <c r="D24" s="22">
        <f>SUM(D21:D23)</f>
        <v>1234.7</v>
      </c>
      <c r="E24" s="21">
        <f>D24/$D$48</f>
        <v>6.5120621090494837E-2</v>
      </c>
      <c r="F24" s="20">
        <f>I24/D24</f>
        <v>47.699894309807817</v>
      </c>
      <c r="G24" s="19">
        <f>F24/C24-1</f>
        <v>9.5582311677433474E-4</v>
      </c>
      <c r="H24" s="18">
        <f>SUM(H21:H23)</f>
        <v>58838.819999999992</v>
      </c>
      <c r="I24" s="18">
        <f>SUM(I21:I23)</f>
        <v>58895.05950431971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f>69.2+3657</f>
        <v>3726.2</v>
      </c>
      <c r="E26" s="29">
        <f t="shared" ref="E26:E32" si="7">D26/$D$48</f>
        <v>0.19652746279047692</v>
      </c>
      <c r="F26" s="28">
        <f t="shared" ref="F26:F31" si="8">C26-(C26*$E$6)</f>
        <v>36.034409632203868</v>
      </c>
      <c r="G26" s="27" t="str">
        <f t="shared" ref="G26:G31" si="9">IF(C26&gt;=F26,"-","+")</f>
        <v>+</v>
      </c>
      <c r="H26" s="26">
        <f t="shared" ref="H26:H31" si="10">C26*D26</f>
        <v>134143.19999999998</v>
      </c>
      <c r="I26" s="26">
        <f t="shared" ref="I26:I31" si="11">F26*D26</f>
        <v>134271.41717151806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2730.6</v>
      </c>
      <c r="E27" s="29">
        <f t="shared" si="7"/>
        <v>0.144017468170167</v>
      </c>
      <c r="F27" s="28">
        <f t="shared" si="8"/>
        <v>32.030586339736772</v>
      </c>
      <c r="G27" s="27" t="str">
        <f t="shared" si="9"/>
        <v>+</v>
      </c>
      <c r="H27" s="26">
        <f t="shared" si="10"/>
        <v>87379.199999999997</v>
      </c>
      <c r="I27" s="26">
        <f t="shared" si="11"/>
        <v>87462.719059285228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2140.5</v>
      </c>
      <c r="E28" s="29">
        <f t="shared" si="7"/>
        <v>0.11289437875127901</v>
      </c>
      <c r="F28" s="28">
        <f t="shared" si="8"/>
        <v>32.030586339736772</v>
      </c>
      <c r="G28" s="27" t="str">
        <f t="shared" si="9"/>
        <v>+</v>
      </c>
      <c r="H28" s="26">
        <f t="shared" si="10"/>
        <v>68496</v>
      </c>
      <c r="I28" s="26">
        <f t="shared" si="11"/>
        <v>68561.470060206557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1854.4</v>
      </c>
      <c r="E29" s="29">
        <f t="shared" si="7"/>
        <v>9.7804875475997102E-2</v>
      </c>
      <c r="F29" s="28">
        <f t="shared" si="8"/>
        <v>31.029630516619996</v>
      </c>
      <c r="G29" s="27" t="str">
        <f t="shared" si="9"/>
        <v>+</v>
      </c>
      <c r="H29" s="26">
        <f t="shared" si="10"/>
        <v>57486.400000000001</v>
      </c>
      <c r="I29" s="26">
        <f t="shared" si="11"/>
        <v>57541.34683002012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1353</v>
      </c>
      <c r="E30" s="29">
        <f t="shared" si="7"/>
        <v>7.1360006750983654E-2</v>
      </c>
      <c r="F30" s="28">
        <f t="shared" si="8"/>
        <v>31.029630516619996</v>
      </c>
      <c r="G30" s="27" t="str">
        <f t="shared" si="9"/>
        <v>+</v>
      </c>
      <c r="H30" s="26">
        <f t="shared" si="10"/>
        <v>41943</v>
      </c>
      <c r="I30" s="26">
        <f t="shared" si="11"/>
        <v>41983.090088986857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280.89999999999998</v>
      </c>
      <c r="E31" s="29">
        <f t="shared" si="7"/>
        <v>1.4815244564930751E-2</v>
      </c>
      <c r="F31" s="28">
        <f t="shared" si="8"/>
        <v>31.530108428178384</v>
      </c>
      <c r="G31" s="27" t="str">
        <f t="shared" si="9"/>
        <v>+</v>
      </c>
      <c r="H31" s="26">
        <f t="shared" si="10"/>
        <v>8848.3499999999985</v>
      </c>
      <c r="I31" s="26">
        <f t="shared" si="11"/>
        <v>8856.8074574753064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32.956257860594427</v>
      </c>
      <c r="D32" s="22">
        <f>SUM(D26:D31)</f>
        <v>12085.599999999999</v>
      </c>
      <c r="E32" s="21">
        <f t="shared" si="7"/>
        <v>0.63741943650383437</v>
      </c>
      <c r="F32" s="20">
        <f>I32/D32</f>
        <v>32.987758213699948</v>
      </c>
      <c r="G32" s="19">
        <f>F32/C32-1</f>
        <v>9.5582311677411269E-4</v>
      </c>
      <c r="H32" s="18">
        <f>SUM(H26:H31)</f>
        <v>398296.14999999997</v>
      </c>
      <c r="I32" s="18">
        <f>SUM(I26:I31)</f>
        <v>398676.85066749208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2358.8000000000002</v>
      </c>
      <c r="E34" s="29">
        <f t="shared" ref="E34:E40" si="13">D34/$D$48</f>
        <v>0.12440797038005931</v>
      </c>
      <c r="F34" s="28">
        <f t="shared" ref="F34:F39" si="14">C34-(C34*$E$6)</f>
        <v>18.918065056907029</v>
      </c>
      <c r="G34" s="27" t="str">
        <f t="shared" ref="G34:G39" si="15">IF(C34&gt;=F34,"-","+")</f>
        <v>+</v>
      </c>
      <c r="H34" s="26">
        <f t="shared" ref="H34:H39" si="16">C34*D34</f>
        <v>44581.32</v>
      </c>
      <c r="I34" s="26">
        <f t="shared" ref="I34:I39" si="17">F34*D34</f>
        <v>44623.931856232302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>
        <v>114.6</v>
      </c>
      <c r="E35" s="29">
        <f t="shared" si="13"/>
        <v>6.0442400396620299E-3</v>
      </c>
      <c r="F35" s="28">
        <f t="shared" si="14"/>
        <v>14.613955017504901</v>
      </c>
      <c r="G35" s="27" t="str">
        <f t="shared" si="15"/>
        <v>+</v>
      </c>
      <c r="H35" s="26">
        <f t="shared" si="16"/>
        <v>1673.1599999999999</v>
      </c>
      <c r="I35" s="26">
        <f t="shared" si="17"/>
        <v>1674.7592450060615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11.711183130466257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31.029630516619996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31.029630516619996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32.030586339736772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18.700768173364597</v>
      </c>
      <c r="D40" s="22">
        <f>SUM(D34:D39)</f>
        <v>2473.4</v>
      </c>
      <c r="E40" s="113">
        <f t="shared" si="13"/>
        <v>0.13045221041972133</v>
      </c>
      <c r="F40" s="20">
        <f>I40/D40</f>
        <v>18.718642799886133</v>
      </c>
      <c r="G40" s="19">
        <f>F40/C40-1</f>
        <v>9.5582311677411269E-4</v>
      </c>
      <c r="H40" s="18">
        <f>SUM(H34:H39)</f>
        <v>46254.479999999996</v>
      </c>
      <c r="I40" s="18">
        <f>SUM(I34:I39)</f>
        <v>46298.691101238364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3004</v>
      </c>
      <c r="E42" s="107">
        <f>D42/$D$48</f>
        <v>0.1584371472874759</v>
      </c>
      <c r="F42" s="28">
        <f>C42-(C42*$E$6)</f>
        <v>0.40038232924670969</v>
      </c>
      <c r="G42" s="27" t="str">
        <f>IF(C42&gt;=F42,"-","+")</f>
        <v>+</v>
      </c>
      <c r="H42" s="26">
        <f>C42*D42</f>
        <v>1201.6000000000001</v>
      </c>
      <c r="I42" s="26">
        <f>F42*D42</f>
        <v>1202.7485170571158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133.69999999999999</v>
      </c>
      <c r="E43" s="107">
        <f>D43/$D$48</f>
        <v>7.051613379605701E-3</v>
      </c>
      <c r="F43" s="28">
        <f>C43-(C43*$E$6)</f>
        <v>0.40038232924670969</v>
      </c>
      <c r="G43" s="27" t="str">
        <f>IF(C43&gt;=F43,"-","+")</f>
        <v>+</v>
      </c>
      <c r="H43" s="26">
        <f>C43*D43</f>
        <v>53.48</v>
      </c>
      <c r="I43" s="26">
        <f>F43*D43</f>
        <v>53.531117420285078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23.9</v>
      </c>
      <c r="E44" s="107">
        <f>D44/$D$48</f>
        <v>1.2605352264216624E-3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4.9000000000000004</v>
      </c>
      <c r="E45" s="107">
        <f>D45/$D$48</f>
        <v>2.5843609244628225E-4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0.39636191378493607</v>
      </c>
      <c r="D46" s="22">
        <f>SUM(D41:D45)</f>
        <v>3166.5</v>
      </c>
      <c r="E46" s="113">
        <f>D46/$D$48</f>
        <v>0.16700773198594954</v>
      </c>
      <c r="F46" s="20">
        <f>I46/D46</f>
        <v>0.39674076566474048</v>
      </c>
      <c r="G46" s="19">
        <f>F46/C46-1</f>
        <v>9.5582311677389065E-4</v>
      </c>
      <c r="H46" s="18">
        <f>SUM(H41:H44)</f>
        <v>1255.0800000000002</v>
      </c>
      <c r="I46" s="18">
        <f>SUM(I41:I44)</f>
        <v>1256.2796344774008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99.707733132809139</v>
      </c>
      <c r="D48" s="13">
        <f>D24+D32+D40+D46</f>
        <v>18960.199999999997</v>
      </c>
      <c r="E48" s="12">
        <f>SUM(E20:E46)/2</f>
        <v>1.0000000000000002</v>
      </c>
      <c r="F48" s="11">
        <f>I48/D48</f>
        <v>26.641432100269391</v>
      </c>
      <c r="G48" s="10"/>
      <c r="H48" s="9">
        <f>SUM(H20:H46)/2</f>
        <v>504644.52999999991</v>
      </c>
      <c r="I48" s="9">
        <f>SUM(I20:I46)/2</f>
        <v>505126.88090752764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20901</v>
      </c>
      <c r="E50" s="12">
        <f>D50/G2</f>
        <v>1</v>
      </c>
      <c r="F50" s="11">
        <f>I50/D50</f>
        <v>26.800000000000008</v>
      </c>
      <c r="G50" s="10"/>
      <c r="H50" s="9">
        <f>H48+H19</f>
        <v>559611.90999999992</v>
      </c>
      <c r="I50" s="9">
        <f>I48+I19</f>
        <v>560146.80000000016</v>
      </c>
      <c r="J50" s="106">
        <f>D50-G2</f>
        <v>0</v>
      </c>
      <c r="K50" s="8"/>
    </row>
    <row r="51" spans="1:11" ht="23.25" x14ac:dyDescent="0.35">
      <c r="A51" s="174" t="s">
        <v>323</v>
      </c>
      <c r="B51" s="169"/>
      <c r="C51" s="170"/>
      <c r="G51" s="7"/>
      <c r="H51" s="6"/>
      <c r="I51" s="6">
        <f>+I50/D50</f>
        <v>26.800000000000008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324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324</v>
      </c>
      <c r="D2" s="96" t="s">
        <v>3</v>
      </c>
      <c r="E2" s="95" t="s">
        <v>71</v>
      </c>
      <c r="F2" s="94" t="s">
        <v>5</v>
      </c>
      <c r="G2" s="93">
        <v>10971.3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159</v>
      </c>
      <c r="F3" s="88" t="s">
        <v>8</v>
      </c>
      <c r="G3" s="87">
        <v>26.8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69.001886792452822</v>
      </c>
      <c r="F4" s="81" t="s">
        <v>12</v>
      </c>
      <c r="G4" s="80">
        <f>G2*G3</f>
        <v>294030.83999999997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2.5944749258198785E-3</v>
      </c>
      <c r="F6" s="69" t="s">
        <v>16</v>
      </c>
      <c r="G6" s="68">
        <f>(I50-I19)/(D50-(SUM(D42:D44)+D19))</f>
        <v>32.0061436642102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 t="e">
        <f t="shared" ref="E10:E19" si="1">D10/$D$19</f>
        <v>#DIV/0!</v>
      </c>
      <c r="F10" s="28">
        <f t="shared" ref="F10:F18" si="2">C10-(C10*$E$6)</f>
        <v>26.730468071988028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27.9</v>
      </c>
      <c r="D11" s="30"/>
      <c r="E11" s="29" t="e">
        <f t="shared" si="1"/>
        <v>#DIV/0!</v>
      </c>
      <c r="F11" s="28">
        <f t="shared" si="2"/>
        <v>27.827614149569623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25.5</v>
      </c>
      <c r="D12" s="30"/>
      <c r="E12" s="29" t="e">
        <f t="shared" si="1"/>
        <v>#DIV/0!</v>
      </c>
      <c r="F12" s="28">
        <f t="shared" si="2"/>
        <v>25.433840889391593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 t="e">
        <f t="shared" si="1"/>
        <v>#DIV/0!</v>
      </c>
      <c r="F13" s="28">
        <f t="shared" si="2"/>
        <v>27.827614149569623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31.2</v>
      </c>
      <c r="D14" s="30"/>
      <c r="E14" s="29" t="e">
        <f t="shared" si="1"/>
        <v>#DIV/0!</v>
      </c>
      <c r="F14" s="28">
        <f t="shared" si="2"/>
        <v>31.119052382314418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25.7</v>
      </c>
      <c r="D15" s="30"/>
      <c r="E15" s="29" t="e">
        <f t="shared" si="1"/>
        <v>#DIV/0!</v>
      </c>
      <c r="F15" s="28">
        <f t="shared" si="2"/>
        <v>25.63332199440643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 t="e">
        <f t="shared" si="1"/>
        <v>#DIV/0!</v>
      </c>
      <c r="F16" s="28">
        <f t="shared" si="2"/>
        <v>35.108674482611143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/>
      <c r="E17" s="29" t="e">
        <f t="shared" si="1"/>
        <v>#DIV/0!</v>
      </c>
      <c r="F17" s="28">
        <f t="shared" si="2"/>
        <v>51.665606198842525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/>
      <c r="E18" s="29" t="e">
        <f t="shared" si="1"/>
        <v>#DIV/0!</v>
      </c>
      <c r="F18" s="28">
        <f t="shared" si="2"/>
        <v>45.282210838367774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>
        <v>135.1</v>
      </c>
      <c r="E21" s="29">
        <f>D21/$D$48</f>
        <v>1.2314170867096279E-2</v>
      </c>
      <c r="F21" s="28">
        <f>C21-(C21*$E$6)</f>
        <v>67.225132389999743</v>
      </c>
      <c r="G21" s="27" t="str">
        <f>IF(C21&gt;=F21,"-","+")</f>
        <v>-</v>
      </c>
      <c r="H21" s="26">
        <f>C21*D21</f>
        <v>9105.74</v>
      </c>
      <c r="I21" s="26">
        <f>F21*D21</f>
        <v>9082.1153858889647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310.60000000000002</v>
      </c>
      <c r="E22" s="29">
        <f>D22/$D$48</f>
        <v>2.8310743681125867E-2</v>
      </c>
      <c r="F22" s="28">
        <f>C22-(C22*$E$6)</f>
        <v>45.182470285860354</v>
      </c>
      <c r="G22" s="27" t="str">
        <f>IF(C22&gt;=F22,"-","+")</f>
        <v>-</v>
      </c>
      <c r="H22" s="26">
        <f>C22*D22</f>
        <v>14070.18</v>
      </c>
      <c r="I22" s="26">
        <f>F22*D22</f>
        <v>14033.675270788228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280.3</v>
      </c>
      <c r="E23" s="29">
        <f>D23/$D$48</f>
        <v>2.5548942220925887E-2</v>
      </c>
      <c r="F23" s="28">
        <f>C23-(C23*$E$6)</f>
        <v>41.192848185563633</v>
      </c>
      <c r="G23" s="27" t="str">
        <f>IF(C23&gt;=F23,"-","+")</f>
        <v>-</v>
      </c>
      <c r="H23" s="26">
        <f>C23*D23</f>
        <v>11576.39</v>
      </c>
      <c r="I23" s="26">
        <f>F23*D23</f>
        <v>11546.355346413487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47.868195592286497</v>
      </c>
      <c r="D24" s="22">
        <f>SUM(D21:D23)</f>
        <v>726</v>
      </c>
      <c r="E24" s="21">
        <f>D24/$D$48</f>
        <v>6.6173856769148026E-2</v>
      </c>
      <c r="F24" s="20">
        <f>I24/D24</f>
        <v>47.744002759078072</v>
      </c>
      <c r="G24" s="19">
        <f>F24/C24-1</f>
        <v>-2.5944749258197675E-3</v>
      </c>
      <c r="H24" s="18">
        <f>SUM(H21:H23)</f>
        <v>34752.31</v>
      </c>
      <c r="I24" s="18">
        <f>SUM(I21:I23)</f>
        <v>34662.146003090682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v>2158.3000000000002</v>
      </c>
      <c r="E26" s="29">
        <f t="shared" ref="E26:E32" si="7">D26/$D$48</f>
        <v>0.19672594361549892</v>
      </c>
      <c r="F26" s="28">
        <f t="shared" ref="F26:F31" si="8">C26-(C26*$E$6)</f>
        <v>35.906598902670481</v>
      </c>
      <c r="G26" s="27" t="str">
        <f t="shared" ref="G26:G31" si="9">IF(C26&gt;=F26,"-","+")</f>
        <v>-</v>
      </c>
      <c r="H26" s="26">
        <f t="shared" ref="H26:H31" si="10">C26*D26</f>
        <v>77698.8</v>
      </c>
      <c r="I26" s="26">
        <f t="shared" ref="I26:I31" si="11">F26*D26</f>
        <v>77497.212411633707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1842.3</v>
      </c>
      <c r="E27" s="29">
        <f t="shared" si="7"/>
        <v>0.16792299769394134</v>
      </c>
      <c r="F27" s="28">
        <f t="shared" si="8"/>
        <v>31.916976802373764</v>
      </c>
      <c r="G27" s="27" t="str">
        <f t="shared" si="9"/>
        <v>-</v>
      </c>
      <c r="H27" s="26">
        <f t="shared" si="10"/>
        <v>58953.599999999999</v>
      </c>
      <c r="I27" s="26">
        <f t="shared" si="11"/>
        <v>58800.646363013184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1185</v>
      </c>
      <c r="E28" s="29">
        <f t="shared" si="7"/>
        <v>0.1080110472058408</v>
      </c>
      <c r="F28" s="28">
        <f t="shared" si="8"/>
        <v>31.916976802373764</v>
      </c>
      <c r="G28" s="27" t="str">
        <f t="shared" si="9"/>
        <v>-</v>
      </c>
      <c r="H28" s="26">
        <f t="shared" si="10"/>
        <v>37920</v>
      </c>
      <c r="I28" s="26">
        <f t="shared" si="11"/>
        <v>37821.61751081291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878.2</v>
      </c>
      <c r="E29" s="29">
        <f t="shared" si="7"/>
        <v>8.0046668064277973E-2</v>
      </c>
      <c r="F29" s="28">
        <f t="shared" si="8"/>
        <v>30.919571277299585</v>
      </c>
      <c r="G29" s="27" t="str">
        <f t="shared" si="9"/>
        <v>-</v>
      </c>
      <c r="H29" s="26">
        <f t="shared" si="10"/>
        <v>27224.2</v>
      </c>
      <c r="I29" s="26">
        <f t="shared" si="11"/>
        <v>27153.567495724496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686.4</v>
      </c>
      <c r="E30" s="29">
        <f t="shared" si="7"/>
        <v>6.256437367264904E-2</v>
      </c>
      <c r="F30" s="28">
        <f t="shared" si="8"/>
        <v>30.919571277299585</v>
      </c>
      <c r="G30" s="27" t="str">
        <f t="shared" si="9"/>
        <v>-</v>
      </c>
      <c r="H30" s="26">
        <f t="shared" si="10"/>
        <v>21278.399999999998</v>
      </c>
      <c r="I30" s="26">
        <f t="shared" si="11"/>
        <v>21223.193724738434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317.60000000000002</v>
      </c>
      <c r="E31" s="29">
        <f t="shared" si="7"/>
        <v>2.8948783622426193E-2</v>
      </c>
      <c r="F31" s="28">
        <f t="shared" si="8"/>
        <v>31.418274039836675</v>
      </c>
      <c r="G31" s="27" t="str">
        <f t="shared" si="9"/>
        <v>-</v>
      </c>
      <c r="H31" s="26">
        <f t="shared" si="10"/>
        <v>10004.400000000001</v>
      </c>
      <c r="I31" s="26">
        <f t="shared" si="11"/>
        <v>9978.4438350521286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32.977645094654626</v>
      </c>
      <c r="D32" s="22">
        <f>SUM(D26:D31)</f>
        <v>7067.8</v>
      </c>
      <c r="E32" s="21">
        <f t="shared" si="7"/>
        <v>0.64421981387463423</v>
      </c>
      <c r="F32" s="20">
        <f>I32/D32</f>
        <v>32.892085421343964</v>
      </c>
      <c r="G32" s="19">
        <f>F32/C32-1</f>
        <v>-2.5944749258196564E-3</v>
      </c>
      <c r="H32" s="18">
        <f>SUM(H26:H31)</f>
        <v>233079.4</v>
      </c>
      <c r="I32" s="18">
        <f>SUM(I26:I31)</f>
        <v>232474.68134097487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f>1531.9-143</f>
        <v>1388.9</v>
      </c>
      <c r="E34" s="29">
        <f t="shared" ref="E34:E40" si="13">D34/$D$48</f>
        <v>0.12659623921028884</v>
      </c>
      <c r="F34" s="28">
        <f t="shared" ref="F34:F39" si="14">C34-(C34*$E$6)</f>
        <v>18.850964423902003</v>
      </c>
      <c r="G34" s="27" t="str">
        <f t="shared" ref="G34:G39" si="15">IF(C34&gt;=F34,"-","+")</f>
        <v>-</v>
      </c>
      <c r="H34" s="26">
        <f t="shared" ref="H34:H39" si="16">C34*D34</f>
        <v>26250.21</v>
      </c>
      <c r="I34" s="26">
        <f t="shared" ref="I34:I39" si="17">F34*D34</f>
        <v>26182.104488357494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14.562120666083029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11.669644643367906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30.919571277299585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30.919571277299585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31.916976802373764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1388.9</v>
      </c>
      <c r="E40" s="113">
        <f t="shared" si="13"/>
        <v>0.12659623921028884</v>
      </c>
      <c r="F40" s="20">
        <f>I40/D40</f>
        <v>18.850964423902003</v>
      </c>
      <c r="G40" s="19">
        <f>F40/C40-1</f>
        <v>-2.5944749258198785E-3</v>
      </c>
      <c r="H40" s="18">
        <f>SUM(H34:H39)</f>
        <v>26250.21</v>
      </c>
      <c r="I40" s="18">
        <f>SUM(I34:I39)</f>
        <v>26182.104488357494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1694</v>
      </c>
      <c r="E42" s="107">
        <f>D42/$D$48</f>
        <v>0.15440566579467874</v>
      </c>
      <c r="F42" s="28">
        <f>C42-(C42*$E$6)</f>
        <v>0.39896221002967208</v>
      </c>
      <c r="G42" s="27" t="str">
        <f>IF(C42&gt;=F42,"-","+")</f>
        <v>-</v>
      </c>
      <c r="H42" s="26">
        <f>C42*D42</f>
        <v>677.6</v>
      </c>
      <c r="I42" s="26">
        <f>F42*D42</f>
        <v>675.84198379026452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90.4</v>
      </c>
      <c r="E43" s="107">
        <f>D43/$D$48</f>
        <v>8.2398300990784885E-3</v>
      </c>
      <c r="F43" s="28">
        <f>C43-(C43*$E$6)</f>
        <v>0.39896221002967208</v>
      </c>
      <c r="G43" s="27" t="str">
        <f>IF(C43&gt;=F43,"-","+")</f>
        <v>-</v>
      </c>
      <c r="H43" s="26">
        <f>C43*D43</f>
        <v>36.160000000000004</v>
      </c>
      <c r="I43" s="26">
        <f>F43*D43</f>
        <v>36.066183786682359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3.6459425217161452E-4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0.39910534556027732</v>
      </c>
      <c r="D46" s="22">
        <f>SUM(D41:D45)</f>
        <v>1788.4</v>
      </c>
      <c r="E46" s="113">
        <f>D46/$D$48</f>
        <v>0.16301009014592885</v>
      </c>
      <c r="F46" s="20">
        <f>I46/D46</f>
        <v>0.39806987674846056</v>
      </c>
      <c r="G46" s="19">
        <f>F46/C46-1</f>
        <v>-2.5944749258197675E-3</v>
      </c>
      <c r="H46" s="18">
        <f>SUM(H41:H44)</f>
        <v>713.76</v>
      </c>
      <c r="I46" s="18">
        <f>SUM(I41:I44)</f>
        <v>711.90816757694688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100.14494603250141</v>
      </c>
      <c r="D48" s="13">
        <f>D24+D32+D40+D46</f>
        <v>10971.1</v>
      </c>
      <c r="E48" s="12">
        <f>SUM(E20:E46)/2</f>
        <v>1</v>
      </c>
      <c r="F48" s="11">
        <f>I48/D48</f>
        <v>26.800488556297907</v>
      </c>
      <c r="G48" s="10"/>
      <c r="H48" s="9">
        <f>SUM(H20:H46)/2</f>
        <v>294795.68</v>
      </c>
      <c r="I48" s="9">
        <f>SUM(I20:I46)/2</f>
        <v>294030.83999999997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10971.100000000004</v>
      </c>
      <c r="E50" s="12">
        <f>D50/G2</f>
        <v>0.99998177061970817</v>
      </c>
      <c r="F50" s="11">
        <f>I50/D50</f>
        <v>26.800488556297896</v>
      </c>
      <c r="G50" s="10"/>
      <c r="H50" s="9">
        <f>H48+H19</f>
        <v>294795.68</v>
      </c>
      <c r="I50" s="9">
        <f>I48+I19</f>
        <v>294030.83999999997</v>
      </c>
      <c r="J50" s="106">
        <f>D50-G2</f>
        <v>-0.19999999999527063</v>
      </c>
      <c r="K50" s="8"/>
    </row>
    <row r="51" spans="1:11" ht="23.25" x14ac:dyDescent="0.35">
      <c r="A51" s="174" t="s">
        <v>325</v>
      </c>
      <c r="B51" s="169"/>
      <c r="C51" s="170"/>
      <c r="G51" s="7"/>
      <c r="H51" s="6"/>
      <c r="I51" s="6">
        <f>+I50/D50</f>
        <v>26.800488556297896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324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324</v>
      </c>
      <c r="D2" s="96" t="s">
        <v>3</v>
      </c>
      <c r="E2" s="95" t="s">
        <v>112</v>
      </c>
      <c r="F2" s="94" t="s">
        <v>5</v>
      </c>
      <c r="G2" s="93">
        <v>4401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187</v>
      </c>
      <c r="D3" s="90" t="s">
        <v>7</v>
      </c>
      <c r="E3" s="89">
        <v>68</v>
      </c>
      <c r="F3" s="88" t="s">
        <v>8</v>
      </c>
      <c r="G3" s="87">
        <v>23.09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64.720588235294116</v>
      </c>
      <c r="F4" s="81" t="s">
        <v>12</v>
      </c>
      <c r="G4" s="80">
        <f>G2*G3</f>
        <v>101619.09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-7.9457814565927487E-2</v>
      </c>
      <c r="F6" s="69" t="s">
        <v>16</v>
      </c>
      <c r="G6" s="68">
        <f>(I50-I19)/(D50-(SUM(D42:D44)+D19))</f>
        <v>28.959558278711874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23.1</v>
      </c>
      <c r="D10" s="30"/>
      <c r="E10" s="29" t="e">
        <f t="shared" ref="E10:E19" si="1">D10/$D$19</f>
        <v>#DIV/0!</v>
      </c>
      <c r="F10" s="28">
        <f t="shared" ref="F10:F18" si="2">C10-(C10*$E$6)</f>
        <v>24.935475516472927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24</v>
      </c>
      <c r="D11" s="30"/>
      <c r="E11" s="29" t="e">
        <f t="shared" si="1"/>
        <v>#DIV/0!</v>
      </c>
      <c r="F11" s="28">
        <f t="shared" si="2"/>
        <v>25.906987549582261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22</v>
      </c>
      <c r="D12" s="30"/>
      <c r="E12" s="29" t="e">
        <f t="shared" si="1"/>
        <v>#DIV/0!</v>
      </c>
      <c r="F12" s="28">
        <f t="shared" si="2"/>
        <v>23.748071920450403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24</v>
      </c>
      <c r="D13" s="30"/>
      <c r="E13" s="29" t="e">
        <f t="shared" si="1"/>
        <v>#DIV/0!</v>
      </c>
      <c r="F13" s="28">
        <f t="shared" si="2"/>
        <v>25.906987549582261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26.9</v>
      </c>
      <c r="D14" s="30"/>
      <c r="E14" s="29" t="e">
        <f t="shared" si="1"/>
        <v>#DIV/0!</v>
      </c>
      <c r="F14" s="28">
        <f t="shared" si="2"/>
        <v>29.037415211823447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22.2</v>
      </c>
      <c r="D15" s="30"/>
      <c r="E15" s="29" t="e">
        <f t="shared" si="1"/>
        <v>#DIV/0!</v>
      </c>
      <c r="F15" s="28">
        <f t="shared" si="2"/>
        <v>23.963963483363589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30.3</v>
      </c>
      <c r="D16" s="30"/>
      <c r="E16" s="29" t="e">
        <f t="shared" si="1"/>
        <v>#DIV/0!</v>
      </c>
      <c r="F16" s="28">
        <f t="shared" si="2"/>
        <v>32.707571781347603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44.7</v>
      </c>
      <c r="D17" s="30"/>
      <c r="E17" s="29" t="e">
        <f t="shared" si="1"/>
        <v>#DIV/0!</v>
      </c>
      <c r="F17" s="28">
        <f t="shared" si="2"/>
        <v>48.251764311096963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39.1</v>
      </c>
      <c r="D18" s="30"/>
      <c r="E18" s="29" t="e">
        <f t="shared" si="1"/>
        <v>#DIV/0!</v>
      </c>
      <c r="F18" s="28">
        <f t="shared" si="2"/>
        <v>42.206800549527763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58.1</v>
      </c>
      <c r="D21" s="30">
        <v>60.9</v>
      </c>
      <c r="E21" s="29">
        <f>D21/$D$48</f>
        <v>1.3837764144512607E-2</v>
      </c>
      <c r="F21" s="28">
        <f>C21-(C21*$E$6)</f>
        <v>62.716499026280388</v>
      </c>
      <c r="G21" s="27" t="str">
        <f>IF(C21&gt;=F21,"-","+")</f>
        <v>+</v>
      </c>
      <c r="H21" s="26">
        <f>C21*D21</f>
        <v>3538.29</v>
      </c>
      <c r="I21" s="26">
        <f>F21*D21</f>
        <v>3819.4347907004753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</v>
      </c>
      <c r="D22" s="30">
        <v>119.5</v>
      </c>
      <c r="E22" s="29">
        <f>D22/$D$48</f>
        <v>2.7152919790956596E-2</v>
      </c>
      <c r="F22" s="28">
        <f>C22-(C22*$E$6)</f>
        <v>42.09885476807117</v>
      </c>
      <c r="G22" s="27" t="str">
        <f>IF(C22&gt;=F22,"-","+")</f>
        <v>+</v>
      </c>
      <c r="H22" s="26">
        <f>C22*D22</f>
        <v>4660.5</v>
      </c>
      <c r="I22" s="26">
        <f>F22*D22</f>
        <v>5030.8131447845053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35.6</v>
      </c>
      <c r="D23" s="30">
        <v>97.6</v>
      </c>
      <c r="E23" s="29">
        <f>D23/$D$48</f>
        <v>2.2176778004998857E-2</v>
      </c>
      <c r="F23" s="28">
        <f>C23-(C23*$E$6)</f>
        <v>38.428698198547018</v>
      </c>
      <c r="G23" s="27" t="str">
        <f>IF(C23&gt;=F23,"-","+")</f>
        <v>+</v>
      </c>
      <c r="H23" s="26">
        <f>C23*D23</f>
        <v>3474.56</v>
      </c>
      <c r="I23" s="26">
        <f>F23*D23</f>
        <v>3750.6409441781889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41.990467625899285</v>
      </c>
      <c r="D24" s="22">
        <f>SUM(D21:D23)</f>
        <v>278</v>
      </c>
      <c r="E24" s="21">
        <f>D24/$D$48</f>
        <v>6.3167461940468059E-2</v>
      </c>
      <c r="F24" s="20">
        <f>I24/D24</f>
        <v>45.326938416054567</v>
      </c>
      <c r="G24" s="19">
        <f>F24/C24-1</f>
        <v>7.9457814565927265E-2</v>
      </c>
      <c r="H24" s="18">
        <f>SUM(H21:H23)</f>
        <v>11673.35</v>
      </c>
      <c r="I24" s="18">
        <f>SUM(I21:I23)</f>
        <v>12600.888879663169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</v>
      </c>
      <c r="D26" s="30">
        <v>776</v>
      </c>
      <c r="E26" s="29">
        <f t="shared" ref="E26:E32" si="7">D26/$D$48</f>
        <v>0.17632356282663028</v>
      </c>
      <c r="F26" s="28">
        <f t="shared" ref="F26:F31" si="8">C26-(C26*$E$6)</f>
        <v>33.463192251543752</v>
      </c>
      <c r="G26" s="27" t="str">
        <f t="shared" ref="G26:G31" si="9">IF(C26&gt;=F26,"-","+")</f>
        <v>+</v>
      </c>
      <c r="H26" s="26">
        <f t="shared" ref="H26:H31" si="10">C26*D26</f>
        <v>24056</v>
      </c>
      <c r="I26" s="26">
        <f t="shared" ref="I26:I31" si="11">F26*D26</f>
        <v>25967.437187197953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27.6</v>
      </c>
      <c r="D27" s="30">
        <v>696.8</v>
      </c>
      <c r="E27" s="29">
        <f t="shared" si="7"/>
        <v>0.15832765280618036</v>
      </c>
      <c r="F27" s="28">
        <f t="shared" si="8"/>
        <v>29.7930356820196</v>
      </c>
      <c r="G27" s="27" t="str">
        <f t="shared" si="9"/>
        <v>+</v>
      </c>
      <c r="H27" s="26">
        <f t="shared" si="10"/>
        <v>19231.68</v>
      </c>
      <c r="I27" s="26">
        <f t="shared" si="11"/>
        <v>20759.787263231257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27.6</v>
      </c>
      <c r="D28" s="30">
        <v>313</v>
      </c>
      <c r="E28" s="29">
        <f t="shared" si="7"/>
        <v>7.1120199954555763E-2</v>
      </c>
      <c r="F28" s="28">
        <f t="shared" si="8"/>
        <v>29.7930356820196</v>
      </c>
      <c r="G28" s="27" t="str">
        <f t="shared" si="9"/>
        <v>+</v>
      </c>
      <c r="H28" s="26">
        <f t="shared" si="10"/>
        <v>8638.8000000000011</v>
      </c>
      <c r="I28" s="26">
        <f t="shared" si="11"/>
        <v>9325.2201684721349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26.7</v>
      </c>
      <c r="D29" s="30">
        <v>312.10000000000002</v>
      </c>
      <c r="E29" s="29">
        <f t="shared" si="7"/>
        <v>7.0915700977050661E-2</v>
      </c>
      <c r="F29" s="28">
        <f t="shared" si="8"/>
        <v>28.821523648910265</v>
      </c>
      <c r="G29" s="27" t="str">
        <f t="shared" si="9"/>
        <v>+</v>
      </c>
      <c r="H29" s="26">
        <f t="shared" si="10"/>
        <v>8333.07</v>
      </c>
      <c r="I29" s="26">
        <f t="shared" si="11"/>
        <v>8995.1975308248948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26.7</v>
      </c>
      <c r="D30" s="30">
        <v>275.3</v>
      </c>
      <c r="E30" s="29">
        <f t="shared" si="7"/>
        <v>6.2553965007952725E-2</v>
      </c>
      <c r="F30" s="28">
        <f t="shared" si="8"/>
        <v>28.821523648910265</v>
      </c>
      <c r="G30" s="27" t="str">
        <f t="shared" si="9"/>
        <v>+</v>
      </c>
      <c r="H30" s="26">
        <f t="shared" si="10"/>
        <v>7350.51</v>
      </c>
      <c r="I30" s="26">
        <f t="shared" si="11"/>
        <v>7934.5654605449963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27.1</v>
      </c>
      <c r="D31" s="30">
        <v>83.4</v>
      </c>
      <c r="E31" s="29">
        <f t="shared" si="7"/>
        <v>1.895023858214042E-2</v>
      </c>
      <c r="F31" s="28">
        <f t="shared" si="8"/>
        <v>29.253306774736636</v>
      </c>
      <c r="G31" s="27" t="str">
        <f t="shared" si="9"/>
        <v>+</v>
      </c>
      <c r="H31" s="26">
        <f t="shared" si="10"/>
        <v>2260.1400000000003</v>
      </c>
      <c r="I31" s="26">
        <f t="shared" si="11"/>
        <v>2439.7257850130354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28.441830171782133</v>
      </c>
      <c r="D32" s="22">
        <f>SUM(D26:D31)</f>
        <v>2456.6000000000004</v>
      </c>
      <c r="E32" s="21">
        <f t="shared" si="7"/>
        <v>0.55819132015451034</v>
      </c>
      <c r="F32" s="20">
        <f>I32/D32</f>
        <v>30.701755839487202</v>
      </c>
      <c r="G32" s="19">
        <f>F32/C32-1</f>
        <v>7.9457814565927487E-2</v>
      </c>
      <c r="H32" s="18">
        <f>SUM(H26:H31)</f>
        <v>69870.2</v>
      </c>
      <c r="I32" s="18">
        <f>SUM(I26:I31)</f>
        <v>75421.933395284272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16.3</v>
      </c>
      <c r="D34" s="30">
        <f>414.7+293.5</f>
        <v>708.2</v>
      </c>
      <c r="E34" s="29">
        <f t="shared" ref="E34:E40" si="13">D34/$D$48</f>
        <v>0.16091797318791182</v>
      </c>
      <c r="F34" s="28">
        <f t="shared" ref="F34:F39" si="14">C34-(C34*$E$6)</f>
        <v>17.595162377424618</v>
      </c>
      <c r="G34" s="27" t="str">
        <f t="shared" ref="G34:G39" si="15">IF(C34&gt;=F34,"-","+")</f>
        <v>+</v>
      </c>
      <c r="H34" s="26">
        <f t="shared" ref="H34:H39" si="16">C34*D34</f>
        <v>11543.660000000002</v>
      </c>
      <c r="I34" s="26">
        <f t="shared" ref="I34:I39" si="17">F34*D34</f>
        <v>12460.893995692115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12.5</v>
      </c>
      <c r="D35" s="30">
        <v>55.6</v>
      </c>
      <c r="E35" s="29">
        <f t="shared" si="13"/>
        <v>1.2633492388093612E-2</v>
      </c>
      <c r="F35" s="28">
        <f t="shared" si="14"/>
        <v>13.493222682074094</v>
      </c>
      <c r="G35" s="27" t="str">
        <f t="shared" si="15"/>
        <v>+</v>
      </c>
      <c r="H35" s="26">
        <f t="shared" si="16"/>
        <v>695</v>
      </c>
      <c r="I35" s="26">
        <f t="shared" si="17"/>
        <v>750.2231811233197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10.1</v>
      </c>
      <c r="D36" s="30"/>
      <c r="E36" s="29">
        <f t="shared" si="13"/>
        <v>0</v>
      </c>
      <c r="F36" s="28">
        <f t="shared" si="14"/>
        <v>10.902523927115867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26.7</v>
      </c>
      <c r="D37" s="30"/>
      <c r="E37" s="29">
        <f t="shared" si="13"/>
        <v>0</v>
      </c>
      <c r="F37" s="28">
        <f t="shared" si="14"/>
        <v>28.821523648910265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26.7</v>
      </c>
      <c r="D38" s="30"/>
      <c r="E38" s="29">
        <f t="shared" si="13"/>
        <v>0</v>
      </c>
      <c r="F38" s="28">
        <f t="shared" si="14"/>
        <v>28.821523648910265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27.6</v>
      </c>
      <c r="D39" s="30"/>
      <c r="E39" s="29">
        <f t="shared" si="13"/>
        <v>0</v>
      </c>
      <c r="F39" s="28">
        <f t="shared" si="14"/>
        <v>29.7930356820196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16.023383084577116</v>
      </c>
      <c r="D40" s="22">
        <f>SUM(D34:D39)</f>
        <v>763.80000000000007</v>
      </c>
      <c r="E40" s="113">
        <f t="shared" si="13"/>
        <v>0.17355146557600543</v>
      </c>
      <c r="F40" s="20">
        <f>I40/D40</f>
        <v>17.296566086430261</v>
      </c>
      <c r="G40" s="19">
        <f>F40/C40-1</f>
        <v>7.9457814565927265E-2</v>
      </c>
      <c r="H40" s="18">
        <f>SUM(H34:H39)</f>
        <v>12238.660000000002</v>
      </c>
      <c r="I40" s="18">
        <f>SUM(I34:I39)</f>
        <v>13211.117176815435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420+53.6+383.7</f>
        <v>857.3</v>
      </c>
      <c r="E42" s="107">
        <f>D42/$D$48</f>
        <v>0.19479663712792541</v>
      </c>
      <c r="F42" s="28">
        <f>C42-(C42*$E$6)</f>
        <v>0.43178312582637102</v>
      </c>
      <c r="G42" s="27" t="str">
        <f>IF(C42&gt;=F42,"-","+")</f>
        <v>+</v>
      </c>
      <c r="H42" s="26">
        <f>C42*D42</f>
        <v>342.92</v>
      </c>
      <c r="I42" s="26">
        <f>F42*D42</f>
        <v>370.16767377094783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34.700000000000003</v>
      </c>
      <c r="E43" s="107">
        <f>D43/$D$48</f>
        <v>7.8845716882526683E-3</v>
      </c>
      <c r="F43" s="28">
        <f>C43-(C43*$E$6)</f>
        <v>0.43178312582637102</v>
      </c>
      <c r="G43" s="27" t="str">
        <f>IF(C43&gt;=F43,"-","+")</f>
        <v>+</v>
      </c>
      <c r="H43" s="26">
        <f>C43*D43</f>
        <v>13.880000000000003</v>
      </c>
      <c r="I43" s="26">
        <f>F43*D43</f>
        <v>14.982874466175076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10.6</v>
      </c>
      <c r="E45" s="107">
        <f>D45/$D$48</f>
        <v>2.4085435128379908E-3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0.39530245956126747</v>
      </c>
      <c r="D46" s="22">
        <f>SUM(D41:D45)</f>
        <v>902.6</v>
      </c>
      <c r="E46" s="113">
        <f>D46/$D$48</f>
        <v>0.20508975232901611</v>
      </c>
      <c r="F46" s="20">
        <f>I46/D46</f>
        <v>0.42671232909054163</v>
      </c>
      <c r="G46" s="19">
        <f>F46/C46-1</f>
        <v>7.9457814565927265E-2</v>
      </c>
      <c r="H46" s="18">
        <f>SUM(H41:H44)</f>
        <v>356.8</v>
      </c>
      <c r="I46" s="18">
        <f>SUM(I41:I44)</f>
        <v>385.1505482371229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86.850983341819799</v>
      </c>
      <c r="D48" s="13">
        <f>D24+D32+D40+D46</f>
        <v>4401.0000000000009</v>
      </c>
      <c r="E48" s="12">
        <f>SUM(E20:E46)/2</f>
        <v>0.99999999999999989</v>
      </c>
      <c r="F48" s="11">
        <f>I48/D48</f>
        <v>23.089999999999993</v>
      </c>
      <c r="G48" s="10"/>
      <c r="H48" s="9">
        <f>SUM(H20:H46)/2</f>
        <v>94139.01</v>
      </c>
      <c r="I48" s="9">
        <f>SUM(I20:I46)/2</f>
        <v>101619.09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4401.0000000000009</v>
      </c>
      <c r="E50" s="12">
        <f>D50/G2</f>
        <v>1.0000000000000002</v>
      </c>
      <c r="F50" s="11">
        <f>I50/D50</f>
        <v>23.089999999999993</v>
      </c>
      <c r="G50" s="10"/>
      <c r="H50" s="9">
        <f>H48+H19</f>
        <v>94139.01</v>
      </c>
      <c r="I50" s="9">
        <f>I48+I19</f>
        <v>101619.09</v>
      </c>
      <c r="J50" s="106">
        <f>D50-G2</f>
        <v>0</v>
      </c>
      <c r="K50" s="8"/>
    </row>
    <row r="51" spans="1:11" ht="23.25" x14ac:dyDescent="0.35">
      <c r="A51" s="174" t="s">
        <v>326</v>
      </c>
      <c r="B51" s="169"/>
      <c r="C51" s="170"/>
      <c r="G51" s="7"/>
      <c r="H51" s="6"/>
      <c r="I51" s="6">
        <f>+I50/D50</f>
        <v>23.089999999999993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324</v>
      </c>
      <c r="D1" s="100" t="s">
        <v>1</v>
      </c>
      <c r="E1" s="168" t="s">
        <v>327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324</v>
      </c>
      <c r="D2" s="96" t="s">
        <v>3</v>
      </c>
      <c r="E2" s="95" t="s">
        <v>112</v>
      </c>
      <c r="F2" s="94" t="s">
        <v>5</v>
      </c>
      <c r="G2" s="93">
        <v>6110.2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288</v>
      </c>
      <c r="D3" s="90" t="s">
        <v>7</v>
      </c>
      <c r="E3" s="89">
        <v>100</v>
      </c>
      <c r="F3" s="88" t="s">
        <v>8</v>
      </c>
      <c r="G3" s="87">
        <v>22.67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3</v>
      </c>
      <c r="D4" s="83" t="s">
        <v>11</v>
      </c>
      <c r="E4" s="82">
        <f>G2/E3</f>
        <v>61.101999999999997</v>
      </c>
      <c r="F4" s="81" t="s">
        <v>12</v>
      </c>
      <c r="G4" s="80">
        <f>G2*G3</f>
        <v>138518.234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-0.11327969451447162</v>
      </c>
      <c r="F6" s="69" t="s">
        <v>16</v>
      </c>
      <c r="G6" s="68">
        <f>(I50-I19)/(D50-(SUM(D42:D44)+D19))</f>
        <v>28.722550558512673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22.7</v>
      </c>
      <c r="D10" s="30"/>
      <c r="E10" s="29" t="e">
        <f t="shared" ref="E10:E19" si="1">D10/$D$19</f>
        <v>#DIV/0!</v>
      </c>
      <c r="F10" s="28">
        <f t="shared" ref="F10:F18" si="2">C10-(C10*$E$6)</f>
        <v>25.271449065478507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23.6</v>
      </c>
      <c r="D11" s="30"/>
      <c r="E11" s="29" t="e">
        <f t="shared" si="1"/>
        <v>#DIV/0!</v>
      </c>
      <c r="F11" s="28">
        <f t="shared" si="2"/>
        <v>26.273400790541533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21.6</v>
      </c>
      <c r="D12" s="30"/>
      <c r="E12" s="29" t="e">
        <f t="shared" si="1"/>
        <v>#DIV/0!</v>
      </c>
      <c r="F12" s="28">
        <f t="shared" si="2"/>
        <v>24.046841401512587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23.6</v>
      </c>
      <c r="D13" s="30"/>
      <c r="E13" s="29" t="e">
        <f t="shared" si="1"/>
        <v>#DIV/0!</v>
      </c>
      <c r="F13" s="28">
        <f t="shared" si="2"/>
        <v>26.273400790541533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26.4</v>
      </c>
      <c r="D14" s="30"/>
      <c r="E14" s="29" t="e">
        <f t="shared" si="1"/>
        <v>#DIV/0!</v>
      </c>
      <c r="F14" s="28">
        <f t="shared" si="2"/>
        <v>29.39058393518205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21.8</v>
      </c>
      <c r="D15" s="30"/>
      <c r="E15" s="29" t="e">
        <f t="shared" si="1"/>
        <v>#DIV/0!</v>
      </c>
      <c r="F15" s="28">
        <f t="shared" si="2"/>
        <v>24.269497340415484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29.8</v>
      </c>
      <c r="D16" s="30"/>
      <c r="E16" s="29" t="e">
        <f t="shared" si="1"/>
        <v>#DIV/0!</v>
      </c>
      <c r="F16" s="28">
        <f t="shared" si="2"/>
        <v>33.175734896531253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43.8</v>
      </c>
      <c r="D17" s="30"/>
      <c r="E17" s="29" t="e">
        <f t="shared" si="1"/>
        <v>#DIV/0!</v>
      </c>
      <c r="F17" s="28">
        <f t="shared" si="2"/>
        <v>48.761650619733857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38.4</v>
      </c>
      <c r="D18" s="30"/>
      <c r="E18" s="29" t="e">
        <f t="shared" si="1"/>
        <v>#DIV/0!</v>
      </c>
      <c r="F18" s="28">
        <f t="shared" si="2"/>
        <v>42.749940269355712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57</v>
      </c>
      <c r="D21" s="30">
        <v>68</v>
      </c>
      <c r="E21" s="29">
        <f>D21/$D$48</f>
        <v>1.112905944718034E-2</v>
      </c>
      <c r="F21" s="28">
        <f>C21-(C21*$E$6)</f>
        <v>63.456942587324882</v>
      </c>
      <c r="G21" s="27" t="str">
        <f>IF(C21&gt;=F21,"-","+")</f>
        <v>+</v>
      </c>
      <c r="H21" s="26">
        <f>C21*D21</f>
        <v>3876</v>
      </c>
      <c r="I21" s="26">
        <f>F21*D21</f>
        <v>4315.0720959380924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38.299999999999997</v>
      </c>
      <c r="D22" s="30">
        <v>67</v>
      </c>
      <c r="E22" s="29">
        <f>D22/$D$48</f>
        <v>1.0965396808251216E-2</v>
      </c>
      <c r="F22" s="28">
        <f>C22-(C22*$E$6)</f>
        <v>42.63861229990426</v>
      </c>
      <c r="G22" s="27" t="str">
        <f>IF(C22&gt;=F22,"-","+")</f>
        <v>+</v>
      </c>
      <c r="H22" s="26">
        <f>C22*D22</f>
        <v>2566.1</v>
      </c>
      <c r="I22" s="26">
        <f>F22*D22</f>
        <v>2856.7870240935854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34.9</v>
      </c>
      <c r="D23" s="30">
        <v>152.19999999999999</v>
      </c>
      <c r="E23" s="29">
        <f>D23/$D$48</f>
        <v>2.4909453645012465E-2</v>
      </c>
      <c r="F23" s="28">
        <f>C23-(C23*$E$6)</f>
        <v>38.853461338555057</v>
      </c>
      <c r="G23" s="27" t="str">
        <f>IF(C23&gt;=F23,"-","+")</f>
        <v>+</v>
      </c>
      <c r="H23" s="26">
        <f>C23*D23</f>
        <v>5311.78</v>
      </c>
      <c r="I23" s="26">
        <f>F23*D23</f>
        <v>5913.4968157280791</v>
      </c>
      <c r="J23" s="25"/>
      <c r="K23" s="25"/>
    </row>
    <row r="24" spans="1:11" x14ac:dyDescent="0.25">
      <c r="A24" s="24" t="s">
        <v>34</v>
      </c>
      <c r="B24" s="23"/>
      <c r="C24" s="20">
        <f>H24/D24</f>
        <v>40.925766016713098</v>
      </c>
      <c r="D24" s="22">
        <f>SUM(D21:D23)</f>
        <v>287.2</v>
      </c>
      <c r="E24" s="21">
        <f>D24/$D$48</f>
        <v>4.7003909900444021E-2</v>
      </c>
      <c r="F24" s="20">
        <f>I24/D24</f>
        <v>45.561824288857096</v>
      </c>
      <c r="G24" s="19">
        <f>F24/C24-1</f>
        <v>0.1132796945144714</v>
      </c>
      <c r="H24" s="18">
        <f>SUM(H21:H23)</f>
        <v>11753.880000000001</v>
      </c>
      <c r="I24" s="18">
        <f>SUM(I21:I23)</f>
        <v>13085.355935759757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30.4</v>
      </c>
      <c r="D26" s="30">
        <v>1100</v>
      </c>
      <c r="E26" s="29">
        <f t="shared" ref="E26:E32" si="7">D26/$D$48</f>
        <v>0.1800289028220349</v>
      </c>
      <c r="F26" s="28">
        <f t="shared" ref="F26:F31" si="8">C26-(C26*$E$6)</f>
        <v>33.843702713239935</v>
      </c>
      <c r="G26" s="27" t="str">
        <f t="shared" ref="G26:G31" si="9">IF(C26&gt;=F26,"-","+")</f>
        <v>+</v>
      </c>
      <c r="H26" s="26">
        <f t="shared" ref="H26:H31" si="10">C26*D26</f>
        <v>33440</v>
      </c>
      <c r="I26" s="26">
        <f t="shared" ref="I26:I31" si="11">F26*D26</f>
        <v>37228.072984563929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27.1</v>
      </c>
      <c r="D27" s="30">
        <v>905</v>
      </c>
      <c r="E27" s="29">
        <f t="shared" si="7"/>
        <v>0.148114688230856</v>
      </c>
      <c r="F27" s="28">
        <f t="shared" si="8"/>
        <v>30.169879721342184</v>
      </c>
      <c r="G27" s="27" t="str">
        <f t="shared" si="9"/>
        <v>+</v>
      </c>
      <c r="H27" s="26">
        <f t="shared" si="10"/>
        <v>24525.5</v>
      </c>
      <c r="I27" s="26">
        <f t="shared" si="11"/>
        <v>27303.741147814675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27.1</v>
      </c>
      <c r="D28" s="30">
        <v>471</v>
      </c>
      <c r="E28" s="29">
        <f t="shared" si="7"/>
        <v>7.7085102935616767E-2</v>
      </c>
      <c r="F28" s="28">
        <f t="shared" si="8"/>
        <v>30.169879721342184</v>
      </c>
      <c r="G28" s="27" t="str">
        <f t="shared" si="9"/>
        <v>+</v>
      </c>
      <c r="H28" s="26">
        <f t="shared" si="10"/>
        <v>12764.1</v>
      </c>
      <c r="I28" s="26">
        <f t="shared" si="11"/>
        <v>14210.013348752169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26.2</v>
      </c>
      <c r="D29" s="30">
        <v>456</v>
      </c>
      <c r="E29" s="29">
        <f t="shared" si="7"/>
        <v>7.4630163351679921E-2</v>
      </c>
      <c r="F29" s="28">
        <f t="shared" si="8"/>
        <v>29.167927996279154</v>
      </c>
      <c r="G29" s="27" t="str">
        <f t="shared" si="9"/>
        <v>+</v>
      </c>
      <c r="H29" s="26">
        <f t="shared" si="10"/>
        <v>11947.199999999999</v>
      </c>
      <c r="I29" s="26">
        <f t="shared" si="11"/>
        <v>13300.575166303293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26.2</v>
      </c>
      <c r="D30" s="30">
        <v>326</v>
      </c>
      <c r="E30" s="29">
        <f t="shared" si="7"/>
        <v>5.3354020290893985E-2</v>
      </c>
      <c r="F30" s="28">
        <f t="shared" si="8"/>
        <v>29.167927996279154</v>
      </c>
      <c r="G30" s="27" t="str">
        <f t="shared" si="9"/>
        <v>+</v>
      </c>
      <c r="H30" s="26">
        <f t="shared" si="10"/>
        <v>8541.1999999999989</v>
      </c>
      <c r="I30" s="26">
        <f t="shared" si="11"/>
        <v>9508.7445267870044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26.6</v>
      </c>
      <c r="D31" s="30">
        <v>83</v>
      </c>
      <c r="E31" s="29">
        <f t="shared" si="7"/>
        <v>1.3583999031117179E-2</v>
      </c>
      <c r="F31" s="28">
        <f t="shared" si="8"/>
        <v>29.613239874084947</v>
      </c>
      <c r="G31" s="27" t="str">
        <f t="shared" si="9"/>
        <v>+</v>
      </c>
      <c r="H31" s="26">
        <f t="shared" si="10"/>
        <v>2207.8000000000002</v>
      </c>
      <c r="I31" s="26">
        <f t="shared" si="11"/>
        <v>2457.8989095490506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27.963424124513619</v>
      </c>
      <c r="D32" s="22">
        <f>SUM(D26:D31)</f>
        <v>3341</v>
      </c>
      <c r="E32" s="21">
        <f t="shared" si="7"/>
        <v>0.54679687666219878</v>
      </c>
      <c r="F32" s="20">
        <f>I32/D32</f>
        <v>31.131112266917128</v>
      </c>
      <c r="G32" s="19">
        <f>F32/C32-1</f>
        <v>0.11327969451447162</v>
      </c>
      <c r="H32" s="18">
        <f>SUM(H26:H31)</f>
        <v>93425.8</v>
      </c>
      <c r="I32" s="18">
        <f>SUM(I26:I31)</f>
        <v>104009.04608377012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</v>
      </c>
      <c r="D34" s="30">
        <f>735.13+378</f>
        <v>1113.1300000000001</v>
      </c>
      <c r="E34" s="29">
        <f t="shared" ref="E34:E40" si="13">D34/$D$48</f>
        <v>0.18217779327117431</v>
      </c>
      <c r="F34" s="28">
        <f t="shared" ref="F34:F39" si="14">C34-(C34*$E$6)</f>
        <v>17.812475112231546</v>
      </c>
      <c r="G34" s="27" t="str">
        <f t="shared" ref="G34:G39" si="15">IF(C34&gt;=F34,"-","+")</f>
        <v>+</v>
      </c>
      <c r="H34" s="26">
        <f t="shared" ref="H34:H39" si="16">C34*D34</f>
        <v>17810.080000000002</v>
      </c>
      <c r="I34" s="26">
        <f t="shared" ref="I34:I39" si="17">F34*D34</f>
        <v>19827.600421678304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12.3</v>
      </c>
      <c r="D35" s="30">
        <v>74.7</v>
      </c>
      <c r="E35" s="29">
        <f t="shared" si="13"/>
        <v>1.2225599128005462E-2</v>
      </c>
      <c r="F35" s="28">
        <f t="shared" si="14"/>
        <v>13.693340242528002</v>
      </c>
      <c r="G35" s="27" t="str">
        <f t="shared" si="15"/>
        <v>+</v>
      </c>
      <c r="H35" s="26">
        <f t="shared" si="16"/>
        <v>918.81000000000006</v>
      </c>
      <c r="I35" s="26">
        <f t="shared" si="17"/>
        <v>1022.8925161168418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9.9</v>
      </c>
      <c r="D36" s="30"/>
      <c r="E36" s="29">
        <f t="shared" si="13"/>
        <v>0</v>
      </c>
      <c r="F36" s="28">
        <f t="shared" si="14"/>
        <v>11.021468975693269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26.2</v>
      </c>
      <c r="D37" s="30"/>
      <c r="E37" s="29">
        <f t="shared" si="13"/>
        <v>0</v>
      </c>
      <c r="F37" s="28">
        <f t="shared" si="14"/>
        <v>29.167927996279154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26.2</v>
      </c>
      <c r="D38" s="30"/>
      <c r="E38" s="29">
        <f t="shared" si="13"/>
        <v>0</v>
      </c>
      <c r="F38" s="28">
        <f t="shared" si="14"/>
        <v>29.167927996279154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27.1</v>
      </c>
      <c r="D39" s="30"/>
      <c r="E39" s="29">
        <f t="shared" si="13"/>
        <v>0</v>
      </c>
      <c r="F39" s="28">
        <f t="shared" si="14"/>
        <v>30.169879721342184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15.767315188200332</v>
      </c>
      <c r="D40" s="22">
        <f>SUM(D34:D39)</f>
        <v>1187.8300000000002</v>
      </c>
      <c r="E40" s="113">
        <f t="shared" si="13"/>
        <v>0.19440339239917978</v>
      </c>
      <c r="F40" s="20">
        <f>I40/D40</f>
        <v>17.553431836033052</v>
      </c>
      <c r="G40" s="19">
        <f>F40/C40-1</f>
        <v>0.11327969451447162</v>
      </c>
      <c r="H40" s="18">
        <f>SUM(H34:H39)</f>
        <v>18728.890000000003</v>
      </c>
      <c r="I40" s="18">
        <f>SUM(I34:I39)</f>
        <v>20850.492937795145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609+77+556.6</f>
        <v>1242.5999999999999</v>
      </c>
      <c r="E42" s="107">
        <f>D42/$D$48</f>
        <v>0.20336719513332779</v>
      </c>
      <c r="F42" s="28">
        <f>C42-(C42*$E$6)</f>
        <v>0.44531187780578868</v>
      </c>
      <c r="G42" s="27" t="str">
        <f>IF(C42&gt;=F42,"-","+")</f>
        <v>+</v>
      </c>
      <c r="H42" s="26">
        <f>C42*D42</f>
        <v>497.03999999999996</v>
      </c>
      <c r="I42" s="26">
        <f>F42*D42</f>
        <v>553.34453936147293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44.9</v>
      </c>
      <c r="E43" s="107">
        <f>D43/$D$48</f>
        <v>7.3484524879176066E-3</v>
      </c>
      <c r="F43" s="28">
        <f>C43-(C43*$E$6)</f>
        <v>0.44531187780578868</v>
      </c>
      <c r="G43" s="27" t="str">
        <f>IF(C43&gt;=F43,"-","+")</f>
        <v>+</v>
      </c>
      <c r="H43" s="26">
        <f>C43*D43</f>
        <v>17.96</v>
      </c>
      <c r="I43" s="26">
        <f>F43*D43</f>
        <v>19.99450331347991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1.0801734169322095E-3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0.39795997218143886</v>
      </c>
      <c r="D46" s="22">
        <f>SUM(D41:D45)</f>
        <v>1294.0999999999999</v>
      </c>
      <c r="E46" s="113">
        <f>D46/$D$48</f>
        <v>0.2117958210381776</v>
      </c>
      <c r="F46" s="20">
        <f>I46/D46</f>
        <v>0.4430407562591398</v>
      </c>
      <c r="G46" s="19">
        <f>F46/C46-1</f>
        <v>0.1132796945144714</v>
      </c>
      <c r="H46" s="18">
        <f>SUM(H41:H44)</f>
        <v>515</v>
      </c>
      <c r="I46" s="18">
        <f>SUM(I41:I44)</f>
        <v>573.33904267495279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85.054465301608488</v>
      </c>
      <c r="D48" s="13">
        <f>D24+D32+D40+D46</f>
        <v>6110.1299999999992</v>
      </c>
      <c r="E48" s="12">
        <f>SUM(E20:E46)/2</f>
        <v>1</v>
      </c>
      <c r="F48" s="11">
        <f>I48/D48</f>
        <v>22.670259716241713</v>
      </c>
      <c r="G48" s="10"/>
      <c r="H48" s="9">
        <f>SUM(H20:H46)/2</f>
        <v>124423.57</v>
      </c>
      <c r="I48" s="9">
        <f>SUM(I20:I46)/2</f>
        <v>138518.23399999997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6110.13</v>
      </c>
      <c r="E50" s="12">
        <f>D50/G2</f>
        <v>0.99998854374652224</v>
      </c>
      <c r="F50" s="11">
        <f>I50/D50</f>
        <v>22.670259716241709</v>
      </c>
      <c r="G50" s="10"/>
      <c r="H50" s="9">
        <f>H48+H19</f>
        <v>124423.57</v>
      </c>
      <c r="I50" s="9">
        <f>I48+I19</f>
        <v>138518.23399999997</v>
      </c>
      <c r="J50" s="106">
        <f>D50-G2</f>
        <v>-6.9999999999708962E-2</v>
      </c>
      <c r="K50" s="8"/>
    </row>
    <row r="51" spans="1:11" ht="23.25" x14ac:dyDescent="0.35">
      <c r="A51" s="174" t="s">
        <v>328</v>
      </c>
      <c r="B51" s="169"/>
      <c r="C51" s="170"/>
      <c r="G51" s="7"/>
      <c r="H51" s="6"/>
      <c r="I51" s="6">
        <f>+I50/D50</f>
        <v>22.670259716241709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324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329</v>
      </c>
      <c r="D2" s="96" t="s">
        <v>3</v>
      </c>
      <c r="E2" s="95" t="s">
        <v>71</v>
      </c>
      <c r="F2" s="94" t="s">
        <v>5</v>
      </c>
      <c r="G2" s="93">
        <v>11590.7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169</v>
      </c>
      <c r="F3" s="88" t="s">
        <v>8</v>
      </c>
      <c r="G3" s="87">
        <v>26.8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68.584023668639063</v>
      </c>
      <c r="F4" s="81" t="s">
        <v>12</v>
      </c>
      <c r="G4" s="80">
        <f>G2*G3</f>
        <v>310630.76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-7.6368781803635155E-3</v>
      </c>
      <c r="F6" s="69" t="s">
        <v>16</v>
      </c>
      <c r="G6" s="68">
        <f>(I50-I19)/(D50-(SUM(D42:D44)+D19))</f>
        <v>31.802954464829014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27.004668335233742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27.9</v>
      </c>
      <c r="D11" s="30"/>
      <c r="E11" s="29">
        <f t="shared" si="1"/>
        <v>0</v>
      </c>
      <c r="F11" s="28">
        <f t="shared" si="2"/>
        <v>28.11306890123214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25.5</v>
      </c>
      <c r="D12" s="30"/>
      <c r="E12" s="29">
        <f t="shared" si="1"/>
        <v>0</v>
      </c>
      <c r="F12" s="28">
        <f t="shared" si="2"/>
        <v>25.694740393599268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28.11306890123214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31.2</v>
      </c>
      <c r="D14" s="30"/>
      <c r="E14" s="29">
        <f t="shared" si="1"/>
        <v>0</v>
      </c>
      <c r="F14" s="28">
        <f t="shared" si="2"/>
        <v>31.438270599227341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25.7</v>
      </c>
      <c r="D15" s="30"/>
      <c r="E15" s="29">
        <f t="shared" si="1"/>
        <v>0</v>
      </c>
      <c r="F15" s="28">
        <f t="shared" si="2"/>
        <v>25.89626776923534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35.200000000000003</v>
      </c>
      <c r="D16" s="30">
        <v>283.3</v>
      </c>
      <c r="E16" s="29">
        <f t="shared" si="1"/>
        <v>1</v>
      </c>
      <c r="F16" s="28">
        <f t="shared" si="2"/>
        <v>35.468818111948799</v>
      </c>
      <c r="G16" s="27" t="str">
        <f t="shared" si="3"/>
        <v>+</v>
      </c>
      <c r="H16" s="34">
        <f t="shared" si="4"/>
        <v>9972.1600000000017</v>
      </c>
      <c r="I16" s="34">
        <f t="shared" si="5"/>
        <v>10048.316171115095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/>
      <c r="E17" s="29">
        <f t="shared" si="1"/>
        <v>0</v>
      </c>
      <c r="F17" s="28">
        <f t="shared" si="2"/>
        <v>52.195590289742825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/>
      <c r="E18" s="29">
        <f t="shared" si="1"/>
        <v>0</v>
      </c>
      <c r="F18" s="28">
        <f t="shared" si="2"/>
        <v>45.746714269388505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35.200000000000003</v>
      </c>
      <c r="D19" s="49">
        <f>SUM(D10:D18)</f>
        <v>283.3</v>
      </c>
      <c r="E19" s="48">
        <f t="shared" si="1"/>
        <v>1</v>
      </c>
      <c r="F19" s="47">
        <f>I19/D19</f>
        <v>35.468818111948799</v>
      </c>
      <c r="G19" s="46">
        <f>F19/C19-1</f>
        <v>7.6368781803635155E-3</v>
      </c>
      <c r="H19" s="9">
        <f>SUM(H10:H18)</f>
        <v>9972.1600000000017</v>
      </c>
      <c r="I19" s="9">
        <f>SUM(I10:I18)</f>
        <v>10048.316171115095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>
        <v>88.7</v>
      </c>
      <c r="E21" s="29">
        <f>D21/$D$48</f>
        <v>7.8444204680120991E-3</v>
      </c>
      <c r="F21" s="28">
        <f>C21-(C21*$E$6)</f>
        <v>67.914725589356507</v>
      </c>
      <c r="G21" s="27" t="str">
        <f>IF(C21&gt;=F21,"-","+")</f>
        <v>+</v>
      </c>
      <c r="H21" s="26">
        <f>C21*D21</f>
        <v>5978.380000000001</v>
      </c>
      <c r="I21" s="26">
        <f>F21*D21</f>
        <v>6024.036159775922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310.3</v>
      </c>
      <c r="E22" s="29">
        <f>D22/$D$48</f>
        <v>2.7442205988998356E-2</v>
      </c>
      <c r="F22" s="28">
        <f>C22-(C22*$E$6)</f>
        <v>45.645950581570467</v>
      </c>
      <c r="G22" s="27" t="str">
        <f>IF(C22&gt;=F22,"-","+")</f>
        <v>+</v>
      </c>
      <c r="H22" s="26">
        <f>C22*D22</f>
        <v>14056.59</v>
      </c>
      <c r="I22" s="26">
        <f>F22*D22</f>
        <v>14163.938465461317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177.4</v>
      </c>
      <c r="E23" s="29">
        <f>D23/$D$48</f>
        <v>1.5688840936024198E-2</v>
      </c>
      <c r="F23" s="28">
        <f>C23-(C23*$E$6)</f>
        <v>41.615403068849012</v>
      </c>
      <c r="G23" s="27" t="str">
        <f>IF(C23&gt;=F23,"-","+")</f>
        <v>+</v>
      </c>
      <c r="H23" s="26">
        <f>C23*D23</f>
        <v>7326.62</v>
      </c>
      <c r="I23" s="26">
        <f>F23*D23</f>
        <v>7382.5725044138153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47.469795281054829</v>
      </c>
      <c r="D24" s="22">
        <f>SUM(D21:D23)</f>
        <v>576.4</v>
      </c>
      <c r="E24" s="21">
        <f>D24/$D$48</f>
        <v>5.097546739303465E-2</v>
      </c>
      <c r="F24" s="20">
        <f>I24/D24</f>
        <v>47.832316324863037</v>
      </c>
      <c r="G24" s="19">
        <f>F24/C24-1</f>
        <v>7.6368781803635155E-3</v>
      </c>
      <c r="H24" s="18">
        <f>SUM(H21:H23)</f>
        <v>27361.59</v>
      </c>
      <c r="I24" s="18">
        <f>SUM(I21:I23)</f>
        <v>27570.547129651055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f>152.2+2310.1</f>
        <v>2462.2999999999997</v>
      </c>
      <c r="E26" s="29">
        <f t="shared" ref="E26:E32" si="7">D26/$D$48</f>
        <v>0.21776005094009232</v>
      </c>
      <c r="F26" s="28">
        <f t="shared" ref="F26:F31" si="8">C26-(C26*$E$6)</f>
        <v>36.274927614493087</v>
      </c>
      <c r="G26" s="27" t="str">
        <f t="shared" ref="G26:G31" si="9">IF(C26&gt;=F26,"-","+")</f>
        <v>+</v>
      </c>
      <c r="H26" s="26">
        <f t="shared" ref="H26:H31" si="10">C26*D26</f>
        <v>88642.799999999988</v>
      </c>
      <c r="I26" s="26">
        <f t="shared" ref="I26:I31" si="11">F26*D26</f>
        <v>89319.754265166324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1729.5</v>
      </c>
      <c r="E27" s="29">
        <f t="shared" si="7"/>
        <v>0.15295293347719194</v>
      </c>
      <c r="F27" s="28">
        <f t="shared" si="8"/>
        <v>32.244380101771632</v>
      </c>
      <c r="G27" s="27" t="str">
        <f t="shared" si="9"/>
        <v>+</v>
      </c>
      <c r="H27" s="26">
        <f t="shared" si="10"/>
        <v>55344</v>
      </c>
      <c r="I27" s="26">
        <f t="shared" si="11"/>
        <v>55766.655386014041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1126.0999999999999</v>
      </c>
      <c r="E28" s="29">
        <f t="shared" si="7"/>
        <v>9.9589649256239268E-2</v>
      </c>
      <c r="F28" s="28">
        <f t="shared" si="8"/>
        <v>32.244380101771632</v>
      </c>
      <c r="G28" s="27" t="str">
        <f t="shared" si="9"/>
        <v>+</v>
      </c>
      <c r="H28" s="26">
        <f t="shared" si="10"/>
        <v>36035.199999999997</v>
      </c>
      <c r="I28" s="26">
        <f t="shared" si="11"/>
        <v>36310.396432605034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925.5</v>
      </c>
      <c r="E29" s="29">
        <f t="shared" si="7"/>
        <v>8.1849054601411467E-2</v>
      </c>
      <c r="F29" s="28">
        <f t="shared" si="8"/>
        <v>31.236743223591269</v>
      </c>
      <c r="G29" s="27" t="str">
        <f t="shared" si="9"/>
        <v>+</v>
      </c>
      <c r="H29" s="26">
        <f t="shared" si="10"/>
        <v>28690.5</v>
      </c>
      <c r="I29" s="26">
        <f t="shared" si="11"/>
        <v>28909.605853433721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835.7</v>
      </c>
      <c r="E30" s="29">
        <f t="shared" si="7"/>
        <v>7.3907352707076782E-2</v>
      </c>
      <c r="F30" s="28">
        <f t="shared" si="8"/>
        <v>31.236743223591269</v>
      </c>
      <c r="G30" s="27" t="str">
        <f t="shared" si="9"/>
        <v>+</v>
      </c>
      <c r="H30" s="26">
        <f t="shared" si="10"/>
        <v>25906.7</v>
      </c>
      <c r="I30" s="26">
        <f t="shared" si="11"/>
        <v>26104.546311955226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176.5</v>
      </c>
      <c r="E31" s="29">
        <f t="shared" si="7"/>
        <v>1.5609247041760263E-2</v>
      </c>
      <c r="F31" s="28">
        <f t="shared" si="8"/>
        <v>31.740561662681451</v>
      </c>
      <c r="G31" s="27" t="str">
        <f t="shared" si="9"/>
        <v>+</v>
      </c>
      <c r="H31" s="26">
        <f t="shared" si="10"/>
        <v>5559.75</v>
      </c>
      <c r="I31" s="26">
        <f t="shared" si="11"/>
        <v>5602.209133463276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33.102562158884176</v>
      </c>
      <c r="D32" s="22">
        <f>SUM(D26:D31)</f>
        <v>7255.5999999999995</v>
      </c>
      <c r="E32" s="21">
        <f t="shared" si="7"/>
        <v>0.64166828802377207</v>
      </c>
      <c r="F32" s="20">
        <f>I32/D32</f>
        <v>33.355362393549491</v>
      </c>
      <c r="G32" s="19">
        <f>F32/C32-1</f>
        <v>7.6368781803637376E-3</v>
      </c>
      <c r="H32" s="18">
        <f>SUM(H26:H31)</f>
        <v>240178.95</v>
      </c>
      <c r="I32" s="18">
        <f>SUM(I26:I31)</f>
        <v>242013.16738263765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1504.7</v>
      </c>
      <c r="E34" s="29">
        <f t="shared" ref="E34:E40" si="13">D34/$D$48</f>
        <v>0.13307214744326726</v>
      </c>
      <c r="F34" s="28">
        <f t="shared" ref="F34:F39" si="14">C34-(C34*$E$6)</f>
        <v>19.04433699760887</v>
      </c>
      <c r="G34" s="27" t="str">
        <f t="shared" ref="G34:G39" si="15">IF(C34&gt;=F34,"-","+")</f>
        <v>+</v>
      </c>
      <c r="H34" s="26">
        <f t="shared" ref="H34:H39" si="16">C34*D34</f>
        <v>28438.829999999998</v>
      </c>
      <c r="I34" s="26">
        <f t="shared" ref="I34:I39" si="17">F34*D34</f>
        <v>28656.013880302067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>
        <v>109</v>
      </c>
      <c r="E35" s="29">
        <f t="shared" si="13"/>
        <v>9.6397049719652624E-3</v>
      </c>
      <c r="F35" s="28">
        <f t="shared" si="14"/>
        <v>14.711498421433307</v>
      </c>
      <c r="G35" s="27" t="str">
        <f t="shared" si="15"/>
        <v>+</v>
      </c>
      <c r="H35" s="26">
        <f t="shared" si="16"/>
        <v>1591.3999999999999</v>
      </c>
      <c r="I35" s="26">
        <f t="shared" si="17"/>
        <v>1603.5533279362305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11.789351474710253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31.236743223591269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31.236743223591269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32.244380101771632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18.609549482555618</v>
      </c>
      <c r="D40" s="22">
        <f>SUM(D34:D39)</f>
        <v>1613.7</v>
      </c>
      <c r="E40" s="113">
        <f t="shared" si="13"/>
        <v>0.14271185241523252</v>
      </c>
      <c r="F40" s="20">
        <f>I40/D40</f>
        <v>18.75166834494534</v>
      </c>
      <c r="G40" s="19">
        <f>F40/C40-1</f>
        <v>7.6368781803635155E-3</v>
      </c>
      <c r="H40" s="18">
        <f>SUM(H34:H39)</f>
        <v>30030.23</v>
      </c>
      <c r="I40" s="18">
        <f>SUM(I34:I39)</f>
        <v>30259.567208238299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1774</v>
      </c>
      <c r="E42" s="107">
        <f>D42/$D$48</f>
        <v>0.15688840936024198</v>
      </c>
      <c r="F42" s="28">
        <f>C42-(C42*$E$6)</f>
        <v>0.40305475127214541</v>
      </c>
      <c r="G42" s="27" t="str">
        <f>IF(C42&gt;=F42,"-","+")</f>
        <v>+</v>
      </c>
      <c r="H42" s="26">
        <f>C42*D42</f>
        <v>709.6</v>
      </c>
      <c r="I42" s="26">
        <f>F42*D42</f>
        <v>715.0191287567859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59.9</v>
      </c>
      <c r="E43" s="107">
        <f>D43/$D$48</f>
        <v>5.2974158515662314E-3</v>
      </c>
      <c r="F43" s="28">
        <f>C43-(C43*$E$6)</f>
        <v>0.40305475127214541</v>
      </c>
      <c r="G43" s="27" t="str">
        <f>IF(C43&gt;=F43,"-","+")</f>
        <v>+</v>
      </c>
      <c r="H43" s="26">
        <f>C43*D43</f>
        <v>23.96</v>
      </c>
      <c r="I43" s="26">
        <f>F43*D43</f>
        <v>24.14297960120151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22.1</v>
      </c>
      <c r="E44" s="107">
        <f>D44/$D$48</f>
        <v>1.9544722924810303E-3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5.0409466367157794E-4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0.39402696460224529</v>
      </c>
      <c r="D46" s="22">
        <f>SUM(D41:D45)</f>
        <v>1861.7</v>
      </c>
      <c r="E46" s="113">
        <f>D46/$D$48</f>
        <v>0.16464439216796081</v>
      </c>
      <c r="F46" s="20">
        <f>I46/D46</f>
        <v>0.39703610053069099</v>
      </c>
      <c r="G46" s="19">
        <f>F46/C46-1</f>
        <v>7.6368781803632935E-3</v>
      </c>
      <c r="H46" s="18">
        <f>SUM(H41:H44)</f>
        <v>733.56000000000006</v>
      </c>
      <c r="I46" s="18">
        <f>SUM(I41:I44)</f>
        <v>739.16210835798745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99.575933887096866</v>
      </c>
      <c r="D48" s="13">
        <f>D24+D32+D40+D46</f>
        <v>11307.4</v>
      </c>
      <c r="E48" s="12">
        <f>SUM(E20:E46)/2</f>
        <v>1.0000000000000002</v>
      </c>
      <c r="F48" s="11">
        <f>I48/D48</f>
        <v>26.582808057456621</v>
      </c>
      <c r="G48" s="10"/>
      <c r="H48" s="9">
        <f>SUM(H20:H46)/2</f>
        <v>298304.33</v>
      </c>
      <c r="I48" s="9">
        <f>SUM(I20:I46)/2</f>
        <v>300582.44382888498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11590.7</v>
      </c>
      <c r="E50" s="12">
        <f>D50/G2</f>
        <v>1</v>
      </c>
      <c r="F50" s="11">
        <f>I50/D50</f>
        <v>26.800000000000004</v>
      </c>
      <c r="G50" s="10"/>
      <c r="H50" s="9">
        <f>H48+H19</f>
        <v>308276.49</v>
      </c>
      <c r="I50" s="9">
        <f>I48+I19</f>
        <v>310630.76000000007</v>
      </c>
      <c r="J50" s="106">
        <f>D50-G2</f>
        <v>0</v>
      </c>
      <c r="K50" s="8"/>
    </row>
    <row r="51" spans="1:11" ht="23.25" x14ac:dyDescent="0.35">
      <c r="A51" s="174" t="s">
        <v>330</v>
      </c>
      <c r="B51" s="169"/>
      <c r="C51" s="170"/>
      <c r="G51" s="7"/>
      <c r="H51" s="6"/>
      <c r="I51" s="6">
        <f>+I50/D50</f>
        <v>26.800000000000004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324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329</v>
      </c>
      <c r="D2" s="96" t="s">
        <v>3</v>
      </c>
      <c r="E2" s="95" t="s">
        <v>71</v>
      </c>
      <c r="F2" s="94" t="s">
        <v>5</v>
      </c>
      <c r="G2" s="93">
        <v>16104.7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168</v>
      </c>
      <c r="D3" s="90" t="s">
        <v>7</v>
      </c>
      <c r="E3" s="89">
        <v>200</v>
      </c>
      <c r="F3" s="88" t="s">
        <v>8</v>
      </c>
      <c r="G3" s="87">
        <v>27.15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80.523499999999999</v>
      </c>
      <c r="F4" s="81" t="s">
        <v>12</v>
      </c>
      <c r="G4" s="80">
        <f>G2*G3</f>
        <v>437242.60499999998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-1.796451985008507E-2</v>
      </c>
      <c r="F6" s="69" t="s">
        <v>16</v>
      </c>
      <c r="G6" s="68">
        <f>(I50-I19)/(D50-(SUM(D42:D44)+D19))</f>
        <v>32.238116464450819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>
        <f t="shared" ref="E10:E19" si="1">D10/$D$19</f>
        <v>0</v>
      </c>
      <c r="F10" s="28">
        <f t="shared" ref="F10:F18" si="2">C10-(C10*$E$6)</f>
        <v>27.688634939922313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28.3</v>
      </c>
      <c r="D11" s="30">
        <v>6498.4</v>
      </c>
      <c r="E11" s="29">
        <f t="shared" si="1"/>
        <v>0.54038052155401817</v>
      </c>
      <c r="F11" s="28">
        <f t="shared" si="2"/>
        <v>28.808395911757408</v>
      </c>
      <c r="G11" s="27" t="str">
        <f t="shared" si="3"/>
        <v>+</v>
      </c>
      <c r="H11" s="34">
        <f t="shared" si="4"/>
        <v>183904.72</v>
      </c>
      <c r="I11" s="34">
        <f t="shared" si="5"/>
        <v>187208.47999296433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25.8</v>
      </c>
      <c r="D12" s="30">
        <v>5527.2</v>
      </c>
      <c r="E12" s="29">
        <f t="shared" si="1"/>
        <v>0.45961947844598194</v>
      </c>
      <c r="F12" s="28">
        <f t="shared" si="2"/>
        <v>26.263484612132196</v>
      </c>
      <c r="G12" s="27" t="str">
        <f t="shared" si="3"/>
        <v>+</v>
      </c>
      <c r="H12" s="34">
        <f t="shared" si="4"/>
        <v>142601.76</v>
      </c>
      <c r="I12" s="34">
        <f t="shared" si="5"/>
        <v>145163.53214817707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>
        <f t="shared" si="1"/>
        <v>0</v>
      </c>
      <c r="F13" s="28">
        <f t="shared" si="2"/>
        <v>28.808395911757408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31.6</v>
      </c>
      <c r="D14" s="30"/>
      <c r="E14" s="29">
        <f t="shared" si="1"/>
        <v>0</v>
      </c>
      <c r="F14" s="28">
        <f t="shared" si="2"/>
        <v>32.167678827262691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26.1</v>
      </c>
      <c r="D15" s="30"/>
      <c r="E15" s="29">
        <f t="shared" si="1"/>
        <v>0</v>
      </c>
      <c r="F15" s="28">
        <f t="shared" si="2"/>
        <v>26.568873968087221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35.700000000000003</v>
      </c>
      <c r="D16" s="30"/>
      <c r="E16" s="29">
        <f t="shared" si="1"/>
        <v>0</v>
      </c>
      <c r="F16" s="28">
        <f t="shared" si="2"/>
        <v>36.341333358648043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52.5</v>
      </c>
      <c r="D17" s="30"/>
      <c r="E17" s="29">
        <f t="shared" si="1"/>
        <v>0</v>
      </c>
      <c r="F17" s="28">
        <f t="shared" si="2"/>
        <v>53.443137292129464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</v>
      </c>
      <c r="D18" s="30"/>
      <c r="E18" s="29">
        <f t="shared" si="1"/>
        <v>0</v>
      </c>
      <c r="F18" s="28">
        <f t="shared" si="2"/>
        <v>46.826367913103915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27.150951303885048</v>
      </c>
      <c r="D19" s="49">
        <f>SUM(D10:D18)</f>
        <v>12025.599999999999</v>
      </c>
      <c r="E19" s="48">
        <f t="shared" si="1"/>
        <v>1</v>
      </c>
      <c r="F19" s="47">
        <f>I19/D19</f>
        <v>27.638705107532385</v>
      </c>
      <c r="G19" s="46">
        <f>F19/C19-1</f>
        <v>1.796451985008507E-2</v>
      </c>
      <c r="H19" s="9">
        <f>SUM(H10:H18)</f>
        <v>326506.48</v>
      </c>
      <c r="I19" s="9">
        <f>SUM(I10:I18)</f>
        <v>332372.0121411414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68.3</v>
      </c>
      <c r="D21" s="30">
        <v>26.8</v>
      </c>
      <c r="E21" s="29">
        <f>D21/$D$48</f>
        <v>6.5700767326125863E-3</v>
      </c>
      <c r="F21" s="28">
        <f>C21-(C21*$E$6)</f>
        <v>69.526976705760802</v>
      </c>
      <c r="G21" s="27" t="str">
        <f>IF(C21&gt;=F21,"-","+")</f>
        <v>+</v>
      </c>
      <c r="H21" s="26">
        <f>C21*D21</f>
        <v>1830.44</v>
      </c>
      <c r="I21" s="26">
        <f>F21*D21</f>
        <v>1863.3229757143895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171.2</v>
      </c>
      <c r="E22" s="29">
        <f>D22/$D$48</f>
        <v>4.1970042411316223E-2</v>
      </c>
      <c r="F22" s="28">
        <f>C22-(C22*$E$6)</f>
        <v>46.724571461118906</v>
      </c>
      <c r="G22" s="27" t="str">
        <f>IF(C22&gt;=F22,"-","+")</f>
        <v>+</v>
      </c>
      <c r="H22" s="26">
        <f>C22*D22</f>
        <v>7858.079999999999</v>
      </c>
      <c r="I22" s="26">
        <f>F22*D22</f>
        <v>7999.2466341435565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41.8</v>
      </c>
      <c r="D23" s="30">
        <v>46.2</v>
      </c>
      <c r="E23" s="29">
        <f>D23/$D$48</f>
        <v>1.1326027800250056E-2</v>
      </c>
      <c r="F23" s="28">
        <f>C23-(C23*$E$6)</f>
        <v>42.550916929733553</v>
      </c>
      <c r="G23" s="27" t="str">
        <f>IF(C23&gt;=F23,"-","+")</f>
        <v>+</v>
      </c>
      <c r="H23" s="26">
        <f>C23*D23</f>
        <v>1931.16</v>
      </c>
      <c r="I23" s="26">
        <f>F23*D23</f>
        <v>1965.8523621536904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47.582637182637178</v>
      </c>
      <c r="D24" s="22">
        <f>SUM(D21:D23)</f>
        <v>244.2</v>
      </c>
      <c r="E24" s="21">
        <f>D24/$D$48</f>
        <v>5.9866146944178862E-2</v>
      </c>
      <c r="F24" s="20">
        <f>I24/D24</f>
        <v>48.437436412824063</v>
      </c>
      <c r="G24" s="19">
        <f>F24/C24-1</f>
        <v>1.796451985008507E-2</v>
      </c>
      <c r="H24" s="18">
        <f>SUM(H21:H23)</f>
        <v>11619.679999999998</v>
      </c>
      <c r="I24" s="18">
        <f>SUM(I21:I23)</f>
        <v>11828.421972011636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36.4</v>
      </c>
      <c r="D26" s="30">
        <v>582</v>
      </c>
      <c r="E26" s="29">
        <f t="shared" ref="E26:E32" si="7">D26/$D$48</f>
        <v>0.14267853202912406</v>
      </c>
      <c r="F26" s="28">
        <f t="shared" ref="F26:F31" si="8">C26-(C26*$E$6)</f>
        <v>37.053908522543097</v>
      </c>
      <c r="G26" s="27" t="str">
        <f t="shared" ref="G26:G31" si="9">IF(C26&gt;=F26,"-","+")</f>
        <v>+</v>
      </c>
      <c r="H26" s="26">
        <f t="shared" ref="H26:H31" si="10">C26*D26</f>
        <v>21184.799999999999</v>
      </c>
      <c r="I26" s="26">
        <f t="shared" ref="I26:I31" si="11">F26*D26</f>
        <v>21565.374760120081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32.4</v>
      </c>
      <c r="D27" s="30">
        <v>757.4</v>
      </c>
      <c r="E27" s="29">
        <f t="shared" si="7"/>
        <v>0.18567821333137211</v>
      </c>
      <c r="F27" s="28">
        <f t="shared" si="8"/>
        <v>32.982050443142754</v>
      </c>
      <c r="G27" s="27" t="str">
        <f t="shared" si="9"/>
        <v>+</v>
      </c>
      <c r="H27" s="26">
        <f t="shared" si="10"/>
        <v>24539.759999999998</v>
      </c>
      <c r="I27" s="26">
        <f t="shared" si="11"/>
        <v>24980.60500563632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32.4</v>
      </c>
      <c r="D28" s="30">
        <v>488.5</v>
      </c>
      <c r="E28" s="29">
        <f t="shared" si="7"/>
        <v>0.11975680910004659</v>
      </c>
      <c r="F28" s="28">
        <f t="shared" si="8"/>
        <v>32.982050443142754</v>
      </c>
      <c r="G28" s="27" t="str">
        <f t="shared" si="9"/>
        <v>+</v>
      </c>
      <c r="H28" s="26">
        <f t="shared" si="10"/>
        <v>15827.4</v>
      </c>
      <c r="I28" s="26">
        <f t="shared" si="11"/>
        <v>16111.731641475235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429</v>
      </c>
      <c r="E29" s="29">
        <f t="shared" si="7"/>
        <v>0.10517025814517908</v>
      </c>
      <c r="F29" s="28">
        <f t="shared" si="8"/>
        <v>31.964085923292672</v>
      </c>
      <c r="G29" s="27" t="str">
        <f t="shared" si="9"/>
        <v>+</v>
      </c>
      <c r="H29" s="26">
        <f t="shared" si="10"/>
        <v>13470.599999999999</v>
      </c>
      <c r="I29" s="26">
        <f t="shared" si="11"/>
        <v>13712.592861092557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108</v>
      </c>
      <c r="E30" s="29">
        <f t="shared" si="7"/>
        <v>2.6476428623961167E-2</v>
      </c>
      <c r="F30" s="28">
        <f t="shared" si="8"/>
        <v>31.964085923292672</v>
      </c>
      <c r="G30" s="27" t="str">
        <f t="shared" si="9"/>
        <v>+</v>
      </c>
      <c r="H30" s="26">
        <f t="shared" si="10"/>
        <v>3391.2</v>
      </c>
      <c r="I30" s="26">
        <f t="shared" si="11"/>
        <v>3452.1212797156086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31.9</v>
      </c>
      <c r="D31" s="30">
        <v>27.5</v>
      </c>
      <c r="E31" s="29">
        <f t="shared" si="7"/>
        <v>6.741683214434557E-3</v>
      </c>
      <c r="F31" s="28">
        <f t="shared" si="8"/>
        <v>32.473068183217713</v>
      </c>
      <c r="G31" s="27" t="str">
        <f t="shared" si="9"/>
        <v>+</v>
      </c>
      <c r="H31" s="26">
        <f t="shared" si="10"/>
        <v>877.25</v>
      </c>
      <c r="I31" s="26">
        <f t="shared" si="11"/>
        <v>893.00937503848706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33.142873265340242</v>
      </c>
      <c r="D32" s="22">
        <f>SUM(D26:D31)</f>
        <v>2392.4</v>
      </c>
      <c r="E32" s="21">
        <f t="shared" si="7"/>
        <v>0.58650192444411764</v>
      </c>
      <c r="F32" s="20">
        <f>I32/D32</f>
        <v>33.7382690700043</v>
      </c>
      <c r="G32" s="19">
        <f>F32/C32-1</f>
        <v>1.796451985008507E-2</v>
      </c>
      <c r="H32" s="18">
        <f>SUM(H26:H31)</f>
        <v>79291.009999999995</v>
      </c>
      <c r="I32" s="18">
        <f>SUM(I26:I31)</f>
        <v>80715.434923078283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614</v>
      </c>
      <c r="E34" s="29">
        <f t="shared" ref="E34:E40" si="13">D34/$D$48</f>
        <v>0.150523399769557</v>
      </c>
      <c r="F34" s="28">
        <f t="shared" ref="F34:F39" si="14">C34-(C34*$E$6)</f>
        <v>19.544918781121634</v>
      </c>
      <c r="G34" s="27" t="str">
        <f t="shared" ref="G34:G39" si="15">IF(C34&gt;=F34,"-","+")</f>
        <v>+</v>
      </c>
      <c r="H34" s="26">
        <f t="shared" ref="H34:H39" si="16">C34*D34</f>
        <v>11788.8</v>
      </c>
      <c r="I34" s="26">
        <f t="shared" ref="I34:I39" si="17">F34*D34</f>
        <v>12000.580131608684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/>
      <c r="E35" s="29">
        <f t="shared" si="13"/>
        <v>0</v>
      </c>
      <c r="F35" s="28">
        <f t="shared" si="14"/>
        <v>15.06587489378126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12.113777786216012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31.964085923292672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31.964085923292672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32.4</v>
      </c>
      <c r="D39" s="30"/>
      <c r="E39" s="29">
        <f t="shared" si="13"/>
        <v>0</v>
      </c>
      <c r="F39" s="28">
        <f t="shared" si="14"/>
        <v>32.982050443142754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</v>
      </c>
      <c r="D40" s="22">
        <f>SUM(D34:D39)</f>
        <v>614</v>
      </c>
      <c r="E40" s="113">
        <f t="shared" si="13"/>
        <v>0.150523399769557</v>
      </c>
      <c r="F40" s="20">
        <f>I40/D40</f>
        <v>19.544918781121634</v>
      </c>
      <c r="G40" s="19">
        <f>F40/C40-1</f>
        <v>1.796451985008507E-2</v>
      </c>
      <c r="H40" s="18">
        <f>SUM(H34:H39)</f>
        <v>11788.8</v>
      </c>
      <c r="I40" s="18">
        <f>SUM(I34:I39)</f>
        <v>12000.580131608684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778</v>
      </c>
      <c r="E42" s="107">
        <f>D42/$D$48</f>
        <v>0.19072834693927582</v>
      </c>
      <c r="F42" s="28">
        <f>C42-(C42*$E$6)</f>
        <v>0.40718580794003406</v>
      </c>
      <c r="G42" s="27" t="str">
        <f>IF(C42&gt;=F42,"-","+")</f>
        <v>+</v>
      </c>
      <c r="H42" s="26">
        <f>C42*D42</f>
        <v>311.20000000000005</v>
      </c>
      <c r="I42" s="26">
        <f>F42*D42</f>
        <v>316.79055857734647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23</v>
      </c>
      <c r="E43" s="107">
        <f>D43/$D$48</f>
        <v>5.6384986884361749E-3</v>
      </c>
      <c r="F43" s="28">
        <f>C43-(C43*$E$6)</f>
        <v>0.40718580794003406</v>
      </c>
      <c r="G43" s="27" t="str">
        <f>IF(C43&gt;=F43,"-","+")</f>
        <v>+</v>
      </c>
      <c r="H43" s="26">
        <f>C43*D43</f>
        <v>9.2000000000000011</v>
      </c>
      <c r="I43" s="26">
        <f>F43*D43</f>
        <v>9.3652735826207838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25.1</v>
      </c>
      <c r="E44" s="107">
        <f>D44/$D$48</f>
        <v>6.153318133902087E-3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2.4</v>
      </c>
      <c r="E45" s="107">
        <f>D45/$D$48</f>
        <v>5.8836508053247043E-4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0.38672299336149674</v>
      </c>
      <c r="D46" s="22">
        <f>SUM(D41:D45)</f>
        <v>828.5</v>
      </c>
      <c r="E46" s="113">
        <f>D46/$D$48</f>
        <v>0.20310852884214656</v>
      </c>
      <c r="F46" s="20">
        <f>I46/D46</f>
        <v>0.39367028625222361</v>
      </c>
      <c r="G46" s="19">
        <f>F46/C46-1</f>
        <v>1.7964519850084848E-2</v>
      </c>
      <c r="H46" s="18">
        <f>SUM(H41:H44)</f>
        <v>320.40000000000003</v>
      </c>
      <c r="I46" s="18">
        <f>SUM(I41:I44)</f>
        <v>326.15583215996725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100.31223344133893</v>
      </c>
      <c r="D48" s="13">
        <f>D24+D32+D40+D46</f>
        <v>4079.1</v>
      </c>
      <c r="E48" s="12">
        <f>SUM(E20:E46)/2</f>
        <v>1</v>
      </c>
      <c r="F48" s="11">
        <f>I48/D48</f>
        <v>25.709247838704265</v>
      </c>
      <c r="G48" s="10"/>
      <c r="H48" s="9">
        <f>SUM(H20:H46)/2</f>
        <v>103019.88999999998</v>
      </c>
      <c r="I48" s="9">
        <f>SUM(I20:I46)/2</f>
        <v>104870.59285885857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16104.7</v>
      </c>
      <c r="E50" s="12">
        <f>D50/G2</f>
        <v>1</v>
      </c>
      <c r="F50" s="11">
        <f>I50/D50</f>
        <v>27.15</v>
      </c>
      <c r="G50" s="10"/>
      <c r="H50" s="9">
        <f>H48+H19</f>
        <v>429526.37</v>
      </c>
      <c r="I50" s="9">
        <f>I48+I19</f>
        <v>437242.60499999998</v>
      </c>
      <c r="J50" s="106">
        <f>D50-G2</f>
        <v>0</v>
      </c>
      <c r="K50" s="8"/>
    </row>
    <row r="51" spans="1:11" ht="23.25" x14ac:dyDescent="0.35">
      <c r="A51" s="174" t="s">
        <v>331</v>
      </c>
      <c r="B51" s="169"/>
      <c r="C51" s="170"/>
      <c r="G51" s="7"/>
      <c r="H51" s="6"/>
      <c r="I51" s="6">
        <f>+I50/D50</f>
        <v>27.15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329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329</v>
      </c>
      <c r="D2" s="96" t="s">
        <v>3</v>
      </c>
      <c r="E2" s="95" t="s">
        <v>71</v>
      </c>
      <c r="F2" s="94" t="s">
        <v>5</v>
      </c>
      <c r="G2" s="93">
        <v>22884.7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332</v>
      </c>
      <c r="F3" s="88" t="s">
        <v>8</v>
      </c>
      <c r="G3" s="87">
        <v>27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68.929819277108436</v>
      </c>
      <c r="F4" s="81" t="s">
        <v>12</v>
      </c>
      <c r="G4" s="80">
        <f>G2*G3</f>
        <v>617886.9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-4.5746427953381463E-3</v>
      </c>
      <c r="F6" s="69" t="s">
        <v>16</v>
      </c>
      <c r="G6" s="68">
        <f>(I50-I19)/(D50-(SUM(D42:D44)+D19))</f>
        <v>32.245481370136453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</v>
      </c>
      <c r="D10" s="30"/>
      <c r="E10" s="29">
        <f t="shared" ref="E10:E19" si="1">D10/$D$19</f>
        <v>0</v>
      </c>
      <c r="F10" s="28">
        <f t="shared" ref="F10:F18" si="2">C10-(C10*$E$6)</f>
        <v>27.12351535547413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28.1</v>
      </c>
      <c r="D11" s="30"/>
      <c r="E11" s="29">
        <f t="shared" si="1"/>
        <v>0</v>
      </c>
      <c r="F11" s="28">
        <f t="shared" si="2"/>
        <v>28.228547462549002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25.7</v>
      </c>
      <c r="D12" s="30"/>
      <c r="E12" s="29">
        <f t="shared" si="1"/>
        <v>0</v>
      </c>
      <c r="F12" s="28">
        <f t="shared" si="2"/>
        <v>25.817568319840191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28.1</v>
      </c>
      <c r="D13" s="30"/>
      <c r="E13" s="29">
        <f t="shared" si="1"/>
        <v>0</v>
      </c>
      <c r="F13" s="28">
        <f t="shared" si="2"/>
        <v>28.228547462549002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31.4</v>
      </c>
      <c r="D14" s="30">
        <v>203.6</v>
      </c>
      <c r="E14" s="29">
        <f t="shared" si="1"/>
        <v>1</v>
      </c>
      <c r="F14" s="28">
        <f t="shared" si="2"/>
        <v>31.543643783773618</v>
      </c>
      <c r="G14" s="27" t="str">
        <f t="shared" si="3"/>
        <v>+</v>
      </c>
      <c r="H14" s="34">
        <f t="shared" si="4"/>
        <v>6393.04</v>
      </c>
      <c r="I14" s="34">
        <f t="shared" si="5"/>
        <v>6422.2858743763081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25.9</v>
      </c>
      <c r="D15" s="30"/>
      <c r="E15" s="29">
        <f t="shared" si="1"/>
        <v>0</v>
      </c>
      <c r="F15" s="28">
        <f t="shared" si="2"/>
        <v>26.018483248399257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35.5</v>
      </c>
      <c r="D16" s="30"/>
      <c r="E16" s="29">
        <f t="shared" si="1"/>
        <v>0</v>
      </c>
      <c r="F16" s="28">
        <f t="shared" si="2"/>
        <v>35.662399819234501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52.2</v>
      </c>
      <c r="D17" s="30"/>
      <c r="E17" s="29">
        <f t="shared" si="1"/>
        <v>0</v>
      </c>
      <c r="F17" s="28">
        <f t="shared" si="2"/>
        <v>52.438796353916651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45.7</v>
      </c>
      <c r="D18" s="30"/>
      <c r="E18" s="29">
        <f t="shared" si="1"/>
        <v>0</v>
      </c>
      <c r="F18" s="28">
        <f t="shared" si="2"/>
        <v>45.909061175746956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31.400000000000002</v>
      </c>
      <c r="D19" s="49">
        <f>SUM(D10:D18)</f>
        <v>203.6</v>
      </c>
      <c r="E19" s="48">
        <f t="shared" si="1"/>
        <v>1</v>
      </c>
      <c r="F19" s="47">
        <f>I19/D19</f>
        <v>31.543643783773618</v>
      </c>
      <c r="G19" s="46">
        <f>F19/C19-1</f>
        <v>4.5746427953381463E-3</v>
      </c>
      <c r="H19" s="9">
        <f>SUM(H10:H18)</f>
        <v>6393.04</v>
      </c>
      <c r="I19" s="9">
        <f>SUM(I10:I18)</f>
        <v>6422.2858743763081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67.900000000000006</v>
      </c>
      <c r="D21" s="30">
        <v>267.5</v>
      </c>
      <c r="E21" s="29">
        <f>D21/$D$48</f>
        <v>1.1794116609643399E-2</v>
      </c>
      <c r="F21" s="28">
        <f>C21-(C21*$E$6)</f>
        <v>68.21061824580346</v>
      </c>
      <c r="G21" s="27" t="str">
        <f>IF(C21&gt;=F21,"-","+")</f>
        <v>+</v>
      </c>
      <c r="H21" s="26">
        <f>C21*D21</f>
        <v>18163.25</v>
      </c>
      <c r="I21" s="26">
        <f>F21*D21</f>
        <v>18246.340380752426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45.6</v>
      </c>
      <c r="D22" s="30">
        <v>614</v>
      </c>
      <c r="E22" s="29">
        <f>D22/$D$48</f>
        <v>2.7071355507742232E-2</v>
      </c>
      <c r="F22" s="28">
        <f>C22-(C22*$E$6)</f>
        <v>45.80860371146742</v>
      </c>
      <c r="G22" s="27" t="str">
        <f>IF(C22&gt;=F22,"-","+")</f>
        <v>+</v>
      </c>
      <c r="H22" s="26">
        <f>C22*D22</f>
        <v>27998.400000000001</v>
      </c>
      <c r="I22" s="26">
        <f>F22*D22</f>
        <v>28126.482678840996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41.6</v>
      </c>
      <c r="D23" s="30">
        <v>547.79999999999995</v>
      </c>
      <c r="E23" s="29">
        <f>D23/$D$48</f>
        <v>2.4152587210327675E-2</v>
      </c>
      <c r="F23" s="28">
        <f>C23-(C23*$E$6)</f>
        <v>41.790305140286065</v>
      </c>
      <c r="G23" s="27" t="str">
        <f>IF(C23&gt;=F23,"-","+")</f>
        <v>+</v>
      </c>
      <c r="H23" s="26">
        <f>C23*D23</f>
        <v>22788.48</v>
      </c>
      <c r="I23" s="26">
        <f>F23*D23</f>
        <v>22892.729155848705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48.240488350941028</v>
      </c>
      <c r="D24" s="22">
        <f>SUM(D21:D23)</f>
        <v>1429.3</v>
      </c>
      <c r="E24" s="21">
        <f>D24/$D$48</f>
        <v>6.3018059327713302E-2</v>
      </c>
      <c r="F24" s="20">
        <f>I24/D24</f>
        <v>48.461171353419239</v>
      </c>
      <c r="G24" s="19">
        <f>F24/C24-1</f>
        <v>4.5746427953379243E-3</v>
      </c>
      <c r="H24" s="18">
        <f>SUM(H21:H23)</f>
        <v>68950.13</v>
      </c>
      <c r="I24" s="18">
        <f>SUM(I21:I23)</f>
        <v>69265.55221544212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36.200000000000003</v>
      </c>
      <c r="D26" s="30">
        <f>419+50.9+4009.1</f>
        <v>4479</v>
      </c>
      <c r="E26" s="29">
        <f t="shared" ref="E26:E32" si="7">D26/$D$48</f>
        <v>0.19747980670875809</v>
      </c>
      <c r="F26" s="28">
        <f t="shared" ref="F26:F31" si="8">C26-(C26*$E$6)</f>
        <v>36.36560206919124</v>
      </c>
      <c r="G26" s="27" t="str">
        <f t="shared" ref="G26:G31" si="9">IF(C26&gt;=F26,"-","+")</f>
        <v>+</v>
      </c>
      <c r="H26" s="26">
        <f t="shared" ref="H26:H31" si="10">C26*D26</f>
        <v>162139.80000000002</v>
      </c>
      <c r="I26" s="26">
        <f t="shared" ref="I26:I31" si="11">F26*D26</f>
        <v>162881.53166790758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32.299999999999997</v>
      </c>
      <c r="D27" s="30">
        <v>3222.9</v>
      </c>
      <c r="E27" s="29">
        <f t="shared" si="7"/>
        <v>0.14209816232231667</v>
      </c>
      <c r="F27" s="28">
        <f t="shared" si="8"/>
        <v>32.447760962289422</v>
      </c>
      <c r="G27" s="27" t="str">
        <f t="shared" si="9"/>
        <v>+</v>
      </c>
      <c r="H27" s="26">
        <f t="shared" si="10"/>
        <v>104099.67</v>
      </c>
      <c r="I27" s="26">
        <f t="shared" si="11"/>
        <v>104575.88880536259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32.299999999999997</v>
      </c>
      <c r="D28" s="30">
        <v>2613.1</v>
      </c>
      <c r="E28" s="29">
        <f t="shared" si="7"/>
        <v>0.11521198546788473</v>
      </c>
      <c r="F28" s="28">
        <f t="shared" si="8"/>
        <v>32.447760962289422</v>
      </c>
      <c r="G28" s="27" t="str">
        <f t="shared" si="9"/>
        <v>+</v>
      </c>
      <c r="H28" s="26">
        <f t="shared" si="10"/>
        <v>84403.12999999999</v>
      </c>
      <c r="I28" s="26">
        <f t="shared" si="11"/>
        <v>84789.244170558479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31.2</v>
      </c>
      <c r="D29" s="30">
        <v>2180.6</v>
      </c>
      <c r="E29" s="29">
        <f t="shared" si="7"/>
        <v>9.6142993192479986E-2</v>
      </c>
      <c r="F29" s="28">
        <f t="shared" si="8"/>
        <v>31.342728855214549</v>
      </c>
      <c r="G29" s="27" t="str">
        <f t="shared" si="9"/>
        <v>+</v>
      </c>
      <c r="H29" s="26">
        <f t="shared" si="10"/>
        <v>68034.720000000001</v>
      </c>
      <c r="I29" s="26">
        <f t="shared" si="11"/>
        <v>68345.95454168084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31.2</v>
      </c>
      <c r="D30" s="30">
        <v>1620.4</v>
      </c>
      <c r="E30" s="29">
        <f t="shared" si="7"/>
        <v>7.1443688053331456E-2</v>
      </c>
      <c r="F30" s="28">
        <f t="shared" si="8"/>
        <v>31.342728855214549</v>
      </c>
      <c r="G30" s="27" t="str">
        <f t="shared" si="9"/>
        <v>+</v>
      </c>
      <c r="H30" s="26">
        <f t="shared" si="10"/>
        <v>50556.480000000003</v>
      </c>
      <c r="I30" s="26">
        <f t="shared" si="11"/>
        <v>50787.757836989658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31.7</v>
      </c>
      <c r="D31" s="30">
        <v>342</v>
      </c>
      <c r="E31" s="29">
        <f t="shared" si="7"/>
        <v>1.5078833198123523E-2</v>
      </c>
      <c r="F31" s="28">
        <f t="shared" si="8"/>
        <v>31.845016176612219</v>
      </c>
      <c r="G31" s="27" t="str">
        <f t="shared" si="9"/>
        <v>+</v>
      </c>
      <c r="H31" s="26">
        <f t="shared" si="10"/>
        <v>10841.4</v>
      </c>
      <c r="I31" s="26">
        <f t="shared" si="11"/>
        <v>10890.995532401379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33.20481394383733</v>
      </c>
      <c r="D32" s="22">
        <f>SUM(D26:D31)</f>
        <v>14458</v>
      </c>
      <c r="E32" s="21">
        <f t="shared" si="7"/>
        <v>0.6374554689428944</v>
      </c>
      <c r="F32" s="20">
        <f>I32/D32</f>
        <v>33.356714106716041</v>
      </c>
      <c r="G32" s="19">
        <f>F32/C32-1</f>
        <v>4.5746427953379243E-3</v>
      </c>
      <c r="H32" s="18">
        <f>SUM(H26:H31)</f>
        <v>480075.20000000007</v>
      </c>
      <c r="I32" s="18">
        <f>SUM(I26:I31)</f>
        <v>482271.37255490053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19.100000000000001</v>
      </c>
      <c r="D34" s="30">
        <v>2971</v>
      </c>
      <c r="E34" s="29">
        <f t="shared" ref="E34:E40" si="13">D34/$D$48</f>
        <v>0.13099185213925435</v>
      </c>
      <c r="F34" s="28">
        <f t="shared" ref="F34:F39" si="14">C34-(C34*$E$6)</f>
        <v>19.187375677390961</v>
      </c>
      <c r="G34" s="27" t="str">
        <f t="shared" ref="G34:G39" si="15">IF(C34&gt;=F34,"-","+")</f>
        <v>+</v>
      </c>
      <c r="H34" s="26">
        <f t="shared" ref="H34:H39" si="16">C34*D34</f>
        <v>56746.100000000006</v>
      </c>
      <c r="I34" s="26">
        <f t="shared" ref="I34:I39" si="17">F34*D34</f>
        <v>57005.693137528542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14.7</v>
      </c>
      <c r="D35" s="30">
        <v>96.7</v>
      </c>
      <c r="E35" s="29">
        <f t="shared" si="13"/>
        <v>4.263518041691651E-3</v>
      </c>
      <c r="F35" s="28">
        <f t="shared" si="14"/>
        <v>14.76724724909147</v>
      </c>
      <c r="G35" s="27" t="str">
        <f t="shared" si="15"/>
        <v>+</v>
      </c>
      <c r="H35" s="26">
        <f t="shared" si="16"/>
        <v>1421.49</v>
      </c>
      <c r="I35" s="26">
        <f t="shared" si="17"/>
        <v>1427.9928089871453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30"/>
      <c r="E36" s="29">
        <f t="shared" si="13"/>
        <v>0</v>
      </c>
      <c r="F36" s="28">
        <f t="shared" si="14"/>
        <v>11.853980784984991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31.2</v>
      </c>
      <c r="D37" s="30"/>
      <c r="E37" s="29">
        <f t="shared" si="13"/>
        <v>0</v>
      </c>
      <c r="F37" s="28">
        <f t="shared" si="14"/>
        <v>31.342728855214549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31.2</v>
      </c>
      <c r="D38" s="30"/>
      <c r="E38" s="29">
        <f t="shared" si="13"/>
        <v>0</v>
      </c>
      <c r="F38" s="28">
        <f t="shared" si="14"/>
        <v>31.342728855214549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32.299999999999997</v>
      </c>
      <c r="D39" s="30"/>
      <c r="E39" s="29">
        <f t="shared" si="13"/>
        <v>0</v>
      </c>
      <c r="F39" s="28">
        <f t="shared" si="14"/>
        <v>32.447760962289422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18.961303256511396</v>
      </c>
      <c r="D40" s="22">
        <f>SUM(D34:D39)</f>
        <v>3067.7</v>
      </c>
      <c r="E40" s="113">
        <f t="shared" si="13"/>
        <v>0.13525537018094599</v>
      </c>
      <c r="F40" s="20">
        <f>I40/D40</f>
        <v>19.048044445844017</v>
      </c>
      <c r="G40" s="19">
        <f>F40/C40-1</f>
        <v>4.5746427953381463E-3</v>
      </c>
      <c r="H40" s="18">
        <f>SUM(H34:H39)</f>
        <v>58167.590000000004</v>
      </c>
      <c r="I40" s="18">
        <f>SUM(I34:I39)</f>
        <v>58433.685946515689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3586</v>
      </c>
      <c r="E42" s="107">
        <f>D42/$D$48</f>
        <v>0.15810729780254665</v>
      </c>
      <c r="F42" s="28">
        <f>C42-(C42*$E$6)</f>
        <v>0.40182985711813529</v>
      </c>
      <c r="G42" s="27" t="str">
        <f>IF(C42&gt;=F42,"-","+")</f>
        <v>+</v>
      </c>
      <c r="H42" s="26">
        <f>C42*D42</f>
        <v>1434.4</v>
      </c>
      <c r="I42" s="26">
        <f>F42*D42</f>
        <v>1440.9618676256332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132</v>
      </c>
      <c r="E43" s="107">
        <f>D43/$D$48</f>
        <v>5.8199005326090795E-3</v>
      </c>
      <c r="F43" s="28">
        <f>C43-(C43*$E$6)</f>
        <v>0.40182985711813529</v>
      </c>
      <c r="G43" s="27" t="str">
        <f>IF(C43&gt;=F43,"-","+")</f>
        <v>+</v>
      </c>
      <c r="H43" s="26">
        <f>C43*D43</f>
        <v>52.800000000000004</v>
      </c>
      <c r="I43" s="26">
        <f>F43*D43</f>
        <v>53.041541139593861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7.8</v>
      </c>
      <c r="E45" s="107">
        <f>D45/$D$48</f>
        <v>3.439032132905365E-4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0.39916259595254711</v>
      </c>
      <c r="D46" s="22">
        <f>SUM(D41:D45)</f>
        <v>3725.8</v>
      </c>
      <c r="E46" s="113">
        <f>D46/$D$48</f>
        <v>0.16427110154844626</v>
      </c>
      <c r="F46" s="20">
        <f>I46/D46</f>
        <v>0.40098862224628989</v>
      </c>
      <c r="G46" s="19">
        <f>F46/C46-1</f>
        <v>4.5746427953381463E-3</v>
      </c>
      <c r="H46" s="18">
        <f>SUM(H41:H44)</f>
        <v>1487.2</v>
      </c>
      <c r="I46" s="18">
        <f>SUM(I41:I44)</f>
        <v>1494.0034087652271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100.8057681472423</v>
      </c>
      <c r="D48" s="13">
        <f>D24+D32+D40+D46</f>
        <v>22680.799999999999</v>
      </c>
      <c r="E48" s="12">
        <f>SUM(E20:E46)/2</f>
        <v>1</v>
      </c>
      <c r="F48" s="11">
        <f>I48/D48</f>
        <v>26.95956995016153</v>
      </c>
      <c r="G48" s="10"/>
      <c r="H48" s="9">
        <f>SUM(H20:H46)/2</f>
        <v>608680.12000000011</v>
      </c>
      <c r="I48" s="9">
        <f>SUM(I20:I46)/2</f>
        <v>611464.6141256236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22884.400000000001</v>
      </c>
      <c r="E50" s="12">
        <f>D50/G2</f>
        <v>0.99998689080477354</v>
      </c>
      <c r="F50" s="11">
        <f>I50/D50</f>
        <v>27.000353952911148</v>
      </c>
      <c r="G50" s="10"/>
      <c r="H50" s="9">
        <f>H48+H19</f>
        <v>615073.16000000015</v>
      </c>
      <c r="I50" s="9">
        <f>I48+I19</f>
        <v>617886.89999999991</v>
      </c>
      <c r="J50" s="106">
        <f>D50-G2</f>
        <v>-0.2999999999992724</v>
      </c>
      <c r="K50" s="8"/>
    </row>
    <row r="51" spans="1:11" ht="23.25" x14ac:dyDescent="0.35">
      <c r="A51" s="174" t="s">
        <v>332</v>
      </c>
      <c r="B51" s="169"/>
      <c r="C51" s="170"/>
      <c r="G51" s="7"/>
      <c r="H51" s="6"/>
      <c r="I51" s="6">
        <f>+I50/D50</f>
        <v>27.000353952911148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333</v>
      </c>
      <c r="D1" s="100" t="s">
        <v>1</v>
      </c>
      <c r="E1" s="168" t="s">
        <v>193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333</v>
      </c>
      <c r="D2" s="96" t="s">
        <v>3</v>
      </c>
      <c r="E2" s="95" t="s">
        <v>112</v>
      </c>
      <c r="F2" s="94" t="s">
        <v>5</v>
      </c>
      <c r="G2" s="93">
        <v>5450.5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334</v>
      </c>
      <c r="D3" s="90" t="s">
        <v>7</v>
      </c>
      <c r="E3" s="89">
        <v>84</v>
      </c>
      <c r="F3" s="88" t="s">
        <v>8</v>
      </c>
      <c r="G3" s="87">
        <v>22.54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64.886904761904759</v>
      </c>
      <c r="F4" s="81" t="s">
        <v>12</v>
      </c>
      <c r="G4" s="80">
        <f>G2*G3</f>
        <v>122854.26999999999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-8.3323890769122722E-2</v>
      </c>
      <c r="F6" s="69" t="s">
        <v>16</v>
      </c>
      <c r="G6" s="68">
        <f>(I50-I19)/(D50-(SUM(D42:D44)+D19))</f>
        <v>28.755329557157577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22.5</v>
      </c>
      <c r="D10" s="30"/>
      <c r="E10" s="29" t="e">
        <f t="shared" ref="E10:E19" si="1">D10/$D$19</f>
        <v>#DIV/0!</v>
      </c>
      <c r="F10" s="28">
        <f t="shared" ref="F10:F18" si="2">C10-(C10*$E$6)</f>
        <v>24.37478754230526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23.5</v>
      </c>
      <c r="D11" s="30"/>
      <c r="E11" s="29" t="e">
        <f t="shared" si="1"/>
        <v>#DIV/0!</v>
      </c>
      <c r="F11" s="28">
        <f t="shared" si="2"/>
        <v>25.458111433074386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21.4</v>
      </c>
      <c r="D12" s="30"/>
      <c r="E12" s="29" t="e">
        <f t="shared" si="1"/>
        <v>#DIV/0!</v>
      </c>
      <c r="F12" s="28">
        <f t="shared" si="2"/>
        <v>23.183131262459224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23.5</v>
      </c>
      <c r="D13" s="30"/>
      <c r="E13" s="29" t="e">
        <f t="shared" si="1"/>
        <v>#DIV/0!</v>
      </c>
      <c r="F13" s="28">
        <f t="shared" si="2"/>
        <v>25.458111433074386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26.2</v>
      </c>
      <c r="D14" s="30"/>
      <c r="E14" s="29" t="e">
        <f t="shared" si="1"/>
        <v>#DIV/0!</v>
      </c>
      <c r="F14" s="28">
        <f t="shared" si="2"/>
        <v>28.383085938151016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21.6</v>
      </c>
      <c r="D15" s="30"/>
      <c r="E15" s="29" t="e">
        <f t="shared" si="1"/>
        <v>#DIV/0!</v>
      </c>
      <c r="F15" s="28">
        <f t="shared" si="2"/>
        <v>23.399796040613051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29.6</v>
      </c>
      <c r="D16" s="30"/>
      <c r="E16" s="29" t="e">
        <f t="shared" si="1"/>
        <v>#DIV/0!</v>
      </c>
      <c r="F16" s="28">
        <f t="shared" si="2"/>
        <v>32.066387166766035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43.6</v>
      </c>
      <c r="D17" s="30"/>
      <c r="E17" s="29" t="e">
        <f t="shared" si="1"/>
        <v>#DIV/0!</v>
      </c>
      <c r="F17" s="28">
        <f t="shared" si="2"/>
        <v>47.23292163753375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38.200000000000003</v>
      </c>
      <c r="D18" s="30"/>
      <c r="E18" s="29" t="e">
        <f t="shared" si="1"/>
        <v>#DIV/0!</v>
      </c>
      <c r="F18" s="28">
        <f t="shared" si="2"/>
        <v>41.382972627380489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56.7</v>
      </c>
      <c r="D21" s="30">
        <v>67.2</v>
      </c>
      <c r="E21" s="29">
        <f>D21/$D$48</f>
        <v>1.2329144115218786E-2</v>
      </c>
      <c r="F21" s="28">
        <f>C21-(C21*$E$6)</f>
        <v>61.424464606609263</v>
      </c>
      <c r="G21" s="27" t="str">
        <f>IF(C21&gt;=F21,"-","+")</f>
        <v>+</v>
      </c>
      <c r="H21" s="26">
        <f>C21*D21</f>
        <v>3810.2400000000002</v>
      </c>
      <c r="I21" s="26">
        <f>F21*D21</f>
        <v>4127.7240215641423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38.1</v>
      </c>
      <c r="D22" s="30">
        <v>153.1</v>
      </c>
      <c r="E22" s="29">
        <f>D22/$D$48</f>
        <v>2.808916613154756E-2</v>
      </c>
      <c r="F22" s="28">
        <f>C22-(C22*$E$6)</f>
        <v>41.274640238303576</v>
      </c>
      <c r="G22" s="27" t="str">
        <f>IF(C22&gt;=F22,"-","+")</f>
        <v>+</v>
      </c>
      <c r="H22" s="26">
        <f>C22*D22</f>
        <v>5833.11</v>
      </c>
      <c r="I22" s="26">
        <f>F22*D22</f>
        <v>6319.1474204842771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34.700000000000003</v>
      </c>
      <c r="D23" s="30">
        <v>110.5</v>
      </c>
      <c r="E23" s="29">
        <f>D23/$D$48</f>
        <v>2.0273369415649937E-2</v>
      </c>
      <c r="F23" s="28">
        <f>C23-(C23*$E$6)</f>
        <v>37.591339009688561</v>
      </c>
      <c r="G23" s="27" t="str">
        <f>IF(C23&gt;=F23,"-","+")</f>
        <v>+</v>
      </c>
      <c r="H23" s="26">
        <f>C23*D23</f>
        <v>3834.3500000000004</v>
      </c>
      <c r="I23" s="26">
        <f>F23*D23</f>
        <v>4153.842960570586</v>
      </c>
      <c r="J23" s="25"/>
      <c r="K23" s="25"/>
    </row>
    <row r="24" spans="1:11" x14ac:dyDescent="0.25">
      <c r="A24" s="24" t="s">
        <v>34</v>
      </c>
      <c r="B24" s="23"/>
      <c r="C24" s="20">
        <f>H24/D24</f>
        <v>40.742744860943169</v>
      </c>
      <c r="D24" s="22">
        <f>SUM(D21:D23)</f>
        <v>330.8</v>
      </c>
      <c r="E24" s="21">
        <f>D24/$D$48</f>
        <v>6.0691679662416287E-2</v>
      </c>
      <c r="F24" s="20">
        <f>I24/D24</f>
        <v>44.137588883370633</v>
      </c>
      <c r="G24" s="19">
        <f>F24/C24-1</f>
        <v>8.3323890769122722E-2</v>
      </c>
      <c r="H24" s="18">
        <f>SUM(H21:H23)</f>
        <v>13477.7</v>
      </c>
      <c r="I24" s="18">
        <f>SUM(I21:I23)</f>
        <v>14600.714402619005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30.2</v>
      </c>
      <c r="D26" s="30">
        <v>1064</v>
      </c>
      <c r="E26" s="29">
        <f t="shared" ref="E26:E32" si="7">D26/$D$48</f>
        <v>0.19521144849096411</v>
      </c>
      <c r="F26" s="28">
        <f t="shared" ref="F26:F31" si="8">C26-(C26*$E$6)</f>
        <v>32.716381501227502</v>
      </c>
      <c r="G26" s="27" t="str">
        <f t="shared" ref="G26:G31" si="9">IF(C26&gt;=F26,"-","+")</f>
        <v>+</v>
      </c>
      <c r="H26" s="26">
        <f t="shared" ref="H26:H31" si="10">C26*D26</f>
        <v>32132.799999999999</v>
      </c>
      <c r="I26" s="26">
        <f t="shared" ref="I26:I31" si="11">F26*D26</f>
        <v>34810.22991730606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26.9</v>
      </c>
      <c r="D27" s="30">
        <v>856.1</v>
      </c>
      <c r="E27" s="29">
        <f t="shared" si="7"/>
        <v>0.15706815888450598</v>
      </c>
      <c r="F27" s="28">
        <f t="shared" si="8"/>
        <v>29.141412661689401</v>
      </c>
      <c r="G27" s="27" t="str">
        <f t="shared" si="9"/>
        <v>+</v>
      </c>
      <c r="H27" s="26">
        <f t="shared" si="10"/>
        <v>23029.09</v>
      </c>
      <c r="I27" s="26">
        <f t="shared" si="11"/>
        <v>24947.963379672296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26.9</v>
      </c>
      <c r="D28" s="30">
        <v>424.4</v>
      </c>
      <c r="E28" s="29">
        <f t="shared" si="7"/>
        <v>7.7864416108613874E-2</v>
      </c>
      <c r="F28" s="28">
        <f t="shared" si="8"/>
        <v>29.141412661689401</v>
      </c>
      <c r="G28" s="27" t="str">
        <f t="shared" si="9"/>
        <v>+</v>
      </c>
      <c r="H28" s="26">
        <f t="shared" si="10"/>
        <v>11416.359999999999</v>
      </c>
      <c r="I28" s="26">
        <f t="shared" si="11"/>
        <v>12367.615533620981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</v>
      </c>
      <c r="D29" s="30">
        <v>417.4</v>
      </c>
      <c r="E29" s="29">
        <f t="shared" si="7"/>
        <v>7.6580130263278576E-2</v>
      </c>
      <c r="F29" s="28">
        <f t="shared" si="8"/>
        <v>28.166421159997192</v>
      </c>
      <c r="G29" s="27" t="str">
        <f t="shared" si="9"/>
        <v>+</v>
      </c>
      <c r="H29" s="26">
        <f t="shared" si="10"/>
        <v>10852.4</v>
      </c>
      <c r="I29" s="26">
        <f t="shared" si="11"/>
        <v>11756.664192182827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</v>
      </c>
      <c r="D30" s="30">
        <v>302</v>
      </c>
      <c r="E30" s="29">
        <f t="shared" si="7"/>
        <v>5.5407760755893945E-2</v>
      </c>
      <c r="F30" s="28">
        <f t="shared" si="8"/>
        <v>28.166421159997192</v>
      </c>
      <c r="G30" s="27" t="str">
        <f t="shared" si="9"/>
        <v>+</v>
      </c>
      <c r="H30" s="26">
        <f t="shared" si="10"/>
        <v>7852</v>
      </c>
      <c r="I30" s="26">
        <f t="shared" si="11"/>
        <v>8506.2591903191515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26.5</v>
      </c>
      <c r="D31" s="30">
        <v>50</v>
      </c>
      <c r="E31" s="29">
        <f t="shared" si="7"/>
        <v>9.1734703238235005E-3</v>
      </c>
      <c r="F31" s="28">
        <f t="shared" si="8"/>
        <v>28.708083105381753</v>
      </c>
      <c r="G31" s="27" t="str">
        <f t="shared" si="9"/>
        <v>+</v>
      </c>
      <c r="H31" s="26">
        <f t="shared" si="10"/>
        <v>1325</v>
      </c>
      <c r="I31" s="26">
        <f t="shared" si="11"/>
        <v>1435.4041552690876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27.813240630720315</v>
      </c>
      <c r="D32" s="22">
        <f>SUM(D26:D31)</f>
        <v>3113.9</v>
      </c>
      <c r="E32" s="21">
        <f t="shared" si="7"/>
        <v>0.57130538482708004</v>
      </c>
      <c r="F32" s="20">
        <f>I32/D32</f>
        <v>30.130748054969779</v>
      </c>
      <c r="G32" s="19">
        <f>F32/C32-1</f>
        <v>8.3323890769122722E-2</v>
      </c>
      <c r="H32" s="18">
        <f>SUM(H26:H31)</f>
        <v>86607.65</v>
      </c>
      <c r="I32" s="18">
        <f>SUM(I26:I31)</f>
        <v>93824.136368370397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15.9</v>
      </c>
      <c r="D34" s="30">
        <f>359.4+400.4</f>
        <v>759.8</v>
      </c>
      <c r="E34" s="29">
        <f t="shared" ref="E34:E40" si="13">D34/$D$48</f>
        <v>0.13940005504082192</v>
      </c>
      <c r="F34" s="28">
        <f t="shared" ref="F34:F39" si="14">C34-(C34*$E$6)</f>
        <v>17.224849863229053</v>
      </c>
      <c r="G34" s="27" t="str">
        <f t="shared" ref="G34:G39" si="15">IF(C34&gt;=F34,"-","+")</f>
        <v>+</v>
      </c>
      <c r="H34" s="26">
        <f t="shared" ref="H34:H39" si="16">C34*D34</f>
        <v>12080.82</v>
      </c>
      <c r="I34" s="26">
        <f t="shared" ref="I34:I39" si="17">F34*D34</f>
        <v>13087.440926081434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12.3</v>
      </c>
      <c r="D35" s="30">
        <v>62.4</v>
      </c>
      <c r="E35" s="29">
        <f t="shared" si="13"/>
        <v>1.144849096413173E-2</v>
      </c>
      <c r="F35" s="28">
        <f t="shared" si="14"/>
        <v>13.324883856460211</v>
      </c>
      <c r="G35" s="27" t="str">
        <f t="shared" si="15"/>
        <v>+</v>
      </c>
      <c r="H35" s="26">
        <f t="shared" si="16"/>
        <v>767.52</v>
      </c>
      <c r="I35" s="26">
        <f t="shared" si="17"/>
        <v>831.47275264311713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9.8000000000000007</v>
      </c>
      <c r="D36" s="30"/>
      <c r="E36" s="29">
        <f t="shared" si="13"/>
        <v>0</v>
      </c>
      <c r="F36" s="28">
        <f t="shared" si="14"/>
        <v>10.616574129537403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</v>
      </c>
      <c r="D37" s="30"/>
      <c r="E37" s="29">
        <f t="shared" si="13"/>
        <v>0</v>
      </c>
      <c r="F37" s="28">
        <f t="shared" si="14"/>
        <v>28.166421159997192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</v>
      </c>
      <c r="D38" s="30"/>
      <c r="E38" s="29">
        <f t="shared" si="13"/>
        <v>0</v>
      </c>
      <c r="F38" s="28">
        <f t="shared" si="14"/>
        <v>28.166421159997192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26.9</v>
      </c>
      <c r="D39" s="30"/>
      <c r="E39" s="29">
        <f t="shared" si="13"/>
        <v>0</v>
      </c>
      <c r="F39" s="28">
        <f t="shared" si="14"/>
        <v>29.141412661689401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15.626781804913648</v>
      </c>
      <c r="D40" s="22">
        <f>SUM(D34:D39)</f>
        <v>822.19999999999993</v>
      </c>
      <c r="E40" s="113">
        <f t="shared" si="13"/>
        <v>0.15084854600495365</v>
      </c>
      <c r="F40" s="20">
        <f>I40/D40</f>
        <v>16.928866065099189</v>
      </c>
      <c r="G40" s="19">
        <f>F40/C40-1</f>
        <v>8.3323890769122944E-2</v>
      </c>
      <c r="H40" s="18">
        <f>SUM(H34:H39)</f>
        <v>12848.34</v>
      </c>
      <c r="I40" s="18">
        <f>SUM(I34:I39)</f>
        <v>13918.913678724552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564+66.7+519.6</f>
        <v>1150.3000000000002</v>
      </c>
      <c r="E42" s="107">
        <f>D42/$D$48</f>
        <v>0.21104485826988351</v>
      </c>
      <c r="F42" s="28">
        <f>C42-(C42*$E$6)</f>
        <v>0.43332955630764913</v>
      </c>
      <c r="G42" s="27" t="str">
        <f>IF(C42&gt;=F42,"-","+")</f>
        <v>+</v>
      </c>
      <c r="H42" s="26">
        <f>C42*D42</f>
        <v>460.12000000000012</v>
      </c>
      <c r="I42" s="26">
        <f>F42*D42</f>
        <v>498.4589886206889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27.8</v>
      </c>
      <c r="E43" s="107">
        <f>D43/$D$48</f>
        <v>5.1004495000458666E-3</v>
      </c>
      <c r="F43" s="28">
        <f>C43-(C43*$E$6)</f>
        <v>0.43332955630764913</v>
      </c>
      <c r="G43" s="27" t="str">
        <f>IF(C43&gt;=F43,"-","+")</f>
        <v>+</v>
      </c>
      <c r="H43" s="26">
        <f>C43*D43</f>
        <v>11.120000000000001</v>
      </c>
      <c r="I43" s="26">
        <f>F43*D43</f>
        <v>12.046561665352646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5.5</v>
      </c>
      <c r="E45" s="107">
        <f>D45/$D$48</f>
        <v>1.0090817356205851E-3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0.39814126394052052</v>
      </c>
      <c r="D46" s="22">
        <f>SUM(D41:D45)</f>
        <v>1183.6000000000001</v>
      </c>
      <c r="E46" s="113">
        <f>D46/$D$48</f>
        <v>0.21715438950554994</v>
      </c>
      <c r="F46" s="20">
        <f>I46/D46</f>
        <v>0.43131594312778093</v>
      </c>
      <c r="G46" s="19">
        <f>F46/C46-1</f>
        <v>8.3323890769122722E-2</v>
      </c>
      <c r="H46" s="18">
        <f>SUM(H41:H44)</f>
        <v>471.24000000000012</v>
      </c>
      <c r="I46" s="18">
        <f>SUM(I41:I44)</f>
        <v>510.50555028604157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84.580908560517642</v>
      </c>
      <c r="D48" s="13">
        <f>D24+D32+D40+D46</f>
        <v>5450.5000000000009</v>
      </c>
      <c r="E48" s="12">
        <f>SUM(E20:E46)/2</f>
        <v>0.99999999999999978</v>
      </c>
      <c r="F48" s="11">
        <f>I48/D48</f>
        <v>22.539999999999996</v>
      </c>
      <c r="G48" s="10"/>
      <c r="H48" s="9">
        <f>SUM(H20:H46)/2</f>
        <v>113404.92999999998</v>
      </c>
      <c r="I48" s="9">
        <f>SUM(I20:I46)/2</f>
        <v>122854.26999999999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5450.4999999999991</v>
      </c>
      <c r="E50" s="12">
        <f>D50/G2</f>
        <v>0.99999999999999978</v>
      </c>
      <c r="F50" s="11">
        <f>I50/D50</f>
        <v>22.540000000000003</v>
      </c>
      <c r="G50" s="10"/>
      <c r="H50" s="9">
        <f>H48+H19</f>
        <v>113404.92999999998</v>
      </c>
      <c r="I50" s="9">
        <f>I48+I19</f>
        <v>122854.26999999999</v>
      </c>
      <c r="J50" s="106">
        <f>D50-G2</f>
        <v>0</v>
      </c>
      <c r="K50" s="8"/>
    </row>
    <row r="51" spans="1:11" ht="23.25" x14ac:dyDescent="0.35">
      <c r="A51" s="174" t="s">
        <v>335</v>
      </c>
      <c r="B51" s="169"/>
      <c r="C51" s="170"/>
      <c r="G51" s="7"/>
      <c r="H51" s="6"/>
      <c r="I51" s="6">
        <f>+I50/D50</f>
        <v>22.540000000000003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333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333</v>
      </c>
      <c r="D2" s="96" t="s">
        <v>3</v>
      </c>
      <c r="E2" s="95" t="s">
        <v>112</v>
      </c>
      <c r="F2" s="94" t="s">
        <v>5</v>
      </c>
      <c r="G2" s="93">
        <v>5374.8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84</v>
      </c>
      <c r="F3" s="88" t="s">
        <v>8</v>
      </c>
      <c r="G3" s="87">
        <v>22.52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63.985714285714288</v>
      </c>
      <c r="F4" s="81" t="s">
        <v>12</v>
      </c>
      <c r="G4" s="80">
        <f>G2*G3</f>
        <v>121040.496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-9.647953063911241E-2</v>
      </c>
      <c r="F6" s="69" t="s">
        <v>16</v>
      </c>
      <c r="G6" s="68">
        <f>(I50-I19)/(D50-(SUM(D42:D44)+D19))</f>
        <v>28.638470602153077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22.5</v>
      </c>
      <c r="D10" s="30"/>
      <c r="E10" s="29" t="e">
        <f t="shared" ref="E10:E19" si="1">D10/$D$19</f>
        <v>#DIV/0!</v>
      </c>
      <c r="F10" s="28">
        <f t="shared" ref="F10:F18" si="2">C10-(C10*$E$6)</f>
        <v>24.67078943938003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23.5</v>
      </c>
      <c r="D11" s="30"/>
      <c r="E11" s="29" t="e">
        <f t="shared" si="1"/>
        <v>#DIV/0!</v>
      </c>
      <c r="F11" s="28">
        <f t="shared" si="2"/>
        <v>25.767268970019142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21.4</v>
      </c>
      <c r="D12" s="30"/>
      <c r="E12" s="29" t="e">
        <f t="shared" si="1"/>
        <v>#DIV/0!</v>
      </c>
      <c r="F12" s="28">
        <f t="shared" si="2"/>
        <v>23.464661955677006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23.5</v>
      </c>
      <c r="D13" s="30"/>
      <c r="E13" s="29" t="e">
        <f t="shared" si="1"/>
        <v>#DIV/0!</v>
      </c>
      <c r="F13" s="28">
        <f t="shared" si="2"/>
        <v>25.767268970019142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26.2</v>
      </c>
      <c r="D14" s="30"/>
      <c r="E14" s="29" t="e">
        <f t="shared" si="1"/>
        <v>#DIV/0!</v>
      </c>
      <c r="F14" s="28">
        <f t="shared" si="2"/>
        <v>28.727763702744745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21.6</v>
      </c>
      <c r="D15" s="30"/>
      <c r="E15" s="29" t="e">
        <f t="shared" si="1"/>
        <v>#DIV/0!</v>
      </c>
      <c r="F15" s="28">
        <f t="shared" si="2"/>
        <v>23.683957861804828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29.6</v>
      </c>
      <c r="D16" s="30"/>
      <c r="E16" s="29" t="e">
        <f t="shared" si="1"/>
        <v>#DIV/0!</v>
      </c>
      <c r="F16" s="28">
        <f t="shared" si="2"/>
        <v>32.455794106917729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43.6</v>
      </c>
      <c r="D17" s="30"/>
      <c r="E17" s="29" t="e">
        <f t="shared" si="1"/>
        <v>#DIV/0!</v>
      </c>
      <c r="F17" s="28">
        <f t="shared" si="2"/>
        <v>47.8065075358653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38.200000000000003</v>
      </c>
      <c r="D18" s="30"/>
      <c r="E18" s="29" t="e">
        <f t="shared" si="1"/>
        <v>#DIV/0!</v>
      </c>
      <c r="F18" s="28">
        <f t="shared" si="2"/>
        <v>41.885518070414093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56.6</v>
      </c>
      <c r="D21" s="30">
        <v>62</v>
      </c>
      <c r="E21" s="29">
        <f>D21/$D$48</f>
        <v>1.1535312941876909E-2</v>
      </c>
      <c r="F21" s="28">
        <f>C21-(C21*$E$6)</f>
        <v>62.060741434173764</v>
      </c>
      <c r="G21" s="27" t="str">
        <f>IF(C21&gt;=F21,"-","+")</f>
        <v>+</v>
      </c>
      <c r="H21" s="26">
        <f>C21*D21</f>
        <v>3509.2000000000003</v>
      </c>
      <c r="I21" s="26">
        <f>F21*D21</f>
        <v>3847.7659689187735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</v>
      </c>
      <c r="D22" s="30">
        <v>144.69999999999999</v>
      </c>
      <c r="E22" s="29">
        <f>D22/$D$48</f>
        <v>2.6921931978864333E-2</v>
      </c>
      <c r="F22" s="28">
        <f>C22-(C22*$E$6)</f>
        <v>41.666222164286275</v>
      </c>
      <c r="G22" s="27" t="str">
        <f>IF(C22&gt;=F22,"-","+")</f>
        <v>+</v>
      </c>
      <c r="H22" s="26">
        <f>C22*D22</f>
        <v>5498.5999999999995</v>
      </c>
      <c r="I22" s="26">
        <f>F22*D22</f>
        <v>6029.1023471722237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34.700000000000003</v>
      </c>
      <c r="D23" s="30">
        <v>113.1</v>
      </c>
      <c r="E23" s="29">
        <f>D23/$D$48</f>
        <v>2.1042643447198039E-2</v>
      </c>
      <c r="F23" s="28">
        <f>C23-(C23*$E$6)</f>
        <v>38.047839713177204</v>
      </c>
      <c r="G23" s="27" t="str">
        <f>IF(C23&gt;=F23,"-","+")</f>
        <v>+</v>
      </c>
      <c r="H23" s="26">
        <f>C23*D23</f>
        <v>3924.57</v>
      </c>
      <c r="I23" s="26">
        <f>F23*D23</f>
        <v>4303.2106715603413</v>
      </c>
      <c r="J23" s="25"/>
      <c r="K23" s="25"/>
    </row>
    <row r="24" spans="1:11" x14ac:dyDescent="0.25">
      <c r="A24" s="24" t="s">
        <v>34</v>
      </c>
      <c r="B24" s="23"/>
      <c r="C24" s="20">
        <f>H24/D24</f>
        <v>40.438930581613512</v>
      </c>
      <c r="D24" s="22">
        <f>SUM(D21:D23)</f>
        <v>319.79999999999995</v>
      </c>
      <c r="E24" s="21">
        <f>D24/$D$48</f>
        <v>5.949988836793927E-2</v>
      </c>
      <c r="F24" s="20">
        <f>I24/D24</f>
        <v>44.34045962367523</v>
      </c>
      <c r="G24" s="19">
        <f>F24/C24-1</f>
        <v>9.647953063911241E-2</v>
      </c>
      <c r="H24" s="18">
        <f>SUM(H21:H23)</f>
        <v>12932.369999999999</v>
      </c>
      <c r="I24" s="18">
        <f>SUM(I21:I23)</f>
        <v>14180.078987651337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30.2</v>
      </c>
      <c r="D26" s="30">
        <v>975.7</v>
      </c>
      <c r="E26" s="29">
        <f t="shared" ref="E26:E32" si="7">D26/$D$48</f>
        <v>0.18153233608692421</v>
      </c>
      <c r="F26" s="28">
        <f t="shared" ref="F26:F31" si="8">C26-(C26*$E$6)</f>
        <v>33.113681825301192</v>
      </c>
      <c r="G26" s="27" t="str">
        <f t="shared" ref="G26:G31" si="9">IF(C26&gt;=F26,"-","+")</f>
        <v>+</v>
      </c>
      <c r="H26" s="26">
        <f t="shared" ref="H26:H31" si="10">C26*D26</f>
        <v>29466.14</v>
      </c>
      <c r="I26" s="26">
        <f t="shared" ref="I26:I31" si="11">F26*D26</f>
        <v>32309.019356946374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26.9</v>
      </c>
      <c r="D27" s="30">
        <v>786</v>
      </c>
      <c r="E27" s="29">
        <f t="shared" si="7"/>
        <v>0.14623799955347178</v>
      </c>
      <c r="F27" s="28">
        <f t="shared" si="8"/>
        <v>29.495299374192122</v>
      </c>
      <c r="G27" s="27" t="str">
        <f t="shared" si="9"/>
        <v>+</v>
      </c>
      <c r="H27" s="26">
        <f t="shared" si="10"/>
        <v>21143.399999999998</v>
      </c>
      <c r="I27" s="26">
        <f t="shared" si="11"/>
        <v>23183.305308115006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26.9</v>
      </c>
      <c r="D28" s="30">
        <v>402</v>
      </c>
      <c r="E28" s="29">
        <f t="shared" si="7"/>
        <v>7.4793480687653499E-2</v>
      </c>
      <c r="F28" s="28">
        <f t="shared" si="8"/>
        <v>29.495299374192122</v>
      </c>
      <c r="G28" s="27" t="str">
        <f t="shared" si="9"/>
        <v>+</v>
      </c>
      <c r="H28" s="26">
        <f t="shared" si="10"/>
        <v>10813.8</v>
      </c>
      <c r="I28" s="26">
        <f t="shared" si="11"/>
        <v>11857.110348425233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</v>
      </c>
      <c r="D29" s="30">
        <v>397</v>
      </c>
      <c r="E29" s="29">
        <f t="shared" si="7"/>
        <v>7.3863213514921491E-2</v>
      </c>
      <c r="F29" s="28">
        <f t="shared" si="8"/>
        <v>28.508467796616923</v>
      </c>
      <c r="G29" s="27" t="str">
        <f t="shared" si="9"/>
        <v>+</v>
      </c>
      <c r="H29" s="26">
        <f t="shared" si="10"/>
        <v>10322</v>
      </c>
      <c r="I29" s="26">
        <f t="shared" si="11"/>
        <v>11317.861715256919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</v>
      </c>
      <c r="D30" s="30">
        <v>324</v>
      </c>
      <c r="E30" s="29">
        <f t="shared" si="7"/>
        <v>6.028131279303417E-2</v>
      </c>
      <c r="F30" s="28">
        <f t="shared" si="8"/>
        <v>28.508467796616923</v>
      </c>
      <c r="G30" s="27" t="str">
        <f t="shared" si="9"/>
        <v>+</v>
      </c>
      <c r="H30" s="26">
        <f t="shared" si="10"/>
        <v>8424</v>
      </c>
      <c r="I30" s="26">
        <f t="shared" si="11"/>
        <v>9236.7435661038835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26.5</v>
      </c>
      <c r="D31" s="30">
        <v>87.9</v>
      </c>
      <c r="E31" s="29">
        <f t="shared" si="7"/>
        <v>1.6354096896628714E-2</v>
      </c>
      <c r="F31" s="28">
        <f t="shared" si="8"/>
        <v>29.056707561936477</v>
      </c>
      <c r="G31" s="27" t="str">
        <f t="shared" si="9"/>
        <v>+</v>
      </c>
      <c r="H31" s="26">
        <f t="shared" si="10"/>
        <v>2329.3500000000004</v>
      </c>
      <c r="I31" s="26">
        <f t="shared" si="11"/>
        <v>2554.0845946942163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27.753041108793649</v>
      </c>
      <c r="D32" s="22">
        <f>SUM(D26:D31)</f>
        <v>2972.6</v>
      </c>
      <c r="E32" s="21">
        <f t="shared" si="7"/>
        <v>0.55306243953263379</v>
      </c>
      <c r="F32" s="20">
        <f>I32/D32</f>
        <v>30.430641488778054</v>
      </c>
      <c r="G32" s="19">
        <f>F32/C32-1</f>
        <v>9.647953063911241E-2</v>
      </c>
      <c r="H32" s="18">
        <f>SUM(H26:H31)</f>
        <v>82498.69</v>
      </c>
      <c r="I32" s="18">
        <f>SUM(I26:I31)</f>
        <v>90458.124889541636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15.9</v>
      </c>
      <c r="D34" s="30">
        <f>496.3+367.6</f>
        <v>863.90000000000009</v>
      </c>
      <c r="E34" s="29">
        <f t="shared" ref="E34:E40" si="13">D34/$D$48</f>
        <v>0.16073156210463649</v>
      </c>
      <c r="F34" s="28">
        <f t="shared" ref="F34:F39" si="14">C34-(C34*$E$6)</f>
        <v>17.434024537161889</v>
      </c>
      <c r="G34" s="27" t="str">
        <f t="shared" ref="G34:G39" si="15">IF(C34&gt;=F34,"-","+")</f>
        <v>+</v>
      </c>
      <c r="H34" s="26">
        <f t="shared" ref="H34:H39" si="16">C34*D34</f>
        <v>13736.010000000002</v>
      </c>
      <c r="I34" s="26">
        <f t="shared" ref="I34:I39" si="17">F34*D34</f>
        <v>15061.253797654157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12.2</v>
      </c>
      <c r="D35" s="30">
        <v>62.6</v>
      </c>
      <c r="E35" s="29">
        <f t="shared" si="13"/>
        <v>1.164694500260475E-2</v>
      </c>
      <c r="F35" s="28">
        <f t="shared" si="14"/>
        <v>13.37705027379717</v>
      </c>
      <c r="G35" s="27" t="str">
        <f t="shared" si="15"/>
        <v>+</v>
      </c>
      <c r="H35" s="26">
        <f t="shared" si="16"/>
        <v>763.72</v>
      </c>
      <c r="I35" s="26">
        <f t="shared" si="17"/>
        <v>837.40334713970287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9.8000000000000007</v>
      </c>
      <c r="D36" s="30"/>
      <c r="E36" s="29">
        <f t="shared" si="13"/>
        <v>0</v>
      </c>
      <c r="F36" s="28">
        <f t="shared" si="14"/>
        <v>10.745499400263302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</v>
      </c>
      <c r="D37" s="30"/>
      <c r="E37" s="29">
        <f t="shared" si="13"/>
        <v>0</v>
      </c>
      <c r="F37" s="28">
        <f t="shared" si="14"/>
        <v>28.508467796616923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</v>
      </c>
      <c r="D38" s="30"/>
      <c r="E38" s="29">
        <f t="shared" si="13"/>
        <v>0</v>
      </c>
      <c r="F38" s="28">
        <f t="shared" si="14"/>
        <v>28.508467796616923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26.9</v>
      </c>
      <c r="D39" s="30"/>
      <c r="E39" s="29">
        <f t="shared" si="13"/>
        <v>0</v>
      </c>
      <c r="F39" s="28">
        <f t="shared" si="14"/>
        <v>29.495299374192122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15.650005396654073</v>
      </c>
      <c r="D40" s="22">
        <f>SUM(D34:D39)</f>
        <v>926.50000000000011</v>
      </c>
      <c r="E40" s="113">
        <f t="shared" si="13"/>
        <v>0.17237850710724126</v>
      </c>
      <c r="F40" s="20">
        <f>I40/D40</f>
        <v>17.159910571822838</v>
      </c>
      <c r="G40" s="19">
        <f>F40/C40-1</f>
        <v>9.6479530639112632E-2</v>
      </c>
      <c r="H40" s="18">
        <f>SUM(H34:H39)</f>
        <v>14499.730000000001</v>
      </c>
      <c r="I40" s="18">
        <f>SUM(I34:I39)</f>
        <v>15898.65714479386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549+71+504.2</f>
        <v>1124.2</v>
      </c>
      <c r="E42" s="107">
        <f>D42/$D$48</f>
        <v>0.20916127111706487</v>
      </c>
      <c r="F42" s="28">
        <f>C42-(C42*$E$6)</f>
        <v>0.43859181225564497</v>
      </c>
      <c r="G42" s="27" t="str">
        <f>IF(C42&gt;=F42,"-","+")</f>
        <v>+</v>
      </c>
      <c r="H42" s="26">
        <f>C42*D42</f>
        <v>449.68000000000006</v>
      </c>
      <c r="I42" s="26">
        <f>F42*D42</f>
        <v>493.06491533779609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24.1</v>
      </c>
      <c r="E43" s="107">
        <f>D43/$D$48</f>
        <v>4.4838877725682826E-3</v>
      </c>
      <c r="F43" s="28">
        <f>C43-(C43*$E$6)</f>
        <v>0.43859181225564497</v>
      </c>
      <c r="G43" s="27" t="str">
        <f>IF(C43&gt;=F43,"-","+")</f>
        <v>+</v>
      </c>
      <c r="H43" s="26">
        <f>C43*D43</f>
        <v>9.64</v>
      </c>
      <c r="I43" s="26">
        <f>F43*D43</f>
        <v>10.570062675361045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7.6</v>
      </c>
      <c r="E45" s="107">
        <f>D45/$D$48</f>
        <v>1.4140061025526532E-3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0.39737001470715466</v>
      </c>
      <c r="D46" s="22">
        <f>SUM(D41:D45)</f>
        <v>1155.8999999999999</v>
      </c>
      <c r="E46" s="113">
        <f>D46/$D$48</f>
        <v>0.21505916499218575</v>
      </c>
      <c r="F46" s="20">
        <f>I46/D46</f>
        <v>0.43570808721615817</v>
      </c>
      <c r="G46" s="19">
        <f>F46/C46-1</f>
        <v>9.647953063911241E-2</v>
      </c>
      <c r="H46" s="18">
        <f>SUM(H41:H44)</f>
        <v>459.32000000000005</v>
      </c>
      <c r="I46" s="18">
        <f>SUM(I41:I44)</f>
        <v>503.63497801315714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84.239347101768374</v>
      </c>
      <c r="D48" s="13">
        <f>D24+D32+D40+D46</f>
        <v>5374.7999999999993</v>
      </c>
      <c r="E48" s="12">
        <f>SUM(E20:E46)/2</f>
        <v>1.0000000000000002</v>
      </c>
      <c r="F48" s="11">
        <f>I48/D48</f>
        <v>22.520000000000007</v>
      </c>
      <c r="G48" s="10"/>
      <c r="H48" s="9">
        <f>SUM(H20:H46)/2</f>
        <v>110390.11000000002</v>
      </c>
      <c r="I48" s="9">
        <f>SUM(I20:I46)/2</f>
        <v>121040.49600000001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5374.8000000000011</v>
      </c>
      <c r="E50" s="12">
        <f>D50/G2</f>
        <v>1.0000000000000002</v>
      </c>
      <c r="F50" s="11">
        <f>I50/D50</f>
        <v>22.52</v>
      </c>
      <c r="G50" s="10"/>
      <c r="H50" s="9">
        <f>H48+H19</f>
        <v>110390.11000000002</v>
      </c>
      <c r="I50" s="9">
        <f>I48+I19</f>
        <v>121040.49600000001</v>
      </c>
      <c r="J50" s="106">
        <f>D50-G2</f>
        <v>0</v>
      </c>
      <c r="K50" s="8"/>
    </row>
    <row r="51" spans="1:11" ht="23.25" x14ac:dyDescent="0.35">
      <c r="A51" s="174" t="s">
        <v>336</v>
      </c>
      <c r="B51" s="169"/>
      <c r="C51" s="170"/>
      <c r="G51" s="7"/>
      <c r="H51" s="6"/>
      <c r="I51" s="6">
        <f>+I50/D50</f>
        <v>22.52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333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333</v>
      </c>
      <c r="D2" s="96" t="s">
        <v>3</v>
      </c>
      <c r="E2" s="95" t="s">
        <v>112</v>
      </c>
      <c r="F2" s="94" t="s">
        <v>5</v>
      </c>
      <c r="G2" s="93">
        <v>13381.3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168</v>
      </c>
      <c r="D3" s="90" t="s">
        <v>7</v>
      </c>
      <c r="E3" s="89">
        <v>192</v>
      </c>
      <c r="F3" s="88" t="s">
        <v>8</v>
      </c>
      <c r="G3" s="87">
        <v>23.13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69.694270833333334</v>
      </c>
      <c r="F4" s="81" t="s">
        <v>12</v>
      </c>
      <c r="G4" s="80">
        <f>G2*G3</f>
        <v>309509.46899999998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-6.3300659796523107E-2</v>
      </c>
      <c r="F6" s="69" t="s">
        <v>16</v>
      </c>
      <c r="G6" s="68">
        <f>(I50-I19)/(D50-(SUM(D42:D44)+D19))</f>
        <v>28.618609127882259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23.1</v>
      </c>
      <c r="D10" s="30"/>
      <c r="E10" s="29">
        <f t="shared" ref="E10:E19" si="1">D10/$D$19</f>
        <v>0</v>
      </c>
      <c r="F10" s="28">
        <f t="shared" ref="F10:F18" si="2">C10-(C10*$E$6)</f>
        <v>24.562245241299685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24.1</v>
      </c>
      <c r="D11" s="30"/>
      <c r="E11" s="29">
        <f t="shared" si="1"/>
        <v>0</v>
      </c>
      <c r="F11" s="28">
        <f t="shared" si="2"/>
        <v>25.62554590109621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22</v>
      </c>
      <c r="D12" s="30"/>
      <c r="E12" s="29">
        <f t="shared" si="1"/>
        <v>0</v>
      </c>
      <c r="F12" s="28">
        <f t="shared" si="2"/>
        <v>23.392614515523508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24.1</v>
      </c>
      <c r="D13" s="30"/>
      <c r="E13" s="29">
        <f t="shared" si="1"/>
        <v>0</v>
      </c>
      <c r="F13" s="28">
        <f t="shared" si="2"/>
        <v>25.62554590109621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26.9</v>
      </c>
      <c r="D14" s="30"/>
      <c r="E14" s="29">
        <f t="shared" si="1"/>
        <v>0</v>
      </c>
      <c r="F14" s="28">
        <f t="shared" si="2"/>
        <v>28.60278774852647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22.2</v>
      </c>
      <c r="D15" s="30"/>
      <c r="E15" s="29">
        <f t="shared" si="1"/>
        <v>0</v>
      </c>
      <c r="F15" s="28">
        <f t="shared" si="2"/>
        <v>23.605274647482812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30.4</v>
      </c>
      <c r="D16" s="30">
        <v>23</v>
      </c>
      <c r="E16" s="29">
        <f t="shared" si="1"/>
        <v>0.56097560975609762</v>
      </c>
      <c r="F16" s="28">
        <f t="shared" si="2"/>
        <v>32.324340057814304</v>
      </c>
      <c r="G16" s="27" t="str">
        <f t="shared" si="3"/>
        <v>+</v>
      </c>
      <c r="H16" s="34">
        <f t="shared" si="4"/>
        <v>699.19999999999993</v>
      </c>
      <c r="I16" s="34">
        <f t="shared" si="5"/>
        <v>743.45982132972904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44.7</v>
      </c>
      <c r="D17" s="30">
        <v>18</v>
      </c>
      <c r="E17" s="29">
        <f t="shared" si="1"/>
        <v>0.43902439024390244</v>
      </c>
      <c r="F17" s="28">
        <f t="shared" si="2"/>
        <v>47.529539492904583</v>
      </c>
      <c r="G17" s="27" t="str">
        <f t="shared" si="3"/>
        <v>+</v>
      </c>
      <c r="H17" s="34">
        <f t="shared" si="4"/>
        <v>804.6</v>
      </c>
      <c r="I17" s="34">
        <f t="shared" si="5"/>
        <v>855.53171087228247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39.200000000000003</v>
      </c>
      <c r="D18" s="30"/>
      <c r="E18" s="29">
        <f t="shared" si="1"/>
        <v>0</v>
      </c>
      <c r="F18" s="28">
        <f t="shared" si="2"/>
        <v>41.68138586402371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36.678048780487806</v>
      </c>
      <c r="D19" s="49">
        <f>SUM(D10:D18)</f>
        <v>41</v>
      </c>
      <c r="E19" s="48">
        <f t="shared" si="1"/>
        <v>1</v>
      </c>
      <c r="F19" s="47">
        <f>I19/D19</f>
        <v>38.999793468341743</v>
      </c>
      <c r="G19" s="46">
        <f>F19/C19-1</f>
        <v>6.3300659796523107E-2</v>
      </c>
      <c r="H19" s="9">
        <f>SUM(H10:H18)</f>
        <v>1503.8</v>
      </c>
      <c r="I19" s="9">
        <f>SUM(I10:I18)</f>
        <v>1598.9915322020115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58.2</v>
      </c>
      <c r="D21" s="30">
        <v>154.30000000000001</v>
      </c>
      <c r="E21" s="29">
        <f>D21/$D$48</f>
        <v>1.1566456526464921E-2</v>
      </c>
      <c r="F21" s="28">
        <f>C21-(C21*$E$6)</f>
        <v>61.884098400157647</v>
      </c>
      <c r="G21" s="27" t="str">
        <f>IF(C21&gt;=F21,"-","+")</f>
        <v>+</v>
      </c>
      <c r="H21" s="26">
        <f>C21*D21</f>
        <v>8980.26</v>
      </c>
      <c r="I21" s="26">
        <f>F21*D21</f>
        <v>9548.7163831443249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39.1</v>
      </c>
      <c r="D22" s="30">
        <v>335.5</v>
      </c>
      <c r="E22" s="29">
        <f>D22/$D$48</f>
        <v>2.5149359459682313E-2</v>
      </c>
      <c r="F22" s="28">
        <f>C22-(C22*$E$6)</f>
        <v>41.575055798044055</v>
      </c>
      <c r="G22" s="27" t="str">
        <f>IF(C22&gt;=F22,"-","+")</f>
        <v>+</v>
      </c>
      <c r="H22" s="26">
        <f>C22*D22</f>
        <v>13118.050000000001</v>
      </c>
      <c r="I22" s="26">
        <f>F22*D22</f>
        <v>13948.43122024378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35.6</v>
      </c>
      <c r="D23" s="30">
        <v>293.7</v>
      </c>
      <c r="E23" s="29">
        <f>D23/$D$48</f>
        <v>2.201599664175468E-2</v>
      </c>
      <c r="F23" s="28">
        <f>C23-(C23*$E$6)</f>
        <v>37.853503488756225</v>
      </c>
      <c r="G23" s="27" t="str">
        <f>IF(C23&gt;=F23,"-","+")</f>
        <v>+</v>
      </c>
      <c r="H23" s="26">
        <f>C23*D23</f>
        <v>10455.719999999999</v>
      </c>
      <c r="I23" s="26">
        <f>F23*D23</f>
        <v>11117.573974647703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41.549495851946396</v>
      </c>
      <c r="D24" s="22">
        <f>SUM(D21:D23)</f>
        <v>783.5</v>
      </c>
      <c r="E24" s="21">
        <f>D24/$D$48</f>
        <v>5.8731812627901919E-2</v>
      </c>
      <c r="F24" s="20">
        <f>I24/D24</f>
        <v>44.179606353587502</v>
      </c>
      <c r="G24" s="19">
        <f>F24/C24-1</f>
        <v>6.3300659796523107E-2</v>
      </c>
      <c r="H24" s="18">
        <f>SUM(H21:H23)</f>
        <v>32554.03</v>
      </c>
      <c r="I24" s="18">
        <f>SUM(I21:I23)</f>
        <v>34614.721578035809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</v>
      </c>
      <c r="D26" s="30">
        <v>2539.6999999999998</v>
      </c>
      <c r="E26" s="29">
        <f t="shared" ref="E26:E32" si="7">D26/$D$48</f>
        <v>0.19037802748064134</v>
      </c>
      <c r="F26" s="28">
        <f t="shared" ref="F26:F31" si="8">C26-(C26*$E$6)</f>
        <v>32.962320453692215</v>
      </c>
      <c r="G26" s="27" t="str">
        <f t="shared" ref="G26:G31" si="9">IF(C26&gt;=F26,"-","+")</f>
        <v>+</v>
      </c>
      <c r="H26" s="26">
        <f t="shared" ref="H26:H31" si="10">C26*D26</f>
        <v>78730.7</v>
      </c>
      <c r="I26" s="26">
        <f t="shared" ref="I26:I31" si="11">F26*D26</f>
        <v>83714.405256242113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27.6</v>
      </c>
      <c r="D27" s="30">
        <v>1826</v>
      </c>
      <c r="E27" s="29">
        <f t="shared" si="7"/>
        <v>0.1368784809936808</v>
      </c>
      <c r="F27" s="28">
        <f t="shared" si="8"/>
        <v>29.34709821038404</v>
      </c>
      <c r="G27" s="27" t="str">
        <f t="shared" si="9"/>
        <v>+</v>
      </c>
      <c r="H27" s="26">
        <f t="shared" si="10"/>
        <v>50397.600000000006</v>
      </c>
      <c r="I27" s="26">
        <f t="shared" si="11"/>
        <v>53587.80133216126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27.6</v>
      </c>
      <c r="D28" s="30">
        <v>1200</v>
      </c>
      <c r="E28" s="29">
        <f t="shared" si="7"/>
        <v>8.9952999557731075E-2</v>
      </c>
      <c r="F28" s="28">
        <f t="shared" si="8"/>
        <v>29.34709821038404</v>
      </c>
      <c r="G28" s="27" t="str">
        <f t="shared" si="9"/>
        <v>+</v>
      </c>
      <c r="H28" s="26">
        <f t="shared" si="10"/>
        <v>33120</v>
      </c>
      <c r="I28" s="26">
        <f t="shared" si="11"/>
        <v>35216.517852460849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26.7</v>
      </c>
      <c r="D29" s="30">
        <v>1128.4000000000001</v>
      </c>
      <c r="E29" s="29">
        <f t="shared" si="7"/>
        <v>8.4585803917453128E-2</v>
      </c>
      <c r="F29" s="28">
        <f t="shared" si="8"/>
        <v>28.390127616567167</v>
      </c>
      <c r="G29" s="27" t="str">
        <f t="shared" si="9"/>
        <v>+</v>
      </c>
      <c r="H29" s="26">
        <f t="shared" si="10"/>
        <v>30128.280000000002</v>
      </c>
      <c r="I29" s="26">
        <f t="shared" si="11"/>
        <v>32035.420002534393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26.7</v>
      </c>
      <c r="D30" s="30">
        <v>794.4</v>
      </c>
      <c r="E30" s="29">
        <f t="shared" si="7"/>
        <v>5.9548885707217974E-2</v>
      </c>
      <c r="F30" s="28">
        <f t="shared" si="8"/>
        <v>28.390127616567167</v>
      </c>
      <c r="G30" s="27" t="str">
        <f t="shared" si="9"/>
        <v>+</v>
      </c>
      <c r="H30" s="26">
        <f t="shared" si="10"/>
        <v>21210.48</v>
      </c>
      <c r="I30" s="26">
        <f t="shared" si="11"/>
        <v>22553.117378600957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27.2</v>
      </c>
      <c r="D31" s="30">
        <v>225.5</v>
      </c>
      <c r="E31" s="29">
        <f t="shared" si="7"/>
        <v>1.6903667833556964E-2</v>
      </c>
      <c r="F31" s="28">
        <f t="shared" si="8"/>
        <v>28.921777946465429</v>
      </c>
      <c r="G31" s="27" t="str">
        <f t="shared" si="9"/>
        <v>+</v>
      </c>
      <c r="H31" s="26">
        <f t="shared" si="10"/>
        <v>6133.5999999999995</v>
      </c>
      <c r="I31" s="26">
        <f t="shared" si="11"/>
        <v>6521.8609269279541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28.483362717137673</v>
      </c>
      <c r="D32" s="22">
        <f>SUM(D26:D31)</f>
        <v>7714</v>
      </c>
      <c r="E32" s="21">
        <f t="shared" si="7"/>
        <v>0.57824786549028129</v>
      </c>
      <c r="F32" s="20">
        <f>I32/D32</f>
        <v>30.286378370356175</v>
      </c>
      <c r="G32" s="19">
        <f>F32/C32-1</f>
        <v>6.3300659796523107E-2</v>
      </c>
      <c r="H32" s="18">
        <f>SUM(H26:H31)</f>
        <v>219720.66</v>
      </c>
      <c r="I32" s="18">
        <f>SUM(I26:I31)</f>
        <v>233629.12274892753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16.3</v>
      </c>
      <c r="D34" s="30">
        <f>1212+908.5</f>
        <v>2120.5</v>
      </c>
      <c r="E34" s="29">
        <f t="shared" ref="E34:E40" si="13">D34/$D$48</f>
        <v>0.1589544463018073</v>
      </c>
      <c r="F34" s="28">
        <f t="shared" ref="F34:F39" si="14">C34-(C34*$E$6)</f>
        <v>17.331800754683329</v>
      </c>
      <c r="G34" s="27" t="str">
        <f t="shared" ref="G34:G39" si="15">IF(C34&gt;=F34,"-","+")</f>
        <v>+</v>
      </c>
      <c r="H34" s="26">
        <f t="shared" ref="H34:H39" si="16">C34*D34</f>
        <v>34564.15</v>
      </c>
      <c r="I34" s="26">
        <f t="shared" ref="I34:I39" si="17">F34*D34</f>
        <v>36752.083500305998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12.6</v>
      </c>
      <c r="D35" s="30">
        <v>135.6</v>
      </c>
      <c r="E35" s="29">
        <f t="shared" si="13"/>
        <v>1.0164688950023612E-2</v>
      </c>
      <c r="F35" s="28">
        <f t="shared" si="14"/>
        <v>13.397588313436191</v>
      </c>
      <c r="G35" s="27" t="str">
        <f t="shared" si="15"/>
        <v>+</v>
      </c>
      <c r="H35" s="26">
        <f t="shared" si="16"/>
        <v>1708.56</v>
      </c>
      <c r="I35" s="26">
        <f t="shared" si="17"/>
        <v>1816.7129753019474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10.1</v>
      </c>
      <c r="D36" s="30"/>
      <c r="E36" s="29">
        <f t="shared" si="13"/>
        <v>0</v>
      </c>
      <c r="F36" s="28">
        <f t="shared" si="14"/>
        <v>10.739336663944883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26.7</v>
      </c>
      <c r="D37" s="30"/>
      <c r="E37" s="29">
        <f t="shared" si="13"/>
        <v>0</v>
      </c>
      <c r="F37" s="28">
        <f t="shared" si="14"/>
        <v>28.390127616567167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26.7</v>
      </c>
      <c r="D38" s="30"/>
      <c r="E38" s="29">
        <f t="shared" si="13"/>
        <v>0</v>
      </c>
      <c r="F38" s="28">
        <f t="shared" si="14"/>
        <v>28.390127616567167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27.6</v>
      </c>
      <c r="D39" s="30"/>
      <c r="E39" s="29">
        <f t="shared" si="13"/>
        <v>0</v>
      </c>
      <c r="F39" s="28">
        <f t="shared" si="14"/>
        <v>29.34709821038404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16.077616240414876</v>
      </c>
      <c r="D40" s="22">
        <f>SUM(D34:D39)</f>
        <v>2256.1</v>
      </c>
      <c r="E40" s="113">
        <f t="shared" si="13"/>
        <v>0.16911913525183089</v>
      </c>
      <c r="F40" s="20">
        <f>I40/D40</f>
        <v>17.095339956388436</v>
      </c>
      <c r="G40" s="19">
        <f>F40/C40-1</f>
        <v>6.3300659796523329E-2</v>
      </c>
      <c r="H40" s="18">
        <f>SUM(H34:H39)</f>
        <v>36272.71</v>
      </c>
      <c r="I40" s="18">
        <f>SUM(I34:I39)</f>
        <v>38568.796475607945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1236+145.7+1103.9</f>
        <v>2485.6000000000004</v>
      </c>
      <c r="E42" s="107">
        <f>D42/$D$48</f>
        <v>0.186322646417247</v>
      </c>
      <c r="F42" s="28">
        <f>C42-(C42*$E$6)</f>
        <v>0.42532026391860928</v>
      </c>
      <c r="G42" s="27" t="str">
        <f>IF(C42&gt;=F42,"-","+")</f>
        <v>+</v>
      </c>
      <c r="H42" s="26">
        <f>C42*D42</f>
        <v>994.24000000000024</v>
      </c>
      <c r="I42" s="26">
        <f>F42*D42</f>
        <v>1057.1760479960953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95.6</v>
      </c>
      <c r="E43" s="107">
        <f>D43/$D$48</f>
        <v>7.1662556314325753E-3</v>
      </c>
      <c r="F43" s="28">
        <f>C43-(C43*$E$6)</f>
        <v>0.42532026391860928</v>
      </c>
      <c r="G43" s="27" t="str">
        <f>IF(C43&gt;=F43,"-","+")</f>
        <v>+</v>
      </c>
      <c r="H43" s="26">
        <f>C43*D43</f>
        <v>38.24</v>
      </c>
      <c r="I43" s="26">
        <f>F43*D43</f>
        <v>40.660617230619046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5.5</v>
      </c>
      <c r="E45" s="107">
        <f>D45/$D$48</f>
        <v>4.1228458130626746E-4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0.39914949549619211</v>
      </c>
      <c r="D46" s="22">
        <f>SUM(D41:D45)</f>
        <v>2586.7000000000003</v>
      </c>
      <c r="E46" s="113">
        <f>D46/$D$48</f>
        <v>0.19390118662998584</v>
      </c>
      <c r="F46" s="20">
        <f>I46/D46</f>
        <v>0.42441592191855038</v>
      </c>
      <c r="G46" s="19">
        <f>F46/C46-1</f>
        <v>6.3300659796523107E-2</v>
      </c>
      <c r="H46" s="18">
        <f>SUM(H41:H44)</f>
        <v>1032.4800000000002</v>
      </c>
      <c r="I46" s="18">
        <f>SUM(I41:I44)</f>
        <v>1097.8366652267143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86.509624304995143</v>
      </c>
      <c r="D48" s="13">
        <f>D24+D32+D40+D46</f>
        <v>13340.300000000001</v>
      </c>
      <c r="E48" s="12">
        <f>SUM(E20:E46)/2</f>
        <v>0.99999999999999978</v>
      </c>
      <c r="F48" s="11">
        <f>I48/D48</f>
        <v>23.081225869567994</v>
      </c>
      <c r="G48" s="10"/>
      <c r="H48" s="9">
        <f>SUM(H20:H46)/2</f>
        <v>289579.88</v>
      </c>
      <c r="I48" s="9">
        <f>SUM(I20:I46)/2</f>
        <v>307910.47746779793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13381.299999999997</v>
      </c>
      <c r="E50" s="12">
        <f>D50/G2</f>
        <v>0.99999999999999989</v>
      </c>
      <c r="F50" s="11">
        <f>I50/D50</f>
        <v>23.13</v>
      </c>
      <c r="G50" s="10"/>
      <c r="H50" s="9">
        <f>H48+H19</f>
        <v>291083.68</v>
      </c>
      <c r="I50" s="9">
        <f>I48+I19</f>
        <v>309509.46899999992</v>
      </c>
      <c r="J50" s="106">
        <f>D50-G2</f>
        <v>0</v>
      </c>
      <c r="K50" s="8"/>
    </row>
    <row r="51" spans="1:11" ht="23.25" x14ac:dyDescent="0.35">
      <c r="A51" s="174" t="s">
        <v>337</v>
      </c>
      <c r="B51" s="169"/>
      <c r="C51" s="170"/>
      <c r="G51" s="7"/>
      <c r="H51" s="6"/>
      <c r="I51" s="6">
        <f>+I50/D50</f>
        <v>23.13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333</v>
      </c>
      <c r="D1" s="100" t="s">
        <v>1</v>
      </c>
      <c r="E1" s="168" t="s">
        <v>338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333</v>
      </c>
      <c r="D2" s="96" t="s">
        <v>3</v>
      </c>
      <c r="E2" s="95" t="s">
        <v>112</v>
      </c>
      <c r="F2" s="94" t="s">
        <v>5</v>
      </c>
      <c r="G2" s="93">
        <v>2158.8000000000002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168</v>
      </c>
      <c r="D3" s="90" t="s">
        <v>7</v>
      </c>
      <c r="E3" s="89">
        <v>32</v>
      </c>
      <c r="F3" s="88" t="s">
        <v>8</v>
      </c>
      <c r="G3" s="87">
        <v>23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67.462500000000006</v>
      </c>
      <c r="F4" s="81" t="s">
        <v>12</v>
      </c>
      <c r="G4" s="80">
        <f>G2*G3</f>
        <v>49652.4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-0.10697177926912671</v>
      </c>
      <c r="F6" s="69" t="s">
        <v>16</v>
      </c>
      <c r="G6" s="68">
        <f>(I50-I19)/(D50-(SUM(D42:D44)+D19))</f>
        <v>28.919797309103629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23</v>
      </c>
      <c r="D10" s="30"/>
      <c r="E10" s="29" t="e">
        <f t="shared" ref="E10:E19" si="1">D10/$D$19</f>
        <v>#DIV/0!</v>
      </c>
      <c r="F10" s="28">
        <f t="shared" ref="F10:F18" si="2">C10-(C10*$E$6)</f>
        <v>25.460350923189914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24</v>
      </c>
      <c r="D11" s="30"/>
      <c r="E11" s="29" t="e">
        <f t="shared" si="1"/>
        <v>#DIV/0!</v>
      </c>
      <c r="F11" s="28">
        <f t="shared" si="2"/>
        <v>26.567322702459041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21.9</v>
      </c>
      <c r="D12" s="30"/>
      <c r="E12" s="29" t="e">
        <f t="shared" si="1"/>
        <v>#DIV/0!</v>
      </c>
      <c r="F12" s="28">
        <f t="shared" si="2"/>
        <v>24.242681965993874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24</v>
      </c>
      <c r="D13" s="30"/>
      <c r="E13" s="29" t="e">
        <f t="shared" si="1"/>
        <v>#DIV/0!</v>
      </c>
      <c r="F13" s="28">
        <f t="shared" si="2"/>
        <v>26.567322702459041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26.8</v>
      </c>
      <c r="D14" s="30"/>
      <c r="E14" s="29" t="e">
        <f t="shared" si="1"/>
        <v>#DIV/0!</v>
      </c>
      <c r="F14" s="28">
        <f t="shared" si="2"/>
        <v>29.666843684412598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22.1</v>
      </c>
      <c r="D15" s="30"/>
      <c r="E15" s="29" t="e">
        <f t="shared" si="1"/>
        <v>#DIV/0!</v>
      </c>
      <c r="F15" s="28">
        <f t="shared" si="2"/>
        <v>24.464076321847703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30.2</v>
      </c>
      <c r="D16" s="30"/>
      <c r="E16" s="29" t="e">
        <f t="shared" si="1"/>
        <v>#DIV/0!</v>
      </c>
      <c r="F16" s="28">
        <f t="shared" si="2"/>
        <v>33.430547733927625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44.5</v>
      </c>
      <c r="D17" s="30"/>
      <c r="E17" s="29" t="e">
        <f t="shared" si="1"/>
        <v>#DIV/0!</v>
      </c>
      <c r="F17" s="28">
        <f t="shared" si="2"/>
        <v>49.260244177476139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</v>
      </c>
      <c r="D18" s="30"/>
      <c r="E18" s="29" t="e">
        <f t="shared" si="1"/>
        <v>#DIV/0!</v>
      </c>
      <c r="F18" s="28">
        <f t="shared" si="2"/>
        <v>43.171899391495941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57.8</v>
      </c>
      <c r="D21" s="30">
        <v>26.7</v>
      </c>
      <c r="E21" s="29">
        <f>D21/$D$48</f>
        <v>1.2367982212340188E-2</v>
      </c>
      <c r="F21" s="28">
        <f>C21-(C21*$E$6)</f>
        <v>63.982968841755522</v>
      </c>
      <c r="G21" s="27" t="str">
        <f>IF(C21&gt;=F21,"-","+")</f>
        <v>+</v>
      </c>
      <c r="H21" s="26">
        <f>C21*D21</f>
        <v>1543.26</v>
      </c>
      <c r="I21" s="26">
        <f>F21*D21</f>
        <v>1708.3452680748724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38.799999999999997</v>
      </c>
      <c r="D22" s="30">
        <v>55.6</v>
      </c>
      <c r="E22" s="29">
        <f>D22/$D$48</f>
        <v>2.5755049101352602E-2</v>
      </c>
      <c r="F22" s="28">
        <f>C22-(C22*$E$6)</f>
        <v>42.950505035642109</v>
      </c>
      <c r="G22" s="27" t="str">
        <f>IF(C22&gt;=F22,"-","+")</f>
        <v>+</v>
      </c>
      <c r="H22" s="26">
        <f>C22*D22</f>
        <v>2157.2799999999997</v>
      </c>
      <c r="I22" s="26">
        <f>F22*D22</f>
        <v>2388.0480799817014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35.4</v>
      </c>
      <c r="D23" s="30">
        <v>45.1</v>
      </c>
      <c r="E23" s="29">
        <f>D23/$D$48</f>
        <v>2.0891235871780618E-2</v>
      </c>
      <c r="F23" s="28">
        <f>C23-(C23*$E$6)</f>
        <v>39.186800986127082</v>
      </c>
      <c r="G23" s="27" t="str">
        <f>IF(C23&gt;=F23,"-","+")</f>
        <v>+</v>
      </c>
      <c r="H23" s="26">
        <f>C23*D23</f>
        <v>1596.54</v>
      </c>
      <c r="I23" s="26">
        <f>F23*D23</f>
        <v>1767.3247244743316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41.578335949764522</v>
      </c>
      <c r="D24" s="22">
        <f>SUM(D21:D23)</f>
        <v>127.4</v>
      </c>
      <c r="E24" s="21">
        <f>D24/$D$48</f>
        <v>5.901426718547341E-2</v>
      </c>
      <c r="F24" s="20">
        <f>I24/D24</f>
        <v>46.026044525360319</v>
      </c>
      <c r="G24" s="19">
        <f>F24/C24-1</f>
        <v>0.10697177926912649</v>
      </c>
      <c r="H24" s="18">
        <f>SUM(H21:H23)</f>
        <v>5297.08</v>
      </c>
      <c r="I24" s="18">
        <f>SUM(I21:I23)</f>
        <v>5863.7180725309054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30.9</v>
      </c>
      <c r="D26" s="30">
        <v>314.89999999999998</v>
      </c>
      <c r="E26" s="29">
        <f t="shared" ref="E26:E32" si="7">D26/$D$48</f>
        <v>0.14586807485640169</v>
      </c>
      <c r="F26" s="28">
        <f t="shared" ref="F26:F31" si="8">C26-(C26*$E$6)</f>
        <v>34.205427979416015</v>
      </c>
      <c r="G26" s="27" t="str">
        <f t="shared" ref="G26:G31" si="9">IF(C26&gt;=F26,"-","+")</f>
        <v>+</v>
      </c>
      <c r="H26" s="26">
        <f t="shared" ref="H26:H31" si="10">C26*D26</f>
        <v>9730.409999999998</v>
      </c>
      <c r="I26" s="26">
        <f t="shared" ref="I26:I31" si="11">F26*D26</f>
        <v>10771.289270718102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27.5</v>
      </c>
      <c r="D27" s="30">
        <v>322</v>
      </c>
      <c r="E27" s="29">
        <f t="shared" si="7"/>
        <v>0.14915693904020752</v>
      </c>
      <c r="F27" s="28">
        <f t="shared" si="8"/>
        <v>30.441723929900984</v>
      </c>
      <c r="G27" s="27" t="str">
        <f t="shared" si="9"/>
        <v>+</v>
      </c>
      <c r="H27" s="26">
        <f t="shared" si="10"/>
        <v>8855</v>
      </c>
      <c r="I27" s="26">
        <f t="shared" si="11"/>
        <v>9802.2351054281171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27.5</v>
      </c>
      <c r="D28" s="30">
        <v>220.3</v>
      </c>
      <c r="E28" s="29">
        <f t="shared" si="7"/>
        <v>0.10204743375949601</v>
      </c>
      <c r="F28" s="28">
        <f t="shared" si="8"/>
        <v>30.441723929900984</v>
      </c>
      <c r="G28" s="27" t="str">
        <f t="shared" si="9"/>
        <v>+</v>
      </c>
      <c r="H28" s="26">
        <f t="shared" si="10"/>
        <v>6058.25</v>
      </c>
      <c r="I28" s="26">
        <f t="shared" si="11"/>
        <v>6706.3117817571874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26.6</v>
      </c>
      <c r="D29" s="30">
        <v>155</v>
      </c>
      <c r="E29" s="29">
        <f t="shared" si="7"/>
        <v>7.1799147674634051E-2</v>
      </c>
      <c r="F29" s="28">
        <f t="shared" si="8"/>
        <v>29.445449328558773</v>
      </c>
      <c r="G29" s="27" t="str">
        <f t="shared" si="9"/>
        <v>+</v>
      </c>
      <c r="H29" s="26">
        <f t="shared" si="10"/>
        <v>4123</v>
      </c>
      <c r="I29" s="26">
        <f t="shared" si="11"/>
        <v>4564.0446459266095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26.6</v>
      </c>
      <c r="D30" s="30">
        <v>110</v>
      </c>
      <c r="E30" s="29">
        <f t="shared" si="7"/>
        <v>5.0954233833611258E-2</v>
      </c>
      <c r="F30" s="28">
        <f t="shared" si="8"/>
        <v>29.445449328558773</v>
      </c>
      <c r="G30" s="27" t="str">
        <f t="shared" si="9"/>
        <v>+</v>
      </c>
      <c r="H30" s="26">
        <f t="shared" si="10"/>
        <v>2926</v>
      </c>
      <c r="I30" s="26">
        <f t="shared" si="11"/>
        <v>3238.9994261414649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</v>
      </c>
      <c r="D31" s="30">
        <v>32</v>
      </c>
      <c r="E31" s="29">
        <f t="shared" si="7"/>
        <v>1.4823049842505095E-2</v>
      </c>
      <c r="F31" s="28">
        <f t="shared" si="8"/>
        <v>29.888238040266423</v>
      </c>
      <c r="G31" s="27" t="str">
        <f t="shared" si="9"/>
        <v>+</v>
      </c>
      <c r="H31" s="26">
        <f t="shared" si="10"/>
        <v>864</v>
      </c>
      <c r="I31" s="26">
        <f t="shared" si="11"/>
        <v>956.42361728852552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28.207121815976429</v>
      </c>
      <c r="D32" s="22">
        <f>SUM(D26:D31)</f>
        <v>1154.2</v>
      </c>
      <c r="E32" s="21">
        <f t="shared" si="7"/>
        <v>0.53464887900685565</v>
      </c>
      <c r="F32" s="20">
        <f>I32/D32</f>
        <v>31.224487824692435</v>
      </c>
      <c r="G32" s="19">
        <f>F32/C32-1</f>
        <v>0.10697177926912693</v>
      </c>
      <c r="H32" s="18">
        <f>SUM(H26:H31)</f>
        <v>32556.659999999996</v>
      </c>
      <c r="I32" s="18">
        <f>SUM(I26:I31)</f>
        <v>36039.303847260009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16.2</v>
      </c>
      <c r="D34" s="30">
        <f>254+143.3</f>
        <v>397.3</v>
      </c>
      <c r="E34" s="29">
        <f t="shared" ref="E34:E40" si="13">D34/$D$48</f>
        <v>0.18403742820085231</v>
      </c>
      <c r="F34" s="28">
        <f t="shared" ref="F34:F39" si="14">C34-(C34*$E$6)</f>
        <v>17.932942824159852</v>
      </c>
      <c r="G34" s="27" t="str">
        <f t="shared" ref="G34:G39" si="15">IF(C34&gt;=F34,"-","+")</f>
        <v>+</v>
      </c>
      <c r="H34" s="26">
        <f t="shared" ref="H34:H39" si="16">C34*D34</f>
        <v>6436.26</v>
      </c>
      <c r="I34" s="26">
        <f t="shared" ref="I34:I39" si="17">F34*D34</f>
        <v>7124.7581840387093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12.5</v>
      </c>
      <c r="D35" s="30">
        <v>31</v>
      </c>
      <c r="E35" s="29">
        <f t="shared" si="13"/>
        <v>1.435982953492681E-2</v>
      </c>
      <c r="F35" s="28">
        <f t="shared" si="14"/>
        <v>13.837147240864084</v>
      </c>
      <c r="G35" s="27" t="str">
        <f t="shared" si="15"/>
        <v>+</v>
      </c>
      <c r="H35" s="26">
        <f t="shared" si="16"/>
        <v>387.5</v>
      </c>
      <c r="I35" s="26">
        <f t="shared" si="17"/>
        <v>428.95156446678664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</v>
      </c>
      <c r="D36" s="30"/>
      <c r="E36" s="29">
        <f t="shared" si="13"/>
        <v>0</v>
      </c>
      <c r="F36" s="28">
        <f t="shared" si="14"/>
        <v>11.069717792691268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26.6</v>
      </c>
      <c r="D37" s="30"/>
      <c r="E37" s="29">
        <f t="shared" si="13"/>
        <v>0</v>
      </c>
      <c r="F37" s="28">
        <f t="shared" si="14"/>
        <v>29.445449328558773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26.6</v>
      </c>
      <c r="D38" s="30"/>
      <c r="E38" s="29">
        <f t="shared" si="13"/>
        <v>0</v>
      </c>
      <c r="F38" s="28">
        <f t="shared" si="14"/>
        <v>29.445449328558773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27.5</v>
      </c>
      <c r="D39" s="30"/>
      <c r="E39" s="29">
        <f t="shared" si="13"/>
        <v>0</v>
      </c>
      <c r="F39" s="28">
        <f t="shared" si="14"/>
        <v>30.441723929900984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15.93219705813682</v>
      </c>
      <c r="D40" s="22">
        <f>SUM(D34:D39)</f>
        <v>428.3</v>
      </c>
      <c r="E40" s="113">
        <f t="shared" si="13"/>
        <v>0.19839725773577913</v>
      </c>
      <c r="F40" s="20">
        <f>I40/D40</f>
        <v>17.636492525112061</v>
      </c>
      <c r="G40" s="19">
        <f>F40/C40-1</f>
        <v>0.10697177926912671</v>
      </c>
      <c r="H40" s="18">
        <f>SUM(H34:H39)</f>
        <v>6823.76</v>
      </c>
      <c r="I40" s="18">
        <f>SUM(I34:I39)</f>
        <v>7553.7097485054956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210+26.9+185.9</f>
        <v>422.8</v>
      </c>
      <c r="E42" s="107">
        <f>D42/$D$48</f>
        <v>0.19584954604409857</v>
      </c>
      <c r="F42" s="28">
        <f>C42-(C42*$E$6)</f>
        <v>0.44278871170765072</v>
      </c>
      <c r="G42" s="27" t="str">
        <f>IF(C42&gt;=F42,"-","+")</f>
        <v>+</v>
      </c>
      <c r="H42" s="26">
        <f>C42*D42</f>
        <v>169.12</v>
      </c>
      <c r="I42" s="26">
        <f>F42*D42</f>
        <v>187.21106730999472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19.100000000000001</v>
      </c>
      <c r="E43" s="107">
        <f>D43/$D$48</f>
        <v>8.8475078747452286E-3</v>
      </c>
      <c r="F43" s="28">
        <f>C43-(C43*$E$6)</f>
        <v>0.44278871170765072</v>
      </c>
      <c r="G43" s="27" t="str">
        <f>IF(C43&gt;=F43,"-","+")</f>
        <v>+</v>
      </c>
      <c r="H43" s="26">
        <f>C43*D43</f>
        <v>7.6400000000000006</v>
      </c>
      <c r="I43" s="26">
        <f>F43*D43</f>
        <v>8.4572643936161285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</v>
      </c>
      <c r="E45" s="107">
        <f>D45/$D$48</f>
        <v>3.2425421530479894E-3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0.39376253063042987</v>
      </c>
      <c r="D46" s="22">
        <f>SUM(D41:D45)</f>
        <v>448.90000000000003</v>
      </c>
      <c r="E46" s="113">
        <f>D46/$D$48</f>
        <v>0.2079395960718918</v>
      </c>
      <c r="F46" s="20">
        <f>I46/D46</f>
        <v>0.43588400914148101</v>
      </c>
      <c r="G46" s="19">
        <f>F46/C46-1</f>
        <v>0.10697177926912693</v>
      </c>
      <c r="H46" s="18">
        <f>SUM(H41:H44)</f>
        <v>176.76</v>
      </c>
      <c r="I46" s="18">
        <f>SUM(I41:I44)</f>
        <v>195.66833170361085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86.111417354508191</v>
      </c>
      <c r="D48" s="13">
        <f>D24+D32+D40+D46</f>
        <v>2158.8000000000002</v>
      </c>
      <c r="E48" s="12">
        <f>SUM(E20:E46)/2</f>
        <v>0.99999999999999978</v>
      </c>
      <c r="F48" s="11">
        <f>I48/D48</f>
        <v>23.000000000000007</v>
      </c>
      <c r="G48" s="10"/>
      <c r="H48" s="9">
        <f>SUM(H20:H46)/2</f>
        <v>44854.259999999987</v>
      </c>
      <c r="I48" s="9">
        <f>SUM(I20:I46)/2</f>
        <v>49652.400000000023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2158.8000000000002</v>
      </c>
      <c r="E50" s="12">
        <f>D50/G2</f>
        <v>1</v>
      </c>
      <c r="F50" s="11">
        <f>I50/D50</f>
        <v>23.000000000000007</v>
      </c>
      <c r="G50" s="10"/>
      <c r="H50" s="9">
        <f>H48+H19</f>
        <v>44854.259999999987</v>
      </c>
      <c r="I50" s="9">
        <f>I48+I19</f>
        <v>49652.400000000023</v>
      </c>
      <c r="J50" s="106">
        <f>D50-G2</f>
        <v>0</v>
      </c>
      <c r="K50" s="8"/>
    </row>
    <row r="51" spans="1:11" ht="23.25" x14ac:dyDescent="0.35">
      <c r="A51" s="174" t="s">
        <v>339</v>
      </c>
      <c r="B51" s="169"/>
      <c r="C51" s="170"/>
      <c r="G51" s="7"/>
      <c r="H51" s="6"/>
      <c r="I51" s="6">
        <f>+I50/D50</f>
        <v>23.000000000000007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tabColor rgb="FF92D050"/>
  </sheetPr>
  <dimension ref="A1:L56"/>
  <sheetViews>
    <sheetView topLeftCell="A3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340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340</v>
      </c>
      <c r="D2" s="96" t="s">
        <v>3</v>
      </c>
      <c r="E2" s="95" t="s">
        <v>71</v>
      </c>
      <c r="F2" s="94" t="s">
        <v>5</v>
      </c>
      <c r="G2" s="93">
        <v>9745.2999999999993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138</v>
      </c>
      <c r="F3" s="88" t="s">
        <v>8</v>
      </c>
      <c r="G3" s="87">
        <v>26.8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70.618115942028979</v>
      </c>
      <c r="F4" s="81" t="s">
        <v>12</v>
      </c>
      <c r="G4" s="80">
        <f>G2*G3</f>
        <v>261174.03999999998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-1.2239392211524036E-2</v>
      </c>
      <c r="F6" s="69" t="s">
        <v>16</v>
      </c>
      <c r="G6" s="68">
        <f>(I50-I19)/(D50-(SUM(D42:D44)+D19))</f>
        <v>32.019964200769934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 t="e">
        <f t="shared" ref="E10:E19" si="1">D10/$D$19</f>
        <v>#DIV/0!</v>
      </c>
      <c r="F10" s="28">
        <f t="shared" ref="F10:F18" si="2">C10-(C10*$E$6)</f>
        <v>27.128015711268844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27.9</v>
      </c>
      <c r="D11" s="30"/>
      <c r="E11" s="29" t="e">
        <f t="shared" si="1"/>
        <v>#DIV/0!</v>
      </c>
      <c r="F11" s="28">
        <f t="shared" si="2"/>
        <v>28.241479042701521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25.5</v>
      </c>
      <c r="D12" s="30"/>
      <c r="E12" s="29" t="e">
        <f t="shared" si="1"/>
        <v>#DIV/0!</v>
      </c>
      <c r="F12" s="28">
        <f t="shared" si="2"/>
        <v>25.812104501393861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 t="e">
        <f t="shared" si="1"/>
        <v>#DIV/0!</v>
      </c>
      <c r="F13" s="28">
        <f t="shared" si="2"/>
        <v>28.241479042701521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31.2</v>
      </c>
      <c r="D14" s="30"/>
      <c r="E14" s="29" t="e">
        <f t="shared" si="1"/>
        <v>#DIV/0!</v>
      </c>
      <c r="F14" s="28">
        <f t="shared" si="2"/>
        <v>31.581869036999549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25.7</v>
      </c>
      <c r="D15" s="30"/>
      <c r="E15" s="29" t="e">
        <f t="shared" si="1"/>
        <v>#DIV/0!</v>
      </c>
      <c r="F15" s="28">
        <f t="shared" si="2"/>
        <v>26.014552379836168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 t="e">
        <f t="shared" si="1"/>
        <v>#DIV/0!</v>
      </c>
      <c r="F16" s="28">
        <f t="shared" si="2"/>
        <v>35.630826605845648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/>
      <c r="E17" s="29" t="e">
        <f t="shared" si="1"/>
        <v>#DIV/0!</v>
      </c>
      <c r="F17" s="28">
        <f t="shared" si="2"/>
        <v>52.434000516556942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/>
      <c r="E18" s="29" t="e">
        <f t="shared" si="1"/>
        <v>#DIV/0!</v>
      </c>
      <c r="F18" s="28">
        <f t="shared" si="2"/>
        <v>45.955668406403191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>
        <v>126.4</v>
      </c>
      <c r="E21" s="29">
        <f>D21/$D$48</f>
        <v>1.2970354940330211E-2</v>
      </c>
      <c r="F21" s="28">
        <f>C21-(C21*$E$6)</f>
        <v>68.224935035056731</v>
      </c>
      <c r="G21" s="27" t="str">
        <f>IF(C21&gt;=F21,"-","+")</f>
        <v>+</v>
      </c>
      <c r="H21" s="26">
        <f>C21*D21</f>
        <v>8519.36</v>
      </c>
      <c r="I21" s="26">
        <f>F21*D21</f>
        <v>8623.631788431172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255.9</v>
      </c>
      <c r="E22" s="29">
        <f>D22/$D$48</f>
        <v>2.6258811940114726E-2</v>
      </c>
      <c r="F22" s="28">
        <f>C22-(C22*$E$6)</f>
        <v>45.854444467182034</v>
      </c>
      <c r="G22" s="27" t="str">
        <f>IF(C22&gt;=F22,"-","+")</f>
        <v>+</v>
      </c>
      <c r="H22" s="26">
        <f>C22*D22</f>
        <v>11592.27</v>
      </c>
      <c r="I22" s="26">
        <f>F22*D22</f>
        <v>11734.152339151882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272</v>
      </c>
      <c r="E23" s="29">
        <f>D23/$D$48</f>
        <v>2.7910890377925771E-2</v>
      </c>
      <c r="F23" s="28">
        <f>C23-(C23*$E$6)</f>
        <v>41.805486898335943</v>
      </c>
      <c r="G23" s="27" t="str">
        <f>IF(C23&gt;=F23,"-","+")</f>
        <v>+</v>
      </c>
      <c r="H23" s="26">
        <f>C23*D23</f>
        <v>11233.599999999999</v>
      </c>
      <c r="I23" s="26">
        <f>F23*D23</f>
        <v>11371.092436347377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47.906510774873915</v>
      </c>
      <c r="D24" s="22">
        <f>SUM(D21:D23)</f>
        <v>654.29999999999995</v>
      </c>
      <c r="E24" s="21">
        <f>D24/$D$48</f>
        <v>6.7140057258370703E-2</v>
      </c>
      <c r="F24" s="20">
        <f>I24/D24</f>
        <v>48.492857349733207</v>
      </c>
      <c r="G24" s="19">
        <f>F24/C24-1</f>
        <v>1.2239392211524258E-2</v>
      </c>
      <c r="H24" s="18">
        <f>SUM(H21:H23)</f>
        <v>31345.23</v>
      </c>
      <c r="I24" s="18">
        <f>SUM(I21:I23)</f>
        <v>31728.876563930433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v>2030.7</v>
      </c>
      <c r="E26" s="29">
        <f t="shared" ref="E26:E32" si="7">D26/$D$48</f>
        <v>0.20837737165608039</v>
      </c>
      <c r="F26" s="28">
        <f t="shared" ref="F26:F31" si="8">C26-(C26*$E$6)</f>
        <v>36.440618119614868</v>
      </c>
      <c r="G26" s="27" t="str">
        <f t="shared" ref="G26:G31" si="9">IF(C26&gt;=F26,"-","+")</f>
        <v>+</v>
      </c>
      <c r="H26" s="26">
        <f t="shared" ref="H26:H31" si="10">C26*D26</f>
        <v>73105.2</v>
      </c>
      <c r="I26" s="26">
        <f t="shared" ref="I26:I31" si="11">F26*D26</f>
        <v>73999.963215501921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1360.2</v>
      </c>
      <c r="E27" s="29">
        <f t="shared" si="7"/>
        <v>0.13957497460314205</v>
      </c>
      <c r="F27" s="28">
        <f t="shared" si="8"/>
        <v>32.391660550768769</v>
      </c>
      <c r="G27" s="27" t="str">
        <f t="shared" si="9"/>
        <v>+</v>
      </c>
      <c r="H27" s="26">
        <f t="shared" si="10"/>
        <v>43526.400000000001</v>
      </c>
      <c r="I27" s="26">
        <f t="shared" si="11"/>
        <v>44059.13668115568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857.8</v>
      </c>
      <c r="E28" s="29">
        <f t="shared" si="7"/>
        <v>8.8021918258032072E-2</v>
      </c>
      <c r="F28" s="28">
        <f t="shared" si="8"/>
        <v>32.391660550768769</v>
      </c>
      <c r="G28" s="27" t="str">
        <f t="shared" si="9"/>
        <v>+</v>
      </c>
      <c r="H28" s="26">
        <f t="shared" si="10"/>
        <v>27449.599999999999</v>
      </c>
      <c r="I28" s="26">
        <f t="shared" si="11"/>
        <v>27785.56642044945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731</v>
      </c>
      <c r="E29" s="29">
        <f t="shared" si="7"/>
        <v>7.5010517890675504E-2</v>
      </c>
      <c r="F29" s="28">
        <f t="shared" si="8"/>
        <v>31.379421158557246</v>
      </c>
      <c r="G29" s="27" t="str">
        <f t="shared" si="9"/>
        <v>+</v>
      </c>
      <c r="H29" s="26">
        <f t="shared" si="10"/>
        <v>22661</v>
      </c>
      <c r="I29" s="26">
        <f t="shared" si="11"/>
        <v>22938.356866905346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658.8</v>
      </c>
      <c r="E30" s="29">
        <f t="shared" si="7"/>
        <v>6.7601818312417267E-2</v>
      </c>
      <c r="F30" s="28">
        <f t="shared" si="8"/>
        <v>31.379421158557246</v>
      </c>
      <c r="G30" s="27" t="str">
        <f t="shared" si="9"/>
        <v>+</v>
      </c>
      <c r="H30" s="26">
        <f t="shared" si="10"/>
        <v>20422.8</v>
      </c>
      <c r="I30" s="26">
        <f t="shared" si="11"/>
        <v>20672.762659257511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298.39999999999998</v>
      </c>
      <c r="E31" s="29">
        <f t="shared" si="7"/>
        <v>3.0619888561665625E-2</v>
      </c>
      <c r="F31" s="28">
        <f t="shared" si="8"/>
        <v>31.885540854663006</v>
      </c>
      <c r="G31" s="27" t="str">
        <f t="shared" si="9"/>
        <v>+</v>
      </c>
      <c r="H31" s="26">
        <f t="shared" si="10"/>
        <v>9399.5999999999985</v>
      </c>
      <c r="I31" s="26">
        <f t="shared" si="11"/>
        <v>9514.6453910314394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33.108962589903825</v>
      </c>
      <c r="D32" s="22">
        <f>SUM(D26:D31)</f>
        <v>5936.9</v>
      </c>
      <c r="E32" s="21">
        <f t="shared" si="7"/>
        <v>0.60920648928201293</v>
      </c>
      <c r="F32" s="20">
        <f>I32/D32</f>
        <v>33.514196168758332</v>
      </c>
      <c r="G32" s="19">
        <f>F32/C32-1</f>
        <v>1.2239392211524036E-2</v>
      </c>
      <c r="H32" s="18">
        <f>SUM(H26:H31)</f>
        <v>196564.6</v>
      </c>
      <c r="I32" s="18">
        <f>SUM(I26:I31)</f>
        <v>198970.43123430133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1559.3</v>
      </c>
      <c r="E34" s="29">
        <f t="shared" ref="E34:E40" si="13">D34/$D$48</f>
        <v>0.16000533590551344</v>
      </c>
      <c r="F34" s="28">
        <f t="shared" ref="F34:F39" si="14">C34-(C34*$E$6)</f>
        <v>19.131324512797804</v>
      </c>
      <c r="G34" s="27" t="str">
        <f t="shared" ref="G34:G39" si="15">IF(C34&gt;=F34,"-","+")</f>
        <v>+</v>
      </c>
      <c r="H34" s="26">
        <f t="shared" ref="H34:H39" si="16">C34*D34</f>
        <v>29470.769999999997</v>
      </c>
      <c r="I34" s="26">
        <f t="shared" ref="I34:I39" si="17">F34*D34</f>
        <v>29831.474312805614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14.77869512628825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11.843200888874831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31.379421158557246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31.379421158557246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32.391660550768769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1559.3</v>
      </c>
      <c r="E40" s="113">
        <f t="shared" si="13"/>
        <v>0.16000533590551344</v>
      </c>
      <c r="F40" s="20">
        <f>I40/D40</f>
        <v>19.131324512797804</v>
      </c>
      <c r="G40" s="19">
        <f>F40/C40-1</f>
        <v>1.2239392211524036E-2</v>
      </c>
      <c r="H40" s="18">
        <f>SUM(H34:H39)</f>
        <v>29470.769999999997</v>
      </c>
      <c r="I40" s="18">
        <f>SUM(I34:I39)</f>
        <v>29831.474312805614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1512</v>
      </c>
      <c r="E42" s="107">
        <f>D42/$D$48</f>
        <v>0.15515171415964621</v>
      </c>
      <c r="F42" s="28">
        <f>C42-(C42*$E$6)</f>
        <v>0.40489575688460966</v>
      </c>
      <c r="G42" s="27" t="str">
        <f>IF(C42&gt;=F42,"-","+")</f>
        <v>+</v>
      </c>
      <c r="H42" s="26">
        <f>C42*D42</f>
        <v>604.80000000000007</v>
      </c>
      <c r="I42" s="26">
        <f>F42*D42</f>
        <v>612.20238440952983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76.7</v>
      </c>
      <c r="E43" s="107">
        <f>D43/$D$48</f>
        <v>7.870460632304805E-3</v>
      </c>
      <c r="F43" s="28">
        <f>C43-(C43*$E$6)</f>
        <v>0.40489575688460966</v>
      </c>
      <c r="G43" s="27" t="str">
        <f>IF(C43&gt;=F43,"-","+")</f>
        <v>+</v>
      </c>
      <c r="H43" s="26">
        <f>C43*D43</f>
        <v>30.680000000000003</v>
      </c>
      <c r="I43" s="26">
        <f>F43*D43</f>
        <v>31.055504553049563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6.1</v>
      </c>
      <c r="E45" s="107">
        <f>D45/$D$48</f>
        <v>6.2594276215201174E-4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0.39847002758966643</v>
      </c>
      <c r="D46" s="22">
        <f>SUM(D41:D45)</f>
        <v>1594.8</v>
      </c>
      <c r="E46" s="113">
        <f>D46/$D$48</f>
        <v>0.16364811755410302</v>
      </c>
      <c r="F46" s="20">
        <f>I46/D46</f>
        <v>0.40334705854187319</v>
      </c>
      <c r="G46" s="19">
        <f>F46/C46-1</f>
        <v>1.2239392211524036E-2</v>
      </c>
      <c r="H46" s="18">
        <f>SUM(H41:H44)</f>
        <v>635.48</v>
      </c>
      <c r="I46" s="18">
        <f>SUM(I41:I44)</f>
        <v>643.25788896257939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100.31394339236741</v>
      </c>
      <c r="D48" s="13">
        <f>D24+D32+D40+D46</f>
        <v>9745.2999999999993</v>
      </c>
      <c r="E48" s="12">
        <f>SUM(E20:E46)/2</f>
        <v>1</v>
      </c>
      <c r="F48" s="11">
        <f>I48/D48</f>
        <v>26.800000000000004</v>
      </c>
      <c r="G48" s="10"/>
      <c r="H48" s="9">
        <f>SUM(H20:H46)/2</f>
        <v>258016.08000000002</v>
      </c>
      <c r="I48" s="9">
        <f>SUM(I20:I46)/2</f>
        <v>261174.04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9745.2999999999993</v>
      </c>
      <c r="E50" s="12">
        <f>D50/G2</f>
        <v>1</v>
      </c>
      <c r="F50" s="11">
        <f>I50/D50</f>
        <v>26.800000000000004</v>
      </c>
      <c r="G50" s="10"/>
      <c r="H50" s="9">
        <f>H48+H19</f>
        <v>258016.08000000002</v>
      </c>
      <c r="I50" s="9">
        <f>I48+I19</f>
        <v>261174.04</v>
      </c>
      <c r="J50" s="106">
        <f>D50-G2</f>
        <v>0</v>
      </c>
      <c r="K50" s="8"/>
    </row>
    <row r="51" spans="1:11" ht="23.25" x14ac:dyDescent="0.35">
      <c r="A51" s="174" t="s">
        <v>341</v>
      </c>
      <c r="B51" s="169"/>
      <c r="C51" s="170"/>
      <c r="G51" s="7"/>
      <c r="H51" s="6"/>
      <c r="I51" s="6">
        <f>+I50/D50</f>
        <v>26.800000000000004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340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340</v>
      </c>
      <c r="D2" s="96" t="s">
        <v>3</v>
      </c>
      <c r="E2" s="95" t="s">
        <v>71</v>
      </c>
      <c r="F2" s="94" t="s">
        <v>5</v>
      </c>
      <c r="G2" s="93">
        <v>13272.9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190</v>
      </c>
      <c r="F3" s="88" t="s">
        <v>8</v>
      </c>
      <c r="G3" s="87">
        <v>26.8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69.857368421052627</v>
      </c>
      <c r="F4" s="81" t="s">
        <v>12</v>
      </c>
      <c r="G4" s="80">
        <f>G2*G3</f>
        <v>355713.72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6.2179885408319979E-4</v>
      </c>
      <c r="F6" s="69" t="s">
        <v>16</v>
      </c>
      <c r="G6" s="68">
        <f>(I50-I19)/(D50-(SUM(D42:D44)+D19))</f>
        <v>31.595979378739663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26.78333579071057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27.9</v>
      </c>
      <c r="D11" s="30">
        <v>3846.8</v>
      </c>
      <c r="E11" s="29">
        <f t="shared" si="1"/>
        <v>0.8172335408213125</v>
      </c>
      <c r="F11" s="28">
        <f t="shared" si="2"/>
        <v>27.882651811971076</v>
      </c>
      <c r="G11" s="27" t="str">
        <f t="shared" si="3"/>
        <v>-</v>
      </c>
      <c r="H11" s="34">
        <f t="shared" si="4"/>
        <v>107325.72</v>
      </c>
      <c r="I11" s="34">
        <f t="shared" si="5"/>
        <v>107258.98499029034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25.5</v>
      </c>
      <c r="D12" s="30">
        <v>780.3</v>
      </c>
      <c r="E12" s="29">
        <f t="shared" si="1"/>
        <v>0.16577085679080536</v>
      </c>
      <c r="F12" s="28">
        <f t="shared" si="2"/>
        <v>25.48414412922088</v>
      </c>
      <c r="G12" s="27" t="str">
        <f t="shared" si="3"/>
        <v>-</v>
      </c>
      <c r="H12" s="34">
        <f t="shared" si="4"/>
        <v>19897.649999999998</v>
      </c>
      <c r="I12" s="34">
        <f t="shared" si="5"/>
        <v>19885.277664031051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27.882651811971076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31.2</v>
      </c>
      <c r="D14" s="30"/>
      <c r="E14" s="29">
        <f t="shared" si="1"/>
        <v>0</v>
      </c>
      <c r="F14" s="28">
        <f t="shared" si="2"/>
        <v>31.180599875752602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25.7</v>
      </c>
      <c r="D15" s="30">
        <v>80</v>
      </c>
      <c r="E15" s="29">
        <f t="shared" si="1"/>
        <v>1.6995602387882135E-2</v>
      </c>
      <c r="F15" s="28">
        <f t="shared" si="2"/>
        <v>25.68401976945006</v>
      </c>
      <c r="G15" s="27" t="str">
        <f t="shared" si="3"/>
        <v>-</v>
      </c>
      <c r="H15" s="34">
        <f t="shared" si="4"/>
        <v>2056</v>
      </c>
      <c r="I15" s="34">
        <f t="shared" si="5"/>
        <v>2054.7215815560048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>
        <f t="shared" si="1"/>
        <v>0</v>
      </c>
      <c r="F16" s="28">
        <f t="shared" si="2"/>
        <v>35.178112680336277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/>
      <c r="E17" s="29">
        <f t="shared" si="1"/>
        <v>0</v>
      </c>
      <c r="F17" s="28">
        <f t="shared" si="2"/>
        <v>51.767790819358488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/>
      <c r="E18" s="29">
        <f t="shared" si="1"/>
        <v>0</v>
      </c>
      <c r="F18" s="28">
        <f t="shared" si="2"/>
        <v>45.371770332024624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27.464759618448724</v>
      </c>
      <c r="D19" s="49">
        <f>SUM(D10:D18)</f>
        <v>4707.1000000000004</v>
      </c>
      <c r="E19" s="48">
        <f t="shared" si="1"/>
        <v>1</v>
      </c>
      <c r="F19" s="47">
        <f>I19/D19</f>
        <v>27.4476820623903</v>
      </c>
      <c r="G19" s="46">
        <f>F19/C19-1</f>
        <v>-6.2179885408331081E-4</v>
      </c>
      <c r="H19" s="9">
        <f>SUM(H10:H18)</f>
        <v>129279.37</v>
      </c>
      <c r="I19" s="9">
        <f>SUM(I10:I18)</f>
        <v>129198.98423587739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>
        <v>43.3</v>
      </c>
      <c r="E21" s="29">
        <f>D21/$D$48</f>
        <v>5.0549861075439538E-3</v>
      </c>
      <c r="F21" s="28">
        <f>C21-(C21*$E$6)</f>
        <v>67.358090757234791</v>
      </c>
      <c r="G21" s="27" t="str">
        <f>IF(C21&gt;=F21,"-","+")</f>
        <v>-</v>
      </c>
      <c r="H21" s="26">
        <f>C21*D21</f>
        <v>2918.42</v>
      </c>
      <c r="I21" s="26">
        <f>F21*D21</f>
        <v>2916.6053297882663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348.4</v>
      </c>
      <c r="E22" s="29">
        <f>D22/$D$48</f>
        <v>4.0673375516589227E-2</v>
      </c>
      <c r="F22" s="28">
        <f>C22-(C22*$E$6)</f>
        <v>45.271832511910027</v>
      </c>
      <c r="G22" s="27" t="str">
        <f>IF(C22&gt;=F22,"-","+")</f>
        <v>-</v>
      </c>
      <c r="H22" s="26">
        <f>C22*D22</f>
        <v>15782.519999999999</v>
      </c>
      <c r="I22" s="26">
        <f>F22*D22</f>
        <v>15772.706447149452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95.7</v>
      </c>
      <c r="E23" s="29">
        <f>D23/$D$48</f>
        <v>1.1172336500968971E-2</v>
      </c>
      <c r="F23" s="28">
        <f>C23-(C23*$E$6)</f>
        <v>41.274319707326363</v>
      </c>
      <c r="G23" s="27" t="str">
        <f>IF(C23&gt;=F23,"-","+")</f>
        <v>-</v>
      </c>
      <c r="H23" s="26">
        <f>C23*D23</f>
        <v>3952.41</v>
      </c>
      <c r="I23" s="26">
        <f>F23*D23</f>
        <v>3949.952395991133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46.477944193680756</v>
      </c>
      <c r="D24" s="22">
        <f>SUM(D21:D23)</f>
        <v>487.4</v>
      </c>
      <c r="E24" s="21">
        <f>D24/$D$48</f>
        <v>5.690069812510215E-2</v>
      </c>
      <c r="F24" s="20">
        <f>I24/D24</f>
        <v>46.449044261240978</v>
      </c>
      <c r="G24" s="19">
        <f>F24/C24-1</f>
        <v>-6.2179885408331081E-4</v>
      </c>
      <c r="H24" s="18">
        <f>SUM(H21:H23)</f>
        <v>22653.35</v>
      </c>
      <c r="I24" s="18">
        <f>SUM(I21:I23)</f>
        <v>22639.264172928852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f>225+60.1+533.9</f>
        <v>819</v>
      </c>
      <c r="E26" s="29">
        <f t="shared" ref="E26:E32" si="7">D26/$D$48</f>
        <v>9.5612785729295574E-2</v>
      </c>
      <c r="F26" s="28">
        <f t="shared" ref="F26:F31" si="8">C26-(C26*$E$6)</f>
        <v>35.977615241253005</v>
      </c>
      <c r="G26" s="27" t="str">
        <f t="shared" ref="G26:G31" si="9">IF(C26&gt;=F26,"-","+")</f>
        <v>-</v>
      </c>
      <c r="H26" s="26">
        <f t="shared" ref="H26:H31" si="10">C26*D26</f>
        <v>29484</v>
      </c>
      <c r="I26" s="26">
        <f t="shared" ref="I26:I31" si="11">F26*D26</f>
        <v>29465.666882586211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1910.4</v>
      </c>
      <c r="E27" s="29">
        <f t="shared" si="7"/>
        <v>0.22302645403815174</v>
      </c>
      <c r="F27" s="28">
        <f t="shared" si="8"/>
        <v>31.980102436669338</v>
      </c>
      <c r="G27" s="27" t="str">
        <f t="shared" si="9"/>
        <v>-</v>
      </c>
      <c r="H27" s="26">
        <f t="shared" si="10"/>
        <v>61132.800000000003</v>
      </c>
      <c r="I27" s="26">
        <f t="shared" si="11"/>
        <v>61094.787695013103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1542.9</v>
      </c>
      <c r="E28" s="29">
        <f t="shared" si="7"/>
        <v>0.18012328095449348</v>
      </c>
      <c r="F28" s="28">
        <f t="shared" si="8"/>
        <v>31.980102436669338</v>
      </c>
      <c r="G28" s="27" t="str">
        <f t="shared" si="9"/>
        <v>-</v>
      </c>
      <c r="H28" s="26">
        <f t="shared" si="10"/>
        <v>49372.800000000003</v>
      </c>
      <c r="I28" s="26">
        <f t="shared" si="11"/>
        <v>49342.100049537126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1191</v>
      </c>
      <c r="E29" s="29">
        <f t="shared" si="7"/>
        <v>0.13904130378948845</v>
      </c>
      <c r="F29" s="28">
        <f t="shared" si="8"/>
        <v>30.980724235523422</v>
      </c>
      <c r="G29" s="27" t="str">
        <f t="shared" si="9"/>
        <v>-</v>
      </c>
      <c r="H29" s="26">
        <f t="shared" si="10"/>
        <v>36921</v>
      </c>
      <c r="I29" s="26">
        <f t="shared" si="11"/>
        <v>36898.042564508396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279.5</v>
      </c>
      <c r="E30" s="29">
        <f t="shared" si="7"/>
        <v>3.2629760209204044E-2</v>
      </c>
      <c r="F30" s="28">
        <f t="shared" si="8"/>
        <v>30.980724235523422</v>
      </c>
      <c r="G30" s="27" t="str">
        <f t="shared" si="9"/>
        <v>-</v>
      </c>
      <c r="H30" s="26">
        <f t="shared" si="10"/>
        <v>8664.5</v>
      </c>
      <c r="I30" s="26">
        <f t="shared" si="11"/>
        <v>8659.1124238287957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55.8</v>
      </c>
      <c r="E31" s="29">
        <f t="shared" si="7"/>
        <v>6.5142777090289291E-3</v>
      </c>
      <c r="F31" s="28">
        <f t="shared" si="8"/>
        <v>31.48041333609638</v>
      </c>
      <c r="G31" s="27" t="str">
        <f t="shared" si="9"/>
        <v>-</v>
      </c>
      <c r="H31" s="26">
        <f t="shared" si="10"/>
        <v>1757.6999999999998</v>
      </c>
      <c r="I31" s="26">
        <f t="shared" si="11"/>
        <v>1756.6070641541778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32.306556755078816</v>
      </c>
      <c r="D32" s="22">
        <f>SUM(D26:D31)</f>
        <v>5798.6</v>
      </c>
      <c r="E32" s="21">
        <f t="shared" si="7"/>
        <v>0.67694786242966221</v>
      </c>
      <c r="F32" s="20">
        <f>I32/D32</f>
        <v>32.286468575109126</v>
      </c>
      <c r="G32" s="19">
        <f>F32/C32-1</f>
        <v>-6.2179885408342184E-4</v>
      </c>
      <c r="H32" s="18">
        <f>SUM(H26:H31)</f>
        <v>187332.80000000002</v>
      </c>
      <c r="I32" s="18">
        <f>SUM(I26:I31)</f>
        <v>187216.31667962781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773.4</v>
      </c>
      <c r="E34" s="29">
        <f t="shared" ref="E34:E40" si="13">D34/$D$48</f>
        <v>9.0289289967078384E-2</v>
      </c>
      <c r="F34" s="28">
        <f t="shared" ref="F34:F39" si="14">C34-(C34*$E$6)</f>
        <v>18.888248001657825</v>
      </c>
      <c r="G34" s="27" t="str">
        <f t="shared" ref="G34:G39" si="15">IF(C34&gt;=F34,"-","+")</f>
        <v>-</v>
      </c>
      <c r="H34" s="26">
        <f t="shared" ref="H34:H39" si="16">C34*D34</f>
        <v>14617.259999999998</v>
      </c>
      <c r="I34" s="26">
        <f t="shared" ref="I34:I39" si="17">F34*D34</f>
        <v>14608.171004482161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>
        <v>102.3</v>
      </c>
      <c r="E35" s="29">
        <f t="shared" si="13"/>
        <v>1.1942842466553038E-2</v>
      </c>
      <c r="F35" s="28">
        <f t="shared" si="14"/>
        <v>14.590921736730385</v>
      </c>
      <c r="G35" s="27" t="str">
        <f t="shared" si="15"/>
        <v>-</v>
      </c>
      <c r="H35" s="26">
        <f t="shared" si="16"/>
        <v>1493.58</v>
      </c>
      <c r="I35" s="26">
        <f t="shared" si="17"/>
        <v>1492.6512936675183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11.692724953407225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30.980724235523422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30.980724235523422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31.980102436669338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18.397670435080506</v>
      </c>
      <c r="D40" s="22">
        <f>SUM(D34:D39)</f>
        <v>875.69999999999993</v>
      </c>
      <c r="E40" s="113">
        <f t="shared" si="13"/>
        <v>0.10223213243363141</v>
      </c>
      <c r="F40" s="20">
        <f>I40/D40</f>
        <v>18.386230784686173</v>
      </c>
      <c r="G40" s="19">
        <f>F40/C40-1</f>
        <v>-6.2179885408319979E-4</v>
      </c>
      <c r="H40" s="18">
        <f>SUM(H34:H39)</f>
        <v>16110.839999999998</v>
      </c>
      <c r="I40" s="18">
        <f>SUM(I34:I39)</f>
        <v>16100.82229814968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1356</v>
      </c>
      <c r="E42" s="107">
        <f>D42/$D$48</f>
        <v>0.15830395292909011</v>
      </c>
      <c r="F42" s="28">
        <f>C42-(C42*$E$6)</f>
        <v>0.39975128045836672</v>
      </c>
      <c r="G42" s="27" t="str">
        <f>IF(C42&gt;=F42,"-","+")</f>
        <v>-</v>
      </c>
      <c r="H42" s="26">
        <f>C42*D42</f>
        <v>542.4</v>
      </c>
      <c r="I42" s="26">
        <f>F42*D42</f>
        <v>542.06273630154533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40.700000000000003</v>
      </c>
      <c r="E43" s="107">
        <f>D43/$D$48</f>
        <v>4.7514534544350799E-3</v>
      </c>
      <c r="F43" s="28">
        <f>C43-(C43*$E$6)</f>
        <v>0.39975128045836672</v>
      </c>
      <c r="G43" s="27" t="str">
        <f>IF(C43&gt;=F43,"-","+")</f>
        <v>-</v>
      </c>
      <c r="H43" s="26">
        <f>C43*D43</f>
        <v>16.28</v>
      </c>
      <c r="I43" s="26">
        <f>F43*D43</f>
        <v>16.269877114655525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7.4</v>
      </c>
      <c r="E45" s="107">
        <f>D45/$D$48</f>
        <v>8.6390062807910535E-4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0.39789188804216219</v>
      </c>
      <c r="D46" s="22">
        <f>SUM(D41:D45)</f>
        <v>1404.1000000000001</v>
      </c>
      <c r="E46" s="113">
        <f>D46/$D$48</f>
        <v>0.16391930701160431</v>
      </c>
      <c r="F46" s="20">
        <f>I46/D46</f>
        <v>0.3976444793221286</v>
      </c>
      <c r="G46" s="19">
        <f>F46/C46-1</f>
        <v>-6.2179885408308877E-4</v>
      </c>
      <c r="H46" s="18">
        <f>SUM(H41:H44)</f>
        <v>558.67999999999995</v>
      </c>
      <c r="I46" s="18">
        <f>SUM(I41:I44)</f>
        <v>558.33261341620084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97.580063271882253</v>
      </c>
      <c r="D48" s="13">
        <f>D24+D32+D40+D46</f>
        <v>8565.7999999999993</v>
      </c>
      <c r="E48" s="12">
        <f>SUM(E20:E46)/2</f>
        <v>1.0000000000000002</v>
      </c>
      <c r="F48" s="11">
        <f>I48/D48</f>
        <v>26.444084121053791</v>
      </c>
      <c r="G48" s="10"/>
      <c r="H48" s="9">
        <f>SUM(H20:H46)/2</f>
        <v>226655.67000000007</v>
      </c>
      <c r="I48" s="9">
        <f>SUM(I20:I46)/2</f>
        <v>226514.73576412254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13272.9</v>
      </c>
      <c r="E50" s="12">
        <f>D50/G2</f>
        <v>1</v>
      </c>
      <c r="F50" s="11">
        <f>I50/D50</f>
        <v>26.799999999999994</v>
      </c>
      <c r="G50" s="10"/>
      <c r="H50" s="9">
        <f>H48+H19</f>
        <v>355935.04000000004</v>
      </c>
      <c r="I50" s="9">
        <f>I48+I19</f>
        <v>355713.71999999991</v>
      </c>
      <c r="J50" s="106">
        <f>D50-G2</f>
        <v>0</v>
      </c>
      <c r="K50" s="8"/>
    </row>
    <row r="51" spans="1:11" ht="23.25" x14ac:dyDescent="0.35">
      <c r="A51" s="174" t="s">
        <v>342</v>
      </c>
      <c r="B51" s="169"/>
      <c r="C51" s="170"/>
      <c r="G51" s="7"/>
      <c r="H51" s="6"/>
      <c r="I51" s="6">
        <f>+I50/D50</f>
        <v>26.799999999999994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333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340</v>
      </c>
      <c r="D2" s="96" t="s">
        <v>3</v>
      </c>
      <c r="E2" s="95" t="s">
        <v>71</v>
      </c>
      <c r="F2" s="94" t="s">
        <v>5</v>
      </c>
      <c r="G2" s="93">
        <v>3006.5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168</v>
      </c>
      <c r="D3" s="90" t="s">
        <v>7</v>
      </c>
      <c r="E3" s="89">
        <v>32</v>
      </c>
      <c r="F3" s="88" t="s">
        <v>8</v>
      </c>
      <c r="G3" s="87">
        <v>27.15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93.953125</v>
      </c>
      <c r="F4" s="81" t="s">
        <v>12</v>
      </c>
      <c r="G4" s="80">
        <f>G2*G3</f>
        <v>81626.474999999991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-1.7950587295432863E-2</v>
      </c>
      <c r="F6" s="69" t="s">
        <v>16</v>
      </c>
      <c r="G6" s="68">
        <f>(I50-I19)/(D50-(SUM(D42:D44)+D19))</f>
        <v>32.263391550733161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>
        <f t="shared" ref="E10:E19" si="1">D10/$D$19</f>
        <v>0</v>
      </c>
      <c r="F10" s="28">
        <f t="shared" ref="F10:F18" si="2">C10-(C10*$E$6)</f>
        <v>27.688255974435773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28.3</v>
      </c>
      <c r="D11" s="30">
        <v>360.7</v>
      </c>
      <c r="E11" s="29">
        <f t="shared" si="1"/>
        <v>0.81165616561656162</v>
      </c>
      <c r="F11" s="28">
        <f t="shared" si="2"/>
        <v>28.80800162046075</v>
      </c>
      <c r="G11" s="27" t="str">
        <f t="shared" si="3"/>
        <v>+</v>
      </c>
      <c r="H11" s="34">
        <f t="shared" si="4"/>
        <v>10207.81</v>
      </c>
      <c r="I11" s="34">
        <f t="shared" si="5"/>
        <v>10391.046184500192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25.8</v>
      </c>
      <c r="D12" s="30">
        <v>83.7</v>
      </c>
      <c r="E12" s="29">
        <f t="shared" si="1"/>
        <v>0.18834383438343835</v>
      </c>
      <c r="F12" s="28">
        <f t="shared" si="2"/>
        <v>26.26312515222217</v>
      </c>
      <c r="G12" s="27" t="str">
        <f t="shared" si="3"/>
        <v>+</v>
      </c>
      <c r="H12" s="34">
        <f t="shared" si="4"/>
        <v>2159.46</v>
      </c>
      <c r="I12" s="34">
        <f t="shared" si="5"/>
        <v>2198.2235752409956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>
        <f t="shared" si="1"/>
        <v>0</v>
      </c>
      <c r="F13" s="28">
        <f t="shared" si="2"/>
        <v>28.80800162046075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31.6</v>
      </c>
      <c r="D14" s="30"/>
      <c r="E14" s="29">
        <f t="shared" si="1"/>
        <v>0</v>
      </c>
      <c r="F14" s="28">
        <f t="shared" si="2"/>
        <v>32.167238558535679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26.1</v>
      </c>
      <c r="D15" s="30"/>
      <c r="E15" s="29">
        <f t="shared" si="1"/>
        <v>0</v>
      </c>
      <c r="F15" s="28">
        <f t="shared" si="2"/>
        <v>26.568510328410799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35.700000000000003</v>
      </c>
      <c r="D16" s="30"/>
      <c r="E16" s="29">
        <f t="shared" si="1"/>
        <v>0</v>
      </c>
      <c r="F16" s="28">
        <f t="shared" si="2"/>
        <v>36.340835966446953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52.5</v>
      </c>
      <c r="D17" s="30"/>
      <c r="E17" s="29">
        <f t="shared" si="1"/>
        <v>0</v>
      </c>
      <c r="F17" s="28">
        <f t="shared" si="2"/>
        <v>53.442405833010227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</v>
      </c>
      <c r="D18" s="30"/>
      <c r="E18" s="29">
        <f t="shared" si="1"/>
        <v>0</v>
      </c>
      <c r="F18" s="28">
        <f t="shared" si="2"/>
        <v>46.825727015589912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27.829140414041408</v>
      </c>
      <c r="D19" s="49">
        <f>SUM(D10:D18)</f>
        <v>444.4</v>
      </c>
      <c r="E19" s="48">
        <f t="shared" si="1"/>
        <v>1</v>
      </c>
      <c r="F19" s="47">
        <f>I19/D19</f>
        <v>28.328689828400513</v>
      </c>
      <c r="G19" s="46">
        <f>F19/C19-1</f>
        <v>1.7950587295432641E-2</v>
      </c>
      <c r="H19" s="9">
        <f>SUM(H10:H18)</f>
        <v>12367.27</v>
      </c>
      <c r="I19" s="9">
        <f>SUM(I10:I18)</f>
        <v>12589.269759741188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68.3</v>
      </c>
      <c r="D21" s="30">
        <v>26.2</v>
      </c>
      <c r="E21" s="29">
        <f>D21/$D$48</f>
        <v>1.0225986495452949E-2</v>
      </c>
      <c r="F21" s="28">
        <f>C21-(C21*$E$6)</f>
        <v>69.526025112278063</v>
      </c>
      <c r="G21" s="27" t="str">
        <f>IF(C21&gt;=F21,"-","+")</f>
        <v>+</v>
      </c>
      <c r="H21" s="26">
        <f>C21*D21</f>
        <v>1789.4599999999998</v>
      </c>
      <c r="I21" s="26">
        <f>F21*D21</f>
        <v>1821.5818579416853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90.6</v>
      </c>
      <c r="E22" s="29">
        <f>D22/$D$48</f>
        <v>3.5361617423207523E-2</v>
      </c>
      <c r="F22" s="28">
        <f>C22-(C22*$E$6)</f>
        <v>46.723931956860369</v>
      </c>
      <c r="G22" s="27" t="str">
        <f>IF(C22&gt;=F22,"-","+")</f>
        <v>+</v>
      </c>
      <c r="H22" s="26">
        <f>C22*D22</f>
        <v>4158.54</v>
      </c>
      <c r="I22" s="26">
        <f>F22*D22</f>
        <v>4233.1882352915491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41.8</v>
      </c>
      <c r="D23" s="30">
        <v>62.7</v>
      </c>
      <c r="E23" s="29">
        <f>D23/$D$48</f>
        <v>2.4472112720034349E-2</v>
      </c>
      <c r="F23" s="28">
        <f>C23-(C23*$E$6)</f>
        <v>42.550334548949088</v>
      </c>
      <c r="G23" s="27" t="str">
        <f>IF(C23&gt;=F23,"-","+")</f>
        <v>+</v>
      </c>
      <c r="H23" s="26">
        <f>C23*D23</f>
        <v>2620.86</v>
      </c>
      <c r="I23" s="26">
        <f>F23*D23</f>
        <v>2667.9059762191077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47.737381615598892</v>
      </c>
      <c r="D24" s="22">
        <f>SUM(D21:D23)</f>
        <v>179.5</v>
      </c>
      <c r="E24" s="21">
        <f>D24/$D$48</f>
        <v>7.0059716638694827E-2</v>
      </c>
      <c r="F24" s="20">
        <f>I24/D24</f>
        <v>48.594295651545082</v>
      </c>
      <c r="G24" s="19">
        <f>F24/C24-1</f>
        <v>1.7950587295432641E-2</v>
      </c>
      <c r="H24" s="18">
        <f>SUM(H21:H23)</f>
        <v>8568.86</v>
      </c>
      <c r="I24" s="18">
        <f>SUM(I21:I23)</f>
        <v>8722.6760694523418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36.4</v>
      </c>
      <c r="D26" s="30">
        <v>405.1</v>
      </c>
      <c r="E26" s="29">
        <f t="shared" ref="E26:E32" si="7">D26/$D$48</f>
        <v>0.15811248585144999</v>
      </c>
      <c r="F26" s="28">
        <f t="shared" ref="F26:F31" si="8">C26-(C26*$E$6)</f>
        <v>37.053401377553755</v>
      </c>
      <c r="G26" s="27" t="str">
        <f t="shared" ref="G26:G31" si="9">IF(C26&gt;=F26,"-","+")</f>
        <v>+</v>
      </c>
      <c r="H26" s="26">
        <f t="shared" ref="H26:H31" si="10">C26*D26</f>
        <v>14745.64</v>
      </c>
      <c r="I26" s="26">
        <f t="shared" ref="I26:I31" si="11">F26*D26</f>
        <v>15010.332898047027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32.4</v>
      </c>
      <c r="D27" s="30">
        <v>436</v>
      </c>
      <c r="E27" s="29">
        <f t="shared" si="7"/>
        <v>0.17017290503883534</v>
      </c>
      <c r="F27" s="28">
        <f t="shared" si="8"/>
        <v>32.981599028372024</v>
      </c>
      <c r="G27" s="27" t="str">
        <f t="shared" si="9"/>
        <v>+</v>
      </c>
      <c r="H27" s="26">
        <f t="shared" si="10"/>
        <v>14126.4</v>
      </c>
      <c r="I27" s="26">
        <f t="shared" si="11"/>
        <v>14379.977176370203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32.4</v>
      </c>
      <c r="D28" s="30">
        <v>324</v>
      </c>
      <c r="E28" s="29">
        <f t="shared" si="7"/>
        <v>0.12645876429491434</v>
      </c>
      <c r="F28" s="28">
        <f t="shared" si="8"/>
        <v>32.981599028372024</v>
      </c>
      <c r="G28" s="27" t="str">
        <f t="shared" si="9"/>
        <v>+</v>
      </c>
      <c r="H28" s="26">
        <f t="shared" si="10"/>
        <v>10497.6</v>
      </c>
      <c r="I28" s="26">
        <f t="shared" si="11"/>
        <v>10686.038085192537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228</v>
      </c>
      <c r="E29" s="29">
        <f t="shared" si="7"/>
        <v>8.8989500800124896E-2</v>
      </c>
      <c r="F29" s="28">
        <f t="shared" si="8"/>
        <v>31.96364844107659</v>
      </c>
      <c r="G29" s="27" t="str">
        <f t="shared" si="9"/>
        <v>+</v>
      </c>
      <c r="H29" s="26">
        <f t="shared" si="10"/>
        <v>7159.2</v>
      </c>
      <c r="I29" s="26">
        <f t="shared" si="11"/>
        <v>7287.7118445654623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117.6</v>
      </c>
      <c r="E30" s="29">
        <f t="shared" si="7"/>
        <v>4.5899847781117054E-2</v>
      </c>
      <c r="F30" s="28">
        <f t="shared" si="8"/>
        <v>31.96364844107659</v>
      </c>
      <c r="G30" s="27" t="str">
        <f t="shared" si="9"/>
        <v>+</v>
      </c>
      <c r="H30" s="26">
        <f t="shared" si="10"/>
        <v>3692.64</v>
      </c>
      <c r="I30" s="26">
        <f t="shared" si="11"/>
        <v>3758.9250566706069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31.9</v>
      </c>
      <c r="D31" s="30">
        <v>25</v>
      </c>
      <c r="E31" s="29">
        <f t="shared" si="7"/>
        <v>9.757620701768081E-3</v>
      </c>
      <c r="F31" s="28">
        <f t="shared" si="8"/>
        <v>32.472623734724309</v>
      </c>
      <c r="G31" s="27" t="str">
        <f t="shared" si="9"/>
        <v>+</v>
      </c>
      <c r="H31" s="26">
        <f t="shared" si="10"/>
        <v>797.5</v>
      </c>
      <c r="I31" s="26">
        <f t="shared" si="11"/>
        <v>811.81559336810767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33.221970436934299</v>
      </c>
      <c r="D32" s="22">
        <f>SUM(D26:D31)</f>
        <v>1535.6999999999998</v>
      </c>
      <c r="E32" s="21">
        <f t="shared" si="7"/>
        <v>0.59939112446820964</v>
      </c>
      <c r="F32" s="20">
        <f>I32/D32</f>
        <v>33.818324317388779</v>
      </c>
      <c r="G32" s="19">
        <f>F32/C32-1</f>
        <v>1.7950587295432863E-2</v>
      </c>
      <c r="H32" s="18">
        <f>SUM(H26:H31)</f>
        <v>51018.979999999996</v>
      </c>
      <c r="I32" s="18">
        <f>SUM(I26:I31)</f>
        <v>51934.800654213941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420</v>
      </c>
      <c r="E34" s="29">
        <f t="shared" ref="E34:E40" si="13">D34/$D$48</f>
        <v>0.16392802778970375</v>
      </c>
      <c r="F34" s="28">
        <f t="shared" ref="F34:F39" si="14">C34-(C34*$E$6)</f>
        <v>19.544651276072312</v>
      </c>
      <c r="G34" s="27" t="str">
        <f t="shared" ref="G34:G39" si="15">IF(C34&gt;=F34,"-","+")</f>
        <v>+</v>
      </c>
      <c r="H34" s="26">
        <f t="shared" ref="H34:H39" si="16">C34*D34</f>
        <v>8064</v>
      </c>
      <c r="I34" s="26">
        <f t="shared" ref="I34:I39" si="17">F34*D34</f>
        <v>8208.7535359503709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/>
      <c r="E35" s="29">
        <f t="shared" si="13"/>
        <v>0</v>
      </c>
      <c r="F35" s="28">
        <f t="shared" si="14"/>
        <v>15.065668691972407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12.113611988815652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31.96364844107659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31.96364844107659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32.4</v>
      </c>
      <c r="D39" s="30"/>
      <c r="E39" s="29">
        <f t="shared" si="13"/>
        <v>0</v>
      </c>
      <c r="F39" s="28">
        <f t="shared" si="14"/>
        <v>32.981599028372024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</v>
      </c>
      <c r="D40" s="22">
        <f>SUM(D34:D39)</f>
        <v>420</v>
      </c>
      <c r="E40" s="113">
        <f t="shared" si="13"/>
        <v>0.16392802778970375</v>
      </c>
      <c r="F40" s="20">
        <f>I40/D40</f>
        <v>19.544651276072312</v>
      </c>
      <c r="G40" s="19">
        <f>F40/C40-1</f>
        <v>1.7950587295432863E-2</v>
      </c>
      <c r="H40" s="18">
        <f>SUM(H34:H39)</f>
        <v>8064</v>
      </c>
      <c r="I40" s="18">
        <f>SUM(I34:I39)</f>
        <v>8208.7535359503709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403</v>
      </c>
      <c r="E42" s="107">
        <f>D42/$D$48</f>
        <v>0.15729284571250146</v>
      </c>
      <c r="F42" s="28">
        <f>C42-(C42*$E$6)</f>
        <v>0.40718023491817318</v>
      </c>
      <c r="G42" s="27" t="str">
        <f>IF(C42&gt;=F42,"-","+")</f>
        <v>+</v>
      </c>
      <c r="H42" s="26">
        <f>C42*D42</f>
        <v>161.20000000000002</v>
      </c>
      <c r="I42" s="26">
        <f>F42*D42</f>
        <v>164.0936346720238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16.899999999999999</v>
      </c>
      <c r="E43" s="107">
        <f>D43/$D$48</f>
        <v>6.596151594395222E-3</v>
      </c>
      <c r="F43" s="28">
        <f>C43-(C43*$E$6)</f>
        <v>0.40718023491817318</v>
      </c>
      <c r="G43" s="27" t="str">
        <f>IF(C43&gt;=F43,"-","+")</f>
        <v>+</v>
      </c>
      <c r="H43" s="26">
        <f>C43*D43</f>
        <v>6.76</v>
      </c>
      <c r="I43" s="26">
        <f>F43*D43</f>
        <v>6.8813459701171258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2.4</v>
      </c>
      <c r="E44" s="107">
        <f>D44/$D$48</f>
        <v>9.3673158736973575E-4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4.5999999999999996</v>
      </c>
      <c r="E45" s="107">
        <f>D45/$D$48</f>
        <v>1.7954022091253268E-3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0.39344108690559854</v>
      </c>
      <c r="D46" s="22">
        <f>SUM(D41:D45)</f>
        <v>426.9</v>
      </c>
      <c r="E46" s="113">
        <f>D46/$D$48</f>
        <v>0.16662113110339175</v>
      </c>
      <c r="F46" s="20">
        <f>I46/D46</f>
        <v>0.4005035854817075</v>
      </c>
      <c r="G46" s="19">
        <f>F46/C46-1</f>
        <v>1.7950587295432863E-2</v>
      </c>
      <c r="H46" s="18">
        <f>SUM(H41:H44)</f>
        <v>167.96</v>
      </c>
      <c r="I46" s="18">
        <f>SUM(I41:I44)</f>
        <v>170.97498064214093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100.55279313943879</v>
      </c>
      <c r="D48" s="13">
        <f>D24+D32+D40+D46</f>
        <v>2562.1</v>
      </c>
      <c r="E48" s="12">
        <f>SUM(E20:E46)/2</f>
        <v>1</v>
      </c>
      <c r="F48" s="11">
        <f>I48/D48</f>
        <v>26.945554521782444</v>
      </c>
      <c r="G48" s="10"/>
      <c r="H48" s="9">
        <f>SUM(H20:H46)/2</f>
        <v>67819.8</v>
      </c>
      <c r="I48" s="9">
        <f>SUM(I20:I46)/2</f>
        <v>69037.205240258801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3006.4999999999995</v>
      </c>
      <c r="E50" s="12">
        <f>D50/G2</f>
        <v>0.99999999999999989</v>
      </c>
      <c r="F50" s="11">
        <f>I50/D50</f>
        <v>27.150000000000002</v>
      </c>
      <c r="G50" s="10"/>
      <c r="H50" s="9">
        <f>H48+H19</f>
        <v>80187.070000000007</v>
      </c>
      <c r="I50" s="9">
        <f>I48+I19</f>
        <v>81626.474999999991</v>
      </c>
      <c r="J50" s="106">
        <f>D50-G2</f>
        <v>0</v>
      </c>
      <c r="K50" s="8"/>
    </row>
    <row r="51" spans="1:11" ht="23.25" x14ac:dyDescent="0.35">
      <c r="A51" s="174" t="s">
        <v>343</v>
      </c>
      <c r="B51" s="169"/>
      <c r="C51" s="170"/>
      <c r="G51" s="7"/>
      <c r="H51" s="6"/>
      <c r="I51" s="6">
        <f>+I50/D50</f>
        <v>27.150000000000002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333</v>
      </c>
      <c r="D1" s="100" t="s">
        <v>1</v>
      </c>
      <c r="E1" s="168" t="s">
        <v>338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340</v>
      </c>
      <c r="D2" s="96" t="s">
        <v>3</v>
      </c>
      <c r="E2" s="95" t="s">
        <v>71</v>
      </c>
      <c r="F2" s="94" t="s">
        <v>5</v>
      </c>
      <c r="G2" s="93">
        <v>13241.6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168</v>
      </c>
      <c r="D3" s="90" t="s">
        <v>7</v>
      </c>
      <c r="E3" s="89">
        <v>192</v>
      </c>
      <c r="F3" s="88" t="s">
        <v>8</v>
      </c>
      <c r="G3" s="87">
        <v>26.8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68.966666666666669</v>
      </c>
      <c r="F4" s="81" t="s">
        <v>12</v>
      </c>
      <c r="G4" s="80">
        <f>G2*G3</f>
        <v>354874.88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-4.0580345379839233E-2</v>
      </c>
      <c r="F6" s="69" t="s">
        <v>16</v>
      </c>
      <c r="G6" s="68">
        <f>(I50-I19)/(D50-(SUM(D42:D44)+D19))</f>
        <v>33.003393861830816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27.887553256179693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27.9</v>
      </c>
      <c r="D11" s="30">
        <v>50.6</v>
      </c>
      <c r="E11" s="29">
        <f t="shared" si="1"/>
        <v>0.47916666666666669</v>
      </c>
      <c r="F11" s="28">
        <f t="shared" si="2"/>
        <v>29.032191636097512</v>
      </c>
      <c r="G11" s="27" t="str">
        <f t="shared" si="3"/>
        <v>+</v>
      </c>
      <c r="H11" s="34">
        <f t="shared" si="4"/>
        <v>1411.74</v>
      </c>
      <c r="I11" s="34">
        <f t="shared" si="5"/>
        <v>1469.0288967865342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25.5</v>
      </c>
      <c r="D12" s="30"/>
      <c r="E12" s="29">
        <f t="shared" si="1"/>
        <v>0</v>
      </c>
      <c r="F12" s="28">
        <f t="shared" si="2"/>
        <v>26.534798807185901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29.032191636097512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31.2</v>
      </c>
      <c r="D14" s="30"/>
      <c r="E14" s="29">
        <f t="shared" si="1"/>
        <v>0</v>
      </c>
      <c r="F14" s="28">
        <f t="shared" si="2"/>
        <v>32.466106775850982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25.7</v>
      </c>
      <c r="D15" s="30">
        <v>55</v>
      </c>
      <c r="E15" s="29">
        <f t="shared" si="1"/>
        <v>0.52083333333333337</v>
      </c>
      <c r="F15" s="28">
        <f t="shared" si="2"/>
        <v>26.742914876261867</v>
      </c>
      <c r="G15" s="27" t="str">
        <f t="shared" si="3"/>
        <v>+</v>
      </c>
      <c r="H15" s="34">
        <f t="shared" si="4"/>
        <v>1413.5</v>
      </c>
      <c r="I15" s="34">
        <f t="shared" si="5"/>
        <v>1470.8603181944027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>
        <f t="shared" si="1"/>
        <v>0</v>
      </c>
      <c r="F16" s="28">
        <f t="shared" si="2"/>
        <v>36.628428157370344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/>
      <c r="E17" s="29">
        <f t="shared" si="1"/>
        <v>0</v>
      </c>
      <c r="F17" s="28">
        <f t="shared" si="2"/>
        <v>53.902061890675668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/>
      <c r="E18" s="29">
        <f t="shared" si="1"/>
        <v>0</v>
      </c>
      <c r="F18" s="28">
        <f t="shared" si="2"/>
        <v>47.242347680244698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26.754166666666666</v>
      </c>
      <c r="D19" s="49">
        <f>SUM(D10:D18)</f>
        <v>105.6</v>
      </c>
      <c r="E19" s="48">
        <f t="shared" si="1"/>
        <v>1</v>
      </c>
      <c r="F19" s="47">
        <f>I19/D19</f>
        <v>27.839859990349787</v>
      </c>
      <c r="G19" s="46">
        <f>F19/C19-1</f>
        <v>4.0580345379839455E-2</v>
      </c>
      <c r="H19" s="9">
        <f>SUM(H10:H18)</f>
        <v>2825.24</v>
      </c>
      <c r="I19" s="9">
        <f>SUM(I10:I18)</f>
        <v>2939.8892149809371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>
        <v>159.19999999999999</v>
      </c>
      <c r="E21" s="29">
        <f>D21/$D$48</f>
        <v>1.2119366626065772E-2</v>
      </c>
      <c r="F21" s="28">
        <f>C21-(C21*$E$6)</f>
        <v>70.135115278601177</v>
      </c>
      <c r="G21" s="27" t="str">
        <f>IF(C21&gt;=F21,"-","+")</f>
        <v>+</v>
      </c>
      <c r="H21" s="26">
        <f>C21*D21</f>
        <v>10730.08</v>
      </c>
      <c r="I21" s="26">
        <f>F21*D21</f>
        <v>11165.510352353307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398.5</v>
      </c>
      <c r="E22" s="29">
        <f>D22/$D$48</f>
        <v>3.0336479902557851E-2</v>
      </c>
      <c r="F22" s="28">
        <f>C22-(C22*$E$6)</f>
        <v>47.138289645706713</v>
      </c>
      <c r="G22" s="27" t="str">
        <f>IF(C22&gt;=F22,"-","+")</f>
        <v>+</v>
      </c>
      <c r="H22" s="26">
        <f>C22*D22</f>
        <v>18052.05</v>
      </c>
      <c r="I22" s="26">
        <f>F22*D22</f>
        <v>18784.608423814127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296</v>
      </c>
      <c r="E23" s="29">
        <f>D23/$D$48</f>
        <v>2.253349573690621E-2</v>
      </c>
      <c r="F23" s="28">
        <f>C23-(C23*$E$6)</f>
        <v>42.975968264187358</v>
      </c>
      <c r="G23" s="27" t="str">
        <f>IF(C23&gt;=F23,"-","+")</f>
        <v>+</v>
      </c>
      <c r="H23" s="26">
        <f>C23*D23</f>
        <v>12224.8</v>
      </c>
      <c r="I23" s="26">
        <f>F23*D23</f>
        <v>12720.886606199458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48.034356331263901</v>
      </c>
      <c r="D24" s="22">
        <f>SUM(D21:D23)</f>
        <v>853.7</v>
      </c>
      <c r="E24" s="21">
        <f>D24/$D$48</f>
        <v>6.498934226552984E-2</v>
      </c>
      <c r="F24" s="20">
        <f>I24/D24</f>
        <v>49.983607101284868</v>
      </c>
      <c r="G24" s="19">
        <f>F24/C24-1</f>
        <v>4.0580345379839455E-2</v>
      </c>
      <c r="H24" s="18">
        <f>SUM(H21:H23)</f>
        <v>41006.929999999993</v>
      </c>
      <c r="I24" s="18">
        <f>SUM(I21:I23)</f>
        <v>42671.005382366893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f>168+800.5+1735</f>
        <v>2703.5</v>
      </c>
      <c r="E26" s="29">
        <f t="shared" ref="E26:E32" si="7">D26/$D$48</f>
        <v>0.20580846528623628</v>
      </c>
      <c r="F26" s="28">
        <f t="shared" ref="F26:F31" si="8">C26-(C26*$E$6)</f>
        <v>37.460892433674211</v>
      </c>
      <c r="G26" s="27" t="str">
        <f t="shared" ref="G26:G31" si="9">IF(C26&gt;=F26,"-","+")</f>
        <v>+</v>
      </c>
      <c r="H26" s="26">
        <f t="shared" ref="H26:H31" si="10">C26*D26</f>
        <v>97326</v>
      </c>
      <c r="I26" s="26">
        <f t="shared" ref="I26:I31" si="11">F26*D26</f>
        <v>101275.52269443823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1939.7</v>
      </c>
      <c r="E27" s="29">
        <f t="shared" si="7"/>
        <v>0.14766291108404384</v>
      </c>
      <c r="F27" s="28">
        <f t="shared" si="8"/>
        <v>33.298571052154855</v>
      </c>
      <c r="G27" s="27" t="str">
        <f t="shared" si="9"/>
        <v>+</v>
      </c>
      <c r="H27" s="26">
        <f t="shared" si="10"/>
        <v>62070.400000000001</v>
      </c>
      <c r="I27" s="26">
        <f t="shared" si="11"/>
        <v>64589.238269864778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1219.8</v>
      </c>
      <c r="E28" s="29">
        <f t="shared" si="7"/>
        <v>9.2859317904993896E-2</v>
      </c>
      <c r="F28" s="28">
        <f t="shared" si="8"/>
        <v>33.298571052154855</v>
      </c>
      <c r="G28" s="27" t="str">
        <f t="shared" si="9"/>
        <v>+</v>
      </c>
      <c r="H28" s="26">
        <f t="shared" si="10"/>
        <v>39033.599999999999</v>
      </c>
      <c r="I28" s="26">
        <f t="shared" si="11"/>
        <v>40617.59696941849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1039.7</v>
      </c>
      <c r="E29" s="29">
        <f t="shared" si="7"/>
        <v>7.9148903775883059E-2</v>
      </c>
      <c r="F29" s="28">
        <f t="shared" si="8"/>
        <v>32.257990706775018</v>
      </c>
      <c r="G29" s="27" t="str">
        <f t="shared" si="9"/>
        <v>+</v>
      </c>
      <c r="H29" s="26">
        <f t="shared" si="10"/>
        <v>32230.7</v>
      </c>
      <c r="I29" s="26">
        <f t="shared" si="11"/>
        <v>33538.632937833987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799.1</v>
      </c>
      <c r="E30" s="29">
        <f t="shared" si="7"/>
        <v>6.0832825822168084E-2</v>
      </c>
      <c r="F30" s="28">
        <f t="shared" si="8"/>
        <v>32.257990706775018</v>
      </c>
      <c r="G30" s="27" t="str">
        <f t="shared" si="9"/>
        <v>+</v>
      </c>
      <c r="H30" s="26">
        <f t="shared" si="10"/>
        <v>24772.100000000002</v>
      </c>
      <c r="I30" s="26">
        <f t="shared" si="11"/>
        <v>25777.360373783918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123.1</v>
      </c>
      <c r="E31" s="29">
        <f t="shared" si="7"/>
        <v>9.3711936662606559E-3</v>
      </c>
      <c r="F31" s="28">
        <f t="shared" si="8"/>
        <v>32.778280879464937</v>
      </c>
      <c r="G31" s="27" t="str">
        <f t="shared" si="9"/>
        <v>+</v>
      </c>
      <c r="H31" s="26">
        <f t="shared" si="10"/>
        <v>3877.6499999999996</v>
      </c>
      <c r="I31" s="26">
        <f t="shared" si="11"/>
        <v>4035.0063762621335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33.1391391583279</v>
      </c>
      <c r="D32" s="22">
        <f>SUM(D26:D31)</f>
        <v>7824.9000000000005</v>
      </c>
      <c r="E32" s="21">
        <f t="shared" si="7"/>
        <v>0.59568361753958587</v>
      </c>
      <c r="F32" s="20">
        <f>I32/D32</f>
        <v>34.483936870963404</v>
      </c>
      <c r="G32" s="19">
        <f>F32/C32-1</f>
        <v>4.0580345379839233E-2</v>
      </c>
      <c r="H32" s="18">
        <f>SUM(H26:H31)</f>
        <v>259310.45</v>
      </c>
      <c r="I32" s="18">
        <f>SUM(I26:I31)</f>
        <v>269833.35762160155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1870.2</v>
      </c>
      <c r="E34" s="29">
        <f t="shared" ref="E34:E40" si="13">D34/$D$48</f>
        <v>0.14237210718635809</v>
      </c>
      <c r="F34" s="28">
        <f t="shared" ref="F34:F39" si="14">C34-(C34*$E$6)</f>
        <v>19.666968527678961</v>
      </c>
      <c r="G34" s="27" t="str">
        <f t="shared" ref="G34:G39" si="15">IF(C34&gt;=F34,"-","+")</f>
        <v>+</v>
      </c>
      <c r="H34" s="26">
        <f t="shared" ref="H34:H39" si="16">C34*D34</f>
        <v>35346.78</v>
      </c>
      <c r="I34" s="26">
        <f t="shared" ref="I34:I39" si="17">F34*D34</f>
        <v>36781.164540465194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>
        <v>107.5</v>
      </c>
      <c r="E35" s="29">
        <f t="shared" si="13"/>
        <v>8.1836175395858697E-3</v>
      </c>
      <c r="F35" s="28">
        <f t="shared" si="14"/>
        <v>15.192473042545652</v>
      </c>
      <c r="G35" s="27" t="str">
        <f t="shared" si="15"/>
        <v>+</v>
      </c>
      <c r="H35" s="26">
        <f t="shared" si="16"/>
        <v>1569.5</v>
      </c>
      <c r="I35" s="26">
        <f t="shared" si="17"/>
        <v>1633.1908520736577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12.174790040944119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32.257990706775018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32.257990706775018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33.298571052154855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18.666268898215097</v>
      </c>
      <c r="D40" s="22">
        <f>SUM(D34:D39)</f>
        <v>1977.7</v>
      </c>
      <c r="E40" s="113">
        <f t="shared" si="13"/>
        <v>0.15055572472594395</v>
      </c>
      <c r="F40" s="20">
        <f>I40/D40</f>
        <v>19.423752537057617</v>
      </c>
      <c r="G40" s="19">
        <f>F40/C40-1</f>
        <v>4.0580345379839233E-2</v>
      </c>
      <c r="H40" s="18">
        <f>SUM(H34:H39)</f>
        <v>36916.28</v>
      </c>
      <c r="I40" s="18">
        <f>SUM(I34:I39)</f>
        <v>38414.355392538848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2334</v>
      </c>
      <c r="E42" s="107">
        <f>D42/$D$48</f>
        <v>0.17767965895249693</v>
      </c>
      <c r="F42" s="28">
        <f>C42-(C42*$E$6)</f>
        <v>0.41623213815193572</v>
      </c>
      <c r="G42" s="27" t="str">
        <f>IF(C42&gt;=F42,"-","+")</f>
        <v>+</v>
      </c>
      <c r="H42" s="26">
        <f>C42*D42</f>
        <v>933.6</v>
      </c>
      <c r="I42" s="26">
        <f>F42*D42</f>
        <v>971.48581044661796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107.6</v>
      </c>
      <c r="E43" s="107">
        <f>D43/$D$48</f>
        <v>8.1912302070645537E-3</v>
      </c>
      <c r="F43" s="28">
        <f>C43-(C43*$E$6)</f>
        <v>0.41623213815193572</v>
      </c>
      <c r="G43" s="27" t="str">
        <f>IF(C43&gt;=F43,"-","+")</f>
        <v>+</v>
      </c>
      <c r="H43" s="26">
        <f>C43*D43</f>
        <v>43.04</v>
      </c>
      <c r="I43" s="26">
        <f>F43*D43</f>
        <v>44.786578065148284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30.8</v>
      </c>
      <c r="E44" s="107">
        <f>D44/$D$48</f>
        <v>2.3447015834348354E-3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7.3</v>
      </c>
      <c r="E45" s="107">
        <f>D45/$D$48</f>
        <v>5.5572472594397069E-4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0.39385409525345805</v>
      </c>
      <c r="D46" s="22">
        <f>SUM(D41:D45)</f>
        <v>2479.7000000000003</v>
      </c>
      <c r="E46" s="113">
        <f>D46/$D$48</f>
        <v>0.1887713154689403</v>
      </c>
      <c r="F46" s="20">
        <f>I46/D46</f>
        <v>0.40983683046810748</v>
      </c>
      <c r="G46" s="19">
        <f>F46/C46-1</f>
        <v>4.0580345379839233E-2</v>
      </c>
      <c r="H46" s="18">
        <f>SUM(H41:H44)</f>
        <v>976.64</v>
      </c>
      <c r="I46" s="18">
        <f>SUM(I41:I44)</f>
        <v>1016.2723885117663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100.23361848306035</v>
      </c>
      <c r="D48" s="13">
        <f>D24+D32+D40+D46</f>
        <v>13136.000000000002</v>
      </c>
      <c r="E48" s="12">
        <f>SUM(E20:E46)/2</f>
        <v>1</v>
      </c>
      <c r="F48" s="11">
        <f>I48/D48</f>
        <v>26.791640589602544</v>
      </c>
      <c r="G48" s="10"/>
      <c r="H48" s="9">
        <f>SUM(H20:H46)/2</f>
        <v>338210.30000000005</v>
      </c>
      <c r="I48" s="9">
        <f>SUM(I20:I46)/2</f>
        <v>351934.99078501906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13241.6</v>
      </c>
      <c r="E50" s="12">
        <f>D50/G2</f>
        <v>1</v>
      </c>
      <c r="F50" s="11">
        <f>I50/D50</f>
        <v>26.8</v>
      </c>
      <c r="G50" s="10"/>
      <c r="H50" s="9">
        <f>H48+H19</f>
        <v>341035.54000000004</v>
      </c>
      <c r="I50" s="9">
        <f>I48+I19</f>
        <v>354874.88</v>
      </c>
      <c r="J50" s="106">
        <f>D50-G2</f>
        <v>0</v>
      </c>
      <c r="K50" s="8"/>
    </row>
    <row r="51" spans="1:11" ht="23.25" x14ac:dyDescent="0.35">
      <c r="A51" s="174" t="s">
        <v>344</v>
      </c>
      <c r="B51" s="169"/>
      <c r="C51" s="170"/>
      <c r="G51" s="7"/>
      <c r="H51" s="6"/>
      <c r="I51" s="6">
        <f>+I50/D50</f>
        <v>26.8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345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345</v>
      </c>
      <c r="D2" s="96" t="s">
        <v>3</v>
      </c>
      <c r="E2" s="95" t="s">
        <v>71</v>
      </c>
      <c r="F2" s="94" t="s">
        <v>5</v>
      </c>
      <c r="G2" s="93">
        <v>22624.6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316</v>
      </c>
      <c r="F3" s="88" t="s">
        <v>8</v>
      </c>
      <c r="G3" s="87">
        <v>27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71.596835443037975</v>
      </c>
      <c r="F4" s="81" t="s">
        <v>12</v>
      </c>
      <c r="G4" s="80">
        <f>G2*G3</f>
        <v>610864.19999999995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-1.2922776818014015E-2</v>
      </c>
      <c r="F6" s="69" t="s">
        <v>16</v>
      </c>
      <c r="G6" s="68">
        <f>(I50-I19)/(D50-(SUM(D42:D44)+D19))</f>
        <v>32.267482858865392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</v>
      </c>
      <c r="D10" s="30"/>
      <c r="E10" s="29">
        <f t="shared" ref="E10:E19" si="1">D10/$D$19</f>
        <v>0</v>
      </c>
      <c r="F10" s="28">
        <f t="shared" ref="F10:F18" si="2">C10-(C10*$E$6)</f>
        <v>27.348914974086377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28.1</v>
      </c>
      <c r="D11" s="30">
        <v>378.6</v>
      </c>
      <c r="E11" s="29">
        <f t="shared" si="1"/>
        <v>1</v>
      </c>
      <c r="F11" s="28">
        <f t="shared" si="2"/>
        <v>28.463130028586196</v>
      </c>
      <c r="G11" s="27" t="str">
        <f t="shared" si="3"/>
        <v>+</v>
      </c>
      <c r="H11" s="34">
        <f t="shared" si="4"/>
        <v>10638.660000000002</v>
      </c>
      <c r="I11" s="34">
        <f t="shared" si="5"/>
        <v>10776.141028822734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25.7</v>
      </c>
      <c r="D12" s="30"/>
      <c r="E12" s="29">
        <f t="shared" si="1"/>
        <v>0</v>
      </c>
      <c r="F12" s="28">
        <f t="shared" si="2"/>
        <v>26.03211536422296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28.1</v>
      </c>
      <c r="D13" s="30"/>
      <c r="E13" s="29">
        <f t="shared" si="1"/>
        <v>0</v>
      </c>
      <c r="F13" s="28">
        <f t="shared" si="2"/>
        <v>28.463130028586196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31.4</v>
      </c>
      <c r="D14" s="30"/>
      <c r="E14" s="29">
        <f t="shared" si="1"/>
        <v>0</v>
      </c>
      <c r="F14" s="28">
        <f t="shared" si="2"/>
        <v>31.80577519208564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25.9</v>
      </c>
      <c r="D15" s="30"/>
      <c r="E15" s="29">
        <f t="shared" si="1"/>
        <v>0</v>
      </c>
      <c r="F15" s="28">
        <f t="shared" si="2"/>
        <v>26.234699919586561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35.5</v>
      </c>
      <c r="D16" s="30"/>
      <c r="E16" s="29">
        <f t="shared" si="1"/>
        <v>0</v>
      </c>
      <c r="F16" s="28">
        <f t="shared" si="2"/>
        <v>35.958758577039497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52.2</v>
      </c>
      <c r="D17" s="30"/>
      <c r="E17" s="29">
        <f t="shared" si="1"/>
        <v>0</v>
      </c>
      <c r="F17" s="28">
        <f t="shared" si="2"/>
        <v>52.874568949900336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45.7</v>
      </c>
      <c r="D18" s="30"/>
      <c r="E18" s="29">
        <f t="shared" si="1"/>
        <v>0</v>
      </c>
      <c r="F18" s="28">
        <f t="shared" si="2"/>
        <v>46.290570900583241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28.1</v>
      </c>
      <c r="D19" s="49">
        <f>SUM(D10:D18)</f>
        <v>378.6</v>
      </c>
      <c r="E19" s="48">
        <f t="shared" si="1"/>
        <v>1</v>
      </c>
      <c r="F19" s="47">
        <f>I19/D19</f>
        <v>28.463130028586196</v>
      </c>
      <c r="G19" s="46">
        <f>F19/C19-1</f>
        <v>1.2922776818014015E-2</v>
      </c>
      <c r="H19" s="9">
        <f>SUM(H10:H18)</f>
        <v>10638.660000000002</v>
      </c>
      <c r="I19" s="9">
        <f>SUM(I10:I18)</f>
        <v>10776.141028822734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67.900000000000006</v>
      </c>
      <c r="D21" s="30">
        <v>260.89999999999998</v>
      </c>
      <c r="E21" s="29">
        <f>D21/$D$48</f>
        <v>1.1727951092331204E-2</v>
      </c>
      <c r="F21" s="28">
        <f>C21-(C21*$E$6)</f>
        <v>68.777456545943153</v>
      </c>
      <c r="G21" s="27" t="str">
        <f>IF(C21&gt;=F21,"-","+")</f>
        <v>+</v>
      </c>
      <c r="H21" s="26">
        <f>C21*D21</f>
        <v>17715.11</v>
      </c>
      <c r="I21" s="26">
        <f>F21*D21</f>
        <v>17944.038412836566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45.6</v>
      </c>
      <c r="D22" s="30">
        <v>600.5</v>
      </c>
      <c r="E22" s="29">
        <f>D22/$D$48</f>
        <v>2.699361682999191E-2</v>
      </c>
      <c r="F22" s="28">
        <f>C22-(C22*$E$6)</f>
        <v>46.18927862290144</v>
      </c>
      <c r="G22" s="27" t="str">
        <f>IF(C22&gt;=F22,"-","+")</f>
        <v>+</v>
      </c>
      <c r="H22" s="26">
        <f>C22*D22</f>
        <v>27382.799999999999</v>
      </c>
      <c r="I22" s="26">
        <f>F22*D22</f>
        <v>27736.661813052317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41.6</v>
      </c>
      <c r="D23" s="30">
        <v>555</v>
      </c>
      <c r="E23" s="29">
        <f>D23/$D$48</f>
        <v>2.4948305313314753E-2</v>
      </c>
      <c r="F23" s="28">
        <f>C23-(C23*$E$6)</f>
        <v>42.137587515629384</v>
      </c>
      <c r="G23" s="27" t="str">
        <f>IF(C23&gt;=F23,"-","+")</f>
        <v>+</v>
      </c>
      <c r="H23" s="26">
        <f>C23*D23</f>
        <v>23088</v>
      </c>
      <c r="I23" s="26">
        <f>F23*D23</f>
        <v>23386.361071174309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48.140292290313468</v>
      </c>
      <c r="D24" s="22">
        <f>SUM(D21:D23)</f>
        <v>1416.4</v>
      </c>
      <c r="E24" s="21">
        <f>D24/$D$48</f>
        <v>6.3669873235637872E-2</v>
      </c>
      <c r="F24" s="20">
        <f>I24/D24</f>
        <v>48.762398543535149</v>
      </c>
      <c r="G24" s="19">
        <f>F24/C24-1</f>
        <v>1.2922776818014015E-2</v>
      </c>
      <c r="H24" s="18">
        <f>SUM(H21:H23)</f>
        <v>68185.91</v>
      </c>
      <c r="I24" s="18">
        <f>SUM(I21:I23)</f>
        <v>69067.061297063192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36.200000000000003</v>
      </c>
      <c r="D26" s="30">
        <f>3430.4+247.2</f>
        <v>3677.6</v>
      </c>
      <c r="E26" s="29">
        <f t="shared" ref="E26:E32" si="7">D26/$D$48</f>
        <v>0.16531511282927266</v>
      </c>
      <c r="F26" s="28">
        <f t="shared" ref="F26:F31" si="8">C26-(C26*$E$6)</f>
        <v>36.667804520812112</v>
      </c>
      <c r="G26" s="27" t="str">
        <f t="shared" ref="G26:G31" si="9">IF(C26&gt;=F26,"-","+")</f>
        <v>+</v>
      </c>
      <c r="H26" s="26">
        <f t="shared" ref="H26:H31" si="10">C26*D26</f>
        <v>133129.12</v>
      </c>
      <c r="I26" s="26">
        <f t="shared" ref="I26:I31" si="11">F26*D26</f>
        <v>134849.51790573861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32.299999999999997</v>
      </c>
      <c r="D27" s="30">
        <v>3460</v>
      </c>
      <c r="E27" s="29">
        <f t="shared" si="7"/>
        <v>0.15553357907039467</v>
      </c>
      <c r="F27" s="28">
        <f t="shared" si="8"/>
        <v>32.717405691221849</v>
      </c>
      <c r="G27" s="27" t="str">
        <f t="shared" si="9"/>
        <v>+</v>
      </c>
      <c r="H27" s="26">
        <f t="shared" si="10"/>
        <v>111757.99999999999</v>
      </c>
      <c r="I27" s="26">
        <f t="shared" si="11"/>
        <v>113202.2236916276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32.299999999999997</v>
      </c>
      <c r="D28" s="30">
        <v>2504.6999999999998</v>
      </c>
      <c r="E28" s="29">
        <f t="shared" si="7"/>
        <v>0.11259102760046749</v>
      </c>
      <c r="F28" s="28">
        <f t="shared" si="8"/>
        <v>32.717405691221849</v>
      </c>
      <c r="G28" s="27" t="str">
        <f t="shared" si="9"/>
        <v>+</v>
      </c>
      <c r="H28" s="26">
        <f t="shared" si="10"/>
        <v>80901.809999999983</v>
      </c>
      <c r="I28" s="26">
        <f t="shared" si="11"/>
        <v>81947.286034803357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31.2</v>
      </c>
      <c r="D29" s="30">
        <v>2242.5</v>
      </c>
      <c r="E29" s="29">
        <f t="shared" si="7"/>
        <v>0.10080463903623123</v>
      </c>
      <c r="F29" s="28">
        <f t="shared" si="8"/>
        <v>31.603190636722037</v>
      </c>
      <c r="G29" s="27" t="str">
        <f t="shared" si="9"/>
        <v>+</v>
      </c>
      <c r="H29" s="26">
        <f t="shared" si="10"/>
        <v>69966</v>
      </c>
      <c r="I29" s="26">
        <f t="shared" si="11"/>
        <v>70870.155002849162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31.2</v>
      </c>
      <c r="D30" s="30">
        <v>1660.9</v>
      </c>
      <c r="E30" s="29">
        <f t="shared" si="7"/>
        <v>7.4660613143935989E-2</v>
      </c>
      <c r="F30" s="28">
        <f t="shared" si="8"/>
        <v>31.603190636722037</v>
      </c>
      <c r="G30" s="27" t="str">
        <f t="shared" si="9"/>
        <v>+</v>
      </c>
      <c r="H30" s="26">
        <f t="shared" si="10"/>
        <v>51820.08</v>
      </c>
      <c r="I30" s="26">
        <f t="shared" si="11"/>
        <v>52489.739328531636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31.7</v>
      </c>
      <c r="D31" s="30">
        <v>521.6</v>
      </c>
      <c r="E31" s="29">
        <f t="shared" si="7"/>
        <v>2.3446911804369325E-2</v>
      </c>
      <c r="F31" s="28">
        <f t="shared" si="8"/>
        <v>32.109652025131041</v>
      </c>
      <c r="G31" s="27" t="str">
        <f t="shared" si="9"/>
        <v>+</v>
      </c>
      <c r="H31" s="26">
        <f t="shared" si="10"/>
        <v>16534.72</v>
      </c>
      <c r="I31" s="26">
        <f t="shared" si="11"/>
        <v>16748.394496308352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32.992097275241164</v>
      </c>
      <c r="D32" s="22">
        <f>SUM(D26:D31)</f>
        <v>14067.3</v>
      </c>
      <c r="E32" s="21">
        <f t="shared" si="7"/>
        <v>0.63235188348467142</v>
      </c>
      <c r="F32" s="20">
        <f>I32/D32</f>
        <v>33.418446785087312</v>
      </c>
      <c r="G32" s="19">
        <f>F32/C32-1</f>
        <v>1.2922776818014015E-2</v>
      </c>
      <c r="H32" s="18">
        <f>SUM(H26:H31)</f>
        <v>464109.73</v>
      </c>
      <c r="I32" s="18">
        <f>SUM(I26:I31)</f>
        <v>470107.31645985873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19.100000000000001</v>
      </c>
      <c r="D34" s="30">
        <v>2958.5</v>
      </c>
      <c r="E34" s="29">
        <f t="shared" ref="E34:E40" si="13">D34/$D$48</f>
        <v>0.13299020048548055</v>
      </c>
      <c r="F34" s="28">
        <f t="shared" ref="F34:F39" si="14">C34-(C34*$E$6)</f>
        <v>19.346825037224068</v>
      </c>
      <c r="G34" s="27" t="str">
        <f t="shared" ref="G34:G39" si="15">IF(C34&gt;=F34,"-","+")</f>
        <v>+</v>
      </c>
      <c r="H34" s="26">
        <f t="shared" ref="H34:H39" si="16">C34*D34</f>
        <v>56507.350000000006</v>
      </c>
      <c r="I34" s="26">
        <f t="shared" ref="I34:I39" si="17">F34*D34</f>
        <v>57237.581872627408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14.7</v>
      </c>
      <c r="D35" s="30">
        <v>147.6</v>
      </c>
      <c r="E35" s="29">
        <f t="shared" si="13"/>
        <v>6.6349006562977609E-3</v>
      </c>
      <c r="F35" s="28">
        <f t="shared" si="14"/>
        <v>14.889964819224804</v>
      </c>
      <c r="G35" s="27" t="str">
        <f t="shared" si="15"/>
        <v>+</v>
      </c>
      <c r="H35" s="26">
        <f t="shared" si="16"/>
        <v>2169.7199999999998</v>
      </c>
      <c r="I35" s="26">
        <f t="shared" si="17"/>
        <v>2197.7588073175812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30"/>
      <c r="E36" s="29">
        <f t="shared" si="13"/>
        <v>0</v>
      </c>
      <c r="F36" s="28">
        <f t="shared" si="14"/>
        <v>11.952488766452566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31.2</v>
      </c>
      <c r="D37" s="30"/>
      <c r="E37" s="29">
        <f t="shared" si="13"/>
        <v>0</v>
      </c>
      <c r="F37" s="28">
        <f t="shared" si="14"/>
        <v>31.603190636722037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31.2</v>
      </c>
      <c r="D38" s="30"/>
      <c r="E38" s="29">
        <f t="shared" si="13"/>
        <v>0</v>
      </c>
      <c r="F38" s="28">
        <f t="shared" si="14"/>
        <v>31.603190636722037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32.299999999999997</v>
      </c>
      <c r="D39" s="30"/>
      <c r="E39" s="29">
        <f t="shared" si="13"/>
        <v>0</v>
      </c>
      <c r="F39" s="28">
        <f t="shared" si="14"/>
        <v>32.717405691221849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18.890914651814175</v>
      </c>
      <c r="D40" s="22">
        <f>SUM(D34:D39)</f>
        <v>3106.1</v>
      </c>
      <c r="E40" s="113">
        <f t="shared" si="13"/>
        <v>0.13962510114177829</v>
      </c>
      <c r="F40" s="20">
        <f>I40/D40</f>
        <v>19.135037725747718</v>
      </c>
      <c r="G40" s="19">
        <f>F40/C40-1</f>
        <v>1.2922776818014015E-2</v>
      </c>
      <c r="H40" s="18">
        <f>SUM(H34:H39)</f>
        <v>58677.070000000007</v>
      </c>
      <c r="I40" s="18">
        <f>SUM(I34:I39)</f>
        <v>59435.340679944988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3503</v>
      </c>
      <c r="E42" s="107">
        <f>D42/$D$48</f>
        <v>0.15746651083340826</v>
      </c>
      <c r="F42" s="28">
        <f>C42-(C42*$E$6)</f>
        <v>0.40516911072720563</v>
      </c>
      <c r="G42" s="27" t="str">
        <f>IF(C42&gt;=F42,"-","+")</f>
        <v>+</v>
      </c>
      <c r="H42" s="26">
        <f>C42*D42</f>
        <v>1401.2</v>
      </c>
      <c r="I42" s="26">
        <f>F42*D42</f>
        <v>1419.3073948774013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145.69999999999999</v>
      </c>
      <c r="E43" s="107">
        <f>D43/$D$48</f>
        <v>6.5494920435134399E-3</v>
      </c>
      <c r="F43" s="28">
        <f>C43-(C43*$E$6)</f>
        <v>0.40516911072720563</v>
      </c>
      <c r="G43" s="27" t="str">
        <f>IF(C43&gt;=F43,"-","+")</f>
        <v>+</v>
      </c>
      <c r="H43" s="26">
        <f>C43*D43</f>
        <v>58.28</v>
      </c>
      <c r="I43" s="26">
        <f>F43*D43</f>
        <v>59.033139432953853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7.5</v>
      </c>
      <c r="E45" s="107">
        <f>D45/$D$48</f>
        <v>3.371392609907399E-4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0.39917947595864561</v>
      </c>
      <c r="D46" s="22">
        <f>SUM(D41:D45)</f>
        <v>3656.2</v>
      </c>
      <c r="E46" s="113">
        <f>D46/$D$48</f>
        <v>0.16435314213791244</v>
      </c>
      <c r="F46" s="20">
        <f>I46/D46</f>
        <v>0.40433798323679099</v>
      </c>
      <c r="G46" s="19">
        <f>F46/C46-1</f>
        <v>1.2922776818014015E-2</v>
      </c>
      <c r="H46" s="18">
        <f>SUM(H41:H44)</f>
        <v>1459.48</v>
      </c>
      <c r="I46" s="18">
        <f>SUM(I41:I44)</f>
        <v>1478.3405343103552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100.42248369332745</v>
      </c>
      <c r="D48" s="13">
        <f>D24+D32+D40+D46</f>
        <v>22246</v>
      </c>
      <c r="E48" s="12">
        <f>SUM(E20:E46)/2</f>
        <v>1.0000000000000002</v>
      </c>
      <c r="F48" s="11">
        <f>I48/D48</f>
        <v>26.975099297454697</v>
      </c>
      <c r="G48" s="10"/>
      <c r="H48" s="9">
        <f>SUM(H20:H46)/2</f>
        <v>592432.18999999994</v>
      </c>
      <c r="I48" s="9">
        <f>SUM(I20:I46)/2</f>
        <v>600088.0589711772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22624.599999999995</v>
      </c>
      <c r="E50" s="12">
        <f>D50/G2</f>
        <v>0.99999999999999989</v>
      </c>
      <c r="F50" s="11">
        <f>I50/D50</f>
        <v>27.000000000000004</v>
      </c>
      <c r="G50" s="10"/>
      <c r="H50" s="9">
        <f>H48+H19</f>
        <v>603070.85</v>
      </c>
      <c r="I50" s="9">
        <f>I48+I19</f>
        <v>610864.19999999995</v>
      </c>
      <c r="J50" s="106">
        <f>D50-G2</f>
        <v>0</v>
      </c>
      <c r="K50" s="8"/>
    </row>
    <row r="51" spans="1:11" ht="23.25" x14ac:dyDescent="0.35">
      <c r="A51" s="174" t="s">
        <v>346</v>
      </c>
      <c r="B51" s="169"/>
      <c r="C51" s="170"/>
      <c r="G51" s="7"/>
      <c r="H51" s="6"/>
      <c r="I51" s="6">
        <f>+I50/D50</f>
        <v>27.000000000000004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347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347</v>
      </c>
      <c r="D2" s="96" t="s">
        <v>3</v>
      </c>
      <c r="E2" s="95" t="s">
        <v>112</v>
      </c>
      <c r="F2" s="94" t="s">
        <v>5</v>
      </c>
      <c r="G2" s="93">
        <v>2185.6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349</v>
      </c>
      <c r="D3" s="90" t="s">
        <v>7</v>
      </c>
      <c r="E3" s="89">
        <v>36</v>
      </c>
      <c r="F3" s="88" t="s">
        <v>8</v>
      </c>
      <c r="G3" s="87">
        <v>22.66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60.711111111111109</v>
      </c>
      <c r="F4" s="81" t="s">
        <v>12</v>
      </c>
      <c r="G4" s="80">
        <f>G2*G3</f>
        <v>49525.695999999996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-6.9784987579652347E-2</v>
      </c>
      <c r="F6" s="69" t="s">
        <v>16</v>
      </c>
      <c r="G6" s="68">
        <f>(I50-I19)/(D50-(SUM(D42:D44)+D19))</f>
        <v>28.229064153395473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22.7</v>
      </c>
      <c r="D10" s="30"/>
      <c r="E10" s="29">
        <f t="shared" ref="E10:E19" si="1">D10/$D$19</f>
        <v>0</v>
      </c>
      <c r="F10" s="28">
        <f t="shared" ref="F10:F18" si="2">C10-(C10*$E$6)</f>
        <v>24.284119218058109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23.6</v>
      </c>
      <c r="D11" s="30">
        <v>52.8</v>
      </c>
      <c r="E11" s="29">
        <f t="shared" si="1"/>
        <v>1</v>
      </c>
      <c r="F11" s="28">
        <f t="shared" si="2"/>
        <v>25.246925706879797</v>
      </c>
      <c r="G11" s="27" t="str">
        <f t="shared" si="3"/>
        <v>+</v>
      </c>
      <c r="H11" s="34">
        <f t="shared" si="4"/>
        <v>1246.08</v>
      </c>
      <c r="I11" s="34">
        <f t="shared" si="5"/>
        <v>1333.0376773232531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21.6</v>
      </c>
      <c r="D12" s="30"/>
      <c r="E12" s="29">
        <f t="shared" si="1"/>
        <v>0</v>
      </c>
      <c r="F12" s="28">
        <f t="shared" si="2"/>
        <v>23.107355731720492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23.6</v>
      </c>
      <c r="D13" s="30"/>
      <c r="E13" s="29">
        <f t="shared" si="1"/>
        <v>0</v>
      </c>
      <c r="F13" s="28">
        <f t="shared" si="2"/>
        <v>25.246925706879797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26.4</v>
      </c>
      <c r="D14" s="30"/>
      <c r="E14" s="29">
        <f t="shared" si="1"/>
        <v>0</v>
      </c>
      <c r="F14" s="28">
        <f t="shared" si="2"/>
        <v>28.24232367210282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21.8</v>
      </c>
      <c r="D15" s="30"/>
      <c r="E15" s="29">
        <f t="shared" si="1"/>
        <v>0</v>
      </c>
      <c r="F15" s="28">
        <f t="shared" si="2"/>
        <v>23.321312729236421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29.8</v>
      </c>
      <c r="D16" s="30"/>
      <c r="E16" s="29">
        <f t="shared" si="1"/>
        <v>0</v>
      </c>
      <c r="F16" s="28">
        <f t="shared" si="2"/>
        <v>31.879592629873642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43.8</v>
      </c>
      <c r="D17" s="30"/>
      <c r="E17" s="29">
        <f t="shared" si="1"/>
        <v>0</v>
      </c>
      <c r="F17" s="28">
        <f t="shared" si="2"/>
        <v>46.856582455988772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38.4</v>
      </c>
      <c r="D18" s="30"/>
      <c r="E18" s="29">
        <f t="shared" si="1"/>
        <v>0</v>
      </c>
      <c r="F18" s="28">
        <f t="shared" si="2"/>
        <v>41.079743523058646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23.6</v>
      </c>
      <c r="D19" s="49">
        <f>SUM(D10:D18)</f>
        <v>52.8</v>
      </c>
      <c r="E19" s="48">
        <f t="shared" si="1"/>
        <v>1</v>
      </c>
      <c r="F19" s="47">
        <f>I19/D19</f>
        <v>25.246925706879797</v>
      </c>
      <c r="G19" s="46">
        <f>F19/C19-1</f>
        <v>6.9784987579652347E-2</v>
      </c>
      <c r="H19" s="9">
        <f>SUM(H10:H18)</f>
        <v>1246.08</v>
      </c>
      <c r="I19" s="9">
        <f>SUM(I10:I18)</f>
        <v>1333.0376773232531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57</v>
      </c>
      <c r="D21" s="30">
        <v>28.1</v>
      </c>
      <c r="E21" s="29">
        <f>D21/$D$48</f>
        <v>1.3178258218824745E-2</v>
      </c>
      <c r="F21" s="28">
        <f>C21-(C21*$E$6)</f>
        <v>60.977744292040185</v>
      </c>
      <c r="G21" s="27" t="str">
        <f>IF(C21&gt;=F21,"-","+")</f>
        <v>+</v>
      </c>
      <c r="H21" s="26">
        <f>C21*D21</f>
        <v>1601.7</v>
      </c>
      <c r="I21" s="26">
        <f>F21*D21</f>
        <v>1713.4746146063294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38.299999999999997</v>
      </c>
      <c r="D22" s="30">
        <v>56</v>
      </c>
      <c r="E22" s="29">
        <f>D22/$D$48</f>
        <v>2.6262721005487037E-2</v>
      </c>
      <c r="F22" s="28">
        <f>C22-(C22*$E$6)</f>
        <v>40.972765024300685</v>
      </c>
      <c r="G22" s="27" t="str">
        <f>IF(C22&gt;=F22,"-","+")</f>
        <v>+</v>
      </c>
      <c r="H22" s="26">
        <f>C22*D22</f>
        <v>2144.7999999999997</v>
      </c>
      <c r="I22" s="26">
        <f>F22*D22</f>
        <v>2294.4748413608386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34.9</v>
      </c>
      <c r="D23" s="30">
        <v>46.2</v>
      </c>
      <c r="E23" s="29">
        <f>D23/$D$48</f>
        <v>2.1666744829526807E-2</v>
      </c>
      <c r="F23" s="28">
        <f>C23-(C23*$E$6)</f>
        <v>37.335496066529863</v>
      </c>
      <c r="G23" s="27" t="str">
        <f>IF(C23&gt;=F23,"-","+")</f>
        <v>+</v>
      </c>
      <c r="H23" s="26">
        <f>C23*D23</f>
        <v>1612.38</v>
      </c>
      <c r="I23" s="26">
        <f>F23*D23</f>
        <v>1724.8999182736798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41.127244819646968</v>
      </c>
      <c r="D24" s="22">
        <f>SUM(D21:D23)</f>
        <v>130.30000000000001</v>
      </c>
      <c r="E24" s="21">
        <f>D24/$D$48</f>
        <v>6.1107724053838589E-2</v>
      </c>
      <c r="F24" s="20">
        <f>I24/D24</f>
        <v>43.997309088571356</v>
      </c>
      <c r="G24" s="19">
        <f>F24/C24-1</f>
        <v>6.9784987579652347E-2</v>
      </c>
      <c r="H24" s="18">
        <f>SUM(H21:H23)</f>
        <v>5358.88</v>
      </c>
      <c r="I24" s="18">
        <f>SUM(I21:I23)</f>
        <v>5732.8493742408482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30.4</v>
      </c>
      <c r="D26" s="30">
        <v>407.9</v>
      </c>
      <c r="E26" s="29">
        <f t="shared" ref="E26:E32" si="7">D26/$D$48</f>
        <v>0.19129578389532431</v>
      </c>
      <c r="F26" s="28">
        <f t="shared" ref="F26:F31" si="8">C26-(C26*$E$6)</f>
        <v>32.521463622421429</v>
      </c>
      <c r="G26" s="27" t="str">
        <f t="shared" ref="G26:G31" si="9">IF(C26&gt;=F26,"-","+")</f>
        <v>+</v>
      </c>
      <c r="H26" s="26">
        <f t="shared" ref="H26:H31" si="10">C26*D26</f>
        <v>12400.159999999998</v>
      </c>
      <c r="I26" s="26">
        <f t="shared" ref="I26:I31" si="11">F26*D26</f>
        <v>13265.505011585699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27.1</v>
      </c>
      <c r="D27" s="30">
        <v>288</v>
      </c>
      <c r="E27" s="29">
        <f t="shared" si="7"/>
        <v>0.13506542231393334</v>
      </c>
      <c r="F27" s="28">
        <f t="shared" si="8"/>
        <v>28.991173163408579</v>
      </c>
      <c r="G27" s="27" t="str">
        <f t="shared" si="9"/>
        <v>+</v>
      </c>
      <c r="H27" s="26">
        <f t="shared" si="10"/>
        <v>7804.8</v>
      </c>
      <c r="I27" s="26">
        <f t="shared" si="11"/>
        <v>8349.4578710616715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27.1</v>
      </c>
      <c r="D28" s="30">
        <v>192</v>
      </c>
      <c r="E28" s="29">
        <f t="shared" si="7"/>
        <v>9.0043614875955552E-2</v>
      </c>
      <c r="F28" s="28">
        <f t="shared" si="8"/>
        <v>28.991173163408579</v>
      </c>
      <c r="G28" s="27" t="str">
        <f t="shared" si="9"/>
        <v>+</v>
      </c>
      <c r="H28" s="26">
        <f t="shared" si="10"/>
        <v>5203.2000000000007</v>
      </c>
      <c r="I28" s="26">
        <f t="shared" si="11"/>
        <v>5566.3052473744474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26.2</v>
      </c>
      <c r="D29" s="30">
        <v>180.2</v>
      </c>
      <c r="E29" s="29">
        <f t="shared" si="7"/>
        <v>8.4509684378370781E-2</v>
      </c>
      <c r="F29" s="28">
        <f t="shared" si="8"/>
        <v>28.028366674586891</v>
      </c>
      <c r="G29" s="27" t="str">
        <f t="shared" si="9"/>
        <v>+</v>
      </c>
      <c r="H29" s="26">
        <f t="shared" si="10"/>
        <v>4721.24</v>
      </c>
      <c r="I29" s="26">
        <f t="shared" si="11"/>
        <v>5050.7116747605578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26.2</v>
      </c>
      <c r="D30" s="30">
        <v>125</v>
      </c>
      <c r="E30" s="29">
        <f t="shared" si="7"/>
        <v>5.862214510153356E-2</v>
      </c>
      <c r="F30" s="28">
        <f t="shared" si="8"/>
        <v>28.028366674586891</v>
      </c>
      <c r="G30" s="27" t="str">
        <f t="shared" si="9"/>
        <v>+</v>
      </c>
      <c r="H30" s="26">
        <f t="shared" si="10"/>
        <v>3275</v>
      </c>
      <c r="I30" s="26">
        <f t="shared" si="11"/>
        <v>3503.5458343233613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26.6</v>
      </c>
      <c r="D31" s="30">
        <v>31</v>
      </c>
      <c r="E31" s="29">
        <f t="shared" si="7"/>
        <v>1.4538291985180323E-2</v>
      </c>
      <c r="F31" s="28">
        <f t="shared" si="8"/>
        <v>28.456280669618753</v>
      </c>
      <c r="G31" s="27" t="str">
        <f t="shared" si="9"/>
        <v>+</v>
      </c>
      <c r="H31" s="26">
        <f t="shared" si="10"/>
        <v>824.6</v>
      </c>
      <c r="I31" s="26">
        <f t="shared" si="11"/>
        <v>882.14470075818133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27.962584756147375</v>
      </c>
      <c r="D32" s="22">
        <f>SUM(D26:D31)</f>
        <v>1224.0999999999999</v>
      </c>
      <c r="E32" s="21">
        <f t="shared" si="7"/>
        <v>0.57407494255029778</v>
      </c>
      <c r="F32" s="20">
        <f>I32/D32</f>
        <v>29.913953386050093</v>
      </c>
      <c r="G32" s="19">
        <f>F32/C32-1</f>
        <v>6.9784987579652125E-2</v>
      </c>
      <c r="H32" s="18">
        <f>SUM(H26:H31)</f>
        <v>34229</v>
      </c>
      <c r="I32" s="18">
        <f>SUM(I26:I31)</f>
        <v>36617.670339863915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</v>
      </c>
      <c r="D34" s="30">
        <v>273.8</v>
      </c>
      <c r="E34" s="29">
        <f t="shared" ref="E34:E40" si="13">D34/$D$48</f>
        <v>0.12840594663039911</v>
      </c>
      <c r="F34" s="28">
        <f t="shared" ref="F34:F39" si="14">C34-(C34*$E$6)</f>
        <v>17.116559801274438</v>
      </c>
      <c r="G34" s="27" t="str">
        <f t="shared" ref="G34:G39" si="15">IF(C34&gt;=F34,"-","+")</f>
        <v>+</v>
      </c>
      <c r="H34" s="26">
        <f t="shared" ref="H34:H39" si="16">C34*D34</f>
        <v>4380.8</v>
      </c>
      <c r="I34" s="26">
        <f t="shared" ref="I34:I39" si="17">F34*D34</f>
        <v>4686.5140735889408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12.3</v>
      </c>
      <c r="D35" s="30">
        <v>74</v>
      </c>
      <c r="E35" s="29">
        <f t="shared" si="13"/>
        <v>3.4704309900107866E-2</v>
      </c>
      <c r="F35" s="28">
        <f t="shared" si="14"/>
        <v>13.158355347229724</v>
      </c>
      <c r="G35" s="27" t="str">
        <f t="shared" si="15"/>
        <v>+</v>
      </c>
      <c r="H35" s="26">
        <f t="shared" si="16"/>
        <v>910.2</v>
      </c>
      <c r="I35" s="26">
        <f t="shared" si="17"/>
        <v>973.7182956949996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9.9</v>
      </c>
      <c r="D36" s="30"/>
      <c r="E36" s="29">
        <f t="shared" si="13"/>
        <v>0</v>
      </c>
      <c r="F36" s="28">
        <f t="shared" si="14"/>
        <v>10.590871377038559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26.2</v>
      </c>
      <c r="D37" s="30"/>
      <c r="E37" s="29">
        <f t="shared" si="13"/>
        <v>0</v>
      </c>
      <c r="F37" s="28">
        <f t="shared" si="14"/>
        <v>28.028366674586891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26.2</v>
      </c>
      <c r="D38" s="30"/>
      <c r="E38" s="29">
        <f t="shared" si="13"/>
        <v>0</v>
      </c>
      <c r="F38" s="28">
        <f t="shared" si="14"/>
        <v>28.028366674586891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27.1</v>
      </c>
      <c r="D39" s="30"/>
      <c r="E39" s="29">
        <f t="shared" si="13"/>
        <v>0</v>
      </c>
      <c r="F39" s="28">
        <f t="shared" si="14"/>
        <v>28.991173163408579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15.212765957446807</v>
      </c>
      <c r="D40" s="22">
        <f>SUM(D34:D39)</f>
        <v>347.8</v>
      </c>
      <c r="E40" s="113">
        <f t="shared" si="13"/>
        <v>0.16311025653050698</v>
      </c>
      <c r="F40" s="20">
        <f>I40/D40</f>
        <v>16.274388640839391</v>
      </c>
      <c r="G40" s="19">
        <f>F40/C40-1</f>
        <v>6.9784987579652347E-2</v>
      </c>
      <c r="H40" s="18">
        <f>SUM(H34:H39)</f>
        <v>5291</v>
      </c>
      <c r="I40" s="18">
        <f>SUM(I34:I39)</f>
        <v>5660.23236928394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411</v>
      </c>
      <c r="E42" s="107">
        <f>D42/$D$48</f>
        <v>0.19274961309384236</v>
      </c>
      <c r="F42" s="28">
        <f>C42-(C42*$E$6)</f>
        <v>0.42791399503186095</v>
      </c>
      <c r="G42" s="27" t="str">
        <f>IF(C42&gt;=F42,"-","+")</f>
        <v>+</v>
      </c>
      <c r="H42" s="26">
        <f>C42*D42</f>
        <v>164.4</v>
      </c>
      <c r="I42" s="26">
        <f>F42*D42</f>
        <v>175.87265195809485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14.1</v>
      </c>
      <c r="E43" s="107">
        <f>D43/$D$48</f>
        <v>6.6125779674529855E-3</v>
      </c>
      <c r="F43" s="28">
        <f>C43-(C43*$E$6)</f>
        <v>0.42791399503186095</v>
      </c>
      <c r="G43" s="27" t="str">
        <f>IF(C43&gt;=F43,"-","+")</f>
        <v>+</v>
      </c>
      <c r="H43" s="26">
        <f>C43*D43</f>
        <v>5.6400000000000006</v>
      </c>
      <c r="I43" s="26">
        <f>F43*D43</f>
        <v>6.0335873299492393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2.3448858040613424E-3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0.39534991862357594</v>
      </c>
      <c r="D46" s="22">
        <f>SUM(D41:D45)</f>
        <v>430.1</v>
      </c>
      <c r="E46" s="113">
        <f>D46/$D$48</f>
        <v>0.20170707686535669</v>
      </c>
      <c r="F46" s="20">
        <f>I46/D46</f>
        <v>0.42293940778433869</v>
      </c>
      <c r="G46" s="19">
        <f>F46/C46-1</f>
        <v>6.9784987579652125E-2</v>
      </c>
      <c r="H46" s="18">
        <f>SUM(H41:H44)</f>
        <v>170.04000000000002</v>
      </c>
      <c r="I46" s="18">
        <f>SUM(I41:I44)</f>
        <v>181.90623928804408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84.697945451864726</v>
      </c>
      <c r="D48" s="13">
        <f>D24+D32+D40+D46</f>
        <v>2132.2999999999997</v>
      </c>
      <c r="E48" s="12">
        <f>SUM(E20:E46)/2</f>
        <v>1.0000000000000002</v>
      </c>
      <c r="F48" s="11">
        <f>I48/D48</f>
        <v>22.601256072164684</v>
      </c>
      <c r="G48" s="10"/>
      <c r="H48" s="9">
        <f>SUM(H20:H46)/2</f>
        <v>45048.919999999991</v>
      </c>
      <c r="I48" s="9">
        <f>SUM(I20:I46)/2</f>
        <v>48192.658322676747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2185.1</v>
      </c>
      <c r="E50" s="12">
        <f>D50/G2</f>
        <v>0.99977122986822842</v>
      </c>
      <c r="F50" s="11">
        <f>I50/D50</f>
        <v>22.665185117385935</v>
      </c>
      <c r="G50" s="10"/>
      <c r="H50" s="9">
        <f>H48+H19</f>
        <v>46294.999999999993</v>
      </c>
      <c r="I50" s="9">
        <f>I48+I19</f>
        <v>49525.696000000004</v>
      </c>
      <c r="J50" s="106">
        <f>D50-G2</f>
        <v>-0.5</v>
      </c>
      <c r="K50" s="8"/>
    </row>
    <row r="51" spans="1:11" ht="23.25" x14ac:dyDescent="0.35">
      <c r="A51" s="174" t="s">
        <v>350</v>
      </c>
      <c r="B51" s="169"/>
      <c r="C51" s="170"/>
      <c r="G51" s="7"/>
      <c r="H51" s="6"/>
      <c r="I51" s="6">
        <f>+I50/D50</f>
        <v>22.665185117385935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345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347</v>
      </c>
      <c r="D2" s="96" t="s">
        <v>3</v>
      </c>
      <c r="E2" s="95" t="s">
        <v>71</v>
      </c>
      <c r="F2" s="94" t="s">
        <v>5</v>
      </c>
      <c r="G2" s="93">
        <v>15815.9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168</v>
      </c>
      <c r="D3" s="90" t="s">
        <v>7</v>
      </c>
      <c r="E3" s="89">
        <v>196</v>
      </c>
      <c r="F3" s="88" t="s">
        <v>8</v>
      </c>
      <c r="G3" s="87">
        <v>26.8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80.693367346938771</v>
      </c>
      <c r="F4" s="81" t="s">
        <v>12</v>
      </c>
      <c r="G4" s="80">
        <f>G2*G3</f>
        <v>423866.12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8.7868400521785572E-3</v>
      </c>
      <c r="F6" s="69" t="s">
        <v>16</v>
      </c>
      <c r="G6" s="68">
        <f>(I50-I19)/(D50-(SUM(D42:D44)+D19))</f>
        <v>32.090478591518639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26.564512686601617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27.9</v>
      </c>
      <c r="D11" s="30">
        <v>2646.5</v>
      </c>
      <c r="E11" s="29">
        <f t="shared" si="1"/>
        <v>0.3529043097930446</v>
      </c>
      <c r="F11" s="28">
        <f t="shared" si="2"/>
        <v>27.654847162544218</v>
      </c>
      <c r="G11" s="27" t="str">
        <f t="shared" si="3"/>
        <v>-</v>
      </c>
      <c r="H11" s="34">
        <f t="shared" si="4"/>
        <v>73837.349999999991</v>
      </c>
      <c r="I11" s="34">
        <f t="shared" si="5"/>
        <v>73188.553015673271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25.5</v>
      </c>
      <c r="D12" s="30">
        <v>4650.2</v>
      </c>
      <c r="E12" s="29">
        <f t="shared" si="1"/>
        <v>0.6200928098997226</v>
      </c>
      <c r="F12" s="28">
        <f t="shared" si="2"/>
        <v>25.275935578669447</v>
      </c>
      <c r="G12" s="27" t="str">
        <f t="shared" si="3"/>
        <v>-</v>
      </c>
      <c r="H12" s="34">
        <f t="shared" si="4"/>
        <v>118580.09999999999</v>
      </c>
      <c r="I12" s="34">
        <f t="shared" si="5"/>
        <v>117538.15562792866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27.654847162544218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31.2</v>
      </c>
      <c r="D14" s="30">
        <v>157</v>
      </c>
      <c r="E14" s="29">
        <f t="shared" si="1"/>
        <v>2.0935566460422446E-2</v>
      </c>
      <c r="F14" s="28">
        <f t="shared" si="2"/>
        <v>30.925850590372029</v>
      </c>
      <c r="G14" s="27" t="str">
        <f t="shared" si="3"/>
        <v>-</v>
      </c>
      <c r="H14" s="34">
        <f t="shared" si="4"/>
        <v>4898.3999999999996</v>
      </c>
      <c r="I14" s="34">
        <f t="shared" si="5"/>
        <v>4855.3585426884083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25.7</v>
      </c>
      <c r="D15" s="30"/>
      <c r="E15" s="29">
        <f t="shared" si="1"/>
        <v>0</v>
      </c>
      <c r="F15" s="28">
        <f t="shared" si="2"/>
        <v>25.474178210659009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35.200000000000003</v>
      </c>
      <c r="D16" s="30">
        <v>14.7</v>
      </c>
      <c r="E16" s="29">
        <f t="shared" si="1"/>
        <v>1.9602090889694898E-3</v>
      </c>
      <c r="F16" s="28">
        <f t="shared" si="2"/>
        <v>34.890703230163318</v>
      </c>
      <c r="G16" s="27" t="str">
        <f t="shared" si="3"/>
        <v>-</v>
      </c>
      <c r="H16" s="34">
        <f t="shared" si="4"/>
        <v>517.44000000000005</v>
      </c>
      <c r="I16" s="34">
        <f t="shared" si="5"/>
        <v>512.89333748340073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51.8</v>
      </c>
      <c r="D17" s="30">
        <v>30.8</v>
      </c>
      <c r="E17" s="29">
        <f t="shared" si="1"/>
        <v>4.1071047578408364E-3</v>
      </c>
      <c r="F17" s="28">
        <f t="shared" si="2"/>
        <v>51.344841685297148</v>
      </c>
      <c r="G17" s="27" t="str">
        <f t="shared" si="3"/>
        <v>-</v>
      </c>
      <c r="H17" s="34">
        <f t="shared" si="4"/>
        <v>1595.44</v>
      </c>
      <c r="I17" s="34">
        <f t="shared" si="5"/>
        <v>1581.4211239071522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45.4</v>
      </c>
      <c r="D18" s="30"/>
      <c r="E18" s="29">
        <f t="shared" si="1"/>
        <v>0</v>
      </c>
      <c r="F18" s="28">
        <f t="shared" si="2"/>
        <v>45.001077461631091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26.593333955621929</v>
      </c>
      <c r="D19" s="49">
        <f>SUM(D10:D18)</f>
        <v>7499.2</v>
      </c>
      <c r="E19" s="48">
        <f t="shared" si="1"/>
        <v>1</v>
      </c>
      <c r="F19" s="47">
        <f>I19/D19</f>
        <v>26.359662583699709</v>
      </c>
      <c r="G19" s="46">
        <f>F19/C19-1</f>
        <v>-8.7868400521786683E-3</v>
      </c>
      <c r="H19" s="9">
        <f>SUM(H10:H18)</f>
        <v>199428.72999999998</v>
      </c>
      <c r="I19" s="9">
        <f>SUM(I10:I18)</f>
        <v>197676.38164768086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67.400000000000006</v>
      </c>
      <c r="D21" s="30">
        <v>108.7</v>
      </c>
      <c r="E21" s="29">
        <f>D21/$D$48</f>
        <v>1.3070087895439297E-2</v>
      </c>
      <c r="F21" s="28">
        <f>C21-(C21*$E$6)</f>
        <v>66.807766980483166</v>
      </c>
      <c r="G21" s="27" t="str">
        <f>IF(C21&gt;=F21,"-","+")</f>
        <v>-</v>
      </c>
      <c r="H21" s="26">
        <f>C21*D21</f>
        <v>7326.380000000001</v>
      </c>
      <c r="I21" s="26">
        <f>F21*D21</f>
        <v>7262.0042707785205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45.3</v>
      </c>
      <c r="D22" s="30">
        <v>202.4</v>
      </c>
      <c r="E22" s="29">
        <f>D22/$D$48</f>
        <v>2.4336575805307393E-2</v>
      </c>
      <c r="F22" s="28">
        <f>C22-(C22*$E$6)</f>
        <v>44.901956145636305</v>
      </c>
      <c r="G22" s="27" t="str">
        <f>IF(C22&gt;=F22,"-","+")</f>
        <v>-</v>
      </c>
      <c r="H22" s="26">
        <f>C22*D22</f>
        <v>9168.7199999999993</v>
      </c>
      <c r="I22" s="26">
        <f>F22*D22</f>
        <v>9088.1559238767877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41.3</v>
      </c>
      <c r="D23" s="30">
        <v>242</v>
      </c>
      <c r="E23" s="29">
        <f>D23/$D$48</f>
        <v>2.909807976721536E-2</v>
      </c>
      <c r="F23" s="28">
        <f>C23-(C23*$E$6)</f>
        <v>40.937103505845023</v>
      </c>
      <c r="G23" s="27" t="str">
        <f>IF(C23&gt;=F23,"-","+")</f>
        <v>-</v>
      </c>
      <c r="H23" s="26">
        <f>C23*D23</f>
        <v>9994.5999999999985</v>
      </c>
      <c r="I23" s="26">
        <f>F23*D23</f>
        <v>9906.7790484144953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47.893147712890972</v>
      </c>
      <c r="D24" s="22">
        <f>SUM(D21:D23)</f>
        <v>553.1</v>
      </c>
      <c r="E24" s="21">
        <f>D24/$D$48</f>
        <v>6.6504743467962049E-2</v>
      </c>
      <c r="F24" s="20">
        <f>I24/D24</f>
        <v>47.472318284342442</v>
      </c>
      <c r="G24" s="19">
        <f>F24/C24-1</f>
        <v>-8.7868400521784462E-3</v>
      </c>
      <c r="H24" s="18">
        <f>SUM(H21:H23)</f>
        <v>26489.699999999997</v>
      </c>
      <c r="I24" s="18">
        <f>SUM(I21:I23)</f>
        <v>26256.939243069806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</v>
      </c>
      <c r="D26" s="30">
        <f>297.5+1817.5</f>
        <v>2115</v>
      </c>
      <c r="E26" s="29">
        <f t="shared" ref="E26:E32" si="7">D26/$D$48</f>
        <v>0.2543075979655392</v>
      </c>
      <c r="F26" s="28">
        <f t="shared" ref="F26:F31" si="8">C26-(C26*$E$6)</f>
        <v>35.683673758121571</v>
      </c>
      <c r="G26" s="27" t="str">
        <f t="shared" ref="G26:G31" si="9">IF(C26&gt;=F26,"-","+")</f>
        <v>-</v>
      </c>
      <c r="H26" s="26">
        <f t="shared" ref="H26:H31" si="10">C26*D26</f>
        <v>76140</v>
      </c>
      <c r="I26" s="26">
        <f t="shared" ref="I26:I31" si="11">F26*D26</f>
        <v>75470.969998427128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981</v>
      </c>
      <c r="E27" s="29">
        <f t="shared" si="7"/>
        <v>0.11795543905635647</v>
      </c>
      <c r="F27" s="28">
        <f t="shared" si="8"/>
        <v>31.718821118330286</v>
      </c>
      <c r="G27" s="27" t="str">
        <f t="shared" si="9"/>
        <v>-</v>
      </c>
      <c r="H27" s="26">
        <f t="shared" si="10"/>
        <v>31392</v>
      </c>
      <c r="I27" s="26">
        <f t="shared" si="11"/>
        <v>31116.163517082012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784</v>
      </c>
      <c r="E28" s="29">
        <f t="shared" si="7"/>
        <v>9.4268159245854716E-2</v>
      </c>
      <c r="F28" s="28">
        <f t="shared" si="8"/>
        <v>31.718821118330286</v>
      </c>
      <c r="G28" s="27" t="str">
        <f t="shared" si="9"/>
        <v>-</v>
      </c>
      <c r="H28" s="26">
        <f t="shared" si="10"/>
        <v>25088</v>
      </c>
      <c r="I28" s="26">
        <f t="shared" si="11"/>
        <v>24867.555756770944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</v>
      </c>
      <c r="D29" s="30">
        <v>742.4</v>
      </c>
      <c r="E29" s="29">
        <f t="shared" si="7"/>
        <v>8.926617528587058E-2</v>
      </c>
      <c r="F29" s="28">
        <f t="shared" si="8"/>
        <v>30.727607958382464</v>
      </c>
      <c r="G29" s="27" t="str">
        <f t="shared" si="9"/>
        <v>-</v>
      </c>
      <c r="H29" s="26">
        <f t="shared" si="10"/>
        <v>23014.399999999998</v>
      </c>
      <c r="I29" s="26">
        <f t="shared" si="11"/>
        <v>22812.176148303141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</v>
      </c>
      <c r="D30" s="30">
        <v>702</v>
      </c>
      <c r="E30" s="29">
        <f t="shared" si="7"/>
        <v>8.4408479324732152E-2</v>
      </c>
      <c r="F30" s="28">
        <f t="shared" si="8"/>
        <v>30.727607958382464</v>
      </c>
      <c r="G30" s="27" t="str">
        <f t="shared" si="9"/>
        <v>-</v>
      </c>
      <c r="H30" s="26">
        <f t="shared" si="10"/>
        <v>21762</v>
      </c>
      <c r="I30" s="26">
        <f t="shared" si="11"/>
        <v>21570.780786784489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31.5</v>
      </c>
      <c r="D31" s="30">
        <v>142.69999999999999</v>
      </c>
      <c r="E31" s="29">
        <f t="shared" si="7"/>
        <v>1.7158247862734014E-2</v>
      </c>
      <c r="F31" s="28">
        <f t="shared" si="8"/>
        <v>31.223214538356377</v>
      </c>
      <c r="G31" s="27" t="str">
        <f t="shared" si="9"/>
        <v>-</v>
      </c>
      <c r="H31" s="26">
        <f t="shared" si="10"/>
        <v>4495.0499999999993</v>
      </c>
      <c r="I31" s="26">
        <f t="shared" si="11"/>
        <v>4455.5527146234544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33.270188948437017</v>
      </c>
      <c r="D32" s="22">
        <f>SUM(D26:D31)</f>
        <v>5467.0999999999995</v>
      </c>
      <c r="E32" s="21">
        <f t="shared" si="7"/>
        <v>0.65736409874108703</v>
      </c>
      <c r="F32" s="20">
        <f>I32/D32</f>
        <v>32.977849119641341</v>
      </c>
      <c r="G32" s="19">
        <f>F32/C32-1</f>
        <v>-8.7868400521785572E-3</v>
      </c>
      <c r="H32" s="18">
        <f>SUM(H26:H31)</f>
        <v>181891.44999999998</v>
      </c>
      <c r="I32" s="18">
        <f>SUM(I26:I31)</f>
        <v>180293.19892199116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1021.8</v>
      </c>
      <c r="E34" s="29">
        <f t="shared" ref="E34:E40" si="13">D34/$D$48</f>
        <v>0.12286123101711013</v>
      </c>
      <c r="F34" s="28">
        <f t="shared" ref="F34:F39" si="14">C34-(C34*$E$6)</f>
        <v>18.733928723013825</v>
      </c>
      <c r="G34" s="27" t="str">
        <f t="shared" ref="G34:G39" si="15">IF(C34&gt;=F34,"-","+")</f>
        <v>-</v>
      </c>
      <c r="H34" s="26">
        <f t="shared" ref="H34:H39" si="16">C34*D34</f>
        <v>19312.019999999997</v>
      </c>
      <c r="I34" s="26">
        <f t="shared" ref="I34:I39" si="17">F34*D34</f>
        <v>19142.328369175524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/>
      <c r="E35" s="29">
        <f t="shared" si="13"/>
        <v>0</v>
      </c>
      <c r="F35" s="28">
        <f t="shared" si="14"/>
        <v>14.471712135238192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11.59719397138951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</v>
      </c>
      <c r="D37" s="30"/>
      <c r="E37" s="29">
        <f t="shared" si="13"/>
        <v>0</v>
      </c>
      <c r="F37" s="28">
        <f t="shared" si="14"/>
        <v>30.727607958382464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</v>
      </c>
      <c r="D38" s="30"/>
      <c r="E38" s="29">
        <f t="shared" si="13"/>
        <v>0</v>
      </c>
      <c r="F38" s="28">
        <f t="shared" si="14"/>
        <v>30.727607958382464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31.718821118330286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1021.8</v>
      </c>
      <c r="E40" s="113">
        <f t="shared" si="13"/>
        <v>0.12286123101711013</v>
      </c>
      <c r="F40" s="20">
        <f>I40/D40</f>
        <v>18.733928723013825</v>
      </c>
      <c r="G40" s="19">
        <f>F40/C40-1</f>
        <v>-8.7868400521784462E-3</v>
      </c>
      <c r="H40" s="18">
        <f>SUM(H34:H39)</f>
        <v>19312.019999999997</v>
      </c>
      <c r="I40" s="18">
        <f>SUM(I34:I39)</f>
        <v>19142.328369175524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1191</v>
      </c>
      <c r="E42" s="107">
        <f>D42/$D$48</f>
        <v>0.14320583885435328</v>
      </c>
      <c r="F42" s="28">
        <f>C42-(C42*$E$6)</f>
        <v>0.39648526397912859</v>
      </c>
      <c r="G42" s="27" t="str">
        <f>IF(C42&gt;=F42,"-","+")</f>
        <v>-</v>
      </c>
      <c r="H42" s="26">
        <f>C42*D42</f>
        <v>476.40000000000003</v>
      </c>
      <c r="I42" s="26">
        <f>F42*D42</f>
        <v>472.21394939914217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63.2</v>
      </c>
      <c r="E43" s="107">
        <f>D43/$D$48</f>
        <v>7.5991679392066564E-3</v>
      </c>
      <c r="F43" s="28">
        <f>C43-(C43*$E$6)</f>
        <v>0.39648526397912859</v>
      </c>
      <c r="G43" s="27" t="str">
        <f>IF(C43&gt;=F43,"-","+")</f>
        <v>-</v>
      </c>
      <c r="H43" s="26">
        <f>C43*D43</f>
        <v>25.28</v>
      </c>
      <c r="I43" s="26">
        <f>F43*D43</f>
        <v>25.05786868348093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</v>
      </c>
      <c r="E44" s="107">
        <f>D44/$D$48</f>
        <v>1.6833599865331199E-3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6.5</v>
      </c>
      <c r="E45" s="107">
        <f>D45/$D$48</f>
        <v>7.8155999374751996E-4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0.39356711383070531</v>
      </c>
      <c r="D46" s="22">
        <f>SUM(D41:D45)</f>
        <v>1274.7</v>
      </c>
      <c r="E46" s="113">
        <f>D46/$D$48</f>
        <v>0.15326992677384058</v>
      </c>
      <c r="F46" s="20">
        <f>I46/D46</f>
        <v>0.39010890255167729</v>
      </c>
      <c r="G46" s="19">
        <f>F46/C46-1</f>
        <v>-8.7868400521786683E-3</v>
      </c>
      <c r="H46" s="18">
        <f>SUM(H41:H44)</f>
        <v>501.68000000000006</v>
      </c>
      <c r="I46" s="18">
        <f>SUM(I41:I44)</f>
        <v>497.2718180826231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100.45690377515868</v>
      </c>
      <c r="D48" s="13">
        <f>D24+D32+D40+D46</f>
        <v>8316.7000000000007</v>
      </c>
      <c r="E48" s="12">
        <f>SUM(E20:E46)/2</f>
        <v>1</v>
      </c>
      <c r="F48" s="11">
        <f>I48/D48</f>
        <v>27.197053921906416</v>
      </c>
      <c r="G48" s="10"/>
      <c r="H48" s="9">
        <f>SUM(H20:H46)/2</f>
        <v>228194.85</v>
      </c>
      <c r="I48" s="9">
        <f>SUM(I20:I46)/2</f>
        <v>226189.73835231911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15815.9</v>
      </c>
      <c r="E50" s="12">
        <f>D50/G2</f>
        <v>1</v>
      </c>
      <c r="F50" s="11">
        <f>I50/D50</f>
        <v>26.8</v>
      </c>
      <c r="G50" s="10"/>
      <c r="H50" s="9">
        <f>H48+H19</f>
        <v>427623.57999999996</v>
      </c>
      <c r="I50" s="9">
        <f>I48+I19</f>
        <v>423866.12</v>
      </c>
      <c r="J50" s="106">
        <f>D50-G2</f>
        <v>0</v>
      </c>
      <c r="K50" s="8"/>
    </row>
    <row r="51" spans="1:11" ht="23.25" x14ac:dyDescent="0.35">
      <c r="A51" s="174" t="s">
        <v>351</v>
      </c>
      <c r="B51" s="169"/>
      <c r="C51" s="170"/>
      <c r="G51" s="7"/>
      <c r="H51" s="6"/>
      <c r="I51" s="6">
        <f>+I50/D50</f>
        <v>26.8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352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352</v>
      </c>
      <c r="D2" s="96" t="s">
        <v>3</v>
      </c>
      <c r="E2" s="95" t="s">
        <v>71</v>
      </c>
      <c r="F2" s="94" t="s">
        <v>5</v>
      </c>
      <c r="G2" s="93">
        <v>10080.299999999999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138</v>
      </c>
      <c r="F3" s="88" t="s">
        <v>8</v>
      </c>
      <c r="G3" s="87">
        <v>27.2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73.045652173913041</v>
      </c>
      <c r="F4" s="81" t="s">
        <v>12</v>
      </c>
      <c r="G4" s="80">
        <f>G2*G3</f>
        <v>274184.15999999997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-1.497484597477694E-2</v>
      </c>
      <c r="F6" s="69" t="s">
        <v>16</v>
      </c>
      <c r="G6" s="68">
        <f>(I50-I19)/(D50-(SUM(D42:D44)+D19))</f>
        <v>32.413689723250073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 t="e">
        <f t="shared" ref="E10:E19" si="1">D10/$D$19</f>
        <v>#DIV/0!</v>
      </c>
      <c r="F10" s="28">
        <f t="shared" ref="F10:F18" si="2">C10-(C10*$E$6)</f>
        <v>27.607315810513931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28.3</v>
      </c>
      <c r="D11" s="30"/>
      <c r="E11" s="29" t="e">
        <f t="shared" si="1"/>
        <v>#DIV/0!</v>
      </c>
      <c r="F11" s="28">
        <f t="shared" si="2"/>
        <v>28.723788141086189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25.9</v>
      </c>
      <c r="D12" s="30"/>
      <c r="E12" s="29" t="e">
        <f t="shared" si="1"/>
        <v>#DIV/0!</v>
      </c>
      <c r="F12" s="28">
        <f t="shared" si="2"/>
        <v>26.28784851074672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 t="e">
        <f t="shared" si="1"/>
        <v>#DIV/0!</v>
      </c>
      <c r="F13" s="28">
        <f t="shared" si="2"/>
        <v>28.723788141086189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31.7</v>
      </c>
      <c r="D14" s="30"/>
      <c r="E14" s="29" t="e">
        <f t="shared" si="1"/>
        <v>#DIV/0!</v>
      </c>
      <c r="F14" s="28">
        <f t="shared" si="2"/>
        <v>32.174702617400428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26.1</v>
      </c>
      <c r="D15" s="30"/>
      <c r="E15" s="29" t="e">
        <f t="shared" si="1"/>
        <v>#DIV/0!</v>
      </c>
      <c r="F15" s="28">
        <f t="shared" si="2"/>
        <v>26.490843479941681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35.700000000000003</v>
      </c>
      <c r="D16" s="30"/>
      <c r="E16" s="29" t="e">
        <f t="shared" si="1"/>
        <v>#DIV/0!</v>
      </c>
      <c r="F16" s="28">
        <f t="shared" si="2"/>
        <v>36.234602001299542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52.6</v>
      </c>
      <c r="D17" s="30"/>
      <c r="E17" s="29" t="e">
        <f t="shared" si="1"/>
        <v>#DIV/0!</v>
      </c>
      <c r="F17" s="28">
        <f t="shared" si="2"/>
        <v>53.38767689827327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46.1</v>
      </c>
      <c r="D18" s="30"/>
      <c r="E18" s="29" t="e">
        <f t="shared" si="1"/>
        <v>#DIV/0!</v>
      </c>
      <c r="F18" s="28">
        <f t="shared" si="2"/>
        <v>46.79034039943722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68.400000000000006</v>
      </c>
      <c r="D21" s="30">
        <v>120.6</v>
      </c>
      <c r="E21" s="29">
        <f>D21/$D$48</f>
        <v>1.1963929644951044E-2</v>
      </c>
      <c r="F21" s="28">
        <f>C21-(C21*$E$6)</f>
        <v>69.424279464674754</v>
      </c>
      <c r="G21" s="27" t="str">
        <f>IF(C21&gt;=F21,"-","+")</f>
        <v>+</v>
      </c>
      <c r="H21" s="26">
        <f>C21*D21</f>
        <v>8249.0400000000009</v>
      </c>
      <c r="I21" s="26">
        <f>F21*D21</f>
        <v>8372.5681034397749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295.5</v>
      </c>
      <c r="E22" s="29">
        <f>D22/$D$48</f>
        <v>2.9314603732031787E-2</v>
      </c>
      <c r="F22" s="28">
        <f>C22-(C22*$E$6)</f>
        <v>46.587345430242259</v>
      </c>
      <c r="G22" s="27" t="str">
        <f>IF(C22&gt;=F22,"-","+")</f>
        <v>+</v>
      </c>
      <c r="H22" s="26">
        <f>C22*D22</f>
        <v>13563.449999999999</v>
      </c>
      <c r="I22" s="26">
        <f>F22*D22</f>
        <v>13766.560574636587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41.9</v>
      </c>
      <c r="D23" s="30">
        <v>242.4</v>
      </c>
      <c r="E23" s="29">
        <f>D23/$D$48</f>
        <v>2.4046903365971255E-2</v>
      </c>
      <c r="F23" s="28">
        <f>C23-(C23*$E$6)</f>
        <v>42.527446046343151</v>
      </c>
      <c r="G23" s="27" t="str">
        <f>IF(C23&gt;=F23,"-","+")</f>
        <v>+</v>
      </c>
      <c r="H23" s="26">
        <f>C23*D23</f>
        <v>10156.56</v>
      </c>
      <c r="I23" s="26">
        <f>F23*D23</f>
        <v>10308.65292163358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48.548291571753978</v>
      </c>
      <c r="D24" s="22">
        <f>SUM(D21:D23)</f>
        <v>658.5</v>
      </c>
      <c r="E24" s="21">
        <f>D24/$D$48</f>
        <v>6.5325436742954088E-2</v>
      </c>
      <c r="F24" s="20">
        <f>I24/D24</f>
        <v>49.275294760379566</v>
      </c>
      <c r="G24" s="19">
        <f>F24/C24-1</f>
        <v>1.4974845974777162E-2</v>
      </c>
      <c r="H24" s="18">
        <f>SUM(H21:H23)</f>
        <v>31969.049999999996</v>
      </c>
      <c r="I24" s="18">
        <f>SUM(I21:I23)</f>
        <v>32447.781599709942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36.5</v>
      </c>
      <c r="D26" s="30">
        <v>1833</v>
      </c>
      <c r="E26" s="29">
        <f t="shared" ref="E26:E32" si="7">D26/$D$48</f>
        <v>0.18183982619564895</v>
      </c>
      <c r="F26" s="28">
        <f t="shared" ref="F26:F31" si="8">C26-(C26*$E$6)</f>
        <v>37.046581878079358</v>
      </c>
      <c r="G26" s="27" t="str">
        <f t="shared" ref="G26:G31" si="9">IF(C26&gt;=F26,"-","+")</f>
        <v>+</v>
      </c>
      <c r="H26" s="26">
        <f t="shared" ref="H26:H31" si="10">C26*D26</f>
        <v>66904.5</v>
      </c>
      <c r="I26" s="26">
        <f t="shared" ref="I26:I31" si="11">F26*D26</f>
        <v>67906.384582519458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32.5</v>
      </c>
      <c r="D27" s="30">
        <v>1515.6</v>
      </c>
      <c r="E27" s="29">
        <f t="shared" si="7"/>
        <v>0.15035266807535491</v>
      </c>
      <c r="F27" s="28">
        <f t="shared" si="8"/>
        <v>32.986682494180251</v>
      </c>
      <c r="G27" s="27" t="str">
        <f t="shared" si="9"/>
        <v>+</v>
      </c>
      <c r="H27" s="26">
        <f t="shared" si="10"/>
        <v>49257</v>
      </c>
      <c r="I27" s="26">
        <f t="shared" si="11"/>
        <v>49994.615988179583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32.5</v>
      </c>
      <c r="D28" s="30">
        <v>1046.3</v>
      </c>
      <c r="E28" s="29">
        <f t="shared" si="7"/>
        <v>0.10379651399263912</v>
      </c>
      <c r="F28" s="28">
        <f t="shared" si="8"/>
        <v>32.986682494180251</v>
      </c>
      <c r="G28" s="27" t="str">
        <f t="shared" si="9"/>
        <v>+</v>
      </c>
      <c r="H28" s="26">
        <f t="shared" si="10"/>
        <v>34004.75</v>
      </c>
      <c r="I28" s="26">
        <f t="shared" si="11"/>
        <v>34513.965893660796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891</v>
      </c>
      <c r="E29" s="29">
        <f t="shared" si="7"/>
        <v>8.8390226481354722E-2</v>
      </c>
      <c r="F29" s="28">
        <f t="shared" si="8"/>
        <v>31.870210163607993</v>
      </c>
      <c r="G29" s="27" t="str">
        <f t="shared" si="9"/>
        <v>+</v>
      </c>
      <c r="H29" s="26">
        <f t="shared" si="10"/>
        <v>27977.399999999998</v>
      </c>
      <c r="I29" s="26">
        <f t="shared" si="11"/>
        <v>28396.357255774721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641.58000000000004</v>
      </c>
      <c r="E30" s="29">
        <f t="shared" si="7"/>
        <v>6.364691527037887E-2</v>
      </c>
      <c r="F30" s="28">
        <f t="shared" si="8"/>
        <v>31.870210163607993</v>
      </c>
      <c r="G30" s="27" t="str">
        <f t="shared" si="9"/>
        <v>+</v>
      </c>
      <c r="H30" s="26">
        <f t="shared" si="10"/>
        <v>20145.612000000001</v>
      </c>
      <c r="I30" s="26">
        <f t="shared" si="11"/>
        <v>20447.289436767616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</v>
      </c>
      <c r="D31" s="30">
        <v>264.5</v>
      </c>
      <c r="E31" s="29">
        <f t="shared" si="7"/>
        <v>2.6239298433578369E-2</v>
      </c>
      <c r="F31" s="28">
        <f t="shared" si="8"/>
        <v>32.479195071192862</v>
      </c>
      <c r="G31" s="27" t="str">
        <f t="shared" si="9"/>
        <v>+</v>
      </c>
      <c r="H31" s="26">
        <f t="shared" si="10"/>
        <v>8464</v>
      </c>
      <c r="I31" s="26">
        <f t="shared" si="11"/>
        <v>8590.7470963305113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33.390492540350586</v>
      </c>
      <c r="D32" s="22">
        <f>SUM(D26:D31)</f>
        <v>6191.98</v>
      </c>
      <c r="E32" s="21">
        <f t="shared" si="7"/>
        <v>0.61426544844895492</v>
      </c>
      <c r="F32" s="20">
        <f>I32/D32</f>
        <v>33.890510023164268</v>
      </c>
      <c r="G32" s="19">
        <f>F32/C32-1</f>
        <v>1.4974845974776718E-2</v>
      </c>
      <c r="H32" s="18">
        <f>SUM(H26:H31)</f>
        <v>206753.26199999999</v>
      </c>
      <c r="I32" s="18">
        <f>SUM(I26:I31)</f>
        <v>209849.36025323268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1602.5</v>
      </c>
      <c r="E34" s="29">
        <f t="shared" ref="E34:E40" si="13">D34/$D$48</f>
        <v>0.15897344325069693</v>
      </c>
      <c r="F34" s="28">
        <f t="shared" ref="F34:F39" si="14">C34-(C34*$E$6)</f>
        <v>19.487517042715716</v>
      </c>
      <c r="G34" s="27" t="str">
        <f t="shared" ref="G34:G39" si="15">IF(C34&gt;=F34,"-","+")</f>
        <v>+</v>
      </c>
      <c r="H34" s="26">
        <f t="shared" ref="H34:H39" si="16">C34*D34</f>
        <v>30768</v>
      </c>
      <c r="I34" s="26">
        <f t="shared" ref="I34:I39" si="17">F34*D34</f>
        <v>31228.746060951933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/>
      <c r="E35" s="29">
        <f t="shared" si="13"/>
        <v>0</v>
      </c>
      <c r="F35" s="28">
        <f t="shared" si="14"/>
        <v>15.0216277204267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12.078200667099846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31.870210163607993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31.870210163607993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32.5</v>
      </c>
      <c r="D39" s="30"/>
      <c r="E39" s="29">
        <f t="shared" si="13"/>
        <v>0</v>
      </c>
      <c r="F39" s="28">
        <f t="shared" si="14"/>
        <v>32.986682494180251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</v>
      </c>
      <c r="D40" s="22">
        <f>SUM(D34:D39)</f>
        <v>1602.5</v>
      </c>
      <c r="E40" s="113">
        <f t="shared" si="13"/>
        <v>0.15897344325069693</v>
      </c>
      <c r="F40" s="20">
        <f>I40/D40</f>
        <v>19.487517042715716</v>
      </c>
      <c r="G40" s="19">
        <f>F40/C40-1</f>
        <v>1.497484597477694E-2</v>
      </c>
      <c r="H40" s="18">
        <f>SUM(H34:H39)</f>
        <v>30768</v>
      </c>
      <c r="I40" s="18">
        <f>SUM(I34:I39)</f>
        <v>31228.746060951933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1548</v>
      </c>
      <c r="E42" s="107">
        <f>D42/$D$48</f>
        <v>0.15356685812922236</v>
      </c>
      <c r="F42" s="28">
        <f>C42-(C42*$E$6)</f>
        <v>0.40598993838991082</v>
      </c>
      <c r="G42" s="27" t="str">
        <f>IF(C42&gt;=F42,"-","+")</f>
        <v>+</v>
      </c>
      <c r="H42" s="26">
        <f>C42*D42</f>
        <v>619.20000000000005</v>
      </c>
      <c r="I42" s="26">
        <f>F42*D42</f>
        <v>628.47242462758197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73.400000000000006</v>
      </c>
      <c r="E43" s="107">
        <f>D43/$D$48</f>
        <v>7.2815293195639032E-3</v>
      </c>
      <c r="F43" s="28">
        <f>C43-(C43*$E$6)</f>
        <v>0.40598993838991082</v>
      </c>
      <c r="G43" s="27" t="str">
        <f>IF(C43&gt;=F43,"-","+")</f>
        <v>+</v>
      </c>
      <c r="H43" s="26">
        <f>C43*D43</f>
        <v>29.360000000000003</v>
      </c>
      <c r="I43" s="26">
        <f>F43*D43</f>
        <v>29.799661477819456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5.92</v>
      </c>
      <c r="E45" s="107">
        <f>D45/$D$48</f>
        <v>5.8728410860787875E-4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0.39854484674188234</v>
      </c>
      <c r="D46" s="22">
        <f>SUM(D41:D45)</f>
        <v>1627.3200000000002</v>
      </c>
      <c r="E46" s="113">
        <f>D46/$D$48</f>
        <v>0.16143567155739416</v>
      </c>
      <c r="F46" s="20">
        <f>I46/D46</f>
        <v>0.40451299443588312</v>
      </c>
      <c r="G46" s="19">
        <f>F46/C46-1</f>
        <v>1.497484597477694E-2</v>
      </c>
      <c r="H46" s="18">
        <f>SUM(H41:H44)</f>
        <v>648.56000000000006</v>
      </c>
      <c r="I46" s="18">
        <f>SUM(I41:I44)</f>
        <v>658.2720861054014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101.53732895884646</v>
      </c>
      <c r="D48" s="13">
        <f>D24+D32+D40+D46</f>
        <v>10080.299999999999</v>
      </c>
      <c r="E48" s="12">
        <f>SUM(E20:E46)/2</f>
        <v>1</v>
      </c>
      <c r="F48" s="11">
        <f>I48/D48</f>
        <v>27.200000000000006</v>
      </c>
      <c r="G48" s="10"/>
      <c r="H48" s="9">
        <f>SUM(H20:H46)/2</f>
        <v>270138.87199999997</v>
      </c>
      <c r="I48" s="9">
        <f>SUM(I20:I46)/2</f>
        <v>274184.16000000003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10080.299999999999</v>
      </c>
      <c r="E50" s="12">
        <f>D50/G2</f>
        <v>1</v>
      </c>
      <c r="F50" s="11">
        <f>I50/D50</f>
        <v>27.200000000000006</v>
      </c>
      <c r="G50" s="10"/>
      <c r="H50" s="9">
        <f>H48+H19</f>
        <v>270138.87199999997</v>
      </c>
      <c r="I50" s="9">
        <f>I48+I19</f>
        <v>274184.16000000003</v>
      </c>
      <c r="J50" s="106">
        <f>D50-G2</f>
        <v>0</v>
      </c>
      <c r="K50" s="8"/>
    </row>
    <row r="51" spans="1:11" ht="23.25" x14ac:dyDescent="0.35">
      <c r="A51" s="174" t="s">
        <v>353</v>
      </c>
      <c r="B51" s="169"/>
      <c r="C51" s="170"/>
      <c r="G51" s="7"/>
      <c r="H51" s="6"/>
      <c r="I51" s="6">
        <f>+I50/D50</f>
        <v>27.200000000000006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352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352</v>
      </c>
      <c r="D2" s="96" t="s">
        <v>3</v>
      </c>
      <c r="E2" s="95" t="s">
        <v>71</v>
      </c>
      <c r="F2" s="94" t="s">
        <v>5</v>
      </c>
      <c r="G2" s="93">
        <v>12529.6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182</v>
      </c>
      <c r="F3" s="88" t="s">
        <v>8</v>
      </c>
      <c r="G3" s="87">
        <v>27.2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68.843956043956041</v>
      </c>
      <c r="F4" s="81" t="s">
        <v>12</v>
      </c>
      <c r="G4" s="80">
        <f>G2*G3</f>
        <v>340805.12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-6.9866627979418006E-3</v>
      </c>
      <c r="F6" s="69" t="s">
        <v>16</v>
      </c>
      <c r="G6" s="68">
        <f>(I50-I19)/(D50-(SUM(D42:D44)+D19))</f>
        <v>32.15191347036243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>
        <f t="shared" ref="E10:E19" si="1">D10/$D$19</f>
        <v>0</v>
      </c>
      <c r="F10" s="28">
        <f t="shared" ref="F10:F18" si="2">C10-(C10*$E$6)</f>
        <v>27.390037228104017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28.3</v>
      </c>
      <c r="D11" s="30">
        <v>1681.2</v>
      </c>
      <c r="E11" s="29">
        <f t="shared" si="1"/>
        <v>0.59439966058548999</v>
      </c>
      <c r="F11" s="28">
        <f t="shared" si="2"/>
        <v>28.497722557181753</v>
      </c>
      <c r="G11" s="27" t="str">
        <f t="shared" si="3"/>
        <v>+</v>
      </c>
      <c r="H11" s="34">
        <f t="shared" si="4"/>
        <v>47577.96</v>
      </c>
      <c r="I11" s="34">
        <f t="shared" si="5"/>
        <v>47910.371163133961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25.9</v>
      </c>
      <c r="D12" s="30">
        <v>959.3</v>
      </c>
      <c r="E12" s="29">
        <f t="shared" si="1"/>
        <v>0.33916702022344786</v>
      </c>
      <c r="F12" s="28">
        <f t="shared" si="2"/>
        <v>26.080954566466691</v>
      </c>
      <c r="G12" s="27" t="str">
        <f t="shared" si="3"/>
        <v>+</v>
      </c>
      <c r="H12" s="34">
        <f t="shared" si="4"/>
        <v>24845.87</v>
      </c>
      <c r="I12" s="34">
        <f t="shared" si="5"/>
        <v>25019.459715611494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>
        <f t="shared" si="1"/>
        <v>0</v>
      </c>
      <c r="F13" s="28">
        <f t="shared" si="2"/>
        <v>28.497722557181753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31.7</v>
      </c>
      <c r="D14" s="30">
        <v>165.6</v>
      </c>
      <c r="E14" s="29">
        <f t="shared" si="1"/>
        <v>5.8549002969876959E-2</v>
      </c>
      <c r="F14" s="28">
        <f t="shared" si="2"/>
        <v>31.921477210694754</v>
      </c>
      <c r="G14" s="27" t="str">
        <f t="shared" si="3"/>
        <v>+</v>
      </c>
      <c r="H14" s="34">
        <f t="shared" si="4"/>
        <v>5249.5199999999995</v>
      </c>
      <c r="I14" s="34">
        <f t="shared" si="5"/>
        <v>5286.1966260910513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26.1</v>
      </c>
      <c r="D15" s="30"/>
      <c r="E15" s="29">
        <f t="shared" si="1"/>
        <v>0</v>
      </c>
      <c r="F15" s="28">
        <f t="shared" si="2"/>
        <v>26.282351899026281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35.700000000000003</v>
      </c>
      <c r="D16" s="30"/>
      <c r="E16" s="29">
        <f t="shared" si="1"/>
        <v>0</v>
      </c>
      <c r="F16" s="28">
        <f t="shared" si="2"/>
        <v>35.949423861886523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52.6</v>
      </c>
      <c r="D17" s="30">
        <v>22.3</v>
      </c>
      <c r="E17" s="29">
        <f t="shared" si="1"/>
        <v>7.8843162211851229E-3</v>
      </c>
      <c r="F17" s="28">
        <f t="shared" si="2"/>
        <v>52.967498463171744</v>
      </c>
      <c r="G17" s="27" t="str">
        <f t="shared" si="3"/>
        <v>+</v>
      </c>
      <c r="H17" s="34">
        <f t="shared" si="4"/>
        <v>1172.98</v>
      </c>
      <c r="I17" s="34">
        <f t="shared" si="5"/>
        <v>1181.1752157287299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46.1</v>
      </c>
      <c r="D18" s="30"/>
      <c r="E18" s="29">
        <f t="shared" si="1"/>
        <v>0</v>
      </c>
      <c r="F18" s="28">
        <f t="shared" si="2"/>
        <v>46.422085154985119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27.876654645736107</v>
      </c>
      <c r="D19" s="49">
        <f>SUM(D10:D18)</f>
        <v>2828.4</v>
      </c>
      <c r="E19" s="48">
        <f t="shared" si="1"/>
        <v>1</v>
      </c>
      <c r="F19" s="47">
        <f>I19/D19</f>
        <v>28.071419431680539</v>
      </c>
      <c r="G19" s="46">
        <f>F19/C19-1</f>
        <v>6.9866627979415785E-3</v>
      </c>
      <c r="H19" s="9">
        <f>SUM(H10:H18)</f>
        <v>78846.33</v>
      </c>
      <c r="I19" s="9">
        <f>SUM(I10:I18)</f>
        <v>79397.202720565241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68.400000000000006</v>
      </c>
      <c r="D21" s="30">
        <v>123.9</v>
      </c>
      <c r="E21" s="29">
        <f>D21/$D$48</f>
        <v>1.2771747533784829E-2</v>
      </c>
      <c r="F21" s="28">
        <f>C21-(C21*$E$6)</f>
        <v>68.877887735379218</v>
      </c>
      <c r="G21" s="27" t="str">
        <f>IF(C21&gt;=F21,"-","+")</f>
        <v>+</v>
      </c>
      <c r="H21" s="26">
        <f>C21*D21</f>
        <v>8474.76</v>
      </c>
      <c r="I21" s="26">
        <f>F21*D21</f>
        <v>8533.9702904134847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325</v>
      </c>
      <c r="E22" s="29">
        <f>D22/$D$48</f>
        <v>3.3501355516384737E-2</v>
      </c>
      <c r="F22" s="28">
        <f>C22-(C22*$E$6)</f>
        <v>46.220687822425525</v>
      </c>
      <c r="G22" s="27" t="str">
        <f>IF(C22&gt;=F22,"-","+")</f>
        <v>+</v>
      </c>
      <c r="H22" s="26">
        <f>C22*D22</f>
        <v>14917.5</v>
      </c>
      <c r="I22" s="26">
        <f>F22*D22</f>
        <v>15021.723542288295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41.9</v>
      </c>
      <c r="D23" s="30">
        <v>277</v>
      </c>
      <c r="E23" s="29">
        <f>D23/$D$48</f>
        <v>2.8553463009349453E-2</v>
      </c>
      <c r="F23" s="28">
        <f>C23-(C23*$E$6)</f>
        <v>42.192741171233763</v>
      </c>
      <c r="G23" s="27" t="str">
        <f>IF(C23&gt;=F23,"-","+")</f>
        <v>+</v>
      </c>
      <c r="H23" s="26">
        <f>C23*D23</f>
        <v>11606.3</v>
      </c>
      <c r="I23" s="26">
        <f>F23*D23</f>
        <v>11687.389304431752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48.214023970243836</v>
      </c>
      <c r="D24" s="22">
        <f>SUM(D21:D23)</f>
        <v>725.9</v>
      </c>
      <c r="E24" s="21">
        <f>D24/$D$48</f>
        <v>7.4826566059519012E-2</v>
      </c>
      <c r="F24" s="20">
        <f>I24/D24</f>
        <v>48.550879097855805</v>
      </c>
      <c r="G24" s="19">
        <f>F24/C24-1</f>
        <v>6.9866627979415785E-3</v>
      </c>
      <c r="H24" s="18">
        <f>SUM(H21:H23)</f>
        <v>34998.559999999998</v>
      </c>
      <c r="I24" s="18">
        <f>SUM(I21:I23)</f>
        <v>35243.08313713353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36.5</v>
      </c>
      <c r="D26" s="30">
        <f>239+78+1290</f>
        <v>1607</v>
      </c>
      <c r="E26" s="29">
        <f t="shared" ref="E26:E32" si="7">D26/$D$48</f>
        <v>0.16565131789178547</v>
      </c>
      <c r="F26" s="28">
        <f t="shared" ref="F26:F31" si="8">C26-(C26*$E$6)</f>
        <v>36.755013192124878</v>
      </c>
      <c r="G26" s="27" t="str">
        <f t="shared" ref="G26:G31" si="9">IF(C26&gt;=F26,"-","+")</f>
        <v>+</v>
      </c>
      <c r="H26" s="26">
        <f t="shared" ref="H26:H31" si="10">C26*D26</f>
        <v>58655.5</v>
      </c>
      <c r="I26" s="26">
        <f t="shared" ref="I26:I31" si="11">F26*D26</f>
        <v>59065.306199744678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32.5</v>
      </c>
      <c r="D27" s="30">
        <v>1449.2</v>
      </c>
      <c r="E27" s="29">
        <f t="shared" si="7"/>
        <v>0.14938512127490697</v>
      </c>
      <c r="F27" s="28">
        <f t="shared" si="8"/>
        <v>32.727066540933109</v>
      </c>
      <c r="G27" s="27" t="str">
        <f t="shared" si="9"/>
        <v>+</v>
      </c>
      <c r="H27" s="26">
        <f t="shared" si="10"/>
        <v>47099</v>
      </c>
      <c r="I27" s="26">
        <f t="shared" si="11"/>
        <v>47428.06483112026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32.5</v>
      </c>
      <c r="D28" s="30">
        <v>1034.5999999999999</v>
      </c>
      <c r="E28" s="29">
        <f t="shared" si="7"/>
        <v>0.10664769974538968</v>
      </c>
      <c r="F28" s="28">
        <f t="shared" si="8"/>
        <v>32.727066540933109</v>
      </c>
      <c r="G28" s="27" t="str">
        <f t="shared" si="9"/>
        <v>+</v>
      </c>
      <c r="H28" s="26">
        <f t="shared" si="10"/>
        <v>33624.5</v>
      </c>
      <c r="I28" s="26">
        <f t="shared" si="11"/>
        <v>33859.423043249393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885.5</v>
      </c>
      <c r="E29" s="29">
        <f t="shared" si="7"/>
        <v>9.1278308645411338E-2</v>
      </c>
      <c r="F29" s="28">
        <f t="shared" si="8"/>
        <v>31.619381211855369</v>
      </c>
      <c r="G29" s="27" t="str">
        <f t="shared" si="9"/>
        <v>+</v>
      </c>
      <c r="H29" s="26">
        <f t="shared" si="10"/>
        <v>27804.699999999997</v>
      </c>
      <c r="I29" s="26">
        <f t="shared" si="11"/>
        <v>27998.96206309793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748</v>
      </c>
      <c r="E30" s="29">
        <f t="shared" si="7"/>
        <v>7.710465823463318E-2</v>
      </c>
      <c r="F30" s="28">
        <f t="shared" si="8"/>
        <v>31.619381211855369</v>
      </c>
      <c r="G30" s="27" t="str">
        <f t="shared" si="9"/>
        <v>+</v>
      </c>
      <c r="H30" s="26">
        <f t="shared" si="10"/>
        <v>23487.200000000001</v>
      </c>
      <c r="I30" s="26">
        <f t="shared" si="11"/>
        <v>23651.297146467816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</v>
      </c>
      <c r="D31" s="30">
        <v>125.6</v>
      </c>
      <c r="E31" s="29">
        <f t="shared" si="7"/>
        <v>1.2946985393408994E-2</v>
      </c>
      <c r="F31" s="28">
        <f t="shared" si="8"/>
        <v>32.223573209534138</v>
      </c>
      <c r="G31" s="27" t="str">
        <f t="shared" si="9"/>
        <v>+</v>
      </c>
      <c r="H31" s="26">
        <f t="shared" si="10"/>
        <v>4019.2</v>
      </c>
      <c r="I31" s="26">
        <f t="shared" si="11"/>
        <v>4047.2807951174873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33.280927879109051</v>
      </c>
      <c r="D32" s="22">
        <f>SUM(D26:D31)</f>
        <v>5849.9</v>
      </c>
      <c r="E32" s="21">
        <f t="shared" si="7"/>
        <v>0.60301409118553562</v>
      </c>
      <c r="F32" s="20">
        <f>I32/D32</f>
        <v>33.513450499803</v>
      </c>
      <c r="G32" s="19">
        <f>F32/C32-1</f>
        <v>6.9866627979415785E-3</v>
      </c>
      <c r="H32" s="18">
        <f>SUM(H26:H31)</f>
        <v>194690.10000000003</v>
      </c>
      <c r="I32" s="18">
        <f>SUM(I26:I31)</f>
        <v>196050.33407879758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1445</v>
      </c>
      <c r="E34" s="29">
        <f t="shared" ref="E34:E40" si="13">D34/$D$48</f>
        <v>0.14895218068054136</v>
      </c>
      <c r="F34" s="28">
        <f t="shared" ref="F34:F39" si="14">C34-(C34*$E$6)</f>
        <v>19.334143925720483</v>
      </c>
      <c r="G34" s="27" t="str">
        <f t="shared" ref="G34:G39" si="15">IF(C34&gt;=F34,"-","+")</f>
        <v>+</v>
      </c>
      <c r="H34" s="26">
        <f t="shared" ref="H34:H39" si="16">C34*D34</f>
        <v>27744</v>
      </c>
      <c r="I34" s="26">
        <f t="shared" ref="I34:I39" si="17">F34*D34</f>
        <v>27937.837972666097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>
        <v>103.6</v>
      </c>
      <c r="E35" s="29">
        <f t="shared" si="13"/>
        <v>1.0679201327684488E-2</v>
      </c>
      <c r="F35" s="28">
        <f t="shared" si="14"/>
        <v>14.90340260940954</v>
      </c>
      <c r="G35" s="27" t="str">
        <f t="shared" si="15"/>
        <v>+</v>
      </c>
      <c r="H35" s="26">
        <f t="shared" si="16"/>
        <v>1533.28</v>
      </c>
      <c r="I35" s="26">
        <f t="shared" si="17"/>
        <v>1543.9925103348282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11.983141287295508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31.619381211855369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31.619381211855369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32.5</v>
      </c>
      <c r="D39" s="30"/>
      <c r="E39" s="29">
        <f t="shared" si="13"/>
        <v>0</v>
      </c>
      <c r="F39" s="28">
        <f t="shared" si="14"/>
        <v>32.727066540933109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18.905643807309829</v>
      </c>
      <c r="D40" s="22">
        <f>SUM(D34:D39)</f>
        <v>1548.6</v>
      </c>
      <c r="E40" s="113">
        <f t="shared" si="13"/>
        <v>0.15963138200822585</v>
      </c>
      <c r="F40" s="20">
        <f>I40/D40</f>
        <v>19.0377311655695</v>
      </c>
      <c r="G40" s="19">
        <f>F40/C40-1</f>
        <v>6.9866627979418006E-3</v>
      </c>
      <c r="H40" s="18">
        <f>SUM(H34:H39)</f>
        <v>29277.279999999999</v>
      </c>
      <c r="I40" s="18">
        <f>SUM(I34:I39)</f>
        <v>29481.830483000926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1519</v>
      </c>
      <c r="E42" s="107">
        <f>D42/$D$48</f>
        <v>0.15658018162888743</v>
      </c>
      <c r="F42" s="28">
        <f>C42-(C42*$E$6)</f>
        <v>0.40279466511917672</v>
      </c>
      <c r="G42" s="27" t="str">
        <f>IF(C42&gt;=F42,"-","+")</f>
        <v>+</v>
      </c>
      <c r="H42" s="26">
        <f>C42*D42</f>
        <v>607.6</v>
      </c>
      <c r="I42" s="26">
        <f>F42*D42</f>
        <v>611.84509631602941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51.7</v>
      </c>
      <c r="E43" s="107">
        <f>D43/$D$48</f>
        <v>5.3292925544525882E-3</v>
      </c>
      <c r="F43" s="28">
        <f>C43-(C43*$E$6)</f>
        <v>0.40279466511917672</v>
      </c>
      <c r="G43" s="27" t="str">
        <f>IF(C43&gt;=F43,"-","+")</f>
        <v>+</v>
      </c>
      <c r="H43" s="26">
        <f>C43*D43</f>
        <v>20.680000000000003</v>
      </c>
      <c r="I43" s="26">
        <f>F43*D43</f>
        <v>20.824484186661437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6.1848656337941052E-4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0.39847783344960991</v>
      </c>
      <c r="D46" s="22">
        <f>SUM(D41:D45)</f>
        <v>1576.7</v>
      </c>
      <c r="E46" s="113">
        <f>D46/$D$48</f>
        <v>0.16252796074671944</v>
      </c>
      <c r="F46" s="20">
        <f>I46/D46</f>
        <v>0.40126186370437678</v>
      </c>
      <c r="G46" s="19">
        <f>F46/C46-1</f>
        <v>6.9866627979418006E-3</v>
      </c>
      <c r="H46" s="18">
        <f>SUM(H41:H44)</f>
        <v>628.28</v>
      </c>
      <c r="I46" s="18">
        <f>SUM(I41:I44)</f>
        <v>632.66958050269091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100.79907349011232</v>
      </c>
      <c r="D48" s="13">
        <f>D24+D32+D40+D46</f>
        <v>9701.1</v>
      </c>
      <c r="E48" s="12">
        <f>SUM(E20:E46)/2</f>
        <v>0.99999999999999978</v>
      </c>
      <c r="F48" s="11">
        <f>I48/D48</f>
        <v>26.9462140663878</v>
      </c>
      <c r="G48" s="10"/>
      <c r="H48" s="9">
        <f>SUM(H20:H46)/2</f>
        <v>259594.22000000006</v>
      </c>
      <c r="I48" s="9">
        <f>SUM(I20:I46)/2</f>
        <v>261407.91727943468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12529.5</v>
      </c>
      <c r="E50" s="12">
        <f>D50/G2</f>
        <v>0.9999920188992466</v>
      </c>
      <c r="F50" s="11">
        <f>I50/D50</f>
        <v>27.200217087673085</v>
      </c>
      <c r="G50" s="10"/>
      <c r="H50" s="9">
        <f>H48+H19</f>
        <v>338440.55000000005</v>
      </c>
      <c r="I50" s="9">
        <f>I48+I19</f>
        <v>340805.11999999994</v>
      </c>
      <c r="J50" s="106">
        <f>D50-G2</f>
        <v>-0.1000000000003638</v>
      </c>
      <c r="K50" s="8"/>
    </row>
    <row r="51" spans="1:11" ht="23.25" x14ac:dyDescent="0.35">
      <c r="A51" s="174" t="s">
        <v>354</v>
      </c>
      <c r="B51" s="169"/>
      <c r="C51" s="170"/>
      <c r="G51" s="7"/>
      <c r="H51" s="6"/>
      <c r="I51" s="6">
        <f>+I50/D50</f>
        <v>27.200217087673085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352</v>
      </c>
      <c r="D1" s="100" t="s">
        <v>1</v>
      </c>
      <c r="E1" s="168" t="s">
        <v>227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352</v>
      </c>
      <c r="D2" s="96" t="s">
        <v>3</v>
      </c>
      <c r="E2" s="95" t="s">
        <v>112</v>
      </c>
      <c r="F2" s="94" t="s">
        <v>5</v>
      </c>
      <c r="G2" s="93">
        <v>15439.6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187</v>
      </c>
      <c r="D3" s="90" t="s">
        <v>7</v>
      </c>
      <c r="E3" s="89">
        <v>248</v>
      </c>
      <c r="F3" s="88" t="s">
        <v>8</v>
      </c>
      <c r="G3" s="87">
        <v>23.56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62.256451612903227</v>
      </c>
      <c r="F4" s="81" t="s">
        <v>12</v>
      </c>
      <c r="G4" s="80">
        <f>G2*G3</f>
        <v>363756.97599999997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-9.336061347249891E-2</v>
      </c>
      <c r="F6" s="69" t="s">
        <v>16</v>
      </c>
      <c r="G6" s="68">
        <f>(I50-I19)/(D50-(SUM(D42:D44)+D19))</f>
        <v>29.802954102282584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23.6</v>
      </c>
      <c r="D10" s="30"/>
      <c r="E10" s="29" t="e">
        <f t="shared" ref="E10:E19" si="1">D10/$D$19</f>
        <v>#DIV/0!</v>
      </c>
      <c r="F10" s="28">
        <f t="shared" ref="F10:F18" si="2">C10-(C10*$E$6)</f>
        <v>25.803310477950976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24.5</v>
      </c>
      <c r="D11" s="30"/>
      <c r="E11" s="29" t="e">
        <f t="shared" si="1"/>
        <v>#DIV/0!</v>
      </c>
      <c r="F11" s="28">
        <f t="shared" si="2"/>
        <v>26.787335030076225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22.4</v>
      </c>
      <c r="D12" s="30"/>
      <c r="E12" s="29" t="e">
        <f t="shared" si="1"/>
        <v>#DIV/0!</v>
      </c>
      <c r="F12" s="28">
        <f t="shared" si="2"/>
        <v>24.491277741783975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24.5</v>
      </c>
      <c r="D13" s="30"/>
      <c r="E13" s="29" t="e">
        <f t="shared" si="1"/>
        <v>#DIV/0!</v>
      </c>
      <c r="F13" s="28">
        <f t="shared" si="2"/>
        <v>26.787335030076225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27.4</v>
      </c>
      <c r="D14" s="30"/>
      <c r="E14" s="29" t="e">
        <f t="shared" si="1"/>
        <v>#DIV/0!</v>
      </c>
      <c r="F14" s="28">
        <f t="shared" si="2"/>
        <v>29.95808080914647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22.6</v>
      </c>
      <c r="D15" s="30"/>
      <c r="E15" s="29" t="e">
        <f t="shared" si="1"/>
        <v>#DIV/0!</v>
      </c>
      <c r="F15" s="28">
        <f t="shared" si="2"/>
        <v>24.709949864478478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31</v>
      </c>
      <c r="D16" s="30"/>
      <c r="E16" s="29" t="e">
        <f t="shared" si="1"/>
        <v>#DIV/0!</v>
      </c>
      <c r="F16" s="28">
        <f t="shared" si="2"/>
        <v>33.894179017647467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45.6</v>
      </c>
      <c r="D17" s="30"/>
      <c r="E17" s="29" t="e">
        <f t="shared" si="1"/>
        <v>#DIV/0!</v>
      </c>
      <c r="F17" s="28">
        <f t="shared" si="2"/>
        <v>49.857243974345948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39.9</v>
      </c>
      <c r="D18" s="30"/>
      <c r="E18" s="29" t="e">
        <f t="shared" si="1"/>
        <v>#DIV/0!</v>
      </c>
      <c r="F18" s="28">
        <f t="shared" si="2"/>
        <v>43.625088477552708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59.3</v>
      </c>
      <c r="D21" s="30">
        <v>206.7</v>
      </c>
      <c r="E21" s="29">
        <f>D21/$D$48</f>
        <v>1.3387652529858287E-2</v>
      </c>
      <c r="F21" s="28">
        <f>C21-(C21*$E$6)</f>
        <v>64.836284378919188</v>
      </c>
      <c r="G21" s="27" t="str">
        <f>IF(C21&gt;=F21,"-","+")</f>
        <v>+</v>
      </c>
      <c r="H21" s="26">
        <f>C21*D21</f>
        <v>12257.31</v>
      </c>
      <c r="I21" s="26">
        <f>F21*D21</f>
        <v>13401.659981122595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39.799999999999997</v>
      </c>
      <c r="D22" s="30">
        <v>383.6</v>
      </c>
      <c r="E22" s="29">
        <f>D22/$D$48</f>
        <v>2.4845203243607353E-2</v>
      </c>
      <c r="F22" s="28">
        <f>C22-(C22*$E$6)</f>
        <v>43.515752416205451</v>
      </c>
      <c r="G22" s="27" t="str">
        <f>IF(C22&gt;=F22,"-","+")</f>
        <v>+</v>
      </c>
      <c r="H22" s="26">
        <f>C22*D22</f>
        <v>15267.28</v>
      </c>
      <c r="I22" s="26">
        <f>F22*D22</f>
        <v>16692.642626856414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36.299999999999997</v>
      </c>
      <c r="D23" s="30">
        <v>352</v>
      </c>
      <c r="E23" s="29">
        <f>D23/$D$48</f>
        <v>2.2798518096323741E-2</v>
      </c>
      <c r="F23" s="28">
        <f>C23-(C23*$E$6)</f>
        <v>39.688990269051708</v>
      </c>
      <c r="G23" s="27" t="str">
        <f>IF(C23&gt;=F23,"-","+")</f>
        <v>+</v>
      </c>
      <c r="H23" s="26">
        <f>C23*D23</f>
        <v>12777.599999999999</v>
      </c>
      <c r="I23" s="26">
        <f>F23*D23</f>
        <v>13970.524574706202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42.770020163429912</v>
      </c>
      <c r="D24" s="22">
        <f>SUM(D21:D23)</f>
        <v>942.3</v>
      </c>
      <c r="E24" s="21">
        <f>D24/$D$48</f>
        <v>6.1031373869789372E-2</v>
      </c>
      <c r="F24" s="20">
        <f>I24/D24</f>
        <v>46.763055484118865</v>
      </c>
      <c r="G24" s="19">
        <f>F24/C24-1</f>
        <v>9.3360613472498688E-2</v>
      </c>
      <c r="H24" s="18">
        <f>SUM(H21:H23)</f>
        <v>40302.19</v>
      </c>
      <c r="I24" s="18">
        <f>SUM(I21:I23)</f>
        <v>44064.827182685207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31.6</v>
      </c>
      <c r="D26" s="30">
        <v>2757.5</v>
      </c>
      <c r="E26" s="29">
        <f t="shared" ref="E26:E32" si="7">D26/$D$48</f>
        <v>0.17859918650742249</v>
      </c>
      <c r="F26" s="28">
        <f t="shared" ref="F26:F31" si="8">C26-(C26*$E$6)</f>
        <v>34.550195385730966</v>
      </c>
      <c r="G26" s="27" t="str">
        <f t="shared" ref="G26:G31" si="9">IF(C26&gt;=F26,"-","+")</f>
        <v>+</v>
      </c>
      <c r="H26" s="26">
        <f t="shared" ref="H26:H31" si="10">C26*D26</f>
        <v>87137</v>
      </c>
      <c r="I26" s="26">
        <f t="shared" ref="I26:I31" si="11">F26*D26</f>
        <v>95272.163776153131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28.2</v>
      </c>
      <c r="D27" s="30">
        <v>2180</v>
      </c>
      <c r="E27" s="29">
        <f t="shared" si="7"/>
        <v>0.14119536775564134</v>
      </c>
      <c r="F27" s="28">
        <f t="shared" si="8"/>
        <v>30.832769299924468</v>
      </c>
      <c r="G27" s="27" t="str">
        <f t="shared" si="9"/>
        <v>+</v>
      </c>
      <c r="H27" s="26">
        <f t="shared" si="10"/>
        <v>61476</v>
      </c>
      <c r="I27" s="26">
        <f t="shared" si="11"/>
        <v>67215.437073835346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28.2</v>
      </c>
      <c r="D28" s="30">
        <v>1187.9000000000001</v>
      </c>
      <c r="E28" s="29">
        <f t="shared" si="7"/>
        <v>7.6938521723360728E-2</v>
      </c>
      <c r="F28" s="28">
        <f t="shared" si="8"/>
        <v>30.832769299924468</v>
      </c>
      <c r="G28" s="27" t="str">
        <f t="shared" si="9"/>
        <v>+</v>
      </c>
      <c r="H28" s="26">
        <f t="shared" si="10"/>
        <v>33498.78</v>
      </c>
      <c r="I28" s="26">
        <f t="shared" si="11"/>
        <v>36626.246651380279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27.2</v>
      </c>
      <c r="D29" s="30">
        <v>1285.2</v>
      </c>
      <c r="E29" s="29">
        <f t="shared" si="7"/>
        <v>8.3240498458509296E-2</v>
      </c>
      <c r="F29" s="28">
        <f t="shared" si="8"/>
        <v>29.73940868645197</v>
      </c>
      <c r="G29" s="27" t="str">
        <f t="shared" si="9"/>
        <v>+</v>
      </c>
      <c r="H29" s="26">
        <f t="shared" si="10"/>
        <v>34957.440000000002</v>
      </c>
      <c r="I29" s="26">
        <f t="shared" si="11"/>
        <v>38221.088043828073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27.2</v>
      </c>
      <c r="D30" s="30">
        <v>774</v>
      </c>
      <c r="E30" s="29">
        <f t="shared" si="7"/>
        <v>5.0130832404984588E-2</v>
      </c>
      <c r="F30" s="28">
        <f t="shared" si="8"/>
        <v>29.73940868645197</v>
      </c>
      <c r="G30" s="27" t="str">
        <f t="shared" si="9"/>
        <v>+</v>
      </c>
      <c r="H30" s="26">
        <f t="shared" si="10"/>
        <v>21052.799999999999</v>
      </c>
      <c r="I30" s="26">
        <f t="shared" si="11"/>
        <v>23018.302323313826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27.7</v>
      </c>
      <c r="D31" s="30">
        <v>250</v>
      </c>
      <c r="E31" s="29">
        <f t="shared" si="7"/>
        <v>1.6192129329775384E-2</v>
      </c>
      <c r="F31" s="28">
        <f t="shared" si="8"/>
        <v>30.286088993188219</v>
      </c>
      <c r="G31" s="27" t="str">
        <f t="shared" si="9"/>
        <v>+</v>
      </c>
      <c r="H31" s="26">
        <f t="shared" si="10"/>
        <v>6925</v>
      </c>
      <c r="I31" s="26">
        <f t="shared" si="11"/>
        <v>7571.5222482970548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29.052595262371664</v>
      </c>
      <c r="D32" s="22">
        <f>SUM(D26:D31)</f>
        <v>8434.5999999999985</v>
      </c>
      <c r="E32" s="21">
        <f t="shared" si="7"/>
        <v>0.54629653617969376</v>
      </c>
      <c r="F32" s="20">
        <f>I32/D32</f>
        <v>31.764963379034899</v>
      </c>
      <c r="G32" s="19">
        <f>F32/C32-1</f>
        <v>9.336061347249891E-2</v>
      </c>
      <c r="H32" s="18">
        <f>SUM(H26:H31)</f>
        <v>245047.02</v>
      </c>
      <c r="I32" s="18">
        <f>SUM(I26:I31)</f>
        <v>267924.76011680771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16.600000000000001</v>
      </c>
      <c r="D34" s="30">
        <f>1542.6+1075.4</f>
        <v>2618</v>
      </c>
      <c r="E34" s="29">
        <f t="shared" ref="E34:E40" si="13">D34/$D$48</f>
        <v>0.16956397834140782</v>
      </c>
      <c r="F34" s="28">
        <f t="shared" ref="F34:F39" si="14">C34-(C34*$E$6)</f>
        <v>18.149786183643485</v>
      </c>
      <c r="G34" s="27" t="str">
        <f t="shared" ref="G34:G39" si="15">IF(C34&gt;=F34,"-","+")</f>
        <v>+</v>
      </c>
      <c r="H34" s="26">
        <f t="shared" ref="H34:H39" si="16">C34*D34</f>
        <v>43458.8</v>
      </c>
      <c r="I34" s="26">
        <f t="shared" ref="I34:I39" si="17">F34*D34</f>
        <v>47516.14022877864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12.8</v>
      </c>
      <c r="D35" s="30">
        <v>202.7</v>
      </c>
      <c r="E35" s="29">
        <f t="shared" si="13"/>
        <v>1.312857846058188E-2</v>
      </c>
      <c r="F35" s="28">
        <f t="shared" si="14"/>
        <v>13.995015852447986</v>
      </c>
      <c r="G35" s="27" t="str">
        <f t="shared" si="15"/>
        <v>+</v>
      </c>
      <c r="H35" s="26">
        <f t="shared" si="16"/>
        <v>2594.56</v>
      </c>
      <c r="I35" s="26">
        <f t="shared" si="17"/>
        <v>2836.7897132912067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10.3</v>
      </c>
      <c r="D36" s="30"/>
      <c r="E36" s="29">
        <f t="shared" si="13"/>
        <v>0</v>
      </c>
      <c r="F36" s="28">
        <f t="shared" si="14"/>
        <v>11.261614318766739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27.2</v>
      </c>
      <c r="D37" s="30"/>
      <c r="E37" s="29">
        <f t="shared" si="13"/>
        <v>0</v>
      </c>
      <c r="F37" s="28">
        <f t="shared" si="14"/>
        <v>29.73940868645197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27.2</v>
      </c>
      <c r="D38" s="30"/>
      <c r="E38" s="29">
        <f t="shared" si="13"/>
        <v>0</v>
      </c>
      <c r="F38" s="28">
        <f t="shared" si="14"/>
        <v>29.73940868645197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28.2</v>
      </c>
      <c r="D39" s="30"/>
      <c r="E39" s="29">
        <f t="shared" si="13"/>
        <v>0</v>
      </c>
      <c r="F39" s="28">
        <f t="shared" si="14"/>
        <v>30.832769299924468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16.326925940369414</v>
      </c>
      <c r="D40" s="22">
        <f>SUM(D34:D39)</f>
        <v>2820.7</v>
      </c>
      <c r="E40" s="113">
        <f t="shared" si="13"/>
        <v>0.1826925568019897</v>
      </c>
      <c r="F40" s="20">
        <f>I40/D40</f>
        <v>17.851217762282356</v>
      </c>
      <c r="G40" s="19">
        <f>F40/C40-1</f>
        <v>9.336061347249891E-2</v>
      </c>
      <c r="H40" s="18">
        <f>SUM(H34:H39)</f>
        <v>46053.36</v>
      </c>
      <c r="I40" s="18">
        <f>SUM(I34:I39)</f>
        <v>50352.929942069844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1441+186+1477.6</f>
        <v>3104.6</v>
      </c>
      <c r="E42" s="107">
        <f>D42/$D$48</f>
        <v>0.20108033886888263</v>
      </c>
      <c r="F42" s="28">
        <f>C42-(C42*$E$6)</f>
        <v>0.43734424538899958</v>
      </c>
      <c r="G42" s="27" t="str">
        <f>IF(C42&gt;=F42,"-","+")</f>
        <v>+</v>
      </c>
      <c r="H42" s="26">
        <f>C42*D42</f>
        <v>1241.8400000000001</v>
      </c>
      <c r="I42" s="26">
        <f>F42*D42</f>
        <v>1357.778944234688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129.6</v>
      </c>
      <c r="E43" s="107">
        <f>D43/$D$48</f>
        <v>8.3939998445555584E-3</v>
      </c>
      <c r="F43" s="28">
        <f>C43-(C43*$E$6)</f>
        <v>0.43734424538899958</v>
      </c>
      <c r="G43" s="27" t="str">
        <f>IF(C43&gt;=F43,"-","+")</f>
        <v>+</v>
      </c>
      <c r="H43" s="26">
        <f>C43*D43</f>
        <v>51.84</v>
      </c>
      <c r="I43" s="26">
        <f>F43*D43</f>
        <v>56.679814202414342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7.8</v>
      </c>
      <c r="E45" s="107">
        <f>D45/$D$48</f>
        <v>5.05194435088992E-4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0.39903763109191859</v>
      </c>
      <c r="D46" s="22">
        <f>SUM(D41:D45)</f>
        <v>3242</v>
      </c>
      <c r="E46" s="113">
        <f>D46/$D$48</f>
        <v>0.20997953314852719</v>
      </c>
      <c r="F46" s="20">
        <f>I46/D46</f>
        <v>0.43629202912927273</v>
      </c>
      <c r="G46" s="19">
        <f>F46/C46-1</f>
        <v>9.3360613472498688E-2</v>
      </c>
      <c r="H46" s="18">
        <f>SUM(H41:H44)</f>
        <v>1293.68</v>
      </c>
      <c r="I46" s="18">
        <f>SUM(I41:I44)</f>
        <v>1414.4587584371022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88.548578997262894</v>
      </c>
      <c r="D48" s="13">
        <f>D24+D32+D40+D46</f>
        <v>15439.599999999999</v>
      </c>
      <c r="E48" s="12">
        <f>SUM(E20:E46)/2</f>
        <v>1</v>
      </c>
      <c r="F48" s="11">
        <f>I48/D48</f>
        <v>23.559999999999988</v>
      </c>
      <c r="G48" s="10"/>
      <c r="H48" s="9">
        <f>SUM(H20:H46)/2</f>
        <v>332696.25000000006</v>
      </c>
      <c r="I48" s="9">
        <f>SUM(I20:I46)/2</f>
        <v>363756.97599999979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15439.599999999999</v>
      </c>
      <c r="E50" s="12">
        <f>D50/G2</f>
        <v>0.99999999999999989</v>
      </c>
      <c r="F50" s="11">
        <f>I50/D50</f>
        <v>23.559999999999988</v>
      </c>
      <c r="G50" s="10"/>
      <c r="H50" s="9">
        <f>H48+H19</f>
        <v>332696.25000000006</v>
      </c>
      <c r="I50" s="9">
        <f>I48+I19</f>
        <v>363756.97599999979</v>
      </c>
      <c r="J50" s="106">
        <f>D50-G2</f>
        <v>0</v>
      </c>
      <c r="K50" s="8"/>
    </row>
    <row r="51" spans="1:11" ht="23.25" x14ac:dyDescent="0.35">
      <c r="A51" s="174" t="s">
        <v>355</v>
      </c>
      <c r="B51" s="169"/>
      <c r="C51" s="170"/>
      <c r="G51" s="7"/>
      <c r="H51" s="6"/>
      <c r="I51" s="6">
        <f>+I50/D50</f>
        <v>23.559999999999988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352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352</v>
      </c>
      <c r="D2" s="96" t="s">
        <v>3</v>
      </c>
      <c r="E2" s="95" t="s">
        <v>112</v>
      </c>
      <c r="F2" s="94" t="s">
        <v>5</v>
      </c>
      <c r="G2" s="93">
        <v>3183.4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187</v>
      </c>
      <c r="D3" s="90" t="s">
        <v>7</v>
      </c>
      <c r="E3" s="89">
        <v>48</v>
      </c>
      <c r="F3" s="88" t="s">
        <v>8</v>
      </c>
      <c r="G3" s="87">
        <v>22.48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66.32083333333334</v>
      </c>
      <c r="F4" s="81" t="s">
        <v>12</v>
      </c>
      <c r="G4" s="80">
        <f>G2*G3</f>
        <v>71562.832000000009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-7.073550004555984E-2</v>
      </c>
      <c r="F6" s="69" t="s">
        <v>16</v>
      </c>
      <c r="G6" s="68">
        <f>(I50-I19)/(D50-(SUM(D42:D44)+D19))</f>
        <v>28.412606503354905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22.5</v>
      </c>
      <c r="D10" s="30"/>
      <c r="E10" s="29" t="e">
        <f t="shared" ref="E10:E19" si="1">D10/$D$19</f>
        <v>#DIV/0!</v>
      </c>
      <c r="F10" s="28">
        <f t="shared" ref="F10:F18" si="2">C10-(C10*$E$6)</f>
        <v>24.091548751025098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23.4</v>
      </c>
      <c r="D11" s="30"/>
      <c r="E11" s="29" t="e">
        <f t="shared" si="1"/>
        <v>#DIV/0!</v>
      </c>
      <c r="F11" s="28">
        <f t="shared" si="2"/>
        <v>25.055210701066098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21.4</v>
      </c>
      <c r="D12" s="30"/>
      <c r="E12" s="29" t="e">
        <f t="shared" si="1"/>
        <v>#DIV/0!</v>
      </c>
      <c r="F12" s="28">
        <f t="shared" si="2"/>
        <v>22.913739700974979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23.4</v>
      </c>
      <c r="D13" s="30"/>
      <c r="E13" s="29" t="e">
        <f t="shared" si="1"/>
        <v>#DIV/0!</v>
      </c>
      <c r="F13" s="28">
        <f t="shared" si="2"/>
        <v>25.055210701066098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26.2</v>
      </c>
      <c r="D14" s="30"/>
      <c r="E14" s="29" t="e">
        <f t="shared" si="1"/>
        <v>#DIV/0!</v>
      </c>
      <c r="F14" s="28">
        <f t="shared" si="2"/>
        <v>28.053270101193668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21.6</v>
      </c>
      <c r="D15" s="30"/>
      <c r="E15" s="29" t="e">
        <f t="shared" si="1"/>
        <v>#DIV/0!</v>
      </c>
      <c r="F15" s="28">
        <f t="shared" si="2"/>
        <v>23.127886800984093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29.5</v>
      </c>
      <c r="D16" s="30"/>
      <c r="E16" s="29" t="e">
        <f t="shared" si="1"/>
        <v>#DIV/0!</v>
      </c>
      <c r="F16" s="28">
        <f t="shared" si="2"/>
        <v>31.586697251344017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43.5</v>
      </c>
      <c r="D17" s="30"/>
      <c r="E17" s="29" t="e">
        <f t="shared" si="1"/>
        <v>#DIV/0!</v>
      </c>
      <c r="F17" s="28">
        <f t="shared" si="2"/>
        <v>46.576994251981851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38.1</v>
      </c>
      <c r="D18" s="30"/>
      <c r="E18" s="29" t="e">
        <f t="shared" si="1"/>
        <v>#DIV/0!</v>
      </c>
      <c r="F18" s="28">
        <f t="shared" si="2"/>
        <v>40.795022551735833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56.5</v>
      </c>
      <c r="D21" s="30">
        <v>46.3</v>
      </c>
      <c r="E21" s="29">
        <f>D21/$D$48</f>
        <v>1.4544198027266444E-2</v>
      </c>
      <c r="F21" s="28">
        <f>C21-(C21*$E$6)</f>
        <v>60.496555752574132</v>
      </c>
      <c r="G21" s="27" t="str">
        <f>IF(C21&gt;=F21,"-","+")</f>
        <v>+</v>
      </c>
      <c r="H21" s="26">
        <f>C21*D21</f>
        <v>2615.9499999999998</v>
      </c>
      <c r="I21" s="26">
        <f>F21*D21</f>
        <v>2800.9905313441823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</v>
      </c>
      <c r="D22" s="30">
        <v>82.8</v>
      </c>
      <c r="E22" s="29">
        <f>D22/$D$48</f>
        <v>2.6009926493685994E-2</v>
      </c>
      <c r="F22" s="28">
        <f>C22-(C22*$E$6)</f>
        <v>40.687949001731276</v>
      </c>
      <c r="G22" s="27" t="str">
        <f>IF(C22&gt;=F22,"-","+")</f>
        <v>+</v>
      </c>
      <c r="H22" s="26">
        <f>C22*D22</f>
        <v>3146.4</v>
      </c>
      <c r="I22" s="26">
        <f>F22*D22</f>
        <v>3368.9621773433496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34.6</v>
      </c>
      <c r="D23" s="30">
        <v>68</v>
      </c>
      <c r="E23" s="29">
        <f>D23/$D$48</f>
        <v>2.1360809197713135E-2</v>
      </c>
      <c r="F23" s="28">
        <f>C23-(C23*$E$6)</f>
        <v>37.047448301576374</v>
      </c>
      <c r="G23" s="27" t="str">
        <f>IF(C23&gt;=F23,"-","+")</f>
        <v>+</v>
      </c>
      <c r="H23" s="26">
        <f>C23*D23</f>
        <v>2352.8000000000002</v>
      </c>
      <c r="I23" s="26">
        <f>F23*D23</f>
        <v>2519.2264845071936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41.172754946727551</v>
      </c>
      <c r="D24" s="22">
        <f>SUM(D21:D23)</f>
        <v>197.1</v>
      </c>
      <c r="E24" s="21">
        <f>D24/$D$48</f>
        <v>6.1914933718665577E-2</v>
      </c>
      <c r="F24" s="20">
        <f>I24/D24</f>
        <v>44.085130356137618</v>
      </c>
      <c r="G24" s="19">
        <f>F24/C24-1</f>
        <v>7.073550004555984E-2</v>
      </c>
      <c r="H24" s="18">
        <f>SUM(H21:H23)</f>
        <v>8115.1500000000005</v>
      </c>
      <c r="I24" s="18">
        <f>SUM(I21:I23)</f>
        <v>8689.1791931947246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30.2</v>
      </c>
      <c r="D26" s="30">
        <v>582.79999999999995</v>
      </c>
      <c r="E26" s="29">
        <f t="shared" ref="E26:E32" si="7">D26/$D$48</f>
        <v>0.18307470000628256</v>
      </c>
      <c r="F26" s="28">
        <f t="shared" ref="F26:F31" si="8">C26-(C26*$E$6)</f>
        <v>32.336212101375907</v>
      </c>
      <c r="G26" s="27" t="str">
        <f t="shared" ref="G26:G31" si="9">IF(C26&gt;=F26,"-","+")</f>
        <v>+</v>
      </c>
      <c r="H26" s="26">
        <f t="shared" ref="H26:H31" si="10">C26*D26</f>
        <v>17600.559999999998</v>
      </c>
      <c r="I26" s="26">
        <f t="shared" ref="I26:I31" si="11">F26*D26</f>
        <v>18845.544412681877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26.9</v>
      </c>
      <c r="D27" s="30">
        <v>467</v>
      </c>
      <c r="E27" s="29">
        <f t="shared" si="7"/>
        <v>0.14669849846076521</v>
      </c>
      <c r="F27" s="28">
        <f t="shared" si="8"/>
        <v>28.802784951225558</v>
      </c>
      <c r="G27" s="27" t="str">
        <f t="shared" si="9"/>
        <v>+</v>
      </c>
      <c r="H27" s="26">
        <f t="shared" si="10"/>
        <v>12562.3</v>
      </c>
      <c r="I27" s="26">
        <f t="shared" si="11"/>
        <v>13450.900572222336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26.9</v>
      </c>
      <c r="D28" s="30">
        <v>302.60000000000002</v>
      </c>
      <c r="E28" s="29">
        <f t="shared" si="7"/>
        <v>9.5055600929823458E-2</v>
      </c>
      <c r="F28" s="28">
        <f t="shared" si="8"/>
        <v>28.802784951225558</v>
      </c>
      <c r="G28" s="27" t="str">
        <f t="shared" si="9"/>
        <v>+</v>
      </c>
      <c r="H28" s="26">
        <f t="shared" si="10"/>
        <v>8139.9400000000005</v>
      </c>
      <c r="I28" s="26">
        <f t="shared" si="11"/>
        <v>8715.7227262408542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</v>
      </c>
      <c r="D29" s="30">
        <v>259</v>
      </c>
      <c r="E29" s="29">
        <f t="shared" si="7"/>
        <v>8.1359552679525035E-2</v>
      </c>
      <c r="F29" s="28">
        <f t="shared" si="8"/>
        <v>27.839123001184557</v>
      </c>
      <c r="G29" s="27" t="str">
        <f t="shared" si="9"/>
        <v>+</v>
      </c>
      <c r="H29" s="26">
        <f t="shared" si="10"/>
        <v>6734</v>
      </c>
      <c r="I29" s="26">
        <f t="shared" si="11"/>
        <v>7210.3328573068002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</v>
      </c>
      <c r="D30" s="30">
        <v>166.8</v>
      </c>
      <c r="E30" s="29">
        <f t="shared" si="7"/>
        <v>5.2396808443802227E-2</v>
      </c>
      <c r="F30" s="28">
        <f t="shared" si="8"/>
        <v>27.839123001184557</v>
      </c>
      <c r="G30" s="27" t="str">
        <f t="shared" si="9"/>
        <v>+</v>
      </c>
      <c r="H30" s="26">
        <f t="shared" si="10"/>
        <v>4336.8</v>
      </c>
      <c r="I30" s="26">
        <f t="shared" si="11"/>
        <v>4643.5657165975845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26.4</v>
      </c>
      <c r="D31" s="30">
        <v>46.8</v>
      </c>
      <c r="E31" s="29">
        <f t="shared" si="7"/>
        <v>1.470126280077904E-2</v>
      </c>
      <c r="F31" s="28">
        <f t="shared" si="8"/>
        <v>28.267417201202779</v>
      </c>
      <c r="G31" s="27" t="str">
        <f t="shared" si="9"/>
        <v>+</v>
      </c>
      <c r="H31" s="26">
        <f t="shared" si="10"/>
        <v>1235.5199999999998</v>
      </c>
      <c r="I31" s="26">
        <f t="shared" si="11"/>
        <v>1322.9151250162899</v>
      </c>
      <c r="J31" s="25"/>
      <c r="K31" s="25"/>
    </row>
    <row r="32" spans="1:11" x14ac:dyDescent="0.25">
      <c r="A32" s="24" t="s">
        <v>34</v>
      </c>
      <c r="B32" s="23"/>
      <c r="C32" s="20">
        <f>H32/D32</f>
        <v>27.731024657534245</v>
      </c>
      <c r="D32" s="22">
        <f>SUM(D26:D31)</f>
        <v>1825</v>
      </c>
      <c r="E32" s="21">
        <f t="shared" si="7"/>
        <v>0.57328642332097757</v>
      </c>
      <c r="F32" s="20">
        <f>I32/D32</f>
        <v>29.692592553460681</v>
      </c>
      <c r="G32" s="19">
        <f>F32/C32-1</f>
        <v>7.073550004555984E-2</v>
      </c>
      <c r="H32" s="18">
        <f>SUM(H26:H31)</f>
        <v>50609.119999999995</v>
      </c>
      <c r="I32" s="18">
        <f>SUM(I26:I31)</f>
        <v>54188.981410065746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15.9</v>
      </c>
      <c r="D34" s="30">
        <v>493.4</v>
      </c>
      <c r="E34" s="29">
        <f t="shared" ref="E34:E40" si="13">D34/$D$48</f>
        <v>0.15499151850223031</v>
      </c>
      <c r="F34" s="28">
        <f t="shared" ref="F34:F39" si="14">C34-(C34*$E$6)</f>
        <v>17.0246944507244</v>
      </c>
      <c r="G34" s="27" t="str">
        <f t="shared" ref="G34:G39" si="15">IF(C34&gt;=F34,"-","+")</f>
        <v>+</v>
      </c>
      <c r="H34" s="26">
        <f t="shared" ref="H34:H39" si="16">C34*D34</f>
        <v>7845.0599999999995</v>
      </c>
      <c r="I34" s="26">
        <f t="shared" ref="I34:I39" si="17">F34*D34</f>
        <v>8399.9842419874185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12.2</v>
      </c>
      <c r="D35" s="30"/>
      <c r="E35" s="29">
        <f t="shared" si="13"/>
        <v>0</v>
      </c>
      <c r="F35" s="28">
        <f t="shared" si="14"/>
        <v>13.06297310055583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9.8000000000000007</v>
      </c>
      <c r="D36" s="30"/>
      <c r="E36" s="29">
        <f t="shared" si="13"/>
        <v>0</v>
      </c>
      <c r="F36" s="28">
        <f t="shared" si="14"/>
        <v>10.493207900446487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</v>
      </c>
      <c r="D37" s="30"/>
      <c r="E37" s="29">
        <f t="shared" si="13"/>
        <v>0</v>
      </c>
      <c r="F37" s="28">
        <f t="shared" si="14"/>
        <v>27.839123001184557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</v>
      </c>
      <c r="D38" s="30"/>
      <c r="E38" s="29">
        <f t="shared" si="13"/>
        <v>0</v>
      </c>
      <c r="F38" s="28">
        <f t="shared" si="14"/>
        <v>27.839123001184557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26.9</v>
      </c>
      <c r="D39" s="30"/>
      <c r="E39" s="29">
        <f t="shared" si="13"/>
        <v>0</v>
      </c>
      <c r="F39" s="28">
        <f t="shared" si="14"/>
        <v>28.802784951225558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15.9</v>
      </c>
      <c r="D40" s="22">
        <f>SUM(D34:D39)</f>
        <v>493.4</v>
      </c>
      <c r="E40" s="113">
        <f t="shared" si="13"/>
        <v>0.15499151850223031</v>
      </c>
      <c r="F40" s="20">
        <f>I40/D40</f>
        <v>17.0246944507244</v>
      </c>
      <c r="G40" s="19">
        <f>F40/C40-1</f>
        <v>7.073550004555984E-2</v>
      </c>
      <c r="H40" s="18">
        <f>SUM(H34:H39)</f>
        <v>7845.0599999999995</v>
      </c>
      <c r="I40" s="18">
        <f>SUM(I34:I39)</f>
        <v>8399.9842419874185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644</v>
      </c>
      <c r="E42" s="107">
        <f>D42/$D$48</f>
        <v>0.2022994282842244</v>
      </c>
      <c r="F42" s="28">
        <f>C42-(C42*$E$6)</f>
        <v>0.42829420001822394</v>
      </c>
      <c r="G42" s="27" t="str">
        <f>IF(C42&gt;=F42,"-","+")</f>
        <v>+</v>
      </c>
      <c r="H42" s="26">
        <f>C42*D42</f>
        <v>257.60000000000002</v>
      </c>
      <c r="I42" s="26">
        <f>F42*D42</f>
        <v>275.82146481173623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20.7</v>
      </c>
      <c r="E43" s="107">
        <f>D43/$D$48</f>
        <v>6.5024816234214985E-3</v>
      </c>
      <c r="F43" s="28">
        <f>C43-(C43*$E$6)</f>
        <v>0.42829420001822394</v>
      </c>
      <c r="G43" s="27" t="str">
        <f>IF(C43&gt;=F43,"-","+")</f>
        <v>+</v>
      </c>
      <c r="H43" s="26">
        <f>C43*D43</f>
        <v>8.2799999999999994</v>
      </c>
      <c r="I43" s="26">
        <f>F43*D43</f>
        <v>8.8656899403772353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3.2</v>
      </c>
      <c r="E45" s="107">
        <f>D45/$D$48</f>
        <v>1.0052145504806183E-3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0.39808354544093422</v>
      </c>
      <c r="D46" s="22">
        <f>SUM(D41:D45)</f>
        <v>667.90000000000009</v>
      </c>
      <c r="E46" s="113">
        <f>D46/$D$48</f>
        <v>0.20980712445812655</v>
      </c>
      <c r="F46" s="20">
        <f>I46/D46</f>
        <v>0.42624218408760811</v>
      </c>
      <c r="G46" s="19">
        <f>F46/C46-1</f>
        <v>7.0735500045560062E-2</v>
      </c>
      <c r="H46" s="18">
        <f>SUM(H41:H44)</f>
        <v>265.88</v>
      </c>
      <c r="I46" s="18">
        <f>SUM(I41:I44)</f>
        <v>284.68715475211349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85.201863149702746</v>
      </c>
      <c r="D48" s="13">
        <f>D24+D32+D40+D46</f>
        <v>3183.4</v>
      </c>
      <c r="E48" s="12">
        <f>SUM(E20:E46)/2</f>
        <v>1</v>
      </c>
      <c r="F48" s="11">
        <f>I48/D48</f>
        <v>22.479999999999997</v>
      </c>
      <c r="G48" s="10"/>
      <c r="H48" s="9">
        <f>SUM(H20:H46)/2</f>
        <v>66835.210000000006</v>
      </c>
      <c r="I48" s="9">
        <f>SUM(I20:I46)/2</f>
        <v>71562.831999999995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3183.3999999999996</v>
      </c>
      <c r="E50" s="12">
        <f>D50/G2</f>
        <v>0.99999999999999989</v>
      </c>
      <c r="F50" s="11">
        <f>I50/D50</f>
        <v>22.48</v>
      </c>
      <c r="G50" s="10"/>
      <c r="H50" s="9">
        <f>H48+H19</f>
        <v>66835.210000000006</v>
      </c>
      <c r="I50" s="9">
        <f>I48+I19</f>
        <v>71562.831999999995</v>
      </c>
      <c r="J50" s="106">
        <f>D50-G2</f>
        <v>0</v>
      </c>
      <c r="K50" s="8"/>
    </row>
    <row r="51" spans="1:11" ht="23.25" x14ac:dyDescent="0.35">
      <c r="A51" s="174" t="s">
        <v>356</v>
      </c>
      <c r="B51" s="169"/>
      <c r="C51" s="170"/>
      <c r="G51" s="7"/>
      <c r="H51" s="6"/>
      <c r="I51" s="6">
        <f>+I50/D50</f>
        <v>22.48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tabColor rgb="FF92D050"/>
  </sheetPr>
  <dimension ref="A1:L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352</v>
      </c>
      <c r="D1" s="100" t="s">
        <v>1</v>
      </c>
      <c r="E1" s="168" t="s">
        <v>338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357</v>
      </c>
      <c r="D2" s="96" t="s">
        <v>3</v>
      </c>
      <c r="E2" s="95" t="s">
        <v>112</v>
      </c>
      <c r="F2" s="94" t="s">
        <v>5</v>
      </c>
      <c r="G2" s="93">
        <v>6628.7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168</v>
      </c>
      <c r="D3" s="90" t="s">
        <v>7</v>
      </c>
      <c r="E3" s="89">
        <v>96</v>
      </c>
      <c r="F3" s="88" t="s">
        <v>8</v>
      </c>
      <c r="G3" s="87">
        <v>23.05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69.048958333333331</v>
      </c>
      <c r="F4" s="81" t="s">
        <v>12</v>
      </c>
      <c r="G4" s="80">
        <f>G2*G3</f>
        <v>152791.535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-7.4003994138481133E-2</v>
      </c>
      <c r="F6" s="69" t="s">
        <v>16</v>
      </c>
      <c r="G6" s="68">
        <f>(I50-I19)/(D50-(SUM(D42:D44)+D19))</f>
        <v>28.757511622216793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23.1</v>
      </c>
      <c r="D10" s="30"/>
      <c r="E10" s="29" t="e">
        <f t="shared" ref="E10:E19" si="1">D10/$D$19</f>
        <v>#DIV/0!</v>
      </c>
      <c r="F10" s="28">
        <f t="shared" ref="F10:F18" si="2">C10-(C10*$E$6)</f>
        <v>24.809492264598916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24</v>
      </c>
      <c r="D11" s="30"/>
      <c r="E11" s="29" t="e">
        <f t="shared" si="1"/>
        <v>#DIV/0!</v>
      </c>
      <c r="F11" s="28">
        <f t="shared" si="2"/>
        <v>25.776095859323547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21.9</v>
      </c>
      <c r="D12" s="30"/>
      <c r="E12" s="29" t="e">
        <f t="shared" si="1"/>
        <v>#DIV/0!</v>
      </c>
      <c r="F12" s="28">
        <f t="shared" si="2"/>
        <v>23.520687471632733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24</v>
      </c>
      <c r="D13" s="30"/>
      <c r="E13" s="29" t="e">
        <f t="shared" si="1"/>
        <v>#DIV/0!</v>
      </c>
      <c r="F13" s="28">
        <f t="shared" si="2"/>
        <v>25.776095859323547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26.8</v>
      </c>
      <c r="D14" s="30"/>
      <c r="E14" s="29" t="e">
        <f t="shared" si="1"/>
        <v>#DIV/0!</v>
      </c>
      <c r="F14" s="28">
        <f t="shared" si="2"/>
        <v>28.783307042911296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22.1</v>
      </c>
      <c r="D15" s="30"/>
      <c r="E15" s="29" t="e">
        <f t="shared" si="1"/>
        <v>#DIV/0!</v>
      </c>
      <c r="F15" s="28">
        <f t="shared" si="2"/>
        <v>23.735488270460436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30.3</v>
      </c>
      <c r="D16" s="30"/>
      <c r="E16" s="29" t="e">
        <f t="shared" si="1"/>
        <v>#DIV/0!</v>
      </c>
      <c r="F16" s="28">
        <f t="shared" si="2"/>
        <v>32.542321022395981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44.6</v>
      </c>
      <c r="D17" s="30"/>
      <c r="E17" s="29" t="e">
        <f t="shared" si="1"/>
        <v>#DIV/0!</v>
      </c>
      <c r="F17" s="28">
        <f t="shared" si="2"/>
        <v>47.900578138576257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39.1</v>
      </c>
      <c r="D18" s="30"/>
      <c r="E18" s="29" t="e">
        <f t="shared" si="1"/>
        <v>#DIV/0!</v>
      </c>
      <c r="F18" s="28">
        <f t="shared" si="2"/>
        <v>41.993556170814614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58</v>
      </c>
      <c r="D21" s="30">
        <v>89.9</v>
      </c>
      <c r="E21" s="29">
        <f>D21/$D$48</f>
        <v>1.3562236939369712E-2</v>
      </c>
      <c r="F21" s="28">
        <f>C21-(C21*$E$6)</f>
        <v>62.292231660031902</v>
      </c>
      <c r="G21" s="27" t="str">
        <f>IF(C21&gt;=F21,"-","+")</f>
        <v>+</v>
      </c>
      <c r="H21" s="26">
        <f>C21*D21</f>
        <v>5214.2000000000007</v>
      </c>
      <c r="I21" s="26">
        <f>F21*D21</f>
        <v>5600.0716262368687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38.9</v>
      </c>
      <c r="D22" s="30">
        <v>172</v>
      </c>
      <c r="E22" s="29">
        <f>D22/$D$48</f>
        <v>2.5947772564756288E-2</v>
      </c>
      <c r="F22" s="28">
        <f>C22-(C22*$E$6)</f>
        <v>41.778755371986918</v>
      </c>
      <c r="G22" s="27" t="str">
        <f>IF(C22&gt;=F22,"-","+")</f>
        <v>+</v>
      </c>
      <c r="H22" s="26">
        <f>C22*D22</f>
        <v>6690.8</v>
      </c>
      <c r="I22" s="26">
        <f>F22*D22</f>
        <v>7185.9459239817497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35.5</v>
      </c>
      <c r="D23" s="30">
        <v>164.1</v>
      </c>
      <c r="E23" s="29">
        <f>D23/$D$48</f>
        <v>2.4755985336491319E-2</v>
      </c>
      <c r="F23" s="28">
        <f>C23-(C23*$E$6)</f>
        <v>38.127141791916081</v>
      </c>
      <c r="G23" s="27" t="str">
        <f>IF(C23&gt;=F23,"-","+")</f>
        <v>+</v>
      </c>
      <c r="H23" s="26">
        <f>C23*D23</f>
        <v>5825.55</v>
      </c>
      <c r="I23" s="26">
        <f>F23*D23</f>
        <v>6256.663968053429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41.621009389671357</v>
      </c>
      <c r="D24" s="22">
        <f>SUM(D21:D23)</f>
        <v>426</v>
      </c>
      <c r="E24" s="21">
        <f>D24/$D$48</f>
        <v>6.4265994840617319E-2</v>
      </c>
      <c r="F24" s="20">
        <f>I24/D24</f>
        <v>44.701130324582266</v>
      </c>
      <c r="G24" s="19">
        <f>F24/C24-1</f>
        <v>7.4003994138481133E-2</v>
      </c>
      <c r="H24" s="18">
        <f>SUM(H21:H23)</f>
        <v>17730.55</v>
      </c>
      <c r="I24" s="18">
        <f>SUM(I21:I23)</f>
        <v>19042.681518272046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30.9</v>
      </c>
      <c r="D26" s="30">
        <v>1250.8</v>
      </c>
      <c r="E26" s="29">
        <f t="shared" ref="E26:E32" si="7">D26/$D$48</f>
        <v>0.18869461583719283</v>
      </c>
      <c r="F26" s="28">
        <f t="shared" ref="F26:F31" si="8">C26-(C26*$E$6)</f>
        <v>33.186723418879069</v>
      </c>
      <c r="G26" s="27" t="str">
        <f t="shared" ref="G26:G31" si="9">IF(C26&gt;=F26,"-","+")</f>
        <v>+</v>
      </c>
      <c r="H26" s="26">
        <f t="shared" ref="H26:H31" si="10">C26*D26</f>
        <v>38649.719999999994</v>
      </c>
      <c r="I26" s="26">
        <f t="shared" ref="I26:I31" si="11">F26*D26</f>
        <v>41509.953652333941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27.5</v>
      </c>
      <c r="D27" s="30">
        <v>947</v>
      </c>
      <c r="E27" s="29">
        <f t="shared" si="7"/>
        <v>0.14286360824897792</v>
      </c>
      <c r="F27" s="28">
        <f t="shared" si="8"/>
        <v>29.535109838808232</v>
      </c>
      <c r="G27" s="27" t="str">
        <f t="shared" si="9"/>
        <v>+</v>
      </c>
      <c r="H27" s="26">
        <f t="shared" si="10"/>
        <v>26042.5</v>
      </c>
      <c r="I27" s="26">
        <f t="shared" si="11"/>
        <v>27969.749017351394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27.5</v>
      </c>
      <c r="D28" s="30">
        <v>495</v>
      </c>
      <c r="E28" s="29">
        <f t="shared" si="7"/>
        <v>7.4675275695083504E-2</v>
      </c>
      <c r="F28" s="28">
        <f t="shared" si="8"/>
        <v>29.535109838808232</v>
      </c>
      <c r="G28" s="27" t="str">
        <f t="shared" si="9"/>
        <v>+</v>
      </c>
      <c r="H28" s="26">
        <f t="shared" si="10"/>
        <v>13612.5</v>
      </c>
      <c r="I28" s="26">
        <f t="shared" si="11"/>
        <v>14619.879370210076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26.6</v>
      </c>
      <c r="D29" s="30">
        <v>466</v>
      </c>
      <c r="E29" s="29">
        <f t="shared" si="7"/>
        <v>7.0300360553351343E-2</v>
      </c>
      <c r="F29" s="28">
        <f t="shared" si="8"/>
        <v>28.568506244083601</v>
      </c>
      <c r="G29" s="27" t="str">
        <f t="shared" si="9"/>
        <v>+</v>
      </c>
      <c r="H29" s="26">
        <f t="shared" si="10"/>
        <v>12395.6</v>
      </c>
      <c r="I29" s="26">
        <f t="shared" si="11"/>
        <v>13312.923909742958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26.6</v>
      </c>
      <c r="D30" s="30">
        <v>432.8</v>
      </c>
      <c r="E30" s="29">
        <f t="shared" si="7"/>
        <v>6.5291837011782108E-2</v>
      </c>
      <c r="F30" s="28">
        <f t="shared" si="8"/>
        <v>28.568506244083601</v>
      </c>
      <c r="G30" s="27" t="str">
        <f t="shared" si="9"/>
        <v>+</v>
      </c>
      <c r="H30" s="26">
        <f t="shared" si="10"/>
        <v>11512.480000000001</v>
      </c>
      <c r="I30" s="26">
        <f t="shared" si="11"/>
        <v>12364.449502439382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27.1</v>
      </c>
      <c r="D31" s="30">
        <v>103.4</v>
      </c>
      <c r="E31" s="29">
        <f t="shared" si="7"/>
        <v>1.5598835367417444E-2</v>
      </c>
      <c r="F31" s="28">
        <f t="shared" si="8"/>
        <v>29.10550824115284</v>
      </c>
      <c r="G31" s="27" t="str">
        <f t="shared" si="9"/>
        <v>+</v>
      </c>
      <c r="H31" s="26">
        <f t="shared" si="10"/>
        <v>2802.1400000000003</v>
      </c>
      <c r="I31" s="26">
        <f t="shared" si="11"/>
        <v>3009.5095521352036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28.420822733423542</v>
      </c>
      <c r="D32" s="22">
        <f>SUM(D26:D31)</f>
        <v>3695.0000000000005</v>
      </c>
      <c r="E32" s="21">
        <f t="shared" si="7"/>
        <v>0.55742453271380521</v>
      </c>
      <c r="F32" s="20">
        <f>I32/D32</f>
        <v>30.524077132398631</v>
      </c>
      <c r="G32" s="19">
        <f>F32/C32-1</f>
        <v>7.4003994138481133E-2</v>
      </c>
      <c r="H32" s="18">
        <f>SUM(H26:H31)</f>
        <v>105014.94</v>
      </c>
      <c r="I32" s="18">
        <f>SUM(I26:I31)</f>
        <v>112786.46500421295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16.3</v>
      </c>
      <c r="D34" s="30">
        <f>637+462.8</f>
        <v>1099.8</v>
      </c>
      <c r="E34" s="29">
        <f t="shared" ref="E34:E40" si="13">D34/$D$48</f>
        <v>0.16591488527162188</v>
      </c>
      <c r="F34" s="28">
        <f t="shared" ref="F34:F39" si="14">C34-(C34*$E$6)</f>
        <v>17.506265104457242</v>
      </c>
      <c r="G34" s="27" t="str">
        <f t="shared" ref="G34:G39" si="15">IF(C34&gt;=F34,"-","+")</f>
        <v>+</v>
      </c>
      <c r="H34" s="26">
        <f t="shared" ref="H34:H39" si="16">C34*D34</f>
        <v>17926.740000000002</v>
      </c>
      <c r="I34" s="26">
        <f t="shared" ref="I34:I39" si="17">F34*D34</f>
        <v>19253.390361882073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12.5</v>
      </c>
      <c r="D35" s="30">
        <v>85.2</v>
      </c>
      <c r="E35" s="29">
        <f t="shared" si="13"/>
        <v>1.2853198968123463E-2</v>
      </c>
      <c r="F35" s="28">
        <f t="shared" si="14"/>
        <v>13.425049926731013</v>
      </c>
      <c r="G35" s="27" t="str">
        <f t="shared" si="15"/>
        <v>+</v>
      </c>
      <c r="H35" s="26">
        <f t="shared" si="16"/>
        <v>1065</v>
      </c>
      <c r="I35" s="26">
        <f t="shared" si="17"/>
        <v>1143.8142537574824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10.1</v>
      </c>
      <c r="D36" s="30"/>
      <c r="E36" s="29">
        <f t="shared" si="13"/>
        <v>0</v>
      </c>
      <c r="F36" s="28">
        <f t="shared" si="14"/>
        <v>10.847440340798659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26.6</v>
      </c>
      <c r="D37" s="30"/>
      <c r="E37" s="29">
        <f t="shared" si="13"/>
        <v>0</v>
      </c>
      <c r="F37" s="28">
        <f t="shared" si="14"/>
        <v>28.568506244083601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26.6</v>
      </c>
      <c r="D38" s="30"/>
      <c r="E38" s="29">
        <f t="shared" si="13"/>
        <v>0</v>
      </c>
      <c r="F38" s="28">
        <f t="shared" si="14"/>
        <v>28.568506244083601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27.5</v>
      </c>
      <c r="D39" s="30"/>
      <c r="E39" s="29">
        <f t="shared" si="13"/>
        <v>0</v>
      </c>
      <c r="F39" s="28">
        <f t="shared" si="14"/>
        <v>29.535109838808232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16.026784810126582</v>
      </c>
      <c r="D40" s="22">
        <f>SUM(D34:D39)</f>
        <v>1185</v>
      </c>
      <c r="E40" s="113">
        <f t="shared" si="13"/>
        <v>0.17876808423974536</v>
      </c>
      <c r="F40" s="20">
        <f>I40/D40</f>
        <v>17.212830899273886</v>
      </c>
      <c r="G40" s="19">
        <f>F40/C40-1</f>
        <v>7.4003994138480911E-2</v>
      </c>
      <c r="H40" s="18">
        <f>SUM(H34:H39)</f>
        <v>18991.740000000002</v>
      </c>
      <c r="I40" s="18">
        <f>SUM(I34:I39)</f>
        <v>20397.204615639555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81.5+674.3+512</f>
        <v>1267.8</v>
      </c>
      <c r="E42" s="107">
        <f>D42/$D$48</f>
        <v>0.19125922126510478</v>
      </c>
      <c r="F42" s="28">
        <f>C42-(C42*$E$6)</f>
        <v>0.42960159765539246</v>
      </c>
      <c r="G42" s="27" t="str">
        <f>IF(C42&gt;=F42,"-","+")</f>
        <v>+</v>
      </c>
      <c r="H42" s="26">
        <f>C42*D42</f>
        <v>507.12</v>
      </c>
      <c r="I42" s="26">
        <f>F42*D42</f>
        <v>544.64890550750658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47.8</v>
      </c>
      <c r="E43" s="107">
        <f>D43/$D$48</f>
        <v>7.2110670267171544E-3</v>
      </c>
      <c r="F43" s="28">
        <f>C43-(C43*$E$6)</f>
        <v>0.42960159765539246</v>
      </c>
      <c r="G43" s="27" t="str">
        <f>IF(C43&gt;=F43,"-","+")</f>
        <v>+</v>
      </c>
      <c r="H43" s="26">
        <f>C43*D43</f>
        <v>19.12</v>
      </c>
      <c r="I43" s="26">
        <f>F43*D43</f>
        <v>20.534956367927759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7.1</v>
      </c>
      <c r="E45" s="107">
        <f>D45/$D$48</f>
        <v>1.0710999140102885E-3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0.39785287669161568</v>
      </c>
      <c r="D46" s="22">
        <f>SUM(D41:D45)</f>
        <v>1322.6999999999998</v>
      </c>
      <c r="E46" s="113">
        <f>D46/$D$48</f>
        <v>0.1995413882058322</v>
      </c>
      <c r="F46" s="20">
        <f>I46/D46</f>
        <v>0.42729557864627987</v>
      </c>
      <c r="G46" s="19">
        <f>F46/C46-1</f>
        <v>7.4003994138481133E-2</v>
      </c>
      <c r="H46" s="18">
        <f>SUM(H41:H44)</f>
        <v>526.24</v>
      </c>
      <c r="I46" s="18">
        <f>SUM(I41:I44)</f>
        <v>565.18386187543433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86.466469809913107</v>
      </c>
      <c r="D48" s="13">
        <f>D24+D32+D40+D46</f>
        <v>6628.7</v>
      </c>
      <c r="E48" s="12">
        <f>SUM(E20:E46)/2</f>
        <v>1</v>
      </c>
      <c r="F48" s="11">
        <f>I48/D48</f>
        <v>23.05</v>
      </c>
      <c r="G48" s="10"/>
      <c r="H48" s="9">
        <f>SUM(H20:H46)/2</f>
        <v>142263.47</v>
      </c>
      <c r="I48" s="9">
        <f>SUM(I20:I46)/2</f>
        <v>152791.535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6628.6999999999989</v>
      </c>
      <c r="E50" s="12">
        <f>D50/G2</f>
        <v>0.99999999999999989</v>
      </c>
      <c r="F50" s="11">
        <f>I50/D50</f>
        <v>23.050000000000004</v>
      </c>
      <c r="G50" s="10"/>
      <c r="H50" s="9">
        <f>H48+H19</f>
        <v>142263.47</v>
      </c>
      <c r="I50" s="9">
        <f>I48+I19</f>
        <v>152791.535</v>
      </c>
      <c r="J50" s="106">
        <f>D50-G2</f>
        <v>0</v>
      </c>
      <c r="K50" s="8"/>
    </row>
    <row r="51" spans="1:11" ht="23.25" x14ac:dyDescent="0.35">
      <c r="A51" s="174" t="s">
        <v>358</v>
      </c>
      <c r="B51" s="169"/>
      <c r="C51" s="170"/>
      <c r="G51" s="7"/>
      <c r="H51" s="6"/>
      <c r="I51" s="6">
        <f>+I50/D50</f>
        <v>23.050000000000004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357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357</v>
      </c>
      <c r="D2" s="96" t="s">
        <v>3</v>
      </c>
      <c r="E2" s="95" t="s">
        <v>112</v>
      </c>
      <c r="F2" s="94" t="s">
        <v>5</v>
      </c>
      <c r="G2" s="93">
        <v>12064.2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168</v>
      </c>
      <c r="D3" s="90" t="s">
        <v>7</v>
      </c>
      <c r="E3" s="89">
        <v>180</v>
      </c>
      <c r="F3" s="88" t="s">
        <v>8</v>
      </c>
      <c r="G3" s="87">
        <v>22.91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67.023333333333341</v>
      </c>
      <c r="F4" s="81" t="s">
        <v>12</v>
      </c>
      <c r="G4" s="80">
        <f>G2*G3</f>
        <v>276390.82200000004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-8.4664365485006554E-2</v>
      </c>
      <c r="F6" s="69" t="s">
        <v>16</v>
      </c>
      <c r="G6" s="68">
        <f>(I50-I19)/(D50-(SUM(D42:D44)+D19))</f>
        <v>28.92660540664999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22.9</v>
      </c>
      <c r="D10" s="30"/>
      <c r="E10" s="29" t="e">
        <f t="shared" ref="E10:E19" si="1">D10/$D$19</f>
        <v>#DIV/0!</v>
      </c>
      <c r="F10" s="28">
        <f t="shared" ref="F10:F18" si="2">C10-(C10*$E$6)</f>
        <v>24.838813969606647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23.9</v>
      </c>
      <c r="D11" s="30"/>
      <c r="E11" s="29" t="e">
        <f t="shared" si="1"/>
        <v>#DIV/0!</v>
      </c>
      <c r="F11" s="28">
        <f t="shared" si="2"/>
        <v>25.923478335091655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21.8</v>
      </c>
      <c r="D12" s="30"/>
      <c r="E12" s="29" t="e">
        <f t="shared" si="1"/>
        <v>#DIV/0!</v>
      </c>
      <c r="F12" s="28">
        <f t="shared" si="2"/>
        <v>23.645683167573143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23.9</v>
      </c>
      <c r="D13" s="30"/>
      <c r="E13" s="29" t="e">
        <f t="shared" si="1"/>
        <v>#DIV/0!</v>
      </c>
      <c r="F13" s="28">
        <f t="shared" si="2"/>
        <v>25.923478335091655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26.7</v>
      </c>
      <c r="D14" s="30"/>
      <c r="E14" s="29" t="e">
        <f t="shared" si="1"/>
        <v>#DIV/0!</v>
      </c>
      <c r="F14" s="28">
        <f t="shared" si="2"/>
        <v>28.960538558449674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22</v>
      </c>
      <c r="D15" s="30"/>
      <c r="E15" s="29" t="e">
        <f t="shared" si="1"/>
        <v>#DIV/0!</v>
      </c>
      <c r="F15" s="28">
        <f t="shared" si="2"/>
        <v>23.862616040670144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30.1</v>
      </c>
      <c r="D16" s="30"/>
      <c r="E16" s="29" t="e">
        <f t="shared" si="1"/>
        <v>#DIV/0!</v>
      </c>
      <c r="F16" s="28">
        <f t="shared" si="2"/>
        <v>32.648397401098698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44.3</v>
      </c>
      <c r="D17" s="30"/>
      <c r="E17" s="29" t="e">
        <f t="shared" si="1"/>
        <v>#DIV/0!</v>
      </c>
      <c r="F17" s="28">
        <f t="shared" si="2"/>
        <v>48.050631390985785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38.799999999999997</v>
      </c>
      <c r="D18" s="30"/>
      <c r="E18" s="29" t="e">
        <f t="shared" si="1"/>
        <v>#DIV/0!</v>
      </c>
      <c r="F18" s="28">
        <f t="shared" si="2"/>
        <v>42.084977380818252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57.6</v>
      </c>
      <c r="D21" s="30">
        <v>154.9</v>
      </c>
      <c r="E21" s="29">
        <f>D21/$D$48</f>
        <v>1.2839641252631755E-2</v>
      </c>
      <c r="F21" s="28">
        <f>C21-(C21*$E$6)</f>
        <v>62.476667451936379</v>
      </c>
      <c r="G21" s="27" t="str">
        <f>IF(C21&gt;=F21,"-","+")</f>
        <v>+</v>
      </c>
      <c r="H21" s="26">
        <f>C21*D21</f>
        <v>8922.24</v>
      </c>
      <c r="I21" s="26">
        <f>F21*D21</f>
        <v>9677.6357883049459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38.700000000000003</v>
      </c>
      <c r="D22" s="30">
        <v>331.7</v>
      </c>
      <c r="E22" s="29">
        <f>D22/$D$48</f>
        <v>2.7494570713350243E-2</v>
      </c>
      <c r="F22" s="28">
        <f>C22-(C22*$E$6)</f>
        <v>41.976510944269755</v>
      </c>
      <c r="G22" s="27" t="str">
        <f>IF(C22&gt;=F22,"-","+")</f>
        <v>+</v>
      </c>
      <c r="H22" s="26">
        <f>C22*D22</f>
        <v>12836.79</v>
      </c>
      <c r="I22" s="26">
        <f>F22*D22</f>
        <v>13923.608680214278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35.299999999999997</v>
      </c>
      <c r="D23" s="30">
        <v>275.8</v>
      </c>
      <c r="E23" s="29">
        <f>D23/$D$48</f>
        <v>2.2861026839740724E-2</v>
      </c>
      <c r="F23" s="28">
        <f>C23-(C23*$E$6)</f>
        <v>38.288652101620727</v>
      </c>
      <c r="G23" s="27" t="str">
        <f>IF(C23&gt;=F23,"-","+")</f>
        <v>+</v>
      </c>
      <c r="H23" s="26">
        <f>C23*D23</f>
        <v>9735.74</v>
      </c>
      <c r="I23" s="26">
        <f>F23*D23</f>
        <v>10560.010249626997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41.31003410283315</v>
      </c>
      <c r="D24" s="22">
        <f>SUM(D21:D23)</f>
        <v>762.40000000000009</v>
      </c>
      <c r="E24" s="21">
        <f>D24/$D$48</f>
        <v>6.3195238805722725E-2</v>
      </c>
      <c r="F24" s="20">
        <f>I24/D24</f>
        <v>44.807521928313506</v>
      </c>
      <c r="G24" s="19">
        <f>F24/C24-1</f>
        <v>8.4664365485006776E-2</v>
      </c>
      <c r="H24" s="18">
        <f>SUM(H21:H23)</f>
        <v>31494.769999999997</v>
      </c>
      <c r="I24" s="18">
        <f>SUM(I21:I23)</f>
        <v>34161.254718146221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30.7</v>
      </c>
      <c r="D26" s="30">
        <f>75.5+2196</f>
        <v>2271.5</v>
      </c>
      <c r="E26" s="29">
        <f t="shared" ref="E26:E32" si="7">D26/$D$48</f>
        <v>0.18828434541867675</v>
      </c>
      <c r="F26" s="28">
        <f t="shared" ref="F26:F31" si="8">C26-(C26*$E$6)</f>
        <v>33.299196020389701</v>
      </c>
      <c r="G26" s="27" t="str">
        <f t="shared" ref="G26:G31" si="9">IF(C26&gt;=F26,"-","+")</f>
        <v>+</v>
      </c>
      <c r="H26" s="26">
        <f t="shared" ref="H26:H31" si="10">C26*D26</f>
        <v>69735.05</v>
      </c>
      <c r="I26" s="26">
        <f t="shared" ref="I26:I31" si="11">F26*D26</f>
        <v>75639.123760315211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27.4</v>
      </c>
      <c r="D27" s="30">
        <v>1439.4</v>
      </c>
      <c r="E27" s="29">
        <f t="shared" si="7"/>
        <v>0.11931168249863233</v>
      </c>
      <c r="F27" s="28">
        <f t="shared" si="8"/>
        <v>29.719803614289177</v>
      </c>
      <c r="G27" s="27" t="str">
        <f t="shared" si="9"/>
        <v>+</v>
      </c>
      <c r="H27" s="26">
        <f t="shared" si="10"/>
        <v>39439.56</v>
      </c>
      <c r="I27" s="26">
        <f t="shared" si="11"/>
        <v>42778.685322407844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27.4</v>
      </c>
      <c r="D28" s="30">
        <v>1072.0999999999999</v>
      </c>
      <c r="E28" s="29">
        <f t="shared" si="7"/>
        <v>8.8866232323734681E-2</v>
      </c>
      <c r="F28" s="28">
        <f t="shared" si="8"/>
        <v>29.719803614289177</v>
      </c>
      <c r="G28" s="27" t="str">
        <f t="shared" si="9"/>
        <v>+</v>
      </c>
      <c r="H28" s="26">
        <f t="shared" si="10"/>
        <v>29375.539999999997</v>
      </c>
      <c r="I28" s="26">
        <f t="shared" si="11"/>
        <v>31862.601454879423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26.5</v>
      </c>
      <c r="D29" s="30">
        <v>982.5</v>
      </c>
      <c r="E29" s="29">
        <f t="shared" si="7"/>
        <v>8.1439299746356997E-2</v>
      </c>
      <c r="F29" s="28">
        <f t="shared" si="8"/>
        <v>28.743605685352673</v>
      </c>
      <c r="G29" s="27" t="str">
        <f t="shared" si="9"/>
        <v>+</v>
      </c>
      <c r="H29" s="26">
        <f t="shared" si="10"/>
        <v>26036.25</v>
      </c>
      <c r="I29" s="26">
        <f t="shared" si="11"/>
        <v>28240.592585859002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26.5</v>
      </c>
      <c r="D30" s="30">
        <v>727</v>
      </c>
      <c r="E30" s="29">
        <f t="shared" si="7"/>
        <v>6.0260937318678411E-2</v>
      </c>
      <c r="F30" s="28">
        <f t="shared" si="8"/>
        <v>28.743605685352673</v>
      </c>
      <c r="G30" s="27" t="str">
        <f t="shared" si="9"/>
        <v>+</v>
      </c>
      <c r="H30" s="26">
        <f t="shared" si="10"/>
        <v>19265.5</v>
      </c>
      <c r="I30" s="26">
        <f t="shared" si="11"/>
        <v>20896.601333251394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26.9</v>
      </c>
      <c r="D31" s="30">
        <v>175.4</v>
      </c>
      <c r="E31" s="29">
        <f t="shared" si="7"/>
        <v>1.4538883639196965E-2</v>
      </c>
      <c r="F31" s="28">
        <f t="shared" si="8"/>
        <v>29.177471431546675</v>
      </c>
      <c r="G31" s="27" t="str">
        <f t="shared" si="9"/>
        <v>+</v>
      </c>
      <c r="H31" s="26">
        <f t="shared" si="10"/>
        <v>4718.26</v>
      </c>
      <c r="I31" s="26">
        <f t="shared" si="11"/>
        <v>5117.728489093287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28.280292145953002</v>
      </c>
      <c r="D32" s="22">
        <f>SUM(D26:D31)</f>
        <v>6667.9</v>
      </c>
      <c r="E32" s="21">
        <f t="shared" si="7"/>
        <v>0.5527013809452761</v>
      </c>
      <c r="F32" s="20">
        <f>I32/D32</f>
        <v>30.674625136220723</v>
      </c>
      <c r="G32" s="19">
        <f>F32/C32-1</f>
        <v>8.4664365485006332E-2</v>
      </c>
      <c r="H32" s="18">
        <f>SUM(H26:H31)</f>
        <v>188570.16</v>
      </c>
      <c r="I32" s="18">
        <f>SUM(I26:I31)</f>
        <v>204535.33294580615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16.2</v>
      </c>
      <c r="D34" s="30">
        <f>1098.9+858.4</f>
        <v>1957.3000000000002</v>
      </c>
      <c r="E34" s="29">
        <f t="shared" ref="E34:E40" si="13">D34/$D$48</f>
        <v>0.16224034747434563</v>
      </c>
      <c r="F34" s="28">
        <f t="shared" ref="F34:F39" si="14">C34-(C34*$E$6)</f>
        <v>17.571562720857106</v>
      </c>
      <c r="G34" s="27" t="str">
        <f t="shared" ref="G34:G39" si="15">IF(C34&gt;=F34,"-","+")</f>
        <v>+</v>
      </c>
      <c r="H34" s="26">
        <f t="shared" ref="H34:H39" si="16">C34*D34</f>
        <v>31708.260000000002</v>
      </c>
      <c r="I34" s="26">
        <f t="shared" ref="I34:I39" si="17">F34*D34</f>
        <v>34392.819713533616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12.5</v>
      </c>
      <c r="D35" s="30">
        <v>163.19999999999999</v>
      </c>
      <c r="E35" s="29">
        <f t="shared" si="13"/>
        <v>1.3527627194509374E-2</v>
      </c>
      <c r="F35" s="28">
        <f t="shared" si="14"/>
        <v>13.558304568562582</v>
      </c>
      <c r="G35" s="27" t="str">
        <f t="shared" si="15"/>
        <v>+</v>
      </c>
      <c r="H35" s="26">
        <f t="shared" si="16"/>
        <v>2039.9999999999998</v>
      </c>
      <c r="I35" s="26">
        <f t="shared" si="17"/>
        <v>2212.7153055894132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</v>
      </c>
      <c r="D36" s="30"/>
      <c r="E36" s="29">
        <f t="shared" si="13"/>
        <v>0</v>
      </c>
      <c r="F36" s="28">
        <f t="shared" si="14"/>
        <v>10.846643654850066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26.5</v>
      </c>
      <c r="D37" s="30"/>
      <c r="E37" s="29">
        <f t="shared" si="13"/>
        <v>0</v>
      </c>
      <c r="F37" s="28">
        <f t="shared" si="14"/>
        <v>28.743605685352673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26.5</v>
      </c>
      <c r="D38" s="30"/>
      <c r="E38" s="29">
        <f t="shared" si="13"/>
        <v>0</v>
      </c>
      <c r="F38" s="28">
        <f t="shared" si="14"/>
        <v>28.743605685352673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27.4</v>
      </c>
      <c r="D39" s="30"/>
      <c r="E39" s="29">
        <f t="shared" si="13"/>
        <v>0</v>
      </c>
      <c r="F39" s="28">
        <f t="shared" si="14"/>
        <v>29.719803614289177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15.915236972412169</v>
      </c>
      <c r="D40" s="22">
        <f>SUM(D34:D39)</f>
        <v>2120.5</v>
      </c>
      <c r="E40" s="113">
        <f t="shared" si="13"/>
        <v>0.17576797466885496</v>
      </c>
      <c r="F40" s="20">
        <f>I40/D40</f>
        <v>17.262690412224963</v>
      </c>
      <c r="G40" s="19">
        <f>F40/C40-1</f>
        <v>8.4664365485006554E-2</v>
      </c>
      <c r="H40" s="18">
        <f>SUM(H34:H39)</f>
        <v>33748.26</v>
      </c>
      <c r="I40" s="18">
        <f>SUM(I34:I39)</f>
        <v>36605.535019123032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1045+138.2+1236.4</f>
        <v>2419.6000000000004</v>
      </c>
      <c r="E42" s="107">
        <f>D42/$D$48</f>
        <v>0.20056033553820399</v>
      </c>
      <c r="F42" s="28">
        <f>C42-(C42*$E$6)</f>
        <v>0.43386574619400264</v>
      </c>
      <c r="G42" s="27" t="str">
        <f>IF(C42&gt;=F42,"-","+")</f>
        <v>+</v>
      </c>
      <c r="H42" s="26">
        <f>C42*D42</f>
        <v>967.84000000000015</v>
      </c>
      <c r="I42" s="26">
        <f>F42*D42</f>
        <v>1049.7815594910089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89.7</v>
      </c>
      <c r="E43" s="107">
        <f>D43/$D$48</f>
        <v>7.4352215646292345E-3</v>
      </c>
      <c r="F43" s="28">
        <f>C43-(C43*$E$6)</f>
        <v>0.43386574619400264</v>
      </c>
      <c r="G43" s="27" t="str">
        <f>IF(C43&gt;=F43,"-","+")</f>
        <v>+</v>
      </c>
      <c r="H43" s="26">
        <f>C43*D43</f>
        <v>35.880000000000003</v>
      </c>
      <c r="I43" s="26">
        <f>F43*D43</f>
        <v>38.917757433602041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3.3984847731304192E-4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0.39934749741386172</v>
      </c>
      <c r="D46" s="22">
        <f>SUM(D41:D45)</f>
        <v>2513.4</v>
      </c>
      <c r="E46" s="113">
        <f>D46/$D$48</f>
        <v>0.20833540558014624</v>
      </c>
      <c r="F46" s="20">
        <f>I46/D46</f>
        <v>0.43315799989043163</v>
      </c>
      <c r="G46" s="19">
        <f>F46/C46-1</f>
        <v>8.4664365485006554E-2</v>
      </c>
      <c r="H46" s="18">
        <f>SUM(H41:H44)</f>
        <v>1003.7200000000001</v>
      </c>
      <c r="I46" s="18">
        <f>SUM(I41:I44)</f>
        <v>1088.6993169246109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85.904910718612186</v>
      </c>
      <c r="D48" s="13">
        <f>D24+D32+D40+D46</f>
        <v>12064.199999999999</v>
      </c>
      <c r="E48" s="12">
        <f>SUM(E20:E46)/2</f>
        <v>1</v>
      </c>
      <c r="F48" s="11">
        <f>I48/D48</f>
        <v>22.910000000000007</v>
      </c>
      <c r="G48" s="10"/>
      <c r="H48" s="9">
        <f>SUM(H20:H46)/2</f>
        <v>254816.91</v>
      </c>
      <c r="I48" s="9">
        <f>SUM(I20:I46)/2</f>
        <v>276390.82200000004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12064.200000000003</v>
      </c>
      <c r="E50" s="12">
        <f>D50/G2</f>
        <v>1.0000000000000002</v>
      </c>
      <c r="F50" s="11">
        <f>I50/D50</f>
        <v>22.91</v>
      </c>
      <c r="G50" s="10"/>
      <c r="H50" s="9">
        <f>H48+H19</f>
        <v>254816.91</v>
      </c>
      <c r="I50" s="9">
        <f>I48+I19</f>
        <v>276390.82200000004</v>
      </c>
      <c r="J50" s="106">
        <f>D50-G2</f>
        <v>0</v>
      </c>
      <c r="K50" s="8"/>
    </row>
    <row r="51" spans="1:11" ht="23.25" x14ac:dyDescent="0.35">
      <c r="A51" s="174" t="s">
        <v>359</v>
      </c>
      <c r="B51" s="169"/>
      <c r="C51" s="170"/>
      <c r="G51" s="7"/>
      <c r="H51" s="6"/>
      <c r="I51" s="6">
        <f>+I50/D50</f>
        <v>22.91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352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357</v>
      </c>
      <c r="D2" s="96" t="s">
        <v>3</v>
      </c>
      <c r="E2" s="95" t="s">
        <v>360</v>
      </c>
      <c r="F2" s="94" t="s">
        <v>5</v>
      </c>
      <c r="G2" s="93">
        <v>11851.8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150</v>
      </c>
      <c r="F3" s="88" t="s">
        <v>8</v>
      </c>
      <c r="G3" s="87">
        <v>25.65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79.012</v>
      </c>
      <c r="F4" s="81" t="s">
        <v>12</v>
      </c>
      <c r="G4" s="80">
        <f>G2*G3</f>
        <v>303998.67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-8.0003913610250832E-2</v>
      </c>
      <c r="F6" s="69" t="s">
        <v>16</v>
      </c>
      <c r="G6" s="68">
        <f>(I50-I19)/(D50-(SUM(D42:D44)+D19))</f>
        <v>30.368851201132703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25.7</v>
      </c>
      <c r="D10" s="30"/>
      <c r="E10" s="29">
        <f t="shared" ref="E10:E19" si="1">D10/$D$19</f>
        <v>0</v>
      </c>
      <c r="F10" s="28">
        <f t="shared" ref="F10:F18" si="2">C10-(C10*$E$6)</f>
        <v>27.756100579783446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26.7</v>
      </c>
      <c r="D11" s="30"/>
      <c r="E11" s="29">
        <f t="shared" si="1"/>
        <v>0</v>
      </c>
      <c r="F11" s="28">
        <f t="shared" si="2"/>
        <v>28.836104493393698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24.4</v>
      </c>
      <c r="D12" s="30"/>
      <c r="E12" s="29">
        <f t="shared" si="1"/>
        <v>0</v>
      </c>
      <c r="F12" s="28">
        <f t="shared" si="2"/>
        <v>26.352095492090118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26.7</v>
      </c>
      <c r="D13" s="30"/>
      <c r="E13" s="29">
        <f t="shared" si="1"/>
        <v>0</v>
      </c>
      <c r="F13" s="28">
        <f t="shared" si="2"/>
        <v>28.836104493393698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29.9</v>
      </c>
      <c r="D14" s="30"/>
      <c r="E14" s="29">
        <f t="shared" si="1"/>
        <v>0</v>
      </c>
      <c r="F14" s="28">
        <f t="shared" si="2"/>
        <v>32.292117016946499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24.6</v>
      </c>
      <c r="D15" s="30">
        <v>169.9</v>
      </c>
      <c r="E15" s="29">
        <f t="shared" si="1"/>
        <v>0.6363295880149813</v>
      </c>
      <c r="F15" s="28">
        <f t="shared" si="2"/>
        <v>26.568096274812174</v>
      </c>
      <c r="G15" s="27" t="str">
        <f t="shared" si="3"/>
        <v>+</v>
      </c>
      <c r="H15" s="34">
        <f t="shared" si="4"/>
        <v>4179.54</v>
      </c>
      <c r="I15" s="34">
        <f t="shared" si="5"/>
        <v>4513.9195570905886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33.700000000000003</v>
      </c>
      <c r="D16" s="30"/>
      <c r="E16" s="29">
        <f t="shared" si="1"/>
        <v>0</v>
      </c>
      <c r="F16" s="28">
        <f t="shared" si="2"/>
        <v>36.396131888665458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49.6</v>
      </c>
      <c r="D17" s="30">
        <v>97.1</v>
      </c>
      <c r="E17" s="29">
        <f t="shared" si="1"/>
        <v>0.3636704119850187</v>
      </c>
      <c r="F17" s="28">
        <f t="shared" si="2"/>
        <v>53.568194115068444</v>
      </c>
      <c r="G17" s="27" t="str">
        <f t="shared" si="3"/>
        <v>+</v>
      </c>
      <c r="H17" s="34">
        <f t="shared" si="4"/>
        <v>4816.16</v>
      </c>
      <c r="I17" s="34">
        <f t="shared" si="5"/>
        <v>5201.471648573146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43.5</v>
      </c>
      <c r="D18" s="30"/>
      <c r="E18" s="29">
        <f t="shared" si="1"/>
        <v>0</v>
      </c>
      <c r="F18" s="28">
        <f t="shared" si="2"/>
        <v>46.980170242045908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33.691760299625471</v>
      </c>
      <c r="D19" s="49">
        <f>SUM(D10:D18)</f>
        <v>267</v>
      </c>
      <c r="E19" s="48">
        <f t="shared" si="1"/>
        <v>1</v>
      </c>
      <c r="F19" s="47">
        <f>I19/D19</f>
        <v>36.387232980013984</v>
      </c>
      <c r="G19" s="46">
        <f>F19/C19-1</f>
        <v>8.0003913610250832E-2</v>
      </c>
      <c r="H19" s="9">
        <f>SUM(H10:H18)</f>
        <v>8995.7000000000007</v>
      </c>
      <c r="I19" s="9">
        <f>SUM(I10:I18)</f>
        <v>9715.3912056637346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64.5</v>
      </c>
      <c r="D21" s="30"/>
      <c r="E21" s="29">
        <f>D21/$D$48</f>
        <v>0</v>
      </c>
      <c r="F21" s="28">
        <f>C21-(C21*$E$6)</f>
        <v>69.660252427861181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43.3</v>
      </c>
      <c r="D22" s="30">
        <v>560.79999999999995</v>
      </c>
      <c r="E22" s="29">
        <f>D22/$D$48</f>
        <v>4.8408259098128584E-2</v>
      </c>
      <c r="F22" s="28">
        <f>C22-(C22*$E$6)</f>
        <v>46.76416945932386</v>
      </c>
      <c r="G22" s="27" t="str">
        <f>IF(C22&gt;=F22,"-","+")</f>
        <v>+</v>
      </c>
      <c r="H22" s="26">
        <f>C22*D22</f>
        <v>24282.639999999996</v>
      </c>
      <c r="I22" s="26">
        <f>F22*D22</f>
        <v>26225.346232788819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39.5</v>
      </c>
      <c r="D23" s="30"/>
      <c r="E23" s="29">
        <f>D23/$D$48</f>
        <v>0</v>
      </c>
      <c r="F23" s="28">
        <f>C23-(C23*$E$6)</f>
        <v>42.660154587604907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43.3</v>
      </c>
      <c r="D24" s="22">
        <f>SUM(D21:D23)</f>
        <v>560.79999999999995</v>
      </c>
      <c r="E24" s="21">
        <f>D24/$D$48</f>
        <v>4.8408259098128584E-2</v>
      </c>
      <c r="F24" s="20">
        <f>I24/D24</f>
        <v>46.76416945932386</v>
      </c>
      <c r="G24" s="19">
        <f>F24/C24-1</f>
        <v>8.0003913610250832E-2</v>
      </c>
      <c r="H24" s="18">
        <f>SUM(H21:H23)</f>
        <v>24282.639999999996</v>
      </c>
      <c r="I24" s="18">
        <f>SUM(I21:I23)</f>
        <v>26225.346232788819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34.4</v>
      </c>
      <c r="D26" s="30"/>
      <c r="E26" s="29">
        <f t="shared" ref="E26:E32" si="7">D26/$D$48</f>
        <v>0</v>
      </c>
      <c r="F26" s="28">
        <f t="shared" ref="F26:F31" si="8">C26-(C26*$E$6)</f>
        <v>37.152134628192627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30.7</v>
      </c>
      <c r="D27" s="30">
        <v>2812.4</v>
      </c>
      <c r="E27" s="29">
        <f t="shared" si="7"/>
        <v>0.24276638353704857</v>
      </c>
      <c r="F27" s="28">
        <f t="shared" si="8"/>
        <v>33.156120147834699</v>
      </c>
      <c r="G27" s="27" t="str">
        <f t="shared" si="9"/>
        <v>+</v>
      </c>
      <c r="H27" s="26">
        <f t="shared" si="10"/>
        <v>86340.680000000008</v>
      </c>
      <c r="I27" s="26">
        <f t="shared" si="11"/>
        <v>93248.272303770311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30.7</v>
      </c>
      <c r="D28" s="30">
        <v>2007.9</v>
      </c>
      <c r="E28" s="29">
        <f t="shared" si="7"/>
        <v>0.17332193909260413</v>
      </c>
      <c r="F28" s="28">
        <f t="shared" si="8"/>
        <v>33.156120147834699</v>
      </c>
      <c r="G28" s="27" t="str">
        <f t="shared" si="9"/>
        <v>+</v>
      </c>
      <c r="H28" s="26">
        <f t="shared" si="10"/>
        <v>61642.53</v>
      </c>
      <c r="I28" s="26">
        <f t="shared" si="11"/>
        <v>66574.173644837298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29.6</v>
      </c>
      <c r="D29" s="30">
        <v>1922.7</v>
      </c>
      <c r="E29" s="29">
        <f t="shared" si="7"/>
        <v>0.16596747462191838</v>
      </c>
      <c r="F29" s="28">
        <f t="shared" si="8"/>
        <v>31.968115842863426</v>
      </c>
      <c r="G29" s="27" t="str">
        <f t="shared" si="9"/>
        <v>+</v>
      </c>
      <c r="H29" s="26">
        <f t="shared" si="10"/>
        <v>56911.920000000006</v>
      </c>
      <c r="I29" s="26">
        <f t="shared" si="11"/>
        <v>61465.09633107351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29.6</v>
      </c>
      <c r="D30" s="30"/>
      <c r="E30" s="29">
        <f t="shared" si="7"/>
        <v>0</v>
      </c>
      <c r="F30" s="28">
        <f t="shared" si="8"/>
        <v>31.968115842863426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30.1</v>
      </c>
      <c r="D31" s="30"/>
      <c r="E31" s="29">
        <f t="shared" si="7"/>
        <v>0</v>
      </c>
      <c r="F31" s="28">
        <f t="shared" si="8"/>
        <v>32.508117799668554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30.38634584013051</v>
      </c>
      <c r="D32" s="22">
        <f>SUM(D26:D31)</f>
        <v>6743</v>
      </c>
      <c r="E32" s="21">
        <f t="shared" si="7"/>
        <v>0.58205579725157108</v>
      </c>
      <c r="F32" s="20">
        <f>I32/D32</f>
        <v>32.817372427655513</v>
      </c>
      <c r="G32" s="19">
        <f>F32/C32-1</f>
        <v>8.0003913610250832E-2</v>
      </c>
      <c r="H32" s="18">
        <f>SUM(H26:H31)</f>
        <v>204895.13000000003</v>
      </c>
      <c r="I32" s="18">
        <f>SUM(I26:I31)</f>
        <v>221287.54227968113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18.100000000000001</v>
      </c>
      <c r="D34" s="30">
        <v>2255</v>
      </c>
      <c r="E34" s="29">
        <f t="shared" ref="E34:E40" si="13">D34/$D$48</f>
        <v>0.19465161245770321</v>
      </c>
      <c r="F34" s="28">
        <f t="shared" ref="F34:F39" si="14">C34-(C34*$E$6)</f>
        <v>19.548070836345541</v>
      </c>
      <c r="G34" s="27" t="str">
        <f t="shared" ref="G34:G39" si="15">IF(C34&gt;=F34,"-","+")</f>
        <v>+</v>
      </c>
      <c r="H34" s="26">
        <f t="shared" ref="H34:H39" si="16">C34*D34</f>
        <v>40815.5</v>
      </c>
      <c r="I34" s="26">
        <f t="shared" ref="I34:I39" si="17">F34*D34</f>
        <v>44080.899735959196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>
        <v>125</v>
      </c>
      <c r="E35" s="29">
        <f t="shared" si="13"/>
        <v>1.0790000690560044E-2</v>
      </c>
      <c r="F35" s="28">
        <f t="shared" si="14"/>
        <v>15.012054399182487</v>
      </c>
      <c r="G35" s="27" t="str">
        <f t="shared" si="15"/>
        <v>+</v>
      </c>
      <c r="H35" s="26">
        <f t="shared" si="16"/>
        <v>1737.5</v>
      </c>
      <c r="I35" s="26">
        <f t="shared" si="17"/>
        <v>1876.5067998978109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12.096043832434809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29.6</v>
      </c>
      <c r="D37" s="30"/>
      <c r="E37" s="29">
        <f t="shared" si="13"/>
        <v>0</v>
      </c>
      <c r="F37" s="28">
        <f t="shared" si="14"/>
        <v>31.968115842863426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29.6</v>
      </c>
      <c r="D38" s="30"/>
      <c r="E38" s="29">
        <f t="shared" si="13"/>
        <v>0</v>
      </c>
      <c r="F38" s="28">
        <f t="shared" si="14"/>
        <v>31.968115842863426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30.7</v>
      </c>
      <c r="D39" s="30"/>
      <c r="E39" s="29">
        <f t="shared" si="13"/>
        <v>0</v>
      </c>
      <c r="F39" s="28">
        <f t="shared" si="14"/>
        <v>33.156120147834699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17.879411764705882</v>
      </c>
      <c r="D40" s="22">
        <f>SUM(D34:D39)</f>
        <v>2380</v>
      </c>
      <c r="E40" s="113">
        <f t="shared" si="13"/>
        <v>0.20544161314826326</v>
      </c>
      <c r="F40" s="20">
        <f>I40/D40</f>
        <v>19.309834678931516</v>
      </c>
      <c r="G40" s="19">
        <f>F40/C40-1</f>
        <v>8.0003913610251054E-2</v>
      </c>
      <c r="H40" s="18">
        <f>SUM(H34:H39)</f>
        <v>42553</v>
      </c>
      <c r="I40" s="18">
        <f>SUM(I34:I39)</f>
        <v>45957.406535857008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1786</v>
      </c>
      <c r="E42" s="107">
        <f>D42/$D$48</f>
        <v>0.15416752986672191</v>
      </c>
      <c r="F42" s="28">
        <f>C42-(C42*$E$6)</f>
        <v>0.43200156544410034</v>
      </c>
      <c r="G42" s="27" t="str">
        <f>IF(C42&gt;=F42,"-","+")</f>
        <v>+</v>
      </c>
      <c r="H42" s="26">
        <f>C42*D42</f>
        <v>714.40000000000009</v>
      </c>
      <c r="I42" s="26">
        <f>F42*D42</f>
        <v>771.55479588316325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95.9</v>
      </c>
      <c r="E43" s="107">
        <f>D43/$D$48</f>
        <v>8.278088529797667E-3</v>
      </c>
      <c r="F43" s="28">
        <f>C43-(C43*$E$6)</f>
        <v>0.43200156544410034</v>
      </c>
      <c r="G43" s="27" t="str">
        <f>IF(C43&gt;=F43,"-","+")</f>
        <v>+</v>
      </c>
      <c r="H43" s="26">
        <f>C43*D43</f>
        <v>38.360000000000007</v>
      </c>
      <c r="I43" s="26">
        <f>F43*D43</f>
        <v>41.428950126089227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12.6</v>
      </c>
      <c r="E44" s="107">
        <f>D44/$D$48</f>
        <v>1.0876320696084525E-3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6.5</v>
      </c>
      <c r="E45" s="107">
        <f>D45/$D$48</f>
        <v>5.6108003590912229E-4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0.39598106259863236</v>
      </c>
      <c r="D46" s="22">
        <f>SUM(D41:D45)</f>
        <v>1901</v>
      </c>
      <c r="E46" s="113">
        <f>D46/$D$48</f>
        <v>0.16409433050203717</v>
      </c>
      <c r="F46" s="20">
        <f>I46/D46</f>
        <v>0.42766109732206864</v>
      </c>
      <c r="G46" s="19">
        <f>F46/C46-1</f>
        <v>8.0003913610250832E-2</v>
      </c>
      <c r="H46" s="18">
        <f>SUM(H41:H44)</f>
        <v>752.7600000000001</v>
      </c>
      <c r="I46" s="18">
        <f>SUM(I41:I44)</f>
        <v>812.98374600925251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91.961738667435029</v>
      </c>
      <c r="D48" s="13">
        <f>D24+D32+D40+D46</f>
        <v>11584.8</v>
      </c>
      <c r="E48" s="12">
        <f>SUM(E20:E46)/2</f>
        <v>1.0000000000000002</v>
      </c>
      <c r="F48" s="11">
        <f>I48/D48</f>
        <v>25.402534251289293</v>
      </c>
      <c r="G48" s="10"/>
      <c r="H48" s="9">
        <f>SUM(H20:H46)/2</f>
        <v>272483.53000000003</v>
      </c>
      <c r="I48" s="9">
        <f>SUM(I20:I46)/2</f>
        <v>294283.27879433619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11851.8</v>
      </c>
      <c r="E50" s="12">
        <f>D50/G2</f>
        <v>1</v>
      </c>
      <c r="F50" s="11">
        <f>I50/D50</f>
        <v>25.649999999999995</v>
      </c>
      <c r="G50" s="10"/>
      <c r="H50" s="9">
        <f>H48+H19</f>
        <v>281479.23000000004</v>
      </c>
      <c r="I50" s="9">
        <f>I48+I19</f>
        <v>303998.66999999993</v>
      </c>
      <c r="J50" s="106">
        <f>D50-G2</f>
        <v>0</v>
      </c>
      <c r="K50" s="8"/>
    </row>
    <row r="51" spans="1:11" ht="23.25" x14ac:dyDescent="0.35">
      <c r="A51" s="174" t="s">
        <v>361</v>
      </c>
      <c r="B51" s="169"/>
      <c r="C51" s="170"/>
      <c r="G51" s="7"/>
      <c r="H51" s="6"/>
      <c r="I51" s="6">
        <f>+I50/D50</f>
        <v>25.649999999999995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357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357</v>
      </c>
      <c r="D2" s="96" t="s">
        <v>3</v>
      </c>
      <c r="E2" s="95" t="s">
        <v>362</v>
      </c>
      <c r="F2" s="94" t="s">
        <v>5</v>
      </c>
      <c r="G2" s="93">
        <f>11000.9+13202.3</f>
        <v>24203.199999999997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360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67.231111111111105</v>
      </c>
      <c r="F4" s="81" t="s">
        <v>12</v>
      </c>
      <c r="G4" s="80">
        <f>G2*G3</f>
        <v>651066.07999999984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-1.7841052126338353E-2</v>
      </c>
      <c r="F6" s="69" t="s">
        <v>16</v>
      </c>
      <c r="G6" s="68">
        <f>(I50-I19)/(D50-(SUM(D42:D44)+D19))</f>
        <v>32.045301164450265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>
        <f t="shared" ref="E10:E19" si="1">D10/$D$19</f>
        <v>0</v>
      </c>
      <c r="F10" s="28">
        <f t="shared" ref="F10:F18" si="2">C10-(C10*$E$6)</f>
        <v>27.3799243021985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>
        <v>3078.4</v>
      </c>
      <c r="E11" s="29">
        <f t="shared" si="1"/>
        <v>0.44041317348135856</v>
      </c>
      <c r="F11" s="28">
        <f t="shared" si="2"/>
        <v>28.499549459537473</v>
      </c>
      <c r="G11" s="27" t="str">
        <f t="shared" si="3"/>
        <v>+</v>
      </c>
      <c r="H11" s="34">
        <f t="shared" si="4"/>
        <v>86195.199999999997</v>
      </c>
      <c r="I11" s="34">
        <f t="shared" si="5"/>
        <v>87733.013056240161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>
        <v>3555.4</v>
      </c>
      <c r="E12" s="29">
        <f t="shared" si="1"/>
        <v>0.508655469398266</v>
      </c>
      <c r="F12" s="28">
        <f t="shared" si="2"/>
        <v>26.056730934434263</v>
      </c>
      <c r="G12" s="27" t="str">
        <f t="shared" si="3"/>
        <v>+</v>
      </c>
      <c r="H12" s="34">
        <f t="shared" si="4"/>
        <v>91018.240000000005</v>
      </c>
      <c r="I12" s="34">
        <f t="shared" si="5"/>
        <v>92642.101164287582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>
        <f t="shared" si="1"/>
        <v>0</v>
      </c>
      <c r="F13" s="28">
        <f t="shared" si="2"/>
        <v>28.499549459537473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>
        <v>274</v>
      </c>
      <c r="E14" s="29">
        <f t="shared" si="1"/>
        <v>3.9199977109502418E-2</v>
      </c>
      <c r="F14" s="28">
        <f t="shared" si="2"/>
        <v>31.858424931554392</v>
      </c>
      <c r="G14" s="27" t="str">
        <f t="shared" si="3"/>
        <v>+</v>
      </c>
      <c r="H14" s="34">
        <f t="shared" si="4"/>
        <v>8576.2000000000007</v>
      </c>
      <c r="I14" s="34">
        <f t="shared" si="5"/>
        <v>8729.2084312459028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>
        <v>82</v>
      </c>
      <c r="E15" s="29">
        <f t="shared" si="1"/>
        <v>1.1731380010872986E-2</v>
      </c>
      <c r="F15" s="28">
        <f t="shared" si="2"/>
        <v>26.26029914485953</v>
      </c>
      <c r="G15" s="27" t="str">
        <f t="shared" si="3"/>
        <v>+</v>
      </c>
      <c r="H15" s="34">
        <f t="shared" si="4"/>
        <v>2115.6</v>
      </c>
      <c r="I15" s="34">
        <f t="shared" si="5"/>
        <v>2153.3445298784814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/>
      <c r="E16" s="29">
        <f t="shared" si="1"/>
        <v>0</v>
      </c>
      <c r="F16" s="28">
        <f t="shared" si="2"/>
        <v>36.031573245272376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/>
      <c r="E17" s="29">
        <f t="shared" si="1"/>
        <v>0</v>
      </c>
      <c r="F17" s="28">
        <f t="shared" si="2"/>
        <v>52.927734710569595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>
        <f t="shared" si="1"/>
        <v>0</v>
      </c>
      <c r="F18" s="28">
        <f t="shared" si="2"/>
        <v>46.413551976961031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26.882777761881602</v>
      </c>
      <c r="D19" s="49">
        <f>SUM(D10:D18)</f>
        <v>6989.8</v>
      </c>
      <c r="E19" s="48">
        <f t="shared" si="1"/>
        <v>1</v>
      </c>
      <c r="F19" s="47">
        <f>I19/D19</f>
        <v>27.362394801232103</v>
      </c>
      <c r="G19" s="46">
        <f>F19/C19-1</f>
        <v>1.7841052126338353E-2</v>
      </c>
      <c r="H19" s="9">
        <f>SUM(H10:H18)</f>
        <v>187905.24000000002</v>
      </c>
      <c r="I19" s="9">
        <f>SUM(I10:I18)</f>
        <v>191257.66718165216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192.6</v>
      </c>
      <c r="E21" s="29">
        <f>D21/$D$48</f>
        <v>1.1189152447844953E-2</v>
      </c>
      <c r="F21" s="28">
        <f>C21-(C21*$E$6)</f>
        <v>68.907839228953108</v>
      </c>
      <c r="G21" s="27" t="str">
        <f>IF(C21&gt;=F21,"-","+")</f>
        <v>+</v>
      </c>
      <c r="H21" s="26">
        <f>C21*D21</f>
        <v>13039.02</v>
      </c>
      <c r="I21" s="26">
        <f>F21*D21</f>
        <v>13271.649835496368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569.9</v>
      </c>
      <c r="E22" s="29">
        <f>D22/$D$48</f>
        <v>3.310850456919439E-2</v>
      </c>
      <c r="F22" s="28">
        <f>C22-(C22*$E$6)</f>
        <v>46.209983766535757</v>
      </c>
      <c r="G22" s="27" t="str">
        <f>IF(C22&gt;=F22,"-","+")</f>
        <v>+</v>
      </c>
      <c r="H22" s="26">
        <f>C22*D22</f>
        <v>25873.46</v>
      </c>
      <c r="I22" s="26">
        <f>F22*D22</f>
        <v>26335.069748548725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389</v>
      </c>
      <c r="E23" s="29">
        <f>D23/$D$48</f>
        <v>2.2599066989676463E-2</v>
      </c>
      <c r="F23" s="28">
        <f>C23-(C23*$E$6)</f>
        <v>42.138619558030406</v>
      </c>
      <c r="G23" s="27" t="str">
        <f>IF(C23&gt;=F23,"-","+")</f>
        <v>+</v>
      </c>
      <c r="H23" s="26">
        <f>C23*D23</f>
        <v>16104.599999999999</v>
      </c>
      <c r="I23" s="26">
        <f>F23*D23</f>
        <v>16391.923008073827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47.778619192357787</v>
      </c>
      <c r="D24" s="22">
        <f>SUM(D21:D23)</f>
        <v>1151.5</v>
      </c>
      <c r="E24" s="21">
        <f>D24/$D$48</f>
        <v>6.6896724006715813E-2</v>
      </c>
      <c r="F24" s="20">
        <f>I24/D24</f>
        <v>48.631040027893114</v>
      </c>
      <c r="G24" s="19">
        <f>F24/C24-1</f>
        <v>1.7841052126338353E-2</v>
      </c>
      <c r="H24" s="18">
        <f>SUM(H21:H23)</f>
        <v>55017.079999999994</v>
      </c>
      <c r="I24" s="18">
        <f>SUM(I21:I23)</f>
        <v>55998.642592118922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f>2532.3</f>
        <v>2532.3000000000002</v>
      </c>
      <c r="E26" s="29">
        <f t="shared" ref="E26:E32" si="7">D26/$D$48</f>
        <v>0.14711469752688358</v>
      </c>
      <c r="F26" s="28">
        <f t="shared" ref="F26:F31" si="8">C26-(C26*$E$6)</f>
        <v>36.744061981760815</v>
      </c>
      <c r="G26" s="27" t="str">
        <f t="shared" ref="G26:G31" si="9">IF(C26&gt;=F26,"-","+")</f>
        <v>+</v>
      </c>
      <c r="H26" s="26">
        <f t="shared" ref="H26:H31" si="10">C26*D26</f>
        <v>91416.030000000013</v>
      </c>
      <c r="I26" s="26">
        <f t="shared" ref="I26:I31" si="11">F26*D26</f>
        <v>93046.988156412917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f>2857.2-196</f>
        <v>2661.2</v>
      </c>
      <c r="E27" s="29">
        <f t="shared" si="7"/>
        <v>0.15460318013605914</v>
      </c>
      <c r="F27" s="28">
        <f t="shared" si="8"/>
        <v>32.672697773255464</v>
      </c>
      <c r="G27" s="27" t="str">
        <f t="shared" si="9"/>
        <v>+</v>
      </c>
      <c r="H27" s="26">
        <f t="shared" si="10"/>
        <v>85424.52</v>
      </c>
      <c r="I27" s="26">
        <f t="shared" si="11"/>
        <v>86948.583314187432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1950.4</v>
      </c>
      <c r="E28" s="29">
        <f t="shared" si="7"/>
        <v>0.11330904950299481</v>
      </c>
      <c r="F28" s="28">
        <f t="shared" si="8"/>
        <v>32.672697773255464</v>
      </c>
      <c r="G28" s="27" t="str">
        <f t="shared" si="9"/>
        <v>+</v>
      </c>
      <c r="H28" s="26">
        <f t="shared" si="10"/>
        <v>62607.840000000004</v>
      </c>
      <c r="I28" s="26">
        <f t="shared" si="11"/>
        <v>63724.829736957457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1865.1</v>
      </c>
      <c r="E29" s="29">
        <f t="shared" si="7"/>
        <v>0.10835352144587551</v>
      </c>
      <c r="F29" s="28">
        <f t="shared" si="8"/>
        <v>31.654856721129125</v>
      </c>
      <c r="G29" s="27" t="str">
        <f t="shared" si="9"/>
        <v>+</v>
      </c>
      <c r="H29" s="26">
        <f t="shared" si="10"/>
        <v>58004.61</v>
      </c>
      <c r="I29" s="26">
        <f t="shared" si="11"/>
        <v>59039.473270577932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1109</v>
      </c>
      <c r="E30" s="29">
        <f t="shared" si="7"/>
        <v>6.4427674271339844E-2</v>
      </c>
      <c r="F30" s="28">
        <f t="shared" si="8"/>
        <v>31.654856721129125</v>
      </c>
      <c r="G30" s="27" t="str">
        <f t="shared" si="9"/>
        <v>+</v>
      </c>
      <c r="H30" s="26">
        <f t="shared" si="10"/>
        <v>34489.9</v>
      </c>
      <c r="I30" s="26">
        <f t="shared" si="11"/>
        <v>35105.236103732197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463.4</v>
      </c>
      <c r="E31" s="29">
        <f t="shared" si="7"/>
        <v>2.6921356408781679E-2</v>
      </c>
      <c r="F31" s="28">
        <f t="shared" si="8"/>
        <v>32.163777247192293</v>
      </c>
      <c r="G31" s="27" t="str">
        <f t="shared" si="9"/>
        <v>+</v>
      </c>
      <c r="H31" s="26">
        <f t="shared" si="10"/>
        <v>14643.44</v>
      </c>
      <c r="I31" s="26">
        <f t="shared" si="11"/>
        <v>14904.694376348907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32.754299053055362</v>
      </c>
      <c r="D32" s="22">
        <f>SUM(D26:D31)</f>
        <v>10581.4</v>
      </c>
      <c r="E32" s="21">
        <f t="shared" si="7"/>
        <v>0.61472947929193456</v>
      </c>
      <c r="F32" s="20">
        <f>I32/D32</f>
        <v>33.338670209822602</v>
      </c>
      <c r="G32" s="19">
        <f>F32/C32-1</f>
        <v>1.7841052126338575E-2</v>
      </c>
      <c r="H32" s="18">
        <f>SUM(H26:H31)</f>
        <v>346586.34</v>
      </c>
      <c r="I32" s="18">
        <f>SUM(I26:I31)</f>
        <v>352769.80495821685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2467.8000000000002</v>
      </c>
      <c r="E34" s="29">
        <f t="shared" ref="E34:E40" si="13">D34/$D$48</f>
        <v>0.14336755145790125</v>
      </c>
      <c r="F34" s="28">
        <f t="shared" ref="F34:F39" si="14">C34-(C34*$E$6)</f>
        <v>19.338979990400428</v>
      </c>
      <c r="G34" s="27" t="str">
        <f t="shared" ref="G34:G39" si="15">IF(C34&gt;=F34,"-","+")</f>
        <v>+</v>
      </c>
      <c r="H34" s="26">
        <f t="shared" ref="H34:H39" si="16">C34*D34</f>
        <v>46888.200000000004</v>
      </c>
      <c r="I34" s="26">
        <f t="shared" ref="I34:I39" si="17">F34*D34</f>
        <v>47724.734820310179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>
        <v>145</v>
      </c>
      <c r="E35" s="29">
        <f t="shared" si="13"/>
        <v>8.4238167442238741E-3</v>
      </c>
      <c r="F35" s="28">
        <f t="shared" si="14"/>
        <v>14.86047936104454</v>
      </c>
      <c r="G35" s="27" t="str">
        <f t="shared" si="15"/>
        <v>+</v>
      </c>
      <c r="H35" s="26">
        <f t="shared" si="16"/>
        <v>2117</v>
      </c>
      <c r="I35" s="26">
        <f t="shared" si="17"/>
        <v>2154.7695073514583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11.908740309878159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31.654856721129125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31.654856721129125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32.672697773255464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18.755817513778322</v>
      </c>
      <c r="D40" s="22">
        <f>SUM(D34:D39)</f>
        <v>2612.8000000000002</v>
      </c>
      <c r="E40" s="113">
        <f t="shared" si="13"/>
        <v>0.1517913682021251</v>
      </c>
      <c r="F40" s="20">
        <f>I40/D40</f>
        <v>19.090441031713731</v>
      </c>
      <c r="G40" s="19">
        <f>F40/C40-1</f>
        <v>1.7841052126338353E-2</v>
      </c>
      <c r="H40" s="18">
        <f>SUM(H34:H39)</f>
        <v>49005.200000000004</v>
      </c>
      <c r="I40" s="18">
        <f>SUM(I34:I39)</f>
        <v>49879.504327661634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2727</v>
      </c>
      <c r="E42" s="107">
        <f>D42/$D$48</f>
        <v>0.15842585007930005</v>
      </c>
      <c r="F42" s="28">
        <f>C42-(C42*$E$6)</f>
        <v>0.40713642085053536</v>
      </c>
      <c r="G42" s="27" t="str">
        <f>IF(C42&gt;=F42,"-","+")</f>
        <v>+</v>
      </c>
      <c r="H42" s="26">
        <f>C42*D42</f>
        <v>1090.8</v>
      </c>
      <c r="I42" s="26">
        <f>F42*D42</f>
        <v>1110.2610196594098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123.3</v>
      </c>
      <c r="E43" s="107">
        <f>D43/$D$48</f>
        <v>7.1631489969848534E-3</v>
      </c>
      <c r="F43" s="28">
        <f>C43-(C43*$E$6)</f>
        <v>0.40713642085053536</v>
      </c>
      <c r="G43" s="27" t="str">
        <f>IF(C43&gt;=F43,"-","+")</f>
        <v>+</v>
      </c>
      <c r="H43" s="26">
        <f>C43*D43</f>
        <v>49.32</v>
      </c>
      <c r="I43" s="26">
        <f>F43*D43</f>
        <v>50.199920690871011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f>2.2+11.9</f>
        <v>14.100000000000001</v>
      </c>
      <c r="E44" s="107">
        <f>D44/$D$48</f>
        <v>8.1914355926590793E-4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</v>
      </c>
      <c r="E45" s="107">
        <f>D45/$D$48</f>
        <v>1.7428586367359742E-4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0.39761456371625858</v>
      </c>
      <c r="D46" s="22">
        <f>SUM(D41:D45)</f>
        <v>2867.4</v>
      </c>
      <c r="E46" s="113">
        <f>D46/$D$48</f>
        <v>0.16658242849922442</v>
      </c>
      <c r="F46" s="20">
        <f>I46/D46</f>
        <v>0.4047084258737117</v>
      </c>
      <c r="G46" s="19">
        <f>F46/C46-1</f>
        <v>1.7841052126338575E-2</v>
      </c>
      <c r="H46" s="18">
        <f>SUM(H41:H44)</f>
        <v>1140.1199999999999</v>
      </c>
      <c r="I46" s="18">
        <f>SUM(I41:I44)</f>
        <v>1160.4609403502809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99.686350322907742</v>
      </c>
      <c r="D48" s="13">
        <f>D24+D32+D40+D46</f>
        <v>17213.100000000002</v>
      </c>
      <c r="E48" s="12">
        <f>SUM(E20:E46)/2</f>
        <v>0.99999999999999978</v>
      </c>
      <c r="F48" s="11">
        <f>I48/D48</f>
        <v>26.712702117477249</v>
      </c>
      <c r="G48" s="10"/>
      <c r="H48" s="9">
        <f>SUM(H20:H46)/2</f>
        <v>451748.74</v>
      </c>
      <c r="I48" s="9">
        <f>SUM(I20:I46)/2</f>
        <v>459808.41281834769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24202.900000000005</v>
      </c>
      <c r="E50" s="12">
        <f>D50/G2</f>
        <v>0.99998760494480099</v>
      </c>
      <c r="F50" s="11">
        <f>I50/D50</f>
        <v>26.900333431117748</v>
      </c>
      <c r="G50" s="10"/>
      <c r="H50" s="9">
        <f>H48+H19</f>
        <v>639653.98</v>
      </c>
      <c r="I50" s="9">
        <f>I48+I19</f>
        <v>651066.07999999984</v>
      </c>
      <c r="J50" s="106">
        <f>D50-G2</f>
        <v>-0.29999999999199645</v>
      </c>
      <c r="K50" s="8"/>
    </row>
    <row r="51" spans="1:11" ht="23.25" x14ac:dyDescent="0.35">
      <c r="A51" s="174" t="s">
        <v>363</v>
      </c>
      <c r="B51" s="169"/>
      <c r="C51" s="170"/>
      <c r="G51" s="7"/>
      <c r="H51" s="6"/>
      <c r="I51" s="6">
        <f>+I50/D50</f>
        <v>26.900333431117748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357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364</v>
      </c>
      <c r="D2" s="96" t="s">
        <v>3</v>
      </c>
      <c r="E2" s="95" t="s">
        <v>71</v>
      </c>
      <c r="F2" s="94" t="s">
        <v>5</v>
      </c>
      <c r="G2" s="93">
        <v>22025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324</v>
      </c>
      <c r="F3" s="88" t="s">
        <v>8</v>
      </c>
      <c r="G3" s="87">
        <v>27.2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67.978395061728392</v>
      </c>
      <c r="F4" s="81" t="s">
        <v>12</v>
      </c>
      <c r="G4" s="80">
        <f>G2*G3</f>
        <v>599080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-1.46348905582947E-2</v>
      </c>
      <c r="F6" s="69" t="s">
        <v>16</v>
      </c>
      <c r="G6" s="68">
        <f>(I50-I19)/(D50-(SUM(D42:D44)+D19))</f>
        <v>32.557525661426212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>
        <f t="shared" ref="E10:E19" si="1">D10/$D$19</f>
        <v>0</v>
      </c>
      <c r="F10" s="28">
        <f t="shared" ref="F10:F18" si="2">C10-(C10*$E$6)</f>
        <v>27.598069023185616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28.3</v>
      </c>
      <c r="D11" s="30">
        <v>3387.3</v>
      </c>
      <c r="E11" s="29">
        <f t="shared" si="1"/>
        <v>0.89428941046017374</v>
      </c>
      <c r="F11" s="28">
        <f t="shared" si="2"/>
        <v>28.714167402799742</v>
      </c>
      <c r="G11" s="27" t="str">
        <f t="shared" si="3"/>
        <v>+</v>
      </c>
      <c r="H11" s="34">
        <f t="shared" si="4"/>
        <v>95860.590000000011</v>
      </c>
      <c r="I11" s="34">
        <f t="shared" si="5"/>
        <v>97263.499243503567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25.9</v>
      </c>
      <c r="D12" s="30"/>
      <c r="E12" s="29">
        <f t="shared" si="1"/>
        <v>0</v>
      </c>
      <c r="F12" s="28">
        <f t="shared" si="2"/>
        <v>26.279043665459831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>
        <f t="shared" si="1"/>
        <v>0</v>
      </c>
      <c r="F13" s="28">
        <f t="shared" si="2"/>
        <v>28.714167402799742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31.7</v>
      </c>
      <c r="D14" s="30">
        <v>82</v>
      </c>
      <c r="E14" s="29">
        <f t="shared" si="1"/>
        <v>2.1649021833830554E-2</v>
      </c>
      <c r="F14" s="28">
        <f t="shared" si="2"/>
        <v>32.163926030697944</v>
      </c>
      <c r="G14" s="27" t="str">
        <f t="shared" si="3"/>
        <v>+</v>
      </c>
      <c r="H14" s="34">
        <f t="shared" si="4"/>
        <v>2599.4</v>
      </c>
      <c r="I14" s="34">
        <f t="shared" si="5"/>
        <v>2637.4419345172314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26.1</v>
      </c>
      <c r="D15" s="30">
        <v>92</v>
      </c>
      <c r="E15" s="29">
        <f t="shared" si="1"/>
        <v>2.428914644771233E-2</v>
      </c>
      <c r="F15" s="28">
        <f t="shared" si="2"/>
        <v>26.481970643571493</v>
      </c>
      <c r="G15" s="27" t="str">
        <f t="shared" si="3"/>
        <v>+</v>
      </c>
      <c r="H15" s="34">
        <f t="shared" si="4"/>
        <v>2401.2000000000003</v>
      </c>
      <c r="I15" s="34">
        <f t="shared" si="5"/>
        <v>2436.3412992085773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35.700000000000003</v>
      </c>
      <c r="D16" s="30">
        <v>226.4</v>
      </c>
      <c r="E16" s="29">
        <f t="shared" si="1"/>
        <v>5.9772421258283387E-2</v>
      </c>
      <c r="F16" s="28">
        <f t="shared" si="2"/>
        <v>36.222465592931123</v>
      </c>
      <c r="G16" s="27" t="str">
        <f t="shared" si="3"/>
        <v>+</v>
      </c>
      <c r="H16" s="34">
        <f t="shared" si="4"/>
        <v>8082.4800000000005</v>
      </c>
      <c r="I16" s="34">
        <f t="shared" si="5"/>
        <v>8200.7662102396062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52.6</v>
      </c>
      <c r="D17" s="30"/>
      <c r="E17" s="29">
        <f t="shared" si="1"/>
        <v>0</v>
      </c>
      <c r="F17" s="28">
        <f t="shared" si="2"/>
        <v>53.369795243366305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46.1</v>
      </c>
      <c r="D18" s="30"/>
      <c r="E18" s="29">
        <f t="shared" si="1"/>
        <v>0</v>
      </c>
      <c r="F18" s="28">
        <f t="shared" si="2"/>
        <v>46.774668454737387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28.762486469361352</v>
      </c>
      <c r="D19" s="49">
        <f>SUM(D10:D18)</f>
        <v>3787.7000000000003</v>
      </c>
      <c r="E19" s="48">
        <f t="shared" si="1"/>
        <v>1</v>
      </c>
      <c r="F19" s="47">
        <f>I19/D19</f>
        <v>29.183422311024888</v>
      </c>
      <c r="G19" s="46">
        <f>F19/C19-1</f>
        <v>1.46348905582947E-2</v>
      </c>
      <c r="H19" s="9">
        <f>SUM(H10:H18)</f>
        <v>108943.67</v>
      </c>
      <c r="I19" s="9">
        <f>SUM(I10:I18)</f>
        <v>110538.04868746898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68.400000000000006</v>
      </c>
      <c r="D21" s="30">
        <v>134.1</v>
      </c>
      <c r="E21" s="29">
        <f>D21/$D$48</f>
        <v>7.3530621309075353E-3</v>
      </c>
      <c r="F21" s="28">
        <f>C21-(C21*$E$6)</f>
        <v>69.401026514187365</v>
      </c>
      <c r="G21" s="27" t="str">
        <f>IF(C21&gt;=F21,"-","+")</f>
        <v>+</v>
      </c>
      <c r="H21" s="26">
        <f>C21*D21</f>
        <v>9172.44</v>
      </c>
      <c r="I21" s="26">
        <f>F21*D21</f>
        <v>9306.6776555525248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590</v>
      </c>
      <c r="E22" s="29">
        <f>D22/$D$48</f>
        <v>3.2351280068869843E-2</v>
      </c>
      <c r="F22" s="28">
        <f>C22-(C22*$E$6)</f>
        <v>46.571741476625725</v>
      </c>
      <c r="G22" s="27" t="str">
        <f>IF(C22&gt;=F22,"-","+")</f>
        <v>+</v>
      </c>
      <c r="H22" s="26">
        <f>C22*D22</f>
        <v>27081</v>
      </c>
      <c r="I22" s="26">
        <f>F22*D22</f>
        <v>27477.327471209177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41.9</v>
      </c>
      <c r="D23" s="30">
        <v>271.39999999999998</v>
      </c>
      <c r="E23" s="29">
        <f>D23/$D$48</f>
        <v>1.4881588831680127E-2</v>
      </c>
      <c r="F23" s="28">
        <f>C23-(C23*$E$6)</f>
        <v>42.513201914392546</v>
      </c>
      <c r="G23" s="27" t="str">
        <f>IF(C23&gt;=F23,"-","+")</f>
        <v>+</v>
      </c>
      <c r="H23" s="26">
        <f>C23*D23</f>
        <v>11371.659999999998</v>
      </c>
      <c r="I23" s="26">
        <f>F23*D23</f>
        <v>11538.082999566135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47.840381717729784</v>
      </c>
      <c r="D24" s="22">
        <f>SUM(D21:D23)</f>
        <v>995.5</v>
      </c>
      <c r="E24" s="21">
        <f>D24/$D$48</f>
        <v>5.4585931031457507E-2</v>
      </c>
      <c r="F24" s="20">
        <f>I24/D24</f>
        <v>48.540520468435794</v>
      </c>
      <c r="G24" s="19">
        <f>F24/C24-1</f>
        <v>1.4634890558294478E-2</v>
      </c>
      <c r="H24" s="18">
        <f>SUM(H21:H23)</f>
        <v>47625.1</v>
      </c>
      <c r="I24" s="18">
        <f>SUM(I21:I23)</f>
        <v>48322.088126327835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36.5</v>
      </c>
      <c r="D26" s="30">
        <f>1242+1193.8</f>
        <v>2435.8000000000002</v>
      </c>
      <c r="E26" s="29">
        <f t="shared" ref="E26:E32" si="7">D26/$D$48</f>
        <v>0.13356143727415792</v>
      </c>
      <c r="F26" s="28">
        <f t="shared" ref="F26:F31" si="8">C26-(C26*$E$6)</f>
        <v>37.034173505377758</v>
      </c>
      <c r="G26" s="27" t="str">
        <f t="shared" ref="G26:G31" si="9">IF(C26&gt;=F26,"-","+")</f>
        <v>+</v>
      </c>
      <c r="H26" s="26">
        <f t="shared" ref="H26:H31" si="10">C26*D26</f>
        <v>88906.700000000012</v>
      </c>
      <c r="I26" s="26">
        <f t="shared" ref="I26:I31" si="11">F26*D26</f>
        <v>90207.839824399154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32.5</v>
      </c>
      <c r="D27" s="30">
        <v>3452.1</v>
      </c>
      <c r="E27" s="29">
        <f t="shared" si="7"/>
        <v>0.18928788800973828</v>
      </c>
      <c r="F27" s="28">
        <f t="shared" si="8"/>
        <v>32.97563394314458</v>
      </c>
      <c r="G27" s="27" t="str">
        <f t="shared" si="9"/>
        <v>+</v>
      </c>
      <c r="H27" s="26">
        <f t="shared" si="10"/>
        <v>112193.25</v>
      </c>
      <c r="I27" s="26">
        <f t="shared" si="11"/>
        <v>113835.1859351294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32.5</v>
      </c>
      <c r="D28" s="30">
        <v>2695.9</v>
      </c>
      <c r="E28" s="29">
        <f t="shared" si="7"/>
        <v>0.14782341684350206</v>
      </c>
      <c r="F28" s="28">
        <f t="shared" si="8"/>
        <v>32.97563394314458</v>
      </c>
      <c r="G28" s="27" t="str">
        <f t="shared" si="9"/>
        <v>+</v>
      </c>
      <c r="H28" s="26">
        <f t="shared" si="10"/>
        <v>87616.75</v>
      </c>
      <c r="I28" s="26">
        <f t="shared" si="11"/>
        <v>88899.011547323476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1930</v>
      </c>
      <c r="E29" s="29">
        <f t="shared" si="7"/>
        <v>0.10582706869986237</v>
      </c>
      <c r="F29" s="28">
        <f t="shared" si="8"/>
        <v>31.859535563530454</v>
      </c>
      <c r="G29" s="27" t="str">
        <f t="shared" si="9"/>
        <v>+</v>
      </c>
      <c r="H29" s="26">
        <f t="shared" si="10"/>
        <v>60602</v>
      </c>
      <c r="I29" s="26">
        <f t="shared" si="11"/>
        <v>61488.903637613774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981.6</v>
      </c>
      <c r="E30" s="29">
        <f t="shared" si="7"/>
        <v>5.3823756806106168E-2</v>
      </c>
      <c r="F30" s="28">
        <f t="shared" si="8"/>
        <v>31.859535563530454</v>
      </c>
      <c r="G30" s="27" t="str">
        <f t="shared" si="9"/>
        <v>+</v>
      </c>
      <c r="H30" s="26">
        <f t="shared" si="10"/>
        <v>30822.239999999998</v>
      </c>
      <c r="I30" s="26">
        <f t="shared" si="11"/>
        <v>31273.320109161494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</v>
      </c>
      <c r="D31" s="30">
        <v>374.1</v>
      </c>
      <c r="E31" s="29">
        <f t="shared" si="7"/>
        <v>2.0512904870786795E-2</v>
      </c>
      <c r="F31" s="28">
        <f t="shared" si="8"/>
        <v>32.46831649786543</v>
      </c>
      <c r="G31" s="27" t="str">
        <f t="shared" si="9"/>
        <v>+</v>
      </c>
      <c r="H31" s="26">
        <f t="shared" si="10"/>
        <v>11971.2</v>
      </c>
      <c r="I31" s="26">
        <f t="shared" si="11"/>
        <v>12146.397201851458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33.035270230422512</v>
      </c>
      <c r="D32" s="22">
        <f>SUM(D26:D31)</f>
        <v>11869.5</v>
      </c>
      <c r="E32" s="21">
        <f t="shared" si="7"/>
        <v>0.65083647250415355</v>
      </c>
      <c r="F32" s="20">
        <f>I32/D32</f>
        <v>33.518737794808438</v>
      </c>
      <c r="G32" s="19">
        <f>F32/C32-1</f>
        <v>1.46348905582947E-2</v>
      </c>
      <c r="H32" s="18">
        <f>SUM(H26:H31)</f>
        <v>392112.14</v>
      </c>
      <c r="I32" s="18">
        <f>SUM(I26:I31)</f>
        <v>397850.65825547877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2023.2</v>
      </c>
      <c r="E34" s="29">
        <f t="shared" ref="E34:E40" si="13">D34/$D$48</f>
        <v>0.11093747429718216</v>
      </c>
      <c r="F34" s="28">
        <f t="shared" ref="F34:F39" si="14">C34-(C34*$E$6)</f>
        <v>19.480989898719258</v>
      </c>
      <c r="G34" s="27" t="str">
        <f t="shared" ref="G34:G39" si="15">IF(C34&gt;=F34,"-","+")</f>
        <v>+</v>
      </c>
      <c r="H34" s="26">
        <f t="shared" ref="H34:H39" si="16">C34*D34</f>
        <v>38845.440000000002</v>
      </c>
      <c r="I34" s="26">
        <f t="shared" ref="I34:I39" si="17">F34*D34</f>
        <v>39413.938763088801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>
        <v>109.8</v>
      </c>
      <c r="E35" s="29">
        <f t="shared" si="13"/>
        <v>6.0206280534947608E-3</v>
      </c>
      <c r="F35" s="28">
        <f t="shared" si="14"/>
        <v>15.016596380262762</v>
      </c>
      <c r="G35" s="27" t="str">
        <f t="shared" si="15"/>
        <v>+</v>
      </c>
      <c r="H35" s="26">
        <f t="shared" si="16"/>
        <v>1625.04</v>
      </c>
      <c r="I35" s="26">
        <f t="shared" si="17"/>
        <v>1648.8222825528512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12.074155197643707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31.859535563530454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31.859535563530454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32.5</v>
      </c>
      <c r="D39" s="30"/>
      <c r="E39" s="29">
        <f t="shared" si="13"/>
        <v>0</v>
      </c>
      <c r="F39" s="28">
        <f t="shared" si="14"/>
        <v>32.97563394314458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18.973502109704643</v>
      </c>
      <c r="D40" s="22">
        <f>SUM(D34:D39)</f>
        <v>2133</v>
      </c>
      <c r="E40" s="113">
        <f t="shared" si="13"/>
        <v>0.11695810235067691</v>
      </c>
      <c r="F40" s="20">
        <f>I40/D40</f>
        <v>19.25117723658774</v>
      </c>
      <c r="G40" s="19">
        <f>F40/C40-1</f>
        <v>1.4634890558294478E-2</v>
      </c>
      <c r="H40" s="18">
        <f>SUM(H34:H39)</f>
        <v>40470.480000000003</v>
      </c>
      <c r="I40" s="18">
        <f>SUM(I34:I39)</f>
        <v>41062.761045641651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3023</v>
      </c>
      <c r="E42" s="107">
        <f>D42/$D$48</f>
        <v>0.16575918584439583</v>
      </c>
      <c r="F42" s="28">
        <f>C42-(C42*$E$6)</f>
        <v>0.40585395622331788</v>
      </c>
      <c r="G42" s="27" t="str">
        <f>IF(C42&gt;=F42,"-","+")</f>
        <v>+</v>
      </c>
      <c r="H42" s="26">
        <f>C42*D42</f>
        <v>1209.2</v>
      </c>
      <c r="I42" s="26">
        <f>F42*D42</f>
        <v>1226.89650966309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196</v>
      </c>
      <c r="E43" s="107">
        <f>D43/$D$48</f>
        <v>1.0747204904234729E-2</v>
      </c>
      <c r="F43" s="28">
        <f>C43-(C43*$E$6)</f>
        <v>0.40585395622331788</v>
      </c>
      <c r="G43" s="27" t="str">
        <f>IF(C43&gt;=F43,"-","+")</f>
        <v>+</v>
      </c>
      <c r="H43" s="26">
        <f>C43*D43</f>
        <v>78.400000000000006</v>
      </c>
      <c r="I43" s="26">
        <f>F43*D43</f>
        <v>79.547375419770304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12.8</v>
      </c>
      <c r="E44" s="107">
        <f>D44/$D$48</f>
        <v>7.0185827946022718E-4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7.5</v>
      </c>
      <c r="E45" s="107">
        <f>D45/$D$48</f>
        <v>4.1124508562122682E-4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0.39749328558639213</v>
      </c>
      <c r="D46" s="22">
        <f>SUM(D41:D45)</f>
        <v>3239.3</v>
      </c>
      <c r="E46" s="113">
        <f>D46/$D$48</f>
        <v>0.17761949411371203</v>
      </c>
      <c r="F46" s="20">
        <f>I46/D46</f>
        <v>0.40331055631860596</v>
      </c>
      <c r="G46" s="19">
        <f>F46/C46-1</f>
        <v>1.46348905582947E-2</v>
      </c>
      <c r="H46" s="18">
        <f>SUM(H41:H44)</f>
        <v>1287.6000000000001</v>
      </c>
      <c r="I46" s="18">
        <f>SUM(I41:I44)</f>
        <v>1306.4438850828603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100.24664734344333</v>
      </c>
      <c r="D48" s="13">
        <f>D24+D32+D40+D46</f>
        <v>18237.3</v>
      </c>
      <c r="E48" s="12">
        <f>SUM(E20:E46)/2</f>
        <v>1.0000000000000002</v>
      </c>
      <c r="F48" s="11">
        <f>I48/D48</f>
        <v>26.788063546277744</v>
      </c>
      <c r="G48" s="10"/>
      <c r="H48" s="9">
        <f>SUM(H20:H46)/2</f>
        <v>481495.31999999995</v>
      </c>
      <c r="I48" s="9">
        <f>SUM(I20:I46)/2</f>
        <v>488541.95131253108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22025</v>
      </c>
      <c r="E50" s="12">
        <f>D50/G2</f>
        <v>1</v>
      </c>
      <c r="F50" s="11">
        <f>I50/D50</f>
        <v>27.2</v>
      </c>
      <c r="G50" s="10"/>
      <c r="H50" s="9">
        <f>H48+H19</f>
        <v>590438.99</v>
      </c>
      <c r="I50" s="9">
        <f>I48+I19</f>
        <v>599080</v>
      </c>
      <c r="J50" s="106">
        <f>D50-G2</f>
        <v>0</v>
      </c>
      <c r="K50" s="8"/>
    </row>
    <row r="51" spans="1:11" ht="23.25" x14ac:dyDescent="0.35">
      <c r="A51" s="174" t="s">
        <v>365</v>
      </c>
      <c r="B51" s="169"/>
      <c r="C51" s="170"/>
      <c r="G51" s="7"/>
      <c r="H51" s="6"/>
      <c r="I51" s="6">
        <f>+I50/D50</f>
        <v>27.2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364</v>
      </c>
      <c r="D1" s="100" t="s">
        <v>1</v>
      </c>
      <c r="E1" s="168" t="s">
        <v>193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364</v>
      </c>
      <c r="D2" s="96" t="s">
        <v>3</v>
      </c>
      <c r="E2" s="95" t="s">
        <v>112</v>
      </c>
      <c r="F2" s="94" t="s">
        <v>5</v>
      </c>
      <c r="G2" s="93">
        <v>1777.7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334</v>
      </c>
      <c r="D3" s="90" t="s">
        <v>7</v>
      </c>
      <c r="E3" s="89">
        <v>24</v>
      </c>
      <c r="F3" s="88" t="s">
        <v>8</v>
      </c>
      <c r="G3" s="87">
        <v>23.75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74.07083333333334</v>
      </c>
      <c r="F4" s="81" t="s">
        <v>12</v>
      </c>
      <c r="G4" s="80">
        <f>G2*G3</f>
        <v>42220.375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-0.12361714749087249</v>
      </c>
      <c r="F6" s="69" t="s">
        <v>16</v>
      </c>
      <c r="G6" s="68">
        <f>(I50-I19)/(D50-(SUM(D42:D44)+D19))</f>
        <v>31.214235546355166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23.8</v>
      </c>
      <c r="D10" s="30"/>
      <c r="E10" s="29" t="e">
        <f t="shared" ref="E10:E19" si="1">D10/$D$19</f>
        <v>#DIV/0!</v>
      </c>
      <c r="F10" s="28">
        <f t="shared" ref="F10:F18" si="2">C10-(C10*$E$6)</f>
        <v>26.742088110282765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 t="e">
        <f t="shared" si="1"/>
        <v>#DIV/0!</v>
      </c>
      <c r="F11" s="28">
        <f t="shared" si="2"/>
        <v>27.753343543024549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22.6</v>
      </c>
      <c r="D12" s="30"/>
      <c r="E12" s="29" t="e">
        <f t="shared" si="1"/>
        <v>#DIV/0!</v>
      </c>
      <c r="F12" s="28">
        <f t="shared" si="2"/>
        <v>25.39374753329372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/>
      <c r="E13" s="29" t="e">
        <f t="shared" si="1"/>
        <v>#DIV/0!</v>
      </c>
      <c r="F13" s="28">
        <f t="shared" si="2"/>
        <v>27.753343543024549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27.7</v>
      </c>
      <c r="D14" s="30"/>
      <c r="E14" s="29" t="e">
        <f t="shared" si="1"/>
        <v>#DIV/0!</v>
      </c>
      <c r="F14" s="28">
        <f t="shared" si="2"/>
        <v>31.124194985497166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22.8</v>
      </c>
      <c r="D15" s="30"/>
      <c r="E15" s="29" t="e">
        <f t="shared" si="1"/>
        <v>#DIV/0!</v>
      </c>
      <c r="F15" s="28">
        <f t="shared" si="2"/>
        <v>25.618470962791893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31.2</v>
      </c>
      <c r="D16" s="30"/>
      <c r="E16" s="29" t="e">
        <f t="shared" si="1"/>
        <v>#DIV/0!</v>
      </c>
      <c r="F16" s="28">
        <f t="shared" si="2"/>
        <v>35.056855001715221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45.9</v>
      </c>
      <c r="D17" s="30"/>
      <c r="E17" s="29" t="e">
        <f t="shared" si="1"/>
        <v>#DIV/0!</v>
      </c>
      <c r="F17" s="28">
        <f t="shared" si="2"/>
        <v>51.574027069831047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40.200000000000003</v>
      </c>
      <c r="D18" s="30"/>
      <c r="E18" s="29" t="e">
        <f t="shared" si="1"/>
        <v>#DIV/0!</v>
      </c>
      <c r="F18" s="28">
        <f t="shared" si="2"/>
        <v>45.169409329133074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59.7</v>
      </c>
      <c r="D21" s="30">
        <v>17.7</v>
      </c>
      <c r="E21" s="29">
        <f>D21/$D$48</f>
        <v>9.9566856049952187E-3</v>
      </c>
      <c r="F21" s="28">
        <f>C21-(C21*$E$6)</f>
        <v>67.079943705205096</v>
      </c>
      <c r="G21" s="27" t="str">
        <f>IF(C21&gt;=F21,"-","+")</f>
        <v>+</v>
      </c>
      <c r="H21" s="26">
        <f>C21*D21</f>
        <v>1056.69</v>
      </c>
      <c r="I21" s="26">
        <f>F21*D21</f>
        <v>1187.3150035821302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40.1</v>
      </c>
      <c r="D22" s="30">
        <v>45.6</v>
      </c>
      <c r="E22" s="29">
        <f>D22/$D$48</f>
        <v>2.5651122236597854E-2</v>
      </c>
      <c r="F22" s="28">
        <f>C22-(C22*$E$6)</f>
        <v>45.05704761438399</v>
      </c>
      <c r="G22" s="27" t="str">
        <f>IF(C22&gt;=F22,"-","+")</f>
        <v>+</v>
      </c>
      <c r="H22" s="26">
        <f>C22*D22</f>
        <v>1828.5600000000002</v>
      </c>
      <c r="I22" s="26">
        <f>F22*D22</f>
        <v>2054.6013712159101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36.6</v>
      </c>
      <c r="D23" s="30">
        <v>53.4</v>
      </c>
      <c r="E23" s="29">
        <f>D23/$D$48</f>
        <v>3.0038814198121169E-2</v>
      </c>
      <c r="F23" s="28">
        <f>C23-(C23*$E$6)</f>
        <v>41.124387598165939</v>
      </c>
      <c r="G23" s="27" t="str">
        <f>IF(C23&gt;=F23,"-","+")</f>
        <v>+</v>
      </c>
      <c r="H23" s="26">
        <f>C23*D23</f>
        <v>1954.44</v>
      </c>
      <c r="I23" s="26">
        <f>F23*D23</f>
        <v>2196.0422977420612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41.471208226221087</v>
      </c>
      <c r="D24" s="22">
        <f>SUM(D21:D23)</f>
        <v>116.69999999999999</v>
      </c>
      <c r="E24" s="21">
        <f>D24/$D$48</f>
        <v>6.5646622039714234E-2</v>
      </c>
      <c r="F24" s="20">
        <f>I24/D24</f>
        <v>46.597760690146544</v>
      </c>
      <c r="G24" s="19">
        <f>F24/C24-1</f>
        <v>0.12361714749087249</v>
      </c>
      <c r="H24" s="18">
        <f>SUM(H21:H23)</f>
        <v>4839.6900000000005</v>
      </c>
      <c r="I24" s="18">
        <f>SUM(I21:I23)</f>
        <v>5437.9586725401014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31.9</v>
      </c>
      <c r="D26" s="30">
        <v>309.39999999999998</v>
      </c>
      <c r="E26" s="29">
        <f t="shared" ref="E26:E32" si="7">D26/$D$48</f>
        <v>0.17404511447375823</v>
      </c>
      <c r="F26" s="28">
        <f t="shared" ref="F26:F31" si="8">C26-(C26*$E$6)</f>
        <v>35.843387004958828</v>
      </c>
      <c r="G26" s="27" t="str">
        <f t="shared" ref="G26:G31" si="9">IF(C26&gt;=F26,"-","+")</f>
        <v>+</v>
      </c>
      <c r="H26" s="26">
        <f t="shared" ref="H26:H31" si="10">C26*D26</f>
        <v>9869.8599999999988</v>
      </c>
      <c r="I26" s="26">
        <f t="shared" ref="I26:I31" si="11">F26*D26</f>
        <v>11089.94393933426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28.4</v>
      </c>
      <c r="D27" s="30">
        <v>201.7</v>
      </c>
      <c r="E27" s="29">
        <f t="shared" si="7"/>
        <v>0.11346121392810936</v>
      </c>
      <c r="F27" s="28">
        <f t="shared" si="8"/>
        <v>31.910726988740777</v>
      </c>
      <c r="G27" s="27" t="str">
        <f t="shared" si="9"/>
        <v>+</v>
      </c>
      <c r="H27" s="26">
        <f t="shared" si="10"/>
        <v>5728.28</v>
      </c>
      <c r="I27" s="26">
        <f t="shared" si="11"/>
        <v>6436.3936336290144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28.4</v>
      </c>
      <c r="D28" s="30">
        <v>154.80000000000001</v>
      </c>
      <c r="E28" s="29">
        <f t="shared" si="7"/>
        <v>8.7078809697924295E-2</v>
      </c>
      <c r="F28" s="28">
        <f t="shared" si="8"/>
        <v>31.910726988740777</v>
      </c>
      <c r="G28" s="27" t="str">
        <f t="shared" si="9"/>
        <v>+</v>
      </c>
      <c r="H28" s="26">
        <f t="shared" si="10"/>
        <v>4396.32</v>
      </c>
      <c r="I28" s="26">
        <f t="shared" si="11"/>
        <v>4939.7805378570729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150</v>
      </c>
      <c r="E29" s="29">
        <f t="shared" si="7"/>
        <v>8.4378691567756098E-2</v>
      </c>
      <c r="F29" s="28">
        <f t="shared" si="8"/>
        <v>30.787109841249904</v>
      </c>
      <c r="G29" s="27" t="str">
        <f t="shared" si="9"/>
        <v>+</v>
      </c>
      <c r="H29" s="26">
        <f t="shared" si="10"/>
        <v>4110</v>
      </c>
      <c r="I29" s="26">
        <f t="shared" si="11"/>
        <v>4618.0664761874859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115.4</v>
      </c>
      <c r="E30" s="29">
        <f t="shared" si="7"/>
        <v>6.4915340046127035E-2</v>
      </c>
      <c r="F30" s="28">
        <f t="shared" si="8"/>
        <v>30.787109841249904</v>
      </c>
      <c r="G30" s="27" t="str">
        <f t="shared" si="9"/>
        <v>+</v>
      </c>
      <c r="H30" s="26">
        <f t="shared" si="10"/>
        <v>3161.96</v>
      </c>
      <c r="I30" s="26">
        <f t="shared" si="11"/>
        <v>3552.832475680239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27.9</v>
      </c>
      <c r="D31" s="30">
        <v>31</v>
      </c>
      <c r="E31" s="29">
        <f t="shared" si="7"/>
        <v>1.7438262924002926E-2</v>
      </c>
      <c r="F31" s="28">
        <f t="shared" si="8"/>
        <v>31.348918414995342</v>
      </c>
      <c r="G31" s="27" t="str">
        <f t="shared" si="9"/>
        <v>+</v>
      </c>
      <c r="H31" s="26">
        <f t="shared" si="10"/>
        <v>864.9</v>
      </c>
      <c r="I31" s="26">
        <f t="shared" si="11"/>
        <v>971.81647086485566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29.233419931414321</v>
      </c>
      <c r="D32" s="22">
        <f>SUM(D26:D31)</f>
        <v>962.3</v>
      </c>
      <c r="E32" s="21">
        <f t="shared" si="7"/>
        <v>0.54131743263767795</v>
      </c>
      <c r="F32" s="20">
        <f>I32/D32</f>
        <v>32.847171914738574</v>
      </c>
      <c r="G32" s="19">
        <f>F32/C32-1</f>
        <v>0.12361714749087249</v>
      </c>
      <c r="H32" s="18">
        <f>SUM(H26:H31)</f>
        <v>28131.32</v>
      </c>
      <c r="I32" s="18">
        <f>SUM(I26:I31)</f>
        <v>31608.83353355293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</v>
      </c>
      <c r="D34" s="30">
        <f>98.1+146.5</f>
        <v>244.6</v>
      </c>
      <c r="E34" s="29">
        <f t="shared" ref="E34:E40" si="13">D34/$D$48</f>
        <v>0.13759351971648762</v>
      </c>
      <c r="F34" s="28">
        <f t="shared" ref="F34:F39" si="14">C34-(C34*$E$6)</f>
        <v>18.876768077846659</v>
      </c>
      <c r="G34" s="27" t="str">
        <f t="shared" ref="G34:G39" si="15">IF(C34&gt;=F34,"-","+")</f>
        <v>+</v>
      </c>
      <c r="H34" s="26">
        <f t="shared" ref="H34:H39" si="16">C34*D34</f>
        <v>4109.28</v>
      </c>
      <c r="I34" s="26">
        <f t="shared" ref="I34:I39" si="17">F34*D34</f>
        <v>4617.2574718412925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25.2</v>
      </c>
      <c r="E35" s="29">
        <f t="shared" si="13"/>
        <v>1.4175620183383024E-2</v>
      </c>
      <c r="F35" s="28">
        <f t="shared" si="14"/>
        <v>14.494661202632255</v>
      </c>
      <c r="G35" s="27" t="str">
        <f t="shared" si="15"/>
        <v>+</v>
      </c>
      <c r="H35" s="26">
        <f t="shared" si="16"/>
        <v>325.08</v>
      </c>
      <c r="I35" s="26">
        <f t="shared" si="17"/>
        <v>365.26546230633284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11.685618333905074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30.787109841249904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30.787109841249904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28.4</v>
      </c>
      <c r="D39" s="30"/>
      <c r="E39" s="29">
        <f t="shared" si="13"/>
        <v>0</v>
      </c>
      <c r="F39" s="28">
        <f t="shared" si="14"/>
        <v>31.910726988740777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16.435730170496662</v>
      </c>
      <c r="D40" s="22">
        <f>SUM(D34:D39)</f>
        <v>269.8</v>
      </c>
      <c r="E40" s="113">
        <f t="shared" si="13"/>
        <v>0.15176913989987065</v>
      </c>
      <c r="F40" s="20">
        <f>I40/D40</f>
        <v>18.467468251103131</v>
      </c>
      <c r="G40" s="19">
        <f>F40/C40-1</f>
        <v>0.12361714749087249</v>
      </c>
      <c r="H40" s="18">
        <f>SUM(H34:H39)</f>
        <v>4434.3599999999997</v>
      </c>
      <c r="I40" s="18">
        <f>SUM(I34:I39)</f>
        <v>4982.5229341476252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210+20.7+179.7</f>
        <v>410.4</v>
      </c>
      <c r="E42" s="107">
        <f>D42/$D$48</f>
        <v>0.23086010012938066</v>
      </c>
      <c r="F42" s="28">
        <f>C42-(C42*$E$6)</f>
        <v>0.44944685899634901</v>
      </c>
      <c r="G42" s="27" t="str">
        <f>IF(C42&gt;=F42,"-","+")</f>
        <v>+</v>
      </c>
      <c r="H42" s="26">
        <f>C42*D42</f>
        <v>164.16</v>
      </c>
      <c r="I42" s="26">
        <f>F42*D42</f>
        <v>184.45299093210161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14.7</v>
      </c>
      <c r="E43" s="107">
        <f>D43/$D$48</f>
        <v>8.2691117736400973E-3</v>
      </c>
      <c r="F43" s="28">
        <f>C43-(C43*$E$6)</f>
        <v>0.44944685899634901</v>
      </c>
      <c r="G43" s="27" t="str">
        <f>IF(C43&gt;=F43,"-","+")</f>
        <v>+</v>
      </c>
      <c r="H43" s="26">
        <f>C43*D43</f>
        <v>5.88</v>
      </c>
      <c r="I43" s="26">
        <f>F43*D43</f>
        <v>6.6068688272463305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3.8</v>
      </c>
      <c r="E45" s="107">
        <f>D45/$D$48</f>
        <v>2.1375935197164879E-3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0.39645605036138959</v>
      </c>
      <c r="D46" s="22">
        <f>SUM(D41:D45)</f>
        <v>428.9</v>
      </c>
      <c r="E46" s="113">
        <f>D46/$D$48</f>
        <v>0.24126680542273726</v>
      </c>
      <c r="F46" s="20">
        <f>I46/D46</f>
        <v>0.44546481641256225</v>
      </c>
      <c r="G46" s="19">
        <f>F46/C46-1</f>
        <v>0.12361714749087249</v>
      </c>
      <c r="H46" s="18">
        <f>SUM(H41:H44)</f>
        <v>170.04</v>
      </c>
      <c r="I46" s="18">
        <f>SUM(I41:I44)</f>
        <v>191.05985975934794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87.53681437849346</v>
      </c>
      <c r="D48" s="13">
        <f>D24+D32+D40+D46</f>
        <v>1777.6999999999998</v>
      </c>
      <c r="E48" s="12">
        <f>SUM(E20:E46)/2</f>
        <v>1.0000000000000002</v>
      </c>
      <c r="F48" s="11">
        <f>I48/D48</f>
        <v>23.750000000000004</v>
      </c>
      <c r="G48" s="10"/>
      <c r="H48" s="9">
        <f>SUM(H20:H46)/2</f>
        <v>37575.409999999996</v>
      </c>
      <c r="I48" s="9">
        <f>SUM(I20:I46)/2</f>
        <v>42220.375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1777.7</v>
      </c>
      <c r="E50" s="12">
        <f>D50/G2</f>
        <v>1</v>
      </c>
      <c r="F50" s="11">
        <f>I50/D50</f>
        <v>23.75</v>
      </c>
      <c r="G50" s="10"/>
      <c r="H50" s="9">
        <f>H48+H19</f>
        <v>37575.409999999996</v>
      </c>
      <c r="I50" s="9">
        <f>I48+I19</f>
        <v>42220.375</v>
      </c>
      <c r="J50" s="106">
        <f>D50-G2</f>
        <v>0</v>
      </c>
      <c r="K50" s="8"/>
    </row>
    <row r="51" spans="1:11" ht="23.25" x14ac:dyDescent="0.35">
      <c r="A51" s="174" t="s">
        <v>366</v>
      </c>
      <c r="B51" s="169"/>
      <c r="C51" s="170"/>
      <c r="G51" s="7"/>
      <c r="H51" s="6"/>
      <c r="I51" s="6">
        <f>+I50/D50</f>
        <v>23.75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364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364</v>
      </c>
      <c r="D2" s="96" t="s">
        <v>3</v>
      </c>
      <c r="E2" s="95" t="s">
        <v>112</v>
      </c>
      <c r="F2" s="94" t="s">
        <v>5</v>
      </c>
      <c r="G2" s="93">
        <v>13641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216</v>
      </c>
      <c r="F3" s="88" t="s">
        <v>8</v>
      </c>
      <c r="G3" s="87">
        <v>21.53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63.152777777777779</v>
      </c>
      <c r="F4" s="81" t="s">
        <v>12</v>
      </c>
      <c r="G4" s="80">
        <f>G2*G3</f>
        <v>293690.73000000004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-9.4445015016394018E-2</v>
      </c>
      <c r="F6" s="69" t="s">
        <v>16</v>
      </c>
      <c r="G6" s="68">
        <f>(I50-I19)/(D50-(SUM(D42:D44)+D19))</f>
        <v>27.566499591698818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21.5</v>
      </c>
      <c r="D10" s="30"/>
      <c r="E10" s="29" t="e">
        <f t="shared" ref="E10:E19" si="1">D10/$D$19</f>
        <v>#DIV/0!</v>
      </c>
      <c r="F10" s="28">
        <f t="shared" ref="F10:F18" si="2">C10-(C10*$E$6)</f>
        <v>23.530567822852472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22.4</v>
      </c>
      <c r="D11" s="30"/>
      <c r="E11" s="29" t="e">
        <f t="shared" si="1"/>
        <v>#DIV/0!</v>
      </c>
      <c r="F11" s="28">
        <f t="shared" si="2"/>
        <v>24.515568336367224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20.5</v>
      </c>
      <c r="D12" s="30"/>
      <c r="E12" s="29" t="e">
        <f t="shared" si="1"/>
        <v>#DIV/0!</v>
      </c>
      <c r="F12" s="28">
        <f t="shared" si="2"/>
        <v>22.436122807836078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22.4</v>
      </c>
      <c r="D13" s="30"/>
      <c r="E13" s="29" t="e">
        <f t="shared" si="1"/>
        <v>#DIV/0!</v>
      </c>
      <c r="F13" s="28">
        <f t="shared" si="2"/>
        <v>24.515568336367224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25.1</v>
      </c>
      <c r="D14" s="30"/>
      <c r="E14" s="29" t="e">
        <f t="shared" si="1"/>
        <v>#DIV/0!</v>
      </c>
      <c r="F14" s="28">
        <f t="shared" si="2"/>
        <v>27.47056987691149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20.7</v>
      </c>
      <c r="D15" s="30"/>
      <c r="E15" s="29" t="e">
        <f t="shared" si="1"/>
        <v>#DIV/0!</v>
      </c>
      <c r="F15" s="28">
        <f t="shared" si="2"/>
        <v>22.655011810839355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28.3</v>
      </c>
      <c r="D16" s="30"/>
      <c r="E16" s="29" t="e">
        <f t="shared" si="1"/>
        <v>#DIV/0!</v>
      </c>
      <c r="F16" s="28">
        <f t="shared" si="2"/>
        <v>30.972793924963952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41.6</v>
      </c>
      <c r="D17" s="30"/>
      <c r="E17" s="29" t="e">
        <f t="shared" si="1"/>
        <v>#DIV/0!</v>
      </c>
      <c r="F17" s="28">
        <f t="shared" si="2"/>
        <v>45.528912624681993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36.5</v>
      </c>
      <c r="D18" s="30"/>
      <c r="E18" s="29" t="e">
        <f t="shared" si="1"/>
        <v>#DIV/0!</v>
      </c>
      <c r="F18" s="28">
        <f t="shared" si="2"/>
        <v>39.947243048098379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54.1</v>
      </c>
      <c r="D21" s="30">
        <v>175.9</v>
      </c>
      <c r="E21" s="29">
        <f>D21/$D$48</f>
        <v>1.2894949050656112E-2</v>
      </c>
      <c r="F21" s="28">
        <f>C21-(C21*$E$6)</f>
        <v>59.209475312386914</v>
      </c>
      <c r="G21" s="27" t="str">
        <f>IF(C21&gt;=F21,"-","+")</f>
        <v>+</v>
      </c>
      <c r="H21" s="26">
        <f>C21*D21</f>
        <v>9516.19</v>
      </c>
      <c r="I21" s="26">
        <f>F21*D21</f>
        <v>10414.946707448858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36.4</v>
      </c>
      <c r="D22" s="30">
        <v>379.7</v>
      </c>
      <c r="E22" s="29">
        <f>D22/$D$48</f>
        <v>2.7835202697749434E-2</v>
      </c>
      <c r="F22" s="28">
        <f>C22-(C22*$E$6)</f>
        <v>39.837798546596744</v>
      </c>
      <c r="G22" s="27" t="str">
        <f>IF(C22&gt;=F22,"-","+")</f>
        <v>+</v>
      </c>
      <c r="H22" s="26">
        <f>C22*D22</f>
        <v>13821.08</v>
      </c>
      <c r="I22" s="26">
        <f>F22*D22</f>
        <v>15126.412108142784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33.200000000000003</v>
      </c>
      <c r="D23" s="30">
        <v>272.5</v>
      </c>
      <c r="E23" s="29">
        <f>D23/$D$48</f>
        <v>1.9976541309288179E-2</v>
      </c>
      <c r="F23" s="28">
        <f>C23-(C23*$E$6)</f>
        <v>36.335574498544283</v>
      </c>
      <c r="G23" s="27" t="str">
        <f>IF(C23&gt;=F23,"-","+")</f>
        <v>+</v>
      </c>
      <c r="H23" s="26">
        <f>C23*D23</f>
        <v>9047</v>
      </c>
      <c r="I23" s="26">
        <f>F23*D23</f>
        <v>9901.4440508533171</v>
      </c>
      <c r="J23" s="25"/>
      <c r="K23" s="25"/>
    </row>
    <row r="24" spans="1:11" x14ac:dyDescent="0.25">
      <c r="A24" s="24" t="s">
        <v>34</v>
      </c>
      <c r="B24" s="23"/>
      <c r="C24" s="20">
        <f>H24/D24</f>
        <v>39.106714164955925</v>
      </c>
      <c r="D24" s="22">
        <f>SUM(D21:D23)</f>
        <v>828.1</v>
      </c>
      <c r="E24" s="21">
        <f>D24/$D$48</f>
        <v>6.0706693057693724E-2</v>
      </c>
      <c r="F24" s="20">
        <f>I24/D24</f>
        <v>42.800148371507014</v>
      </c>
      <c r="G24" s="19">
        <f>F24/C24-1</f>
        <v>9.4445015016394018E-2</v>
      </c>
      <c r="H24" s="18">
        <f>SUM(H21:H23)</f>
        <v>32384.27</v>
      </c>
      <c r="I24" s="18">
        <f>SUM(I21:I23)</f>
        <v>35442.802866444959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28.9</v>
      </c>
      <c r="D26" s="30">
        <f>1630.6+53.2+895.3</f>
        <v>2579.1</v>
      </c>
      <c r="E26" s="29">
        <f t="shared" ref="E26:E32" si="7">D26/$D$48</f>
        <v>0.18906971629645922</v>
      </c>
      <c r="F26" s="28">
        <f t="shared" ref="F26:F31" si="8">C26-(C26*$E$6)</f>
        <v>31.629460933973785</v>
      </c>
      <c r="G26" s="27" t="str">
        <f t="shared" ref="G26:G31" si="9">IF(C26&gt;=F26,"-","+")</f>
        <v>+</v>
      </c>
      <c r="H26" s="26">
        <f t="shared" ref="H26:H31" si="10">C26*D26</f>
        <v>74535.989999999991</v>
      </c>
      <c r="I26" s="26">
        <f t="shared" ref="I26:I31" si="11">F26*D26</f>
        <v>81575.542694811782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25.7</v>
      </c>
      <c r="D27" s="30">
        <v>1837</v>
      </c>
      <c r="E27" s="29">
        <f t="shared" si="7"/>
        <v>0.13466754636756839</v>
      </c>
      <c r="F27" s="28">
        <f t="shared" si="8"/>
        <v>28.127236885921327</v>
      </c>
      <c r="G27" s="27" t="str">
        <f t="shared" si="9"/>
        <v>+</v>
      </c>
      <c r="H27" s="26">
        <f t="shared" si="10"/>
        <v>47210.9</v>
      </c>
      <c r="I27" s="26">
        <f t="shared" si="11"/>
        <v>51669.734159437481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25.7</v>
      </c>
      <c r="D28" s="30">
        <v>1048.4000000000001</v>
      </c>
      <c r="E28" s="29">
        <f t="shared" si="7"/>
        <v>7.6856535444615515E-2</v>
      </c>
      <c r="F28" s="28">
        <f t="shared" si="8"/>
        <v>28.127236885921327</v>
      </c>
      <c r="G28" s="27" t="str">
        <f t="shared" si="9"/>
        <v>+</v>
      </c>
      <c r="H28" s="26">
        <f t="shared" si="10"/>
        <v>26943.88</v>
      </c>
      <c r="I28" s="26">
        <f t="shared" si="11"/>
        <v>29488.595151199923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24.9</v>
      </c>
      <c r="D29" s="30">
        <v>996.9</v>
      </c>
      <c r="E29" s="29">
        <f t="shared" si="7"/>
        <v>7.3081152408181221E-2</v>
      </c>
      <c r="F29" s="28">
        <f t="shared" si="8"/>
        <v>27.25168087390821</v>
      </c>
      <c r="G29" s="27" t="str">
        <f t="shared" si="9"/>
        <v>+</v>
      </c>
      <c r="H29" s="26">
        <f t="shared" si="10"/>
        <v>24822.809999999998</v>
      </c>
      <c r="I29" s="26">
        <f t="shared" si="11"/>
        <v>27167.200663199095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24.9</v>
      </c>
      <c r="D30" s="30">
        <v>759.2</v>
      </c>
      <c r="E30" s="29">
        <f t="shared" si="7"/>
        <v>5.5655743713803982E-2</v>
      </c>
      <c r="F30" s="28">
        <f t="shared" si="8"/>
        <v>27.25168087390821</v>
      </c>
      <c r="G30" s="27" t="str">
        <f t="shared" si="9"/>
        <v>+</v>
      </c>
      <c r="H30" s="26">
        <f t="shared" si="10"/>
        <v>18904.080000000002</v>
      </c>
      <c r="I30" s="26">
        <f t="shared" si="11"/>
        <v>20689.476119471114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25.3</v>
      </c>
      <c r="D31" s="30">
        <v>341.4</v>
      </c>
      <c r="E31" s="29">
        <f t="shared" si="7"/>
        <v>2.5027490653177921E-2</v>
      </c>
      <c r="F31" s="28">
        <f t="shared" si="8"/>
        <v>27.689458879914771</v>
      </c>
      <c r="G31" s="27" t="str">
        <f t="shared" si="9"/>
        <v>+</v>
      </c>
      <c r="H31" s="26">
        <f t="shared" si="10"/>
        <v>8637.42</v>
      </c>
      <c r="I31" s="26">
        <f t="shared" si="11"/>
        <v>9453.1812616029019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26.587553557259987</v>
      </c>
      <c r="D32" s="22">
        <f>SUM(D26:D31)</f>
        <v>7561.9999999999991</v>
      </c>
      <c r="E32" s="21">
        <f t="shared" si="7"/>
        <v>0.55435818488380617</v>
      </c>
      <c r="F32" s="20">
        <f>I32/D32</f>
        <v>29.098615452224589</v>
      </c>
      <c r="G32" s="19">
        <f>F32/C32-1</f>
        <v>9.4445015016394018E-2</v>
      </c>
      <c r="H32" s="18">
        <f>SUM(H26:H31)</f>
        <v>201055.08</v>
      </c>
      <c r="I32" s="18">
        <f>SUM(I26:I31)</f>
        <v>220043.7300497223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15.2</v>
      </c>
      <c r="D34" s="30">
        <f>1057.5+1021.8</f>
        <v>2079.3000000000002</v>
      </c>
      <c r="E34" s="29">
        <f t="shared" ref="E34:E40" si="13">D34/$D$48</f>
        <v>0.15243017374092813</v>
      </c>
      <c r="F34" s="28">
        <f t="shared" ref="F34:F39" si="14">C34-(C34*$E$6)</f>
        <v>16.635564228249187</v>
      </c>
      <c r="G34" s="27" t="str">
        <f t="shared" ref="G34:G39" si="15">IF(C34&gt;=F34,"-","+")</f>
        <v>+</v>
      </c>
      <c r="H34" s="26">
        <f t="shared" ref="H34:H39" si="16">C34*D34</f>
        <v>31605.360000000001</v>
      </c>
      <c r="I34" s="26">
        <f t="shared" ref="I34:I39" si="17">F34*D34</f>
        <v>34590.328699798534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11.7</v>
      </c>
      <c r="D35" s="30">
        <v>180.1</v>
      </c>
      <c r="E35" s="29">
        <f t="shared" si="13"/>
        <v>1.3202844366248811E-2</v>
      </c>
      <c r="F35" s="28">
        <f t="shared" si="14"/>
        <v>12.805006675691809</v>
      </c>
      <c r="G35" s="27" t="str">
        <f t="shared" si="15"/>
        <v>+</v>
      </c>
      <c r="H35" s="26">
        <f t="shared" si="16"/>
        <v>2107.1699999999996</v>
      </c>
      <c r="I35" s="26">
        <f t="shared" si="17"/>
        <v>2306.1817022920945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9.4</v>
      </c>
      <c r="D36" s="30"/>
      <c r="E36" s="29">
        <f t="shared" si="13"/>
        <v>0</v>
      </c>
      <c r="F36" s="28">
        <f t="shared" si="14"/>
        <v>10.287783141154105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24.9</v>
      </c>
      <c r="D37" s="30"/>
      <c r="E37" s="29">
        <f t="shared" si="13"/>
        <v>0</v>
      </c>
      <c r="F37" s="28">
        <f t="shared" si="14"/>
        <v>27.25168087390821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24.9</v>
      </c>
      <c r="D38" s="30"/>
      <c r="E38" s="29">
        <f t="shared" si="13"/>
        <v>0</v>
      </c>
      <c r="F38" s="28">
        <f t="shared" si="14"/>
        <v>27.25168087390821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25.7</v>
      </c>
      <c r="D39" s="30"/>
      <c r="E39" s="29">
        <f t="shared" si="13"/>
        <v>0</v>
      </c>
      <c r="F39" s="28">
        <f t="shared" si="14"/>
        <v>28.127236885921327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14.921010002655571</v>
      </c>
      <c r="D40" s="22">
        <f>SUM(D34:D39)</f>
        <v>2259.4</v>
      </c>
      <c r="E40" s="113">
        <f t="shared" si="13"/>
        <v>0.16563301810717693</v>
      </c>
      <c r="F40" s="20">
        <f>I40/D40</f>
        <v>16.33022501641614</v>
      </c>
      <c r="G40" s="19">
        <f>F40/C40-1</f>
        <v>9.4445015016394018E-2</v>
      </c>
      <c r="H40" s="18">
        <f>SUM(H34:H39)</f>
        <v>33712.53</v>
      </c>
      <c r="I40" s="18">
        <f>SUM(I34:I39)</f>
        <v>36896.510402090629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1176+170.1+1548.4</f>
        <v>2894.5</v>
      </c>
      <c r="E42" s="107">
        <f>D42/$D$48</f>
        <v>0.21219118832930139</v>
      </c>
      <c r="F42" s="28">
        <f>C42-(C42*$E$6)</f>
        <v>0.43777800600655764</v>
      </c>
      <c r="G42" s="27" t="str">
        <f>IF(C42&gt;=F42,"-","+")</f>
        <v>+</v>
      </c>
      <c r="H42" s="26">
        <f>C42*D42</f>
        <v>1157.8</v>
      </c>
      <c r="I42" s="26">
        <f>F42*D42</f>
        <v>1267.1484383859811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92.6</v>
      </c>
      <c r="E43" s="107">
        <f>D43/$D$48</f>
        <v>6.7883586247342578E-3</v>
      </c>
      <c r="F43" s="28">
        <f>C43-(C43*$E$6)</f>
        <v>0.43777800600655764</v>
      </c>
      <c r="G43" s="27" t="str">
        <f>IF(C43&gt;=F43,"-","+")</f>
        <v>+</v>
      </c>
      <c r="H43" s="26">
        <f>C43*D43</f>
        <v>37.04</v>
      </c>
      <c r="I43" s="26">
        <f>F43*D43</f>
        <v>40.538243356207232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4.4000000000000004</v>
      </c>
      <c r="E45" s="107">
        <f>D45/$D$48</f>
        <v>3.2255699728758893E-4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0.39941166638809961</v>
      </c>
      <c r="D46" s="22">
        <f>SUM(D41:D45)</f>
        <v>2991.5</v>
      </c>
      <c r="E46" s="113">
        <f>D46/$D$48</f>
        <v>0.21930210395132324</v>
      </c>
      <c r="F46" s="20">
        <f>I46/D46</f>
        <v>0.43713410721784668</v>
      </c>
      <c r="G46" s="19">
        <f>F46/C46-1</f>
        <v>9.444501501639424E-2</v>
      </c>
      <c r="H46" s="18">
        <f>SUM(H41:H44)</f>
        <v>1194.8399999999999</v>
      </c>
      <c r="I46" s="18">
        <f>SUM(I41:I44)</f>
        <v>1307.6866817421883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81.01468939125958</v>
      </c>
      <c r="D48" s="13">
        <f>D24+D32+D40+D46</f>
        <v>13640.999999999998</v>
      </c>
      <c r="E48" s="12">
        <f>SUM(E20:E46)/2</f>
        <v>1.0000000000000002</v>
      </c>
      <c r="F48" s="11">
        <f>I48/D48</f>
        <v>21.530000000000005</v>
      </c>
      <c r="G48" s="10"/>
      <c r="H48" s="9">
        <f>SUM(H20:H46)/2</f>
        <v>268346.71999999997</v>
      </c>
      <c r="I48" s="9">
        <f>SUM(I20:I46)/2</f>
        <v>293690.73000000004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13641</v>
      </c>
      <c r="E50" s="12">
        <f>D50/G2</f>
        <v>1</v>
      </c>
      <c r="F50" s="11">
        <f>I50/D50</f>
        <v>21.53</v>
      </c>
      <c r="G50" s="10"/>
      <c r="H50" s="9">
        <f>H48+H19</f>
        <v>268346.71999999997</v>
      </c>
      <c r="I50" s="9">
        <f>I48+I19</f>
        <v>293690.73000000004</v>
      </c>
      <c r="J50" s="106">
        <f>D50-G2</f>
        <v>0</v>
      </c>
      <c r="K50" s="8"/>
    </row>
    <row r="51" spans="1:11" ht="23.25" x14ac:dyDescent="0.35">
      <c r="A51" s="174" t="s">
        <v>367</v>
      </c>
      <c r="B51" s="169"/>
      <c r="C51" s="170"/>
      <c r="G51" s="7"/>
      <c r="H51" s="6"/>
      <c r="I51" s="6">
        <f>+I50/D50</f>
        <v>21.53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368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368</v>
      </c>
      <c r="D2" s="96" t="s">
        <v>3</v>
      </c>
      <c r="E2" s="95" t="s">
        <v>71</v>
      </c>
      <c r="F2" s="94" t="s">
        <v>5</v>
      </c>
      <c r="G2" s="93">
        <v>12359.5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187</v>
      </c>
      <c r="F3" s="88" t="s">
        <v>8</v>
      </c>
      <c r="G3" s="87">
        <v>27.2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66.093582887700535</v>
      </c>
      <c r="F4" s="81" t="s">
        <v>12</v>
      </c>
      <c r="G4" s="80">
        <f>G2*G3</f>
        <v>336178.39999999997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-1.4467991418050996E-2</v>
      </c>
      <c r="F6" s="69" t="s">
        <v>16</v>
      </c>
      <c r="G6" s="68">
        <f>(I50-I19)/(D50-(SUM(D42:D44)+D19))</f>
        <v>32.894812031546607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 t="e">
        <f t="shared" ref="E10:E19" si="1">D10/$D$19</f>
        <v>#DIV/0!</v>
      </c>
      <c r="F10" s="28">
        <f t="shared" ref="F10:F18" si="2">C10-(C10*$E$6)</f>
        <v>27.593529366570987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28.3</v>
      </c>
      <c r="D11" s="30"/>
      <c r="E11" s="29" t="e">
        <f t="shared" si="1"/>
        <v>#DIV/0!</v>
      </c>
      <c r="F11" s="28">
        <f t="shared" si="2"/>
        <v>28.709444157130843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25.9</v>
      </c>
      <c r="D12" s="30"/>
      <c r="E12" s="29" t="e">
        <f t="shared" si="1"/>
        <v>#DIV/0!</v>
      </c>
      <c r="F12" s="28">
        <f t="shared" si="2"/>
        <v>26.274720977727519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 t="e">
        <f t="shared" si="1"/>
        <v>#DIV/0!</v>
      </c>
      <c r="F13" s="28">
        <f t="shared" si="2"/>
        <v>28.709444157130843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31.7</v>
      </c>
      <c r="D14" s="30"/>
      <c r="E14" s="29" t="e">
        <f t="shared" si="1"/>
        <v>#DIV/0!</v>
      </c>
      <c r="F14" s="28">
        <f t="shared" si="2"/>
        <v>32.158635327952219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26.1</v>
      </c>
      <c r="D15" s="30"/>
      <c r="E15" s="29" t="e">
        <f t="shared" si="1"/>
        <v>#DIV/0!</v>
      </c>
      <c r="F15" s="28">
        <f t="shared" si="2"/>
        <v>26.477614576011131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35.700000000000003</v>
      </c>
      <c r="D16" s="30"/>
      <c r="E16" s="29" t="e">
        <f t="shared" si="1"/>
        <v>#DIV/0!</v>
      </c>
      <c r="F16" s="28">
        <f t="shared" si="2"/>
        <v>36.216507293624424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52.6</v>
      </c>
      <c r="D17" s="30"/>
      <c r="E17" s="29" t="e">
        <f t="shared" si="1"/>
        <v>#DIV/0!</v>
      </c>
      <c r="F17" s="28">
        <f t="shared" si="2"/>
        <v>53.361016348589487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46.1</v>
      </c>
      <c r="D18" s="30"/>
      <c r="E18" s="29" t="e">
        <f t="shared" si="1"/>
        <v>#DIV/0!</v>
      </c>
      <c r="F18" s="28">
        <f t="shared" si="2"/>
        <v>46.766974404372149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68.400000000000006</v>
      </c>
      <c r="D21" s="30">
        <v>150.69999999999999</v>
      </c>
      <c r="E21" s="29">
        <f>D21/$D$48</f>
        <v>1.2193049880658604E-2</v>
      </c>
      <c r="F21" s="28">
        <f>C21-(C21*$E$6)</f>
        <v>69.389610612994687</v>
      </c>
      <c r="G21" s="27" t="str">
        <f>IF(C21&gt;=F21,"-","+")</f>
        <v>+</v>
      </c>
      <c r="H21" s="26">
        <f>C21*D21</f>
        <v>10307.879999999999</v>
      </c>
      <c r="I21" s="26">
        <f>F21*D21</f>
        <v>10457.014319378299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371.9</v>
      </c>
      <c r="E22" s="29">
        <f>D22/$D$48</f>
        <v>3.0090214005420935E-2</v>
      </c>
      <c r="F22" s="28">
        <f>C22-(C22*$E$6)</f>
        <v>46.56408080608854</v>
      </c>
      <c r="G22" s="27" t="str">
        <f>IF(C22&gt;=F22,"-","+")</f>
        <v>+</v>
      </c>
      <c r="H22" s="26">
        <f>C22*D22</f>
        <v>17070.21</v>
      </c>
      <c r="I22" s="26">
        <f>F22*D22</f>
        <v>17317.181651784325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41.9</v>
      </c>
      <c r="D23" s="30">
        <v>305.7</v>
      </c>
      <c r="E23" s="29">
        <f>D23/$D$48</f>
        <v>2.4734010275496585E-2</v>
      </c>
      <c r="F23" s="28">
        <f>C23-(C23*$E$6)</f>
        <v>42.506208840416335</v>
      </c>
      <c r="G23" s="27" t="str">
        <f>IF(C23&gt;=F23,"-","+")</f>
        <v>+</v>
      </c>
      <c r="H23" s="26">
        <f>C23*D23</f>
        <v>12808.83</v>
      </c>
      <c r="I23" s="26">
        <f>F23*D23</f>
        <v>12994.148042515273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48.517348786671498</v>
      </c>
      <c r="D24" s="22">
        <f>SUM(D21:D23)</f>
        <v>828.3</v>
      </c>
      <c r="E24" s="21">
        <f>D24/$D$48</f>
        <v>6.7017274161576115E-2</v>
      </c>
      <c r="F24" s="20">
        <f>I24/D24</f>
        <v>49.219297372543643</v>
      </c>
      <c r="G24" s="19">
        <f>F24/C24-1</f>
        <v>1.4467991418050996E-2</v>
      </c>
      <c r="H24" s="18">
        <f>SUM(H21:H23)</f>
        <v>40186.92</v>
      </c>
      <c r="I24" s="18">
        <f>SUM(I21:I23)</f>
        <v>40768.344013677895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36.5</v>
      </c>
      <c r="D26" s="30">
        <v>2484.1</v>
      </c>
      <c r="E26" s="29">
        <f t="shared" ref="E26:E32" si="7">D26/$D$48</f>
        <v>0.20098709494720662</v>
      </c>
      <c r="F26" s="28">
        <f t="shared" ref="F26:F31" si="8">C26-(C26*$E$6)</f>
        <v>37.02808168675886</v>
      </c>
      <c r="G26" s="27" t="str">
        <f t="shared" ref="G26:G31" si="9">IF(C26&gt;=F26,"-","+")</f>
        <v>+</v>
      </c>
      <c r="H26" s="26">
        <f t="shared" ref="H26:H31" si="10">C26*D26</f>
        <v>90669.65</v>
      </c>
      <c r="I26" s="26">
        <f t="shared" ref="I26:I31" si="11">F26*D26</f>
        <v>91981.457718077683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32.5</v>
      </c>
      <c r="D27" s="30">
        <v>1860.1</v>
      </c>
      <c r="E27" s="29">
        <f t="shared" si="7"/>
        <v>0.15049961568024597</v>
      </c>
      <c r="F27" s="28">
        <f t="shared" si="8"/>
        <v>32.970209721086654</v>
      </c>
      <c r="G27" s="27" t="str">
        <f t="shared" si="9"/>
        <v>+</v>
      </c>
      <c r="H27" s="26">
        <f t="shared" si="10"/>
        <v>60453.25</v>
      </c>
      <c r="I27" s="26">
        <f t="shared" si="11"/>
        <v>61327.887102193279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32.5</v>
      </c>
      <c r="D28" s="30">
        <v>1243.5999999999999</v>
      </c>
      <c r="E28" s="29">
        <f t="shared" si="7"/>
        <v>0.10061895707755168</v>
      </c>
      <c r="F28" s="28">
        <f t="shared" si="8"/>
        <v>32.970209721086654</v>
      </c>
      <c r="G28" s="27" t="str">
        <f t="shared" si="9"/>
        <v>+</v>
      </c>
      <c r="H28" s="26">
        <f t="shared" si="10"/>
        <v>40417</v>
      </c>
      <c r="I28" s="26">
        <f t="shared" si="11"/>
        <v>41001.752809143363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946.2</v>
      </c>
      <c r="E29" s="29">
        <f t="shared" si="7"/>
        <v>7.6556495003843206E-2</v>
      </c>
      <c r="F29" s="28">
        <f t="shared" si="8"/>
        <v>31.854294930526798</v>
      </c>
      <c r="G29" s="27" t="str">
        <f t="shared" si="9"/>
        <v>+</v>
      </c>
      <c r="H29" s="26">
        <f t="shared" si="10"/>
        <v>29710.68</v>
      </c>
      <c r="I29" s="26">
        <f t="shared" si="11"/>
        <v>30140.533863264456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800</v>
      </c>
      <c r="E30" s="29">
        <f t="shared" si="7"/>
        <v>6.4727537521744413E-2</v>
      </c>
      <c r="F30" s="28">
        <f t="shared" si="8"/>
        <v>31.854294930526798</v>
      </c>
      <c r="G30" s="27" t="str">
        <f t="shared" si="9"/>
        <v>+</v>
      </c>
      <c r="H30" s="26">
        <f t="shared" si="10"/>
        <v>25120</v>
      </c>
      <c r="I30" s="26">
        <f t="shared" si="11"/>
        <v>25483.435944421439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</v>
      </c>
      <c r="D31" s="30">
        <v>358.4</v>
      </c>
      <c r="E31" s="29">
        <f t="shared" si="7"/>
        <v>2.8997936809741498E-2</v>
      </c>
      <c r="F31" s="28">
        <f t="shared" si="8"/>
        <v>32.462975725377632</v>
      </c>
      <c r="G31" s="27" t="str">
        <f t="shared" si="9"/>
        <v>+</v>
      </c>
      <c r="H31" s="26">
        <f t="shared" si="10"/>
        <v>11468.8</v>
      </c>
      <c r="I31" s="26">
        <f t="shared" si="11"/>
        <v>11634.730499975343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33.518717175393896</v>
      </c>
      <c r="D32" s="22">
        <f>SUM(D26:D31)</f>
        <v>7692.3999999999987</v>
      </c>
      <c r="E32" s="21">
        <f t="shared" si="7"/>
        <v>0.62238763704033329</v>
      </c>
      <c r="F32" s="20">
        <f>I32/D32</f>
        <v>34.003665687831578</v>
      </c>
      <c r="G32" s="19">
        <f>F32/C32-1</f>
        <v>1.4467991418051218E-2</v>
      </c>
      <c r="H32" s="18">
        <f>SUM(H26:H31)</f>
        <v>257839.37999999998</v>
      </c>
      <c r="I32" s="18">
        <f>SUM(I26:I31)</f>
        <v>261569.79793707558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1692.8</v>
      </c>
      <c r="E34" s="29">
        <f t="shared" ref="E34:E40" si="13">D34/$D$48</f>
        <v>0.13696346939601117</v>
      </c>
      <c r="F34" s="28">
        <f t="shared" ref="F34:F39" si="14">C34-(C34*$E$6)</f>
        <v>19.477785435226579</v>
      </c>
      <c r="G34" s="27" t="str">
        <f t="shared" ref="G34:G39" si="15">IF(C34&gt;=F34,"-","+")</f>
        <v>+</v>
      </c>
      <c r="H34" s="26">
        <f t="shared" ref="H34:H39" si="16">C34*D34</f>
        <v>32501.759999999998</v>
      </c>
      <c r="I34" s="26">
        <f t="shared" ref="I34:I39" si="17">F34*D34</f>
        <v>32971.995184751555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/>
      <c r="E35" s="29">
        <f t="shared" si="13"/>
        <v>0</v>
      </c>
      <c r="F35" s="28">
        <f t="shared" si="14"/>
        <v>15.014126272987156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12.072169097874808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31.854294930526798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31.854294930526798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32.5</v>
      </c>
      <c r="D39" s="30"/>
      <c r="E39" s="29">
        <f t="shared" si="13"/>
        <v>0</v>
      </c>
      <c r="F39" s="28">
        <f t="shared" si="14"/>
        <v>32.970209721086654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</v>
      </c>
      <c r="D40" s="22">
        <f>SUM(D34:D39)</f>
        <v>1692.8</v>
      </c>
      <c r="E40" s="113">
        <f t="shared" si="13"/>
        <v>0.13696346939601117</v>
      </c>
      <c r="F40" s="20">
        <f>I40/D40</f>
        <v>19.477785435226579</v>
      </c>
      <c r="G40" s="19">
        <f>F40/C40-1</f>
        <v>1.4467991418050996E-2</v>
      </c>
      <c r="H40" s="18">
        <f>SUM(H34:H39)</f>
        <v>32501.759999999998</v>
      </c>
      <c r="I40" s="18">
        <f>SUM(I34:I39)</f>
        <v>32971.995184751555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2046</v>
      </c>
      <c r="E42" s="107">
        <f>D42/$D$48</f>
        <v>0.16554067721186136</v>
      </c>
      <c r="F42" s="28">
        <f>C42-(C42*$E$6)</f>
        <v>0.4057871965672204</v>
      </c>
      <c r="G42" s="27" t="str">
        <f>IF(C42&gt;=F42,"-","+")</f>
        <v>+</v>
      </c>
      <c r="H42" s="26">
        <f>C42*D42</f>
        <v>818.40000000000009</v>
      </c>
      <c r="I42" s="26">
        <f>F42*D42</f>
        <v>830.24060417653288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93.7</v>
      </c>
      <c r="E43" s="107">
        <f>D43/$D$48</f>
        <v>7.5812128322343148E-3</v>
      </c>
      <c r="F43" s="28">
        <f>C43-(C43*$E$6)</f>
        <v>0.4057871965672204</v>
      </c>
      <c r="G43" s="27" t="str">
        <f>IF(C43&gt;=F43,"-","+")</f>
        <v>+</v>
      </c>
      <c r="H43" s="26">
        <f>C43*D43</f>
        <v>37.480000000000004</v>
      </c>
      <c r="I43" s="26">
        <f>F43*D43</f>
        <v>38.02226031834855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6.3</v>
      </c>
      <c r="E45" s="107">
        <f>D45/$D$48</f>
        <v>5.0972935798373727E-4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0.39882572227399821</v>
      </c>
      <c r="D46" s="22">
        <f>SUM(D41:D45)</f>
        <v>2146</v>
      </c>
      <c r="E46" s="113">
        <f>D46/$D$48</f>
        <v>0.17363161940207938</v>
      </c>
      <c r="F46" s="20">
        <f>I46/D46</f>
        <v>0.4045959294011563</v>
      </c>
      <c r="G46" s="19">
        <f>F46/C46-1</f>
        <v>1.4467991418050774E-2</v>
      </c>
      <c r="H46" s="18">
        <f>SUM(H41:H44)</f>
        <v>855.88000000000011</v>
      </c>
      <c r="I46" s="18">
        <f>SUM(I41:I44)</f>
        <v>868.26286449488146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101.63489168433939</v>
      </c>
      <c r="D48" s="13">
        <f>D24+D32+D40+D46</f>
        <v>12359.499999999998</v>
      </c>
      <c r="E48" s="12">
        <f>SUM(E20:E46)/2</f>
        <v>0.99999999999999978</v>
      </c>
      <c r="F48" s="11">
        <f>I48/D48</f>
        <v>27.200000000000003</v>
      </c>
      <c r="G48" s="10"/>
      <c r="H48" s="9">
        <f>SUM(H20:H46)/2</f>
        <v>331383.94</v>
      </c>
      <c r="I48" s="9">
        <f>SUM(I20:I46)/2</f>
        <v>336178.39999999997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12359.499999999998</v>
      </c>
      <c r="E50" s="12">
        <f>D50/G2</f>
        <v>0.99999999999999989</v>
      </c>
      <c r="F50" s="11">
        <f>I50/D50</f>
        <v>27.200000000000003</v>
      </c>
      <c r="G50" s="10"/>
      <c r="H50" s="9">
        <f>H48+H19</f>
        <v>331383.94</v>
      </c>
      <c r="I50" s="9">
        <f>I48+I19</f>
        <v>336178.39999999997</v>
      </c>
      <c r="J50" s="106">
        <f>D50-G2</f>
        <v>0</v>
      </c>
      <c r="K50" s="8"/>
    </row>
    <row r="51" spans="1:11" ht="23.25" x14ac:dyDescent="0.35">
      <c r="A51" s="174" t="s">
        <v>369</v>
      </c>
      <c r="B51" s="169"/>
      <c r="C51" s="170"/>
      <c r="G51" s="7"/>
      <c r="H51" s="6"/>
      <c r="I51" s="6">
        <f>+I50/D50</f>
        <v>27.200000000000003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368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368</v>
      </c>
      <c r="D2" s="96" t="s">
        <v>3</v>
      </c>
      <c r="E2" s="95" t="s">
        <v>71</v>
      </c>
      <c r="F2" s="94" t="s">
        <v>5</v>
      </c>
      <c r="G2" s="93">
        <v>8390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137</v>
      </c>
      <c r="F3" s="88" t="s">
        <v>8</v>
      </c>
      <c r="G3" s="87">
        <v>27.2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61.240875912408761</v>
      </c>
      <c r="F4" s="81" t="s">
        <v>12</v>
      </c>
      <c r="G4" s="80">
        <f>G2*G3</f>
        <v>228208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-3.7040544546260046E-2</v>
      </c>
      <c r="F6" s="69" t="s">
        <v>16</v>
      </c>
      <c r="G6" s="68">
        <f>(I50-I19)/(D50-(SUM(D42:D44)+D19))</f>
        <v>32.470643630629446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>
        <f t="shared" ref="E10:E19" si="1">D10/$D$19</f>
        <v>0</v>
      </c>
      <c r="F10" s="28">
        <f t="shared" ref="F10:F18" si="2">C10-(C10*$E$6)</f>
        <v>28.207502811658273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28.3</v>
      </c>
      <c r="D11" s="30">
        <v>1472.3</v>
      </c>
      <c r="E11" s="29">
        <f t="shared" si="1"/>
        <v>0.62449100780454703</v>
      </c>
      <c r="F11" s="28">
        <f t="shared" si="2"/>
        <v>29.348247410659159</v>
      </c>
      <c r="G11" s="27" t="str">
        <f t="shared" si="3"/>
        <v>+</v>
      </c>
      <c r="H11" s="34">
        <f t="shared" si="4"/>
        <v>41666.089999999997</v>
      </c>
      <c r="I11" s="34">
        <f t="shared" si="5"/>
        <v>43209.424662713478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25.9</v>
      </c>
      <c r="D12" s="30">
        <v>885.3</v>
      </c>
      <c r="E12" s="29">
        <f t="shared" si="1"/>
        <v>0.37550899219545297</v>
      </c>
      <c r="F12" s="28">
        <f t="shared" si="2"/>
        <v>26.859350103748135</v>
      </c>
      <c r="G12" s="27" t="str">
        <f t="shared" si="3"/>
        <v>+</v>
      </c>
      <c r="H12" s="34">
        <f t="shared" si="4"/>
        <v>22929.269999999997</v>
      </c>
      <c r="I12" s="34">
        <f t="shared" si="5"/>
        <v>23778.582646848223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>
        <f t="shared" si="1"/>
        <v>0</v>
      </c>
      <c r="F13" s="28">
        <f t="shared" si="2"/>
        <v>29.348247410659159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31.7</v>
      </c>
      <c r="D14" s="30"/>
      <c r="E14" s="29">
        <f t="shared" si="1"/>
        <v>0</v>
      </c>
      <c r="F14" s="28">
        <f t="shared" si="2"/>
        <v>32.874185262116441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26.1</v>
      </c>
      <c r="D15" s="30"/>
      <c r="E15" s="29">
        <f t="shared" si="1"/>
        <v>0</v>
      </c>
      <c r="F15" s="28">
        <f t="shared" si="2"/>
        <v>27.06675821265739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35.700000000000003</v>
      </c>
      <c r="D16" s="30"/>
      <c r="E16" s="29">
        <f t="shared" si="1"/>
        <v>0</v>
      </c>
      <c r="F16" s="28">
        <f t="shared" si="2"/>
        <v>37.022347440301488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52.6</v>
      </c>
      <c r="D17" s="30"/>
      <c r="E17" s="29">
        <f t="shared" si="1"/>
        <v>0</v>
      </c>
      <c r="F17" s="28">
        <f t="shared" si="2"/>
        <v>54.548332643133278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46.1</v>
      </c>
      <c r="D18" s="30"/>
      <c r="E18" s="29">
        <f t="shared" si="1"/>
        <v>0</v>
      </c>
      <c r="F18" s="28">
        <f t="shared" si="2"/>
        <v>47.807569103582587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27.39877841873091</v>
      </c>
      <c r="D19" s="49">
        <f>SUM(D10:D18)</f>
        <v>2357.6</v>
      </c>
      <c r="E19" s="48">
        <f t="shared" si="1"/>
        <v>1</v>
      </c>
      <c r="F19" s="47">
        <f>I19/D19</f>
        <v>28.41364409126302</v>
      </c>
      <c r="G19" s="46">
        <f>F19/C19-1</f>
        <v>3.7040544546260046E-2</v>
      </c>
      <c r="H19" s="9">
        <f>SUM(H10:H18)</f>
        <v>64595.359999999993</v>
      </c>
      <c r="I19" s="9">
        <f>SUM(I10:I18)</f>
        <v>66988.007309561697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68.400000000000006</v>
      </c>
      <c r="D21" s="30">
        <v>25.1</v>
      </c>
      <c r="E21" s="29">
        <f>D21/$D$48</f>
        <v>4.1608646641469399E-3</v>
      </c>
      <c r="F21" s="28">
        <f>C21-(C21*$E$6)</f>
        <v>70.933573246964187</v>
      </c>
      <c r="G21" s="27" t="str">
        <f>IF(C21&gt;=F21,"-","+")</f>
        <v>+</v>
      </c>
      <c r="H21" s="26">
        <f>C21*D21</f>
        <v>1716.8400000000001</v>
      </c>
      <c r="I21" s="26">
        <f>F21*D21</f>
        <v>1780.4326884988011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193.8</v>
      </c>
      <c r="E22" s="29">
        <f>D22/$D$48</f>
        <v>3.2126516809230163E-2</v>
      </c>
      <c r="F22" s="28">
        <f>C22-(C22*$E$6)</f>
        <v>47.600160994673331</v>
      </c>
      <c r="G22" s="27" t="str">
        <f>IF(C22&gt;=F22,"-","+")</f>
        <v>+</v>
      </c>
      <c r="H22" s="26">
        <f>C22*D22</f>
        <v>8895.42</v>
      </c>
      <c r="I22" s="26">
        <f>F22*D22</f>
        <v>9224.9112007676922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41.9</v>
      </c>
      <c r="D23" s="30">
        <v>47.1</v>
      </c>
      <c r="E23" s="29">
        <f>D23/$D$48</f>
        <v>7.8078376765466492E-3</v>
      </c>
      <c r="F23" s="28">
        <f>C23-(C23*$E$6)</f>
        <v>43.451998816488292</v>
      </c>
      <c r="G23" s="27" t="str">
        <f>IF(C23&gt;=F23,"-","+")</f>
        <v>+</v>
      </c>
      <c r="H23" s="26">
        <f>C23*D23</f>
        <v>1973.49</v>
      </c>
      <c r="I23" s="26">
        <f>F23*D23</f>
        <v>2046.5891442565985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47.314849624060152</v>
      </c>
      <c r="D24" s="22">
        <f>SUM(D21:D23)</f>
        <v>266</v>
      </c>
      <c r="E24" s="21">
        <f>D24/$D$48</f>
        <v>4.4095219149923745E-2</v>
      </c>
      <c r="F24" s="20">
        <f>I24/D24</f>
        <v>49.067417419259741</v>
      </c>
      <c r="G24" s="19">
        <f>F24/C24-1</f>
        <v>3.7040544546259824E-2</v>
      </c>
      <c r="H24" s="18">
        <f>SUM(H21:H23)</f>
        <v>12585.75</v>
      </c>
      <c r="I24" s="18">
        <f>SUM(I21:I23)</f>
        <v>13051.933033523092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36.5</v>
      </c>
      <c r="D26" s="30">
        <f>55.8+725.6</f>
        <v>781.4</v>
      </c>
      <c r="E26" s="29">
        <f t="shared" ref="E26:E32" si="7">D26/$D$48</f>
        <v>0.12953385054041511</v>
      </c>
      <c r="F26" s="28">
        <f t="shared" ref="F26:F31" si="8">C26-(C26*$E$6)</f>
        <v>37.85197987593849</v>
      </c>
      <c r="G26" s="27" t="str">
        <f t="shared" ref="G26:G31" si="9">IF(C26&gt;=F26,"-","+")</f>
        <v>+</v>
      </c>
      <c r="H26" s="26">
        <f t="shared" ref="H26:H31" si="10">C26*D26</f>
        <v>28521.1</v>
      </c>
      <c r="I26" s="26">
        <f t="shared" ref="I26:I31" si="11">F26*D26</f>
        <v>29577.537075058335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32.5</v>
      </c>
      <c r="D27" s="30">
        <v>1018.4</v>
      </c>
      <c r="E27" s="29">
        <f t="shared" si="7"/>
        <v>0.16882169617399378</v>
      </c>
      <c r="F27" s="28">
        <f t="shared" si="8"/>
        <v>33.70381769775345</v>
      </c>
      <c r="G27" s="27" t="str">
        <f t="shared" si="9"/>
        <v>+</v>
      </c>
      <c r="H27" s="26">
        <f t="shared" si="10"/>
        <v>33098</v>
      </c>
      <c r="I27" s="26">
        <f t="shared" si="11"/>
        <v>34323.967943392112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32.5</v>
      </c>
      <c r="D28" s="30">
        <v>808.2</v>
      </c>
      <c r="E28" s="29">
        <f t="shared" si="7"/>
        <v>0.13397652675552021</v>
      </c>
      <c r="F28" s="28">
        <f t="shared" si="8"/>
        <v>33.70381769775345</v>
      </c>
      <c r="G28" s="27" t="str">
        <f t="shared" si="9"/>
        <v>+</v>
      </c>
      <c r="H28" s="26">
        <f t="shared" si="10"/>
        <v>26266.5</v>
      </c>
      <c r="I28" s="26">
        <f t="shared" si="11"/>
        <v>27239.42546332434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743</v>
      </c>
      <c r="E29" s="29">
        <f t="shared" si="7"/>
        <v>0.12316822491877197</v>
      </c>
      <c r="F29" s="28">
        <f t="shared" si="8"/>
        <v>32.563073098752561</v>
      </c>
      <c r="G29" s="27" t="str">
        <f t="shared" si="9"/>
        <v>+</v>
      </c>
      <c r="H29" s="26">
        <f t="shared" si="10"/>
        <v>23330.2</v>
      </c>
      <c r="I29" s="26">
        <f t="shared" si="11"/>
        <v>24194.363312373152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353.3</v>
      </c>
      <c r="E30" s="29">
        <f t="shared" si="7"/>
        <v>5.8567071149128049E-2</v>
      </c>
      <c r="F30" s="28">
        <f t="shared" si="8"/>
        <v>32.563073098752561</v>
      </c>
      <c r="G30" s="27" t="str">
        <f t="shared" si="9"/>
        <v>+</v>
      </c>
      <c r="H30" s="26">
        <f t="shared" si="10"/>
        <v>11093.619999999999</v>
      </c>
      <c r="I30" s="26">
        <f t="shared" si="11"/>
        <v>11504.533725789281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</v>
      </c>
      <c r="D31" s="30">
        <v>89.9</v>
      </c>
      <c r="E31" s="29">
        <f t="shared" si="7"/>
        <v>1.4902857900669718E-2</v>
      </c>
      <c r="F31" s="28">
        <f t="shared" si="8"/>
        <v>33.185297425480321</v>
      </c>
      <c r="G31" s="27" t="str">
        <f t="shared" si="9"/>
        <v>+</v>
      </c>
      <c r="H31" s="26">
        <f t="shared" si="10"/>
        <v>2876.8</v>
      </c>
      <c r="I31" s="26">
        <f t="shared" si="11"/>
        <v>2983.3582385506811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32.994101523377786</v>
      </c>
      <c r="D32" s="22">
        <f>SUM(D26:D31)</f>
        <v>3794.2000000000003</v>
      </c>
      <c r="E32" s="21">
        <f t="shared" si="7"/>
        <v>0.62897022743849884</v>
      </c>
      <c r="F32" s="20">
        <f>I32/D32</f>
        <v>34.216221010618284</v>
      </c>
      <c r="G32" s="19">
        <f>F32/C32-1</f>
        <v>3.7040544546260046E-2</v>
      </c>
      <c r="H32" s="18">
        <f>SUM(H26:H31)</f>
        <v>125186.22</v>
      </c>
      <c r="I32" s="18">
        <f>SUM(I26:I31)</f>
        <v>129823.1857584879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899.1</v>
      </c>
      <c r="E34" s="29">
        <f t="shared" ref="E34:E40" si="13">D34/$D$48</f>
        <v>0.14904515615675354</v>
      </c>
      <c r="F34" s="28">
        <f t="shared" ref="F34:F39" si="14">C34-(C34*$E$6)</f>
        <v>19.911178455288191</v>
      </c>
      <c r="G34" s="27" t="str">
        <f t="shared" ref="G34:G39" si="15">IF(C34&gt;=F34,"-","+")</f>
        <v>+</v>
      </c>
      <c r="H34" s="26">
        <f t="shared" ref="H34:H39" si="16">C34*D34</f>
        <v>17262.72</v>
      </c>
      <c r="I34" s="26">
        <f t="shared" ref="I34:I39" si="17">F34*D34</f>
        <v>17902.140549149612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/>
      <c r="E35" s="29">
        <f t="shared" si="13"/>
        <v>0</v>
      </c>
      <c r="F35" s="28">
        <f t="shared" si="14"/>
        <v>15.348200059284649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12.340782480100495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32.563073098752561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32.563073098752561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32.5</v>
      </c>
      <c r="D39" s="30"/>
      <c r="E39" s="29">
        <f t="shared" si="13"/>
        <v>0</v>
      </c>
      <c r="F39" s="28">
        <f t="shared" si="14"/>
        <v>33.70381769775345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</v>
      </c>
      <c r="D40" s="22">
        <f>SUM(D34:D39)</f>
        <v>899.1</v>
      </c>
      <c r="E40" s="113">
        <f t="shared" si="13"/>
        <v>0.14904515615675354</v>
      </c>
      <c r="F40" s="20">
        <f>I40/D40</f>
        <v>19.911178455288191</v>
      </c>
      <c r="G40" s="19">
        <f>F40/C40-1</f>
        <v>3.7040544546260046E-2</v>
      </c>
      <c r="H40" s="18">
        <f>SUM(H34:H39)</f>
        <v>17262.72</v>
      </c>
      <c r="I40" s="18">
        <f>SUM(I34:I39)</f>
        <v>17902.140549149612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1031</v>
      </c>
      <c r="E42" s="107">
        <f>D42/$D$48</f>
        <v>0.17091041708109542</v>
      </c>
      <c r="F42" s="28">
        <f>C42-(C42*$E$6)</f>
        <v>0.41481621781850403</v>
      </c>
      <c r="G42" s="27" t="str">
        <f>IF(C42&gt;=F42,"-","+")</f>
        <v>+</v>
      </c>
      <c r="H42" s="26">
        <f>C42*D42</f>
        <v>412.40000000000003</v>
      </c>
      <c r="I42" s="26">
        <f>F42*D42</f>
        <v>427.67552057087767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36.299999999999997</v>
      </c>
      <c r="E43" s="107">
        <f>D43/$D$48</f>
        <v>6.0175054704595188E-3</v>
      </c>
      <c r="F43" s="28">
        <f>C43-(C43*$E$6)</f>
        <v>0.41481621781850403</v>
      </c>
      <c r="G43" s="27" t="str">
        <f>IF(C43&gt;=F43,"-","+")</f>
        <v>+</v>
      </c>
      <c r="H43" s="26">
        <f>C43*D43</f>
        <v>14.52</v>
      </c>
      <c r="I43" s="26">
        <f>F43*D43</f>
        <v>15.057828706811694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5.8</v>
      </c>
      <c r="E45" s="107">
        <f>D45/$D$48</f>
        <v>9.6147470326901402E-4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0.39783803932531919</v>
      </c>
      <c r="D46" s="22">
        <f>SUM(D41:D45)</f>
        <v>1073.0999999999999</v>
      </c>
      <c r="E46" s="113">
        <f>D46/$D$48</f>
        <v>0.17788939725482394</v>
      </c>
      <c r="F46" s="20">
        <f>I46/D46</f>
        <v>0.41257417694314547</v>
      </c>
      <c r="G46" s="19">
        <f>F46/C46-1</f>
        <v>3.7040544546260046E-2</v>
      </c>
      <c r="H46" s="18">
        <f>SUM(H41:H44)</f>
        <v>426.92</v>
      </c>
      <c r="I46" s="18">
        <f>SUM(I41:I44)</f>
        <v>442.73334927768934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99.906789186763262</v>
      </c>
      <c r="D48" s="13">
        <f>D24+D32+D40+D46</f>
        <v>6032.4</v>
      </c>
      <c r="E48" s="12">
        <f>SUM(E20:E46)/2</f>
        <v>1</v>
      </c>
      <c r="F48" s="11">
        <f>I48/D48</f>
        <v>26.725680109150304</v>
      </c>
      <c r="G48" s="10"/>
      <c r="H48" s="9">
        <f>SUM(H20:H46)/2</f>
        <v>155461.61000000002</v>
      </c>
      <c r="I48" s="9">
        <f>SUM(I20:I46)/2</f>
        <v>161219.99269043829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8390</v>
      </c>
      <c r="E50" s="12">
        <f>D50/G2</f>
        <v>1</v>
      </c>
      <c r="F50" s="11">
        <f>I50/D50</f>
        <v>27.2</v>
      </c>
      <c r="G50" s="10"/>
      <c r="H50" s="9">
        <f>H48+H19</f>
        <v>220056.97</v>
      </c>
      <c r="I50" s="9">
        <f>I48+I19</f>
        <v>228208</v>
      </c>
      <c r="J50" s="106">
        <f>D50-G2</f>
        <v>0</v>
      </c>
      <c r="K50" s="8"/>
    </row>
    <row r="51" spans="1:11" ht="23.25" x14ac:dyDescent="0.35">
      <c r="A51" s="174" t="s">
        <v>370</v>
      </c>
      <c r="B51" s="169"/>
      <c r="C51" s="170"/>
      <c r="G51" s="7"/>
      <c r="H51" s="6"/>
      <c r="I51" s="6">
        <f>+I50/D50</f>
        <v>27.2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368</v>
      </c>
      <c r="D1" s="100" t="s">
        <v>1</v>
      </c>
      <c r="E1" s="168" t="s">
        <v>371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372</v>
      </c>
      <c r="D2" s="96" t="s">
        <v>3</v>
      </c>
      <c r="E2" s="95" t="s">
        <v>112</v>
      </c>
      <c r="F2" s="94" t="s">
        <v>5</v>
      </c>
      <c r="G2" s="93">
        <v>1812.8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194</v>
      </c>
      <c r="D3" s="90" t="s">
        <v>7</v>
      </c>
      <c r="E3" s="89">
        <v>24</v>
      </c>
      <c r="F3" s="88" t="s">
        <v>8</v>
      </c>
      <c r="G3" s="87">
        <v>23.05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75.533333333333331</v>
      </c>
      <c r="F4" s="81" t="s">
        <v>12</v>
      </c>
      <c r="G4" s="80">
        <f>G2*G3</f>
        <v>41785.040000000001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-8.7989168288602704E-2</v>
      </c>
      <c r="F6" s="69" t="s">
        <v>16</v>
      </c>
      <c r="G6" s="68">
        <f>(I50-I19)/(D50-(SUM(D42:D44)+D19))</f>
        <v>29.208052565357196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23.1</v>
      </c>
      <c r="D10" s="30"/>
      <c r="E10" s="29" t="e">
        <f t="shared" ref="E10:E19" si="1">D10/$D$19</f>
        <v>#DIV/0!</v>
      </c>
      <c r="F10" s="28">
        <f t="shared" ref="F10:F18" si="2">C10-(C10*$E$6)</f>
        <v>25.132549787466722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</v>
      </c>
      <c r="D11" s="30"/>
      <c r="E11" s="29" t="e">
        <f t="shared" si="1"/>
        <v>#DIV/0!</v>
      </c>
      <c r="F11" s="28">
        <f t="shared" si="2"/>
        <v>26.111740038926463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21.9</v>
      </c>
      <c r="D12" s="30"/>
      <c r="E12" s="29" t="e">
        <f t="shared" si="1"/>
        <v>#DIV/0!</v>
      </c>
      <c r="F12" s="28">
        <f t="shared" si="2"/>
        <v>23.826962785520397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</v>
      </c>
      <c r="D13" s="30"/>
      <c r="E13" s="29" t="e">
        <f t="shared" si="1"/>
        <v>#DIV/0!</v>
      </c>
      <c r="F13" s="28">
        <f t="shared" si="2"/>
        <v>26.111740038926463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26.8</v>
      </c>
      <c r="D14" s="30"/>
      <c r="E14" s="29" t="e">
        <f t="shared" si="1"/>
        <v>#DIV/0!</v>
      </c>
      <c r="F14" s="28">
        <f t="shared" si="2"/>
        <v>29.158109710134553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22.1</v>
      </c>
      <c r="D15" s="30"/>
      <c r="E15" s="29" t="e">
        <f t="shared" si="1"/>
        <v>#DIV/0!</v>
      </c>
      <c r="F15" s="28">
        <f t="shared" si="2"/>
        <v>24.044560619178121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30.3</v>
      </c>
      <c r="D16" s="30"/>
      <c r="E16" s="29" t="e">
        <f t="shared" si="1"/>
        <v>#DIV/0!</v>
      </c>
      <c r="F16" s="28">
        <f t="shared" si="2"/>
        <v>32.966071799144665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44.6</v>
      </c>
      <c r="D17" s="30"/>
      <c r="E17" s="29" t="e">
        <f t="shared" si="1"/>
        <v>#DIV/0!</v>
      </c>
      <c r="F17" s="28">
        <f t="shared" si="2"/>
        <v>48.524316905671682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39.1</v>
      </c>
      <c r="D18" s="30"/>
      <c r="E18" s="29" t="e">
        <f t="shared" si="1"/>
        <v>#DIV/0!</v>
      </c>
      <c r="F18" s="28">
        <f t="shared" si="2"/>
        <v>42.540376480084369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58</v>
      </c>
      <c r="D21" s="30">
        <v>24.7</v>
      </c>
      <c r="E21" s="29">
        <f>D21/$D$48</f>
        <v>1.3625330979699913E-2</v>
      </c>
      <c r="F21" s="28">
        <f>C21-(C21*$E$6)</f>
        <v>63.103371760738959</v>
      </c>
      <c r="G21" s="27" t="str">
        <f>IF(C21&gt;=F21,"-","+")</f>
        <v>+</v>
      </c>
      <c r="H21" s="26">
        <f>C21*D21</f>
        <v>1432.6</v>
      </c>
      <c r="I21" s="26">
        <f>F21*D21</f>
        <v>1558.6532824902522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38.9</v>
      </c>
      <c r="D22" s="30">
        <v>50</v>
      </c>
      <c r="E22" s="29">
        <f>D22/$D$48</f>
        <v>2.7581641659311568E-2</v>
      </c>
      <c r="F22" s="28">
        <f>C22-(C22*$E$6)</f>
        <v>42.322778646426642</v>
      </c>
      <c r="G22" s="27" t="str">
        <f>IF(C22&gt;=F22,"-","+")</f>
        <v>+</v>
      </c>
      <c r="H22" s="26">
        <f>C22*D22</f>
        <v>1945</v>
      </c>
      <c r="I22" s="26">
        <f>F22*D22</f>
        <v>2116.138932321332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35.5</v>
      </c>
      <c r="D23" s="30">
        <v>41.2</v>
      </c>
      <c r="E23" s="29">
        <f>D23/$D$48</f>
        <v>2.2727272727272731E-2</v>
      </c>
      <c r="F23" s="28">
        <f>C23-(C23*$E$6)</f>
        <v>38.623615474245398</v>
      </c>
      <c r="G23" s="27" t="str">
        <f>IF(C23&gt;=F23,"-","+")</f>
        <v>+</v>
      </c>
      <c r="H23" s="26">
        <f>C23*D23</f>
        <v>1462.6000000000001</v>
      </c>
      <c r="I23" s="26">
        <f>F23*D23</f>
        <v>1591.2929575389105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41.761863675582397</v>
      </c>
      <c r="D24" s="22">
        <f>SUM(D21:D23)</f>
        <v>115.9</v>
      </c>
      <c r="E24" s="21">
        <f>D24/$D$48</f>
        <v>6.3934245366284212E-2</v>
      </c>
      <c r="F24" s="20">
        <f>I24/D24</f>
        <v>45.436455326578901</v>
      </c>
      <c r="G24" s="19">
        <f>F24/C24-1</f>
        <v>8.7989168288602704E-2</v>
      </c>
      <c r="H24" s="18">
        <f>SUM(H21:H23)</f>
        <v>4840.2</v>
      </c>
      <c r="I24" s="18">
        <f>SUM(I21:I23)</f>
        <v>5266.0851723504948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30.9</v>
      </c>
      <c r="D26" s="30">
        <v>320.5</v>
      </c>
      <c r="E26" s="29">
        <f t="shared" ref="E26:E32" si="7">D26/$D$48</f>
        <v>0.17679832303618714</v>
      </c>
      <c r="F26" s="28">
        <f t="shared" ref="F26:F31" si="8">C26-(C26*$E$6)</f>
        <v>33.618865300117825</v>
      </c>
      <c r="G26" s="27" t="str">
        <f t="shared" ref="G26:G31" si="9">IF(C26&gt;=F26,"-","+")</f>
        <v>+</v>
      </c>
      <c r="H26" s="26">
        <f t="shared" ref="H26:H31" si="10">C26*D26</f>
        <v>9903.4499999999989</v>
      </c>
      <c r="I26" s="26">
        <f t="shared" ref="I26:I31" si="11">F26*D26</f>
        <v>10774.846328687763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27.5</v>
      </c>
      <c r="D27" s="30">
        <v>247.9</v>
      </c>
      <c r="E27" s="29">
        <f t="shared" si="7"/>
        <v>0.13674977934686675</v>
      </c>
      <c r="F27" s="28">
        <f t="shared" si="8"/>
        <v>29.919702127936574</v>
      </c>
      <c r="G27" s="27" t="str">
        <f t="shared" si="9"/>
        <v>+</v>
      </c>
      <c r="H27" s="26">
        <f t="shared" si="10"/>
        <v>6817.25</v>
      </c>
      <c r="I27" s="26">
        <f t="shared" si="11"/>
        <v>7417.0941575154766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27.5</v>
      </c>
      <c r="D28" s="30">
        <v>186</v>
      </c>
      <c r="E28" s="29">
        <f t="shared" si="7"/>
        <v>0.10260370697263903</v>
      </c>
      <c r="F28" s="28">
        <f t="shared" si="8"/>
        <v>29.919702127936574</v>
      </c>
      <c r="G28" s="27" t="str">
        <f t="shared" si="9"/>
        <v>+</v>
      </c>
      <c r="H28" s="26">
        <f t="shared" si="10"/>
        <v>5115</v>
      </c>
      <c r="I28" s="26">
        <f t="shared" si="11"/>
        <v>5565.0645957962024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26.6</v>
      </c>
      <c r="D29" s="30">
        <v>156</v>
      </c>
      <c r="E29" s="29">
        <f t="shared" si="7"/>
        <v>8.6054721977052093E-2</v>
      </c>
      <c r="F29" s="28">
        <f t="shared" si="8"/>
        <v>28.940511876476833</v>
      </c>
      <c r="G29" s="27" t="str">
        <f t="shared" si="9"/>
        <v>+</v>
      </c>
      <c r="H29" s="26">
        <f t="shared" si="10"/>
        <v>4149.6000000000004</v>
      </c>
      <c r="I29" s="26">
        <f t="shared" si="11"/>
        <v>4514.7198527303863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26.6</v>
      </c>
      <c r="D30" s="30">
        <v>66</v>
      </c>
      <c r="E30" s="29">
        <f t="shared" si="7"/>
        <v>3.6407766990291267E-2</v>
      </c>
      <c r="F30" s="28">
        <f t="shared" si="8"/>
        <v>28.940511876476833</v>
      </c>
      <c r="G30" s="27" t="str">
        <f t="shared" si="9"/>
        <v>+</v>
      </c>
      <c r="H30" s="26">
        <f t="shared" si="10"/>
        <v>1755.6000000000001</v>
      </c>
      <c r="I30" s="26">
        <f t="shared" si="11"/>
        <v>1910.0737838474711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27.1</v>
      </c>
      <c r="D31" s="30">
        <v>32</v>
      </c>
      <c r="E31" s="29">
        <f t="shared" si="7"/>
        <v>1.7652250661959402E-2</v>
      </c>
      <c r="F31" s="28">
        <f t="shared" si="8"/>
        <v>29.484506460621134</v>
      </c>
      <c r="G31" s="27" t="str">
        <f t="shared" si="9"/>
        <v>+</v>
      </c>
      <c r="H31" s="26">
        <f t="shared" si="10"/>
        <v>867.2</v>
      </c>
      <c r="I31" s="26">
        <f t="shared" si="11"/>
        <v>943.50420673987628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28.369793732645771</v>
      </c>
      <c r="D32" s="22">
        <f>SUM(D26:D31)</f>
        <v>1008.4</v>
      </c>
      <c r="E32" s="21">
        <f t="shared" si="7"/>
        <v>0.55626654898499561</v>
      </c>
      <c r="F32" s="20">
        <f>I32/D32</f>
        <v>30.866028287700491</v>
      </c>
      <c r="G32" s="19">
        <f>F32/C32-1</f>
        <v>8.7989168288602926E-2</v>
      </c>
      <c r="H32" s="18">
        <f>SUM(H26:H31)</f>
        <v>28608.099999999995</v>
      </c>
      <c r="I32" s="18">
        <f>SUM(I26:I31)</f>
        <v>31125.302925317174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16.3</v>
      </c>
      <c r="D34" s="30">
        <f>153.3+120.6</f>
        <v>273.89999999999998</v>
      </c>
      <c r="E34" s="29">
        <f t="shared" ref="E34:E40" si="13">D34/$D$48</f>
        <v>0.15109223300970875</v>
      </c>
      <c r="F34" s="28">
        <f t="shared" ref="F34:F39" si="14">C34-(C34*$E$6)</f>
        <v>17.734223443104224</v>
      </c>
      <c r="G34" s="27" t="str">
        <f t="shared" ref="G34:G39" si="15">IF(C34&gt;=F34,"-","+")</f>
        <v>+</v>
      </c>
      <c r="H34" s="26">
        <f t="shared" ref="H34:H39" si="16">C34*D34</f>
        <v>4464.57</v>
      </c>
      <c r="I34" s="26">
        <f t="shared" ref="I34:I39" si="17">F34*D34</f>
        <v>4857.4038010662462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12.5</v>
      </c>
      <c r="D35" s="30">
        <v>27.2</v>
      </c>
      <c r="E35" s="29">
        <f t="shared" si="13"/>
        <v>1.5004413062665492E-2</v>
      </c>
      <c r="F35" s="28">
        <f t="shared" si="14"/>
        <v>13.599864603607534</v>
      </c>
      <c r="G35" s="27" t="str">
        <f t="shared" si="15"/>
        <v>+</v>
      </c>
      <c r="H35" s="26">
        <f t="shared" si="16"/>
        <v>340</v>
      </c>
      <c r="I35" s="26">
        <f t="shared" si="17"/>
        <v>369.9163172181249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10.1</v>
      </c>
      <c r="D36" s="30"/>
      <c r="E36" s="29">
        <f t="shared" si="13"/>
        <v>0</v>
      </c>
      <c r="F36" s="28">
        <f t="shared" si="14"/>
        <v>10.988690599714888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26.6</v>
      </c>
      <c r="D37" s="30"/>
      <c r="E37" s="29">
        <f t="shared" si="13"/>
        <v>0</v>
      </c>
      <c r="F37" s="28">
        <f t="shared" si="14"/>
        <v>28.940511876476833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26.6</v>
      </c>
      <c r="D38" s="30"/>
      <c r="E38" s="29">
        <f t="shared" si="13"/>
        <v>0</v>
      </c>
      <c r="F38" s="28">
        <f t="shared" si="14"/>
        <v>28.940511876476833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27.5</v>
      </c>
      <c r="D39" s="30"/>
      <c r="E39" s="29">
        <f t="shared" si="13"/>
        <v>0</v>
      </c>
      <c r="F39" s="28">
        <f t="shared" si="14"/>
        <v>29.919702127936574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15.956725340418467</v>
      </c>
      <c r="D40" s="22">
        <f>SUM(D34:D39)</f>
        <v>301.09999999999997</v>
      </c>
      <c r="E40" s="21">
        <f t="shared" si="13"/>
        <v>0.16609664607237423</v>
      </c>
      <c r="F40" s="20">
        <f>I40/D40</f>
        <v>17.360744331731556</v>
      </c>
      <c r="G40" s="19">
        <f>F40/C40-1</f>
        <v>8.7989168288602482E-2</v>
      </c>
      <c r="H40" s="18">
        <f>SUM(H34:H39)</f>
        <v>4804.57</v>
      </c>
      <c r="I40" s="18">
        <f>SUM(I34:I39)</f>
        <v>5227.3201182843713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177+28.8+171.6</f>
        <v>377.4</v>
      </c>
      <c r="E42" s="107">
        <f>D42/$D$48</f>
        <v>0.20818623124448368</v>
      </c>
      <c r="F42" s="28">
        <f>C42-(C42*$E$6)</f>
        <v>0.43519566731544113</v>
      </c>
      <c r="G42" s="27" t="str">
        <f>IF(C42&gt;=F42,"-","+")</f>
        <v>+</v>
      </c>
      <c r="H42" s="26">
        <f>C42*D42</f>
        <v>150.96</v>
      </c>
      <c r="I42" s="26">
        <f>F42*D42</f>
        <v>164.24284484484747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4.8</v>
      </c>
      <c r="E43" s="107">
        <f>D43/$D$48</f>
        <v>2.6478375992939102E-3</v>
      </c>
      <c r="F43" s="28">
        <f>C43-(C43*$E$6)</f>
        <v>0.43519566731544113</v>
      </c>
      <c r="G43" s="27" t="str">
        <f>IF(C43&gt;=F43,"-","+")</f>
        <v>+</v>
      </c>
      <c r="H43" s="26">
        <f>C43*D43</f>
        <v>1.92</v>
      </c>
      <c r="I43" s="26">
        <f>F43*D43</f>
        <v>2.0889392031141174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2.8684907325684031E-3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0.39463087248322148</v>
      </c>
      <c r="D46" s="22">
        <f>SUM(D41:D45)</f>
        <v>387.4</v>
      </c>
      <c r="E46" s="21">
        <f>D46/$D$48</f>
        <v>0.21370255957634601</v>
      </c>
      <c r="F46" s="20">
        <f>I46/D46</f>
        <v>0.42935411473402579</v>
      </c>
      <c r="G46" s="19">
        <f>F46/C46-1</f>
        <v>8.7989168288602704E-2</v>
      </c>
      <c r="H46" s="18">
        <f>SUM(H41:H44)</f>
        <v>152.88</v>
      </c>
      <c r="I46" s="18">
        <f>SUM(I41:I44)</f>
        <v>166.33178404796158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86.483013621129857</v>
      </c>
      <c r="D48" s="13">
        <f>D24+D32+D40+D46</f>
        <v>1812.7999999999997</v>
      </c>
      <c r="E48" s="12">
        <f>SUM(E20:E46)/2</f>
        <v>1.0000000000000002</v>
      </c>
      <c r="F48" s="11">
        <f>I48/D48</f>
        <v>23.050000000000004</v>
      </c>
      <c r="G48" s="10"/>
      <c r="H48" s="9">
        <f>SUM(H20:H46)/2</f>
        <v>38405.75</v>
      </c>
      <c r="I48" s="9">
        <f>SUM(I20:I46)/2</f>
        <v>41785.040000000001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1812.8</v>
      </c>
      <c r="E50" s="12">
        <f>D50/G2</f>
        <v>1</v>
      </c>
      <c r="F50" s="11">
        <f>I50/D50</f>
        <v>23.05</v>
      </c>
      <c r="G50" s="10"/>
      <c r="H50" s="9">
        <f>H48+H19</f>
        <v>38405.75</v>
      </c>
      <c r="I50" s="9">
        <f>I48+I19</f>
        <v>41785.040000000001</v>
      </c>
      <c r="J50" s="106">
        <f>D50-G2</f>
        <v>0</v>
      </c>
      <c r="K50" s="8"/>
    </row>
    <row r="51" spans="1:11" ht="23.25" x14ac:dyDescent="0.35">
      <c r="A51" s="174" t="s">
        <v>373</v>
      </c>
      <c r="B51" s="169"/>
      <c r="C51" s="170"/>
      <c r="G51" s="7"/>
      <c r="H51" s="6"/>
      <c r="I51" s="6">
        <f>+I50/D50</f>
        <v>23.05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368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372</v>
      </c>
      <c r="D2" s="96" t="s">
        <v>3</v>
      </c>
      <c r="E2" s="95" t="s">
        <v>362</v>
      </c>
      <c r="F2" s="94" t="s">
        <v>5</v>
      </c>
      <c r="G2" s="93">
        <v>21967.599999999999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328</v>
      </c>
      <c r="F3" s="88" t="s">
        <v>8</v>
      </c>
      <c r="G3" s="87">
        <v>26.9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66.974390243902434</v>
      </c>
      <c r="F4" s="81" t="s">
        <v>12</v>
      </c>
      <c r="G4" s="80">
        <f>G2*G3</f>
        <v>590928.43999999994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-1.206364969410223E-2</v>
      </c>
      <c r="F6" s="69" t="s">
        <v>16</v>
      </c>
      <c r="G6" s="68">
        <f>(I50-I19)/(D50-(SUM(D42:D44)+D19))</f>
        <v>31.423581359339266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26.9</v>
      </c>
      <c r="D10" s="30"/>
      <c r="E10" s="29">
        <f t="shared" ref="E10:E19" si="1">D10/$D$19</f>
        <v>0</v>
      </c>
      <c r="F10" s="28">
        <f t="shared" ref="F10:F18" si="2">C10-(C10*$E$6)</f>
        <v>27.224512176771348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</v>
      </c>
      <c r="D11" s="30">
        <v>5891.1</v>
      </c>
      <c r="E11" s="29">
        <f t="shared" si="1"/>
        <v>0.41962988289597408</v>
      </c>
      <c r="F11" s="28">
        <f t="shared" si="2"/>
        <v>28.337782191434862</v>
      </c>
      <c r="G11" s="27" t="str">
        <f t="shared" si="3"/>
        <v>+</v>
      </c>
      <c r="H11" s="34">
        <f t="shared" si="4"/>
        <v>164950.80000000002</v>
      </c>
      <c r="I11" s="34">
        <f t="shared" si="5"/>
        <v>166940.70866796191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30">
        <v>7669.9</v>
      </c>
      <c r="E12" s="29">
        <f t="shared" si="1"/>
        <v>0.54633586916260646</v>
      </c>
      <c r="F12" s="28">
        <f t="shared" si="2"/>
        <v>25.908829432169018</v>
      </c>
      <c r="G12" s="27" t="str">
        <f t="shared" si="3"/>
        <v>+</v>
      </c>
      <c r="H12" s="34">
        <f t="shared" si="4"/>
        <v>196349.44</v>
      </c>
      <c r="I12" s="34">
        <f t="shared" si="5"/>
        <v>198718.13086179315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</v>
      </c>
      <c r="D13" s="30"/>
      <c r="E13" s="29">
        <f t="shared" si="1"/>
        <v>0</v>
      </c>
      <c r="F13" s="28">
        <f t="shared" si="2"/>
        <v>28.337782191434862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31.3</v>
      </c>
      <c r="D14" s="30">
        <v>115.8</v>
      </c>
      <c r="E14" s="29">
        <f t="shared" si="1"/>
        <v>8.2485682536968981E-3</v>
      </c>
      <c r="F14" s="28">
        <f t="shared" si="2"/>
        <v>31.677592235425401</v>
      </c>
      <c r="G14" s="27" t="str">
        <f t="shared" si="3"/>
        <v>+</v>
      </c>
      <c r="H14" s="34">
        <f t="shared" si="4"/>
        <v>3624.54</v>
      </c>
      <c r="I14" s="34">
        <f t="shared" si="5"/>
        <v>3668.2651808622613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25.8</v>
      </c>
      <c r="D15" s="30">
        <v>82</v>
      </c>
      <c r="E15" s="29">
        <f t="shared" si="1"/>
        <v>5.8409550673846769E-3</v>
      </c>
      <c r="F15" s="28">
        <f t="shared" si="2"/>
        <v>26.111242162107839</v>
      </c>
      <c r="G15" s="27" t="str">
        <f t="shared" si="3"/>
        <v>+</v>
      </c>
      <c r="H15" s="34">
        <f t="shared" si="4"/>
        <v>2115.6</v>
      </c>
      <c r="I15" s="34">
        <f t="shared" si="5"/>
        <v>2141.1218572928428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30">
        <v>257</v>
      </c>
      <c r="E16" s="29">
        <f t="shared" si="1"/>
        <v>1.8306407955095878E-2</v>
      </c>
      <c r="F16" s="28">
        <f t="shared" si="2"/>
        <v>35.827053199171218</v>
      </c>
      <c r="G16" s="27" t="str">
        <f t="shared" si="3"/>
        <v>+</v>
      </c>
      <c r="H16" s="34">
        <f t="shared" si="4"/>
        <v>9097.7999999999993</v>
      </c>
      <c r="I16" s="34">
        <f t="shared" si="5"/>
        <v>9207.5526721870028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</v>
      </c>
      <c r="D17" s="30">
        <v>23</v>
      </c>
      <c r="E17" s="29">
        <f t="shared" si="1"/>
        <v>1.6383166652420436E-3</v>
      </c>
      <c r="F17" s="28">
        <f t="shared" si="2"/>
        <v>52.627309784093313</v>
      </c>
      <c r="G17" s="27" t="str">
        <f t="shared" si="3"/>
        <v>+</v>
      </c>
      <c r="H17" s="34">
        <f t="shared" si="4"/>
        <v>1196</v>
      </c>
      <c r="I17" s="34">
        <f t="shared" si="5"/>
        <v>1210.4281250341462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45.6</v>
      </c>
      <c r="D18" s="30"/>
      <c r="E18" s="29">
        <f t="shared" si="1"/>
        <v>0</v>
      </c>
      <c r="F18" s="28">
        <f t="shared" si="2"/>
        <v>46.150102426051063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26.877951106932212</v>
      </c>
      <c r="D19" s="49">
        <f>SUM(D10:D18)</f>
        <v>14038.8</v>
      </c>
      <c r="E19" s="48">
        <f t="shared" si="1"/>
        <v>1</v>
      </c>
      <c r="F19" s="47">
        <f>I19/D19</f>
        <v>27.202197293581452</v>
      </c>
      <c r="G19" s="46">
        <f>F19/C19-1</f>
        <v>1.2063649694102452E-2</v>
      </c>
      <c r="H19" s="9">
        <f>SUM(H10:H18)</f>
        <v>377334.17999999993</v>
      </c>
      <c r="I19" s="9">
        <f>SUM(I10:I18)</f>
        <v>381886.2073651313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67.7</v>
      </c>
      <c r="D21" s="30">
        <v>96.8</v>
      </c>
      <c r="E21" s="29">
        <f>D21/$D$48</f>
        <v>1.2209119001072081E-2</v>
      </c>
      <c r="F21" s="28">
        <f>C21-(C21*$E$6)</f>
        <v>68.516709084290724</v>
      </c>
      <c r="G21" s="27" t="str">
        <f>IF(C21&gt;=F21,"-","+")</f>
        <v>+</v>
      </c>
      <c r="H21" s="26">
        <f>C21*D21</f>
        <v>6553.36</v>
      </c>
      <c r="I21" s="26">
        <f>F21*D21</f>
        <v>6632.4174393593421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45.4</v>
      </c>
      <c r="D22" s="30">
        <v>136.9</v>
      </c>
      <c r="E22" s="29">
        <f>D22/$D$48</f>
        <v>1.7266822223623638E-2</v>
      </c>
      <c r="F22" s="28">
        <f>C22-(C22*$E$6)</f>
        <v>45.947689696112242</v>
      </c>
      <c r="G22" s="27" t="str">
        <f>IF(C22&gt;=F22,"-","+")</f>
        <v>+</v>
      </c>
      <c r="H22" s="26">
        <f>C22*D22</f>
        <v>6215.26</v>
      </c>
      <c r="I22" s="26">
        <f>F22*D22</f>
        <v>6290.2387193977665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41.4</v>
      </c>
      <c r="D23" s="30">
        <v>211.7</v>
      </c>
      <c r="E23" s="29">
        <f>D23/$D$48</f>
        <v>2.6701141451724787E-2</v>
      </c>
      <c r="F23" s="28">
        <f>C23-(C23*$E$6)</f>
        <v>41.899435097335832</v>
      </c>
      <c r="G23" s="27" t="str">
        <f>IF(C23&gt;=F23,"-","+")</f>
        <v>+</v>
      </c>
      <c r="H23" s="26">
        <f>C23*D23</f>
        <v>8764.3799999999992</v>
      </c>
      <c r="I23" s="26">
        <f>F23*D23</f>
        <v>8870.1104101059955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48.345307588684328</v>
      </c>
      <c r="D24" s="22">
        <f>SUM(D21:D23)</f>
        <v>445.4</v>
      </c>
      <c r="E24" s="21">
        <f>D24/$D$48</f>
        <v>5.6177082676420506E-2</v>
      </c>
      <c r="F24" s="20">
        <f>I24/D24</f>
        <v>48.92852844378784</v>
      </c>
      <c r="G24" s="19">
        <f>F24/C24-1</f>
        <v>1.206364969410223E-2</v>
      </c>
      <c r="H24" s="18">
        <f>SUM(H21:H23)</f>
        <v>21533</v>
      </c>
      <c r="I24" s="18">
        <f>SUM(I21:I23)</f>
        <v>21792.766568863102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36.1</v>
      </c>
      <c r="D26" s="30">
        <f>1109.9+240</f>
        <v>1349.9</v>
      </c>
      <c r="E26" s="29">
        <f t="shared" ref="E26:E32" si="7">D26/$D$48</f>
        <v>0.17025919152424798</v>
      </c>
      <c r="F26" s="28">
        <f t="shared" ref="F26:F31" si="8">C26-(C26*$E$6)</f>
        <v>36.535497753957095</v>
      </c>
      <c r="G26" s="27" t="str">
        <f t="shared" ref="G26:G31" si="9">IF(C26&gt;=F26,"-","+")</f>
        <v>+</v>
      </c>
      <c r="H26" s="26">
        <f t="shared" ref="H26:H31" si="10">C26*D26</f>
        <v>48731.390000000007</v>
      </c>
      <c r="I26" s="26">
        <f t="shared" ref="I26:I31" si="11">F26*D26</f>
        <v>49319.268418066684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32.1</v>
      </c>
      <c r="D27" s="30">
        <v>1292.5999999999999</v>
      </c>
      <c r="E27" s="29">
        <f t="shared" si="7"/>
        <v>0.16303209938828275</v>
      </c>
      <c r="F27" s="28">
        <f t="shared" si="8"/>
        <v>32.487243155180686</v>
      </c>
      <c r="G27" s="27" t="str">
        <f t="shared" si="9"/>
        <v>+</v>
      </c>
      <c r="H27" s="26">
        <f t="shared" si="10"/>
        <v>41492.46</v>
      </c>
      <c r="I27" s="26">
        <f t="shared" si="11"/>
        <v>41993.010502386554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32.1</v>
      </c>
      <c r="D28" s="30">
        <v>840</v>
      </c>
      <c r="E28" s="29">
        <f t="shared" si="7"/>
        <v>0.10594690042252633</v>
      </c>
      <c r="F28" s="28">
        <f t="shared" si="8"/>
        <v>32.487243155180686</v>
      </c>
      <c r="G28" s="27" t="str">
        <f t="shared" si="9"/>
        <v>+</v>
      </c>
      <c r="H28" s="26">
        <f t="shared" si="10"/>
        <v>26964</v>
      </c>
      <c r="I28" s="26">
        <f t="shared" si="11"/>
        <v>27289.284250351775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30">
        <v>743.9</v>
      </c>
      <c r="E29" s="29">
        <f t="shared" si="7"/>
        <v>9.3826070505139678E-2</v>
      </c>
      <c r="F29" s="28">
        <f t="shared" si="8"/>
        <v>31.47517950548658</v>
      </c>
      <c r="G29" s="27" t="str">
        <f t="shared" si="9"/>
        <v>+</v>
      </c>
      <c r="H29" s="26">
        <f t="shared" si="10"/>
        <v>23135.29</v>
      </c>
      <c r="I29" s="26">
        <f t="shared" si="11"/>
        <v>23414.386034131465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30">
        <v>391</v>
      </c>
      <c r="E30" s="29">
        <f t="shared" si="7"/>
        <v>4.9315759601437852E-2</v>
      </c>
      <c r="F30" s="28">
        <f t="shared" si="8"/>
        <v>31.47517950548658</v>
      </c>
      <c r="G30" s="27" t="str">
        <f t="shared" si="9"/>
        <v>+</v>
      </c>
      <c r="H30" s="26">
        <f t="shared" si="10"/>
        <v>12160.1</v>
      </c>
      <c r="I30" s="26">
        <f t="shared" si="11"/>
        <v>12306.795186645253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31.6</v>
      </c>
      <c r="D31" s="30">
        <v>189.7</v>
      </c>
      <c r="E31" s="29">
        <f t="shared" si="7"/>
        <v>2.3926341678753862E-2</v>
      </c>
      <c r="F31" s="28">
        <f t="shared" si="8"/>
        <v>31.981211330333633</v>
      </c>
      <c r="G31" s="27" t="str">
        <f t="shared" si="9"/>
        <v>+</v>
      </c>
      <c r="H31" s="26">
        <f t="shared" si="10"/>
        <v>5994.5199999999995</v>
      </c>
      <c r="I31" s="26">
        <f t="shared" si="11"/>
        <v>6066.8357893642897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32.967435668074316</v>
      </c>
      <c r="D32" s="22">
        <f>SUM(D26:D31)</f>
        <v>4807.0999999999995</v>
      </c>
      <c r="E32" s="21">
        <f t="shared" si="7"/>
        <v>0.60630636312038844</v>
      </c>
      <c r="F32" s="20">
        <f>I32/D32</f>
        <v>33.365143263286818</v>
      </c>
      <c r="G32" s="19">
        <f>F32/C32-1</f>
        <v>1.206364969410223E-2</v>
      </c>
      <c r="H32" s="18">
        <f>SUM(H26:H31)</f>
        <v>158477.76000000001</v>
      </c>
      <c r="I32" s="18">
        <f>SUM(I26:I31)</f>
        <v>160389.58018094604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30">
        <v>1310.4000000000001</v>
      </c>
      <c r="E34" s="29">
        <f t="shared" ref="E34:E40" si="13">D34/$D$48</f>
        <v>0.16527716465914108</v>
      </c>
      <c r="F34" s="28">
        <f t="shared" ref="F34:F39" si="14">C34-(C34*$E$6)</f>
        <v>19.229209344187943</v>
      </c>
      <c r="G34" s="27" t="str">
        <f t="shared" ref="G34:G39" si="15">IF(C34&gt;=F34,"-","+")</f>
        <v>+</v>
      </c>
      <c r="H34" s="26">
        <f t="shared" ref="H34:H39" si="16">C34*D34</f>
        <v>24897.600000000002</v>
      </c>
      <c r="I34" s="26">
        <f t="shared" ref="I34:I39" si="17">F34*D34</f>
        <v>25197.955924623882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30">
        <v>79</v>
      </c>
      <c r="E35" s="29">
        <f t="shared" si="13"/>
        <v>9.9640537302137858E-3</v>
      </c>
      <c r="F35" s="28">
        <f t="shared" si="14"/>
        <v>14.776129285533893</v>
      </c>
      <c r="G35" s="27" t="str">
        <f t="shared" si="15"/>
        <v>+</v>
      </c>
      <c r="H35" s="26">
        <f t="shared" si="16"/>
        <v>1153.3999999999999</v>
      </c>
      <c r="I35" s="26">
        <f t="shared" si="17"/>
        <v>1167.3142135571775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11.841144701420996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30"/>
      <c r="E37" s="29">
        <f t="shared" si="13"/>
        <v>0</v>
      </c>
      <c r="F37" s="28">
        <f t="shared" si="14"/>
        <v>31.47517950548658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30"/>
      <c r="E38" s="29">
        <f t="shared" si="13"/>
        <v>0</v>
      </c>
      <c r="F38" s="28">
        <f t="shared" si="14"/>
        <v>31.47517950548658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32.1</v>
      </c>
      <c r="D39" s="30"/>
      <c r="E39" s="29">
        <f t="shared" si="13"/>
        <v>0</v>
      </c>
      <c r="F39" s="28">
        <f t="shared" si="14"/>
        <v>32.487243155180686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18.749820066215634</v>
      </c>
      <c r="D40" s="22">
        <f>SUM(D34:D39)</f>
        <v>1389.4</v>
      </c>
      <c r="E40" s="113">
        <f t="shared" si="13"/>
        <v>0.17524121838935486</v>
      </c>
      <c r="F40" s="20">
        <f>I40/D40</f>
        <v>18.976011327321906</v>
      </c>
      <c r="G40" s="19">
        <f>F40/C40-1</f>
        <v>1.206364969410223E-2</v>
      </c>
      <c r="H40" s="18">
        <f>SUM(H34:H39)</f>
        <v>26051.000000000004</v>
      </c>
      <c r="I40" s="18">
        <f>SUM(I34:I39)</f>
        <v>26365.270138181058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1172</v>
      </c>
      <c r="E42" s="107">
        <f>D42/$D$48</f>
        <v>0.14782115154190578</v>
      </c>
      <c r="F42" s="28">
        <f>C42-(C42*$E$6)</f>
        <v>0.4048254598776409</v>
      </c>
      <c r="G42" s="27" t="str">
        <f>IF(C42&gt;=F42,"-","+")</f>
        <v>+</v>
      </c>
      <c r="H42" s="26">
        <f>C42*D42</f>
        <v>468.8</v>
      </c>
      <c r="I42" s="26">
        <f>F42*D42</f>
        <v>474.45543897659513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49.8</v>
      </c>
      <c r="E43" s="107">
        <f>D43/$D$48</f>
        <v>6.2811376679069181E-3</v>
      </c>
      <c r="F43" s="28">
        <f>C43-(C43*$E$6)</f>
        <v>0.4048254598776409</v>
      </c>
      <c r="G43" s="27" t="str">
        <f>IF(C43&gt;=F43,"-","+")</f>
        <v>+</v>
      </c>
      <c r="H43" s="26">
        <f>C43*D43</f>
        <v>19.920000000000002</v>
      </c>
      <c r="I43" s="26">
        <f>F43*D43</f>
        <v>20.160307901906517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54.3</v>
      </c>
      <c r="E44" s="107">
        <f>D44/$D$48</f>
        <v>6.84871034874188E-3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10.5</v>
      </c>
      <c r="E45" s="107">
        <f>D45/$D$48</f>
        <v>1.324336255281579E-3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0.37985387843929741</v>
      </c>
      <c r="D46" s="22">
        <f>SUM(D41:D45)</f>
        <v>1286.5999999999999</v>
      </c>
      <c r="E46" s="113">
        <f>D46/$D$48</f>
        <v>0.16227533581383616</v>
      </c>
      <c r="F46" s="20">
        <f>I46/D46</f>
        <v>0.38443630256373518</v>
      </c>
      <c r="G46" s="19">
        <f>F46/C46-1</f>
        <v>1.206364969410223E-2</v>
      </c>
      <c r="H46" s="18">
        <f>SUM(H41:H44)</f>
        <v>488.72</v>
      </c>
      <c r="I46" s="18">
        <f>SUM(I41:I44)</f>
        <v>494.61574687850162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100.44241720141356</v>
      </c>
      <c r="D48" s="13">
        <f>D24+D32+D40+D46</f>
        <v>7928.5</v>
      </c>
      <c r="E48" s="12">
        <f>SUM(E20:E46)/2</f>
        <v>0.99999999999999978</v>
      </c>
      <c r="F48" s="11">
        <f>I48/D48</f>
        <v>26.365924529844065</v>
      </c>
      <c r="G48" s="10"/>
      <c r="H48" s="9">
        <f>SUM(H20:H46)/2</f>
        <v>206550.47999999998</v>
      </c>
      <c r="I48" s="9">
        <f>SUM(I20:I46)/2</f>
        <v>209042.23263486868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21967.300000000003</v>
      </c>
      <c r="E50" s="12">
        <f>D50/G2</f>
        <v>0.99998634352409932</v>
      </c>
      <c r="F50" s="11">
        <f>I50/D50</f>
        <v>26.900367364218628</v>
      </c>
      <c r="G50" s="10"/>
      <c r="H50" s="9">
        <f>H48+H19</f>
        <v>583884.65999999992</v>
      </c>
      <c r="I50" s="9">
        <f>I48+I19</f>
        <v>590928.43999999994</v>
      </c>
      <c r="J50" s="106">
        <f>D50-G2</f>
        <v>-0.29999999999563443</v>
      </c>
      <c r="K50" s="8"/>
    </row>
    <row r="51" spans="1:11" ht="23.25" x14ac:dyDescent="0.35">
      <c r="A51" s="174" t="s">
        <v>374</v>
      </c>
      <c r="B51" s="169"/>
      <c r="C51" s="170"/>
      <c r="G51" s="7"/>
      <c r="H51" s="6"/>
      <c r="I51" s="6">
        <f>+I50/D50</f>
        <v>26.900367364218628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375</v>
      </c>
      <c r="D1" s="100" t="s">
        <v>1</v>
      </c>
      <c r="E1" s="168" t="s">
        <v>97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375</v>
      </c>
      <c r="D2" s="96" t="s">
        <v>3</v>
      </c>
      <c r="E2" s="95" t="s">
        <v>362</v>
      </c>
      <c r="F2" s="94" t="s">
        <v>5</v>
      </c>
      <c r="G2" s="93">
        <v>15428.2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193</v>
      </c>
      <c r="F3" s="88" t="s">
        <v>8</v>
      </c>
      <c r="G3" s="87">
        <v>27.75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79.938860103626951</v>
      </c>
      <c r="F4" s="81" t="s">
        <v>12</v>
      </c>
      <c r="G4" s="80">
        <f>G2*G3</f>
        <v>428132.55000000005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8.9553899248773217E-3</v>
      </c>
      <c r="F6" s="69" t="s">
        <v>16</v>
      </c>
      <c r="G6" s="68">
        <f>(I50-I19)/(D50-(SUM(D42:D44)+D19))</f>
        <v>33.261280473593423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 t="e">
        <f t="shared" ref="E10:E19" si="1">D10/$D$19</f>
        <v>#DIV/0!</v>
      </c>
      <c r="F10" s="28">
        <f t="shared" ref="F10:F18" si="2">C10-(C10*$E$6)</f>
        <v>27.551040160088412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30"/>
      <c r="E11" s="29" t="e">
        <f t="shared" si="1"/>
        <v>#DIV/0!</v>
      </c>
      <c r="F11" s="28">
        <f t="shared" si="2"/>
        <v>28.641189231171044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/>
      <c r="E12" s="29" t="e">
        <f t="shared" si="1"/>
        <v>#DIV/0!</v>
      </c>
      <c r="F12" s="28">
        <f t="shared" si="2"/>
        <v>26.163577705983236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30"/>
      <c r="E13" s="29" t="e">
        <f t="shared" si="1"/>
        <v>#DIV/0!</v>
      </c>
      <c r="F13" s="28">
        <f t="shared" si="2"/>
        <v>28.641189231171044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30"/>
      <c r="E14" s="29" t="e">
        <f t="shared" si="1"/>
        <v>#DIV/0!</v>
      </c>
      <c r="F14" s="28">
        <f t="shared" si="2"/>
        <v>32.010740905426459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/>
      <c r="E15" s="29" t="e">
        <f t="shared" si="1"/>
        <v>#DIV/0!</v>
      </c>
      <c r="F15" s="28">
        <f t="shared" si="2"/>
        <v>26.361786627998264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 t="e">
        <f t="shared" si="1"/>
        <v>#DIV/0!</v>
      </c>
      <c r="F16" s="28">
        <f t="shared" si="2"/>
        <v>36.17312826774198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53.7</v>
      </c>
      <c r="D17" s="30"/>
      <c r="E17" s="29" t="e">
        <f t="shared" si="1"/>
        <v>#DIV/0!</v>
      </c>
      <c r="F17" s="28">
        <f t="shared" si="2"/>
        <v>53.219095561034088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30"/>
      <c r="E18" s="29" t="e">
        <f t="shared" si="1"/>
        <v>#DIV/0!</v>
      </c>
      <c r="F18" s="28">
        <f t="shared" si="2"/>
        <v>46.579096673530763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69.8</v>
      </c>
      <c r="D21" s="30">
        <v>207.8</v>
      </c>
      <c r="E21" s="29">
        <f>D21/$D$48</f>
        <v>1.3468842768437019E-2</v>
      </c>
      <c r="F21" s="28">
        <f>C21-(C21*$E$6)</f>
        <v>69.174913783243554</v>
      </c>
      <c r="G21" s="27" t="str">
        <f>IF(C21&gt;=F21,"-","+")</f>
        <v>-</v>
      </c>
      <c r="H21" s="26">
        <f>C21*D21</f>
        <v>14504.44</v>
      </c>
      <c r="I21" s="26">
        <f>F21*D21</f>
        <v>14374.547084158012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46.9</v>
      </c>
      <c r="D22" s="30">
        <v>494.5</v>
      </c>
      <c r="E22" s="29">
        <f>D22/$D$48</f>
        <v>3.2051697540866723E-2</v>
      </c>
      <c r="F22" s="28">
        <f>C22-(C22*$E$6)</f>
        <v>46.47999221252325</v>
      </c>
      <c r="G22" s="27" t="str">
        <f>IF(C22&gt;=F22,"-","+")</f>
        <v>-</v>
      </c>
      <c r="H22" s="26">
        <f>C22*D22</f>
        <v>23192.05</v>
      </c>
      <c r="I22" s="26">
        <f>F22*D22</f>
        <v>22984.356149092746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>
        <v>413</v>
      </c>
      <c r="E23" s="29">
        <f>D23/$D$48</f>
        <v>2.6769162961330552E-2</v>
      </c>
      <c r="F23" s="28">
        <f>C23-(C23*$E$6)</f>
        <v>42.317604850207744</v>
      </c>
      <c r="G23" s="27" t="str">
        <f>IF(C23&gt;=F23,"-","+")</f>
        <v>-</v>
      </c>
      <c r="H23" s="26">
        <f>C23*D23</f>
        <v>17635.100000000002</v>
      </c>
      <c r="I23" s="26">
        <f>F23*D23</f>
        <v>17477.170803135799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49.611396036940732</v>
      </c>
      <c r="D24" s="22">
        <f>SUM(D21:D23)</f>
        <v>1115.3</v>
      </c>
      <c r="E24" s="21">
        <f>D24/$D$48</f>
        <v>7.228970327063429E-2</v>
      </c>
      <c r="F24" s="20">
        <f>I24/D24</f>
        <v>49.167106640712419</v>
      </c>
      <c r="G24" s="19">
        <f>F24/C24-1</f>
        <v>-8.9553899248772106E-3</v>
      </c>
      <c r="H24" s="18">
        <f>SUM(H21:H23)</f>
        <v>55331.59</v>
      </c>
      <c r="I24" s="18">
        <f>SUM(I21:I23)</f>
        <v>54836.074036386555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>
        <v>3112.1</v>
      </c>
      <c r="E26" s="29">
        <f t="shared" ref="E26:E32" si="7">D26/$D$48</f>
        <v>0.20171504128803103</v>
      </c>
      <c r="F26" s="28">
        <f t="shared" ref="F26:F31" si="8">C26-(C26*$E$6)</f>
        <v>36.866859494794568</v>
      </c>
      <c r="G26" s="27" t="str">
        <f t="shared" ref="G26:G31" si="9">IF(C26&gt;=F26,"-","+")</f>
        <v>-</v>
      </c>
      <c r="H26" s="26">
        <f t="shared" ref="H26:H31" si="10">C26*D26</f>
        <v>115770.12000000001</v>
      </c>
      <c r="I26" s="26">
        <f t="shared" ref="I26:I31" si="11">F26*D26</f>
        <v>114733.35343375018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2405.1</v>
      </c>
      <c r="E27" s="29">
        <f t="shared" si="7"/>
        <v>0.15588986401524482</v>
      </c>
      <c r="F27" s="28">
        <f t="shared" si="8"/>
        <v>32.902681054494074</v>
      </c>
      <c r="G27" s="27" t="str">
        <f t="shared" si="9"/>
        <v>-</v>
      </c>
      <c r="H27" s="26">
        <f t="shared" si="10"/>
        <v>79849.320000000007</v>
      </c>
      <c r="I27" s="26">
        <f t="shared" si="11"/>
        <v>79134.238204163688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1494.3</v>
      </c>
      <c r="E28" s="29">
        <f t="shared" si="7"/>
        <v>9.6855109474857731E-2</v>
      </c>
      <c r="F28" s="28">
        <f t="shared" si="8"/>
        <v>32.902681054494074</v>
      </c>
      <c r="G28" s="27" t="str">
        <f t="shared" si="9"/>
        <v>-</v>
      </c>
      <c r="H28" s="26">
        <f t="shared" si="10"/>
        <v>49610.76</v>
      </c>
      <c r="I28" s="26">
        <f t="shared" si="11"/>
        <v>49166.476299730493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1491.4</v>
      </c>
      <c r="E29" s="29">
        <f t="shared" si="7"/>
        <v>9.666714198675154E-2</v>
      </c>
      <c r="F29" s="28">
        <f t="shared" si="8"/>
        <v>31.812531983411439</v>
      </c>
      <c r="G29" s="27" t="str">
        <f t="shared" si="9"/>
        <v>-</v>
      </c>
      <c r="H29" s="26">
        <f t="shared" si="10"/>
        <v>47873.94</v>
      </c>
      <c r="I29" s="26">
        <f t="shared" si="11"/>
        <v>47445.210200059824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1021.6</v>
      </c>
      <c r="E30" s="29">
        <f t="shared" si="7"/>
        <v>6.6216408913547922E-2</v>
      </c>
      <c r="F30" s="28">
        <f t="shared" si="8"/>
        <v>31.812531983411439</v>
      </c>
      <c r="G30" s="27" t="str">
        <f t="shared" si="9"/>
        <v>-</v>
      </c>
      <c r="H30" s="26">
        <f t="shared" si="10"/>
        <v>32793.360000000001</v>
      </c>
      <c r="I30" s="26">
        <f t="shared" si="11"/>
        <v>32499.682674253127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30">
        <v>449.6</v>
      </c>
      <c r="E31" s="29">
        <f t="shared" si="7"/>
        <v>2.9141442293981155E-2</v>
      </c>
      <c r="F31" s="28">
        <f t="shared" si="8"/>
        <v>32.308054288449</v>
      </c>
      <c r="G31" s="27" t="str">
        <f t="shared" si="9"/>
        <v>-</v>
      </c>
      <c r="H31" s="26">
        <f t="shared" si="10"/>
        <v>14656.960000000001</v>
      </c>
      <c r="I31" s="26">
        <f t="shared" si="11"/>
        <v>14525.701208086672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34.143878645692347</v>
      </c>
      <c r="D32" s="22">
        <f>SUM(D26:D31)</f>
        <v>9974.1</v>
      </c>
      <c r="E32" s="21">
        <f t="shared" si="7"/>
        <v>0.64648500797241426</v>
      </c>
      <c r="F32" s="20">
        <f>I32/D32</f>
        <v>33.838106898872475</v>
      </c>
      <c r="G32" s="19">
        <f>F32/C32-1</f>
        <v>-8.9553899248774327E-3</v>
      </c>
      <c r="H32" s="18">
        <f>SUM(H26:H31)</f>
        <v>340554.46</v>
      </c>
      <c r="I32" s="18">
        <f>SUM(I26:I31)</f>
        <v>337504.66202004399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1777.4</v>
      </c>
      <c r="E34" s="29">
        <f t="shared" ref="E34:E40" si="13">D34/$D$48</f>
        <v>0.11520462529653493</v>
      </c>
      <c r="F34" s="28">
        <f t="shared" ref="F34:F39" si="14">C34-(C34*$E$6)</f>
        <v>19.424474357472405</v>
      </c>
      <c r="G34" s="27" t="str">
        <f t="shared" ref="G34:G39" si="15">IF(C34&gt;=F34,"-","+")</f>
        <v>-</v>
      </c>
      <c r="H34" s="26">
        <f t="shared" ref="H34:H39" si="16">C34*D34</f>
        <v>34837.040000000001</v>
      </c>
      <c r="I34" s="26">
        <f t="shared" ref="I34:I39" si="17">F34*D34</f>
        <v>34525.060722971459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/>
      <c r="E35" s="29">
        <f t="shared" si="13"/>
        <v>0</v>
      </c>
      <c r="F35" s="28">
        <f t="shared" si="14"/>
        <v>14.964773612134351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11.991639781908985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31.812531983411439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31.812531983411439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32.902681054494074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19.599999999999998</v>
      </c>
      <c r="D40" s="22">
        <f>SUM(D34:D39)</f>
        <v>1777.4</v>
      </c>
      <c r="E40" s="113">
        <f t="shared" si="13"/>
        <v>0.11520462529653493</v>
      </c>
      <c r="F40" s="20">
        <f>I40/D40</f>
        <v>19.424474357472409</v>
      </c>
      <c r="G40" s="19">
        <f>F40/C40-1</f>
        <v>-8.9553899248769886E-3</v>
      </c>
      <c r="H40" s="18">
        <f>SUM(H34:H39)</f>
        <v>34837.040000000001</v>
      </c>
      <c r="I40" s="18">
        <f>SUM(I34:I39)</f>
        <v>34525.060722971459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2447</v>
      </c>
      <c r="E42" s="107">
        <f>D42/$D$48</f>
        <v>0.15860567013650329</v>
      </c>
      <c r="F42" s="28">
        <f>C42-(C42*$E$6)</f>
        <v>0.49552230503756134</v>
      </c>
      <c r="G42" s="27" t="str">
        <f>IF(C42&gt;=F42,"-","+")</f>
        <v>-</v>
      </c>
      <c r="H42" s="26">
        <f>C42*D42</f>
        <v>1223.5</v>
      </c>
      <c r="I42" s="26">
        <f>F42*D42</f>
        <v>1212.5430804269126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109.4</v>
      </c>
      <c r="E43" s="107">
        <f>D43/$D$48</f>
        <v>7.0909114478681905E-3</v>
      </c>
      <c r="F43" s="28">
        <f>C43-(C43*$E$6)</f>
        <v>0.49552230503756134</v>
      </c>
      <c r="G43" s="27" t="str">
        <f>IF(C43&gt;=F43,"-","+")</f>
        <v>-</v>
      </c>
      <c r="H43" s="26">
        <f>C43*D43</f>
        <v>54.7</v>
      </c>
      <c r="I43" s="26">
        <f>F43*D43</f>
        <v>54.210140171109217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3.2408187604516408E-4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0.49902397126571407</v>
      </c>
      <c r="D46" s="22">
        <f>SUM(D41:D45)</f>
        <v>2561.4</v>
      </c>
      <c r="E46" s="113">
        <f>D46/$D$48</f>
        <v>0.16602066346041666</v>
      </c>
      <c r="F46" s="20">
        <f>I46/D46</f>
        <v>0.49455501702116883</v>
      </c>
      <c r="G46" s="19">
        <f>F46/C46-1</f>
        <v>-8.9553899248773217E-3</v>
      </c>
      <c r="H46" s="18">
        <f>SUM(H41:H44)</f>
        <v>1278.2</v>
      </c>
      <c r="I46" s="18">
        <f>SUM(I41:I44)</f>
        <v>1266.7532205980219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103.85429865389879</v>
      </c>
      <c r="D48" s="13">
        <f>D24+D32+D40+D46</f>
        <v>15428.199999999999</v>
      </c>
      <c r="E48" s="12">
        <f>SUM(E20:E46)/2</f>
        <v>1</v>
      </c>
      <c r="F48" s="11">
        <f>I48/D48</f>
        <v>27.749999999999996</v>
      </c>
      <c r="G48" s="10"/>
      <c r="H48" s="9">
        <f>SUM(H20:H46)/2</f>
        <v>432001.29000000004</v>
      </c>
      <c r="I48" s="9">
        <f>SUM(I20:I46)/2</f>
        <v>428132.54999999993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15428.200000000003</v>
      </c>
      <c r="E50" s="12">
        <f>D50/G2</f>
        <v>1.0000000000000002</v>
      </c>
      <c r="F50" s="11">
        <f>I50/D50</f>
        <v>27.749999999999989</v>
      </c>
      <c r="G50" s="10"/>
      <c r="H50" s="9">
        <f>H48+H19</f>
        <v>432001.29000000004</v>
      </c>
      <c r="I50" s="9">
        <f>I48+I19</f>
        <v>428132.54999999993</v>
      </c>
      <c r="J50" s="106">
        <f>D50-G2</f>
        <v>0</v>
      </c>
      <c r="K50" s="8"/>
    </row>
    <row r="51" spans="1:11" ht="23.25" x14ac:dyDescent="0.35">
      <c r="A51" s="174" t="s">
        <v>376</v>
      </c>
      <c r="B51" s="169"/>
      <c r="C51" s="170"/>
      <c r="G51" s="7"/>
      <c r="H51" s="6"/>
      <c r="I51" s="6">
        <f>+I50/D50</f>
        <v>27.749999999999989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347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347</v>
      </c>
      <c r="D2" s="96" t="s">
        <v>3</v>
      </c>
      <c r="E2" s="95" t="s">
        <v>112</v>
      </c>
      <c r="F2" s="94" t="s">
        <v>5</v>
      </c>
      <c r="G2" s="93">
        <v>3336.8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349</v>
      </c>
      <c r="D3" s="90" t="s">
        <v>7</v>
      </c>
      <c r="E3" s="89">
        <v>52</v>
      </c>
      <c r="F3" s="88" t="s">
        <v>8</v>
      </c>
      <c r="G3" s="87">
        <v>23.14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64.169230769230779</v>
      </c>
      <c r="F4" s="81" t="s">
        <v>12</v>
      </c>
      <c r="G4" s="80">
        <f>G2*G3</f>
        <v>77213.552000000011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-7.8977973568282067E-2</v>
      </c>
      <c r="F6" s="69" t="s">
        <v>16</v>
      </c>
      <c r="G6" s="68">
        <f>(I50-I19)/(D50-(SUM(D42:D44)+D19))</f>
        <v>28.888638132295728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23.1</v>
      </c>
      <c r="D10" s="30"/>
      <c r="E10" s="29" t="e">
        <f t="shared" ref="E10:E19" si="1">D10/$D$19</f>
        <v>#DIV/0!</v>
      </c>
      <c r="F10" s="28">
        <f t="shared" ref="F10:F18" si="2">C10-(C10*$E$6)</f>
        <v>24.924391189427318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24.1</v>
      </c>
      <c r="D11" s="30"/>
      <c r="E11" s="29" t="e">
        <f t="shared" si="1"/>
        <v>#DIV/0!</v>
      </c>
      <c r="F11" s="28">
        <f t="shared" si="2"/>
        <v>26.0033691629956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22</v>
      </c>
      <c r="D12" s="30"/>
      <c r="E12" s="29" t="e">
        <f t="shared" si="1"/>
        <v>#DIV/0!</v>
      </c>
      <c r="F12" s="28">
        <f t="shared" si="2"/>
        <v>23.737515418502205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24.1</v>
      </c>
      <c r="D13" s="30"/>
      <c r="E13" s="29" t="e">
        <f t="shared" si="1"/>
        <v>#DIV/0!</v>
      </c>
      <c r="F13" s="28">
        <f t="shared" si="2"/>
        <v>26.0033691629956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26.9</v>
      </c>
      <c r="D14" s="30"/>
      <c r="E14" s="29" t="e">
        <f t="shared" si="1"/>
        <v>#DIV/0!</v>
      </c>
      <c r="F14" s="28">
        <f t="shared" si="2"/>
        <v>29.024507488986785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22.2</v>
      </c>
      <c r="D15" s="30"/>
      <c r="E15" s="29" t="e">
        <f t="shared" si="1"/>
        <v>#DIV/0!</v>
      </c>
      <c r="F15" s="28">
        <f t="shared" si="2"/>
        <v>23.95331101321586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30.4</v>
      </c>
      <c r="D16" s="30"/>
      <c r="E16" s="29" t="e">
        <f t="shared" si="1"/>
        <v>#DIV/0!</v>
      </c>
      <c r="F16" s="28">
        <f t="shared" si="2"/>
        <v>32.800930396475771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44.8</v>
      </c>
      <c r="D17" s="30"/>
      <c r="E17" s="29" t="e">
        <f t="shared" si="1"/>
        <v>#DIV/0!</v>
      </c>
      <c r="F17" s="28">
        <f t="shared" si="2"/>
        <v>48.338213215859035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39.200000000000003</v>
      </c>
      <c r="D18" s="30"/>
      <c r="E18" s="29" t="e">
        <f t="shared" si="1"/>
        <v>#DIV/0!</v>
      </c>
      <c r="F18" s="28">
        <f t="shared" si="2"/>
        <v>42.295936563876658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58.2</v>
      </c>
      <c r="D21" s="30">
        <v>42.1</v>
      </c>
      <c r="E21" s="29">
        <f>D21/$D$48</f>
        <v>1.2616878446415727E-2</v>
      </c>
      <c r="F21" s="28">
        <f>C21-(C21*$E$6)</f>
        <v>62.796518061674021</v>
      </c>
      <c r="G21" s="27" t="str">
        <f>IF(C21&gt;=F21,"-","+")</f>
        <v>+</v>
      </c>
      <c r="H21" s="26">
        <f>C21*D21</f>
        <v>2450.2200000000003</v>
      </c>
      <c r="I21" s="26">
        <f>F21*D21</f>
        <v>2643.7334103964763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39.1</v>
      </c>
      <c r="D22" s="30">
        <v>90.2</v>
      </c>
      <c r="E22" s="29">
        <f>D22/$D$48</f>
        <v>2.7031886837688802E-2</v>
      </c>
      <c r="F22" s="28">
        <f>C22-(C22*$E$6)</f>
        <v>42.188038766519831</v>
      </c>
      <c r="G22" s="27" t="str">
        <f>IF(C22&gt;=F22,"-","+")</f>
        <v>+</v>
      </c>
      <c r="H22" s="26">
        <f>C22*D22</f>
        <v>3526.82</v>
      </c>
      <c r="I22" s="26">
        <f>F22*D22</f>
        <v>3805.3610967400891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35.6</v>
      </c>
      <c r="D23" s="30">
        <v>74.7</v>
      </c>
      <c r="E23" s="29">
        <f>D23/$D$48</f>
        <v>2.2386717813473987E-2</v>
      </c>
      <c r="F23" s="28">
        <f>C23-(C23*$E$6)</f>
        <v>38.411615859030846</v>
      </c>
      <c r="G23" s="27" t="str">
        <f>IF(C23&gt;=F23,"-","+")</f>
        <v>+</v>
      </c>
      <c r="H23" s="26">
        <f>C23*D23</f>
        <v>2659.32</v>
      </c>
      <c r="I23" s="26">
        <f>F23*D23</f>
        <v>2869.3477046696044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41.721545893719806</v>
      </c>
      <c r="D24" s="22">
        <f>SUM(D21:D23)</f>
        <v>207</v>
      </c>
      <c r="E24" s="21">
        <f>D24/$D$48</f>
        <v>6.2035483097578517E-2</v>
      </c>
      <c r="F24" s="20">
        <f>I24/D24</f>
        <v>45.016629042541886</v>
      </c>
      <c r="G24" s="19">
        <f>F24/C24-1</f>
        <v>7.8977973568282289E-2</v>
      </c>
      <c r="H24" s="18">
        <f>SUM(H21:H23)</f>
        <v>8636.36</v>
      </c>
      <c r="I24" s="18">
        <f>SUM(I21:I23)</f>
        <v>9318.4422118061702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31.1</v>
      </c>
      <c r="D26" s="30">
        <v>569.29999999999995</v>
      </c>
      <c r="E26" s="29">
        <f t="shared" ref="E26:E32" si="7">D26/$D$48</f>
        <v>0.17061256293454805</v>
      </c>
      <c r="F26" s="28">
        <f t="shared" ref="F26:F31" si="8">C26-(C26*$E$6)</f>
        <v>33.556214977973575</v>
      </c>
      <c r="G26" s="27" t="str">
        <f t="shared" ref="G26:G31" si="9">IF(C26&gt;=F26,"-","+")</f>
        <v>+</v>
      </c>
      <c r="H26" s="26">
        <f t="shared" ref="H26:H31" si="10">C26*D26</f>
        <v>17705.23</v>
      </c>
      <c r="I26" s="26">
        <f t="shared" ref="I26:I31" si="11">F26*D26</f>
        <v>19103.553186960355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27.7</v>
      </c>
      <c r="D27" s="30">
        <v>446.4</v>
      </c>
      <c r="E27" s="29">
        <f t="shared" si="7"/>
        <v>0.13378086789738669</v>
      </c>
      <c r="F27" s="28">
        <f t="shared" si="8"/>
        <v>29.887689867841413</v>
      </c>
      <c r="G27" s="27" t="str">
        <f t="shared" si="9"/>
        <v>+</v>
      </c>
      <c r="H27" s="26">
        <f t="shared" si="10"/>
        <v>12365.279999999999</v>
      </c>
      <c r="I27" s="26">
        <f t="shared" si="11"/>
        <v>13341.864757004407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27.7</v>
      </c>
      <c r="D28" s="30">
        <v>336.7</v>
      </c>
      <c r="E28" s="29">
        <f t="shared" si="7"/>
        <v>0.10090505873891152</v>
      </c>
      <c r="F28" s="28">
        <f t="shared" si="8"/>
        <v>29.887689867841413</v>
      </c>
      <c r="G28" s="27" t="str">
        <f t="shared" si="9"/>
        <v>+</v>
      </c>
      <c r="H28" s="26">
        <f t="shared" si="10"/>
        <v>9326.59</v>
      </c>
      <c r="I28" s="26">
        <f t="shared" si="11"/>
        <v>10063.185178502203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26.7</v>
      </c>
      <c r="D29" s="30">
        <v>237.1</v>
      </c>
      <c r="E29" s="29">
        <f t="shared" si="7"/>
        <v>7.1056101654279544E-2</v>
      </c>
      <c r="F29" s="28">
        <f t="shared" si="8"/>
        <v>28.808711894273131</v>
      </c>
      <c r="G29" s="27" t="str">
        <f t="shared" si="9"/>
        <v>+</v>
      </c>
      <c r="H29" s="26">
        <f t="shared" si="10"/>
        <v>6330.57</v>
      </c>
      <c r="I29" s="26">
        <f t="shared" si="11"/>
        <v>6830.5455901321593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26.7</v>
      </c>
      <c r="D30" s="30">
        <v>222.2</v>
      </c>
      <c r="E30" s="29">
        <f t="shared" si="7"/>
        <v>6.659074562455046E-2</v>
      </c>
      <c r="F30" s="28">
        <f t="shared" si="8"/>
        <v>28.808711894273131</v>
      </c>
      <c r="G30" s="27" t="str">
        <f t="shared" si="9"/>
        <v>+</v>
      </c>
      <c r="H30" s="26">
        <f t="shared" si="10"/>
        <v>5932.74</v>
      </c>
      <c r="I30" s="26">
        <f t="shared" si="11"/>
        <v>6401.2957829074894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27.2</v>
      </c>
      <c r="D31" s="30">
        <v>50.8</v>
      </c>
      <c r="E31" s="29">
        <f t="shared" si="7"/>
        <v>1.5224166866458881E-2</v>
      </c>
      <c r="F31" s="28">
        <f t="shared" si="8"/>
        <v>29.34820088105727</v>
      </c>
      <c r="G31" s="27" t="str">
        <f t="shared" si="9"/>
        <v>+</v>
      </c>
      <c r="H31" s="26">
        <f t="shared" si="10"/>
        <v>1381.76</v>
      </c>
      <c r="I31" s="26">
        <f t="shared" si="11"/>
        <v>1490.8886047577093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28.479017449664433</v>
      </c>
      <c r="D32" s="22">
        <f>SUM(D26:D31)</f>
        <v>1862.4999999999998</v>
      </c>
      <c r="E32" s="21">
        <f t="shared" si="7"/>
        <v>0.55816950371613516</v>
      </c>
      <c r="F32" s="20">
        <f>I32/D32</f>
        <v>30.728232537054673</v>
      </c>
      <c r="G32" s="19">
        <f>F32/C32-1</f>
        <v>7.8977973568282067E-2</v>
      </c>
      <c r="H32" s="18">
        <f>SUM(H26:H31)</f>
        <v>53042.17</v>
      </c>
      <c r="I32" s="18">
        <f>SUM(I26:I31)</f>
        <v>57231.333100264324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16.3</v>
      </c>
      <c r="D34" s="30">
        <f>324+233.8</f>
        <v>557.79999999999995</v>
      </c>
      <c r="E34" s="29">
        <f t="shared" ref="E34:E40" si="13">D34/$D$48</f>
        <v>0.16716614720690479</v>
      </c>
      <c r="F34" s="28">
        <f t="shared" ref="F34:F39" si="14">C34-(C34*$E$6)</f>
        <v>17.587340969162998</v>
      </c>
      <c r="G34" s="27" t="str">
        <f t="shared" ref="G34:G39" si="15">IF(C34&gt;=F34,"-","+")</f>
        <v>+</v>
      </c>
      <c r="H34" s="26">
        <f t="shared" ref="H34:H39" si="16">C34*D34</f>
        <v>9092.14</v>
      </c>
      <c r="I34" s="26">
        <f t="shared" ref="I34:I39" si="17">F34*D34</f>
        <v>9810.2187925991202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12.6</v>
      </c>
      <c r="D35" s="30">
        <v>42</v>
      </c>
      <c r="E35" s="29">
        <f t="shared" si="13"/>
        <v>1.2586909614001439E-2</v>
      </c>
      <c r="F35" s="28">
        <f t="shared" si="14"/>
        <v>13.595122466960353</v>
      </c>
      <c r="G35" s="27" t="str">
        <f t="shared" si="15"/>
        <v>+</v>
      </c>
      <c r="H35" s="26">
        <f t="shared" si="16"/>
        <v>529.19999999999993</v>
      </c>
      <c r="I35" s="26">
        <f t="shared" si="17"/>
        <v>570.9951436123348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10.1</v>
      </c>
      <c r="D36" s="30"/>
      <c r="E36" s="29">
        <f t="shared" si="13"/>
        <v>0</v>
      </c>
      <c r="F36" s="28">
        <f t="shared" si="14"/>
        <v>10.897677533039648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26.7</v>
      </c>
      <c r="D37" s="30"/>
      <c r="E37" s="29">
        <f t="shared" si="13"/>
        <v>0</v>
      </c>
      <c r="F37" s="28">
        <f t="shared" si="14"/>
        <v>28.808711894273131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26.7</v>
      </c>
      <c r="D38" s="30"/>
      <c r="E38" s="29">
        <f t="shared" si="13"/>
        <v>0</v>
      </c>
      <c r="F38" s="28">
        <f t="shared" si="14"/>
        <v>28.808711894273131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27.7</v>
      </c>
      <c r="D39" s="30"/>
      <c r="E39" s="29">
        <f t="shared" si="13"/>
        <v>0</v>
      </c>
      <c r="F39" s="28">
        <f t="shared" si="14"/>
        <v>29.887689867841413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16.040913637879296</v>
      </c>
      <c r="D40" s="22">
        <f>SUM(D34:D39)</f>
        <v>599.79999999999995</v>
      </c>
      <c r="E40" s="113">
        <f t="shared" si="13"/>
        <v>0.17975305682090623</v>
      </c>
      <c r="F40" s="20">
        <f>I40/D40</f>
        <v>17.307792491182823</v>
      </c>
      <c r="G40" s="19">
        <f>F40/C40-1</f>
        <v>7.8977973568282067E-2</v>
      </c>
      <c r="H40" s="18">
        <f>SUM(H34:H39)</f>
        <v>9621.34</v>
      </c>
      <c r="I40" s="18">
        <f>SUM(I34:I39)</f>
        <v>10381.213936211456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310+37.9+285.4</f>
        <v>633.29999999999995</v>
      </c>
      <c r="E42" s="107">
        <f>D42/$D$48</f>
        <v>0.18979261567969311</v>
      </c>
      <c r="F42" s="28">
        <f>C42-(C42*$E$6)</f>
        <v>0.43159118942731284</v>
      </c>
      <c r="G42" s="27" t="str">
        <f>IF(C42&gt;=F42,"-","+")</f>
        <v>+</v>
      </c>
      <c r="H42" s="26">
        <f>C42*D42</f>
        <v>253.32</v>
      </c>
      <c r="I42" s="26">
        <f>F42*D42</f>
        <v>273.3267002643172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21.4</v>
      </c>
      <c r="E43" s="107">
        <f>D43/$D$48</f>
        <v>6.4133301366578752E-3</v>
      </c>
      <c r="F43" s="28">
        <f>C43-(C43*$E$6)</f>
        <v>0.43159118942731284</v>
      </c>
      <c r="G43" s="27" t="str">
        <f>IF(C43&gt;=F43,"-","+")</f>
        <v>+</v>
      </c>
      <c r="H43" s="26">
        <f>C43*D43</f>
        <v>8.56</v>
      </c>
      <c r="I43" s="26">
        <f>F43*D43</f>
        <v>9.2360514537444942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9.3000000000000007</v>
      </c>
      <c r="E44" s="107">
        <f>D44/$D$48</f>
        <v>2.7871014145288901E-3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3.5</v>
      </c>
      <c r="E45" s="107">
        <f>D45/$D$48</f>
        <v>1.0489091345001198E-3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0.39232958801498136</v>
      </c>
      <c r="D46" s="22">
        <f>SUM(D41:D45)</f>
        <v>667.49999999999989</v>
      </c>
      <c r="E46" s="113">
        <f>D46/$D$48</f>
        <v>0.20004195636537997</v>
      </c>
      <c r="F46" s="20">
        <f>I46/D46</f>
        <v>0.4233149838472835</v>
      </c>
      <c r="G46" s="19">
        <f>F46/C46-1</f>
        <v>7.8977973568281845E-2</v>
      </c>
      <c r="H46" s="18">
        <f>SUM(H41:H44)</f>
        <v>261.88</v>
      </c>
      <c r="I46" s="18">
        <f>SUM(I41:I44)</f>
        <v>282.56275171806169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86.633806569278519</v>
      </c>
      <c r="D48" s="13">
        <f>D24+D32+D40+D46</f>
        <v>3336.8</v>
      </c>
      <c r="E48" s="12">
        <f>SUM(E20:E46)/2</f>
        <v>0.99999999999999978</v>
      </c>
      <c r="F48" s="11">
        <f>I48/D48</f>
        <v>23.140000000000008</v>
      </c>
      <c r="G48" s="10"/>
      <c r="H48" s="9">
        <f>SUM(H20:H46)/2</f>
        <v>71561.75</v>
      </c>
      <c r="I48" s="9">
        <f>SUM(I20:I46)/2</f>
        <v>77213.552000000025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3336.8</v>
      </c>
      <c r="E50" s="12">
        <f>D50/G2</f>
        <v>1</v>
      </c>
      <c r="F50" s="11">
        <f>I50/D50</f>
        <v>23.140000000000008</v>
      </c>
      <c r="G50" s="10"/>
      <c r="H50" s="9">
        <f>H48+H19</f>
        <v>71561.75</v>
      </c>
      <c r="I50" s="9">
        <f>I48+I19</f>
        <v>77213.552000000025</v>
      </c>
      <c r="J50" s="106">
        <f>D50-G2</f>
        <v>0</v>
      </c>
      <c r="K50" s="8"/>
    </row>
    <row r="51" spans="1:11" ht="23.25" x14ac:dyDescent="0.35">
      <c r="A51" s="174" t="s">
        <v>377</v>
      </c>
      <c r="B51" s="169"/>
      <c r="C51" s="170"/>
      <c r="G51" s="7"/>
      <c r="H51" s="6"/>
      <c r="I51" s="6">
        <f>+I50/D50</f>
        <v>23.140000000000008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378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375</v>
      </c>
      <c r="D2" s="96" t="s">
        <v>3</v>
      </c>
      <c r="E2" s="95" t="s">
        <v>362</v>
      </c>
      <c r="F2" s="94" t="s">
        <v>5</v>
      </c>
      <c r="G2" s="93">
        <v>23880.5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328</v>
      </c>
      <c r="F3" s="88" t="s">
        <v>8</v>
      </c>
      <c r="G3" s="87">
        <v>27.15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72.806402439024396</v>
      </c>
      <c r="F4" s="81" t="s">
        <v>12</v>
      </c>
      <c r="G4" s="80">
        <f>G2*G3</f>
        <v>648355.57499999995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4.0517661556249696E-4</v>
      </c>
      <c r="F6" s="69" t="s">
        <v>16</v>
      </c>
      <c r="G6" s="68">
        <f>(I50-I19)/(D50-(SUM(D42:D44)+D19))</f>
        <v>32.195468149311679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30"/>
      <c r="E10" s="29">
        <f t="shared" ref="E10:E19" si="1">D10/$D$19</f>
        <v>0</v>
      </c>
      <c r="F10" s="28">
        <f t="shared" ref="F10:F18" si="2">C10-(C10*$E$6)</f>
        <v>27.1889791960567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28.3</v>
      </c>
      <c r="D11" s="30">
        <v>3504.9</v>
      </c>
      <c r="E11" s="29">
        <f t="shared" si="1"/>
        <v>0.74338254008653604</v>
      </c>
      <c r="F11" s="28">
        <f t="shared" si="2"/>
        <v>28.288533501779582</v>
      </c>
      <c r="G11" s="27" t="str">
        <f t="shared" si="3"/>
        <v>-</v>
      </c>
      <c r="H11" s="34">
        <f t="shared" si="4"/>
        <v>99188.67</v>
      </c>
      <c r="I11" s="34">
        <f t="shared" si="5"/>
        <v>99148.481070387264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25.8</v>
      </c>
      <c r="D12" s="30">
        <v>815.3</v>
      </c>
      <c r="E12" s="29">
        <f t="shared" si="1"/>
        <v>0.17292355985407651</v>
      </c>
      <c r="F12" s="28">
        <f t="shared" si="2"/>
        <v>25.789546443318489</v>
      </c>
      <c r="G12" s="27" t="str">
        <f t="shared" si="3"/>
        <v>-</v>
      </c>
      <c r="H12" s="34">
        <f t="shared" si="4"/>
        <v>21034.739999999998</v>
      </c>
      <c r="I12" s="34">
        <f t="shared" si="5"/>
        <v>21026.217215237564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28.3</v>
      </c>
      <c r="D13" s="30"/>
      <c r="E13" s="29">
        <f t="shared" si="1"/>
        <v>0</v>
      </c>
      <c r="F13" s="28">
        <f t="shared" si="2"/>
        <v>28.288533501779582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31.6</v>
      </c>
      <c r="D14" s="30">
        <v>214.8</v>
      </c>
      <c r="E14" s="29">
        <f t="shared" si="1"/>
        <v>4.5558666327309746E-2</v>
      </c>
      <c r="F14" s="28">
        <f t="shared" si="2"/>
        <v>31.587196418948228</v>
      </c>
      <c r="G14" s="27" t="str">
        <f t="shared" si="3"/>
        <v>-</v>
      </c>
      <c r="H14" s="34">
        <f t="shared" si="4"/>
        <v>6787.68</v>
      </c>
      <c r="I14" s="34">
        <f t="shared" si="5"/>
        <v>6784.92979079008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26.1</v>
      </c>
      <c r="D15" s="30">
        <v>179.8</v>
      </c>
      <c r="E15" s="29">
        <f t="shared" si="1"/>
        <v>3.8135233732077715E-2</v>
      </c>
      <c r="F15" s="28">
        <f t="shared" si="2"/>
        <v>26.08942489033382</v>
      </c>
      <c r="G15" s="27" t="str">
        <f t="shared" si="3"/>
        <v>-</v>
      </c>
      <c r="H15" s="34">
        <f t="shared" si="4"/>
        <v>4692.7800000000007</v>
      </c>
      <c r="I15" s="34">
        <f t="shared" si="5"/>
        <v>4690.8785952820208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35.700000000000003</v>
      </c>
      <c r="D16" s="30"/>
      <c r="E16" s="29">
        <f t="shared" si="1"/>
        <v>0</v>
      </c>
      <c r="F16" s="28">
        <f t="shared" si="2"/>
        <v>35.685535194824425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52.5</v>
      </c>
      <c r="D17" s="30"/>
      <c r="E17" s="29">
        <f t="shared" si="1"/>
        <v>0</v>
      </c>
      <c r="F17" s="28">
        <f t="shared" si="2"/>
        <v>52.478728227682971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</v>
      </c>
      <c r="D18" s="30"/>
      <c r="E18" s="29">
        <f t="shared" si="1"/>
        <v>0</v>
      </c>
      <c r="F18" s="28">
        <f t="shared" si="2"/>
        <v>45.981361875684122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27.934137185034359</v>
      </c>
      <c r="D19" s="49">
        <f>SUM(D10:D18)</f>
        <v>4714.8</v>
      </c>
      <c r="E19" s="48">
        <f t="shared" si="1"/>
        <v>1</v>
      </c>
      <c r="F19" s="47">
        <f>I19/D19</f>
        <v>27.92281892587107</v>
      </c>
      <c r="G19" s="46">
        <f>F19/C19-1</f>
        <v>-4.0517661556249696E-4</v>
      </c>
      <c r="H19" s="9">
        <f>SUM(H10:H18)</f>
        <v>131703.87</v>
      </c>
      <c r="I19" s="9">
        <f>SUM(I10:I18)</f>
        <v>131650.50667169693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68.3</v>
      </c>
      <c r="D21" s="30">
        <v>160.80000000000001</v>
      </c>
      <c r="E21" s="29">
        <f>D21/$D$48</f>
        <v>8.3899445887987978E-3</v>
      </c>
      <c r="F21" s="28">
        <f>C21-(C21*$E$6)</f>
        <v>68.272326437157076</v>
      </c>
      <c r="G21" s="27" t="str">
        <f>IF(C21&gt;=F21,"-","+")</f>
        <v>-</v>
      </c>
      <c r="H21" s="26">
        <f>C21*D21</f>
        <v>10982.64</v>
      </c>
      <c r="I21" s="26">
        <f>F21*D21</f>
        <v>10978.190091094859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30">
        <v>685.8</v>
      </c>
      <c r="E22" s="29">
        <f>D22/$D$48</f>
        <v>3.5782487555959044E-2</v>
      </c>
      <c r="F22" s="28">
        <f>C22-(C22*$E$6)</f>
        <v>45.881402393345681</v>
      </c>
      <c r="G22" s="27" t="str">
        <f>IF(C22&gt;=F22,"-","+")</f>
        <v>-</v>
      </c>
      <c r="H22" s="26">
        <f>C22*D22</f>
        <v>31478.219999999998</v>
      </c>
      <c r="I22" s="26">
        <f>F22*D22</f>
        <v>31465.465761356467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41.8</v>
      </c>
      <c r="D23" s="30">
        <v>374.1</v>
      </c>
      <c r="E23" s="29">
        <f>D23/$D$48</f>
        <v>1.9519143474313619E-2</v>
      </c>
      <c r="F23" s="28">
        <f>C23-(C23*$E$6)</f>
        <v>41.783063617469487</v>
      </c>
      <c r="G23" s="27" t="str">
        <f>IF(C23&gt;=F23,"-","+")</f>
        <v>-</v>
      </c>
      <c r="H23" s="26">
        <f>C23*D23</f>
        <v>15637.38</v>
      </c>
      <c r="I23" s="26">
        <f>F23*D23</f>
        <v>15631.044099295335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47.594200049152128</v>
      </c>
      <c r="D24" s="22">
        <f>SUM(D21:D23)</f>
        <v>1220.6999999999998</v>
      </c>
      <c r="E24" s="21">
        <f>D24/$D$48</f>
        <v>6.3691575619071447E-2</v>
      </c>
      <c r="F24" s="20">
        <f>I24/D24</f>
        <v>47.574915992255811</v>
      </c>
      <c r="G24" s="19">
        <f>F24/C24-1</f>
        <v>-4.0517661556249696E-4</v>
      </c>
      <c r="H24" s="18">
        <f>SUM(H21:H23)</f>
        <v>58098.239999999998</v>
      </c>
      <c r="I24" s="18">
        <f>SUM(I21:I23)</f>
        <v>58074.699951746661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36.4</v>
      </c>
      <c r="D26" s="30">
        <f>593+290.2+25.3+1967</f>
        <v>2875.5</v>
      </c>
      <c r="E26" s="29">
        <f t="shared" ref="E26:E32" si="7">D26/$D$48</f>
        <v>0.15003287105156057</v>
      </c>
      <c r="F26" s="28">
        <f t="shared" ref="F26:F31" si="8">C26-(C26*$E$6)</f>
        <v>36.385251571193521</v>
      </c>
      <c r="G26" s="27" t="str">
        <f t="shared" ref="G26:G31" si="9">IF(C26&gt;=F26,"-","+")</f>
        <v>-</v>
      </c>
      <c r="H26" s="26">
        <f t="shared" ref="H26:H31" si="10">C26*D26</f>
        <v>104668.2</v>
      </c>
      <c r="I26" s="26">
        <f t="shared" ref="I26:I31" si="11">F26*D26</f>
        <v>104625.79089296696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32.4</v>
      </c>
      <c r="D27" s="30">
        <v>3561.1</v>
      </c>
      <c r="E27" s="29">
        <f t="shared" si="7"/>
        <v>0.18580492335305593</v>
      </c>
      <c r="F27" s="28">
        <f t="shared" si="8"/>
        <v>32.386872277655776</v>
      </c>
      <c r="G27" s="27" t="str">
        <f t="shared" si="9"/>
        <v>-</v>
      </c>
      <c r="H27" s="26">
        <f t="shared" si="10"/>
        <v>115379.63999999998</v>
      </c>
      <c r="I27" s="26">
        <f t="shared" si="11"/>
        <v>115332.89086795998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32.4</v>
      </c>
      <c r="D28" s="30">
        <v>2658.7</v>
      </c>
      <c r="E28" s="29">
        <f t="shared" si="7"/>
        <v>0.13872105521293135</v>
      </c>
      <c r="F28" s="28">
        <f t="shared" si="8"/>
        <v>32.386872277655776</v>
      </c>
      <c r="G28" s="27" t="str">
        <f t="shared" si="9"/>
        <v>-</v>
      </c>
      <c r="H28" s="26">
        <f t="shared" si="10"/>
        <v>86141.87999999999</v>
      </c>
      <c r="I28" s="26">
        <f t="shared" si="11"/>
        <v>86106.977324603402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30">
        <v>2061.6</v>
      </c>
      <c r="E29" s="29">
        <f t="shared" si="7"/>
        <v>0.10756660301161441</v>
      </c>
      <c r="F29" s="28">
        <f t="shared" si="8"/>
        <v>31.387277454271334</v>
      </c>
      <c r="G29" s="27" t="str">
        <f t="shared" si="9"/>
        <v>-</v>
      </c>
      <c r="H29" s="26">
        <f t="shared" si="10"/>
        <v>64734.239999999991</v>
      </c>
      <c r="I29" s="26">
        <f t="shared" si="11"/>
        <v>64708.011199725777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30">
        <v>1031.5999999999999</v>
      </c>
      <c r="E30" s="29">
        <f t="shared" si="7"/>
        <v>5.382504252366193E-2</v>
      </c>
      <c r="F30" s="28">
        <f t="shared" si="8"/>
        <v>31.387277454271334</v>
      </c>
      <c r="G30" s="27" t="str">
        <f t="shared" si="9"/>
        <v>-</v>
      </c>
      <c r="H30" s="26">
        <f t="shared" si="10"/>
        <v>32392.239999999994</v>
      </c>
      <c r="I30" s="26">
        <f t="shared" si="11"/>
        <v>32379.115421826307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31.9</v>
      </c>
      <c r="D31" s="30">
        <v>334.5</v>
      </c>
      <c r="E31" s="29">
        <f t="shared" si="7"/>
        <v>1.745296309050496E-2</v>
      </c>
      <c r="F31" s="28">
        <f t="shared" si="8"/>
        <v>31.887074865963555</v>
      </c>
      <c r="G31" s="27" t="str">
        <f t="shared" si="9"/>
        <v>-</v>
      </c>
      <c r="H31" s="26">
        <f t="shared" si="10"/>
        <v>10670.55</v>
      </c>
      <c r="I31" s="26">
        <f t="shared" si="11"/>
        <v>10666.22654266481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33.058113071947609</v>
      </c>
      <c r="D32" s="22">
        <f>SUM(D26:D31)</f>
        <v>12523</v>
      </c>
      <c r="E32" s="21">
        <f t="shared" si="7"/>
        <v>0.65340345824332913</v>
      </c>
      <c r="F32" s="20">
        <f>I32/D32</f>
        <v>33.044718697576243</v>
      </c>
      <c r="G32" s="19">
        <f>F32/C32-1</f>
        <v>-4.0517661556227491E-4</v>
      </c>
      <c r="H32" s="18">
        <f>SUM(H26:H31)</f>
        <v>413986.74999999994</v>
      </c>
      <c r="I32" s="18">
        <f>SUM(I26:I31)</f>
        <v>413819.01224974729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30">
        <v>2166.8000000000002</v>
      </c>
      <c r="E34" s="29">
        <f t="shared" ref="E34:E40" si="13">D34/$D$48</f>
        <v>0.11305554685951016</v>
      </c>
      <c r="F34" s="28">
        <f t="shared" ref="F34:F39" si="14">C34-(C34*$E$6)</f>
        <v>19.192220608981199</v>
      </c>
      <c r="G34" s="27" t="str">
        <f t="shared" ref="G34:G39" si="15">IF(C34&gt;=F34,"-","+")</f>
        <v>-</v>
      </c>
      <c r="H34" s="26">
        <f t="shared" ref="H34:H39" si="16">C34*D34</f>
        <v>41602.560000000005</v>
      </c>
      <c r="I34" s="26">
        <f t="shared" ref="I34:I39" si="17">F34*D34</f>
        <v>41585.703615540464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>
        <v>133.80000000000001</v>
      </c>
      <c r="E35" s="29">
        <f t="shared" si="13"/>
        <v>6.9811852362019842E-3</v>
      </c>
      <c r="F35" s="28">
        <f t="shared" si="14"/>
        <v>14.794003386089676</v>
      </c>
      <c r="G35" s="27" t="str">
        <f t="shared" si="15"/>
        <v>-</v>
      </c>
      <c r="H35" s="26">
        <f t="shared" si="16"/>
        <v>1980.2400000000002</v>
      </c>
      <c r="I35" s="26">
        <f t="shared" si="17"/>
        <v>1979.4376530587988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11.895178398274806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30"/>
      <c r="E37" s="29">
        <f t="shared" si="13"/>
        <v>0</v>
      </c>
      <c r="F37" s="28">
        <f t="shared" si="14"/>
        <v>31.387277454271334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30"/>
      <c r="E38" s="29">
        <f t="shared" si="13"/>
        <v>0</v>
      </c>
      <c r="F38" s="28">
        <f t="shared" si="14"/>
        <v>31.387277454271334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32.4</v>
      </c>
      <c r="D39" s="30"/>
      <c r="E39" s="29">
        <f t="shared" si="13"/>
        <v>0</v>
      </c>
      <c r="F39" s="28">
        <f t="shared" si="14"/>
        <v>32.386872277655776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18.944101538729026</v>
      </c>
      <c r="D40" s="22">
        <f>SUM(D34:D39)</f>
        <v>2300.6000000000004</v>
      </c>
      <c r="E40" s="113">
        <f t="shared" si="13"/>
        <v>0.12003673209571215</v>
      </c>
      <c r="F40" s="20">
        <f>I40/D40</f>
        <v>18.936425831782689</v>
      </c>
      <c r="G40" s="19">
        <f>F40/C40-1</f>
        <v>-4.0517661556260798E-4</v>
      </c>
      <c r="H40" s="18">
        <f>SUM(H34:H39)</f>
        <v>43582.8</v>
      </c>
      <c r="I40" s="18">
        <f>SUM(I34:I39)</f>
        <v>43565.141268599262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2993</v>
      </c>
      <c r="E42" s="107">
        <f>D42/$D$48</f>
        <v>0.15616358304897263</v>
      </c>
      <c r="F42" s="28">
        <f>C42-(C42*$E$6)</f>
        <v>0.39983792935377505</v>
      </c>
      <c r="G42" s="27" t="str">
        <f>IF(C42&gt;=F42,"-","+")</f>
        <v>-</v>
      </c>
      <c r="H42" s="26">
        <f>C42*D42</f>
        <v>1197.2</v>
      </c>
      <c r="I42" s="26">
        <f>F42*D42</f>
        <v>1196.7149225558487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123.8</v>
      </c>
      <c r="E43" s="107">
        <f>D43/$D$48</f>
        <v>6.459422513017979E-3</v>
      </c>
      <c r="F43" s="28">
        <f>C43-(C43*$E$6)</f>
        <v>0.39983792935377505</v>
      </c>
      <c r="G43" s="27" t="str">
        <f>IF(C43&gt;=F43,"-","+")</f>
        <v>-</v>
      </c>
      <c r="H43" s="26">
        <f>C43*D43</f>
        <v>49.52</v>
      </c>
      <c r="I43" s="26">
        <f>F43*D43</f>
        <v>49.499935653997348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2.4522847989648226E-4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0.39939772545250679</v>
      </c>
      <c r="D46" s="22">
        <f>SUM(D41:D45)</f>
        <v>3121.5</v>
      </c>
      <c r="E46" s="113">
        <f>D46/$D$48</f>
        <v>0.16286823404188708</v>
      </c>
      <c r="F46" s="20">
        <f>I46/D46</f>
        <v>0.39923589883384469</v>
      </c>
      <c r="G46" s="19">
        <f>F46/C46-1</f>
        <v>-4.0517661556227491E-4</v>
      </c>
      <c r="H46" s="18">
        <f>SUM(H41:H44)</f>
        <v>1246.72</v>
      </c>
      <c r="I46" s="18">
        <f>SUM(I41:I44)</f>
        <v>1246.2148582098462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99.995812385281269</v>
      </c>
      <c r="D48" s="13">
        <f>D24+D32+D40+D46</f>
        <v>19165.800000000003</v>
      </c>
      <c r="E48" s="12">
        <f>SUM(E20:E46)/2</f>
        <v>0.99999999999999989</v>
      </c>
      <c r="F48" s="11">
        <f>I48/D48</f>
        <v>26.959744353395269</v>
      </c>
      <c r="G48" s="10"/>
      <c r="H48" s="9">
        <f>SUM(H20:H46)/2</f>
        <v>516914.51</v>
      </c>
      <c r="I48" s="9">
        <f>SUM(I20:I46)/2</f>
        <v>516705.06832830311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23880.600000000002</v>
      </c>
      <c r="E50" s="12">
        <f>D50/G2</f>
        <v>1.0000041875170118</v>
      </c>
      <c r="F50" s="11">
        <f>I50/D50</f>
        <v>27.149886309389213</v>
      </c>
      <c r="G50" s="10"/>
      <c r="H50" s="9">
        <f>H48+H19</f>
        <v>648618.38</v>
      </c>
      <c r="I50" s="9">
        <f>I48+I19</f>
        <v>648355.57500000007</v>
      </c>
      <c r="J50" s="106">
        <f>D50-G2</f>
        <v>0.10000000000218279</v>
      </c>
      <c r="K50" s="8"/>
    </row>
    <row r="51" spans="1:11" ht="23.25" x14ac:dyDescent="0.35">
      <c r="A51" s="174" t="s">
        <v>379</v>
      </c>
      <c r="B51" s="169"/>
      <c r="C51" s="170"/>
      <c r="G51" s="7"/>
      <c r="H51" s="6"/>
      <c r="I51" s="6">
        <f>+I50/D50</f>
        <v>27.149886309389213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378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375</v>
      </c>
      <c r="D2" s="96" t="s">
        <v>3</v>
      </c>
      <c r="E2" s="95" t="s">
        <v>112</v>
      </c>
      <c r="F2" s="94" t="s">
        <v>5</v>
      </c>
      <c r="G2" s="93">
        <v>3375.9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52</v>
      </c>
      <c r="F3" s="88" t="s">
        <v>8</v>
      </c>
      <c r="G3" s="87">
        <v>23.7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64.921153846153842</v>
      </c>
      <c r="F4" s="81" t="s">
        <v>12</v>
      </c>
      <c r="G4" s="80">
        <f>G2*G3</f>
        <v>80008.83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-8.0030469696609652E-2</v>
      </c>
      <c r="F6" s="69" t="s">
        <v>16</v>
      </c>
      <c r="G6" s="68">
        <f>(I50-I19)/(D50-(SUM(D42:D44)+D19))</f>
        <v>30.242224826126389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23.7</v>
      </c>
      <c r="D10" s="30"/>
      <c r="E10" s="29" t="e">
        <f t="shared" ref="E10:E19" si="1">D10/$D$19</f>
        <v>#DIV/0!</v>
      </c>
      <c r="F10" s="28">
        <f t="shared" ref="F10:F18" si="2">C10-(C10*$E$6)</f>
        <v>25.596722131809649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 t="e">
        <f t="shared" si="1"/>
        <v>#DIV/0!</v>
      </c>
      <c r="F11" s="28">
        <f t="shared" si="2"/>
        <v>26.676752601506259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22.5</v>
      </c>
      <c r="D12" s="30"/>
      <c r="E12" s="29" t="e">
        <f t="shared" si="1"/>
        <v>#DIV/0!</v>
      </c>
      <c r="F12" s="28">
        <f t="shared" si="2"/>
        <v>24.300685568173716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/>
      <c r="E13" s="29" t="e">
        <f t="shared" si="1"/>
        <v>#DIV/0!</v>
      </c>
      <c r="F13" s="28">
        <f t="shared" si="2"/>
        <v>26.676752601506259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27.6</v>
      </c>
      <c r="D14" s="30"/>
      <c r="E14" s="29" t="e">
        <f t="shared" si="1"/>
        <v>#DIV/0!</v>
      </c>
      <c r="F14" s="28">
        <f t="shared" si="2"/>
        <v>29.808840963626427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22.8</v>
      </c>
      <c r="D15" s="30"/>
      <c r="E15" s="29" t="e">
        <f t="shared" si="1"/>
        <v>#DIV/0!</v>
      </c>
      <c r="F15" s="28">
        <f t="shared" si="2"/>
        <v>24.6246947090827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31.1</v>
      </c>
      <c r="D16" s="30"/>
      <c r="E16" s="29" t="e">
        <f t="shared" si="1"/>
        <v>#DIV/0!</v>
      </c>
      <c r="F16" s="28">
        <f t="shared" si="2"/>
        <v>33.588947607564563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45.8</v>
      </c>
      <c r="D17" s="30"/>
      <c r="E17" s="29" t="e">
        <f t="shared" si="1"/>
        <v>#DIV/0!</v>
      </c>
      <c r="F17" s="28">
        <f t="shared" si="2"/>
        <v>49.46539551210472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40.200000000000003</v>
      </c>
      <c r="D18" s="30"/>
      <c r="E18" s="29" t="e">
        <f t="shared" si="1"/>
        <v>#DIV/0!</v>
      </c>
      <c r="F18" s="28">
        <f t="shared" si="2"/>
        <v>43.417224881803712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59.6</v>
      </c>
      <c r="D21" s="30">
        <v>47.8</v>
      </c>
      <c r="E21" s="29">
        <f>D21/$D$48</f>
        <v>1.4158348390154321E-2</v>
      </c>
      <c r="F21" s="28">
        <f>C21-(C21*$E$6)</f>
        <v>64.369815993917939</v>
      </c>
      <c r="G21" s="27" t="str">
        <f>IF(C21&gt;=F21,"-","+")</f>
        <v>+</v>
      </c>
      <c r="H21" s="26">
        <f>C21*D21</f>
        <v>2848.88</v>
      </c>
      <c r="I21" s="26">
        <f>F21*D21</f>
        <v>3076.8772045092774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</v>
      </c>
      <c r="D22" s="30">
        <v>89.4</v>
      </c>
      <c r="E22" s="29">
        <f>D22/$D$48</f>
        <v>2.6480258286188212E-2</v>
      </c>
      <c r="F22" s="28">
        <f>C22-(C22*$E$6)</f>
        <v>43.201218787864384</v>
      </c>
      <c r="G22" s="27" t="str">
        <f>IF(C22&gt;=F22,"-","+")</f>
        <v>+</v>
      </c>
      <c r="H22" s="26">
        <f>C22*D22</f>
        <v>3576</v>
      </c>
      <c r="I22" s="26">
        <f>F22*D22</f>
        <v>3862.1889596350761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36.5</v>
      </c>
      <c r="D23" s="30">
        <v>72</v>
      </c>
      <c r="E23" s="29">
        <f>D23/$D$48</f>
        <v>2.1326382512366342E-2</v>
      </c>
      <c r="F23" s="28">
        <f>C23-(C23*$E$6)</f>
        <v>39.421112143926251</v>
      </c>
      <c r="G23" s="27" t="str">
        <f>IF(C23&gt;=F23,"-","+")</f>
        <v>+</v>
      </c>
      <c r="H23" s="26">
        <f>C23*D23</f>
        <v>2628</v>
      </c>
      <c r="I23" s="26">
        <f>F23*D23</f>
        <v>2838.3200743626903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43.273804971319322</v>
      </c>
      <c r="D24" s="22">
        <f>SUM(D21:D23)</f>
        <v>209.2</v>
      </c>
      <c r="E24" s="21">
        <f>D24/$D$48</f>
        <v>6.1964989188708873E-2</v>
      </c>
      <c r="F24" s="20">
        <f>I24/D24</f>
        <v>46.737027908733474</v>
      </c>
      <c r="G24" s="19">
        <f>F24/C24-1</f>
        <v>8.0030469696609208E-2</v>
      </c>
      <c r="H24" s="18">
        <f>SUM(H21:H23)</f>
        <v>9052.880000000001</v>
      </c>
      <c r="I24" s="18">
        <f>SUM(I21:I23)</f>
        <v>9777.3862385070424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31.8</v>
      </c>
      <c r="D26" s="30">
        <v>760</v>
      </c>
      <c r="E26" s="29">
        <f t="shared" ref="E26:E32" si="7">D26/$D$48</f>
        <v>0.22511181540831141</v>
      </c>
      <c r="F26" s="28">
        <f t="shared" ref="F26:F31" si="8">C26-(C26*$E$6)</f>
        <v>34.344968936352188</v>
      </c>
      <c r="G26" s="27" t="str">
        <f t="shared" ref="G26:G31" si="9">IF(C26&gt;=F26,"-","+")</f>
        <v>+</v>
      </c>
      <c r="H26" s="26">
        <f t="shared" ref="H26:H31" si="10">C26*D26</f>
        <v>24168</v>
      </c>
      <c r="I26" s="26">
        <f t="shared" ref="I26:I31" si="11">F26*D26</f>
        <v>26102.176391627661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28.3</v>
      </c>
      <c r="D27" s="30">
        <v>481</v>
      </c>
      <c r="E27" s="29">
        <f t="shared" si="7"/>
        <v>0.14247208317289181</v>
      </c>
      <c r="F27" s="28">
        <f t="shared" si="8"/>
        <v>30.564862292414055</v>
      </c>
      <c r="G27" s="27" t="str">
        <f t="shared" si="9"/>
        <v>+</v>
      </c>
      <c r="H27" s="26">
        <f t="shared" si="10"/>
        <v>13612.300000000001</v>
      </c>
      <c r="I27" s="26">
        <f t="shared" si="11"/>
        <v>14701.69876265116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28.3</v>
      </c>
      <c r="D28" s="30">
        <f>500.8-250.4</f>
        <v>250.4</v>
      </c>
      <c r="E28" s="29">
        <f t="shared" si="7"/>
        <v>7.4168419181896289E-2</v>
      </c>
      <c r="F28" s="28">
        <f t="shared" si="8"/>
        <v>30.564862292414055</v>
      </c>
      <c r="G28" s="27" t="str">
        <f t="shared" si="9"/>
        <v>+</v>
      </c>
      <c r="H28" s="26">
        <f t="shared" si="10"/>
        <v>7086.3200000000006</v>
      </c>
      <c r="I28" s="26">
        <f t="shared" si="11"/>
        <v>7653.4415180204796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250</v>
      </c>
      <c r="E29" s="29">
        <f t="shared" si="7"/>
        <v>7.4049939279049806E-2</v>
      </c>
      <c r="F29" s="28">
        <f t="shared" si="8"/>
        <v>29.592834869687103</v>
      </c>
      <c r="G29" s="27" t="str">
        <f t="shared" si="9"/>
        <v>+</v>
      </c>
      <c r="H29" s="26">
        <f t="shared" si="10"/>
        <v>6850</v>
      </c>
      <c r="I29" s="26">
        <f t="shared" si="11"/>
        <v>7398.2087174217759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89</v>
      </c>
      <c r="E30" s="29">
        <f t="shared" si="7"/>
        <v>2.6361778383341729E-2</v>
      </c>
      <c r="F30" s="28">
        <f t="shared" si="8"/>
        <v>29.592834869687103</v>
      </c>
      <c r="G30" s="27" t="str">
        <f t="shared" si="9"/>
        <v>+</v>
      </c>
      <c r="H30" s="26">
        <f t="shared" si="10"/>
        <v>2438.6</v>
      </c>
      <c r="I30" s="26">
        <f t="shared" si="11"/>
        <v>2633.7623034021522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27.8</v>
      </c>
      <c r="D31" s="30">
        <v>63</v>
      </c>
      <c r="E31" s="29">
        <f t="shared" si="7"/>
        <v>1.8660584698320552E-2</v>
      </c>
      <c r="F31" s="28">
        <f t="shared" si="8"/>
        <v>30.024847057565751</v>
      </c>
      <c r="G31" s="27" t="str">
        <f t="shared" si="9"/>
        <v>+</v>
      </c>
      <c r="H31" s="26">
        <f t="shared" si="10"/>
        <v>1751.4</v>
      </c>
      <c r="I31" s="26">
        <f t="shared" si="11"/>
        <v>1891.5653646266423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29.527104679412698</v>
      </c>
      <c r="D32" s="22">
        <f>SUM(D26:D31)</f>
        <v>1893.4</v>
      </c>
      <c r="E32" s="21">
        <f t="shared" si="7"/>
        <v>0.56082462012381162</v>
      </c>
      <c r="F32" s="20">
        <f>I32/D32</f>
        <v>31.890172735687056</v>
      </c>
      <c r="G32" s="19">
        <f>F32/C32-1</f>
        <v>8.0030469696609652E-2</v>
      </c>
      <c r="H32" s="18">
        <f>SUM(H26:H31)</f>
        <v>55906.62</v>
      </c>
      <c r="I32" s="18">
        <f>SUM(I26:I31)</f>
        <v>60380.853057749875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16.7</v>
      </c>
      <c r="D34" s="30">
        <f>690+237.8-437</f>
        <v>490.79999999999995</v>
      </c>
      <c r="E34" s="29">
        <f t="shared" ref="E34:E40" si="13">D34/$D$48</f>
        <v>0.14537484079263055</v>
      </c>
      <c r="F34" s="28">
        <f t="shared" ref="F34:F39" si="14">C34-(C34*$E$6)</f>
        <v>18.03650884393338</v>
      </c>
      <c r="G34" s="27" t="str">
        <f t="shared" ref="G34:G39" si="15">IF(C34&gt;=F34,"-","+")</f>
        <v>+</v>
      </c>
      <c r="H34" s="26">
        <f t="shared" ref="H34:H39" si="16">C34*D34</f>
        <v>8196.3599999999988</v>
      </c>
      <c r="I34" s="26">
        <f t="shared" ref="I34:I39" si="17">F34*D34</f>
        <v>8852.3185406025023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49</v>
      </c>
      <c r="E35" s="29">
        <f t="shared" si="13"/>
        <v>1.4513788098693761E-2</v>
      </c>
      <c r="F35" s="28">
        <f t="shared" si="14"/>
        <v>13.932393059086264</v>
      </c>
      <c r="G35" s="27" t="str">
        <f t="shared" si="15"/>
        <v>+</v>
      </c>
      <c r="H35" s="26">
        <f t="shared" si="16"/>
        <v>632.1</v>
      </c>
      <c r="I35" s="26">
        <f t="shared" si="17"/>
        <v>682.68725989522693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10.3</v>
      </c>
      <c r="D36" s="30"/>
      <c r="E36" s="29">
        <f t="shared" si="13"/>
        <v>0</v>
      </c>
      <c r="F36" s="28">
        <f t="shared" si="14"/>
        <v>11.12431383787508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29.592834869687103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29.592834869687103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28.3</v>
      </c>
      <c r="D39" s="30"/>
      <c r="E39" s="29">
        <f t="shared" si="13"/>
        <v>0</v>
      </c>
      <c r="F39" s="28">
        <f t="shared" si="14"/>
        <v>30.564862292414055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16.355057428677288</v>
      </c>
      <c r="D40" s="22">
        <f>SUM(D34:D39)</f>
        <v>539.79999999999995</v>
      </c>
      <c r="E40" s="113">
        <f t="shared" si="13"/>
        <v>0.15988862889132432</v>
      </c>
      <c r="F40" s="20">
        <f>I40/D40</f>
        <v>17.663960356609355</v>
      </c>
      <c r="G40" s="19">
        <f>F40/C40-1</f>
        <v>8.0030469696609652E-2</v>
      </c>
      <c r="H40" s="18">
        <f>SUM(H34:H39)</f>
        <v>8828.4599999999991</v>
      </c>
      <c r="I40" s="18">
        <f>SUM(I34:I39)</f>
        <v>9535.0058004977291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343+42.4+327.1</f>
        <v>712.5</v>
      </c>
      <c r="E42" s="107">
        <f>D42/$D$48</f>
        <v>0.21104232694529193</v>
      </c>
      <c r="F42" s="28">
        <f>C42-(C42*$E$6)</f>
        <v>0.43201218787864387</v>
      </c>
      <c r="G42" s="27" t="str">
        <f>IF(C42&gt;=F42,"-","+")</f>
        <v>+</v>
      </c>
      <c r="H42" s="26">
        <f>C42*D42</f>
        <v>285</v>
      </c>
      <c r="I42" s="26">
        <f>F42*D42</f>
        <v>307.80868386353376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18</v>
      </c>
      <c r="E43" s="107">
        <f>D43/$D$48</f>
        <v>5.3315956280915854E-3</v>
      </c>
      <c r="F43" s="28">
        <f>C43-(C43*$E$6)</f>
        <v>0.43201218787864387</v>
      </c>
      <c r="G43" s="27" t="str">
        <f>IF(C43&gt;=F43,"-","+")</f>
        <v>+</v>
      </c>
      <c r="H43" s="26">
        <f>C43*D43</f>
        <v>7.2</v>
      </c>
      <c r="I43" s="26">
        <f>F43*D43</f>
        <v>7.77621938181559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3.2</v>
      </c>
      <c r="E45" s="107">
        <f>D45/$D$48</f>
        <v>9.4783922277183756E-4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0.39825541774567258</v>
      </c>
      <c r="D46" s="22">
        <f>SUM(D41:D45)</f>
        <v>733.7</v>
      </c>
      <c r="E46" s="113">
        <f>D46/$D$48</f>
        <v>0.21732176179615537</v>
      </c>
      <c r="F46" s="20">
        <f>I46/D46</f>
        <v>0.43012798588707823</v>
      </c>
      <c r="G46" s="19">
        <f>F46/C46-1</f>
        <v>8.0030469696609652E-2</v>
      </c>
      <c r="H46" s="18">
        <f>SUM(H41:H44)</f>
        <v>292.2</v>
      </c>
      <c r="I46" s="18">
        <f>SUM(I41:I44)</f>
        <v>315.58490324534932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89.554222497154981</v>
      </c>
      <c r="D48" s="13">
        <f>D24+D32+D40+D46</f>
        <v>3376.0999999999995</v>
      </c>
      <c r="E48" s="12">
        <f>SUM(E20:E46)/2</f>
        <v>1</v>
      </c>
      <c r="F48" s="11">
        <f>I48/D48</f>
        <v>23.698596013151271</v>
      </c>
      <c r="G48" s="10"/>
      <c r="H48" s="9">
        <f>SUM(H20:H46)/2</f>
        <v>74080.160000000003</v>
      </c>
      <c r="I48" s="9">
        <f>SUM(I20:I46)/2</f>
        <v>80008.829999999987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3376.1000000000004</v>
      </c>
      <c r="E50" s="12">
        <f>D50/G2</f>
        <v>1.0000592434610032</v>
      </c>
      <c r="F50" s="11">
        <f>I50/D50</f>
        <v>23.698596013151263</v>
      </c>
      <c r="G50" s="10"/>
      <c r="H50" s="9">
        <f>H48+H19</f>
        <v>74080.160000000003</v>
      </c>
      <c r="I50" s="9">
        <f>I48+I19</f>
        <v>80008.829999999987</v>
      </c>
      <c r="J50" s="106">
        <f>D50-G2</f>
        <v>0.20000000000027285</v>
      </c>
      <c r="K50" s="8"/>
    </row>
    <row r="51" spans="1:11" ht="23.25" x14ac:dyDescent="0.35">
      <c r="A51" s="174" t="s">
        <v>380</v>
      </c>
      <c r="B51" s="169"/>
      <c r="C51" s="170"/>
      <c r="G51" s="7"/>
      <c r="H51" s="6"/>
      <c r="I51" s="6">
        <f>+I50/D50</f>
        <v>23.698596013151263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375</v>
      </c>
      <c r="D1" s="100" t="s">
        <v>1</v>
      </c>
      <c r="E1" s="168" t="s">
        <v>233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381</v>
      </c>
      <c r="D2" s="96" t="s">
        <v>3</v>
      </c>
      <c r="E2" s="95" t="s">
        <v>112</v>
      </c>
      <c r="F2" s="94" t="s">
        <v>5</v>
      </c>
      <c r="G2" s="93">
        <v>1938.2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194</v>
      </c>
      <c r="D3" s="90" t="s">
        <v>7</v>
      </c>
      <c r="E3" s="89">
        <v>28</v>
      </c>
      <c r="F3" s="88" t="s">
        <v>8</v>
      </c>
      <c r="G3" s="87">
        <v>21.69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69.221428571428575</v>
      </c>
      <c r="F4" s="81" t="s">
        <v>12</v>
      </c>
      <c r="G4" s="80">
        <f>G2*G3</f>
        <v>42039.558000000005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-9.2421209201380972E-2</v>
      </c>
      <c r="F6" s="69" t="s">
        <v>16</v>
      </c>
      <c r="G6" s="68">
        <f>(I50-I19)/(D50-(SUM(D42:D44)+D19))</f>
        <v>28.487875584468398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21.7</v>
      </c>
      <c r="D10" s="30"/>
      <c r="E10" s="29" t="e">
        <f t="shared" ref="E10:E19" si="1">D10/$D$19</f>
        <v>#DIV/0!</v>
      </c>
      <c r="F10" s="28">
        <f t="shared" ref="F10:F18" si="2">C10-(C10*$E$6)</f>
        <v>23.705540239669965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22.6</v>
      </c>
      <c r="D11" s="30"/>
      <c r="E11" s="29" t="e">
        <f t="shared" si="1"/>
        <v>#DIV/0!</v>
      </c>
      <c r="F11" s="28">
        <f t="shared" si="2"/>
        <v>24.688719327951212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20.6</v>
      </c>
      <c r="D12" s="30"/>
      <c r="E12" s="29" t="e">
        <f t="shared" si="1"/>
        <v>#DIV/0!</v>
      </c>
      <c r="F12" s="28">
        <f t="shared" si="2"/>
        <v>22.503876909548449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22.6</v>
      </c>
      <c r="D13" s="30"/>
      <c r="E13" s="29" t="e">
        <f t="shared" si="1"/>
        <v>#DIV/0!</v>
      </c>
      <c r="F13" s="28">
        <f t="shared" si="2"/>
        <v>24.688719327951212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25.3</v>
      </c>
      <c r="D14" s="30"/>
      <c r="E14" s="29" t="e">
        <f t="shared" si="1"/>
        <v>#DIV/0!</v>
      </c>
      <c r="F14" s="28">
        <f t="shared" si="2"/>
        <v>27.638256592794939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20.8</v>
      </c>
      <c r="D15" s="30"/>
      <c r="E15" s="29" t="e">
        <f t="shared" si="1"/>
        <v>#DIV/0!</v>
      </c>
      <c r="F15" s="28">
        <f t="shared" si="2"/>
        <v>22.722361151388725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28.5</v>
      </c>
      <c r="D16" s="30"/>
      <c r="E16" s="29" t="e">
        <f t="shared" si="1"/>
        <v>#DIV/0!</v>
      </c>
      <c r="F16" s="28">
        <f t="shared" si="2"/>
        <v>31.134004462239357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42</v>
      </c>
      <c r="D17" s="30"/>
      <c r="E17" s="29" t="e">
        <f t="shared" si="1"/>
        <v>#DIV/0!</v>
      </c>
      <c r="F17" s="28">
        <f t="shared" si="2"/>
        <v>45.881690786458002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36.700000000000003</v>
      </c>
      <c r="D18" s="30"/>
      <c r="E18" s="29" t="e">
        <f t="shared" si="1"/>
        <v>#DIV/0!</v>
      </c>
      <c r="F18" s="28">
        <f t="shared" si="2"/>
        <v>40.091858377690684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54.6</v>
      </c>
      <c r="D21" s="30">
        <v>25.1</v>
      </c>
      <c r="E21" s="29">
        <f>D21/$D$48</f>
        <v>1.2950159942214427E-2</v>
      </c>
      <c r="F21" s="28">
        <f>C21-(C21*$E$6)</f>
        <v>59.646198022395403</v>
      </c>
      <c r="G21" s="27" t="str">
        <f>IF(C21&gt;=F21,"-","+")</f>
        <v>+</v>
      </c>
      <c r="H21" s="26">
        <f>C21*D21</f>
        <v>1370.46</v>
      </c>
      <c r="I21" s="26">
        <f>F21*D21</f>
        <v>1497.1195703621247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36.6</v>
      </c>
      <c r="D22" s="30">
        <v>48.3</v>
      </c>
      <c r="E22" s="29">
        <f>D22/$D$48</f>
        <v>2.4920028892787122E-2</v>
      </c>
      <c r="F22" s="28">
        <f>C22-(C22*$E$6)</f>
        <v>39.982616256770548</v>
      </c>
      <c r="G22" s="27" t="str">
        <f>IF(C22&gt;=F22,"-","+")</f>
        <v>+</v>
      </c>
      <c r="H22" s="26">
        <f>C22*D22</f>
        <v>1767.78</v>
      </c>
      <c r="I22" s="26">
        <f>F22*D22</f>
        <v>1931.1603652020174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33.4</v>
      </c>
      <c r="D23" s="30">
        <v>37.200000000000003</v>
      </c>
      <c r="E23" s="29">
        <f>D23/$D$48</f>
        <v>1.9193065731090708E-2</v>
      </c>
      <c r="F23" s="28">
        <f>C23-(C23*$E$6)</f>
        <v>36.486868387326126</v>
      </c>
      <c r="G23" s="27" t="str">
        <f>IF(C23&gt;=F23,"-","+")</f>
        <v>+</v>
      </c>
      <c r="H23" s="26">
        <f>C23*D23</f>
        <v>1242.48</v>
      </c>
      <c r="I23" s="26">
        <f>F23*D23</f>
        <v>1357.311504008532</v>
      </c>
      <c r="J23" s="25"/>
      <c r="K23" s="25"/>
    </row>
    <row r="24" spans="1:11" x14ac:dyDescent="0.25">
      <c r="A24" s="24" t="s">
        <v>34</v>
      </c>
      <c r="B24" s="23"/>
      <c r="C24" s="20">
        <f>H24/D24</f>
        <v>39.608679927667261</v>
      </c>
      <c r="D24" s="22">
        <f>SUM(D21:D23)</f>
        <v>110.60000000000001</v>
      </c>
      <c r="E24" s="21">
        <f>D24/$D$48</f>
        <v>5.7063254566092257E-2</v>
      </c>
      <c r="F24" s="20">
        <f>I24/D24</f>
        <v>43.269362021452743</v>
      </c>
      <c r="G24" s="19">
        <f>F24/C24-1</f>
        <v>9.2421209201381194E-2</v>
      </c>
      <c r="H24" s="18">
        <f>SUM(H21:H23)</f>
        <v>4380.7199999999993</v>
      </c>
      <c r="I24" s="18">
        <f>SUM(I21:I23)</f>
        <v>4785.5914395726741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29.1</v>
      </c>
      <c r="D26" s="30">
        <v>375.7</v>
      </c>
      <c r="E26" s="29">
        <f t="shared" ref="E26:E32" si="7">D26/$D$48</f>
        <v>0.19383964503147252</v>
      </c>
      <c r="F26" s="28">
        <f t="shared" ref="F26:F31" si="8">C26-(C26*$E$6)</f>
        <v>31.789457187760188</v>
      </c>
      <c r="G26" s="27" t="str">
        <f t="shared" ref="G26:G31" si="9">IF(C26&gt;=F26,"-","+")</f>
        <v>+</v>
      </c>
      <c r="H26" s="26">
        <f t="shared" ref="H26:H31" si="10">C26*D26</f>
        <v>10932.87</v>
      </c>
      <c r="I26" s="26">
        <f t="shared" ref="I26:I31" si="11">F26*D26</f>
        <v>11943.299065441503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25.9</v>
      </c>
      <c r="D27" s="30">
        <v>267.7</v>
      </c>
      <c r="E27" s="29">
        <f t="shared" si="7"/>
        <v>0.1381178412960479</v>
      </c>
      <c r="F27" s="28">
        <f t="shared" si="8"/>
        <v>28.293709318315766</v>
      </c>
      <c r="G27" s="27" t="str">
        <f t="shared" si="9"/>
        <v>+</v>
      </c>
      <c r="H27" s="26">
        <f t="shared" si="10"/>
        <v>6933.4299999999994</v>
      </c>
      <c r="I27" s="26">
        <f t="shared" si="11"/>
        <v>7574.2259845131302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25.9</v>
      </c>
      <c r="D28" s="30">
        <v>194.2</v>
      </c>
      <c r="E28" s="29">
        <f t="shared" si="7"/>
        <v>0.10019605819832834</v>
      </c>
      <c r="F28" s="28">
        <f t="shared" si="8"/>
        <v>28.293709318315766</v>
      </c>
      <c r="G28" s="27" t="str">
        <f t="shared" si="9"/>
        <v>+</v>
      </c>
      <c r="H28" s="26">
        <f t="shared" si="10"/>
        <v>5029.78</v>
      </c>
      <c r="I28" s="26">
        <f t="shared" si="11"/>
        <v>5494.6383496169219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25.1</v>
      </c>
      <c r="D29" s="30">
        <v>186.1</v>
      </c>
      <c r="E29" s="29">
        <f t="shared" si="7"/>
        <v>9.6016922918171502E-2</v>
      </c>
      <c r="F29" s="28">
        <f t="shared" si="8"/>
        <v>27.419772350954663</v>
      </c>
      <c r="G29" s="27" t="str">
        <f t="shared" si="9"/>
        <v>+</v>
      </c>
      <c r="H29" s="26">
        <f t="shared" si="10"/>
        <v>4671.1099999999997</v>
      </c>
      <c r="I29" s="26">
        <f t="shared" si="11"/>
        <v>5102.8196345126626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25.1</v>
      </c>
      <c r="D30" s="30">
        <v>78.900000000000006</v>
      </c>
      <c r="E30" s="29">
        <f t="shared" si="7"/>
        <v>4.070787328449077E-2</v>
      </c>
      <c r="F30" s="28">
        <f t="shared" si="8"/>
        <v>27.419772350954663</v>
      </c>
      <c r="G30" s="27" t="str">
        <f t="shared" si="9"/>
        <v>+</v>
      </c>
      <c r="H30" s="26">
        <f t="shared" si="10"/>
        <v>1980.3900000000003</v>
      </c>
      <c r="I30" s="26">
        <f t="shared" si="11"/>
        <v>2163.4200384903229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25.5</v>
      </c>
      <c r="D31" s="30">
        <v>40.9</v>
      </c>
      <c r="E31" s="29">
        <f t="shared" si="7"/>
        <v>2.1102053451656177E-2</v>
      </c>
      <c r="F31" s="28">
        <f t="shared" si="8"/>
        <v>27.856740834635215</v>
      </c>
      <c r="G31" s="27" t="str">
        <f t="shared" si="9"/>
        <v>+</v>
      </c>
      <c r="H31" s="26">
        <f t="shared" si="10"/>
        <v>1042.95</v>
      </c>
      <c r="I31" s="26">
        <f t="shared" si="11"/>
        <v>1139.3407001365802</v>
      </c>
      <c r="J31" s="25"/>
      <c r="K31" s="25"/>
    </row>
    <row r="32" spans="1:11" x14ac:dyDescent="0.25">
      <c r="A32" s="24" t="s">
        <v>34</v>
      </c>
      <c r="B32" s="23"/>
      <c r="C32" s="20">
        <f>H32/D32</f>
        <v>26.751665937909923</v>
      </c>
      <c r="D32" s="22">
        <f>SUM(D26:D31)</f>
        <v>1143.5</v>
      </c>
      <c r="E32" s="21">
        <f t="shared" si="7"/>
        <v>0.58998039418016723</v>
      </c>
      <c r="F32" s="20">
        <f>I32/D32</f>
        <v>29.224087252042953</v>
      </c>
      <c r="G32" s="19">
        <f>F32/C32-1</f>
        <v>9.2421209201380972E-2</v>
      </c>
      <c r="H32" s="18">
        <f>SUM(H26:H31)</f>
        <v>30590.53</v>
      </c>
      <c r="I32" s="18">
        <f>SUM(I26:I31)</f>
        <v>33417.743772711117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15.3</v>
      </c>
      <c r="D34" s="30">
        <v>217.5</v>
      </c>
      <c r="E34" s="29">
        <f t="shared" ref="E34:E40" si="13">D34/$D$48</f>
        <v>0.11221752141161905</v>
      </c>
      <c r="F34" s="28">
        <f t="shared" ref="F34:F39" si="14">C34-(C34*$E$6)</f>
        <v>16.714044500781128</v>
      </c>
      <c r="G34" s="27" t="str">
        <f t="shared" ref="G34:G39" si="15">IF(C34&gt;=F34,"-","+")</f>
        <v>+</v>
      </c>
      <c r="H34" s="26">
        <f t="shared" ref="H34:H39" si="16">C34*D34</f>
        <v>3327.75</v>
      </c>
      <c r="I34" s="26">
        <f t="shared" ref="I34:I39" si="17">F34*D34</f>
        <v>3635.3046789198952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11.8</v>
      </c>
      <c r="D35" s="30"/>
      <c r="E35" s="29">
        <f t="shared" si="13"/>
        <v>0</v>
      </c>
      <c r="F35" s="28">
        <f t="shared" si="14"/>
        <v>12.890570268576296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9.5</v>
      </c>
      <c r="D36" s="30"/>
      <c r="E36" s="29">
        <f t="shared" si="13"/>
        <v>0</v>
      </c>
      <c r="F36" s="28">
        <f t="shared" si="14"/>
        <v>10.378001487413119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25.1</v>
      </c>
      <c r="D37" s="30"/>
      <c r="E37" s="29">
        <f t="shared" si="13"/>
        <v>0</v>
      </c>
      <c r="F37" s="28">
        <f t="shared" si="14"/>
        <v>27.419772350954663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25.1</v>
      </c>
      <c r="D38" s="30"/>
      <c r="E38" s="29">
        <f t="shared" si="13"/>
        <v>0</v>
      </c>
      <c r="F38" s="28">
        <f t="shared" si="14"/>
        <v>27.419772350954663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25.9</v>
      </c>
      <c r="D39" s="30"/>
      <c r="E39" s="29">
        <f t="shared" si="13"/>
        <v>0</v>
      </c>
      <c r="F39" s="28">
        <f t="shared" si="14"/>
        <v>28.293709318315766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15.3</v>
      </c>
      <c r="D40" s="22">
        <f>SUM(D34:D39)</f>
        <v>217.5</v>
      </c>
      <c r="E40" s="21">
        <f t="shared" si="13"/>
        <v>0.11221752141161905</v>
      </c>
      <c r="F40" s="20">
        <f>I40/D40</f>
        <v>16.714044500781128</v>
      </c>
      <c r="G40" s="19">
        <f>F40/C40-1</f>
        <v>9.2421209201380972E-2</v>
      </c>
      <c r="H40" s="18">
        <f>SUM(H34:H39)</f>
        <v>3327.75</v>
      </c>
      <c r="I40" s="18">
        <f>SUM(I34:I39)</f>
        <v>3635.3046789198952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445</v>
      </c>
      <c r="E42" s="107">
        <f>D42/$D$48</f>
        <v>0.22959446909503664</v>
      </c>
      <c r="F42" s="28">
        <f>C42-(C42*$E$6)</f>
        <v>0.43696848368055241</v>
      </c>
      <c r="G42" s="27" t="str">
        <f>IF(C42&gt;=F42,"-","+")</f>
        <v>+</v>
      </c>
      <c r="H42" s="26">
        <f>C42*D42</f>
        <v>178</v>
      </c>
      <c r="I42" s="26">
        <f>F42*D42</f>
        <v>194.45097523784582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14.8</v>
      </c>
      <c r="E43" s="107">
        <f>D43/$D$48</f>
        <v>7.6359508822618936E-3</v>
      </c>
      <c r="F43" s="28">
        <f>C43-(C43*$E$6)</f>
        <v>0.43696848368055241</v>
      </c>
      <c r="G43" s="27" t="str">
        <f>IF(C43&gt;=F43,"-","+")</f>
        <v>+</v>
      </c>
      <c r="H43" s="26">
        <f>C43*D43</f>
        <v>5.9200000000000008</v>
      </c>
      <c r="I43" s="26">
        <f>F43*D43</f>
        <v>6.4671335584721756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2.7</v>
      </c>
      <c r="E44" s="107">
        <f>D44/$D$48</f>
        <v>1.3930450933856157E-3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2.1153647714374163E-3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0.39417059579939989</v>
      </c>
      <c r="D46" s="22">
        <f>SUM(D41:D45)</f>
        <v>466.6</v>
      </c>
      <c r="E46" s="21">
        <f>D46/$D$48</f>
        <v>0.24073882984212158</v>
      </c>
      <c r="F46" s="20">
        <f>I46/D46</f>
        <v>0.43060031889480921</v>
      </c>
      <c r="G46" s="19">
        <f>F46/C46-1</f>
        <v>9.2421209201380972E-2</v>
      </c>
      <c r="H46" s="18">
        <f>SUM(H41:H44)</f>
        <v>183.92</v>
      </c>
      <c r="I46" s="18">
        <f>SUM(I41:I44)</f>
        <v>200.91810879631799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82.054516461376579</v>
      </c>
      <c r="D48" s="13">
        <f>D24+D32+D40+D46</f>
        <v>1938.1999999999998</v>
      </c>
      <c r="E48" s="12">
        <f>SUM(E20:E46)/2</f>
        <v>1</v>
      </c>
      <c r="F48" s="11">
        <f>I48/D48</f>
        <v>21.690000000000008</v>
      </c>
      <c r="G48" s="10"/>
      <c r="H48" s="9">
        <f>SUM(H20:H46)/2</f>
        <v>38482.92</v>
      </c>
      <c r="I48" s="9">
        <f>SUM(I20:I46)/2</f>
        <v>42039.558000000012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1938.1999999999998</v>
      </c>
      <c r="E50" s="12">
        <f>D50/G2</f>
        <v>0.99999999999999989</v>
      </c>
      <c r="F50" s="11">
        <f>I50/D50</f>
        <v>21.690000000000008</v>
      </c>
      <c r="G50" s="10"/>
      <c r="H50" s="9">
        <f>H48+H19</f>
        <v>38482.92</v>
      </c>
      <c r="I50" s="9">
        <f>I48+I19</f>
        <v>42039.558000000012</v>
      </c>
      <c r="J50" s="106">
        <f>D50-G2</f>
        <v>0</v>
      </c>
      <c r="K50" s="8"/>
    </row>
    <row r="51" spans="1:11" ht="23.25" x14ac:dyDescent="0.35">
      <c r="A51" s="174" t="s">
        <v>382</v>
      </c>
      <c r="B51" s="169"/>
      <c r="C51" s="170"/>
      <c r="G51" s="7"/>
      <c r="H51" s="6"/>
      <c r="I51" s="6">
        <f>+I50/D50</f>
        <v>21.690000000000008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381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381</v>
      </c>
      <c r="D2" s="96" t="s">
        <v>3</v>
      </c>
      <c r="E2" s="95" t="s">
        <v>71</v>
      </c>
      <c r="F2" s="94" t="s">
        <v>5</v>
      </c>
      <c r="G2" s="93">
        <v>11260.1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128</v>
      </c>
      <c r="F3" s="88" t="s">
        <v>8</v>
      </c>
      <c r="G3" s="87">
        <v>27.4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87.969531250000003</v>
      </c>
      <c r="F4" s="81" t="s">
        <v>12</v>
      </c>
      <c r="G4" s="80">
        <f>G2*G3</f>
        <v>308526.74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1.7580477697454189E-3</v>
      </c>
      <c r="F6" s="69" t="s">
        <v>16</v>
      </c>
      <c r="G6" s="68">
        <f>(I50-I19)/(D50-(SUM(D42:D44)+D19))</f>
        <v>33.007061655220163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27.4</v>
      </c>
      <c r="D10" s="30"/>
      <c r="E10" s="29">
        <f t="shared" ref="E10:E19" si="1">D10/$D$19</f>
        <v>0</v>
      </c>
      <c r="F10" s="28">
        <f t="shared" ref="F10:F18" si="2">C10-(C10*$E$6)</f>
        <v>27.351829491108973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28.5</v>
      </c>
      <c r="D11" s="30"/>
      <c r="E11" s="29">
        <f t="shared" si="1"/>
        <v>0</v>
      </c>
      <c r="F11" s="28">
        <f t="shared" si="2"/>
        <v>28.449895638562257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26.1</v>
      </c>
      <c r="D12" s="30"/>
      <c r="E12" s="29">
        <f t="shared" si="1"/>
        <v>0</v>
      </c>
      <c r="F12" s="28">
        <f t="shared" si="2"/>
        <v>26.054114953209645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28.5</v>
      </c>
      <c r="D13" s="30"/>
      <c r="E13" s="29">
        <f t="shared" si="1"/>
        <v>0</v>
      </c>
      <c r="F13" s="28">
        <f t="shared" si="2"/>
        <v>28.449895638562257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31.9</v>
      </c>
      <c r="D14" s="30">
        <v>357.7</v>
      </c>
      <c r="E14" s="29">
        <f t="shared" si="1"/>
        <v>1</v>
      </c>
      <c r="F14" s="28">
        <f t="shared" si="2"/>
        <v>31.843918276145121</v>
      </c>
      <c r="G14" s="27" t="str">
        <f t="shared" si="3"/>
        <v>-</v>
      </c>
      <c r="H14" s="34">
        <f t="shared" si="4"/>
        <v>11410.63</v>
      </c>
      <c r="I14" s="34">
        <f t="shared" si="5"/>
        <v>11390.56956737711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26.3</v>
      </c>
      <c r="D15" s="30"/>
      <c r="E15" s="29">
        <f t="shared" si="1"/>
        <v>0</v>
      </c>
      <c r="F15" s="28">
        <f t="shared" si="2"/>
        <v>26.253763343655695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</v>
      </c>
      <c r="D16" s="30"/>
      <c r="E16" s="29">
        <f t="shared" si="1"/>
        <v>0</v>
      </c>
      <c r="F16" s="28">
        <f t="shared" si="2"/>
        <v>35.936710280289162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</v>
      </c>
      <c r="D17" s="30"/>
      <c r="E17" s="29">
        <f t="shared" si="1"/>
        <v>0</v>
      </c>
      <c r="F17" s="28">
        <f t="shared" si="2"/>
        <v>52.906823468203491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46.4</v>
      </c>
      <c r="D18" s="30"/>
      <c r="E18" s="29">
        <f t="shared" si="1"/>
        <v>0</v>
      </c>
      <c r="F18" s="28">
        <f t="shared" si="2"/>
        <v>46.318426583483813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31.9</v>
      </c>
      <c r="D19" s="49">
        <f>SUM(D10:D18)</f>
        <v>357.7</v>
      </c>
      <c r="E19" s="48">
        <f t="shared" si="1"/>
        <v>1</v>
      </c>
      <c r="F19" s="47">
        <f>I19/D19</f>
        <v>31.843918276145121</v>
      </c>
      <c r="G19" s="46">
        <f>F19/C19-1</f>
        <v>-1.7580477697454189E-3</v>
      </c>
      <c r="H19" s="9">
        <f>SUM(H10:H18)</f>
        <v>11410.63</v>
      </c>
      <c r="I19" s="9">
        <f>SUM(I10:I18)</f>
        <v>11390.56956737711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68.900000000000006</v>
      </c>
      <c r="D21" s="30">
        <v>142.4</v>
      </c>
      <c r="E21" s="29">
        <f>D21/$D$48</f>
        <v>1.3061583900497147E-2</v>
      </c>
      <c r="F21" s="28">
        <f>C21-(C21*$E$6)</f>
        <v>68.778870508664539</v>
      </c>
      <c r="G21" s="27" t="str">
        <f>IF(C21&gt;=F21,"-","+")</f>
        <v>-</v>
      </c>
      <c r="H21" s="26">
        <f>C21*D21</f>
        <v>9811.36</v>
      </c>
      <c r="I21" s="26">
        <f>F21*D21</f>
        <v>9794.1111604338312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46.3</v>
      </c>
      <c r="D22" s="30">
        <v>359</v>
      </c>
      <c r="E22" s="29">
        <f>D22/$D$48</f>
        <v>3.292913356937132E-2</v>
      </c>
      <c r="F22" s="28">
        <f>C22-(C22*$E$6)</f>
        <v>46.218602388260784</v>
      </c>
      <c r="G22" s="27" t="str">
        <f>IF(C22&gt;=F22,"-","+")</f>
        <v>-</v>
      </c>
      <c r="H22" s="26">
        <f>C22*D22</f>
        <v>16621.7</v>
      </c>
      <c r="I22" s="26">
        <f>F22*D22</f>
        <v>16592.478257385621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42.2</v>
      </c>
      <c r="D23" s="30">
        <v>269.7</v>
      </c>
      <c r="E23" s="29">
        <f>D23/$D$48</f>
        <v>2.4738126249747756E-2</v>
      </c>
      <c r="F23" s="28">
        <f>C23-(C23*$E$6)</f>
        <v>42.125810384116747</v>
      </c>
      <c r="G23" s="27" t="str">
        <f>IF(C23&gt;=F23,"-","+")</f>
        <v>-</v>
      </c>
      <c r="H23" s="26">
        <f>C23*D23</f>
        <v>11381.34</v>
      </c>
      <c r="I23" s="26">
        <f>F23*D23</f>
        <v>11361.331060596287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49.039553884061739</v>
      </c>
      <c r="D24" s="22">
        <f>SUM(D21:D23)</f>
        <v>771.09999999999991</v>
      </c>
      <c r="E24" s="21">
        <f>D24/$D$48</f>
        <v>7.0728843719616213E-2</v>
      </c>
      <c r="F24" s="20">
        <f>I24/D24</f>
        <v>48.953340005726545</v>
      </c>
      <c r="G24" s="19">
        <f>F24/C24-1</f>
        <v>-1.7580477697456409E-3</v>
      </c>
      <c r="H24" s="18">
        <f>SUM(H21:H23)</f>
        <v>37814.400000000001</v>
      </c>
      <c r="I24" s="18">
        <f>SUM(I21:I23)</f>
        <v>37747.920478415734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36.799999999999997</v>
      </c>
      <c r="D26" s="30">
        <f>472.5+1499.5</f>
        <v>1972</v>
      </c>
      <c r="E26" s="29">
        <f t="shared" ref="E26:E32" si="7">D26/$D$48</f>
        <v>0.18088092311643519</v>
      </c>
      <c r="F26" s="28">
        <f t="shared" ref="F26:F31" si="8">C26-(C26*$E$6)</f>
        <v>36.735303842073364</v>
      </c>
      <c r="G26" s="27" t="str">
        <f t="shared" ref="G26:G31" si="9">IF(C26&gt;=F26,"-","+")</f>
        <v>-</v>
      </c>
      <c r="H26" s="26">
        <f t="shared" ref="H26:H31" si="10">C26*D26</f>
        <v>72569.599999999991</v>
      </c>
      <c r="I26" s="26">
        <f t="shared" ref="I26:I31" si="11">F26*D26</f>
        <v>72442.019176568676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32.700000000000003</v>
      </c>
      <c r="D27" s="30">
        <v>1803.2</v>
      </c>
      <c r="E27" s="29">
        <f t="shared" si="7"/>
        <v>0.16539780961640768</v>
      </c>
      <c r="F27" s="28">
        <f t="shared" si="8"/>
        <v>32.642511837929327</v>
      </c>
      <c r="G27" s="27" t="str">
        <f t="shared" si="9"/>
        <v>-</v>
      </c>
      <c r="H27" s="26">
        <f t="shared" si="10"/>
        <v>58964.640000000007</v>
      </c>
      <c r="I27" s="26">
        <f t="shared" si="11"/>
        <v>58860.977346154163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32.700000000000003</v>
      </c>
      <c r="D28" s="30">
        <v>1328.7</v>
      </c>
      <c r="E28" s="29">
        <f t="shared" si="7"/>
        <v>0.121874484049091</v>
      </c>
      <c r="F28" s="28">
        <f t="shared" si="8"/>
        <v>32.642511837929327</v>
      </c>
      <c r="G28" s="27" t="str">
        <f t="shared" si="9"/>
        <v>-</v>
      </c>
      <c r="H28" s="26">
        <f t="shared" si="10"/>
        <v>43448.490000000005</v>
      </c>
      <c r="I28" s="26">
        <f t="shared" si="11"/>
        <v>43372.1054790567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31.6</v>
      </c>
      <c r="D29" s="30">
        <v>1032.5999999999999</v>
      </c>
      <c r="E29" s="29">
        <f t="shared" si="7"/>
        <v>9.4714828199812862E-2</v>
      </c>
      <c r="F29" s="28">
        <f t="shared" si="8"/>
        <v>31.544445690476046</v>
      </c>
      <c r="G29" s="27" t="str">
        <f t="shared" si="9"/>
        <v>-</v>
      </c>
      <c r="H29" s="26">
        <f t="shared" si="10"/>
        <v>32630.16</v>
      </c>
      <c r="I29" s="26">
        <f t="shared" si="11"/>
        <v>32572.794619985561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31.6</v>
      </c>
      <c r="D30" s="30">
        <v>707.6</v>
      </c>
      <c r="E30" s="29">
        <f t="shared" si="7"/>
        <v>6.4904331235897339E-2</v>
      </c>
      <c r="F30" s="28">
        <f t="shared" si="8"/>
        <v>31.544445690476046</v>
      </c>
      <c r="G30" s="27" t="str">
        <f t="shared" si="9"/>
        <v>-</v>
      </c>
      <c r="H30" s="26">
        <f t="shared" si="10"/>
        <v>22360.160000000003</v>
      </c>
      <c r="I30" s="26">
        <f t="shared" si="11"/>
        <v>22320.849770580851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32.200000000000003</v>
      </c>
      <c r="D31" s="30">
        <v>166</v>
      </c>
      <c r="E31" s="29">
        <f t="shared" si="7"/>
        <v>1.5226284603107629E-2</v>
      </c>
      <c r="F31" s="28">
        <f t="shared" si="8"/>
        <v>32.143390861814197</v>
      </c>
      <c r="G31" s="27" t="str">
        <f t="shared" si="9"/>
        <v>-</v>
      </c>
      <c r="H31" s="26">
        <f t="shared" si="10"/>
        <v>5345.2000000000007</v>
      </c>
      <c r="I31" s="26">
        <f t="shared" si="11"/>
        <v>5335.8028830611565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33.568458367213019</v>
      </c>
      <c r="D32" s="22">
        <f>SUM(D26:D31)</f>
        <v>7010.1</v>
      </c>
      <c r="E32" s="21">
        <f t="shared" si="7"/>
        <v>0.64299866082075174</v>
      </c>
      <c r="F32" s="20">
        <f>I32/D32</f>
        <v>33.509443413846746</v>
      </c>
      <c r="G32" s="19">
        <f>F32/C32-1</f>
        <v>-1.7580477697454189E-3</v>
      </c>
      <c r="H32" s="18">
        <f>SUM(H26:H31)</f>
        <v>235318.25</v>
      </c>
      <c r="I32" s="18">
        <f>SUM(I26:I31)</f>
        <v>234904.5492754071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v>1215.3</v>
      </c>
      <c r="E34" s="29">
        <f t="shared" ref="E34:E40" si="13">D34/$D$48</f>
        <v>0.11147291372383554</v>
      </c>
      <c r="F34" s="28">
        <f t="shared" ref="F34:F39" si="14">C34-(C34*$E$6)</f>
        <v>19.365893873266938</v>
      </c>
      <c r="G34" s="27" t="str">
        <f t="shared" ref="G34:G39" si="15">IF(C34&gt;=F34,"-","+")</f>
        <v>-</v>
      </c>
      <c r="H34" s="26">
        <f t="shared" ref="H34:H39" si="16">C34*D34</f>
        <v>23576.819999999996</v>
      </c>
      <c r="I34" s="26">
        <f t="shared" ref="I34:I39" si="17">F34*D34</f>
        <v>23535.370824181307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/>
      <c r="E35" s="29">
        <f t="shared" si="13"/>
        <v>0</v>
      </c>
      <c r="F35" s="28">
        <f t="shared" si="14"/>
        <v>14.873805088230794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11.978903426763054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31.6</v>
      </c>
      <c r="D37" s="30"/>
      <c r="E37" s="29">
        <f t="shared" si="13"/>
        <v>0</v>
      </c>
      <c r="F37" s="28">
        <f t="shared" si="14"/>
        <v>31.544445690476046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31.6</v>
      </c>
      <c r="D38" s="30"/>
      <c r="E38" s="29">
        <f t="shared" si="13"/>
        <v>0</v>
      </c>
      <c r="F38" s="28">
        <f t="shared" si="14"/>
        <v>31.544445690476046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32.700000000000003</v>
      </c>
      <c r="D39" s="30"/>
      <c r="E39" s="29">
        <f t="shared" si="13"/>
        <v>0</v>
      </c>
      <c r="F39" s="28">
        <f t="shared" si="14"/>
        <v>32.642511837929327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19.399999999999999</v>
      </c>
      <c r="D40" s="22">
        <f>SUM(D34:D39)</f>
        <v>1215.3</v>
      </c>
      <c r="E40" s="113">
        <f t="shared" si="13"/>
        <v>0.11147291372383554</v>
      </c>
      <c r="F40" s="20">
        <f>I40/D40</f>
        <v>19.365893873266938</v>
      </c>
      <c r="G40" s="19">
        <f>F40/C40-1</f>
        <v>-1.7580477697454189E-3</v>
      </c>
      <c r="H40" s="18">
        <f>SUM(H34:H39)</f>
        <v>23576.819999999996</v>
      </c>
      <c r="I40" s="18">
        <f>SUM(I34:I39)</f>
        <v>23535.370824181307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1838</v>
      </c>
      <c r="E42" s="107">
        <f>D42/$D$48</f>
        <v>0.16858982590669772</v>
      </c>
      <c r="F42" s="28">
        <f>C42-(C42*$E$6)</f>
        <v>0.49912097611512729</v>
      </c>
      <c r="G42" s="27" t="str">
        <f>IF(C42&gt;=F42,"-","+")</f>
        <v>-</v>
      </c>
      <c r="H42" s="26">
        <f>C42*D42</f>
        <v>919</v>
      </c>
      <c r="I42" s="26">
        <f>F42*D42</f>
        <v>917.38435409960391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62</v>
      </c>
      <c r="E43" s="107">
        <f>D43/$D$48</f>
        <v>5.6869255746546561E-3</v>
      </c>
      <c r="F43" s="28">
        <f>C43-(C43*$E$6)</f>
        <v>0.49912097611512729</v>
      </c>
      <c r="G43" s="27" t="str">
        <f>IF(C43&gt;=F43,"-","+")</f>
        <v>-</v>
      </c>
      <c r="H43" s="26">
        <f>C43*D43</f>
        <v>31</v>
      </c>
      <c r="I43" s="26">
        <f>F43*D43</f>
        <v>30.945500519137891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5.2283025444405714E-4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0.49850448654037888</v>
      </c>
      <c r="D46" s="22">
        <f>SUM(D41:D45)</f>
        <v>1905.7</v>
      </c>
      <c r="E46" s="113">
        <f>D46/$D$48</f>
        <v>0.17479958173579643</v>
      </c>
      <c r="F46" s="20">
        <f>I46/D46</f>
        <v>0.49762809183960843</v>
      </c>
      <c r="G46" s="19">
        <f>F46/C46-1</f>
        <v>-1.7580477697455299E-3</v>
      </c>
      <c r="H46" s="18">
        <f>SUM(H41:H44)</f>
        <v>950</v>
      </c>
      <c r="I46" s="18">
        <f>SUM(I41:I44)</f>
        <v>948.32985461874182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102.50651673781513</v>
      </c>
      <c r="D48" s="13">
        <f>D24+D32+D40+D46</f>
        <v>10902.2</v>
      </c>
      <c r="E48" s="12">
        <f>SUM(E20:E46)/2</f>
        <v>0.99999999999999978</v>
      </c>
      <c r="F48" s="11">
        <f>I48/D48</f>
        <v>27.254698174003682</v>
      </c>
      <c r="G48" s="10"/>
      <c r="H48" s="9">
        <f>SUM(H20:H46)/2</f>
        <v>297659.46999999997</v>
      </c>
      <c r="I48" s="9">
        <f>SUM(I20:I46)/2</f>
        <v>297136.17043262295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11259.900000000001</v>
      </c>
      <c r="E50" s="12">
        <f>D50/G2</f>
        <v>0.99998223816840004</v>
      </c>
      <c r="F50" s="11">
        <f>I50/D50</f>
        <v>27.40048668283022</v>
      </c>
      <c r="G50" s="10"/>
      <c r="H50" s="9">
        <f>H48+H19</f>
        <v>309070.09999999998</v>
      </c>
      <c r="I50" s="9">
        <f>I48+I19</f>
        <v>308526.74000000005</v>
      </c>
      <c r="J50" s="106">
        <f>D50-G2</f>
        <v>-0.19999999999890861</v>
      </c>
      <c r="K50" s="8"/>
    </row>
    <row r="51" spans="1:11" ht="23.25" x14ac:dyDescent="0.35">
      <c r="A51" s="174" t="s">
        <v>383</v>
      </c>
      <c r="B51" s="169"/>
      <c r="C51" s="170"/>
      <c r="G51" s="7"/>
      <c r="H51" s="6"/>
      <c r="I51" s="6">
        <f>+I50/D50</f>
        <v>27.40048668283022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381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381</v>
      </c>
      <c r="D2" s="96" t="s">
        <v>3</v>
      </c>
      <c r="E2" s="95" t="s">
        <v>112</v>
      </c>
      <c r="F2" s="94" t="s">
        <v>5</v>
      </c>
      <c r="G2" s="93">
        <v>3690.1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68</v>
      </c>
      <c r="F3" s="88" t="s">
        <v>8</v>
      </c>
      <c r="G3" s="87">
        <v>23.33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54.266176470588235</v>
      </c>
      <c r="F4" s="81" t="s">
        <v>12</v>
      </c>
      <c r="G4" s="80">
        <f>G2*G3</f>
        <v>86090.032999999996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-6.1561321943594871E-2</v>
      </c>
      <c r="F6" s="69" t="s">
        <v>16</v>
      </c>
      <c r="G6" s="68">
        <f>(I50-I19)/(D50-(SUM(D42:D44)+D19))</f>
        <v>29.075630044918778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23.3</v>
      </c>
      <c r="D10" s="30"/>
      <c r="E10" s="29" t="e">
        <f t="shared" ref="E10:E19" si="1">D10/$D$19</f>
        <v>#DIV/0!</v>
      </c>
      <c r="F10" s="28">
        <f t="shared" ref="F10:F18" si="2">C10-(C10*$E$6)</f>
        <v>24.734378801285761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24.3</v>
      </c>
      <c r="D11" s="30"/>
      <c r="E11" s="29" t="e">
        <f t="shared" si="1"/>
        <v>#DIV/0!</v>
      </c>
      <c r="F11" s="28">
        <f t="shared" si="2"/>
        <v>25.795940123229357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22.2</v>
      </c>
      <c r="D12" s="30"/>
      <c r="E12" s="29" t="e">
        <f t="shared" si="1"/>
        <v>#DIV/0!</v>
      </c>
      <c r="F12" s="28">
        <f t="shared" si="2"/>
        <v>23.566661347147807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24.3</v>
      </c>
      <c r="D13" s="30"/>
      <c r="E13" s="29" t="e">
        <f t="shared" si="1"/>
        <v>#DIV/0!</v>
      </c>
      <c r="F13" s="28">
        <f t="shared" si="2"/>
        <v>25.795940123229357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27.2</v>
      </c>
      <c r="D14" s="30"/>
      <c r="E14" s="29" t="e">
        <f t="shared" si="1"/>
        <v>#DIV/0!</v>
      </c>
      <c r="F14" s="28">
        <f t="shared" si="2"/>
        <v>28.874467956865779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22.4</v>
      </c>
      <c r="D15" s="30"/>
      <c r="E15" s="29" t="e">
        <f t="shared" si="1"/>
        <v>#DIV/0!</v>
      </c>
      <c r="F15" s="28">
        <f t="shared" si="2"/>
        <v>23.778973611536525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30.7</v>
      </c>
      <c r="D16" s="30"/>
      <c r="E16" s="29" t="e">
        <f t="shared" si="1"/>
        <v>#DIV/0!</v>
      </c>
      <c r="F16" s="28">
        <f t="shared" si="2"/>
        <v>32.589932583668364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45.1</v>
      </c>
      <c r="D17" s="30"/>
      <c r="E17" s="29" t="e">
        <f t="shared" si="1"/>
        <v>#DIV/0!</v>
      </c>
      <c r="F17" s="28">
        <f t="shared" si="2"/>
        <v>47.876415619656129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39.5</v>
      </c>
      <c r="D18" s="30"/>
      <c r="E18" s="29" t="e">
        <f t="shared" si="1"/>
        <v>#DIV/0!</v>
      </c>
      <c r="F18" s="28">
        <f t="shared" si="2"/>
        <v>41.931672216772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58.7</v>
      </c>
      <c r="D21" s="30">
        <v>39.5</v>
      </c>
      <c r="E21" s="29">
        <f>D21/$D$48</f>
        <v>1.0704316956180049E-2</v>
      </c>
      <c r="F21" s="28">
        <f>C21-(C21*$E$6)</f>
        <v>62.313649598089022</v>
      </c>
      <c r="G21" s="27" t="str">
        <f>IF(C21&gt;=F21,"-","+")</f>
        <v>+</v>
      </c>
      <c r="H21" s="26">
        <f>C21*D21</f>
        <v>2318.65</v>
      </c>
      <c r="I21" s="26">
        <f>F21*D21</f>
        <v>2461.3891591245165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39.4</v>
      </c>
      <c r="D22" s="30">
        <v>99.4</v>
      </c>
      <c r="E22" s="29">
        <f>D22/$D$48</f>
        <v>2.6936939378336629E-2</v>
      </c>
      <c r="F22" s="28">
        <f>C22-(C22*$E$6)</f>
        <v>41.825516084577636</v>
      </c>
      <c r="G22" s="27" t="str">
        <f>IF(C22&gt;=F22,"-","+")</f>
        <v>+</v>
      </c>
      <c r="H22" s="26">
        <f>C22*D22</f>
        <v>3916.36</v>
      </c>
      <c r="I22" s="26">
        <f>F22*D22</f>
        <v>4157.4562988070174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35.9</v>
      </c>
      <c r="D23" s="30">
        <v>76.400000000000006</v>
      </c>
      <c r="E23" s="29">
        <f>D23/$D$48</f>
        <v>2.0704045960814068E-2</v>
      </c>
      <c r="F23" s="28">
        <f>C23-(C23*$E$6)</f>
        <v>38.110051457775057</v>
      </c>
      <c r="G23" s="27" t="str">
        <f>IF(C23&gt;=F23,"-","+")</f>
        <v>+</v>
      </c>
      <c r="H23" s="26">
        <f>C23*D23</f>
        <v>2742.76</v>
      </c>
      <c r="I23" s="26">
        <f>F23*D23</f>
        <v>2911.6079313740147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41.698885276358567</v>
      </c>
      <c r="D24" s="22">
        <f>SUM(D21:D23)</f>
        <v>215.3</v>
      </c>
      <c r="E24" s="21">
        <f>D24/$D$48</f>
        <v>5.8345302295330748E-2</v>
      </c>
      <c r="F24" s="20">
        <f>I24/D24</f>
        <v>44.26592377754551</v>
      </c>
      <c r="G24" s="19">
        <f>F24/C24-1</f>
        <v>6.1561321943595093E-2</v>
      </c>
      <c r="H24" s="18">
        <f>SUM(H21:H23)</f>
        <v>8977.77</v>
      </c>
      <c r="I24" s="18">
        <f>SUM(I21:I23)</f>
        <v>9530.4533893055486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31.3</v>
      </c>
      <c r="D26" s="30">
        <v>617.70000000000005</v>
      </c>
      <c r="E26" s="29">
        <f t="shared" ref="E26:E32" si="7">D26/$D$48</f>
        <v>0.16739383756537762</v>
      </c>
      <c r="F26" s="28">
        <f t="shared" ref="F26:F31" si="8">C26-(C26*$E$6)</f>
        <v>33.226869376834522</v>
      </c>
      <c r="G26" s="27" t="str">
        <f t="shared" ref="G26:G31" si="9">IF(C26&gt;=F26,"-","+")</f>
        <v>+</v>
      </c>
      <c r="H26" s="26">
        <f t="shared" ref="H26:H31" si="10">C26*D26</f>
        <v>19334.010000000002</v>
      </c>
      <c r="I26" s="26">
        <f t="shared" ref="I26:I31" si="11">F26*D26</f>
        <v>20524.237214070687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27.9</v>
      </c>
      <c r="D27" s="30">
        <v>558.6</v>
      </c>
      <c r="E27" s="29">
        <f t="shared" si="7"/>
        <v>0.15137801143600443</v>
      </c>
      <c r="F27" s="28">
        <f t="shared" si="8"/>
        <v>29.617560882226297</v>
      </c>
      <c r="G27" s="27" t="str">
        <f t="shared" si="9"/>
        <v>+</v>
      </c>
      <c r="H27" s="26">
        <f t="shared" si="10"/>
        <v>15584.94</v>
      </c>
      <c r="I27" s="26">
        <f t="shared" si="11"/>
        <v>16544.369508811611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27.9</v>
      </c>
      <c r="D28" s="30">
        <v>370.6</v>
      </c>
      <c r="E28" s="29">
        <f t="shared" si="7"/>
        <v>0.10043088263190698</v>
      </c>
      <c r="F28" s="28">
        <f t="shared" si="8"/>
        <v>29.617560882226297</v>
      </c>
      <c r="G28" s="27" t="str">
        <f t="shared" si="9"/>
        <v>+</v>
      </c>
      <c r="H28" s="26">
        <f t="shared" si="10"/>
        <v>10339.74</v>
      </c>
      <c r="I28" s="26">
        <f t="shared" si="11"/>
        <v>10976.268062953066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26.9</v>
      </c>
      <c r="D29" s="30">
        <v>366</v>
      </c>
      <c r="E29" s="29">
        <f t="shared" si="7"/>
        <v>9.9184303948402469E-2</v>
      </c>
      <c r="F29" s="28">
        <f t="shared" si="8"/>
        <v>28.5559995602827</v>
      </c>
      <c r="G29" s="27" t="str">
        <f t="shared" si="9"/>
        <v>+</v>
      </c>
      <c r="H29" s="26">
        <f t="shared" si="10"/>
        <v>9845.4</v>
      </c>
      <c r="I29" s="26">
        <f t="shared" si="11"/>
        <v>10451.495839063467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26.9</v>
      </c>
      <c r="D30" s="30">
        <v>238.5</v>
      </c>
      <c r="E30" s="29">
        <f t="shared" si="7"/>
        <v>6.4632394786049152E-2</v>
      </c>
      <c r="F30" s="28">
        <f t="shared" si="8"/>
        <v>28.5559995602827</v>
      </c>
      <c r="G30" s="27" t="str">
        <f t="shared" si="9"/>
        <v>+</v>
      </c>
      <c r="H30" s="26">
        <f t="shared" si="10"/>
        <v>6415.65</v>
      </c>
      <c r="I30" s="26">
        <f t="shared" si="11"/>
        <v>6810.6058951274235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27.4</v>
      </c>
      <c r="D31" s="30">
        <v>52.3</v>
      </c>
      <c r="E31" s="29">
        <f t="shared" si="7"/>
        <v>1.4173057640714342E-2</v>
      </c>
      <c r="F31" s="28">
        <f t="shared" si="8"/>
        <v>29.086780221254497</v>
      </c>
      <c r="G31" s="27" t="str">
        <f t="shared" si="9"/>
        <v>+</v>
      </c>
      <c r="H31" s="26">
        <f t="shared" si="10"/>
        <v>1433.0199999999998</v>
      </c>
      <c r="I31" s="26">
        <f t="shared" si="11"/>
        <v>1521.2386055716102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28.566846666969184</v>
      </c>
      <c r="D32" s="22">
        <f>SUM(D26:D31)</f>
        <v>2203.7000000000003</v>
      </c>
      <c r="E32" s="21">
        <f t="shared" si="7"/>
        <v>0.59719248800845504</v>
      </c>
      <c r="F32" s="20">
        <f>I32/D32</f>
        <v>30.325459511547788</v>
      </c>
      <c r="G32" s="19">
        <f>F32/C32-1</f>
        <v>6.1561321943595093E-2</v>
      </c>
      <c r="H32" s="18">
        <f>SUM(H26:H31)</f>
        <v>62952.76</v>
      </c>
      <c r="I32" s="18">
        <f>SUM(I26:I31)</f>
        <v>66828.215125597868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16.5</v>
      </c>
      <c r="D34" s="30">
        <v>537.9</v>
      </c>
      <c r="E34" s="29">
        <f t="shared" ref="E34:E40" si="13">D34/$D$48</f>
        <v>0.14576840736023411</v>
      </c>
      <c r="F34" s="28">
        <f t="shared" ref="F34:F39" si="14">C34-(C34*$E$6)</f>
        <v>17.515761812069314</v>
      </c>
      <c r="G34" s="27" t="str">
        <f t="shared" ref="G34:G39" si="15">IF(C34&gt;=F34,"-","+")</f>
        <v>+</v>
      </c>
      <c r="H34" s="26">
        <f t="shared" ref="H34:H39" si="16">C34*D34</f>
        <v>8875.35</v>
      </c>
      <c r="I34" s="26">
        <f t="shared" ref="I34:I39" si="17">F34*D34</f>
        <v>9421.7282787120839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12.7</v>
      </c>
      <c r="D35" s="30"/>
      <c r="E35" s="29">
        <f t="shared" si="13"/>
        <v>0</v>
      </c>
      <c r="F35" s="28">
        <f t="shared" si="14"/>
        <v>13.481828788683654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10.199999999999999</v>
      </c>
      <c r="D36" s="30"/>
      <c r="E36" s="29">
        <f t="shared" si="13"/>
        <v>0</v>
      </c>
      <c r="F36" s="28">
        <f t="shared" si="14"/>
        <v>10.827925483824666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26.9</v>
      </c>
      <c r="D37" s="30"/>
      <c r="E37" s="29">
        <f t="shared" si="13"/>
        <v>0</v>
      </c>
      <c r="F37" s="28">
        <f t="shared" si="14"/>
        <v>28.5559995602827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26.9</v>
      </c>
      <c r="D38" s="30"/>
      <c r="E38" s="29">
        <f t="shared" si="13"/>
        <v>0</v>
      </c>
      <c r="F38" s="28">
        <f t="shared" si="14"/>
        <v>28.5559995602827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27.9</v>
      </c>
      <c r="D39" s="30"/>
      <c r="E39" s="29">
        <f t="shared" si="13"/>
        <v>0</v>
      </c>
      <c r="F39" s="28">
        <f t="shared" si="14"/>
        <v>29.617560882226297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16.5</v>
      </c>
      <c r="D40" s="22">
        <f>SUM(D34:D39)</f>
        <v>537.9</v>
      </c>
      <c r="E40" s="113">
        <f t="shared" si="13"/>
        <v>0.14576840736023411</v>
      </c>
      <c r="F40" s="20">
        <f>I40/D40</f>
        <v>17.515761812069314</v>
      </c>
      <c r="G40" s="19">
        <f>F40/C40-1</f>
        <v>6.1561321943594871E-2</v>
      </c>
      <c r="H40" s="18">
        <f>SUM(H34:H39)</f>
        <v>8875.35</v>
      </c>
      <c r="I40" s="18">
        <f>SUM(I34:I39)</f>
        <v>9421.7282787120839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707</v>
      </c>
      <c r="E42" s="107">
        <f>D42/$D$48</f>
        <v>0.19159372374732389</v>
      </c>
      <c r="F42" s="28">
        <f>C42-(C42*$E$6)</f>
        <v>0.42462452877743795</v>
      </c>
      <c r="G42" s="27" t="str">
        <f>IF(C42&gt;=F42,"-","+")</f>
        <v>+</v>
      </c>
      <c r="H42" s="26">
        <f>C42*D42</f>
        <v>282.8</v>
      </c>
      <c r="I42" s="26">
        <f>F42*D42</f>
        <v>300.20954184564863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22.2</v>
      </c>
      <c r="E43" s="107">
        <f>D43/$D$48</f>
        <v>6.0160971247391658E-3</v>
      </c>
      <c r="F43" s="28">
        <f>C43-(C43*$E$6)</f>
        <v>0.42462452877743795</v>
      </c>
      <c r="G43" s="27" t="str">
        <f>IF(C43&gt;=F43,"-","+")</f>
        <v>+</v>
      </c>
      <c r="H43" s="26">
        <f>C43*D43</f>
        <v>8.8800000000000008</v>
      </c>
      <c r="I43" s="26">
        <f>F43*D43</f>
        <v>9.4266645388591215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1.0839814639169668E-3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0.39781778505182758</v>
      </c>
      <c r="D46" s="22">
        <f>SUM(D41:D45)</f>
        <v>733.2</v>
      </c>
      <c r="E46" s="113">
        <f>D46/$D$48</f>
        <v>0.19869380233598005</v>
      </c>
      <c r="F46" s="20">
        <f>I46/D46</f>
        <v>0.42230797379229101</v>
      </c>
      <c r="G46" s="19">
        <f>F46/C46-1</f>
        <v>6.1561321943595093E-2</v>
      </c>
      <c r="H46" s="18">
        <f>SUM(H41:H44)</f>
        <v>291.68</v>
      </c>
      <c r="I46" s="18">
        <f>SUM(I41:I44)</f>
        <v>309.63620638450777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87.163549728379579</v>
      </c>
      <c r="D48" s="13">
        <f>D24+D32+D40+D46</f>
        <v>3690.1000000000004</v>
      </c>
      <c r="E48" s="12">
        <f>SUM(E20:E46)/2</f>
        <v>1</v>
      </c>
      <c r="F48" s="11">
        <f>I48/D48</f>
        <v>23.33</v>
      </c>
      <c r="G48" s="10"/>
      <c r="H48" s="9">
        <f>SUM(H20:H46)/2</f>
        <v>81097.56</v>
      </c>
      <c r="I48" s="9">
        <f>SUM(I20:I46)/2</f>
        <v>86090.032999999996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3690.0999999999995</v>
      </c>
      <c r="E50" s="12">
        <f>D50/G2</f>
        <v>0.99999999999999989</v>
      </c>
      <c r="F50" s="11">
        <f>I50/D50</f>
        <v>23.330000000000002</v>
      </c>
      <c r="G50" s="10"/>
      <c r="H50" s="9">
        <f>H48+H19</f>
        <v>81097.56</v>
      </c>
      <c r="I50" s="9">
        <f>I48+I19</f>
        <v>86090.032999999996</v>
      </c>
      <c r="J50" s="106">
        <f>D50-G2</f>
        <v>0</v>
      </c>
      <c r="K50" s="8"/>
    </row>
    <row r="51" spans="1:11" ht="23.25" x14ac:dyDescent="0.35">
      <c r="A51" s="174" t="s">
        <v>384</v>
      </c>
      <c r="B51" s="169"/>
      <c r="C51" s="170"/>
      <c r="G51" s="7"/>
      <c r="H51" s="6"/>
      <c r="I51" s="6">
        <f>+I50/D50</f>
        <v>23.330000000000002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381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381</v>
      </c>
      <c r="D2" s="96" t="s">
        <v>3</v>
      </c>
      <c r="E2" s="95" t="s">
        <v>112</v>
      </c>
      <c r="F2" s="94" t="s">
        <v>5</v>
      </c>
      <c r="G2" s="93">
        <v>10066.5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156</v>
      </c>
      <c r="F3" s="88" t="s">
        <v>8</v>
      </c>
      <c r="G3" s="87">
        <v>23.71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64.52884615384616</v>
      </c>
      <c r="F4" s="81" t="s">
        <v>12</v>
      </c>
      <c r="G4" s="80">
        <f>G2*G3</f>
        <v>238676.715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-8.2420287523773617E-2</v>
      </c>
      <c r="F6" s="69" t="s">
        <v>16</v>
      </c>
      <c r="G6" s="68">
        <f>(I50-I19)/(D50-(SUM(D42:D44)+D19))</f>
        <v>29.975474103285446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23.7</v>
      </c>
      <c r="D10" s="30"/>
      <c r="E10" s="29" t="e">
        <f t="shared" ref="E10:E19" si="1">D10/$D$19</f>
        <v>#DIV/0!</v>
      </c>
      <c r="F10" s="28">
        <f t="shared" ref="F10:F18" si="2">C10-(C10*$E$6)</f>
        <v>25.653360814313434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 t="e">
        <f t="shared" si="1"/>
        <v>#DIV/0!</v>
      </c>
      <c r="F11" s="28">
        <f t="shared" si="2"/>
        <v>26.735781101837208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22.6</v>
      </c>
      <c r="D12" s="30"/>
      <c r="E12" s="29" t="e">
        <f t="shared" si="1"/>
        <v>#DIV/0!</v>
      </c>
      <c r="F12" s="28">
        <f t="shared" si="2"/>
        <v>24.462698498037284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/>
      <c r="E13" s="29" t="e">
        <f t="shared" si="1"/>
        <v>#DIV/0!</v>
      </c>
      <c r="F13" s="28">
        <f t="shared" si="2"/>
        <v>26.735781101837208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27.6</v>
      </c>
      <c r="D14" s="30"/>
      <c r="E14" s="29" t="e">
        <f t="shared" si="1"/>
        <v>#DIV/0!</v>
      </c>
      <c r="F14" s="28">
        <f t="shared" si="2"/>
        <v>29.874799935656153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22.8</v>
      </c>
      <c r="D15" s="30"/>
      <c r="E15" s="29" t="e">
        <f t="shared" si="1"/>
        <v>#DIV/0!</v>
      </c>
      <c r="F15" s="28">
        <f t="shared" si="2"/>
        <v>24.679182555542038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31.2</v>
      </c>
      <c r="D16" s="30"/>
      <c r="E16" s="29" t="e">
        <f t="shared" si="1"/>
        <v>#DIV/0!</v>
      </c>
      <c r="F16" s="28">
        <f t="shared" si="2"/>
        <v>33.771512970741739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45.9</v>
      </c>
      <c r="D17" s="30"/>
      <c r="E17" s="29" t="e">
        <f t="shared" si="1"/>
        <v>#DIV/0!</v>
      </c>
      <c r="F17" s="28">
        <f t="shared" si="2"/>
        <v>49.683091197341206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40.200000000000003</v>
      </c>
      <c r="D18" s="30"/>
      <c r="E18" s="29" t="e">
        <f t="shared" si="1"/>
        <v>#DIV/0!</v>
      </c>
      <c r="F18" s="28">
        <f t="shared" si="2"/>
        <v>43.513295558455702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59.6</v>
      </c>
      <c r="D21" s="30">
        <v>118.8</v>
      </c>
      <c r="E21" s="29">
        <f>D21/$D$48</f>
        <v>1.1801519892713455E-2</v>
      </c>
      <c r="F21" s="28">
        <f>C21-(C21*$E$6)</f>
        <v>64.512249136416912</v>
      </c>
      <c r="G21" s="27" t="str">
        <f>IF(C21&gt;=F21,"-","+")</f>
        <v>+</v>
      </c>
      <c r="H21" s="26">
        <f>C21*D21</f>
        <v>7080.48</v>
      </c>
      <c r="I21" s="26">
        <f>F21*D21</f>
        <v>7664.0551974063292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</v>
      </c>
      <c r="D22" s="30">
        <v>254.9</v>
      </c>
      <c r="E22" s="29">
        <f>D22/$D$48</f>
        <v>2.532161128495505E-2</v>
      </c>
      <c r="F22" s="28">
        <f>C22-(C22*$E$6)</f>
        <v>43.296811500950945</v>
      </c>
      <c r="G22" s="27" t="str">
        <f>IF(C22&gt;=F22,"-","+")</f>
        <v>+</v>
      </c>
      <c r="H22" s="26">
        <f>C22*D22</f>
        <v>10196</v>
      </c>
      <c r="I22" s="26">
        <f>F22*D22</f>
        <v>11036.357251592395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36.5</v>
      </c>
      <c r="D23" s="30">
        <v>229.6</v>
      </c>
      <c r="E23" s="29">
        <f>D23/$D$48</f>
        <v>2.280832464113644E-2</v>
      </c>
      <c r="F23" s="28">
        <f>C23-(C23*$E$6)</f>
        <v>39.508340494617734</v>
      </c>
      <c r="G23" s="27" t="str">
        <f>IF(C23&gt;=F23,"-","+")</f>
        <v>+</v>
      </c>
      <c r="H23" s="26">
        <f>C23*D23</f>
        <v>8380.4</v>
      </c>
      <c r="I23" s="26">
        <f>F23*D23</f>
        <v>9071.1149775642316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42.527565058843031</v>
      </c>
      <c r="D24" s="22">
        <f>SUM(D21:D23)</f>
        <v>603.29999999999995</v>
      </c>
      <c r="E24" s="21">
        <f>D24/$D$48</f>
        <v>5.9931455818804942E-2</v>
      </c>
      <c r="F24" s="20">
        <f>I24/D24</f>
        <v>46.032699198678863</v>
      </c>
      <c r="G24" s="19">
        <f>F24/C24-1</f>
        <v>8.2420287523773617E-2</v>
      </c>
      <c r="H24" s="18">
        <f>SUM(H21:H23)</f>
        <v>25656.879999999997</v>
      </c>
      <c r="I24" s="18">
        <f>SUM(I21:I23)</f>
        <v>27771.527426562956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31.8</v>
      </c>
      <c r="D26" s="30">
        <f>1159.5+690</f>
        <v>1849.5</v>
      </c>
      <c r="E26" s="29">
        <f t="shared" ref="E26:E32" si="7">D26/$D$48</f>
        <v>0.18372820742065266</v>
      </c>
      <c r="F26" s="28">
        <f t="shared" ref="F26:F31" si="8">C26-(C26*$E$6)</f>
        <v>34.420965143256005</v>
      </c>
      <c r="G26" s="27" t="str">
        <f t="shared" ref="G26:G31" si="9">IF(C26&gt;=F26,"-","+")</f>
        <v>+</v>
      </c>
      <c r="H26" s="26">
        <f t="shared" ref="H26:H31" si="10">C26*D26</f>
        <v>58814.1</v>
      </c>
      <c r="I26" s="26">
        <f t="shared" ref="I26:I31" si="11">F26*D26</f>
        <v>63661.575032451983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28.3</v>
      </c>
      <c r="D27" s="30">
        <v>1487</v>
      </c>
      <c r="E27" s="29">
        <f t="shared" si="7"/>
        <v>0.14771767744499081</v>
      </c>
      <c r="F27" s="28">
        <f t="shared" si="8"/>
        <v>30.632494136922794</v>
      </c>
      <c r="G27" s="27" t="str">
        <f t="shared" si="9"/>
        <v>+</v>
      </c>
      <c r="H27" s="26">
        <f t="shared" si="10"/>
        <v>42082.1</v>
      </c>
      <c r="I27" s="26">
        <f t="shared" si="11"/>
        <v>45550.518781604194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28.3</v>
      </c>
      <c r="D28" s="30">
        <v>887</v>
      </c>
      <c r="E28" s="29">
        <f t="shared" si="7"/>
        <v>8.8114041623205686E-2</v>
      </c>
      <c r="F28" s="28">
        <f t="shared" si="8"/>
        <v>30.632494136922794</v>
      </c>
      <c r="G28" s="27" t="str">
        <f t="shared" si="9"/>
        <v>+</v>
      </c>
      <c r="H28" s="26">
        <f t="shared" si="10"/>
        <v>25102.100000000002</v>
      </c>
      <c r="I28" s="26">
        <f t="shared" si="11"/>
        <v>27171.02229945052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659</v>
      </c>
      <c r="E29" s="29">
        <f t="shared" si="7"/>
        <v>6.5464660010927336E-2</v>
      </c>
      <c r="F29" s="28">
        <f t="shared" si="8"/>
        <v>29.658315878151395</v>
      </c>
      <c r="G29" s="27" t="str">
        <f t="shared" si="9"/>
        <v>+</v>
      </c>
      <c r="H29" s="26">
        <f t="shared" si="10"/>
        <v>18056.599999999999</v>
      </c>
      <c r="I29" s="26">
        <f t="shared" si="11"/>
        <v>19544.830163701768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577.4</v>
      </c>
      <c r="E30" s="29">
        <f t="shared" si="7"/>
        <v>5.7358565539164554E-2</v>
      </c>
      <c r="F30" s="28">
        <f t="shared" si="8"/>
        <v>29.658315878151395</v>
      </c>
      <c r="G30" s="27" t="str">
        <f t="shared" si="9"/>
        <v>+</v>
      </c>
      <c r="H30" s="26">
        <f t="shared" si="10"/>
        <v>15820.759999999998</v>
      </c>
      <c r="I30" s="26">
        <f t="shared" si="11"/>
        <v>17124.711588044614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27.9</v>
      </c>
      <c r="D31" s="30">
        <v>256</v>
      </c>
      <c r="E31" s="29">
        <f t="shared" si="7"/>
        <v>2.5430884617294987E-2</v>
      </c>
      <c r="F31" s="28">
        <f t="shared" si="8"/>
        <v>30.199526021913282</v>
      </c>
      <c r="G31" s="27" t="str">
        <f t="shared" si="9"/>
        <v>+</v>
      </c>
      <c r="H31" s="26">
        <f t="shared" si="10"/>
        <v>7142.4</v>
      </c>
      <c r="I31" s="26">
        <f t="shared" si="11"/>
        <v>7731.0786616098003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29.219905876589866</v>
      </c>
      <c r="D32" s="22">
        <f>SUM(D26:D31)</f>
        <v>5715.9</v>
      </c>
      <c r="E32" s="21">
        <f t="shared" si="7"/>
        <v>0.56781403665623598</v>
      </c>
      <c r="F32" s="20">
        <f>I32/D32</f>
        <v>31.628218920356002</v>
      </c>
      <c r="G32" s="19">
        <f>F32/C32-1</f>
        <v>8.2420287523773395E-2</v>
      </c>
      <c r="H32" s="18">
        <f>SUM(H26:H31)</f>
        <v>167018.06</v>
      </c>
      <c r="I32" s="18">
        <f>SUM(I26:I31)</f>
        <v>180783.73652686286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</v>
      </c>
      <c r="D34" s="30">
        <f>817+686.2</f>
        <v>1503.2</v>
      </c>
      <c r="E34" s="29">
        <f t="shared" ref="E34:E40" si="13">D34/$D$48</f>
        <v>0.149326975612179</v>
      </c>
      <c r="F34" s="28">
        <f t="shared" ref="F34:F39" si="14">C34-(C34*$E$6)</f>
        <v>18.184660830399398</v>
      </c>
      <c r="G34" s="27" t="str">
        <f t="shared" ref="G34:G39" si="15">IF(C34&gt;=F34,"-","+")</f>
        <v>+</v>
      </c>
      <c r="H34" s="26">
        <f t="shared" ref="H34:H39" si="16">C34*D34</f>
        <v>25253.760000000002</v>
      </c>
      <c r="I34" s="26">
        <f t="shared" ref="I34:I39" si="17">F34*D34</f>
        <v>27335.182160256376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134.30000000000001</v>
      </c>
      <c r="E35" s="29">
        <f t="shared" si="13"/>
        <v>1.3341280484776239E-2</v>
      </c>
      <c r="F35" s="28">
        <f t="shared" si="14"/>
        <v>13.963221709056681</v>
      </c>
      <c r="G35" s="27" t="str">
        <f t="shared" si="15"/>
        <v>+</v>
      </c>
      <c r="H35" s="26">
        <f t="shared" si="16"/>
        <v>1732.4700000000003</v>
      </c>
      <c r="I35" s="26">
        <f t="shared" si="17"/>
        <v>1875.2606755263123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11.257170990247246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29.658315878151395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29.658315878151395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28.3</v>
      </c>
      <c r="D39" s="30"/>
      <c r="E39" s="29">
        <f t="shared" si="13"/>
        <v>0</v>
      </c>
      <c r="F39" s="28">
        <f t="shared" si="14"/>
        <v>30.632494136922794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16.480140458015271</v>
      </c>
      <c r="D40" s="22">
        <f>SUM(D34:D39)</f>
        <v>1637.5</v>
      </c>
      <c r="E40" s="113">
        <f t="shared" si="13"/>
        <v>0.16266825609695526</v>
      </c>
      <c r="F40" s="20">
        <f>I40/D40</f>
        <v>17.838438372997061</v>
      </c>
      <c r="G40" s="19">
        <f>F40/C40-1</f>
        <v>8.2420287523773395E-2</v>
      </c>
      <c r="H40" s="18">
        <f>SUM(H34:H39)</f>
        <v>26986.230000000003</v>
      </c>
      <c r="I40" s="18">
        <f>SUM(I34:I39)</f>
        <v>29210.442835782687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972+117.8+954.5</f>
        <v>2044.3</v>
      </c>
      <c r="E42" s="107">
        <f>D42/$D$48</f>
        <v>0.20307952118412556</v>
      </c>
      <c r="F42" s="28">
        <f>C42-(C42*$E$6)</f>
        <v>0.43296811500950949</v>
      </c>
      <c r="G42" s="27" t="str">
        <f>IF(C42&gt;=F42,"-","+")</f>
        <v>+</v>
      </c>
      <c r="H42" s="26">
        <f>C42*D42</f>
        <v>817.72</v>
      </c>
      <c r="I42" s="26">
        <f>F42*D42</f>
        <v>885.11671751394022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59.8</v>
      </c>
      <c r="E43" s="107">
        <f>D43/$D$48</f>
        <v>5.9404957035712512E-3</v>
      </c>
      <c r="F43" s="28">
        <f>C43-(C43*$E$6)</f>
        <v>0.43296811500950949</v>
      </c>
      <c r="G43" s="27" t="str">
        <f>IF(C43&gt;=F43,"-","+")</f>
        <v>+</v>
      </c>
      <c r="H43" s="26">
        <f>C43*D43</f>
        <v>23.92</v>
      </c>
      <c r="I43" s="26">
        <f>F43*D43</f>
        <v>25.891493277568667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5.6623454030695877E-4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0.39891932884633619</v>
      </c>
      <c r="D46" s="22">
        <f>SUM(D41:D45)</f>
        <v>2109.7999999999997</v>
      </c>
      <c r="E46" s="113">
        <f>D46/$D$48</f>
        <v>0.20958625142800374</v>
      </c>
      <c r="F46" s="20">
        <f>I46/D46</f>
        <v>0.43179837462864207</v>
      </c>
      <c r="G46" s="19">
        <f>F46/C46-1</f>
        <v>8.2420287523773839E-2</v>
      </c>
      <c r="H46" s="18">
        <f>SUM(H41:H44)</f>
        <v>841.64</v>
      </c>
      <c r="I46" s="18">
        <f>SUM(I41:I44)</f>
        <v>911.00821079150887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88.626530722294504</v>
      </c>
      <c r="D48" s="13">
        <f>D24+D32+D40+D46</f>
        <v>10066.5</v>
      </c>
      <c r="E48" s="12">
        <f>SUM(E20:E46)/2</f>
        <v>1</v>
      </c>
      <c r="F48" s="11">
        <f>I48/D48</f>
        <v>23.71</v>
      </c>
      <c r="G48" s="10"/>
      <c r="H48" s="9">
        <f>SUM(H20:H46)/2</f>
        <v>220502.80999999997</v>
      </c>
      <c r="I48" s="9">
        <f>SUM(I20:I46)/2</f>
        <v>238676.71500000003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10066.5</v>
      </c>
      <c r="E50" s="12">
        <f>D50/G2</f>
        <v>1</v>
      </c>
      <c r="F50" s="11">
        <f>I50/D50</f>
        <v>23.71</v>
      </c>
      <c r="G50" s="10"/>
      <c r="H50" s="9">
        <f>H48+H19</f>
        <v>220502.80999999997</v>
      </c>
      <c r="I50" s="9">
        <f>I48+I19</f>
        <v>238676.71500000003</v>
      </c>
      <c r="J50" s="106">
        <f>D50-G2</f>
        <v>0</v>
      </c>
      <c r="K50" s="8"/>
    </row>
    <row r="51" spans="1:11" ht="23.25" x14ac:dyDescent="0.35">
      <c r="A51" s="174" t="s">
        <v>385</v>
      </c>
      <c r="B51" s="169"/>
      <c r="C51" s="170"/>
      <c r="G51" s="7"/>
      <c r="H51" s="6"/>
      <c r="I51" s="6">
        <f>+I50/D50</f>
        <v>23.71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381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381</v>
      </c>
      <c r="D2" s="96" t="s">
        <v>3</v>
      </c>
      <c r="E2" s="95" t="s">
        <v>71</v>
      </c>
      <c r="F2" s="94" t="s">
        <v>5</v>
      </c>
      <c r="G2" s="93">
        <v>12423.5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200</v>
      </c>
      <c r="F3" s="88" t="s">
        <v>8</v>
      </c>
      <c r="G3" s="87">
        <v>27.5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62.1175</v>
      </c>
      <c r="F4" s="81" t="s">
        <v>12</v>
      </c>
      <c r="G4" s="80">
        <f>G2*G3</f>
        <v>341646.25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7.0885039262068572E-3</v>
      </c>
      <c r="F6" s="69" t="s">
        <v>16</v>
      </c>
      <c r="G6" s="68">
        <f>(I50-I19)/(D50-(SUM(D42:D44)+D19))</f>
        <v>32.379898763047194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30"/>
      <c r="E10" s="29">
        <f t="shared" ref="E10:E19" si="1">D10/$D$19</f>
        <v>0</v>
      </c>
      <c r="F10" s="28">
        <f t="shared" ref="F10:F18" si="2">C10-(C10*$E$6)</f>
        <v>27.305066142029311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28.6</v>
      </c>
      <c r="D11" s="30">
        <v>897.6</v>
      </c>
      <c r="E11" s="29">
        <f t="shared" si="1"/>
        <v>0.40397857689364963</v>
      </c>
      <c r="F11" s="28">
        <f t="shared" si="2"/>
        <v>28.397268787710484</v>
      </c>
      <c r="G11" s="27" t="str">
        <f t="shared" si="3"/>
        <v>-</v>
      </c>
      <c r="H11" s="34">
        <f t="shared" si="4"/>
        <v>25671.360000000001</v>
      </c>
      <c r="I11" s="34">
        <f t="shared" si="5"/>
        <v>25489.388463848933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26.2</v>
      </c>
      <c r="D12" s="30">
        <v>542</v>
      </c>
      <c r="E12" s="29">
        <f t="shared" si="1"/>
        <v>0.24393537062874121</v>
      </c>
      <c r="F12" s="28">
        <f t="shared" si="2"/>
        <v>26.014281197133378</v>
      </c>
      <c r="G12" s="27" t="str">
        <f t="shared" si="3"/>
        <v>-</v>
      </c>
      <c r="H12" s="34">
        <f t="shared" si="4"/>
        <v>14200.4</v>
      </c>
      <c r="I12" s="34">
        <f t="shared" si="5"/>
        <v>14099.740408846292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28.6</v>
      </c>
      <c r="D13" s="30"/>
      <c r="E13" s="29">
        <f t="shared" si="1"/>
        <v>0</v>
      </c>
      <c r="F13" s="28">
        <f t="shared" si="2"/>
        <v>28.397268787710484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</v>
      </c>
      <c r="D14" s="30">
        <v>10</v>
      </c>
      <c r="E14" s="29">
        <f t="shared" si="1"/>
        <v>4.5006525946262215E-3</v>
      </c>
      <c r="F14" s="28">
        <f t="shared" si="2"/>
        <v>31.773167874361381</v>
      </c>
      <c r="G14" s="27" t="str">
        <f t="shared" si="3"/>
        <v>-</v>
      </c>
      <c r="H14" s="34">
        <f t="shared" si="4"/>
        <v>320</v>
      </c>
      <c r="I14" s="34">
        <f t="shared" si="5"/>
        <v>317.73167874361383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26.4</v>
      </c>
      <c r="D15" s="30"/>
      <c r="E15" s="29">
        <f t="shared" si="1"/>
        <v>0</v>
      </c>
      <c r="F15" s="28">
        <f t="shared" si="2"/>
        <v>26.212863496348138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36.1</v>
      </c>
      <c r="D16" s="30">
        <v>772.3</v>
      </c>
      <c r="E16" s="29">
        <f t="shared" si="1"/>
        <v>0.34758539988298309</v>
      </c>
      <c r="F16" s="28">
        <f t="shared" si="2"/>
        <v>35.844105008263931</v>
      </c>
      <c r="G16" s="27" t="str">
        <f t="shared" si="3"/>
        <v>-</v>
      </c>
      <c r="H16" s="34">
        <f t="shared" si="4"/>
        <v>27880.03</v>
      </c>
      <c r="I16" s="34">
        <f t="shared" si="5"/>
        <v>27682.402297882232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30"/>
      <c r="E17" s="29">
        <f t="shared" si="1"/>
        <v>0</v>
      </c>
      <c r="F17" s="28">
        <f t="shared" si="2"/>
        <v>52.822891591125796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30"/>
      <c r="E18" s="29">
        <f t="shared" si="1"/>
        <v>0</v>
      </c>
      <c r="F18" s="28">
        <f t="shared" si="2"/>
        <v>46.269675717038758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30.63674782843513</v>
      </c>
      <c r="D19" s="49">
        <f>SUM(D10:D18)</f>
        <v>2221.8999999999996</v>
      </c>
      <c r="E19" s="48">
        <f t="shared" si="1"/>
        <v>1</v>
      </c>
      <c r="F19" s="47">
        <f>I19/D19</f>
        <v>30.419579121167054</v>
      </c>
      <c r="G19" s="46">
        <f>F19/C19-1</f>
        <v>-7.0885039262069682E-3</v>
      </c>
      <c r="H19" s="9">
        <f>SUM(H10:H18)</f>
        <v>68071.790000000008</v>
      </c>
      <c r="I19" s="9">
        <f>SUM(I10:I18)</f>
        <v>67589.262849321065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30"/>
      <c r="E21" s="29">
        <f>D21/$D$48</f>
        <v>0</v>
      </c>
      <c r="F21" s="28">
        <f>C21-(C21*$E$6)</f>
        <v>68.709475528306484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46.4</v>
      </c>
      <c r="D22" s="30">
        <v>319.8</v>
      </c>
      <c r="E22" s="29">
        <f>D22/$D$48</f>
        <v>3.1348023839397741E-2</v>
      </c>
      <c r="F22" s="28">
        <f>C22-(C22*$E$6)</f>
        <v>46.071093417824002</v>
      </c>
      <c r="G22" s="27" t="str">
        <f>IF(C22&gt;=F22,"-","+")</f>
        <v>-</v>
      </c>
      <c r="H22" s="26">
        <f>C22*D22</f>
        <v>14838.72</v>
      </c>
      <c r="I22" s="26">
        <f>F22*D22</f>
        <v>14733.535675020117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30"/>
      <c r="E23" s="29">
        <f>D23/$D$48</f>
        <v>0</v>
      </c>
      <c r="F23" s="28">
        <f>C23-(C23*$E$6)</f>
        <v>42.09944743352883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46.4</v>
      </c>
      <c r="D24" s="22">
        <f>SUM(D21:D23)</f>
        <v>319.8</v>
      </c>
      <c r="E24" s="21">
        <f>D24/$D$48</f>
        <v>3.1348023839397741E-2</v>
      </c>
      <c r="F24" s="20">
        <f>I24/D24</f>
        <v>46.071093417824002</v>
      </c>
      <c r="G24" s="19">
        <f>F24/C24-1</f>
        <v>-7.0885039262068572E-3</v>
      </c>
      <c r="H24" s="18">
        <f>SUM(H21:H23)</f>
        <v>14838.72</v>
      </c>
      <c r="I24" s="18">
        <f>SUM(I21:I23)</f>
        <v>14733.535675020117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30">
        <v>1900.6</v>
      </c>
      <c r="E26" s="29">
        <f t="shared" ref="E26:E32" si="7">D26/$D$48</f>
        <v>0.18630410915934753</v>
      </c>
      <c r="F26" s="28">
        <f t="shared" ref="F26:F31" si="8">C26-(C26*$E$6)</f>
        <v>36.638434205122962</v>
      </c>
      <c r="G26" s="27" t="str">
        <f t="shared" ref="G26:G31" si="9">IF(C26&gt;=F26,"-","+")</f>
        <v>-</v>
      </c>
      <c r="H26" s="26">
        <f t="shared" ref="H26:H31" si="10">C26*D26</f>
        <v>70132.14</v>
      </c>
      <c r="I26" s="26">
        <f t="shared" ref="I26:I31" si="11">F26*D26</f>
        <v>69635.0080502567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30">
        <v>1739.1</v>
      </c>
      <c r="E27" s="29">
        <f t="shared" si="7"/>
        <v>0.17047325909661229</v>
      </c>
      <c r="F27" s="28">
        <f t="shared" si="8"/>
        <v>32.66678822082779</v>
      </c>
      <c r="G27" s="27" t="str">
        <f t="shared" si="9"/>
        <v>-</v>
      </c>
      <c r="H27" s="26">
        <f t="shared" si="10"/>
        <v>57216.389999999992</v>
      </c>
      <c r="I27" s="26">
        <f t="shared" si="11"/>
        <v>56810.811394841607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30">
        <v>1493.3</v>
      </c>
      <c r="E28" s="29">
        <f t="shared" si="7"/>
        <v>0.14637899937264742</v>
      </c>
      <c r="F28" s="28">
        <f t="shared" si="8"/>
        <v>32.66678822082779</v>
      </c>
      <c r="G28" s="27" t="str">
        <f t="shared" si="9"/>
        <v>-</v>
      </c>
      <c r="H28" s="26">
        <f t="shared" si="10"/>
        <v>49129.57</v>
      </c>
      <c r="I28" s="26">
        <f t="shared" si="11"/>
        <v>48781.31485016214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30">
        <v>1087</v>
      </c>
      <c r="E29" s="29">
        <f t="shared" si="7"/>
        <v>0.10655191342534504</v>
      </c>
      <c r="F29" s="28">
        <f t="shared" si="8"/>
        <v>31.574585575146621</v>
      </c>
      <c r="G29" s="27" t="str">
        <f t="shared" si="9"/>
        <v>-</v>
      </c>
      <c r="H29" s="26">
        <f t="shared" si="10"/>
        <v>34566.6</v>
      </c>
      <c r="I29" s="26">
        <f t="shared" si="11"/>
        <v>34321.574520184375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30">
        <v>682</v>
      </c>
      <c r="E30" s="29">
        <f t="shared" si="7"/>
        <v>6.6852258469259726E-2</v>
      </c>
      <c r="F30" s="28">
        <f t="shared" si="8"/>
        <v>31.574585575146621</v>
      </c>
      <c r="G30" s="27" t="str">
        <f t="shared" si="9"/>
        <v>-</v>
      </c>
      <c r="H30" s="26">
        <f t="shared" si="10"/>
        <v>21687.600000000002</v>
      </c>
      <c r="I30" s="26">
        <f t="shared" si="11"/>
        <v>21533.867362249995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30">
        <v>278.2</v>
      </c>
      <c r="E31" s="29">
        <f t="shared" si="7"/>
        <v>2.7270232120451692E-2</v>
      </c>
      <c r="F31" s="28">
        <f t="shared" si="8"/>
        <v>32.071041323183515</v>
      </c>
      <c r="G31" s="27" t="str">
        <f t="shared" si="9"/>
        <v>-</v>
      </c>
      <c r="H31" s="26">
        <f t="shared" si="10"/>
        <v>8985.8599999999988</v>
      </c>
      <c r="I31" s="26">
        <f t="shared" si="11"/>
        <v>8922.1636961096538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33.664544163115238</v>
      </c>
      <c r="D32" s="22">
        <f>SUM(D26:D31)</f>
        <v>7180.2</v>
      </c>
      <c r="E32" s="21">
        <f t="shared" si="7"/>
        <v>0.7038307716436637</v>
      </c>
      <c r="F32" s="20">
        <f>I32/D32</f>
        <v>33.425912909641021</v>
      </c>
      <c r="G32" s="19">
        <f>F32/C32-1</f>
        <v>-7.0885039262071903E-3</v>
      </c>
      <c r="H32" s="18">
        <f>SUM(H26:H31)</f>
        <v>241718.16</v>
      </c>
      <c r="I32" s="18">
        <f>SUM(I26:I31)</f>
        <v>240004.73987380447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v>958.2</v>
      </c>
      <c r="E34" s="29">
        <f t="shared" ref="E34:E40" si="13">D34/$D$48</f>
        <v>9.3926442910915939E-2</v>
      </c>
      <c r="F34" s="28">
        <f t="shared" ref="F34:F39" si="14">C34-(C34*$E$6)</f>
        <v>19.262483023831585</v>
      </c>
      <c r="G34" s="27" t="str">
        <f t="shared" ref="G34:G39" si="15">IF(C34&gt;=F34,"-","+")</f>
        <v>-</v>
      </c>
      <c r="H34" s="26">
        <f t="shared" ref="H34:H39" si="16">C34*D34</f>
        <v>18589.079999999998</v>
      </c>
      <c r="I34" s="26">
        <f t="shared" ref="I34:I39" si="17">F34*D34</f>
        <v>18457.311233435426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/>
      <c r="E35" s="29">
        <f t="shared" si="13"/>
        <v>0</v>
      </c>
      <c r="F35" s="28">
        <f t="shared" si="14"/>
        <v>14.794381291499517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11.914937952885518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30"/>
      <c r="E37" s="29">
        <f t="shared" si="13"/>
        <v>0</v>
      </c>
      <c r="F37" s="28">
        <f t="shared" si="14"/>
        <v>31.574585575146621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30"/>
      <c r="E38" s="29">
        <f t="shared" si="13"/>
        <v>0</v>
      </c>
      <c r="F38" s="28">
        <f t="shared" si="14"/>
        <v>31.574585575146621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30"/>
      <c r="E39" s="29">
        <f t="shared" si="13"/>
        <v>0</v>
      </c>
      <c r="F39" s="28">
        <f t="shared" si="14"/>
        <v>32.66678822082779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19.399999999999999</v>
      </c>
      <c r="D40" s="22">
        <f>SUM(D34:D39)</f>
        <v>958.2</v>
      </c>
      <c r="E40" s="113">
        <f t="shared" si="13"/>
        <v>9.3926442910915939E-2</v>
      </c>
      <c r="F40" s="20">
        <f>I40/D40</f>
        <v>19.262483023831585</v>
      </c>
      <c r="G40" s="19">
        <f>F40/C40-1</f>
        <v>-7.0885039262068572E-3</v>
      </c>
      <c r="H40" s="18">
        <f>SUM(H34:H39)</f>
        <v>18589.079999999998</v>
      </c>
      <c r="I40" s="18">
        <f>SUM(I34:I39)</f>
        <v>18457.311233435426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1667</v>
      </c>
      <c r="E42" s="107">
        <f>D42/$D$48</f>
        <v>0.16340574027603513</v>
      </c>
      <c r="F42" s="28">
        <f>C42-(C42*$E$6)</f>
        <v>0.49645574803689657</v>
      </c>
      <c r="G42" s="27" t="str">
        <f>IF(C42&gt;=F42,"-","+")</f>
        <v>-</v>
      </c>
      <c r="H42" s="26">
        <f>C42*D42</f>
        <v>833.5</v>
      </c>
      <c r="I42" s="26">
        <f>F42*D42</f>
        <v>827.59173197750658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68.099999999999994</v>
      </c>
      <c r="E43" s="107">
        <f>D43/$D$48</f>
        <v>6.6754234629861978E-3</v>
      </c>
      <c r="F43" s="28">
        <f>C43-(C43*$E$6)</f>
        <v>0.49645574803689657</v>
      </c>
      <c r="G43" s="27" t="str">
        <f>IF(C43&gt;=F43,"-","+")</f>
        <v>-</v>
      </c>
      <c r="H43" s="26">
        <f>C43*D43</f>
        <v>34.049999999999997</v>
      </c>
      <c r="I43" s="26">
        <f>F43*D43</f>
        <v>33.80863644131265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2.7</v>
      </c>
      <c r="E44" s="107">
        <f>D44/$D$48</f>
        <v>2.6466436637390215E-4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5.6</v>
      </c>
      <c r="E45" s="107">
        <f>D45/$D$48</f>
        <v>5.4893350062735255E-4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0.4976195938969829</v>
      </c>
      <c r="D46" s="22">
        <f>SUM(D41:D45)</f>
        <v>1743.3999999999999</v>
      </c>
      <c r="E46" s="113">
        <f>D46/$D$48</f>
        <v>0.17089476160602257</v>
      </c>
      <c r="F46" s="20">
        <f>I46/D46</f>
        <v>0.4940922154518867</v>
      </c>
      <c r="G46" s="19">
        <f>F46/C46-1</f>
        <v>-7.0885039262068572E-3</v>
      </c>
      <c r="H46" s="18">
        <f>SUM(H41:H44)</f>
        <v>867.55</v>
      </c>
      <c r="I46" s="18">
        <f>SUM(I41:I44)</f>
        <v>861.4003684188192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99.962163757012235</v>
      </c>
      <c r="D48" s="13">
        <f>D24+D32+D40+D46</f>
        <v>10201.6</v>
      </c>
      <c r="E48" s="12">
        <f>SUM(E20:E46)/2</f>
        <v>0.99999999999999989</v>
      </c>
      <c r="F48" s="11">
        <f>I48/D48</f>
        <v>26.864118094287054</v>
      </c>
      <c r="G48" s="10"/>
      <c r="H48" s="9">
        <f>SUM(H20:H46)/2</f>
        <v>276013.51</v>
      </c>
      <c r="I48" s="9">
        <f>SUM(I20:I46)/2</f>
        <v>274056.98715067882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12423.5</v>
      </c>
      <c r="E50" s="12">
        <f>D50/G2</f>
        <v>1</v>
      </c>
      <c r="F50" s="11">
        <f>I50/D50</f>
        <v>27.499999999999989</v>
      </c>
      <c r="G50" s="10"/>
      <c r="H50" s="9">
        <f>H48+H19</f>
        <v>344085.30000000005</v>
      </c>
      <c r="I50" s="9">
        <f>I48+I19</f>
        <v>341646.24999999988</v>
      </c>
      <c r="J50" s="106">
        <f>D50-G2</f>
        <v>0</v>
      </c>
      <c r="K50" s="8"/>
    </row>
    <row r="51" spans="1:11" ht="23.25" x14ac:dyDescent="0.35">
      <c r="A51" s="174" t="s">
        <v>386</v>
      </c>
      <c r="B51" s="169"/>
      <c r="C51" s="170"/>
      <c r="G51" s="7"/>
      <c r="H51" s="6"/>
      <c r="I51" s="6">
        <f>+I50/D50</f>
        <v>27.499999999999989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381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387</v>
      </c>
      <c r="D2" s="96" t="s">
        <v>3</v>
      </c>
      <c r="E2" s="95" t="s">
        <v>71</v>
      </c>
      <c r="F2" s="94" t="s">
        <v>5</v>
      </c>
      <c r="G2" s="93">
        <v>22132.3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320</v>
      </c>
      <c r="F3" s="88" t="s">
        <v>8</v>
      </c>
      <c r="G3" s="87">
        <v>27.5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69.163437500000001</v>
      </c>
      <c r="F4" s="81" t="s">
        <v>12</v>
      </c>
      <c r="G4" s="80">
        <f>G2*G3</f>
        <v>608638.25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-8.9774952479415582E-3</v>
      </c>
      <c r="F6" s="69" t="s">
        <v>16</v>
      </c>
      <c r="G6" s="68">
        <f>(I50-I19)/(D50-(SUM(D42:D44)+D19))</f>
        <v>32.833434427794508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30"/>
      <c r="E10" s="29">
        <f t="shared" ref="E10:E19" si="1">D10/$D$19</f>
        <v>0</v>
      </c>
      <c r="F10" s="28">
        <f t="shared" ref="F10:F18" si="2">C10-(C10*$E$6)</f>
        <v>27.746881119318392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28.6</v>
      </c>
      <c r="D11" s="30">
        <v>381.7</v>
      </c>
      <c r="E11" s="29">
        <f t="shared" si="1"/>
        <v>0.73164654015717834</v>
      </c>
      <c r="F11" s="28">
        <f t="shared" si="2"/>
        <v>28.85675636409113</v>
      </c>
      <c r="G11" s="27" t="str">
        <f t="shared" si="3"/>
        <v>+</v>
      </c>
      <c r="H11" s="34">
        <f t="shared" si="4"/>
        <v>10916.62</v>
      </c>
      <c r="I11" s="34">
        <f t="shared" si="5"/>
        <v>11014.623904173584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26.2</v>
      </c>
      <c r="D12" s="30"/>
      <c r="E12" s="29">
        <f t="shared" si="1"/>
        <v>0</v>
      </c>
      <c r="F12" s="28">
        <f t="shared" si="2"/>
        <v>26.435210375496069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28.6</v>
      </c>
      <c r="D13" s="30"/>
      <c r="E13" s="29">
        <f t="shared" si="1"/>
        <v>0</v>
      </c>
      <c r="F13" s="28">
        <f t="shared" si="2"/>
        <v>28.85675636409113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32</v>
      </c>
      <c r="D14" s="30"/>
      <c r="E14" s="29">
        <f t="shared" si="1"/>
        <v>0</v>
      </c>
      <c r="F14" s="28">
        <f t="shared" si="2"/>
        <v>32.28727984793413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26.4</v>
      </c>
      <c r="D15" s="30">
        <v>140</v>
      </c>
      <c r="E15" s="29">
        <f t="shared" si="1"/>
        <v>0.2683534598428215</v>
      </c>
      <c r="F15" s="28">
        <f t="shared" si="2"/>
        <v>26.637005874545657</v>
      </c>
      <c r="G15" s="27" t="str">
        <f t="shared" si="3"/>
        <v>+</v>
      </c>
      <c r="H15" s="34">
        <f t="shared" si="4"/>
        <v>3696</v>
      </c>
      <c r="I15" s="34">
        <f t="shared" si="5"/>
        <v>3729.1808224363922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36.1</v>
      </c>
      <c r="D16" s="30"/>
      <c r="E16" s="29">
        <f t="shared" si="1"/>
        <v>0</v>
      </c>
      <c r="F16" s="28">
        <f t="shared" si="2"/>
        <v>36.424087578450688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30"/>
      <c r="E17" s="29">
        <f t="shared" si="1"/>
        <v>0</v>
      </c>
      <c r="F17" s="28">
        <f t="shared" si="2"/>
        <v>53.677602747190491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30"/>
      <c r="E18" s="29">
        <f t="shared" si="1"/>
        <v>0</v>
      </c>
      <c r="F18" s="28">
        <f t="shared" si="2"/>
        <v>47.018351278554078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28.009622388345793</v>
      </c>
      <c r="D19" s="49">
        <f>SUM(D10:D18)</f>
        <v>521.70000000000005</v>
      </c>
      <c r="E19" s="48">
        <f t="shared" si="1"/>
        <v>1</v>
      </c>
      <c r="F19" s="47">
        <f>I19/D19</f>
        <v>28.261078640233805</v>
      </c>
      <c r="G19" s="46">
        <f>F19/C19-1</f>
        <v>8.9774952479415582E-3</v>
      </c>
      <c r="H19" s="9">
        <f>SUM(H10:H18)</f>
        <v>14612.62</v>
      </c>
      <c r="I19" s="9">
        <f>SUM(I10:I18)</f>
        <v>14743.804726609977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30">
        <v>248.4</v>
      </c>
      <c r="E21" s="29">
        <f>D21/$D$48</f>
        <v>1.1494359249627498E-2</v>
      </c>
      <c r="F21" s="28">
        <f>C21-(C21*$E$6)</f>
        <v>69.821242671157563</v>
      </c>
      <c r="G21" s="27" t="str">
        <f>IF(C21&gt;=F21,"-","+")</f>
        <v>+</v>
      </c>
      <c r="H21" s="26">
        <f>C21*D21</f>
        <v>17189.280000000002</v>
      </c>
      <c r="I21" s="26">
        <f>F21*D21</f>
        <v>17343.59667951554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46.4</v>
      </c>
      <c r="D22" s="30">
        <v>609.79999999999995</v>
      </c>
      <c r="E22" s="29">
        <f>D22/$D$48</f>
        <v>2.8217633938900356E-2</v>
      </c>
      <c r="F22" s="28">
        <f>C22-(C22*$E$6)</f>
        <v>46.816555779504483</v>
      </c>
      <c r="G22" s="27" t="str">
        <f>IF(C22&gt;=F22,"-","+")</f>
        <v>+</v>
      </c>
      <c r="H22" s="26">
        <f>C22*D22</f>
        <v>28294.719999999998</v>
      </c>
      <c r="I22" s="26">
        <f>F22*D22</f>
        <v>28548.73571434183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30">
        <v>526.9</v>
      </c>
      <c r="E23" s="29">
        <f>D23/$D$48</f>
        <v>2.4381553496895043E-2</v>
      </c>
      <c r="F23" s="28">
        <f>C23-(C23*$E$6)</f>
        <v>42.780645798512722</v>
      </c>
      <c r="G23" s="27" t="str">
        <f>IF(C23&gt;=F23,"-","+")</f>
        <v>+</v>
      </c>
      <c r="H23" s="26">
        <f>C23*D23</f>
        <v>22340.559999999998</v>
      </c>
      <c r="I23" s="26">
        <f>F23*D23</f>
        <v>22541.122271236352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48.967265901378966</v>
      </c>
      <c r="D24" s="22">
        <f>SUM(D21:D23)</f>
        <v>1385.1</v>
      </c>
      <c r="E24" s="21">
        <f>D24/$D$48</f>
        <v>6.40935466854229E-2</v>
      </c>
      <c r="F24" s="20">
        <f>I24/D24</f>
        <v>49.406869298313282</v>
      </c>
      <c r="G24" s="19">
        <f>F24/C24-1</f>
        <v>8.9774952479415582E-3</v>
      </c>
      <c r="H24" s="18">
        <f>SUM(H21:H23)</f>
        <v>67824.56</v>
      </c>
      <c r="I24" s="18">
        <f>SUM(I21:I23)</f>
        <v>68433.454665093726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30">
        <f>3058+1272</f>
        <v>4330</v>
      </c>
      <c r="E26" s="29">
        <f t="shared" ref="E26:E32" si="7">D26/$D$48</f>
        <v>0.20036463587313635</v>
      </c>
      <c r="F26" s="28">
        <f t="shared" ref="F26:F31" si="8">C26-(C26*$E$6)</f>
        <v>37.231269574649041</v>
      </c>
      <c r="G26" s="27" t="str">
        <f t="shared" ref="G26:G31" si="9">IF(C26&gt;=F26,"-","+")</f>
        <v>+</v>
      </c>
      <c r="H26" s="26">
        <f t="shared" ref="H26:H31" si="10">C26*D26</f>
        <v>159777</v>
      </c>
      <c r="I26" s="26">
        <f t="shared" ref="I26:I31" si="11">F26*D26</f>
        <v>161211.39725823034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30">
        <v>3053</v>
      </c>
      <c r="E27" s="29">
        <f t="shared" si="7"/>
        <v>0.14127326404634763</v>
      </c>
      <c r="F27" s="28">
        <f t="shared" si="8"/>
        <v>33.195359593657273</v>
      </c>
      <c r="G27" s="27" t="str">
        <f t="shared" si="9"/>
        <v>+</v>
      </c>
      <c r="H27" s="26">
        <f t="shared" si="10"/>
        <v>100443.7</v>
      </c>
      <c r="I27" s="26">
        <f t="shared" si="11"/>
        <v>101345.43283943566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30">
        <v>2116.8000000000002</v>
      </c>
      <c r="E28" s="29">
        <f t="shared" si="7"/>
        <v>9.7951930996825642E-2</v>
      </c>
      <c r="F28" s="28">
        <f t="shared" si="8"/>
        <v>33.195359593657273</v>
      </c>
      <c r="G28" s="27" t="str">
        <f t="shared" si="9"/>
        <v>+</v>
      </c>
      <c r="H28" s="26">
        <f t="shared" si="10"/>
        <v>69642.720000000001</v>
      </c>
      <c r="I28" s="26">
        <f t="shared" si="11"/>
        <v>70267.93718785372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30">
        <v>1934.7</v>
      </c>
      <c r="E29" s="29">
        <f t="shared" si="7"/>
        <v>8.9525510629043167E-2</v>
      </c>
      <c r="F29" s="28">
        <f t="shared" si="8"/>
        <v>32.085484348884542</v>
      </c>
      <c r="G29" s="27" t="str">
        <f t="shared" si="9"/>
        <v>+</v>
      </c>
      <c r="H29" s="26">
        <f t="shared" si="10"/>
        <v>61523.460000000006</v>
      </c>
      <c r="I29" s="26">
        <f t="shared" si="11"/>
        <v>62075.786569786927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30">
        <v>1537.9</v>
      </c>
      <c r="E30" s="29">
        <f t="shared" si="7"/>
        <v>7.1164150925934505E-2</v>
      </c>
      <c r="F30" s="28">
        <f t="shared" si="8"/>
        <v>32.085484348884542</v>
      </c>
      <c r="G30" s="27" t="str">
        <f t="shared" si="9"/>
        <v>+</v>
      </c>
      <c r="H30" s="26">
        <f t="shared" si="10"/>
        <v>48905.22</v>
      </c>
      <c r="I30" s="26">
        <f t="shared" si="11"/>
        <v>49344.266380149536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30">
        <v>549</v>
      </c>
      <c r="E31" s="29">
        <f t="shared" si="7"/>
        <v>2.5404199790843383E-2</v>
      </c>
      <c r="F31" s="28">
        <f t="shared" si="8"/>
        <v>32.589973096508508</v>
      </c>
      <c r="G31" s="27" t="str">
        <f t="shared" si="9"/>
        <v>+</v>
      </c>
      <c r="H31" s="26">
        <f t="shared" si="10"/>
        <v>17732.699999999997</v>
      </c>
      <c r="I31" s="26">
        <f t="shared" si="11"/>
        <v>17891.895229983173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33.8740662949103</v>
      </c>
      <c r="D32" s="22">
        <f>SUM(D26:D31)</f>
        <v>13521.4</v>
      </c>
      <c r="E32" s="21">
        <f t="shared" si="7"/>
        <v>0.62568369226213061</v>
      </c>
      <c r="F32" s="20">
        <f>I32/D32</f>
        <v>34.178170564101308</v>
      </c>
      <c r="G32" s="19">
        <f>F32/C32-1</f>
        <v>8.9774952479413361E-3</v>
      </c>
      <c r="H32" s="18">
        <f>SUM(H26:H31)</f>
        <v>458024.8000000001</v>
      </c>
      <c r="I32" s="18">
        <f>SUM(I26:I31)</f>
        <v>462136.71546543937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v>3047.1</v>
      </c>
      <c r="E34" s="29">
        <f t="shared" ref="E34:E40" si="13">D34/$D$48</f>
        <v>0.141000249877375</v>
      </c>
      <c r="F34" s="28">
        <f t="shared" ref="F34:F39" si="14">C34-(C34*$E$6)</f>
        <v>19.574163407810065</v>
      </c>
      <c r="G34" s="27" t="str">
        <f t="shared" ref="G34:G39" si="15">IF(C34&gt;=F34,"-","+")</f>
        <v>+</v>
      </c>
      <c r="H34" s="26">
        <f t="shared" ref="H34:H39" si="16">C34*D34</f>
        <v>59113.739999999991</v>
      </c>
      <c r="I34" s="26">
        <f t="shared" ref="I34:I39" si="17">F34*D34</f>
        <v>59644.433319938049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>
        <v>127.5</v>
      </c>
      <c r="E35" s="29">
        <f t="shared" si="13"/>
        <v>5.8998824650865781E-3</v>
      </c>
      <c r="F35" s="28">
        <f t="shared" si="14"/>
        <v>15.033764679194329</v>
      </c>
      <c r="G35" s="27" t="str">
        <f t="shared" si="15"/>
        <v>+</v>
      </c>
      <c r="H35" s="26">
        <f t="shared" si="16"/>
        <v>1899.75</v>
      </c>
      <c r="I35" s="26">
        <f t="shared" si="17"/>
        <v>1916.8049965972768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12.107729942975299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30"/>
      <c r="E37" s="29">
        <f t="shared" si="13"/>
        <v>0</v>
      </c>
      <c r="F37" s="28">
        <f t="shared" si="14"/>
        <v>32.085484348884542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30"/>
      <c r="E38" s="29">
        <f t="shared" si="13"/>
        <v>0</v>
      </c>
      <c r="F38" s="28">
        <f t="shared" si="14"/>
        <v>32.085484348884542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30"/>
      <c r="E39" s="29">
        <f t="shared" si="13"/>
        <v>0</v>
      </c>
      <c r="F39" s="28">
        <f t="shared" si="14"/>
        <v>33.195359593657273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19.219268569268568</v>
      </c>
      <c r="D40" s="22">
        <f>SUM(D34:D39)</f>
        <v>3174.6</v>
      </c>
      <c r="E40" s="113">
        <f t="shared" si="13"/>
        <v>0.14690013234246158</v>
      </c>
      <c r="F40" s="20">
        <f>I40/D40</f>
        <v>19.39180946151809</v>
      </c>
      <c r="G40" s="19">
        <f>F40/C40-1</f>
        <v>8.9774952479415582E-3</v>
      </c>
      <c r="H40" s="18">
        <f>SUM(H34:H39)</f>
        <v>61013.489999999991</v>
      </c>
      <c r="I40" s="18">
        <f>SUM(I34:I39)</f>
        <v>61561.238316535324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3364</v>
      </c>
      <c r="E42" s="107">
        <f>D42/$D$48</f>
        <v>0.15566434990236275</v>
      </c>
      <c r="F42" s="28">
        <f>C42-(C42*$E$6)</f>
        <v>0.50448874762397078</v>
      </c>
      <c r="G42" s="27" t="str">
        <f>IF(C42&gt;=F42,"-","+")</f>
        <v>+</v>
      </c>
      <c r="H42" s="26">
        <f>C42*D42</f>
        <v>1682</v>
      </c>
      <c r="I42" s="26">
        <f>F42*D42</f>
        <v>1697.1001470070378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130.69999999999999</v>
      </c>
      <c r="E43" s="107">
        <f>D43/$D$48</f>
        <v>6.0479579465632606E-3</v>
      </c>
      <c r="F43" s="28">
        <f>C43-(C43*$E$6)</f>
        <v>0.50448874762397078</v>
      </c>
      <c r="G43" s="27" t="str">
        <f>IF(C43&gt;=F43,"-","+")</f>
        <v>+</v>
      </c>
      <c r="H43" s="26">
        <f>C43*D43</f>
        <v>65.349999999999994</v>
      </c>
      <c r="I43" s="26">
        <f>F43*D43</f>
        <v>65.936679314452974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27.8</v>
      </c>
      <c r="E44" s="107">
        <f>D44/$D$48</f>
        <v>1.2864057453286814E-3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</v>
      </c>
      <c r="E45" s="107">
        <f>D45/$D$48</f>
        <v>3.2391511573024351E-4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0.49507012324691879</v>
      </c>
      <c r="D46" s="22">
        <f>SUM(D41:D45)</f>
        <v>3529.5</v>
      </c>
      <c r="E46" s="113">
        <f>D46/$D$48</f>
        <v>0.16332262870998493</v>
      </c>
      <c r="F46" s="20">
        <f>I46/D46</f>
        <v>0.49951461292576588</v>
      </c>
      <c r="G46" s="19">
        <f>F46/C46-1</f>
        <v>8.9774952479415582E-3</v>
      </c>
      <c r="H46" s="18">
        <f>SUM(H41:H44)</f>
        <v>1747.35</v>
      </c>
      <c r="I46" s="18">
        <f>SUM(I41:I44)</f>
        <v>1763.0368263214907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102.55567088880476</v>
      </c>
      <c r="D48" s="13">
        <f>D24+D32+D40+D46</f>
        <v>21610.6</v>
      </c>
      <c r="E48" s="12">
        <f>SUM(E20:E46)/2</f>
        <v>1.0000000000000002</v>
      </c>
      <c r="F48" s="11">
        <f>I48/D48</f>
        <v>27.481626853182689</v>
      </c>
      <c r="G48" s="10"/>
      <c r="H48" s="9">
        <f>SUM(H20:H46)/2</f>
        <v>588610.20000000007</v>
      </c>
      <c r="I48" s="9">
        <f>SUM(I20:I46)/2</f>
        <v>593894.44527338981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22132.3</v>
      </c>
      <c r="E50" s="12">
        <f>D50/G2</f>
        <v>1</v>
      </c>
      <c r="F50" s="11">
        <f>I50/D50</f>
        <v>27.499999999999989</v>
      </c>
      <c r="G50" s="10"/>
      <c r="H50" s="9">
        <f>H48+H19</f>
        <v>603222.82000000007</v>
      </c>
      <c r="I50" s="9">
        <f>I48+I19</f>
        <v>608638.24999999977</v>
      </c>
      <c r="J50" s="106">
        <f>D50-G2</f>
        <v>0</v>
      </c>
      <c r="K50" s="8"/>
    </row>
    <row r="51" spans="1:11" ht="23.25" x14ac:dyDescent="0.35">
      <c r="A51" s="174" t="s">
        <v>388</v>
      </c>
      <c r="B51" s="169"/>
      <c r="C51" s="170"/>
      <c r="G51" s="7"/>
      <c r="H51" s="6"/>
      <c r="I51" s="6">
        <f>+I50/D50</f>
        <v>27.499999999999989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387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387</v>
      </c>
      <c r="D2" s="96" t="s">
        <v>3</v>
      </c>
      <c r="E2" s="95" t="s">
        <v>112</v>
      </c>
      <c r="F2" s="94" t="s">
        <v>5</v>
      </c>
      <c r="G2" s="93">
        <v>10610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148</v>
      </c>
      <c r="F3" s="88" t="s">
        <v>8</v>
      </c>
      <c r="G3" s="87">
        <v>23.68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71.689189189189193</v>
      </c>
      <c r="F4" s="81" t="s">
        <v>12</v>
      </c>
      <c r="G4" s="80">
        <f>G2*G3</f>
        <v>251244.79999999999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-5.909273856657804E-2</v>
      </c>
      <c r="F6" s="69" t="s">
        <v>16</v>
      </c>
      <c r="G6" s="68">
        <f>(I50-I19)/(D50-(SUM(D42:D44)+D19))</f>
        <v>29.46829595547133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23.7</v>
      </c>
      <c r="D10" s="30"/>
      <c r="E10" s="29">
        <f t="shared" ref="E10:E19" si="1">D10/$D$19</f>
        <v>0</v>
      </c>
      <c r="F10" s="28">
        <f t="shared" ref="F10:F18" si="2">C10-(C10*$E$6)</f>
        <v>25.1004979040279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>
        <f t="shared" si="1"/>
        <v>0</v>
      </c>
      <c r="F11" s="28">
        <f t="shared" si="2"/>
        <v>26.159590642594477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22.5</v>
      </c>
      <c r="D12" s="30"/>
      <c r="E12" s="29">
        <f t="shared" si="1"/>
        <v>0</v>
      </c>
      <c r="F12" s="28">
        <f t="shared" si="2"/>
        <v>23.829586617748006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>
        <v>54.9</v>
      </c>
      <c r="E13" s="29">
        <f t="shared" si="1"/>
        <v>1</v>
      </c>
      <c r="F13" s="28">
        <f t="shared" si="2"/>
        <v>26.159590642594477</v>
      </c>
      <c r="G13" s="27" t="str">
        <f t="shared" si="3"/>
        <v>+</v>
      </c>
      <c r="H13" s="34">
        <f t="shared" si="4"/>
        <v>1356.03</v>
      </c>
      <c r="I13" s="34">
        <f t="shared" si="5"/>
        <v>1436.1615262784367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27.6</v>
      </c>
      <c r="D14" s="30"/>
      <c r="E14" s="29">
        <f t="shared" si="1"/>
        <v>0</v>
      </c>
      <c r="F14" s="28">
        <f t="shared" si="2"/>
        <v>29.230959584437556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22.7</v>
      </c>
      <c r="D15" s="30"/>
      <c r="E15" s="29">
        <f t="shared" si="1"/>
        <v>0</v>
      </c>
      <c r="F15" s="28">
        <f t="shared" si="2"/>
        <v>24.04140516546132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31.1</v>
      </c>
      <c r="D16" s="30"/>
      <c r="E16" s="29">
        <f t="shared" si="1"/>
        <v>0</v>
      </c>
      <c r="F16" s="28">
        <f t="shared" si="2"/>
        <v>32.937784169420581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45.8</v>
      </c>
      <c r="D17" s="30"/>
      <c r="E17" s="29">
        <f t="shared" si="1"/>
        <v>0</v>
      </c>
      <c r="F17" s="28">
        <f t="shared" si="2"/>
        <v>48.506447426349268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40.1</v>
      </c>
      <c r="D18" s="30"/>
      <c r="E18" s="29">
        <f t="shared" si="1"/>
        <v>0</v>
      </c>
      <c r="F18" s="28">
        <f t="shared" si="2"/>
        <v>42.469618816519784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24.7</v>
      </c>
      <c r="D19" s="49">
        <f>SUM(D10:D18)</f>
        <v>54.9</v>
      </c>
      <c r="E19" s="48">
        <f t="shared" si="1"/>
        <v>1</v>
      </c>
      <c r="F19" s="47">
        <f>I19/D19</f>
        <v>26.159590642594477</v>
      </c>
      <c r="G19" s="46">
        <f>F19/C19-1</f>
        <v>5.909273856657804E-2</v>
      </c>
      <c r="H19" s="9">
        <f>SUM(H10:H18)</f>
        <v>1356.03</v>
      </c>
      <c r="I19" s="9">
        <f>SUM(I10:I18)</f>
        <v>1436.1615262784367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59.6</v>
      </c>
      <c r="D21" s="30">
        <v>128.80000000000001</v>
      </c>
      <c r="E21" s="29">
        <f>D21/$D$48</f>
        <v>1.2202631903061079E-2</v>
      </c>
      <c r="F21" s="28">
        <f>C21-(C21*$E$6)</f>
        <v>63.121927218568054</v>
      </c>
      <c r="G21" s="27" t="str">
        <f>IF(C21&gt;=F21,"-","+")</f>
        <v>+</v>
      </c>
      <c r="H21" s="26">
        <f>C21*D21</f>
        <v>7676.4800000000005</v>
      </c>
      <c r="I21" s="26">
        <f>F21*D21</f>
        <v>8130.1042257515664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</v>
      </c>
      <c r="D22" s="30">
        <v>262.7</v>
      </c>
      <c r="E22" s="29">
        <f>D22/$D$48</f>
        <v>2.4888442553836532E-2</v>
      </c>
      <c r="F22" s="28">
        <f>C22-(C22*$E$6)</f>
        <v>42.363709542663123</v>
      </c>
      <c r="G22" s="27" t="str">
        <f>IF(C22&gt;=F22,"-","+")</f>
        <v>+</v>
      </c>
      <c r="H22" s="26">
        <f>C22*D22</f>
        <v>10508</v>
      </c>
      <c r="I22" s="26">
        <f>F22*D22</f>
        <v>11128.946496857601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36.5</v>
      </c>
      <c r="D23" s="30">
        <v>245</v>
      </c>
      <c r="E23" s="29">
        <f>D23/$D$48</f>
        <v>2.3211528076474877E-2</v>
      </c>
      <c r="F23" s="28">
        <f>C23-(C23*$E$6)</f>
        <v>38.656884957680099</v>
      </c>
      <c r="G23" s="27" t="str">
        <f>IF(C23&gt;=F23,"-","+")</f>
        <v>+</v>
      </c>
      <c r="H23" s="26">
        <f>C23*D23</f>
        <v>8942.5</v>
      </c>
      <c r="I23" s="26">
        <f>F23*D23</f>
        <v>9470.9368146316247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42.618978790259227</v>
      </c>
      <c r="D24" s="22">
        <f>SUM(D21:D23)</f>
        <v>636.5</v>
      </c>
      <c r="E24" s="21">
        <f>D24/$D$48</f>
        <v>6.0302602533372489E-2</v>
      </c>
      <c r="F24" s="20">
        <f>I24/D24</f>
        <v>45.13745096188655</v>
      </c>
      <c r="G24" s="19">
        <f>F24/C24-1</f>
        <v>5.909273856657804E-2</v>
      </c>
      <c r="H24" s="18">
        <f>SUM(H21:H23)</f>
        <v>27126.98</v>
      </c>
      <c r="I24" s="18">
        <f>SUM(I21:I23)</f>
        <v>28729.987537240791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31.8</v>
      </c>
      <c r="D26" s="30">
        <f>1882.9+182.6</f>
        <v>2065.5</v>
      </c>
      <c r="E26" s="29">
        <f t="shared" ref="E26:E32" si="7">D26/$D$48</f>
        <v>0.19568739282432188</v>
      </c>
      <c r="F26" s="28">
        <f t="shared" ref="F26:F31" si="8">C26-(C26*$E$6)</f>
        <v>33.679149086417183</v>
      </c>
      <c r="G26" s="27" t="str">
        <f t="shared" ref="G26:G31" si="9">IF(C26&gt;=F26,"-","+")</f>
        <v>+</v>
      </c>
      <c r="H26" s="26">
        <f t="shared" ref="H26:H31" si="10">C26*D26</f>
        <v>65682.900000000009</v>
      </c>
      <c r="I26" s="26">
        <f t="shared" ref="I26:I31" si="11">F26*D26</f>
        <v>69564.282437994698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28.3</v>
      </c>
      <c r="D27" s="30">
        <v>1523.8</v>
      </c>
      <c r="E27" s="29">
        <f t="shared" si="7"/>
        <v>0.1443662305425813</v>
      </c>
      <c r="F27" s="28">
        <f t="shared" si="8"/>
        <v>29.972324501434159</v>
      </c>
      <c r="G27" s="27" t="str">
        <f t="shared" si="9"/>
        <v>+</v>
      </c>
      <c r="H27" s="26">
        <f t="shared" si="10"/>
        <v>43123.54</v>
      </c>
      <c r="I27" s="26">
        <f t="shared" si="11"/>
        <v>45671.828075285368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28.3</v>
      </c>
      <c r="D28" s="30">
        <v>848.8</v>
      </c>
      <c r="E28" s="29">
        <f t="shared" si="7"/>
        <v>8.0416102168619899E-2</v>
      </c>
      <c r="F28" s="28">
        <f t="shared" si="8"/>
        <v>29.972324501434159</v>
      </c>
      <c r="G28" s="27" t="str">
        <f t="shared" si="9"/>
        <v>+</v>
      </c>
      <c r="H28" s="26">
        <f t="shared" si="10"/>
        <v>24021.040000000001</v>
      </c>
      <c r="I28" s="26">
        <f t="shared" si="11"/>
        <v>25440.509036817311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802.2</v>
      </c>
      <c r="E29" s="29">
        <f t="shared" si="7"/>
        <v>7.6001174787543466E-2</v>
      </c>
      <c r="F29" s="28">
        <f t="shared" si="8"/>
        <v>29.019141036724236</v>
      </c>
      <c r="G29" s="27" t="str">
        <f t="shared" si="9"/>
        <v>+</v>
      </c>
      <c r="H29" s="26">
        <f t="shared" si="10"/>
        <v>21980.28</v>
      </c>
      <c r="I29" s="26">
        <f t="shared" si="11"/>
        <v>23279.154939660184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679</v>
      </c>
      <c r="E30" s="29">
        <f t="shared" si="7"/>
        <v>6.4329092097658955E-2</v>
      </c>
      <c r="F30" s="28">
        <f t="shared" si="8"/>
        <v>29.019141036724236</v>
      </c>
      <c r="G30" s="27" t="str">
        <f t="shared" si="9"/>
        <v>+</v>
      </c>
      <c r="H30" s="26">
        <f t="shared" si="10"/>
        <v>18604.599999999999</v>
      </c>
      <c r="I30" s="26">
        <f t="shared" si="11"/>
        <v>19703.996763935756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27.8</v>
      </c>
      <c r="D31" s="30">
        <v>275.10000000000002</v>
      </c>
      <c r="E31" s="29">
        <f t="shared" si="7"/>
        <v>2.6063230097298936E-2</v>
      </c>
      <c r="F31" s="28">
        <f t="shared" si="8"/>
        <v>29.44277813215087</v>
      </c>
      <c r="G31" s="27" t="str">
        <f t="shared" si="9"/>
        <v>+</v>
      </c>
      <c r="H31" s="26">
        <f t="shared" si="10"/>
        <v>7647.7800000000007</v>
      </c>
      <c r="I31" s="26">
        <f t="shared" si="11"/>
        <v>8099.7082641547049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29.229649360712902</v>
      </c>
      <c r="D32" s="22">
        <f>SUM(D26:D31)</f>
        <v>6194.4000000000005</v>
      </c>
      <c r="E32" s="21">
        <f t="shared" si="7"/>
        <v>0.58686322251802447</v>
      </c>
      <c r="F32" s="20">
        <f>I32/D32</f>
        <v>30.956909388778254</v>
      </c>
      <c r="G32" s="19">
        <f>F32/C32-1</f>
        <v>5.909273856657804E-2</v>
      </c>
      <c r="H32" s="18">
        <f>SUM(H26:H31)</f>
        <v>181060.14</v>
      </c>
      <c r="I32" s="18">
        <f>SUM(I26:I31)</f>
        <v>191759.47951784803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16.7</v>
      </c>
      <c r="D34" s="30">
        <f>857+643</f>
        <v>1500</v>
      </c>
      <c r="E34" s="29">
        <f t="shared" ref="E34:E40" si="13">D34/$D$48</f>
        <v>0.14211139638658088</v>
      </c>
      <c r="F34" s="28">
        <f t="shared" ref="F34:F39" si="14">C34-(C34*$E$6)</f>
        <v>17.686848734061854</v>
      </c>
      <c r="G34" s="27" t="str">
        <f t="shared" ref="G34:G39" si="15">IF(C34&gt;=F34,"-","+")</f>
        <v>+</v>
      </c>
      <c r="H34" s="26">
        <f t="shared" ref="H34:H39" si="16">C34*D34</f>
        <v>25050</v>
      </c>
      <c r="I34" s="26">
        <f t="shared" ref="I34:I39" si="17">F34*D34</f>
        <v>26530.273101092782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139.69999999999999</v>
      </c>
      <c r="E35" s="29">
        <f t="shared" si="13"/>
        <v>1.3235308050136899E-2</v>
      </c>
      <c r="F35" s="28">
        <f t="shared" si="14"/>
        <v>13.662296327508857</v>
      </c>
      <c r="G35" s="27" t="str">
        <f t="shared" si="15"/>
        <v>+</v>
      </c>
      <c r="H35" s="26">
        <f t="shared" si="16"/>
        <v>1802.1299999999999</v>
      </c>
      <c r="I35" s="26">
        <f t="shared" si="17"/>
        <v>1908.6227969529871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10.3</v>
      </c>
      <c r="D36" s="30"/>
      <c r="E36" s="29">
        <f t="shared" si="13"/>
        <v>0</v>
      </c>
      <c r="F36" s="28">
        <f t="shared" si="14"/>
        <v>10.908655207235755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29.019141036724236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29.019141036724236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28.3</v>
      </c>
      <c r="D39" s="30"/>
      <c r="E39" s="29">
        <f t="shared" si="13"/>
        <v>0</v>
      </c>
      <c r="F39" s="28">
        <f t="shared" si="14"/>
        <v>29.972324501434159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16.37624565469293</v>
      </c>
      <c r="D40" s="22">
        <f>SUM(D34:D39)</f>
        <v>1639.7</v>
      </c>
      <c r="E40" s="113">
        <f t="shared" si="13"/>
        <v>0.1553467044367178</v>
      </c>
      <c r="F40" s="20">
        <f>I40/D40</f>
        <v>17.343962857867762</v>
      </c>
      <c r="G40" s="19">
        <f>F40/C40-1</f>
        <v>5.9092738566578262E-2</v>
      </c>
      <c r="H40" s="18">
        <f>SUM(H34:H39)</f>
        <v>26852.13</v>
      </c>
      <c r="I40" s="18">
        <f>SUM(I34:I39)</f>
        <v>28438.895898045768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975+107+922</f>
        <v>2004</v>
      </c>
      <c r="E42" s="107">
        <f>D42/$D$48</f>
        <v>0.18986082557247208</v>
      </c>
      <c r="F42" s="28">
        <f>C42-(C42*$E$6)</f>
        <v>0.42363709542663125</v>
      </c>
      <c r="G42" s="27" t="str">
        <f>IF(C42&gt;=F42,"-","+")</f>
        <v>+</v>
      </c>
      <c r="H42" s="26">
        <f>C42*D42</f>
        <v>801.6</v>
      </c>
      <c r="I42" s="26">
        <f>F42*D42</f>
        <v>848.96873923496901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73.900000000000006</v>
      </c>
      <c r="E43" s="107">
        <f>D43/$D$48</f>
        <v>7.0013547953122193E-3</v>
      </c>
      <c r="F43" s="28">
        <f>C43-(C43*$E$6)</f>
        <v>0.42363709542663125</v>
      </c>
      <c r="G43" s="27" t="str">
        <f>IF(C43&gt;=F43,"-","+")</f>
        <v>+</v>
      </c>
      <c r="H43" s="26">
        <f>C43*D43</f>
        <v>29.560000000000002</v>
      </c>
      <c r="I43" s="26">
        <f>F43*D43</f>
        <v>31.30678135202805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6.2529014410095591E-4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0.39873350923482853</v>
      </c>
      <c r="D46" s="22">
        <f>SUM(D41:D45)</f>
        <v>2084.5</v>
      </c>
      <c r="E46" s="113">
        <f>D46/$D$48</f>
        <v>0.19748747051188525</v>
      </c>
      <c r="F46" s="20">
        <f>I46/D46</f>
        <v>0.42229576425377646</v>
      </c>
      <c r="G46" s="19">
        <f>F46/C46-1</f>
        <v>5.909273856657804E-2</v>
      </c>
      <c r="H46" s="18">
        <f>SUM(H41:H44)</f>
        <v>831.16000000000008</v>
      </c>
      <c r="I46" s="18">
        <f>SUM(I41:I44)</f>
        <v>880.275520586997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88.623607314899886</v>
      </c>
      <c r="D48" s="13">
        <f>D24+D32+D40+D46</f>
        <v>10555.1</v>
      </c>
      <c r="E48" s="12">
        <f>SUM(E20:E46)/2</f>
        <v>1</v>
      </c>
      <c r="F48" s="11">
        <f>I48/D48</f>
        <v>23.667102961954086</v>
      </c>
      <c r="G48" s="10"/>
      <c r="H48" s="9">
        <f>SUM(H20:H46)/2</f>
        <v>235870.41</v>
      </c>
      <c r="I48" s="9">
        <f>SUM(I20:I46)/2</f>
        <v>249808.63847372157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10610.000000000002</v>
      </c>
      <c r="E50" s="12">
        <f>D50/G2</f>
        <v>1.0000000000000002</v>
      </c>
      <c r="F50" s="11">
        <f>I50/D50</f>
        <v>23.679999999999996</v>
      </c>
      <c r="G50" s="10"/>
      <c r="H50" s="9">
        <f>H48+H19</f>
        <v>237226.44</v>
      </c>
      <c r="I50" s="9">
        <f>I48+I19</f>
        <v>251244.80000000002</v>
      </c>
      <c r="J50" s="106">
        <f>D50-G2</f>
        <v>0</v>
      </c>
      <c r="K50" s="8"/>
    </row>
    <row r="51" spans="1:11" ht="23.25" x14ac:dyDescent="0.35">
      <c r="A51" s="174" t="s">
        <v>389</v>
      </c>
      <c r="B51" s="169"/>
      <c r="C51" s="170"/>
      <c r="G51" s="7"/>
      <c r="H51" s="6"/>
      <c r="I51" s="6">
        <f>+I50/D50</f>
        <v>23.679999999999996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390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390</v>
      </c>
      <c r="D2" s="96" t="s">
        <v>3</v>
      </c>
      <c r="E2" s="95" t="s">
        <v>71</v>
      </c>
      <c r="F2" s="94" t="s">
        <v>5</v>
      </c>
      <c r="G2" s="93">
        <v>9156.6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138</v>
      </c>
      <c r="F3" s="88" t="s">
        <v>8</v>
      </c>
      <c r="G3" s="87">
        <v>27.5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66.352173913043487</v>
      </c>
      <c r="F4" s="81" t="s">
        <v>12</v>
      </c>
      <c r="G4" s="80">
        <f>G2*G3</f>
        <v>251806.5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-1.8246822620775482E-3</v>
      </c>
      <c r="F6" s="69" t="s">
        <v>16</v>
      </c>
      <c r="G6" s="68">
        <f>(I50-I19)/(D50-(SUM(D42:D44)+D19))</f>
        <v>32.854468118419149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30"/>
      <c r="E10" s="29" t="e">
        <f t="shared" ref="E10:E19" si="1">D10/$D$19</f>
        <v>#DIV/0!</v>
      </c>
      <c r="F10" s="28">
        <f t="shared" ref="F10:F18" si="2">C10-(C10*$E$6)</f>
        <v>27.550178762207132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28.6</v>
      </c>
      <c r="D11" s="30"/>
      <c r="E11" s="29" t="e">
        <f t="shared" si="1"/>
        <v>#DIV/0!</v>
      </c>
      <c r="F11" s="28">
        <f t="shared" si="2"/>
        <v>28.652185912695419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26.2</v>
      </c>
      <c r="D12" s="30"/>
      <c r="E12" s="29" t="e">
        <f t="shared" si="1"/>
        <v>#DIV/0!</v>
      </c>
      <c r="F12" s="28">
        <f t="shared" si="2"/>
        <v>26.247806675266432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28.6</v>
      </c>
      <c r="D13" s="30"/>
      <c r="E13" s="29" t="e">
        <f t="shared" si="1"/>
        <v>#DIV/0!</v>
      </c>
      <c r="F13" s="28">
        <f t="shared" si="2"/>
        <v>28.652185912695419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32</v>
      </c>
      <c r="D14" s="30"/>
      <c r="E14" s="29" t="e">
        <f t="shared" si="1"/>
        <v>#DIV/0!</v>
      </c>
      <c r="F14" s="28">
        <f t="shared" si="2"/>
        <v>32.058389832386482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26.4</v>
      </c>
      <c r="D15" s="30"/>
      <c r="E15" s="29" t="e">
        <f t="shared" si="1"/>
        <v>#DIV/0!</v>
      </c>
      <c r="F15" s="28">
        <f t="shared" si="2"/>
        <v>26.448171611718845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36.1</v>
      </c>
      <c r="D16" s="30"/>
      <c r="E16" s="29" t="e">
        <f t="shared" si="1"/>
        <v>#DIV/0!</v>
      </c>
      <c r="F16" s="28">
        <f t="shared" si="2"/>
        <v>36.165871029660998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30"/>
      <c r="E17" s="29" t="e">
        <f t="shared" si="1"/>
        <v>#DIV/0!</v>
      </c>
      <c r="F17" s="28">
        <f t="shared" si="2"/>
        <v>53.29707309634253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30"/>
      <c r="E18" s="29" t="e">
        <f t="shared" si="1"/>
        <v>#DIV/0!</v>
      </c>
      <c r="F18" s="28">
        <f t="shared" si="2"/>
        <v>46.685030193412814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30">
        <v>115.8</v>
      </c>
      <c r="E21" s="29">
        <f>D21/$D$48</f>
        <v>1.2646615555992398E-2</v>
      </c>
      <c r="F21" s="28">
        <f>C21-(C21*$E$6)</f>
        <v>69.326268012535763</v>
      </c>
      <c r="G21" s="27" t="str">
        <f>IF(C21&gt;=F21,"-","+")</f>
        <v>+</v>
      </c>
      <c r="H21" s="26">
        <f>C21*D21</f>
        <v>8013.3600000000006</v>
      </c>
      <c r="I21" s="26">
        <f>F21*D21</f>
        <v>8027.9818358516413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46.4</v>
      </c>
      <c r="D22" s="30">
        <v>261.8</v>
      </c>
      <c r="E22" s="29">
        <f>D22/$D$48</f>
        <v>2.8591398554048447E-2</v>
      </c>
      <c r="F22" s="28">
        <f>C22-(C22*$E$6)</f>
        <v>46.484665256960398</v>
      </c>
      <c r="G22" s="27" t="str">
        <f>IF(C22&gt;=F22,"-","+")</f>
        <v>+</v>
      </c>
      <c r="H22" s="26">
        <f>C22*D22</f>
        <v>12147.52</v>
      </c>
      <c r="I22" s="26">
        <f>F22*D22</f>
        <v>12169.685364272233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30">
        <v>231</v>
      </c>
      <c r="E23" s="29">
        <f>D23/$D$48</f>
        <v>2.5227704606513333E-2</v>
      </c>
      <c r="F23" s="28">
        <f>C23-(C23*$E$6)</f>
        <v>42.477366527912089</v>
      </c>
      <c r="G23" s="27" t="str">
        <f>IF(C23&gt;=F23,"-","+")</f>
        <v>+</v>
      </c>
      <c r="H23" s="26">
        <f>C23*D23</f>
        <v>9794.4</v>
      </c>
      <c r="I23" s="26">
        <f>F23*D23</f>
        <v>9812.2716679476925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49.219980282615836</v>
      </c>
      <c r="D24" s="22">
        <f>SUM(D21:D23)</f>
        <v>608.6</v>
      </c>
      <c r="E24" s="21">
        <f>D24/$D$48</f>
        <v>6.6465718716554184E-2</v>
      </c>
      <c r="F24" s="20">
        <f>I24/D24</f>
        <v>49.309791107577333</v>
      </c>
      <c r="G24" s="19">
        <f>F24/C24-1</f>
        <v>1.8246822620775482E-3</v>
      </c>
      <c r="H24" s="18">
        <f>SUM(H21:H23)</f>
        <v>29955.279999999999</v>
      </c>
      <c r="I24" s="18">
        <f>SUM(I21:I23)</f>
        <v>30009.938868071564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30">
        <v>1879.8</v>
      </c>
      <c r="E26" s="29">
        <f t="shared" ref="E26:E32" si="7">D26/$D$48</f>
        <v>0.20529454164209421</v>
      </c>
      <c r="F26" s="28">
        <f t="shared" ref="F26:F31" si="8">C26-(C26*$E$6)</f>
        <v>36.967330775470657</v>
      </c>
      <c r="G26" s="27" t="str">
        <f t="shared" ref="G26:G31" si="9">IF(C26&gt;=F26,"-","+")</f>
        <v>+</v>
      </c>
      <c r="H26" s="26">
        <f t="shared" ref="H26:H31" si="10">C26*D26</f>
        <v>69364.62</v>
      </c>
      <c r="I26" s="26">
        <f t="shared" ref="I26:I31" si="11">F26*D26</f>
        <v>69491.188391729738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30">
        <v>1370.7</v>
      </c>
      <c r="E27" s="29">
        <f t="shared" si="7"/>
        <v>0.1496953017495577</v>
      </c>
      <c r="F27" s="28">
        <f t="shared" si="8"/>
        <v>32.960032046422349</v>
      </c>
      <c r="G27" s="27" t="str">
        <f t="shared" si="9"/>
        <v>+</v>
      </c>
      <c r="H27" s="26">
        <f t="shared" si="10"/>
        <v>45096.03</v>
      </c>
      <c r="I27" s="26">
        <f t="shared" si="11"/>
        <v>45178.315926031115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30">
        <v>894.4</v>
      </c>
      <c r="E28" s="29">
        <f t="shared" si="7"/>
        <v>9.7678177489461143E-2</v>
      </c>
      <c r="F28" s="28">
        <f t="shared" si="8"/>
        <v>32.960032046422349</v>
      </c>
      <c r="G28" s="27" t="str">
        <f t="shared" si="9"/>
        <v>+</v>
      </c>
      <c r="H28" s="26">
        <f t="shared" si="10"/>
        <v>29425.759999999998</v>
      </c>
      <c r="I28" s="26">
        <f t="shared" si="11"/>
        <v>29479.452662320149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30">
        <v>752.2</v>
      </c>
      <c r="E29" s="29">
        <f t="shared" si="7"/>
        <v>8.2148395692724377E-2</v>
      </c>
      <c r="F29" s="28">
        <f t="shared" si="8"/>
        <v>31.858024895934065</v>
      </c>
      <c r="G29" s="27" t="str">
        <f t="shared" si="9"/>
        <v>+</v>
      </c>
      <c r="H29" s="26">
        <f t="shared" si="10"/>
        <v>23919.960000000003</v>
      </c>
      <c r="I29" s="26">
        <f t="shared" si="11"/>
        <v>23963.606326721605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30">
        <v>606.70000000000005</v>
      </c>
      <c r="E30" s="29">
        <f t="shared" si="7"/>
        <v>6.6258218115894552E-2</v>
      </c>
      <c r="F30" s="28">
        <f t="shared" si="8"/>
        <v>31.858024895934065</v>
      </c>
      <c r="G30" s="27" t="str">
        <f t="shared" si="9"/>
        <v>+</v>
      </c>
      <c r="H30" s="26">
        <f t="shared" si="10"/>
        <v>19293.060000000001</v>
      </c>
      <c r="I30" s="26">
        <f t="shared" si="11"/>
        <v>19328.263704363198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30">
        <v>275.10000000000002</v>
      </c>
      <c r="E31" s="29">
        <f t="shared" si="7"/>
        <v>3.0043902758665881E-2</v>
      </c>
      <c r="F31" s="28">
        <f t="shared" si="8"/>
        <v>32.358937237065099</v>
      </c>
      <c r="G31" s="27" t="str">
        <f t="shared" si="9"/>
        <v>+</v>
      </c>
      <c r="H31" s="26">
        <f t="shared" si="10"/>
        <v>8885.73</v>
      </c>
      <c r="I31" s="26">
        <f t="shared" si="11"/>
        <v>8901.9436339166095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33.913921334510029</v>
      </c>
      <c r="D32" s="22">
        <f>SUM(D26:D31)</f>
        <v>5778.9</v>
      </c>
      <c r="E32" s="21">
        <f t="shared" si="7"/>
        <v>0.63111853744839785</v>
      </c>
      <c r="F32" s="20">
        <f>I32/D32</f>
        <v>33.975803465206596</v>
      </c>
      <c r="G32" s="19">
        <f>F32/C32-1</f>
        <v>1.8246822620773262E-3</v>
      </c>
      <c r="H32" s="18">
        <f>SUM(H26:H31)</f>
        <v>195985.16</v>
      </c>
      <c r="I32" s="18">
        <f>SUM(I26:I31)</f>
        <v>196342.7706450824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v>1271.2</v>
      </c>
      <c r="E34" s="29">
        <f t="shared" ref="E34:E40" si="13">D34/$D$48</f>
        <v>0.13882882292554005</v>
      </c>
      <c r="F34" s="28">
        <f t="shared" ref="F34:F39" si="14">C34-(C34*$E$6)</f>
        <v>19.435398835884303</v>
      </c>
      <c r="G34" s="27" t="str">
        <f t="shared" ref="G34:G39" si="15">IF(C34&gt;=F34,"-","+")</f>
        <v>+</v>
      </c>
      <c r="H34" s="26">
        <f t="shared" ref="H34:H39" si="16">C34*D34</f>
        <v>24661.279999999999</v>
      </c>
      <c r="I34" s="26">
        <f t="shared" ref="I34:I39" si="17">F34*D34</f>
        <v>24706.279000176128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/>
      <c r="E35" s="29">
        <f t="shared" si="13"/>
        <v>0</v>
      </c>
      <c r="F35" s="28">
        <f t="shared" si="14"/>
        <v>14.927187765704955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12.021896187144931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30"/>
      <c r="E37" s="29">
        <f t="shared" si="13"/>
        <v>0</v>
      </c>
      <c r="F37" s="28">
        <f t="shared" si="14"/>
        <v>31.858024895934065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30"/>
      <c r="E38" s="29">
        <f t="shared" si="13"/>
        <v>0</v>
      </c>
      <c r="F38" s="28">
        <f t="shared" si="14"/>
        <v>31.858024895934065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30"/>
      <c r="E39" s="29">
        <f t="shared" si="13"/>
        <v>0</v>
      </c>
      <c r="F39" s="28">
        <f t="shared" si="14"/>
        <v>32.960032046422349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19.399999999999999</v>
      </c>
      <c r="D40" s="22">
        <f>SUM(D34:D39)</f>
        <v>1271.2</v>
      </c>
      <c r="E40" s="113">
        <f t="shared" si="13"/>
        <v>0.13882882292554005</v>
      </c>
      <c r="F40" s="20">
        <f>I40/D40</f>
        <v>19.435398835884303</v>
      </c>
      <c r="G40" s="19">
        <f>F40/C40-1</f>
        <v>1.8246822620775482E-3</v>
      </c>
      <c r="H40" s="18">
        <f>SUM(H34:H39)</f>
        <v>24661.279999999999</v>
      </c>
      <c r="I40" s="18">
        <f>SUM(I34:I39)</f>
        <v>24706.279000176128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1418</v>
      </c>
      <c r="E42" s="107">
        <f>D42/$D$48</f>
        <v>0.15486097459755804</v>
      </c>
      <c r="F42" s="28">
        <f>C42-(C42*$E$6)</f>
        <v>0.50091234113103877</v>
      </c>
      <c r="G42" s="27" t="str">
        <f>IF(C42&gt;=F42,"-","+")</f>
        <v>+</v>
      </c>
      <c r="H42" s="26">
        <f>C42*D42</f>
        <v>709</v>
      </c>
      <c r="I42" s="26">
        <f>F42*D42</f>
        <v>710.29369972381301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74.3</v>
      </c>
      <c r="E43" s="107">
        <f>D43/$D$48</f>
        <v>8.1143655942161937E-3</v>
      </c>
      <c r="F43" s="28">
        <f>C43-(C43*$E$6)</f>
        <v>0.50091234113103877</v>
      </c>
      <c r="G43" s="27" t="str">
        <f>IF(C43&gt;=F43,"-","+")</f>
        <v>+</v>
      </c>
      <c r="H43" s="26">
        <f>C43*D43</f>
        <v>37.15</v>
      </c>
      <c r="I43" s="26">
        <f>F43*D43</f>
        <v>37.217786946036178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5.6</v>
      </c>
      <c r="E45" s="107">
        <f>D45/$D$48</f>
        <v>6.1158071773365649E-4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0.49813071633620404</v>
      </c>
      <c r="D46" s="22">
        <f>SUM(D41:D45)</f>
        <v>1497.8999999999999</v>
      </c>
      <c r="E46" s="113">
        <f>D46/$D$48</f>
        <v>0.16358692090950788</v>
      </c>
      <c r="F46" s="20">
        <f>I46/D46</f>
        <v>0.49903964661849876</v>
      </c>
      <c r="G46" s="19">
        <f>F46/C46-1</f>
        <v>1.8246822620777703E-3</v>
      </c>
      <c r="H46" s="18">
        <f>SUM(H41:H44)</f>
        <v>746.15</v>
      </c>
      <c r="I46" s="18">
        <f>SUM(I41:I44)</f>
        <v>747.51148666984921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103.03203233346208</v>
      </c>
      <c r="D48" s="13">
        <f>D24+D32+D40+D46</f>
        <v>9156.6</v>
      </c>
      <c r="E48" s="12">
        <f>SUM(E20:E46)/2</f>
        <v>1</v>
      </c>
      <c r="F48" s="11">
        <f>I48/D48</f>
        <v>27.499999999999989</v>
      </c>
      <c r="G48" s="10"/>
      <c r="H48" s="9">
        <f>SUM(H20:H46)/2</f>
        <v>251347.87000000005</v>
      </c>
      <c r="I48" s="9">
        <f>SUM(I20:I46)/2</f>
        <v>251806.49999999991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9156.6</v>
      </c>
      <c r="E50" s="12">
        <f>D50/G2</f>
        <v>1</v>
      </c>
      <c r="F50" s="11">
        <f>I50/D50</f>
        <v>27.499999999999989</v>
      </c>
      <c r="G50" s="10"/>
      <c r="H50" s="9">
        <f>H48+H19</f>
        <v>251347.87000000005</v>
      </c>
      <c r="I50" s="9">
        <f>I48+I19</f>
        <v>251806.49999999991</v>
      </c>
      <c r="J50" s="106">
        <f>D50-G2</f>
        <v>0</v>
      </c>
      <c r="K50" s="8"/>
    </row>
    <row r="51" spans="1:11" ht="23.25" x14ac:dyDescent="0.35">
      <c r="A51" s="174" t="s">
        <v>391</v>
      </c>
      <c r="B51" s="169"/>
      <c r="C51" s="170"/>
      <c r="G51" s="7"/>
      <c r="H51" s="6"/>
      <c r="I51" s="6">
        <f>+I50/D50</f>
        <v>27.499999999999989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tabColor rgb="FF92D050"/>
  </sheetPr>
  <dimension ref="A1:L56"/>
  <sheetViews>
    <sheetView topLeftCell="A3" workbookViewId="0">
      <selection activeCell="A3"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390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390</v>
      </c>
      <c r="D2" s="96" t="s">
        <v>3</v>
      </c>
      <c r="E2" s="95" t="s">
        <v>71</v>
      </c>
      <c r="F2" s="94" t="s">
        <v>5</v>
      </c>
      <c r="G2" s="93">
        <v>11859.2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182</v>
      </c>
      <c r="F3" s="88" t="s">
        <v>8</v>
      </c>
      <c r="G3" s="87">
        <v>27.5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65.160439560439571</v>
      </c>
      <c r="F4" s="81" t="s">
        <v>12</v>
      </c>
      <c r="G4" s="80">
        <f>G2*G3</f>
        <v>326128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-3.8595262074703651E-2</v>
      </c>
      <c r="F6" s="69" t="s">
        <v>16</v>
      </c>
      <c r="G6" s="68">
        <f>(I50-I19)/(D50-(SUM(D42:D44)+D19))</f>
        <v>33.241394775199026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30"/>
      <c r="E10" s="29" t="e">
        <f t="shared" ref="E10:E19" si="1">D10/$D$19</f>
        <v>#DIV/0!</v>
      </c>
      <c r="F10" s="28">
        <f t="shared" ref="F10:F18" si="2">C10-(C10*$E$6)</f>
        <v>28.56136970705435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28.6</v>
      </c>
      <c r="D11" s="30"/>
      <c r="E11" s="29" t="e">
        <f t="shared" si="1"/>
        <v>#DIV/0!</v>
      </c>
      <c r="F11" s="28">
        <f t="shared" si="2"/>
        <v>29.703824495336526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26.2</v>
      </c>
      <c r="D12" s="30"/>
      <c r="E12" s="29" t="e">
        <f t="shared" si="1"/>
        <v>#DIV/0!</v>
      </c>
      <c r="F12" s="28">
        <f t="shared" si="2"/>
        <v>27.211195866357237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28.6</v>
      </c>
      <c r="D13" s="30"/>
      <c r="E13" s="29" t="e">
        <f t="shared" si="1"/>
        <v>#DIV/0!</v>
      </c>
      <c r="F13" s="28">
        <f t="shared" si="2"/>
        <v>29.703824495336526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32</v>
      </c>
      <c r="D14" s="30"/>
      <c r="E14" s="29" t="e">
        <f t="shared" si="1"/>
        <v>#DIV/0!</v>
      </c>
      <c r="F14" s="28">
        <f t="shared" si="2"/>
        <v>33.235048386390517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26.4</v>
      </c>
      <c r="D15" s="30"/>
      <c r="E15" s="29" t="e">
        <f t="shared" si="1"/>
        <v>#DIV/0!</v>
      </c>
      <c r="F15" s="28">
        <f t="shared" si="2"/>
        <v>27.418914918772174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36.1</v>
      </c>
      <c r="D16" s="30"/>
      <c r="E16" s="29" t="e">
        <f t="shared" si="1"/>
        <v>#DIV/0!</v>
      </c>
      <c r="F16" s="28">
        <f t="shared" si="2"/>
        <v>37.493288960896805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30"/>
      <c r="E17" s="29" t="e">
        <f t="shared" si="1"/>
        <v>#DIV/0!</v>
      </c>
      <c r="F17" s="28">
        <f t="shared" si="2"/>
        <v>55.253267942374237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30"/>
      <c r="E18" s="29" t="e">
        <f t="shared" si="1"/>
        <v>#DIV/0!</v>
      </c>
      <c r="F18" s="28">
        <f t="shared" si="2"/>
        <v>48.398539212681193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30">
        <v>136.80000000000001</v>
      </c>
      <c r="E21" s="29">
        <f>D21/$D$48</f>
        <v>1.1535348084187805E-2</v>
      </c>
      <c r="F21" s="28">
        <f>C21-(C21*$E$6)</f>
        <v>71.870792135569502</v>
      </c>
      <c r="G21" s="27" t="str">
        <f>IF(C21&gt;=F21,"-","+")</f>
        <v>+</v>
      </c>
      <c r="H21" s="26">
        <f>C21*D21</f>
        <v>9466.5600000000013</v>
      </c>
      <c r="I21" s="26">
        <f>F21*D21</f>
        <v>9831.9243641459088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46.4</v>
      </c>
      <c r="D22" s="30">
        <v>321.2</v>
      </c>
      <c r="E22" s="29">
        <f>D22/$D$48</f>
        <v>2.7084457636265515E-2</v>
      </c>
      <c r="F22" s="28">
        <f>C22-(C22*$E$6)</f>
        <v>48.190820160266249</v>
      </c>
      <c r="G22" s="27" t="str">
        <f>IF(C22&gt;=F22,"-","+")</f>
        <v>+</v>
      </c>
      <c r="H22" s="26">
        <f>C22*D22</f>
        <v>14903.679999999998</v>
      </c>
      <c r="I22" s="26">
        <f>F22*D22</f>
        <v>15478.891435477519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30">
        <v>275.10000000000002</v>
      </c>
      <c r="E23" s="29">
        <f>D23/$D$48</f>
        <v>2.3197180248246092E-2</v>
      </c>
      <c r="F23" s="28">
        <f>C23-(C23*$E$6)</f>
        <v>44.036439111967432</v>
      </c>
      <c r="G23" s="27" t="str">
        <f>IF(C23&gt;=F23,"-","+")</f>
        <v>+</v>
      </c>
      <c r="H23" s="26">
        <f>C23*D23</f>
        <v>11664.24</v>
      </c>
      <c r="I23" s="26">
        <f>F23*D23</f>
        <v>12114.424399702242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49.153567044059464</v>
      </c>
      <c r="D24" s="22">
        <f>SUM(D21:D23)</f>
        <v>733.1</v>
      </c>
      <c r="E24" s="21">
        <f>D24/$D$48</f>
        <v>6.1816985968699417E-2</v>
      </c>
      <c r="F24" s="20">
        <f>I24/D24</f>
        <v>51.050661846031467</v>
      </c>
      <c r="G24" s="19">
        <f>F24/C24-1</f>
        <v>3.8595262074703873E-2</v>
      </c>
      <c r="H24" s="18">
        <f>SUM(H21:H23)</f>
        <v>36034.479999999996</v>
      </c>
      <c r="I24" s="18">
        <f>SUM(I21:I23)</f>
        <v>37425.240199325672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30">
        <f>529.7+1655.5</f>
        <v>2185.1999999999998</v>
      </c>
      <c r="E26" s="29">
        <f t="shared" ref="E26:E32" si="7">D26/$D$48</f>
        <v>0.18426200755531572</v>
      </c>
      <c r="F26" s="28">
        <f t="shared" ref="F26:F31" si="8">C26-(C26*$E$6)</f>
        <v>38.324165170556562</v>
      </c>
      <c r="G26" s="27" t="str">
        <f t="shared" ref="G26:G31" si="9">IF(C26&gt;=F26,"-","+")</f>
        <v>+</v>
      </c>
      <c r="H26" s="26">
        <f t="shared" ref="H26:H31" si="10">C26*D26</f>
        <v>80633.87999999999</v>
      </c>
      <c r="I26" s="26">
        <f t="shared" ref="I26:I31" si="11">F26*D26</f>
        <v>83745.965730700191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30">
        <v>1743.7</v>
      </c>
      <c r="E27" s="29">
        <f t="shared" si="7"/>
        <v>0.1470335267134377</v>
      </c>
      <c r="F27" s="28">
        <f t="shared" si="8"/>
        <v>34.169784122257752</v>
      </c>
      <c r="G27" s="27" t="str">
        <f t="shared" si="9"/>
        <v>+</v>
      </c>
      <c r="H27" s="26">
        <f t="shared" si="10"/>
        <v>57367.729999999996</v>
      </c>
      <c r="I27" s="26">
        <f t="shared" si="11"/>
        <v>59581.852573980847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30">
        <v>1088.0999999999999</v>
      </c>
      <c r="E28" s="29">
        <f t="shared" si="7"/>
        <v>9.1751551538046414E-2</v>
      </c>
      <c r="F28" s="28">
        <f t="shared" si="8"/>
        <v>34.169784122257752</v>
      </c>
      <c r="G28" s="27" t="str">
        <f t="shared" si="9"/>
        <v>+</v>
      </c>
      <c r="H28" s="26">
        <f t="shared" si="10"/>
        <v>35798.49</v>
      </c>
      <c r="I28" s="26">
        <f t="shared" si="11"/>
        <v>37180.142103428654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30">
        <v>1035.4000000000001</v>
      </c>
      <c r="E29" s="29">
        <f t="shared" si="7"/>
        <v>8.7307744198596882E-2</v>
      </c>
      <c r="F29" s="28">
        <f t="shared" si="8"/>
        <v>33.02732933397558</v>
      </c>
      <c r="G29" s="27" t="str">
        <f t="shared" si="9"/>
        <v>+</v>
      </c>
      <c r="H29" s="26">
        <f t="shared" si="10"/>
        <v>32925.72</v>
      </c>
      <c r="I29" s="26">
        <f t="shared" si="11"/>
        <v>34196.49679239832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30">
        <v>799</v>
      </c>
      <c r="E30" s="29">
        <f t="shared" si="7"/>
        <v>6.737385321100918E-2</v>
      </c>
      <c r="F30" s="28">
        <f t="shared" si="8"/>
        <v>33.02732933397558</v>
      </c>
      <c r="G30" s="27" t="str">
        <f t="shared" si="9"/>
        <v>+</v>
      </c>
      <c r="H30" s="26">
        <f t="shared" si="10"/>
        <v>25408.2</v>
      </c>
      <c r="I30" s="26">
        <f t="shared" si="11"/>
        <v>26388.836137846487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30">
        <v>171.7</v>
      </c>
      <c r="E31" s="29">
        <f t="shared" si="7"/>
        <v>1.4478211009174312E-2</v>
      </c>
      <c r="F31" s="28">
        <f t="shared" si="8"/>
        <v>33.546626965012926</v>
      </c>
      <c r="G31" s="27" t="str">
        <f t="shared" si="9"/>
        <v>+</v>
      </c>
      <c r="H31" s="26">
        <f t="shared" si="10"/>
        <v>5545.9099999999989</v>
      </c>
      <c r="I31" s="26">
        <f t="shared" si="11"/>
        <v>5759.955849892719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33.84259515028976</v>
      </c>
      <c r="D32" s="22">
        <f>SUM(D26:D31)</f>
        <v>7023.0999999999995</v>
      </c>
      <c r="E32" s="21">
        <f t="shared" si="7"/>
        <v>0.59220689422558015</v>
      </c>
      <c r="F32" s="20">
        <f>I32/D32</f>
        <v>35.148758979403297</v>
      </c>
      <c r="G32" s="19">
        <f>F32/C32-1</f>
        <v>3.8595262074703873E-2</v>
      </c>
      <c r="H32" s="18">
        <f>SUM(H26:H31)</f>
        <v>237679.93</v>
      </c>
      <c r="I32" s="18">
        <f>SUM(I26:I31)</f>
        <v>246853.24918824725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f>562.9+1375.7</f>
        <v>1938.6</v>
      </c>
      <c r="E34" s="29">
        <f t="shared" ref="E34:E40" si="13">D34/$D$48</f>
        <v>0.16346802482460876</v>
      </c>
      <c r="F34" s="28">
        <f t="shared" ref="F34:F39" si="14">C34-(C34*$E$6)</f>
        <v>20.148748084249249</v>
      </c>
      <c r="G34" s="27" t="str">
        <f t="shared" ref="G34:G39" si="15">IF(C34&gt;=F34,"-","+")</f>
        <v>+</v>
      </c>
      <c r="H34" s="26">
        <f t="shared" ref="H34:H39" si="16">C34*D34</f>
        <v>37608.839999999997</v>
      </c>
      <c r="I34" s="26">
        <f t="shared" ref="I34:I39" si="17">F34*D34</f>
        <v>39060.363036125593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>
        <v>111.5</v>
      </c>
      <c r="E35" s="29">
        <f t="shared" si="13"/>
        <v>9.4019832703723695E-3</v>
      </c>
      <c r="F35" s="28">
        <f t="shared" si="14"/>
        <v>15.475069404913086</v>
      </c>
      <c r="G35" s="27" t="str">
        <f t="shared" si="15"/>
        <v>+</v>
      </c>
      <c r="H35" s="26">
        <f t="shared" si="16"/>
        <v>1661.3500000000001</v>
      </c>
      <c r="I35" s="26">
        <f t="shared" si="17"/>
        <v>1725.4702386478091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12.463143144896444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30"/>
      <c r="E37" s="29">
        <f t="shared" si="13"/>
        <v>0</v>
      </c>
      <c r="F37" s="28">
        <f t="shared" si="14"/>
        <v>33.02732933397558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30"/>
      <c r="E38" s="29">
        <f t="shared" si="13"/>
        <v>0</v>
      </c>
      <c r="F38" s="28">
        <f t="shared" si="14"/>
        <v>33.02732933397558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30"/>
      <c r="E39" s="29">
        <f t="shared" si="13"/>
        <v>0</v>
      </c>
      <c r="F39" s="28">
        <f t="shared" si="14"/>
        <v>34.169784122257752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19.155255841178477</v>
      </c>
      <c r="D40" s="22">
        <f>SUM(D34:D39)</f>
        <v>2050.1</v>
      </c>
      <c r="E40" s="113">
        <f t="shared" si="13"/>
        <v>0.17287000809498113</v>
      </c>
      <c r="F40" s="20">
        <f>I40/D40</f>
        <v>19.89455796047676</v>
      </c>
      <c r="G40" s="19">
        <f>F40/C40-1</f>
        <v>3.8595262074703873E-2</v>
      </c>
      <c r="H40" s="18">
        <f>SUM(H34:H39)</f>
        <v>39270.189999999995</v>
      </c>
      <c r="I40" s="18">
        <f>SUM(I34:I39)</f>
        <v>40785.833274773402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105.8+771.4+1118</f>
        <v>1995.1999999999998</v>
      </c>
      <c r="E42" s="107">
        <f>D42/$D$48</f>
        <v>0.16824069077172155</v>
      </c>
      <c r="F42" s="28">
        <f>C42-(C42*$E$6)</f>
        <v>0.51929763103735183</v>
      </c>
      <c r="G42" s="27" t="str">
        <f>IF(C42&gt;=F42,"-","+")</f>
        <v>+</v>
      </c>
      <c r="H42" s="26">
        <f>C42*D42</f>
        <v>997.59999999999991</v>
      </c>
      <c r="I42" s="26">
        <f>F42*D42</f>
        <v>1036.1026334457242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53.1</v>
      </c>
      <c r="E43" s="107">
        <f>D43/$D$48</f>
        <v>4.4775364274150034E-3</v>
      </c>
      <c r="F43" s="28">
        <f>C43-(C43*$E$6)</f>
        <v>0.51929763103735183</v>
      </c>
      <c r="G43" s="27" t="str">
        <f>IF(C43&gt;=F43,"-","+")</f>
        <v>+</v>
      </c>
      <c r="H43" s="26">
        <f>C43*D43</f>
        <v>26.55</v>
      </c>
      <c r="I43" s="26">
        <f>F43*D43</f>
        <v>27.574704208083382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4.5999999999999996</v>
      </c>
      <c r="E45" s="107">
        <f>D45/$D$48</f>
        <v>3.8788451160280625E-4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0.4988796336889279</v>
      </c>
      <c r="D46" s="22">
        <f>SUM(D41:D45)</f>
        <v>2052.8999999999996</v>
      </c>
      <c r="E46" s="113">
        <f>D46/$D$48</f>
        <v>0.17310611171073934</v>
      </c>
      <c r="F46" s="20">
        <f>I46/D46</f>
        <v>0.51813402389488417</v>
      </c>
      <c r="G46" s="19">
        <f>F46/C46-1</f>
        <v>3.8595262074703429E-2</v>
      </c>
      <c r="H46" s="18">
        <f>SUM(H41:H44)</f>
        <v>1024.1499999999999</v>
      </c>
      <c r="I46" s="18">
        <f>SUM(I41:I44)</f>
        <v>1063.6773376538076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102.65029766921663</v>
      </c>
      <c r="D48" s="13">
        <f>D24+D32+D40+D46</f>
        <v>11859.199999999999</v>
      </c>
      <c r="E48" s="12">
        <f>SUM(E20:E46)/2</f>
        <v>1.0000000000000002</v>
      </c>
      <c r="F48" s="11">
        <f>I48/D48</f>
        <v>27.500000000000007</v>
      </c>
      <c r="G48" s="10"/>
      <c r="H48" s="9">
        <f>SUM(H20:H46)/2</f>
        <v>314008.74999999988</v>
      </c>
      <c r="I48" s="9">
        <f>SUM(I20:I46)/2</f>
        <v>326128.00000000006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11859.199999999997</v>
      </c>
      <c r="E50" s="12">
        <f>D50/G2</f>
        <v>0.99999999999999967</v>
      </c>
      <c r="F50" s="11">
        <f>I50/D50</f>
        <v>27.500000000000011</v>
      </c>
      <c r="G50" s="10"/>
      <c r="H50" s="9">
        <f>H48+H19</f>
        <v>314008.74999999988</v>
      </c>
      <c r="I50" s="9">
        <f>I48+I19</f>
        <v>326128.00000000006</v>
      </c>
      <c r="J50" s="106">
        <f>D50-G2</f>
        <v>0</v>
      </c>
      <c r="K50" s="8"/>
    </row>
    <row r="51" spans="1:11" ht="23.25" x14ac:dyDescent="0.35">
      <c r="A51" s="174" t="s">
        <v>392</v>
      </c>
      <c r="B51" s="169"/>
      <c r="C51" s="170"/>
      <c r="G51" s="7"/>
      <c r="H51" s="6"/>
      <c r="I51" s="6">
        <f>+I50/D50</f>
        <v>27.500000000000011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387</v>
      </c>
      <c r="D1" s="100" t="s">
        <v>1</v>
      </c>
      <c r="E1" s="168" t="s">
        <v>193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390</v>
      </c>
      <c r="D2" s="96" t="s">
        <v>3</v>
      </c>
      <c r="E2" s="95" t="s">
        <v>112</v>
      </c>
      <c r="F2" s="94" t="s">
        <v>5</v>
      </c>
      <c r="G2" s="93">
        <v>3153.9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334</v>
      </c>
      <c r="D3" s="90" t="s">
        <v>7</v>
      </c>
      <c r="E3" s="89">
        <v>44</v>
      </c>
      <c r="F3" s="88" t="s">
        <v>8</v>
      </c>
      <c r="G3" s="87">
        <v>23.9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71.679545454545462</v>
      </c>
      <c r="F4" s="81" t="s">
        <v>12</v>
      </c>
      <c r="G4" s="80">
        <f>G2*G3</f>
        <v>75378.209999999992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-3.6212770958959473E-2</v>
      </c>
      <c r="F6" s="69" t="s">
        <v>16</v>
      </c>
      <c r="G6" s="68">
        <f>(I50-I19)/(D50-(SUM(D42:D44)+D19))</f>
        <v>30.557082049618941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23.9</v>
      </c>
      <c r="D10" s="30"/>
      <c r="E10" s="29" t="e">
        <f t="shared" ref="E10:E19" si="1">D10/$D$19</f>
        <v>#DIV/0!</v>
      </c>
      <c r="F10" s="28">
        <f t="shared" ref="F10:F18" si="2">C10-(C10*$E$6)</f>
        <v>24.765485225919129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24.9</v>
      </c>
      <c r="D11" s="30"/>
      <c r="E11" s="29" t="e">
        <f t="shared" si="1"/>
        <v>#DIV/0!</v>
      </c>
      <c r="F11" s="28">
        <f t="shared" si="2"/>
        <v>25.80169799687809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22.7</v>
      </c>
      <c r="D12" s="30"/>
      <c r="E12" s="29" t="e">
        <f t="shared" si="1"/>
        <v>#DIV/0!</v>
      </c>
      <c r="F12" s="28">
        <f t="shared" si="2"/>
        <v>23.522029900768381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24.9</v>
      </c>
      <c r="D13" s="30"/>
      <c r="E13" s="29" t="e">
        <f t="shared" si="1"/>
        <v>#DIV/0!</v>
      </c>
      <c r="F13" s="28">
        <f t="shared" si="2"/>
        <v>25.80169799687809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27.8</v>
      </c>
      <c r="D14" s="30"/>
      <c r="E14" s="29" t="e">
        <f t="shared" si="1"/>
        <v>#DIV/0!</v>
      </c>
      <c r="F14" s="28">
        <f t="shared" si="2"/>
        <v>28.806715032659074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22.9</v>
      </c>
      <c r="D15" s="30"/>
      <c r="E15" s="29" t="e">
        <f t="shared" si="1"/>
        <v>#DIV/0!</v>
      </c>
      <c r="F15" s="28">
        <f t="shared" si="2"/>
        <v>23.729272454960171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31.4</v>
      </c>
      <c r="D16" s="30"/>
      <c r="E16" s="29" t="e">
        <f t="shared" si="1"/>
        <v>#DIV/0!</v>
      </c>
      <c r="F16" s="28">
        <f t="shared" si="2"/>
        <v>32.537081008111329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46.2</v>
      </c>
      <c r="D17" s="30"/>
      <c r="E17" s="29" t="e">
        <f t="shared" si="1"/>
        <v>#DIV/0!</v>
      </c>
      <c r="F17" s="28">
        <f t="shared" si="2"/>
        <v>47.873030018303929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40.5</v>
      </c>
      <c r="D18" s="30"/>
      <c r="E18" s="29" t="e">
        <f t="shared" si="1"/>
        <v>#DIV/0!</v>
      </c>
      <c r="F18" s="28">
        <f t="shared" si="2"/>
        <v>41.966617223837858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60.1</v>
      </c>
      <c r="D21" s="30">
        <v>41.8</v>
      </c>
      <c r="E21" s="29">
        <f>D21/$D$48</f>
        <v>1.3253432258473636E-2</v>
      </c>
      <c r="F21" s="28">
        <f>C21-(C21*$E$6)</f>
        <v>62.276387534633464</v>
      </c>
      <c r="G21" s="27" t="str">
        <f>IF(C21&gt;=F21,"-","+")</f>
        <v>+</v>
      </c>
      <c r="H21" s="26">
        <f>C21*D21</f>
        <v>2512.1799999999998</v>
      </c>
      <c r="I21" s="26">
        <f>F21*D21</f>
        <v>2603.1529989476785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40.4</v>
      </c>
      <c r="D22" s="30">
        <v>113.2</v>
      </c>
      <c r="E22" s="29">
        <f>D22/$D$48</f>
        <v>3.5892070135387935E-2</v>
      </c>
      <c r="F22" s="28">
        <f>C22-(C22*$E$6)</f>
        <v>41.862995946741961</v>
      </c>
      <c r="G22" s="27" t="str">
        <f>IF(C22&gt;=F22,"-","+")</f>
        <v>+</v>
      </c>
      <c r="H22" s="26">
        <f>C22*D22</f>
        <v>4573.28</v>
      </c>
      <c r="I22" s="26">
        <f>F22*D22</f>
        <v>4738.8911411711897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36.799999999999997</v>
      </c>
      <c r="D23" s="30">
        <v>71.5</v>
      </c>
      <c r="E23" s="29">
        <f>D23/$D$48</f>
        <v>2.2670344652652274E-2</v>
      </c>
      <c r="F23" s="28">
        <f>C23-(C23*$E$6)</f>
        <v>38.132629971289703</v>
      </c>
      <c r="G23" s="27" t="str">
        <f>IF(C23&gt;=F23,"-","+")</f>
        <v>+</v>
      </c>
      <c r="H23" s="26">
        <f>C23*D23</f>
        <v>2631.2</v>
      </c>
      <c r="I23" s="26">
        <f>F23*D23</f>
        <v>2726.4830429472136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42.899161147902866</v>
      </c>
      <c r="D24" s="22">
        <f>SUM(D21:D23)</f>
        <v>226.5</v>
      </c>
      <c r="E24" s="21">
        <f>D24/$D$48</f>
        <v>7.181584704651385E-2</v>
      </c>
      <c r="F24" s="20">
        <f>I24/D24</f>
        <v>44.452658644883364</v>
      </c>
      <c r="G24" s="19">
        <f>F24/C24-1</f>
        <v>3.6212770958959473E-2</v>
      </c>
      <c r="H24" s="18">
        <f>SUM(H21:H23)</f>
        <v>9716.66</v>
      </c>
      <c r="I24" s="18">
        <f>SUM(I21:I23)</f>
        <v>10068.527183066082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32.1</v>
      </c>
      <c r="D26" s="30">
        <v>601.9</v>
      </c>
      <c r="E26" s="29">
        <f t="shared" ref="E26:E32" si="7">D26/$D$48</f>
        <v>0.19084308316687276</v>
      </c>
      <c r="F26" s="28">
        <f t="shared" ref="F26:F31" si="8">C26-(C26*$E$6)</f>
        <v>33.2624299477826</v>
      </c>
      <c r="G26" s="27" t="str">
        <f t="shared" ref="G26:G31" si="9">IF(C26&gt;=F26,"-","+")</f>
        <v>+</v>
      </c>
      <c r="H26" s="26">
        <f t="shared" ref="H26:H31" si="10">C26*D26</f>
        <v>19320.990000000002</v>
      </c>
      <c r="I26" s="26">
        <f t="shared" ref="I26:I31" si="11">F26*D26</f>
        <v>20020.656585570345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28.6</v>
      </c>
      <c r="D27" s="30">
        <v>425.6</v>
      </c>
      <c r="E27" s="29">
        <f t="shared" si="7"/>
        <v>0.13494403754082249</v>
      </c>
      <c r="F27" s="28">
        <f t="shared" si="8"/>
        <v>29.635685249426242</v>
      </c>
      <c r="G27" s="27" t="str">
        <f t="shared" si="9"/>
        <v>+</v>
      </c>
      <c r="H27" s="26">
        <f t="shared" si="10"/>
        <v>12172.160000000002</v>
      </c>
      <c r="I27" s="26">
        <f t="shared" si="11"/>
        <v>12612.947642155808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28.6</v>
      </c>
      <c r="D28" s="30">
        <v>326.8</v>
      </c>
      <c r="E28" s="29">
        <f t="shared" si="7"/>
        <v>0.10361774311170299</v>
      </c>
      <c r="F28" s="28">
        <f t="shared" si="8"/>
        <v>29.635685249426242</v>
      </c>
      <c r="G28" s="27" t="str">
        <f t="shared" si="9"/>
        <v>+</v>
      </c>
      <c r="H28" s="26">
        <f t="shared" si="10"/>
        <v>9346.4800000000014</v>
      </c>
      <c r="I28" s="26">
        <f t="shared" si="11"/>
        <v>9684.9419395124969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27.6</v>
      </c>
      <c r="D29" s="30">
        <v>362.9</v>
      </c>
      <c r="E29" s="29">
        <f t="shared" si="7"/>
        <v>0.11506388915311203</v>
      </c>
      <c r="F29" s="28">
        <f t="shared" si="8"/>
        <v>28.599472478467284</v>
      </c>
      <c r="G29" s="27" t="str">
        <f t="shared" si="9"/>
        <v>+</v>
      </c>
      <c r="H29" s="26">
        <f t="shared" si="10"/>
        <v>10016.039999999999</v>
      </c>
      <c r="I29" s="26">
        <f t="shared" si="11"/>
        <v>10378.748562435776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27.6</v>
      </c>
      <c r="D30" s="30">
        <v>201.7</v>
      </c>
      <c r="E30" s="29">
        <f t="shared" si="7"/>
        <v>6.3952566663495997E-2</v>
      </c>
      <c r="F30" s="28">
        <f t="shared" si="8"/>
        <v>28.599472478467284</v>
      </c>
      <c r="G30" s="27" t="str">
        <f t="shared" si="9"/>
        <v>+</v>
      </c>
      <c r="H30" s="26">
        <f t="shared" si="10"/>
        <v>5566.92</v>
      </c>
      <c r="I30" s="26">
        <f t="shared" si="11"/>
        <v>5768.5135989068513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28.1</v>
      </c>
      <c r="D31" s="30">
        <v>90</v>
      </c>
      <c r="E31" s="29">
        <f t="shared" si="7"/>
        <v>2.8536098164177688E-2</v>
      </c>
      <c r="F31" s="28">
        <f t="shared" si="8"/>
        <v>29.117578863946761</v>
      </c>
      <c r="G31" s="27" t="str">
        <f t="shared" si="9"/>
        <v>+</v>
      </c>
      <c r="H31" s="26">
        <f t="shared" si="10"/>
        <v>2529</v>
      </c>
      <c r="I31" s="26">
        <f t="shared" si="11"/>
        <v>2620.5820977552085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29.345208820747676</v>
      </c>
      <c r="D32" s="22">
        <f>SUM(D26:D31)</f>
        <v>2008.8999999999999</v>
      </c>
      <c r="E32" s="21">
        <f t="shared" si="7"/>
        <v>0.63695741780018389</v>
      </c>
      <c r="F32" s="20">
        <f>I32/D32</f>
        <v>30.407880146516245</v>
      </c>
      <c r="G32" s="19">
        <f>F32/C32-1</f>
        <v>3.6212770958959251E-2</v>
      </c>
      <c r="H32" s="18">
        <f>SUM(H26:H31)</f>
        <v>58951.590000000004</v>
      </c>
      <c r="I32" s="18">
        <f>SUM(I26:I31)</f>
        <v>61086.390426336482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16.899999999999999</v>
      </c>
      <c r="D34" s="30">
        <v>225</v>
      </c>
      <c r="E34" s="29">
        <f t="shared" ref="E34:E40" si="13">D34/$D$48</f>
        <v>7.1340245410444217E-2</v>
      </c>
      <c r="F34" s="28">
        <f t="shared" ref="F34:F39" si="14">C34-(C34*$E$6)</f>
        <v>17.511995829206413</v>
      </c>
      <c r="G34" s="27" t="str">
        <f t="shared" ref="G34:G39" si="15">IF(C34&gt;=F34,"-","+")</f>
        <v>+</v>
      </c>
      <c r="H34" s="26">
        <f t="shared" ref="H34:H39" si="16">C34*D34</f>
        <v>3802.4999999999995</v>
      </c>
      <c r="I34" s="26">
        <f t="shared" ref="I34:I39" si="17">F34*D34</f>
        <v>3940.1990615714431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</v>
      </c>
      <c r="D35" s="30"/>
      <c r="E35" s="29">
        <f t="shared" si="13"/>
        <v>0</v>
      </c>
      <c r="F35" s="28">
        <f t="shared" si="14"/>
        <v>13.470766022466472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10.776612817973179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27.6</v>
      </c>
      <c r="D37" s="30"/>
      <c r="E37" s="29">
        <f t="shared" si="13"/>
        <v>0</v>
      </c>
      <c r="F37" s="28">
        <f t="shared" si="14"/>
        <v>28.599472478467284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27.6</v>
      </c>
      <c r="D38" s="30"/>
      <c r="E38" s="29">
        <f t="shared" si="13"/>
        <v>0</v>
      </c>
      <c r="F38" s="28">
        <f t="shared" si="14"/>
        <v>28.599472478467284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28.6</v>
      </c>
      <c r="D39" s="30"/>
      <c r="E39" s="29">
        <f t="shared" si="13"/>
        <v>0</v>
      </c>
      <c r="F39" s="28">
        <f t="shared" si="14"/>
        <v>29.635685249426242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16.899999999999999</v>
      </c>
      <c r="D40" s="22">
        <f>SUM(D34:D39)</f>
        <v>225</v>
      </c>
      <c r="E40" s="113">
        <f t="shared" si="13"/>
        <v>7.1340245410444217E-2</v>
      </c>
      <c r="F40" s="20">
        <f>I40/D40</f>
        <v>17.511995829206413</v>
      </c>
      <c r="G40" s="19">
        <f>F40/C40-1</f>
        <v>3.6212770958959473E-2</v>
      </c>
      <c r="H40" s="18">
        <f>SUM(H34:H39)</f>
        <v>3802.4999999999995</v>
      </c>
      <c r="I40" s="18">
        <f>SUM(I34:I39)</f>
        <v>3940.1990615714431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666</v>
      </c>
      <c r="E42" s="107">
        <f>D42/$D$48</f>
        <v>0.21116712641491489</v>
      </c>
      <c r="F42" s="28">
        <f>C42-(C42*$E$6)</f>
        <v>0.41448510838358382</v>
      </c>
      <c r="G42" s="27" t="str">
        <f>IF(C42&gt;=F42,"-","+")</f>
        <v>+</v>
      </c>
      <c r="H42" s="26">
        <f>C42*D42</f>
        <v>266.40000000000003</v>
      </c>
      <c r="I42" s="26">
        <f>F42*D42</f>
        <v>276.04708218346684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17</v>
      </c>
      <c r="E43" s="107">
        <f>D43/$D$48</f>
        <v>5.3901518754557853E-3</v>
      </c>
      <c r="F43" s="28">
        <f>C43-(C43*$E$6)</f>
        <v>0.41448510838358382</v>
      </c>
      <c r="G43" s="27" t="str">
        <f>IF(C43&gt;=F43,"-","+")</f>
        <v>+</v>
      </c>
      <c r="H43" s="26">
        <f>C43*D43</f>
        <v>6.8000000000000007</v>
      </c>
      <c r="I43" s="26">
        <f>F43*D43</f>
        <v>7.046246842520925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4.0999999999999996</v>
      </c>
      <c r="E44" s="107">
        <f>D44/$D$48</f>
        <v>1.2999778052569834E-3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6.4</v>
      </c>
      <c r="E45" s="107">
        <f>D45/$D$48</f>
        <v>2.0292336472304134E-3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0.39394376351838506</v>
      </c>
      <c r="D46" s="22">
        <f>SUM(D41:D45)</f>
        <v>693.5</v>
      </c>
      <c r="E46" s="113">
        <f>D46/$D$48</f>
        <v>0.21988648974285807</v>
      </c>
      <c r="F46" s="20">
        <f>I46/D46</f>
        <v>0.40820955879738685</v>
      </c>
      <c r="G46" s="19">
        <f>F46/C46-1</f>
        <v>3.6212770958959473E-2</v>
      </c>
      <c r="H46" s="18">
        <f>SUM(H41:H44)</f>
        <v>273.20000000000005</v>
      </c>
      <c r="I46" s="18">
        <f>SUM(I41:I44)</f>
        <v>283.09332902598777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89.53831373216893</v>
      </c>
      <c r="D48" s="13">
        <f>D24+D32+D40+D46</f>
        <v>3153.8999999999996</v>
      </c>
      <c r="E48" s="12">
        <f>SUM(E20:E46)/2</f>
        <v>1</v>
      </c>
      <c r="F48" s="11">
        <f>I48/D48</f>
        <v>23.9</v>
      </c>
      <c r="G48" s="10"/>
      <c r="H48" s="9">
        <f>SUM(H20:H46)/2</f>
        <v>72743.95</v>
      </c>
      <c r="I48" s="9">
        <f>SUM(I20:I46)/2</f>
        <v>75378.209999999992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3153.8999999999996</v>
      </c>
      <c r="E50" s="12">
        <f>D50/G2</f>
        <v>0.99999999999999989</v>
      </c>
      <c r="F50" s="11">
        <f>I50/D50</f>
        <v>23.9</v>
      </c>
      <c r="G50" s="10"/>
      <c r="H50" s="9">
        <f>H48+H19</f>
        <v>72743.95</v>
      </c>
      <c r="I50" s="9">
        <f>I48+I19</f>
        <v>75378.209999999992</v>
      </c>
      <c r="J50" s="106">
        <f>D50-G2</f>
        <v>0</v>
      </c>
      <c r="K50" s="8"/>
    </row>
    <row r="51" spans="1:11" ht="23.25" x14ac:dyDescent="0.35">
      <c r="A51" s="174" t="s">
        <v>393</v>
      </c>
      <c r="B51" s="169"/>
      <c r="C51" s="170"/>
      <c r="G51" s="7"/>
      <c r="H51" s="6"/>
      <c r="I51" s="6">
        <f>+I50/D50</f>
        <v>23.9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tabColor rgb="FF92D050"/>
  </sheetPr>
  <dimension ref="A1:K56"/>
  <sheetViews>
    <sheetView topLeftCell="A3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390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390</v>
      </c>
      <c r="D2" s="96" t="s">
        <v>3</v>
      </c>
      <c r="E2" s="95" t="s">
        <v>362</v>
      </c>
      <c r="F2" s="94" t="s">
        <v>5</v>
      </c>
      <c r="G2" s="93">
        <v>25984.2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360</v>
      </c>
      <c r="F3" s="88" t="s">
        <v>8</v>
      </c>
      <c r="G3" s="87">
        <v>27.5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72.178333333333342</v>
      </c>
      <c r="F4" s="81" t="s">
        <v>12</v>
      </c>
      <c r="G4" s="80">
        <f>G2*G3</f>
        <v>714565.5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7.0756846203953172E-3</v>
      </c>
      <c r="F6" s="69" t="s">
        <v>16</v>
      </c>
      <c r="G6" s="68">
        <f>(I50-I19)/(D50-(SUM(D42:D44)+D19))</f>
        <v>31.984751617685969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30"/>
      <c r="E10" s="29">
        <f t="shared" ref="E10:E19" si="1">D10/$D$19</f>
        <v>0</v>
      </c>
      <c r="F10" s="28">
        <f t="shared" ref="F10:F18" si="2">C10-(C10*$E$6)</f>
        <v>27.30541867293913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28.6</v>
      </c>
      <c r="D11" s="30">
        <v>2623.9</v>
      </c>
      <c r="E11" s="29">
        <f t="shared" si="1"/>
        <v>0.47096727873207328</v>
      </c>
      <c r="F11" s="28">
        <f t="shared" si="2"/>
        <v>28.397635419856694</v>
      </c>
      <c r="G11" s="27" t="str">
        <f t="shared" si="3"/>
        <v>-</v>
      </c>
      <c r="H11" s="34">
        <f t="shared" si="4"/>
        <v>75043.540000000008</v>
      </c>
      <c r="I11" s="34">
        <f t="shared" si="5"/>
        <v>74512.555578161977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26.2</v>
      </c>
      <c r="D12" s="30">
        <v>1512.4</v>
      </c>
      <c r="E12" s="29">
        <f t="shared" si="1"/>
        <v>0.2714626747796744</v>
      </c>
      <c r="F12" s="28">
        <f t="shared" si="2"/>
        <v>26.014617062945643</v>
      </c>
      <c r="G12" s="27" t="str">
        <f t="shared" si="3"/>
        <v>-</v>
      </c>
      <c r="H12" s="34">
        <f t="shared" si="4"/>
        <v>39624.880000000005</v>
      </c>
      <c r="I12" s="34">
        <f t="shared" si="5"/>
        <v>39344.506845998993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28.6</v>
      </c>
      <c r="D13" s="30"/>
      <c r="E13" s="29">
        <f t="shared" si="1"/>
        <v>0</v>
      </c>
      <c r="F13" s="28">
        <f t="shared" si="2"/>
        <v>28.397635419856694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</v>
      </c>
      <c r="D14" s="30"/>
      <c r="E14" s="29">
        <f t="shared" si="1"/>
        <v>0</v>
      </c>
      <c r="F14" s="28">
        <f t="shared" si="2"/>
        <v>31.77357809214735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26.4</v>
      </c>
      <c r="D15" s="30"/>
      <c r="E15" s="29">
        <f t="shared" si="1"/>
        <v>0</v>
      </c>
      <c r="F15" s="28">
        <f t="shared" si="2"/>
        <v>26.213201926021561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36.1</v>
      </c>
      <c r="D16" s="30">
        <v>1415</v>
      </c>
      <c r="E16" s="29">
        <f t="shared" si="1"/>
        <v>0.25398022005636028</v>
      </c>
      <c r="F16" s="28">
        <f t="shared" si="2"/>
        <v>35.844567785203729</v>
      </c>
      <c r="G16" s="27" t="str">
        <f t="shared" si="3"/>
        <v>-</v>
      </c>
      <c r="H16" s="34">
        <f t="shared" si="4"/>
        <v>51081.5</v>
      </c>
      <c r="I16" s="34">
        <f t="shared" si="5"/>
        <v>50720.063416063276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30">
        <v>20</v>
      </c>
      <c r="E17" s="29">
        <f t="shared" si="1"/>
        <v>3.5898264318920178E-3</v>
      </c>
      <c r="F17" s="28">
        <f t="shared" si="2"/>
        <v>52.823573578194974</v>
      </c>
      <c r="G17" s="27" t="str">
        <f t="shared" si="3"/>
        <v>-</v>
      </c>
      <c r="H17" s="34">
        <f t="shared" si="4"/>
        <v>1064</v>
      </c>
      <c r="I17" s="34">
        <f t="shared" si="5"/>
        <v>1056.4714715638995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30"/>
      <c r="E18" s="29">
        <f t="shared" si="1"/>
        <v>0</v>
      </c>
      <c r="F18" s="28">
        <f t="shared" si="2"/>
        <v>46.270273096689579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29.941650961176027</v>
      </c>
      <c r="D19" s="49">
        <f>SUM(D10:D18)</f>
        <v>5571.3</v>
      </c>
      <c r="E19" s="48">
        <f t="shared" si="1"/>
        <v>1</v>
      </c>
      <c r="F19" s="47">
        <f>I19/D19</f>
        <v>29.729793281960795</v>
      </c>
      <c r="G19" s="46">
        <f>F19/C19-1</f>
        <v>-7.0756846203950952E-3</v>
      </c>
      <c r="H19" s="9">
        <f>SUM(H10:H18)</f>
        <v>166813.92000000001</v>
      </c>
      <c r="I19" s="9">
        <f>SUM(I10:I18)</f>
        <v>165633.59731178818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30"/>
      <c r="E21" s="29">
        <f>D21/$D$48</f>
        <v>0</v>
      </c>
      <c r="F21" s="28">
        <f>C21-(C21*$E$6)</f>
        <v>68.71036262426864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46.4</v>
      </c>
      <c r="D22" s="30">
        <v>701.2</v>
      </c>
      <c r="E22" s="29">
        <f>D22/$D$48</f>
        <v>3.4350827173013153E-2</v>
      </c>
      <c r="F22" s="28">
        <f>C22-(C22*$E$6)</f>
        <v>46.071688233613656</v>
      </c>
      <c r="G22" s="27" t="str">
        <f>IF(C22&gt;=F22,"-","+")</f>
        <v>-</v>
      </c>
      <c r="H22" s="26">
        <f>C22*D22</f>
        <v>32535.68</v>
      </c>
      <c r="I22" s="26">
        <f>F22*D22</f>
        <v>32305.467789409897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30"/>
      <c r="E23" s="29">
        <f>D23/$D$48</f>
        <v>0</v>
      </c>
      <c r="F23" s="28">
        <f>C23-(C23*$E$6)</f>
        <v>42.099990972095235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46.4</v>
      </c>
      <c r="D24" s="22">
        <f>SUM(D21:D23)</f>
        <v>701.2</v>
      </c>
      <c r="E24" s="21">
        <f>D24/$D$48</f>
        <v>3.4350827173013153E-2</v>
      </c>
      <c r="F24" s="20">
        <f>I24/D24</f>
        <v>46.071688233613656</v>
      </c>
      <c r="G24" s="19">
        <f>F24/C24-1</f>
        <v>-7.0756846203953172E-3</v>
      </c>
      <c r="H24" s="18">
        <f>SUM(H21:H23)</f>
        <v>32535.68</v>
      </c>
      <c r="I24" s="18">
        <f>SUM(I21:I23)</f>
        <v>32305.467789409897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30">
        <f>615.1+713.6+2853</f>
        <v>4181.7</v>
      </c>
      <c r="E26" s="29">
        <f t="shared" ref="E26:E32" si="7">D26/$D$48</f>
        <v>0.20485575297973341</v>
      </c>
      <c r="F26" s="28">
        <f t="shared" ref="F26:F31" si="8">C26-(C26*$E$6)</f>
        <v>36.638907237507411</v>
      </c>
      <c r="G26" s="27" t="str">
        <f t="shared" ref="G26:G31" si="9">IF(C26&gt;=F26,"-","+")</f>
        <v>-</v>
      </c>
      <c r="H26" s="26">
        <f t="shared" ref="H26:H31" si="10">C26*D26</f>
        <v>154304.72999999998</v>
      </c>
      <c r="I26" s="26">
        <f t="shared" ref="I26:I31" si="11">F26*D26</f>
        <v>153212.91839508474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30">
        <v>2923.7</v>
      </c>
      <c r="E27" s="29">
        <f t="shared" si="7"/>
        <v>0.14322805676802414</v>
      </c>
      <c r="F27" s="28">
        <f t="shared" si="8"/>
        <v>32.667209975988996</v>
      </c>
      <c r="G27" s="27" t="str">
        <f t="shared" si="9"/>
        <v>-</v>
      </c>
      <c r="H27" s="26">
        <f t="shared" si="10"/>
        <v>96189.73</v>
      </c>
      <c r="I27" s="26">
        <f t="shared" si="11"/>
        <v>95509.121806799027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30">
        <v>2589.9</v>
      </c>
      <c r="E28" s="29">
        <f t="shared" si="7"/>
        <v>0.12687565216113342</v>
      </c>
      <c r="F28" s="28">
        <f t="shared" si="8"/>
        <v>32.667209975988996</v>
      </c>
      <c r="G28" s="27" t="str">
        <f t="shared" si="9"/>
        <v>-</v>
      </c>
      <c r="H28" s="26">
        <f t="shared" si="10"/>
        <v>85207.71</v>
      </c>
      <c r="I28" s="26">
        <f t="shared" si="11"/>
        <v>84604.807116813899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30">
        <v>2233.5</v>
      </c>
      <c r="E29" s="29">
        <f t="shared" si="7"/>
        <v>0.10941610452214043</v>
      </c>
      <c r="F29" s="28">
        <f t="shared" si="8"/>
        <v>31.574993229071431</v>
      </c>
      <c r="G29" s="27" t="str">
        <f t="shared" si="9"/>
        <v>-</v>
      </c>
      <c r="H29" s="26">
        <f t="shared" si="10"/>
        <v>71025.3</v>
      </c>
      <c r="I29" s="26">
        <f t="shared" si="11"/>
        <v>70522.747377131047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30">
        <v>1615.1</v>
      </c>
      <c r="E30" s="29">
        <f t="shared" si="7"/>
        <v>7.9121535891519587E-2</v>
      </c>
      <c r="F30" s="28">
        <f t="shared" si="8"/>
        <v>31.574993229071431</v>
      </c>
      <c r="G30" s="27" t="str">
        <f t="shared" si="9"/>
        <v>-</v>
      </c>
      <c r="H30" s="26">
        <f t="shared" si="10"/>
        <v>51360.18</v>
      </c>
      <c r="I30" s="26">
        <f t="shared" si="11"/>
        <v>50996.771564273266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30">
        <v>319.8</v>
      </c>
      <c r="E31" s="29">
        <f t="shared" si="7"/>
        <v>1.5666563790544218E-2</v>
      </c>
      <c r="F31" s="28">
        <f t="shared" si="8"/>
        <v>32.07145538676123</v>
      </c>
      <c r="G31" s="27" t="str">
        <f t="shared" si="9"/>
        <v>-</v>
      </c>
      <c r="H31" s="26">
        <f t="shared" si="10"/>
        <v>10329.539999999999</v>
      </c>
      <c r="I31" s="26">
        <f t="shared" si="11"/>
        <v>10256.451432686241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33.787314353311167</v>
      </c>
      <c r="D32" s="22">
        <f>SUM(D26:D31)</f>
        <v>13863.699999999999</v>
      </c>
      <c r="E32" s="21">
        <f t="shared" si="7"/>
        <v>0.6791636661130952</v>
      </c>
      <c r="F32" s="20">
        <f>I32/D32</f>
        <v>33.548245972776982</v>
      </c>
      <c r="G32" s="19">
        <f>F32/C32-1</f>
        <v>-7.0756846203953172E-3</v>
      </c>
      <c r="H32" s="18">
        <f>SUM(H26:H31)</f>
        <v>468417.18999999994</v>
      </c>
      <c r="I32" s="18">
        <f>SUM(I26:I31)</f>
        <v>465102.81769278826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v>2591.6999999999998</v>
      </c>
      <c r="E34" s="29">
        <f t="shared" ref="E34:E40" si="13">D34/$D$48</f>
        <v>0.12696383169466369</v>
      </c>
      <c r="F34" s="28">
        <f t="shared" ref="F34:F39" si="14">C34-(C34*$E$6)</f>
        <v>19.262731718364329</v>
      </c>
      <c r="G34" s="27" t="str">
        <f t="shared" ref="G34:G39" si="15">IF(C34&gt;=F34,"-","+")</f>
        <v>-</v>
      </c>
      <c r="H34" s="26">
        <f t="shared" ref="H34:H39" si="16">C34*D34</f>
        <v>50278.979999999996</v>
      </c>
      <c r="I34" s="26">
        <f t="shared" ref="I34:I39" si="17">F34*D34</f>
        <v>49923.221794484823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/>
      <c r="E35" s="29">
        <f t="shared" si="13"/>
        <v>0</v>
      </c>
      <c r="F35" s="28">
        <f t="shared" si="14"/>
        <v>14.79457229915611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11.915091784555257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30"/>
      <c r="E37" s="29">
        <f t="shared" si="13"/>
        <v>0</v>
      </c>
      <c r="F37" s="28">
        <f t="shared" si="14"/>
        <v>31.574993229071431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30"/>
      <c r="E38" s="29">
        <f t="shared" si="13"/>
        <v>0</v>
      </c>
      <c r="F38" s="28">
        <f t="shared" si="14"/>
        <v>31.574993229071431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30"/>
      <c r="E39" s="29">
        <f t="shared" si="13"/>
        <v>0</v>
      </c>
      <c r="F39" s="28">
        <f t="shared" si="14"/>
        <v>32.667209975988996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19.399999999999999</v>
      </c>
      <c r="D40" s="22">
        <f>SUM(D34:D39)</f>
        <v>2591.6999999999998</v>
      </c>
      <c r="E40" s="113">
        <f t="shared" si="13"/>
        <v>0.12696383169466369</v>
      </c>
      <c r="F40" s="20">
        <f>I40/D40</f>
        <v>19.262731718364329</v>
      </c>
      <c r="G40" s="19">
        <f>F40/C40-1</f>
        <v>-7.0756846203953172E-3</v>
      </c>
      <c r="H40" s="18">
        <f>SUM(H34:H39)</f>
        <v>50278.979999999996</v>
      </c>
      <c r="I40" s="18">
        <f>SUM(I34:I39)</f>
        <v>49923.221794484823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3068</v>
      </c>
      <c r="E42" s="107">
        <f>D42/$D$48</f>
        <v>0.15029711603936727</v>
      </c>
      <c r="F42" s="28">
        <f>C42-(C42*$E$6)</f>
        <v>0.49646215768980234</v>
      </c>
      <c r="G42" s="27" t="str">
        <f>IF(C42&gt;=F42,"-","+")</f>
        <v>-</v>
      </c>
      <c r="H42" s="26">
        <f>C42*D42</f>
        <v>1534</v>
      </c>
      <c r="I42" s="26">
        <f>F42*D42</f>
        <v>1523.1458997923137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155.6</v>
      </c>
      <c r="E43" s="107">
        <f>D43/$D$48</f>
        <v>7.6226307873942462E-3</v>
      </c>
      <c r="F43" s="28">
        <f>C43-(C43*$E$6)</f>
        <v>0.49646215768980234</v>
      </c>
      <c r="G43" s="27" t="str">
        <f>IF(C43&gt;=F43,"-","+")</f>
        <v>-</v>
      </c>
      <c r="H43" s="26">
        <f>C43*D43</f>
        <v>77.8</v>
      </c>
      <c r="I43" s="26">
        <f>F43*D43</f>
        <v>77.249511736533236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27</v>
      </c>
      <c r="E44" s="107">
        <f>D44/$D$48</f>
        <v>1.3226930029540144E-3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2.7923518951251421E-4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0.49497896385468171</v>
      </c>
      <c r="D46" s="22">
        <f>SUM(D41:D45)</f>
        <v>3256.2999999999997</v>
      </c>
      <c r="E46" s="113">
        <f>D46/$D$48</f>
        <v>0.15952167501922804</v>
      </c>
      <c r="F46" s="20">
        <f>I46/D46</f>
        <v>0.49147664881271602</v>
      </c>
      <c r="G46" s="19">
        <f>F46/C46-1</f>
        <v>-7.0756846203950952E-3</v>
      </c>
      <c r="H46" s="18">
        <f>SUM(H41:H44)</f>
        <v>1611.8</v>
      </c>
      <c r="I46" s="18">
        <f>SUM(I41:I44)</f>
        <v>1600.395411528847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100.08229331716585</v>
      </c>
      <c r="D48" s="13">
        <f>D24+D32+D40+D46</f>
        <v>20412.899999999998</v>
      </c>
      <c r="E48" s="12">
        <f>SUM(E20:E46)/2</f>
        <v>1.0000000000000002</v>
      </c>
      <c r="F48" s="11">
        <f>I48/D48</f>
        <v>26.891421732738216</v>
      </c>
      <c r="G48" s="10"/>
      <c r="H48" s="9">
        <f>SUM(H20:H46)/2</f>
        <v>552843.65</v>
      </c>
      <c r="I48" s="9">
        <f>SUM(I20:I46)/2</f>
        <v>548931.90268821188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25984.199999999997</v>
      </c>
      <c r="E50" s="12">
        <f>D50/G2</f>
        <v>0.99999999999999989</v>
      </c>
      <c r="F50" s="11">
        <f>I50/D50</f>
        <v>27.500000000000004</v>
      </c>
      <c r="G50" s="10"/>
      <c r="H50" s="9">
        <f>H48+H19</f>
        <v>719657.57000000007</v>
      </c>
      <c r="I50" s="9">
        <f>I48+I19</f>
        <v>714565.5</v>
      </c>
      <c r="J50" s="106">
        <f>D50-G2</f>
        <v>0</v>
      </c>
      <c r="K50" s="8"/>
    </row>
    <row r="51" spans="1:11" ht="23.25" x14ac:dyDescent="0.35">
      <c r="A51" s="174" t="s">
        <v>394</v>
      </c>
      <c r="B51" s="169"/>
      <c r="C51" s="170"/>
      <c r="G51" s="7"/>
      <c r="H51" s="6"/>
      <c r="I51" s="6">
        <f>+I50/D50</f>
        <v>27.500000000000004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395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395</v>
      </c>
      <c r="D2" s="96" t="s">
        <v>3</v>
      </c>
      <c r="E2" s="95" t="s">
        <v>112</v>
      </c>
      <c r="F2" s="94" t="s">
        <v>5</v>
      </c>
      <c r="G2" s="93">
        <v>2691.7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40</v>
      </c>
      <c r="F3" s="88" t="s">
        <v>8</v>
      </c>
      <c r="G3" s="87">
        <v>22.9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67.29249999999999</v>
      </c>
      <c r="F4" s="81" t="s">
        <v>12</v>
      </c>
      <c r="G4" s="80">
        <f>G2*G3</f>
        <v>61639.929999999993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-7.358320470872326E-2</v>
      </c>
      <c r="F6" s="69" t="s">
        <v>16</v>
      </c>
      <c r="G6" s="68">
        <f>(I50-I19)/(D50-(SUM(D42:D44)+D19))</f>
        <v>28.830650140318053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22.9</v>
      </c>
      <c r="D10" s="30"/>
      <c r="E10" s="29" t="e">
        <f t="shared" ref="E10:E19" si="1">D10/$D$19</f>
        <v>#DIV/0!</v>
      </c>
      <c r="F10" s="28">
        <f t="shared" ref="F10:F18" si="2">C10-(C10*$E$6)</f>
        <v>24.585055387829762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23.8</v>
      </c>
      <c r="D11" s="30"/>
      <c r="E11" s="29" t="e">
        <f t="shared" si="1"/>
        <v>#DIV/0!</v>
      </c>
      <c r="F11" s="28">
        <f t="shared" si="2"/>
        <v>25.551280272067615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21.8</v>
      </c>
      <c r="D12" s="30"/>
      <c r="E12" s="29" t="e">
        <f t="shared" si="1"/>
        <v>#DIV/0!</v>
      </c>
      <c r="F12" s="28">
        <f t="shared" si="2"/>
        <v>23.404113862650167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23.8</v>
      </c>
      <c r="D13" s="30"/>
      <c r="E13" s="29" t="e">
        <f t="shared" si="1"/>
        <v>#DIV/0!</v>
      </c>
      <c r="F13" s="28">
        <f t="shared" si="2"/>
        <v>25.551280272067615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26.7</v>
      </c>
      <c r="D14" s="30"/>
      <c r="E14" s="29" t="e">
        <f t="shared" si="1"/>
        <v>#DIV/0!</v>
      </c>
      <c r="F14" s="28">
        <f t="shared" si="2"/>
        <v>28.664671565722909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</v>
      </c>
      <c r="D15" s="30"/>
      <c r="E15" s="29" t="e">
        <f t="shared" si="1"/>
        <v>#DIV/0!</v>
      </c>
      <c r="F15" s="28">
        <f t="shared" si="2"/>
        <v>23.618830503591912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30.1</v>
      </c>
      <c r="D16" s="30"/>
      <c r="E16" s="29" t="e">
        <f t="shared" si="1"/>
        <v>#DIV/0!</v>
      </c>
      <c r="F16" s="28">
        <f t="shared" si="2"/>
        <v>32.314854461732573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44.3</v>
      </c>
      <c r="D17" s="30"/>
      <c r="E17" s="29" t="e">
        <f t="shared" si="1"/>
        <v>#DIV/0!</v>
      </c>
      <c r="F17" s="28">
        <f t="shared" si="2"/>
        <v>47.559735968596435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38.799999999999997</v>
      </c>
      <c r="D18" s="30"/>
      <c r="E18" s="29" t="e">
        <f t="shared" si="1"/>
        <v>#DIV/0!</v>
      </c>
      <c r="F18" s="28">
        <f t="shared" si="2"/>
        <v>41.655028342698458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57.6</v>
      </c>
      <c r="D21" s="30">
        <v>40.9</v>
      </c>
      <c r="E21" s="29">
        <f>D21/$D$48</f>
        <v>1.5194858268009065E-2</v>
      </c>
      <c r="F21" s="28">
        <f>C21-(C21*$E$6)</f>
        <v>61.838392591222458</v>
      </c>
      <c r="G21" s="27" t="str">
        <f>IF(C21&gt;=F21,"-","+")</f>
        <v>+</v>
      </c>
      <c r="H21" s="26">
        <f>C21*D21</f>
        <v>2355.84</v>
      </c>
      <c r="I21" s="26">
        <f>F21*D21</f>
        <v>2529.1902569809986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38.700000000000003</v>
      </c>
      <c r="D22" s="30">
        <v>69.7</v>
      </c>
      <c r="E22" s="29">
        <f>D22/$D$48</f>
        <v>2.589441616822083E-2</v>
      </c>
      <c r="F22" s="28">
        <f>C22-(C22*$E$6)</f>
        <v>41.547670022227592</v>
      </c>
      <c r="G22" s="27" t="str">
        <f>IF(C22&gt;=F22,"-","+")</f>
        <v>+</v>
      </c>
      <c r="H22" s="26">
        <f>C22*D22</f>
        <v>2697.3900000000003</v>
      </c>
      <c r="I22" s="26">
        <f>F22*D22</f>
        <v>2895.8726005492631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35.299999999999997</v>
      </c>
      <c r="D23" s="30">
        <v>64.400000000000006</v>
      </c>
      <c r="E23" s="29">
        <f>D23/$D$48</f>
        <v>2.3925400304640194E-2</v>
      </c>
      <c r="F23" s="28">
        <f>C23-(C23*$E$6)</f>
        <v>37.897487126217925</v>
      </c>
      <c r="G23" s="27" t="str">
        <f>IF(C23&gt;=F23,"-","+")</f>
        <v>+</v>
      </c>
      <c r="H23" s="26">
        <f>C23*D23</f>
        <v>2273.3200000000002</v>
      </c>
      <c r="I23" s="26">
        <f>F23*D23</f>
        <v>2440.5981709284347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41.866000000000007</v>
      </c>
      <c r="D24" s="22">
        <f>SUM(D21:D23)</f>
        <v>175</v>
      </c>
      <c r="E24" s="21">
        <f>D24/$D$48</f>
        <v>6.5014674740870082E-2</v>
      </c>
      <c r="F24" s="20">
        <f>I24/D24</f>
        <v>44.946634448335409</v>
      </c>
      <c r="G24" s="19">
        <f>F24/C24-1</f>
        <v>7.3583204708723038E-2</v>
      </c>
      <c r="H24" s="18">
        <f>SUM(H21:H23)</f>
        <v>7326.5500000000011</v>
      </c>
      <c r="I24" s="18">
        <f>SUM(I21:I23)</f>
        <v>7865.6610284586968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30.7</v>
      </c>
      <c r="D26" s="30">
        <v>598.79999999999995</v>
      </c>
      <c r="E26" s="29">
        <f t="shared" ref="E26:E32" si="7">D26/$D$48</f>
        <v>0.22246164134190288</v>
      </c>
      <c r="F26" s="28">
        <f t="shared" ref="F26:F31" si="8">C26-(C26*$E$6)</f>
        <v>32.959004384557801</v>
      </c>
      <c r="G26" s="27" t="str">
        <f t="shared" ref="G26:G31" si="9">IF(C26&gt;=F26,"-","+")</f>
        <v>+</v>
      </c>
      <c r="H26" s="26">
        <f t="shared" ref="H26:H31" si="10">C26*D26</f>
        <v>18383.16</v>
      </c>
      <c r="I26" s="26">
        <f t="shared" ref="I26:I31" si="11">F26*D26</f>
        <v>19735.851825473208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27.4</v>
      </c>
      <c r="D27" s="30">
        <v>351.6</v>
      </c>
      <c r="E27" s="29">
        <f t="shared" si="7"/>
        <v>0.13062376936508527</v>
      </c>
      <c r="F27" s="28">
        <f t="shared" si="8"/>
        <v>29.416179809019017</v>
      </c>
      <c r="G27" s="27" t="str">
        <f t="shared" si="9"/>
        <v>+</v>
      </c>
      <c r="H27" s="26">
        <f t="shared" si="10"/>
        <v>9633.84</v>
      </c>
      <c r="I27" s="26">
        <f t="shared" si="11"/>
        <v>10342.728820851087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27.4</v>
      </c>
      <c r="D28" s="30">
        <v>200.6</v>
      </c>
      <c r="E28" s="29">
        <f t="shared" si="7"/>
        <v>7.4525392874391652E-2</v>
      </c>
      <c r="F28" s="28">
        <f t="shared" si="8"/>
        <v>29.416179809019017</v>
      </c>
      <c r="G28" s="27" t="str">
        <f t="shared" si="9"/>
        <v>+</v>
      </c>
      <c r="H28" s="26">
        <f t="shared" si="10"/>
        <v>5496.44</v>
      </c>
      <c r="I28" s="26">
        <f t="shared" si="11"/>
        <v>5900.8856696892144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26.4</v>
      </c>
      <c r="D29" s="30">
        <v>205.1</v>
      </c>
      <c r="E29" s="29">
        <f t="shared" si="7"/>
        <v>7.6197198796299742E-2</v>
      </c>
      <c r="F29" s="28">
        <f t="shared" si="8"/>
        <v>28.342596604310291</v>
      </c>
      <c r="G29" s="27" t="str">
        <f t="shared" si="9"/>
        <v>+</v>
      </c>
      <c r="H29" s="26">
        <f t="shared" si="10"/>
        <v>5414.6399999999994</v>
      </c>
      <c r="I29" s="26">
        <f t="shared" si="11"/>
        <v>5813.0665635440409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26.4</v>
      </c>
      <c r="D30" s="30">
        <v>92.8</v>
      </c>
      <c r="E30" s="29">
        <f t="shared" si="7"/>
        <v>3.4476353234015676E-2</v>
      </c>
      <c r="F30" s="28">
        <f t="shared" si="8"/>
        <v>28.342596604310291</v>
      </c>
      <c r="G30" s="27" t="str">
        <f t="shared" si="9"/>
        <v>+</v>
      </c>
      <c r="H30" s="26">
        <f t="shared" si="10"/>
        <v>2449.9199999999996</v>
      </c>
      <c r="I30" s="26">
        <f t="shared" si="11"/>
        <v>2630.1929648799951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26.9</v>
      </c>
      <c r="D31" s="30">
        <v>40.5</v>
      </c>
      <c r="E31" s="29">
        <f t="shared" si="7"/>
        <v>1.5046253297172791E-2</v>
      </c>
      <c r="F31" s="28">
        <f t="shared" si="8"/>
        <v>28.879388206664654</v>
      </c>
      <c r="G31" s="27" t="str">
        <f t="shared" si="9"/>
        <v>+</v>
      </c>
      <c r="H31" s="26">
        <f t="shared" si="10"/>
        <v>1089.45</v>
      </c>
      <c r="I31" s="26">
        <f t="shared" si="11"/>
        <v>1169.6152223699185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28.513126091043375</v>
      </c>
      <c r="D32" s="22">
        <f>SUM(D26:D31)</f>
        <v>1489.3999999999999</v>
      </c>
      <c r="E32" s="21">
        <f t="shared" si="7"/>
        <v>0.55333060890886798</v>
      </c>
      <c r="F32" s="20">
        <f>I32/D32</f>
        <v>30.611213285086251</v>
      </c>
      <c r="G32" s="19">
        <f>F32/C32-1</f>
        <v>7.3583204708723038E-2</v>
      </c>
      <c r="H32" s="18">
        <f>SUM(H26:H31)</f>
        <v>42467.45</v>
      </c>
      <c r="I32" s="18">
        <f>SUM(I26:I31)</f>
        <v>45592.341066807458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16.2</v>
      </c>
      <c r="D34" s="30">
        <f>254+185.3-12</f>
        <v>427.3</v>
      </c>
      <c r="E34" s="29">
        <f t="shared" ref="E34:E40" si="13">D34/$D$48</f>
        <v>0.15874726009585022</v>
      </c>
      <c r="F34" s="28">
        <f t="shared" ref="F34:F39" si="14">C34-(C34*$E$6)</f>
        <v>17.392047916281317</v>
      </c>
      <c r="G34" s="27" t="str">
        <f t="shared" ref="G34:G39" si="15">IF(C34&gt;=F34,"-","+")</f>
        <v>+</v>
      </c>
      <c r="H34" s="26">
        <f t="shared" ref="H34:H39" si="16">C34*D34</f>
        <v>6922.26</v>
      </c>
      <c r="I34" s="26">
        <f t="shared" ref="I34:I39" si="17">F34*D34</f>
        <v>7431.6220746270074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12.4</v>
      </c>
      <c r="D35" s="30">
        <v>38.5</v>
      </c>
      <c r="E35" s="29">
        <f t="shared" si="13"/>
        <v>1.4303228442991419E-2</v>
      </c>
      <c r="F35" s="28">
        <f t="shared" si="14"/>
        <v>13.312431738388169</v>
      </c>
      <c r="G35" s="27" t="str">
        <f t="shared" si="15"/>
        <v>+</v>
      </c>
      <c r="H35" s="26">
        <f t="shared" si="16"/>
        <v>477.40000000000003</v>
      </c>
      <c r="I35" s="26">
        <f t="shared" si="17"/>
        <v>512.52862192794453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</v>
      </c>
      <c r="D36" s="30"/>
      <c r="E36" s="29">
        <f t="shared" si="13"/>
        <v>0</v>
      </c>
      <c r="F36" s="28">
        <f t="shared" si="14"/>
        <v>10.735832047087232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26.4</v>
      </c>
      <c r="D37" s="30"/>
      <c r="E37" s="29">
        <f t="shared" si="13"/>
        <v>0</v>
      </c>
      <c r="F37" s="28">
        <f t="shared" si="14"/>
        <v>28.342596604310291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26.4</v>
      </c>
      <c r="D38" s="30"/>
      <c r="E38" s="29">
        <f t="shared" si="13"/>
        <v>0</v>
      </c>
      <c r="F38" s="28">
        <f t="shared" si="14"/>
        <v>28.342596604310291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27.4</v>
      </c>
      <c r="D39" s="30"/>
      <c r="E39" s="29">
        <f t="shared" si="13"/>
        <v>0</v>
      </c>
      <c r="F39" s="28">
        <f t="shared" si="14"/>
        <v>29.416179809019017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15.885916702447402</v>
      </c>
      <c r="D40" s="22">
        <f>SUM(D34:D39)</f>
        <v>465.8</v>
      </c>
      <c r="E40" s="113">
        <f t="shared" si="13"/>
        <v>0.17305048853884164</v>
      </c>
      <c r="F40" s="20">
        <f>I40/D40</f>
        <v>17.054853363149316</v>
      </c>
      <c r="G40" s="19">
        <f>F40/C40-1</f>
        <v>7.3583204708723482E-2</v>
      </c>
      <c r="H40" s="18">
        <f>SUM(H34:H39)</f>
        <v>7399.66</v>
      </c>
      <c r="I40" s="18">
        <f>SUM(I34:I39)</f>
        <v>7944.1506965549515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261+31.6+249.1</f>
        <v>541.70000000000005</v>
      </c>
      <c r="E42" s="107">
        <f>D42/$D$48</f>
        <v>0.20124828175502474</v>
      </c>
      <c r="F42" s="28">
        <f>C42-(C42*$E$6)</f>
        <v>0.42943328188348934</v>
      </c>
      <c r="G42" s="27" t="str">
        <f>IF(C42&gt;=F42,"-","+")</f>
        <v>+</v>
      </c>
      <c r="H42" s="26">
        <f>C42*D42</f>
        <v>216.68000000000004</v>
      </c>
      <c r="I42" s="26">
        <f>F42*D42</f>
        <v>232.6240087962862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</v>
      </c>
      <c r="E43" s="107">
        <f>D43/$D$48</f>
        <v>4.4581491250882347E-3</v>
      </c>
      <c r="F43" s="28">
        <f>C43-(C43*$E$6)</f>
        <v>0.42943328188348934</v>
      </c>
      <c r="G43" s="27" t="str">
        <f>IF(C43&gt;=F43,"-","+")</f>
        <v>+</v>
      </c>
      <c r="H43" s="26">
        <f>C43*D43</f>
        <v>4.8000000000000007</v>
      </c>
      <c r="I43" s="26">
        <f>F43*D43</f>
        <v>5.1531993826018718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7.8</v>
      </c>
      <c r="E45" s="107">
        <f>D45/$D$48</f>
        <v>2.8977969313073522E-3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0.39444345503116662</v>
      </c>
      <c r="D46" s="22">
        <f>SUM(D41:D45)</f>
        <v>561.5</v>
      </c>
      <c r="E46" s="113">
        <f>D46/$D$48</f>
        <v>0.2086042278114203</v>
      </c>
      <c r="F46" s="20">
        <f>I46/D46</f>
        <v>0.42346786852874102</v>
      </c>
      <c r="G46" s="19">
        <f>F46/C46-1</f>
        <v>7.358320470872326E-2</v>
      </c>
      <c r="H46" s="18">
        <f>SUM(H41:H44)</f>
        <v>221.48000000000005</v>
      </c>
      <c r="I46" s="18">
        <f>SUM(I41:I44)</f>
        <v>237.77720817888809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86.659486248521958</v>
      </c>
      <c r="D48" s="13">
        <f>D24+D32+D40+D46</f>
        <v>2691.7</v>
      </c>
      <c r="E48" s="12">
        <f>SUM(E20:E46)/2</f>
        <v>0.99999999999999978</v>
      </c>
      <c r="F48" s="11">
        <f>I48/D48</f>
        <v>22.900000000000002</v>
      </c>
      <c r="G48" s="10"/>
      <c r="H48" s="9">
        <f>SUM(H20:H46)/2</f>
        <v>57415.139999999992</v>
      </c>
      <c r="I48" s="9">
        <f>SUM(I20:I46)/2</f>
        <v>61639.93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2691.7</v>
      </c>
      <c r="E50" s="12">
        <f>D50/G2</f>
        <v>1</v>
      </c>
      <c r="F50" s="11">
        <f>I50/D50</f>
        <v>22.900000000000002</v>
      </c>
      <c r="G50" s="10"/>
      <c r="H50" s="9">
        <f>H48+H19</f>
        <v>57415.139999999992</v>
      </c>
      <c r="I50" s="9">
        <f>I48+I19</f>
        <v>61639.93</v>
      </c>
      <c r="J50" s="106">
        <f>D50-G2</f>
        <v>0</v>
      </c>
      <c r="K50" s="8"/>
    </row>
    <row r="51" spans="1:11" ht="23.25" x14ac:dyDescent="0.35">
      <c r="A51" s="174" t="s">
        <v>396</v>
      </c>
      <c r="B51" s="169"/>
      <c r="C51" s="170"/>
      <c r="G51" s="7"/>
      <c r="H51" s="6"/>
      <c r="I51" s="6">
        <f>+I50/D50</f>
        <v>22.900000000000002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395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395</v>
      </c>
      <c r="D2" s="96" t="s">
        <v>3</v>
      </c>
      <c r="E2" s="95" t="s">
        <v>362</v>
      </c>
      <c r="F2" s="94" t="s">
        <v>5</v>
      </c>
      <c r="G2" s="93">
        <v>23579.5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296</v>
      </c>
      <c r="F3" s="88" t="s">
        <v>8</v>
      </c>
      <c r="G3" s="87">
        <v>27.5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79.660472972972968</v>
      </c>
      <c r="F4" s="81" t="s">
        <v>12</v>
      </c>
      <c r="G4" s="80">
        <f>G2*G3</f>
        <v>648436.25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-6.6792633227459319E-3</v>
      </c>
      <c r="F6" s="69" t="s">
        <v>16</v>
      </c>
      <c r="G6" s="68">
        <f>(I50-I19)/(D50-(SUM(D42:D44)+D19))</f>
        <v>32.802490892464292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30"/>
      <c r="E10" s="29">
        <f t="shared" ref="E10:E19" si="1">D10/$D$19</f>
        <v>0</v>
      </c>
      <c r="F10" s="28">
        <f t="shared" ref="F10:F18" si="2">C10-(C10*$E$6)</f>
        <v>27.683679741375514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28.6</v>
      </c>
      <c r="D11" s="30">
        <v>7186.9</v>
      </c>
      <c r="E11" s="29">
        <f t="shared" si="1"/>
        <v>0.45409971756588546</v>
      </c>
      <c r="F11" s="28">
        <f t="shared" si="2"/>
        <v>28.791026931030537</v>
      </c>
      <c r="G11" s="27" t="str">
        <f t="shared" si="3"/>
        <v>+</v>
      </c>
      <c r="H11" s="34">
        <f t="shared" si="4"/>
        <v>205545.34</v>
      </c>
      <c r="I11" s="34">
        <f t="shared" si="5"/>
        <v>206918.23145062337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26.2</v>
      </c>
      <c r="D12" s="30">
        <v>8448.2000000000007</v>
      </c>
      <c r="E12" s="29">
        <f t="shared" si="1"/>
        <v>0.53379415797355101</v>
      </c>
      <c r="F12" s="28">
        <f t="shared" si="2"/>
        <v>26.374996699055941</v>
      </c>
      <c r="G12" s="27" t="str">
        <f t="shared" si="3"/>
        <v>+</v>
      </c>
      <c r="H12" s="34">
        <f t="shared" si="4"/>
        <v>221342.84000000003</v>
      </c>
      <c r="I12" s="34">
        <f t="shared" si="5"/>
        <v>222821.24711296443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28.6</v>
      </c>
      <c r="D13" s="30"/>
      <c r="E13" s="29">
        <f t="shared" si="1"/>
        <v>0</v>
      </c>
      <c r="F13" s="28">
        <f t="shared" si="2"/>
        <v>28.791026931030537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</v>
      </c>
      <c r="D14" s="30">
        <v>98.6</v>
      </c>
      <c r="E14" s="29">
        <f t="shared" si="1"/>
        <v>6.2299784541313087E-3</v>
      </c>
      <c r="F14" s="28">
        <f t="shared" si="2"/>
        <v>32.21373642632787</v>
      </c>
      <c r="G14" s="27" t="str">
        <f t="shared" si="3"/>
        <v>+</v>
      </c>
      <c r="H14" s="34">
        <f t="shared" si="4"/>
        <v>3155.2</v>
      </c>
      <c r="I14" s="34">
        <f t="shared" si="5"/>
        <v>3176.2744116359277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26.4</v>
      </c>
      <c r="D15" s="30">
        <v>93</v>
      </c>
      <c r="E15" s="29">
        <f t="shared" si="1"/>
        <v>5.8761460064321678E-3</v>
      </c>
      <c r="F15" s="28">
        <f t="shared" si="2"/>
        <v>26.57633255172049</v>
      </c>
      <c r="G15" s="27" t="str">
        <f t="shared" si="3"/>
        <v>+</v>
      </c>
      <c r="H15" s="34">
        <f t="shared" si="4"/>
        <v>2455.1999999999998</v>
      </c>
      <c r="I15" s="34">
        <f t="shared" si="5"/>
        <v>2471.5989273100058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36.1</v>
      </c>
      <c r="D16" s="30"/>
      <c r="E16" s="29">
        <f t="shared" si="1"/>
        <v>0</v>
      </c>
      <c r="F16" s="28">
        <f t="shared" si="2"/>
        <v>36.341121405951128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30"/>
      <c r="E17" s="29">
        <f t="shared" si="1"/>
        <v>0</v>
      </c>
      <c r="F17" s="28">
        <f t="shared" si="2"/>
        <v>53.555336808770086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30"/>
      <c r="E18" s="29">
        <f t="shared" si="1"/>
        <v>0</v>
      </c>
      <c r="F18" s="28">
        <f t="shared" si="2"/>
        <v>46.911253670839962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27.327148426393375</v>
      </c>
      <c r="D19" s="49">
        <f>SUM(D10:D18)</f>
        <v>15826.7</v>
      </c>
      <c r="E19" s="48">
        <f t="shared" si="1"/>
        <v>1</v>
      </c>
      <c r="F19" s="47">
        <f>I19/D19</f>
        <v>27.509673646593019</v>
      </c>
      <c r="G19" s="46">
        <f>F19/C19-1</f>
        <v>6.6792633227459319E-3</v>
      </c>
      <c r="H19" s="9">
        <f>SUM(H10:H18)</f>
        <v>432498.58000000007</v>
      </c>
      <c r="I19" s="9">
        <f>SUM(I10:I18)</f>
        <v>435387.35190253373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30">
        <v>97.1</v>
      </c>
      <c r="E21" s="29">
        <f>D21/$D$48</f>
        <v>1.2524345728695067E-2</v>
      </c>
      <c r="F21" s="28">
        <f>C21-(C21*$E$6)</f>
        <v>69.662205021934028</v>
      </c>
      <c r="G21" s="27" t="str">
        <f>IF(C21&gt;=F21,"-","+")</f>
        <v>+</v>
      </c>
      <c r="H21" s="26">
        <f>C21*D21</f>
        <v>6719.32</v>
      </c>
      <c r="I21" s="26">
        <f>F21*D21</f>
        <v>6764.2001076297938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46.4</v>
      </c>
      <c r="D22" s="30">
        <v>239.8</v>
      </c>
      <c r="E22" s="29">
        <f>D22/$D$48</f>
        <v>3.093036154213262E-2</v>
      </c>
      <c r="F22" s="28">
        <f>C22-(C22*$E$6)</f>
        <v>46.709917818175413</v>
      </c>
      <c r="G22" s="27" t="str">
        <f>IF(C22&gt;=F22,"-","+")</f>
        <v>+</v>
      </c>
      <c r="H22" s="26">
        <f>C22*D22</f>
        <v>11126.72</v>
      </c>
      <c r="I22" s="26">
        <f>F22*D22</f>
        <v>11201.038292798465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30">
        <v>208.9</v>
      </c>
      <c r="E23" s="29">
        <f>D23/$D$48</f>
        <v>2.6944756155761068E-2</v>
      </c>
      <c r="F23" s="28">
        <f>C23-(C23*$E$6)</f>
        <v>42.683200764884425</v>
      </c>
      <c r="G23" s="27" t="str">
        <f>IF(C23&gt;=F23,"-","+")</f>
        <v>+</v>
      </c>
      <c r="H23" s="26">
        <f>C23*D23</f>
        <v>8857.36</v>
      </c>
      <c r="I23" s="26">
        <f>F23*D23</f>
        <v>8916.5206397843558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48.92524734334922</v>
      </c>
      <c r="D24" s="22">
        <f>SUM(D21:D23)</f>
        <v>545.79999999999995</v>
      </c>
      <c r="E24" s="21">
        <f>D24/$D$48</f>
        <v>7.0399463426588746E-2</v>
      </c>
      <c r="F24" s="20">
        <f>I24/D24</f>
        <v>49.252031953485925</v>
      </c>
      <c r="G24" s="19">
        <f>F24/C24-1</f>
        <v>6.6792633227459319E-3</v>
      </c>
      <c r="H24" s="18">
        <f>SUM(H21:H23)</f>
        <v>26703.4</v>
      </c>
      <c r="I24" s="18">
        <f>SUM(I21:I23)</f>
        <v>26881.759040212615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30">
        <f>222+1153</f>
        <v>1375</v>
      </c>
      <c r="E26" s="29">
        <f t="shared" ref="E26:E32" si="7">D26/$D$48</f>
        <v>0.1773529904938797</v>
      </c>
      <c r="F26" s="28">
        <f t="shared" ref="F26:F31" si="8">C26-(C26*$E$6)</f>
        <v>37.146464816609324</v>
      </c>
      <c r="G26" s="27" t="str">
        <f t="shared" ref="G26:G31" si="9">IF(C26&gt;=F26,"-","+")</f>
        <v>+</v>
      </c>
      <c r="H26" s="26">
        <f t="shared" ref="H26:H31" si="10">C26*D26</f>
        <v>50737.5</v>
      </c>
      <c r="I26" s="26">
        <f t="shared" ref="I26:I31" si="11">F26*D26</f>
        <v>51076.38912283782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30">
        <v>1145.2</v>
      </c>
      <c r="E27" s="29">
        <f t="shared" si="7"/>
        <v>0.14771246888261166</v>
      </c>
      <c r="F27" s="28">
        <f t="shared" si="8"/>
        <v>33.119747763318337</v>
      </c>
      <c r="G27" s="27" t="str">
        <f t="shared" si="9"/>
        <v>+</v>
      </c>
      <c r="H27" s="26">
        <f t="shared" si="10"/>
        <v>37677.08</v>
      </c>
      <c r="I27" s="26">
        <f t="shared" si="11"/>
        <v>37928.735138552162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30">
        <v>824.5</v>
      </c>
      <c r="E28" s="29">
        <f t="shared" si="7"/>
        <v>0.10634730229978459</v>
      </c>
      <c r="F28" s="28">
        <f t="shared" si="8"/>
        <v>33.119747763318337</v>
      </c>
      <c r="G28" s="27" t="str">
        <f t="shared" si="9"/>
        <v>+</v>
      </c>
      <c r="H28" s="26">
        <f t="shared" si="10"/>
        <v>27126.05</v>
      </c>
      <c r="I28" s="26">
        <f t="shared" si="11"/>
        <v>27307.232030855968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30">
        <v>826</v>
      </c>
      <c r="E29" s="29">
        <f t="shared" si="7"/>
        <v>0.10654077828941427</v>
      </c>
      <c r="F29" s="28">
        <f t="shared" si="8"/>
        <v>32.012400573663321</v>
      </c>
      <c r="G29" s="27" t="str">
        <f t="shared" si="9"/>
        <v>+</v>
      </c>
      <c r="H29" s="26">
        <f t="shared" si="10"/>
        <v>26266.799999999999</v>
      </c>
      <c r="I29" s="26">
        <f t="shared" si="11"/>
        <v>26442.242873845902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30">
        <v>535</v>
      </c>
      <c r="E30" s="29">
        <f t="shared" si="7"/>
        <v>6.9006436301255011E-2</v>
      </c>
      <c r="F30" s="28">
        <f t="shared" si="8"/>
        <v>32.012400573663321</v>
      </c>
      <c r="G30" s="27" t="str">
        <f t="shared" si="9"/>
        <v>+</v>
      </c>
      <c r="H30" s="26">
        <f t="shared" si="10"/>
        <v>17013</v>
      </c>
      <c r="I30" s="26">
        <f t="shared" si="11"/>
        <v>17126.634306909877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30">
        <v>117.8</v>
      </c>
      <c r="E31" s="29">
        <f t="shared" si="7"/>
        <v>1.5194314385584747E-2</v>
      </c>
      <c r="F31" s="28">
        <f t="shared" si="8"/>
        <v>32.51574020532469</v>
      </c>
      <c r="G31" s="27" t="str">
        <f t="shared" si="9"/>
        <v>+</v>
      </c>
      <c r="H31" s="26">
        <f t="shared" si="10"/>
        <v>3804.9399999999996</v>
      </c>
      <c r="I31" s="26">
        <f t="shared" si="11"/>
        <v>3830.3541961872484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33.715221312325077</v>
      </c>
      <c r="D32" s="22">
        <f>SUM(D26:D31)</f>
        <v>4823.5</v>
      </c>
      <c r="E32" s="21">
        <f t="shared" si="7"/>
        <v>0.62215429065253003</v>
      </c>
      <c r="F32" s="20">
        <f>I32/D32</f>
        <v>33.940414153454746</v>
      </c>
      <c r="G32" s="19">
        <f>F32/C32-1</f>
        <v>6.6792633227457099E-3</v>
      </c>
      <c r="H32" s="18">
        <f>SUM(H26:H31)</f>
        <v>162625.37</v>
      </c>
      <c r="I32" s="18">
        <f>SUM(I26:I31)</f>
        <v>163711.58766918897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v>1117.4000000000001</v>
      </c>
      <c r="E34" s="29">
        <f t="shared" ref="E34:E40" si="13">D34/$D$48</f>
        <v>0.14412671387480813</v>
      </c>
      <c r="F34" s="28">
        <f t="shared" ref="F34:F39" si="14">C34-(C34*$E$6)</f>
        <v>19.529577708461268</v>
      </c>
      <c r="G34" s="27" t="str">
        <f t="shared" ref="G34:G39" si="15">IF(C34&gt;=F34,"-","+")</f>
        <v>+</v>
      </c>
      <c r="H34" s="26">
        <f t="shared" ref="H34:H39" si="16">C34*D34</f>
        <v>21677.56</v>
      </c>
      <c r="I34" s="26">
        <f t="shared" ref="I34:I39" si="17">F34*D34</f>
        <v>21822.350131434621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/>
      <c r="E35" s="29">
        <f t="shared" si="13"/>
        <v>0</v>
      </c>
      <c r="F35" s="28">
        <f t="shared" si="14"/>
        <v>14.999521023508915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12.080151159872951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30"/>
      <c r="E37" s="29">
        <f t="shared" si="13"/>
        <v>0</v>
      </c>
      <c r="F37" s="28">
        <f t="shared" si="14"/>
        <v>32.012400573663321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30"/>
      <c r="E38" s="29">
        <f t="shared" si="13"/>
        <v>0</v>
      </c>
      <c r="F38" s="28">
        <f t="shared" si="14"/>
        <v>32.012400573663321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30"/>
      <c r="E39" s="29">
        <f t="shared" si="13"/>
        <v>0</v>
      </c>
      <c r="F39" s="28">
        <f t="shared" si="14"/>
        <v>33.119747763318337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19.399999999999999</v>
      </c>
      <c r="D40" s="22">
        <f>SUM(D34:D39)</f>
        <v>1117.4000000000001</v>
      </c>
      <c r="E40" s="113">
        <f t="shared" si="13"/>
        <v>0.14412671387480813</v>
      </c>
      <c r="F40" s="20">
        <f>I40/D40</f>
        <v>19.529577708461268</v>
      </c>
      <c r="G40" s="19">
        <f>F40/C40-1</f>
        <v>6.6792633227459319E-3</v>
      </c>
      <c r="H40" s="18">
        <f>SUM(H34:H39)</f>
        <v>21677.56</v>
      </c>
      <c r="I40" s="18">
        <f>SUM(I34:I39)</f>
        <v>21822.350131434621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1210</v>
      </c>
      <c r="E42" s="107">
        <f>D42/$D$48</f>
        <v>0.15607063163461413</v>
      </c>
      <c r="F42" s="28">
        <f>C42-(C42*$E$6)</f>
        <v>0.50333963166137297</v>
      </c>
      <c r="G42" s="27" t="str">
        <f>IF(C42&gt;=F42,"-","+")</f>
        <v>+</v>
      </c>
      <c r="H42" s="26">
        <f>C42*D42</f>
        <v>605</v>
      </c>
      <c r="I42" s="26">
        <f>F42*D42</f>
        <v>609.04095431026133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48</v>
      </c>
      <c r="E43" s="107">
        <f>D43/$D$48</f>
        <v>6.1912316681499826E-3</v>
      </c>
      <c r="F43" s="28">
        <f>C43-(C43*$E$6)</f>
        <v>0.50333963166137297</v>
      </c>
      <c r="G43" s="27" t="str">
        <f>IF(C43&gt;=F43,"-","+")</f>
        <v>+</v>
      </c>
      <c r="H43" s="26">
        <f>C43*D43</f>
        <v>24</v>
      </c>
      <c r="I43" s="26">
        <f>F43*D43</f>
        <v>24.160302319745902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8.1999999999999993</v>
      </c>
      <c r="E45" s="107">
        <f>D45/$D$48</f>
        <v>1.0576687433089553E-3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0.49676196493444952</v>
      </c>
      <c r="D46" s="22">
        <f>SUM(D41:D45)</f>
        <v>1266.2</v>
      </c>
      <c r="E46" s="113">
        <f>D46/$D$48</f>
        <v>0.16331953204607308</v>
      </c>
      <c r="F46" s="20">
        <f>I46/D46</f>
        <v>0.50007996890697148</v>
      </c>
      <c r="G46" s="19">
        <f>F46/C46-1</f>
        <v>6.679263322746154E-3</v>
      </c>
      <c r="H46" s="18">
        <f>SUM(H41:H44)</f>
        <v>629</v>
      </c>
      <c r="I46" s="18">
        <f>SUM(I41:I44)</f>
        <v>633.20125663000726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102.53723062060874</v>
      </c>
      <c r="D48" s="13">
        <f>D24+D32+D40+D46</f>
        <v>7752.9000000000005</v>
      </c>
      <c r="E48" s="12">
        <f>SUM(E20:E46)/2</f>
        <v>1</v>
      </c>
      <c r="F48" s="11">
        <f>I48/D48</f>
        <v>27.47989759928107</v>
      </c>
      <c r="G48" s="10"/>
      <c r="H48" s="9">
        <f>SUM(H20:H46)/2</f>
        <v>211635.33</v>
      </c>
      <c r="I48" s="9">
        <f>SUM(I20:I46)/2</f>
        <v>213048.89809746621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23579.599999999999</v>
      </c>
      <c r="E50" s="12">
        <f>D50/G2</f>
        <v>1.0000042409720307</v>
      </c>
      <c r="F50" s="11">
        <f>I50/D50</f>
        <v>27.499883373763765</v>
      </c>
      <c r="G50" s="10"/>
      <c r="H50" s="9">
        <f>H48+H19</f>
        <v>644133.91</v>
      </c>
      <c r="I50" s="9">
        <f>I48+I19</f>
        <v>648436.25</v>
      </c>
      <c r="J50" s="106">
        <f>D50-G2</f>
        <v>9.9999999998544808E-2</v>
      </c>
      <c r="K50" s="8"/>
    </row>
    <row r="51" spans="1:11" ht="23.25" x14ac:dyDescent="0.35">
      <c r="A51" s="174" t="s">
        <v>397</v>
      </c>
      <c r="B51" s="169"/>
      <c r="C51" s="170"/>
      <c r="G51" s="7"/>
      <c r="H51" s="6"/>
      <c r="I51" s="6">
        <f>+I50/D50</f>
        <v>27.499883373763765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tabColor rgb="FFFF0000"/>
  </sheetPr>
  <dimension ref="A1:K56"/>
  <sheetViews>
    <sheetView topLeftCell="A37" workbookViewId="0"/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6.14062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398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ÖA29-19032829'!G2+'EM29-19032629-S'!G2+'ÖA28-19032728'!G2+'FA28-19032627-S'!G2+'G28-19032728-1'!G2+'G28-19032728'!G2+'ÜN27-19032627-S'!G2+'G27-19032526'!G2+'ÖB26-19032426'!G2+'BA26-19032526-S'!G2+'ÖB26-19032426-S'!G2+'BA26-19032526'!G2+'SA26-19032325-S'!G2+'AY25-19032425-S'!G2+'ÖA25-19032425'!G2+'EM25-19032223-S'!G2+'MO25-19032325'!G2+'ÖA22-19032021'!G2+'AT22-19032121-S'!G2+'G21-19032021-1'!G2+'G21-19032021'!G2+'ÜN20-19031920-S'!G2+'FA20-19031920-S'!G2+'G20-19031819-1'!G2+'ÖA19-19031819'!G2+'ÖA19-19031718'!G2+'BA19-19031819-S'!G2+'3E19-19031718-S'!G2+'AY18-19031718-S'!G2+'İP18-19031618-S'!G2+'G18-19031718-1'!G2+'G18-19031718'!G2+'BA16-19031415'!G2+'EM16-19031516-S'!G2+'G15-19031315'!G2+'3E14-19031213'!G2+BA19031213!G2+'G14-19031314-1'!G2+'G14-19031314'!G2+'3E13-19031213-S'!G2+'BA13-19031213-S'!G2+'ÜN13-19031213-S'!G2+'FA13-19031213-S'!G2+'G12-19031112'!G2+'BA12-19031011'!G2+'G12-19030911-1'!G2+'LA11-19030911-S'!G2+'AY11-19031011-S'!G2+'G11-19030911'!G2+'G9-19030708'!G2+'ÖA8-19030607'!G2+'G8-19030607'!G2+'G7-19030607'!G2+'G6-19030506'!G2+'BA5-19030305'!G2+'G5-19030204'!G2+'ÖA5-19030304-1'!G2+'ÖA4-19030304'!G2+'ÖB3-19032701'!G2</f>
        <v>707573.49999999988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30">
        <f>'ÖA29-19032829'!E3+'EM29-19032629-S'!E3+'ÖA28-19032728'!E3+'FA28-19032627-S'!E3+'G28-19032728-1'!E3+'G28-19032728'!E3+'ÜN27-19032627-S'!E3+'G27-19032526'!E3+'ÖB26-19032426'!E3+'BA26-19032526-S'!E3+'ÖB26-19032426-S'!E3+'BA26-19032526'!E3+'SA26-19032325-S'!E3+'AY25-19032425-S'!E3+'ÖA25-19032425'!E3+'EM25-19032223-S'!E3+'MO25-19032325'!E3+'ÖA22-19032021'!E3+'AT22-19032121-S'!E3+'G21-19032021-1'!E3+'G21-19032021'!E3+'ÜN20-19031920-S'!E3+'FA20-19031920-S'!E3+'G20-19031819-1'!E3+'ÖA19-19031819'!E3+'ÖA19-19031718'!E3+'BA19-19031819-S'!E3+'3E19-19031718-S'!E3+'AY18-19031718-S'!E3+'İP18-19031618-S'!E3+'G18-19031718-1'!E3+'G18-19031718'!E3+'BA16-19031415'!E3+'EM16-19031516-S'!E3+'G15-19031315'!E3+'3E14-19031213'!E3+BA19031213!E3+'G14-19031314-1'!E3+'G14-19031314'!E3+'3E13-19031213-S'!E3+'BA13-19031213-S'!E3+'ÜN13-19031213-S'!E3+'FA13-19031213-S'!E3+'G12-19031112'!E3+'BA12-19031011'!E3+'G12-19030911-1'!E3+'LA11-19030911-S'!E3+'AY11-19031011-S'!E3+'G11-19030911'!E3+'G9-19030708'!E3+'ÖA8-19030607'!E3+'G8-19030607'!E3+'G7-19030607'!E3+'G6-19030506'!E3+'BA5-19030305'!E3+'G5-19030204'!E3+'ÖA5-19030304-1'!E3+'ÖA4-19030304'!E3+'ÖB3-19032701'!E3</f>
        <v>9843</v>
      </c>
      <c r="F3" s="111" t="s">
        <v>8</v>
      </c>
      <c r="G3" s="109">
        <v>26.27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71.885959565173209</v>
      </c>
      <c r="F4" s="81" t="s">
        <v>12</v>
      </c>
      <c r="G4" s="112">
        <f>G2*G3</f>
        <v>18587955.844999995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-2.1797362219797556E-2</v>
      </c>
      <c r="F6" s="69" t="s">
        <v>16</v>
      </c>
      <c r="G6" s="68">
        <f>(I50-I19)/(D50-(SUM(D42:D44)+D19))</f>
        <v>31.570716107555398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>
        <f>'ÖA29-19032829'!D10+'EM29-19032629-S'!D10+'ÖA28-19032728'!D10+'FA28-19032627-S'!D10+'G28-19032728-1'!D10+'G28-19032728'!D10+'ÜN27-19032627-S'!D10+'G27-19032526'!D10+'ÖB26-19032426'!D10+'BA26-19032526-S'!D10+'ÖB26-19032426-S'!D10+'BA26-19032526'!D10+'SA26-19032325-S'!D10+'AY25-19032425-S'!D10+'ÖA25-19032425'!D10+'EM25-19032223-S'!D10+'MO25-19032325'!D10+'ÖA22-19032021'!D10+'AT22-19032121-S'!D10+'G21-19032021-1'!D10+'G21-19032021'!D10+'ÜN20-19031920-S'!D10+'FA20-19031920-S'!D10+'G20-19031819-1'!D10+'ÖA19-19031819'!D10+'ÖA19-19031718'!D10+'BA19-19031819-S'!D10+'3E19-19031718-S'!D10+'AY18-19031718-S'!D10+'İP18-19031618-S'!D10+'G18-19031718-1'!D10+'G18-19031718'!D10+'BA16-19031415'!D10+'EM16-19031516-S'!D10+'G15-19031315'!D10+'3E14-19031213'!D10+BA19031213!D10+'G14-19031314-1'!D10+'G14-19031314'!D10+'3E13-19031213-S'!D10+'BA13-19031213-S'!D10+'ÜN13-19031213-S'!D10+'FA13-19031213-S'!D10+'G12-19031112'!D10+'BA12-19031011'!D10+'G12-19030911-1'!D10+'LA11-19030911-S'!D10+'AY11-19031011-S'!D10+'G11-19030911'!D10+'G9-19030708'!D10+'ÖA8-19030607'!D10+'G8-19030607'!D10+'G7-19030607'!D10+'G6-19030506'!D10+'BA5-19030305'!D10+'G5-19030204'!D10+'ÖA5-19030304-1'!D10+'ÖA4-19030304'!D10+'ÖB3-19032701'!D10</f>
        <v>0</v>
      </c>
      <c r="E10" s="29">
        <f t="shared" ref="E10:E19" si="1">D10/$D$19</f>
        <v>0</v>
      </c>
      <c r="F10" s="28">
        <f t="shared" ref="F10:F18" si="2">C10-(C10*$E$6)</f>
        <v>26.873270626380677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27.4</v>
      </c>
      <c r="D11" s="30">
        <f>'ÖA29-19032829'!D11+'EM29-19032629-S'!D11+'ÖA28-19032728'!D11+'FA28-19032627-S'!D11+'G28-19032728-1'!D11+'G28-19032728'!D11+'ÜN27-19032627-S'!D11+'G27-19032526'!D11+'ÖB26-19032426'!D11+'BA26-19032526-S'!D11+'ÖB26-19032426-S'!D11+'BA26-19032526'!D11+'SA26-19032325-S'!D11+'AY25-19032425-S'!D11+'ÖA25-19032425'!D11+'EM25-19032223-S'!D11+'MO25-19032325'!D11+'ÖA22-19032021'!D11+'AT22-19032121-S'!D11+'G21-19032021-1'!D11+'G21-19032021'!D11+'ÜN20-19031920-S'!D11+'FA20-19031920-S'!D11+'G20-19031819-1'!D11+'ÖA19-19031819'!D11+'ÖA19-19031718'!D11+'BA19-19031819-S'!D11+'3E19-19031718-S'!D11+'AY18-19031718-S'!D11+'İP18-19031618-S'!D11+'G18-19031718-1'!D11+'G18-19031718'!D11+'BA16-19031415'!D11+'EM16-19031516-S'!D11+'G15-19031315'!D11+'3E14-19031213'!D11+BA19031213!D11+'G14-19031314-1'!D11+'G14-19031314'!D11+'3E13-19031213-S'!D11+'BA13-19031213-S'!D11+'ÜN13-19031213-S'!D11+'FA13-19031213-S'!D11+'G12-19031112'!D11+'BA12-19031011'!D11+'G12-19030911-1'!D11+'LA11-19030911-S'!D11+'AY11-19031011-S'!D11+'G11-19030911'!D11+'G9-19030708'!D11+'ÖA8-19030607'!D11+'G8-19030607'!D11+'G7-19030607'!D11+'G6-19030506'!D11+'BA5-19030305'!D11+'G5-19030204'!D11+'ÖA5-19030304-1'!D11+'ÖA4-19030304'!D11+'ÖB3-19032701'!D11</f>
        <v>60419.6</v>
      </c>
      <c r="E11" s="29">
        <f t="shared" si="1"/>
        <v>0.51388266353220557</v>
      </c>
      <c r="F11" s="28">
        <f t="shared" si="2"/>
        <v>27.997247724822451</v>
      </c>
      <c r="G11" s="27" t="str">
        <f t="shared" si="3"/>
        <v>+</v>
      </c>
      <c r="H11" s="34">
        <f t="shared" si="4"/>
        <v>1655497.0399999998</v>
      </c>
      <c r="I11" s="34">
        <f t="shared" si="5"/>
        <v>1691582.5086346825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>
        <f>'ÖA29-19032829'!D12+'EM29-19032629-S'!D12+'ÖA28-19032728'!D12+'FA28-19032627-S'!D12+'G28-19032728-1'!D12+'G28-19032728'!D12+'ÜN27-19032627-S'!D12+'G27-19032526'!D12+'ÖB26-19032426'!D12+'BA26-19032526-S'!D12+'ÖB26-19032426-S'!D12+'BA26-19032526'!D12+'SA26-19032325-S'!D12+'AY25-19032425-S'!D12+'ÖA25-19032425'!D12+'EM25-19032223-S'!D12+'MO25-19032325'!D12+'ÖA22-19032021'!D12+'AT22-19032121-S'!D12+'G21-19032021-1'!D12+'G21-19032021'!D12+'ÜN20-19031920-S'!D12+'FA20-19031920-S'!D12+'G20-19031819-1'!D12+'ÖA19-19031819'!D12+'ÖA19-19031718'!D12+'BA19-19031819-S'!D12+'3E19-19031718-S'!D12+'AY18-19031718-S'!D12+'İP18-19031618-S'!D12+'G18-19031718-1'!D12+'G18-19031718'!D12+'BA16-19031415'!D12+'EM16-19031516-S'!D12+'G15-19031315'!D12+'3E14-19031213'!D12+BA19031213!D12+'G14-19031314-1'!D12+'G14-19031314'!D12+'3E13-19031213-S'!D12+'BA13-19031213-S'!D12+'ÜN13-19031213-S'!D12+'FA13-19031213-S'!D12+'G12-19031112'!D12+'BA12-19031011'!D12+'G12-19030911-1'!D12+'LA11-19030911-S'!D12+'AY11-19031011-S'!D12+'G11-19030911'!D12+'G9-19030708'!D12+'ÖA8-19030607'!D12+'G8-19030607'!D12+'G7-19030607'!D12+'G6-19030506'!D12+'BA5-19030305'!D12+'G5-19030204'!D12+'ÖA5-19030304-1'!D12+'ÖA4-19030304'!D12+'ÖB3-19032701'!D12</f>
        <v>48102.7</v>
      </c>
      <c r="E12" s="29">
        <f t="shared" si="1"/>
        <v>0.40912458207420477</v>
      </c>
      <c r="F12" s="28">
        <f t="shared" si="2"/>
        <v>25.544934055494938</v>
      </c>
      <c r="G12" s="27" t="str">
        <f>IF(C12&gt;=F12,"-","+")</f>
        <v>+</v>
      </c>
      <c r="H12" s="34">
        <f t="shared" si="4"/>
        <v>1202567.5</v>
      </c>
      <c r="I12" s="34">
        <f t="shared" si="5"/>
        <v>1228780.2993912562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27.4</v>
      </c>
      <c r="D13" s="30">
        <f>'ÖA29-19032829'!D13+'EM29-19032629-S'!D13+'ÖA28-19032728'!D13+'FA28-19032627-S'!D13+'G28-19032728-1'!D13+'G28-19032728'!D13+'ÜN27-19032627-S'!D13+'G27-19032526'!D13+'ÖB26-19032426'!D13+'BA26-19032526-S'!D13+'ÖB26-19032426-S'!D13+'BA26-19032526'!D13+'SA26-19032325-S'!D13+'AY25-19032425-S'!D13+'ÖA25-19032425'!D13+'EM25-19032223-S'!D13+'MO25-19032325'!D13+'ÖA22-19032021'!D13+'AT22-19032121-S'!D13+'G21-19032021-1'!D13+'G21-19032021'!D13+'ÜN20-19031920-S'!D13+'FA20-19031920-S'!D13+'G20-19031819-1'!D13+'ÖA19-19031819'!D13+'ÖA19-19031718'!D13+'BA19-19031819-S'!D13+'3E19-19031718-S'!D13+'AY18-19031718-S'!D13+'İP18-19031618-S'!D13+'G18-19031718-1'!D13+'G18-19031718'!D13+'BA16-19031415'!D13+'EM16-19031516-S'!D13+'G15-19031315'!D13+'3E14-19031213'!D13+BA19031213!D13+'G14-19031314-1'!D13+'G14-19031314'!D13+'3E13-19031213-S'!D13+'BA13-19031213-S'!D13+'ÜN13-19031213-S'!D13+'FA13-19031213-S'!D13+'G12-19031112'!D13+'BA12-19031011'!D13+'G12-19030911-1'!D13+'LA11-19030911-S'!D13+'AY11-19031011-S'!D13+'G11-19030911'!D13+'G9-19030708'!D13+'ÖA8-19030607'!D13+'G8-19030607'!D13+'G7-19030607'!D13+'G6-19030506'!D13+'BA5-19030305'!D13+'G5-19030204'!D13+'ÖA5-19030304-1'!D13+'ÖA4-19030304'!D13+'ÖB3-19032701'!D13</f>
        <v>54.9</v>
      </c>
      <c r="E13" s="29">
        <f t="shared" si="1"/>
        <v>4.6693718971853646E-4</v>
      </c>
      <c r="F13" s="28">
        <f t="shared" si="2"/>
        <v>27.997247724822451</v>
      </c>
      <c r="G13" s="27" t="str">
        <f t="shared" si="3"/>
        <v>+</v>
      </c>
      <c r="H13" s="34">
        <f t="shared" si="4"/>
        <v>1504.26</v>
      </c>
      <c r="I13" s="34">
        <f t="shared" si="5"/>
        <v>1537.0489000927525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>
        <f>'ÖA29-19032829'!D14+'EM29-19032629-S'!D14+'ÖA28-19032728'!D14+'FA28-19032627-S'!D14+'G28-19032728-1'!D14+'G28-19032728'!D14+'ÜN27-19032627-S'!D14+'G27-19032526'!D14+'ÖB26-19032426'!D14+'BA26-19032526-S'!D14+'ÖB26-19032426-S'!D14+'BA26-19032526'!D14+'SA26-19032325-S'!D14+'AY25-19032425-S'!D14+'ÖA25-19032425'!D14+'EM25-19032223-S'!D14+'MO25-19032325'!D14+'ÖA22-19032021'!D14+'AT22-19032121-S'!D14+'G21-19032021-1'!D14+'G21-19032021'!D14+'ÜN20-19031920-S'!D14+'FA20-19031920-S'!D14+'G20-19031819-1'!D14+'ÖA19-19031819'!D14+'ÖA19-19031718'!D14+'BA19-19031819-S'!D14+'3E19-19031718-S'!D14+'AY18-19031718-S'!D14+'İP18-19031618-S'!D14+'G18-19031718-1'!D14+'G18-19031718'!D14+'BA16-19031415'!D14+'EM16-19031516-S'!D14+'G15-19031315'!D14+'3E14-19031213'!D14+BA19031213!D14+'G14-19031314-1'!D14+'G14-19031314'!D14+'3E13-19031213-S'!D14+'BA13-19031213-S'!D14+'ÜN13-19031213-S'!D14+'FA13-19031213-S'!D14+'G12-19031112'!D14+'BA12-19031011'!D14+'G12-19030911-1'!D14+'LA11-19030911-S'!D14+'AY11-19031011-S'!D14+'G11-19030911'!D14+'G9-19030708'!D14+'ÖA8-19030607'!D14+'G8-19030607'!D14+'G7-19030607'!D14+'G6-19030506'!D14+'BA5-19030305'!D14+'G5-19030204'!D14+'ÖA5-19030304-1'!D14+'ÖA4-19030304'!D14+'ÖB3-19032701'!D14</f>
        <v>1927.2999999999997</v>
      </c>
      <c r="E14" s="29">
        <f t="shared" si="1"/>
        <v>1.6392131980774775E-2</v>
      </c>
      <c r="F14" s="28">
        <f t="shared" si="2"/>
        <v>31.266999283925806</v>
      </c>
      <c r="G14" s="27" t="str">
        <f t="shared" si="3"/>
        <v>+</v>
      </c>
      <c r="H14" s="34">
        <f t="shared" si="4"/>
        <v>58975.38</v>
      </c>
      <c r="I14" s="34">
        <f t="shared" si="5"/>
        <v>60260.887719910199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>
        <f>'ÖA29-19032829'!D15+'EM29-19032629-S'!D15+'ÖA28-19032728'!D15+'FA28-19032627-S'!D15+'G28-19032728-1'!D15+'G28-19032728'!D15+'ÜN27-19032627-S'!D15+'G27-19032526'!D15+'ÖB26-19032426'!D15+'BA26-19032526-S'!D15+'ÖB26-19032426-S'!D15+'BA26-19032526'!D15+'SA26-19032325-S'!D15+'AY25-19032425-S'!D15+'ÖA25-19032425'!D15+'EM25-19032223-S'!D15+'MO25-19032325'!D15+'ÖA22-19032021'!D15+'AT22-19032121-S'!D15+'G21-19032021-1'!D15+'G21-19032021'!D15+'ÜN20-19031920-S'!D15+'FA20-19031920-S'!D15+'G20-19031819-1'!D15+'ÖA19-19031819'!D15+'ÖA19-19031718'!D15+'BA19-19031819-S'!D15+'3E19-19031718-S'!D15+'AY18-19031718-S'!D15+'İP18-19031618-S'!D15+'G18-19031718-1'!D15+'G18-19031718'!D15+'BA16-19031415'!D15+'EM16-19031516-S'!D15+'G15-19031315'!D15+'3E14-19031213'!D15+BA19031213!D15+'G14-19031314-1'!D15+'G14-19031314'!D15+'3E13-19031213-S'!D15+'BA13-19031213-S'!D15+'ÜN13-19031213-S'!D15+'FA13-19031213-S'!D15+'G12-19031112'!D15+'BA12-19031011'!D15+'G12-19030911-1'!D15+'LA11-19030911-S'!D15+'AY11-19031011-S'!D15+'G11-19030911'!D15+'G9-19030708'!D15+'ÖA8-19030607'!D15+'G8-19030607'!D15+'G7-19030607'!D15+'G6-19030506'!D15+'BA5-19030305'!D15+'G5-19030204'!D15+'ÖA5-19030304-1'!D15+'ÖA4-19030304'!D15+'ÖB3-19032701'!D15</f>
        <v>1346.6999999999998</v>
      </c>
      <c r="E15" s="29">
        <f t="shared" si="1"/>
        <v>1.1453994779489125E-2</v>
      </c>
      <c r="F15" s="28">
        <f t="shared" si="2"/>
        <v>25.749293527938896</v>
      </c>
      <c r="G15" s="27" t="str">
        <f t="shared" si="3"/>
        <v>+</v>
      </c>
      <c r="H15" s="34">
        <f t="shared" si="4"/>
        <v>33936.839999999997</v>
      </c>
      <c r="I15" s="34">
        <f t="shared" si="5"/>
        <v>34676.573594075307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>
        <f>'ÖA29-19032829'!D16+'EM29-19032629-S'!D16+'ÖA28-19032728'!D16+'FA28-19032627-S'!D16+'G28-19032728-1'!D16+'G28-19032728'!D16+'ÜN27-19032627-S'!D16+'G27-19032526'!D16+'ÖB26-19032426'!D16+'BA26-19032526-S'!D16+'ÖB26-19032426-S'!D16+'BA26-19032526'!D16+'SA26-19032325-S'!D16+'AY25-19032425-S'!D16+'ÖA25-19032425'!D16+'EM25-19032223-S'!D16+'MO25-19032325'!D16+'ÖA22-19032021'!D16+'AT22-19032121-S'!D16+'G21-19032021-1'!D16+'G21-19032021'!D16+'ÜN20-19031920-S'!D16+'FA20-19031920-S'!D16+'G20-19031819-1'!D16+'ÖA19-19031819'!D16+'ÖA19-19031718'!D16+'BA19-19031819-S'!D16+'3E19-19031718-S'!D16+'AY18-19031718-S'!D16+'İP18-19031618-S'!D16+'G18-19031718-1'!D16+'G18-19031718'!D16+'BA16-19031415'!D16+'EM16-19031516-S'!D16+'G15-19031315'!D16+'3E14-19031213'!D16+BA19031213!D16+'G14-19031314-1'!D16+'G14-19031314'!D16+'3E13-19031213-S'!D16+'BA13-19031213-S'!D16+'ÜN13-19031213-S'!D16+'FA13-19031213-S'!D16+'G12-19031112'!D16+'BA12-19031011'!D16+'G12-19030911-1'!D16+'LA11-19030911-S'!D16+'AY11-19031011-S'!D16+'G11-19030911'!D16+'G9-19030708'!D16+'ÖA8-19030607'!D16+'G8-19030607'!D16+'G7-19030607'!D16+'G6-19030506'!D16+'BA5-19030305'!D16+'G5-19030204'!D16+'ÖA5-19030304-1'!D16+'ÖA4-19030304'!D16+'ÖB3-19032701'!D16</f>
        <v>5391.3</v>
      </c>
      <c r="E16" s="29">
        <f t="shared" si="1"/>
        <v>4.5854252658097373E-2</v>
      </c>
      <c r="F16" s="28">
        <f t="shared" si="2"/>
        <v>35.252008996583015</v>
      </c>
      <c r="G16" s="27" t="str">
        <f t="shared" si="3"/>
        <v>+</v>
      </c>
      <c r="H16" s="34">
        <f t="shared" si="4"/>
        <v>185999.85</v>
      </c>
      <c r="I16" s="34">
        <f t="shared" si="5"/>
        <v>190054.15610327802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>
        <f>'ÖA29-19032829'!D17+'EM29-19032629-S'!D17+'ÖA28-19032728'!D17+'FA28-19032627-S'!D17+'G28-19032728-1'!D17+'G28-19032728'!D17+'ÜN27-19032627-S'!D17+'G27-19032526'!D17+'ÖB26-19032426'!D17+'BA26-19032526-S'!D17+'ÖB26-19032426-S'!D17+'BA26-19032526'!D17+'SA26-19032325-S'!D17+'AY25-19032425-S'!D17+'ÖA25-19032425'!D17+'EM25-19032223-S'!D17+'MO25-19032325'!D17+'ÖA22-19032021'!D17+'AT22-19032121-S'!D17+'G21-19032021-1'!D17+'G21-19032021'!D17+'ÜN20-19031920-S'!D17+'FA20-19031920-S'!D17+'G20-19031819-1'!D17+'ÖA19-19031819'!D17+'ÖA19-19031718'!D17+'BA19-19031819-S'!D17+'3E19-19031718-S'!D17+'AY18-19031718-S'!D17+'İP18-19031618-S'!D17+'G18-19031718-1'!D17+'G18-19031718'!D17+'BA16-19031415'!D17+'EM16-19031516-S'!D17+'G15-19031315'!D17+'3E14-19031213'!D17+BA19031213!D17+'G14-19031314-1'!D17+'G14-19031314'!D17+'3E13-19031213-S'!D17+'BA13-19031213-S'!D17+'ÜN13-19031213-S'!D17+'FA13-19031213-S'!D17+'G12-19031112'!D17+'BA12-19031011'!D17+'G12-19030911-1'!D17+'LA11-19030911-S'!D17+'AY11-19031011-S'!D17+'G11-19030911'!D17+'G9-19030708'!D17+'ÖA8-19030607'!D17+'G8-19030607'!D17+'G7-19030607'!D17+'G6-19030506'!D17+'BA5-19030305'!D17+'G5-19030204'!D17+'ÖA5-19030304-1'!D17+'ÖA4-19030304'!D17+'ÖB3-19032701'!D17</f>
        <v>283.20000000000005</v>
      </c>
      <c r="E17" s="29">
        <f t="shared" si="1"/>
        <v>2.4086814595316859E-3</v>
      </c>
      <c r="F17" s="28">
        <f t="shared" si="2"/>
        <v>51.907306000765715</v>
      </c>
      <c r="G17" s="27" t="str">
        <f t="shared" si="3"/>
        <v>+</v>
      </c>
      <c r="H17" s="34">
        <f t="shared" si="4"/>
        <v>14386.560000000001</v>
      </c>
      <c r="I17" s="34">
        <f t="shared" si="5"/>
        <v>14700.149059416854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>
        <f>'ÖA29-19032829'!D18+'EM29-19032629-S'!D18+'ÖA28-19032728'!D18+'FA28-19032627-S'!D18+'G28-19032728-1'!D18+'G28-19032728'!D18+'ÜN27-19032627-S'!D18+'G27-19032526'!D18+'ÖB26-19032426'!D18+'BA26-19032526-S'!D18+'ÖB26-19032426-S'!D18+'BA26-19032526'!D18+'SA26-19032325-S'!D18+'AY25-19032425-S'!D18+'ÖA25-19032425'!D18+'EM25-19032223-S'!D18+'MO25-19032325'!D18+'ÖA22-19032021'!D18+'AT22-19032121-S'!D18+'G21-19032021-1'!D18+'G21-19032021'!D18+'ÜN20-19031920-S'!D18+'FA20-19031920-S'!D18+'G20-19031819-1'!D18+'ÖA19-19031819'!D18+'ÖA19-19031718'!D18+'BA19-19031819-S'!D18+'3E19-19031718-S'!D18+'AY18-19031718-S'!D18+'İP18-19031618-S'!D18+'G18-19031718-1'!D18+'G18-19031718'!D18+'BA16-19031415'!D18+'EM16-19031516-S'!D18+'G15-19031315'!D18+'3E14-19031213'!D18+BA19031213!D18+'G14-19031314-1'!D18+'G14-19031314'!D18+'3E13-19031213-S'!D18+'BA13-19031213-S'!D18+'ÜN13-19031213-S'!D18+'FA13-19031213-S'!D18+'G12-19031112'!D18+'BA12-19031011'!D18+'G12-19030911-1'!D18+'LA11-19030911-S'!D18+'AY11-19031011-S'!D18+'G11-19030911'!D18+'G9-19030708'!D18+'ÖA8-19030607'!D18+'G8-19030607'!D18+'G7-19030607'!D18+'G6-19030506'!D18+'BA5-19030305'!D18+'G5-19030204'!D18+'ÖA5-19030304-1'!D18+'ÖA4-19030304'!D18+'ÖB3-19032701'!D18</f>
        <v>49</v>
      </c>
      <c r="E18" s="29">
        <f t="shared" si="1"/>
        <v>4.1675632597829303E-4</v>
      </c>
      <c r="F18" s="28">
        <f t="shared" si="2"/>
        <v>45.469982618780989</v>
      </c>
      <c r="G18" s="27" t="str">
        <f t="shared" si="3"/>
        <v>+</v>
      </c>
      <c r="H18" s="34">
        <f t="shared" si="4"/>
        <v>2180.5</v>
      </c>
      <c r="I18" s="34">
        <f t="shared" si="5"/>
        <v>2228.0291483202686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26.834411910045276</v>
      </c>
      <c r="D19" s="49">
        <f>SUM(D10:D18)</f>
        <v>117574.69999999998</v>
      </c>
      <c r="E19" s="48">
        <f t="shared" si="1"/>
        <v>1</v>
      </c>
      <c r="F19" s="47">
        <f>I19/D19</f>
        <v>27.419331306403777</v>
      </c>
      <c r="G19" s="46">
        <f>F19/C19-1</f>
        <v>2.1797362219797334E-2</v>
      </c>
      <c r="H19" s="9">
        <f>SUM(H10:H18)</f>
        <v>3155047.9299999997</v>
      </c>
      <c r="I19" s="9">
        <f>SUM(I10:I18)</f>
        <v>3223819.6525510317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66.099999999999994</v>
      </c>
      <c r="D21" s="30">
        <f>'ÖA29-19032829'!D21+'EM29-19032629-S'!D21+'ÖA28-19032728'!D21+'FA28-19032627-S'!D21+'G28-19032728-1'!D21+'G28-19032728'!D21+'ÜN27-19032627-S'!D21+'G27-19032526'!D21+'ÖB26-19032426'!D21+'BA26-19032526-S'!D21+'ÖB26-19032426-S'!D21+'BA26-19032526'!D21+'SA26-19032325-S'!D21+'AY25-19032425-S'!D21+'ÖA25-19032425'!D21+'EM25-19032223-S'!D21+'MO25-19032325'!D21+'ÖA22-19032021'!D21+'AT22-19032121-S'!D21+'G21-19032021-1'!D21+'G21-19032021'!D21+'ÜN20-19031920-S'!D21+'FA20-19031920-S'!D21+'G20-19031819-1'!D21+'ÖA19-19031819'!D21+'ÖA19-19031718'!D21+'BA19-19031819-S'!D21+'3E19-19031718-S'!D21+'AY18-19031718-S'!D21+'İP18-19031618-S'!D21+'G18-19031718-1'!D21+'G18-19031718'!D21+'BA16-19031415'!D21+'EM16-19031516-S'!D21+'G15-19031315'!D21+'3E14-19031213'!D21+BA19031213!D21+'G14-19031314-1'!D21+'G14-19031314'!D21+'3E13-19031213-S'!D21+'BA13-19031213-S'!D21+'ÜN13-19031213-S'!D21+'FA13-19031213-S'!D21+'G12-19031112'!D21+'BA12-19031011'!D21+'G12-19030911-1'!D21+'LA11-19030911-S'!D21+'AY11-19031011-S'!D21+'G11-19030911'!D21+'G9-19030708'!D21+'ÖA8-19030607'!D21+'G8-19030607'!D21+'G7-19030607'!D21+'G6-19030506'!D21+'BA5-19030305'!D21+'G5-19030204'!D21+'ÖA5-19030304-1'!D21+'ÖA4-19030304'!D21+'ÖB3-19032701'!D21</f>
        <v>5883.4999999999982</v>
      </c>
      <c r="E21" s="29">
        <f>D21/$D$48</f>
        <v>9.9720722654305753E-3</v>
      </c>
      <c r="F21" s="28">
        <f>C21-(C21*$E$6)</f>
        <v>67.540805642728614</v>
      </c>
      <c r="G21" s="27" t="str">
        <f>IF(C21&gt;=F21,"-","+")</f>
        <v>+</v>
      </c>
      <c r="H21" s="26">
        <f>C21*D21</f>
        <v>388899.34999999986</v>
      </c>
      <c r="I21" s="26">
        <f>F21*D21</f>
        <v>397376.32999899366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44.4</v>
      </c>
      <c r="D22" s="30">
        <f>'ÖA29-19032829'!D22+'EM29-19032629-S'!D22+'ÖA28-19032728'!D22+'FA28-19032627-S'!D22+'G28-19032728-1'!D22+'G28-19032728'!D22+'ÜN27-19032627-S'!D22+'G27-19032526'!D22+'ÖB26-19032426'!D22+'BA26-19032526-S'!D22+'ÖB26-19032426-S'!D22+'BA26-19032526'!D22+'SA26-19032325-S'!D22+'AY25-19032425-S'!D22+'ÖA25-19032425'!D22+'EM25-19032223-S'!D22+'MO25-19032325'!D22+'ÖA22-19032021'!D22+'AT22-19032121-S'!D22+'G21-19032021-1'!D22+'G21-19032021'!D22+'ÜN20-19031920-S'!D22+'FA20-19031920-S'!D22+'G20-19031819-1'!D22+'ÖA19-19031819'!D22+'ÖA19-19031718'!D22+'BA19-19031819-S'!D22+'3E19-19031718-S'!D22+'AY18-19031718-S'!D22+'İP18-19031618-S'!D22+'G18-19031718-1'!D22+'G18-19031718'!D22+'BA16-19031415'!D22+'EM16-19031516-S'!D22+'G15-19031315'!D22+'3E14-19031213'!D22+BA19031213!D22+'G14-19031314-1'!D22+'G14-19031314'!D22+'3E13-19031213-S'!D22+'BA13-19031213-S'!D22+'ÜN13-19031213-S'!D22+'FA13-19031213-S'!D22+'G12-19031112'!D22+'BA12-19031011'!D22+'G12-19030911-1'!D22+'LA11-19030911-S'!D22+'AY11-19031011-S'!D22+'G11-19030911'!D22+'G9-19030708'!D22+'ÖA8-19030607'!D22+'G8-19030607'!D22+'G7-19030607'!D22+'G6-19030506'!D22+'BA5-19030305'!D22+'G5-19030204'!D22+'ÖA5-19030304-1'!D22+'ÖA4-19030304'!D22+'ÖB3-19032701'!D22</f>
        <v>17492.300000000003</v>
      </c>
      <c r="E22" s="29">
        <f>D22/$D$48</f>
        <v>2.9648080171427102E-2</v>
      </c>
      <c r="F22" s="28">
        <f>C22-(C22*$E$6)</f>
        <v>45.367802882559012</v>
      </c>
      <c r="G22" s="27" t="str">
        <f>IF(C22&gt;=F22,"-","+")</f>
        <v>+</v>
      </c>
      <c r="H22" s="26">
        <f>C22*D22</f>
        <v>776658.12000000011</v>
      </c>
      <c r="I22" s="26">
        <f>F22*D22</f>
        <v>793587.21836258715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40.5</v>
      </c>
      <c r="D23" s="30">
        <f>'ÖA29-19032829'!D23+'EM29-19032629-S'!D23+'ÖA28-19032728'!D23+'FA28-19032627-S'!D23+'G28-19032728-1'!D23+'G28-19032728'!D23+'ÜN27-19032627-S'!D23+'G27-19032526'!D23+'ÖB26-19032426'!D23+'BA26-19032526-S'!D23+'ÖB26-19032426-S'!D23+'BA26-19032526'!D23+'SA26-19032325-S'!D23+'AY25-19032425-S'!D23+'ÖA25-19032425'!D23+'EM25-19032223-S'!D23+'MO25-19032325'!D23+'ÖA22-19032021'!D23+'AT22-19032121-S'!D23+'G21-19032021-1'!D23+'G21-19032021'!D23+'ÜN20-19031920-S'!D23+'FA20-19031920-S'!D23+'G20-19031819-1'!D23+'ÖA19-19031819'!D23+'ÖA19-19031718'!D23+'BA19-19031819-S'!D23+'3E19-19031718-S'!D23+'AY18-19031718-S'!D23+'İP18-19031618-S'!D23+'G18-19031718-1'!D23+'G18-19031718'!D23+'BA16-19031415'!D23+'EM16-19031516-S'!D23+'G15-19031315'!D23+'3E14-19031213'!D23+BA19031213!D23+'G14-19031314-1'!D23+'G14-19031314'!D23+'3E13-19031213-S'!D23+'BA13-19031213-S'!D23+'ÜN13-19031213-S'!D23+'FA13-19031213-S'!D23+'G12-19031112'!D23+'BA12-19031011'!D23+'G12-19030911-1'!D23+'LA11-19030911-S'!D23+'AY11-19031011-S'!D23+'G11-19030911'!D23+'G9-19030708'!D23+'ÖA8-19030607'!D23+'G8-19030607'!D23+'G7-19030607'!D23+'G6-19030506'!D23+'BA5-19030305'!D23+'G5-19030204'!D23+'ÖA5-19030304-1'!D23+'ÖA4-19030304'!D23+'ÖB3-19032701'!D23</f>
        <v>11708.400000000001</v>
      </c>
      <c r="E23" s="29">
        <f>D23/$D$48</f>
        <v>1.9844822114824068E-2</v>
      </c>
      <c r="F23" s="28">
        <f>C23-(C23*$E$6)</f>
        <v>41.382793169901802</v>
      </c>
      <c r="G23" s="27" t="str">
        <f>IF(C23&gt;=F23,"-","+")</f>
        <v>+</v>
      </c>
      <c r="H23" s="26">
        <f>C23*D23</f>
        <v>474190.20000000007</v>
      </c>
      <c r="I23" s="26">
        <f>F23*D23</f>
        <v>484526.29555047833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46.737496365885491</v>
      </c>
      <c r="D24" s="22">
        <f>SUM(D21:D23)</f>
        <v>35084.200000000004</v>
      </c>
      <c r="E24" s="21">
        <f>D24/$D$48</f>
        <v>5.9464974551681746E-2</v>
      </c>
      <c r="F24" s="20">
        <f>I24/D24</f>
        <v>47.756250503419174</v>
      </c>
      <c r="G24" s="19">
        <f>F24/C24-1</f>
        <v>2.1797362219797778E-2</v>
      </c>
      <c r="H24" s="18">
        <f>SUM(H21:H23)</f>
        <v>1639747.67</v>
      </c>
      <c r="I24" s="18">
        <f>SUM(I21:I23)</f>
        <v>1675489.8439120592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35.299999999999997</v>
      </c>
      <c r="D26" s="30">
        <f>'ÖA29-19032829'!D26+'EM29-19032629-S'!D26+'ÖA28-19032728'!D26+'FA28-19032627-S'!D26+'G28-19032728-1'!D26+'G28-19032728'!D26+'ÜN27-19032627-S'!D26+'G27-19032526'!D26+'ÖB26-19032426'!D26+'BA26-19032526-S'!D26+'ÖB26-19032426-S'!D26+'BA26-19032526'!D26+'SA26-19032325-S'!D26+'AY25-19032425-S'!D26+'ÖA25-19032425'!D26+'EM25-19032223-S'!D26+'MO25-19032325'!D26+'ÖA22-19032021'!D26+'AT22-19032121-S'!D26+'G21-19032021-1'!D26+'G21-19032021'!D26+'ÜN20-19031920-S'!D26+'FA20-19031920-S'!D26+'G20-19031819-1'!D26+'ÖA19-19031819'!D26+'ÖA19-19031718'!D26+'BA19-19031819-S'!D26+'3E19-19031718-S'!D26+'AY18-19031718-S'!D26+'İP18-19031618-S'!D26+'G18-19031718-1'!D26+'G18-19031718'!D26+'BA16-19031415'!D26+'EM16-19031516-S'!D26+'G15-19031315'!D26+'3E14-19031213'!D26+BA19031213!D26+'G14-19031314-1'!D26+'G14-19031314'!D26+'3E13-19031213-S'!D26+'BA13-19031213-S'!D26+'ÜN13-19031213-S'!D26+'FA13-19031213-S'!D26+'G12-19031112'!D26+'BA12-19031011'!D26+'G12-19030911-1'!D26+'LA11-19030911-S'!D26+'AY11-19031011-S'!D26+'G11-19030911'!D26+'G9-19030708'!D26+'ÖA8-19030607'!D26+'G8-19030607'!D26+'G7-19030607'!D26+'G6-19030506'!D26+'BA5-19030305'!D26+'G5-19030204'!D26+'ÖA5-19030304-1'!D26+'ÖA4-19030304'!D26+'ÖB3-19032701'!D26</f>
        <v>106550.90000000001</v>
      </c>
      <c r="E26" s="29">
        <f t="shared" ref="E26:E32" si="7">D26/$D$48</f>
        <v>0.1805954405960172</v>
      </c>
      <c r="F26" s="28">
        <f t="shared" ref="F26:F31" si="8">C26-(C26*$E$6)</f>
        <v>36.069446886358854</v>
      </c>
      <c r="G26" s="27" t="str">
        <f t="shared" ref="G26:G31" si="9">IF(C26&gt;=F26,"-","+")</f>
        <v>+</v>
      </c>
      <c r="H26" s="26">
        <f t="shared" ref="H26:H31" si="10">C26*D26</f>
        <v>3761246.77</v>
      </c>
      <c r="I26" s="26">
        <f t="shared" ref="I26:I31" si="11">F26*D26</f>
        <v>3843232.028243734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f>'ÖA29-19032829'!D27+'EM29-19032629-S'!D27+'ÖA28-19032728'!D27+'FA28-19032627-S'!D27+'G28-19032728-1'!D27+'G28-19032728'!D27+'ÜN27-19032627-S'!D27+'G27-19032526'!D27+'ÖB26-19032426'!D27+'BA26-19032526-S'!D27+'ÖB26-19032426-S'!D27+'BA26-19032526'!D27+'SA26-19032325-S'!D27+'AY25-19032425-S'!D27+'ÖA25-19032425'!D27+'EM25-19032223-S'!D27+'MO25-19032325'!D27+'ÖA22-19032021'!D27+'AT22-19032121-S'!D27+'G21-19032021-1'!D27+'G21-19032021'!D27+'ÜN20-19031920-S'!D27+'FA20-19031920-S'!D27+'G20-19031819-1'!D27+'ÖA19-19031819'!D27+'ÖA19-19031718'!D27+'BA19-19031819-S'!D27+'3E19-19031718-S'!D27+'AY18-19031718-S'!D27+'İP18-19031618-S'!D27+'G18-19031718-1'!D27+'G18-19031718'!D27+'BA16-19031415'!D27+'EM16-19031516-S'!D27+'G15-19031315'!D27+'3E14-19031213'!D27+BA19031213!D27+'G14-19031314-1'!D27+'G14-19031314'!D27+'3E13-19031213-S'!D27+'BA13-19031213-S'!D27+'ÜN13-19031213-S'!D27+'FA13-19031213-S'!D27+'G12-19031112'!D27+'BA12-19031011'!D27+'G12-19030911-1'!D27+'LA11-19030911-S'!D27+'AY11-19031011-S'!D27+'G11-19030911'!D27+'G9-19030708'!D27+'ÖA8-19030607'!D27+'G8-19030607'!D27+'G7-19030607'!D27+'G6-19030506'!D27+'BA5-19030305'!D27+'G5-19030204'!D27+'ÖA5-19030304-1'!D27+'ÖA4-19030304'!D27+'ÖB3-19032701'!D27</f>
        <v>91654.599999999991</v>
      </c>
      <c r="E27" s="29">
        <f t="shared" si="7"/>
        <v>0.15534737735346876</v>
      </c>
      <c r="F27" s="28">
        <f t="shared" si="8"/>
        <v>32.084437173701644</v>
      </c>
      <c r="G27" s="27" t="str">
        <f t="shared" si="9"/>
        <v>+</v>
      </c>
      <c r="H27" s="26">
        <f t="shared" si="10"/>
        <v>2877954.4399999995</v>
      </c>
      <c r="I27" s="26">
        <f t="shared" si="11"/>
        <v>2940686.2553807544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f>'ÖA29-19032829'!D28+'EM29-19032629-S'!D28+'ÖA28-19032728'!D28+'FA28-19032627-S'!D28+'G28-19032728-1'!D28+'G28-19032728'!D28+'ÜN27-19032627-S'!D28+'G27-19032526'!D28+'ÖB26-19032426'!D28+'BA26-19032526-S'!D28+'ÖB26-19032426-S'!D28+'BA26-19032526'!D28+'SA26-19032325-S'!D28+'AY25-19032425-S'!D28+'ÖA25-19032425'!D28+'EM25-19032223-S'!D28+'MO25-19032325'!D28+'ÖA22-19032021'!D28+'AT22-19032121-S'!D28+'G21-19032021-1'!D28+'G21-19032021'!D28+'ÜN20-19031920-S'!D28+'FA20-19031920-S'!D28+'G20-19031819-1'!D28+'ÖA19-19031819'!D28+'ÖA19-19031718'!D28+'BA19-19031819-S'!D28+'3E19-19031718-S'!D28+'AY18-19031718-S'!D28+'İP18-19031618-S'!D28+'G18-19031718-1'!D28+'G18-19031718'!D28+'BA16-19031415'!D28+'EM16-19031516-S'!D28+'G15-19031315'!D28+'3E14-19031213'!D28+BA19031213!D28+'G14-19031314-1'!D28+'G14-19031314'!D28+'3E13-19031213-S'!D28+'BA13-19031213-S'!D28+'ÜN13-19031213-S'!D28+'FA13-19031213-S'!D28+'G12-19031112'!D28+'BA12-19031011'!D28+'G12-19030911-1'!D28+'LA11-19030911-S'!D28+'AY11-19031011-S'!D28+'G11-19030911'!D28+'G9-19030708'!D28+'ÖA8-19030607'!D28+'G8-19030607'!D28+'G7-19030607'!D28+'G6-19030506'!D28+'BA5-19030305'!D28+'G5-19030204'!D28+'ÖA5-19030304-1'!D28+'ÖA4-19030304'!D28+'ÖB3-19032701'!D28</f>
        <v>62939.000000000015</v>
      </c>
      <c r="E28" s="29">
        <f t="shared" si="7"/>
        <v>0.10667668162045302</v>
      </c>
      <c r="F28" s="28">
        <f t="shared" si="8"/>
        <v>32.084437173701644</v>
      </c>
      <c r="G28" s="27" t="str">
        <f t="shared" si="9"/>
        <v>+</v>
      </c>
      <c r="H28" s="26">
        <f t="shared" si="10"/>
        <v>1976284.6000000003</v>
      </c>
      <c r="I28" s="26">
        <f t="shared" si="11"/>
        <v>2019362.3912756082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f>'ÖA29-19032829'!D29+'EM29-19032629-S'!D29+'ÖA28-19032728'!D29+'FA28-19032627-S'!D29+'G28-19032728-1'!D29+'G28-19032728'!D29+'ÜN27-19032627-S'!D29+'G27-19032526'!D29+'ÖB26-19032426'!D29+'BA26-19032526-S'!D29+'ÖB26-19032426-S'!D29+'BA26-19032526'!D29+'SA26-19032325-S'!D29+'AY25-19032425-S'!D29+'ÖA25-19032425'!D29+'EM25-19032223-S'!D29+'MO25-19032325'!D29+'ÖA22-19032021'!D29+'AT22-19032121-S'!D29+'G21-19032021-1'!D29+'G21-19032021'!D29+'ÜN20-19031920-S'!D29+'FA20-19031920-S'!D29+'G20-19031819-1'!D29+'ÖA19-19031819'!D29+'ÖA19-19031718'!D29+'BA19-19031819-S'!D29+'3E19-19031718-S'!D29+'AY18-19031718-S'!D29+'İP18-19031618-S'!D29+'G18-19031718-1'!D29+'G18-19031718'!D29+'BA16-19031415'!D29+'EM16-19031516-S'!D29+'G15-19031315'!D29+'3E14-19031213'!D29+BA19031213!D29+'G14-19031314-1'!D29+'G14-19031314'!D29+'3E13-19031213-S'!D29+'BA13-19031213-S'!D29+'ÜN13-19031213-S'!D29+'FA13-19031213-S'!D29+'G12-19031112'!D29+'BA12-19031011'!D29+'G12-19030911-1'!D29+'LA11-19030911-S'!D29+'AY11-19031011-S'!D29+'G11-19030911'!D29+'G9-19030708'!D29+'ÖA8-19030607'!D29+'G8-19030607'!D29+'G7-19030607'!D29+'G6-19030506'!D29+'BA5-19030305'!D29+'G5-19030204'!D29+'ÖA5-19030304-1'!D29+'ÖA4-19030304'!D29+'ÖB3-19032701'!D29</f>
        <v>55228.4</v>
      </c>
      <c r="E29" s="29">
        <f t="shared" si="7"/>
        <v>9.3607817779231106E-2</v>
      </c>
      <c r="F29" s="28">
        <f t="shared" si="8"/>
        <v>30.960460075259867</v>
      </c>
      <c r="G29" s="27" t="str">
        <f t="shared" si="9"/>
        <v>+</v>
      </c>
      <c r="H29" s="26">
        <f t="shared" si="10"/>
        <v>1673420.52</v>
      </c>
      <c r="I29" s="26">
        <f t="shared" si="11"/>
        <v>1709896.6732204822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f>'ÖA29-19032829'!D30+'EM29-19032629-S'!D30+'ÖA28-19032728'!D30+'FA28-19032627-S'!D30+'G28-19032728-1'!D30+'G28-19032728'!D30+'ÜN27-19032627-S'!D30+'G27-19032526'!D30+'ÖB26-19032426'!D30+'BA26-19032526-S'!D30+'ÖB26-19032426-S'!D30+'BA26-19032526'!D30+'SA26-19032325-S'!D30+'AY25-19032425-S'!D30+'ÖA25-19032425'!D30+'EM25-19032223-S'!D30+'MO25-19032325'!D30+'ÖA22-19032021'!D30+'AT22-19032121-S'!D30+'G21-19032021-1'!D30+'G21-19032021'!D30+'ÜN20-19031920-S'!D30+'FA20-19031920-S'!D30+'G20-19031819-1'!D30+'ÖA19-19031819'!D30+'ÖA19-19031718'!D30+'BA19-19031819-S'!D30+'3E19-19031718-S'!D30+'AY18-19031718-S'!D30+'İP18-19031618-S'!D30+'G18-19031718-1'!D30+'G18-19031718'!D30+'BA16-19031415'!D30+'EM16-19031516-S'!D30+'G15-19031315'!D30+'3E14-19031213'!D30+BA19031213!D30+'G14-19031314-1'!D30+'G14-19031314'!D30+'3E13-19031213-S'!D30+'BA13-19031213-S'!D30+'ÜN13-19031213-S'!D30+'FA13-19031213-S'!D30+'G12-19031112'!D30+'BA12-19031011'!D30+'G12-19030911-1'!D30+'LA11-19030911-S'!D30+'AY11-19031011-S'!D30+'G11-19030911'!D30+'G9-19030708'!D30+'ÖA8-19030607'!D30+'G8-19030607'!D30+'G7-19030607'!D30+'G6-19030506'!D30+'BA5-19030305'!D30+'G5-19030204'!D30+'ÖA5-19030304-1'!D30+'ÖA4-19030304'!D30+'ÖB3-19032701'!D30</f>
        <v>37244.980000000003</v>
      </c>
      <c r="E30" s="29">
        <f t="shared" si="7"/>
        <v>6.3127327625480859E-2</v>
      </c>
      <c r="F30" s="28">
        <f t="shared" si="8"/>
        <v>30.960460075259867</v>
      </c>
      <c r="G30" s="27" t="str">
        <f t="shared" si="9"/>
        <v>+</v>
      </c>
      <c r="H30" s="26">
        <f t="shared" si="10"/>
        <v>1128522.8940000001</v>
      </c>
      <c r="I30" s="26">
        <f t="shared" si="11"/>
        <v>1153121.7162938523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30.9</v>
      </c>
      <c r="D31" s="30">
        <f>'ÖA29-19032829'!D31+'EM29-19032629-S'!D31+'ÖA28-19032728'!D31+'FA28-19032627-S'!D31+'G28-19032728-1'!D31+'G28-19032728'!D31+'ÜN27-19032627-S'!D31+'G27-19032526'!D31+'ÖB26-19032426'!D31+'BA26-19032526-S'!D31+'ÖB26-19032426-S'!D31+'BA26-19032526'!D31+'SA26-19032325-S'!D31+'AY25-19032425-S'!D31+'ÖA25-19032425'!D31+'EM25-19032223-S'!D31+'MO25-19032325'!D31+'ÖA22-19032021'!D31+'AT22-19032121-S'!D31+'G21-19032021-1'!D31+'G21-19032021'!D31+'ÜN20-19031920-S'!D31+'FA20-19031920-S'!D31+'G20-19031819-1'!D31+'ÖA19-19031819'!D31+'ÖA19-19031718'!D31+'BA19-19031819-S'!D31+'3E19-19031718-S'!D31+'AY18-19031718-S'!D31+'İP18-19031618-S'!D31+'G18-19031718-1'!D31+'G18-19031718'!D31+'BA16-19031415'!D31+'EM16-19031516-S'!D31+'G15-19031315'!D31+'3E14-19031213'!D31+BA19031213!D31+'G14-19031314-1'!D31+'G14-19031314'!D31+'3E13-19031213-S'!D31+'BA13-19031213-S'!D31+'ÜN13-19031213-S'!D31+'FA13-19031213-S'!D31+'G12-19031112'!D31+'BA12-19031011'!D31+'G12-19030911-1'!D31+'LA11-19030911-S'!D31+'AY11-19031011-S'!D31+'G11-19030911'!D31+'G9-19030708'!D31+'ÖA8-19030607'!D31+'G8-19030607'!D31+'G7-19030607'!D31+'G6-19030506'!D31+'BA5-19030305'!D31+'G5-19030204'!D31+'ÖA5-19030304-1'!D31+'ÖA4-19030304'!D31+'ÖB3-19032701'!D31</f>
        <v>11226.399999999998</v>
      </c>
      <c r="E31" s="29">
        <f t="shared" si="7"/>
        <v>1.9027869819092349E-2</v>
      </c>
      <c r="F31" s="28">
        <f t="shared" si="8"/>
        <v>31.573538492591744</v>
      </c>
      <c r="G31" s="27" t="str">
        <f t="shared" si="9"/>
        <v>+</v>
      </c>
      <c r="H31" s="26">
        <f t="shared" si="10"/>
        <v>346895.75999999989</v>
      </c>
      <c r="I31" s="26">
        <f t="shared" si="11"/>
        <v>354457.1725332319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32.244783950018338</v>
      </c>
      <c r="D32" s="22">
        <f>SUM(D26:D31)</f>
        <v>364844.28</v>
      </c>
      <c r="E32" s="21">
        <f t="shared" si="7"/>
        <v>0.61838251479374329</v>
      </c>
      <c r="F32" s="20">
        <f>I32/D32</f>
        <v>32.947635185476017</v>
      </c>
      <c r="G32" s="19">
        <f>F32/C32-1</f>
        <v>2.1797362219798E-2</v>
      </c>
      <c r="H32" s="18">
        <f>SUM(H26:H31)</f>
        <v>11764324.983999997</v>
      </c>
      <c r="I32" s="18">
        <f>SUM(I26:I31)</f>
        <v>12020756.236947665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18.600000000000001</v>
      </c>
      <c r="D34" s="30">
        <f>'ÖA29-19032829'!D34+'EM29-19032629-S'!D34+'ÖA28-19032728'!D34+'FA28-19032627-S'!D34+'G28-19032728-1'!D34+'G28-19032728'!D34+'ÜN27-19032627-S'!D34+'G27-19032526'!D34+'ÖB26-19032426'!D34+'BA26-19032526-S'!D34+'ÖB26-19032426-S'!D34+'BA26-19032526'!D34+'SA26-19032325-S'!D34+'AY25-19032425-S'!D34+'ÖA25-19032425'!D34+'EM25-19032223-S'!D34+'MO25-19032325'!D34+'ÖA22-19032021'!D34+'AT22-19032121-S'!D34+'G21-19032021-1'!D34+'G21-19032021'!D34+'ÜN20-19031920-S'!D34+'FA20-19031920-S'!D34+'G20-19031819-1'!D34+'ÖA19-19031819'!D34+'ÖA19-19031718'!D34+'BA19-19031819-S'!D34+'3E19-19031718-S'!D34+'AY18-19031718-S'!D34+'İP18-19031618-S'!D34+'G18-19031718-1'!D34+'G18-19031718'!D34+'BA16-19031415'!D34+'EM16-19031516-S'!D34+'G15-19031315'!D34+'3E14-19031213'!D34+BA19031213!D34+'G14-19031314-1'!D34+'G14-19031314'!D34+'3E13-19031213-S'!D34+'BA13-19031213-S'!D34+'ÜN13-19031213-S'!D34+'FA13-19031213-S'!D34+'G12-19031112'!D34+'BA12-19031011'!D34+'G12-19030911-1'!D34+'LA11-19030911-S'!D34+'AY11-19031011-S'!D34+'G11-19030911'!D34+'G9-19030708'!D34+'ÖA8-19030607'!D34+'G8-19030607'!D34+'G7-19030607'!D34+'G6-19030506'!D34+'BA5-19030305'!D34+'G5-19030204'!D34+'ÖA5-19030304-1'!D34+'ÖA4-19030304'!D34+'ÖB3-19032701'!D34</f>
        <v>82758.630000000034</v>
      </c>
      <c r="E34" s="29">
        <f t="shared" ref="E34:E40" si="13">D34/$D$48</f>
        <v>0.14026940408736829</v>
      </c>
      <c r="F34" s="28">
        <f t="shared" ref="F34:F39" si="14">C34-(C34*$E$6)</f>
        <v>19.005430937288235</v>
      </c>
      <c r="G34" s="27" t="str">
        <f t="shared" ref="G34:G39" si="15">IF(C34&gt;=F34,"-","+")</f>
        <v>+</v>
      </c>
      <c r="H34" s="26">
        <f t="shared" ref="H34:H39" si="16">C34*D34</f>
        <v>1539310.5180000009</v>
      </c>
      <c r="I34" s="26">
        <f t="shared" ref="I34:I39" si="17">F34*D34</f>
        <v>1572863.426929591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>
        <f>'ÖA29-19032829'!D35+'EM29-19032629-S'!D35+'ÖA28-19032728'!D35+'FA28-19032627-S'!D35+'G28-19032728-1'!D35+'G28-19032728'!D35+'ÜN27-19032627-S'!D35+'G27-19032526'!D35+'ÖB26-19032426'!D35+'BA26-19032526-S'!D35+'ÖB26-19032426-S'!D35+'BA26-19032526'!D35+'SA26-19032325-S'!D35+'AY25-19032425-S'!D35+'ÖA25-19032425'!D35+'EM25-19032223-S'!D35+'MO25-19032325'!D35+'ÖA22-19032021'!D35+'AT22-19032121-S'!D35+'G21-19032021-1'!D35+'G21-19032021'!D35+'ÜN20-19031920-S'!D35+'FA20-19031920-S'!D35+'G20-19031819-1'!D35+'ÖA19-19031819'!D35+'ÖA19-19031718'!D35+'BA19-19031819-S'!D35+'3E19-19031718-S'!D35+'AY18-19031718-S'!D35+'İP18-19031618-S'!D35+'G18-19031718-1'!D35+'G18-19031718'!D35+'BA16-19031415'!D35+'EM16-19031516-S'!D35+'G15-19031315'!D35+'3E14-19031213'!D35+BA19031213!D35+'G14-19031314-1'!D35+'G14-19031314'!D35+'3E13-19031213-S'!D35+'BA13-19031213-S'!D35+'ÜN13-19031213-S'!D35+'FA13-19031213-S'!D35+'G12-19031112'!D35+'BA12-19031011'!D35+'G12-19030911-1'!D35+'LA11-19030911-S'!D35+'AY11-19031011-S'!D35+'G11-19030911'!D35+'G9-19030708'!D35+'ÖA8-19030607'!D35+'G8-19030607'!D35+'G7-19030607'!D35+'G6-19030506'!D35+'BA5-19030305'!D35+'G5-19030204'!D35+'ÖA5-19030304-1'!D35+'ÖA4-19030304'!D35+'ÖB3-19032701'!D35</f>
        <v>3624.5999999999995</v>
      </c>
      <c r="E35" s="29">
        <f t="shared" si="13"/>
        <v>6.1434134670314729E-3</v>
      </c>
      <c r="F35" s="28">
        <f t="shared" si="14"/>
        <v>14.611702279743106</v>
      </c>
      <c r="G35" s="27" t="str">
        <f t="shared" si="15"/>
        <v>+</v>
      </c>
      <c r="H35" s="26">
        <f t="shared" si="16"/>
        <v>51831.779999999992</v>
      </c>
      <c r="I35" s="26">
        <f t="shared" si="17"/>
        <v>52961.576083156855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>
        <f>'ÖA29-19032829'!D36+'EM29-19032629-S'!D36+'ÖA28-19032728'!D36+'FA28-19032627-S'!D36+'G28-19032728-1'!D36+'G28-19032728'!D36+'ÜN27-19032627-S'!D36+'G27-19032526'!D36+'ÖB26-19032426'!D36+'BA26-19032526-S'!D36+'ÖB26-19032426-S'!D36+'BA26-19032526'!D36+'SA26-19032325-S'!D36+'AY25-19032425-S'!D36+'ÖA25-19032425'!D36+'EM25-19032223-S'!D36+'MO25-19032325'!D36+'ÖA22-19032021'!D36+'AT22-19032121-S'!D36+'G21-19032021-1'!D36+'G21-19032021'!D36+'ÜN20-19031920-S'!D36+'FA20-19031920-S'!D36+'G20-19031819-1'!D36+'ÖA19-19031819'!D36+'ÖA19-19031718'!D36+'BA19-19031819-S'!D36+'3E19-19031718-S'!D36+'AY18-19031718-S'!D36+'İP18-19031618-S'!D36+'G18-19031718-1'!D36+'G18-19031718'!D36+'BA16-19031415'!D36+'EM16-19031516-S'!D36+'G15-19031315'!D36+'3E14-19031213'!D36+BA19031213!D36+'G14-19031314-1'!D36+'G14-19031314'!D36+'3E13-19031213-S'!D36+'BA13-19031213-S'!D36+'ÜN13-19031213-S'!D36+'FA13-19031213-S'!D36+'G12-19031112'!D36+'BA12-19031011'!D36+'G12-19030911-1'!D36+'LA11-19030911-S'!D36+'AY11-19031011-S'!D36+'G11-19030911'!D36+'G9-19030708'!D36+'ÖA8-19030607'!D36+'G8-19030607'!D36+'G7-19030607'!D36+'G6-19030506'!D36+'BA5-19030305'!D36+'G5-19030204'!D36+'ÖA5-19030304-1'!D36+'ÖA4-19030304'!D36+'ÖB3-19032701'!D36</f>
        <v>0</v>
      </c>
      <c r="E36" s="29">
        <f t="shared" si="13"/>
        <v>0</v>
      </c>
      <c r="F36" s="28">
        <f t="shared" si="14"/>
        <v>11.750669665527672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>
        <f>'ÖA29-19032829'!D37+'EM29-19032629-S'!D37+'ÖA28-19032728'!D37+'FA28-19032627-S'!D37+'G28-19032728-1'!D37+'G28-19032728'!D37+'ÜN27-19032627-S'!D37+'G27-19032526'!D37+'ÖB26-19032426'!D37+'BA26-19032526-S'!D37+'ÖB26-19032426-S'!D37+'BA26-19032526'!D37+'SA26-19032325-S'!D37+'AY25-19032425-S'!D37+'ÖA25-19032425'!D37+'EM25-19032223-S'!D37+'MO25-19032325'!D37+'ÖA22-19032021'!D37+'AT22-19032121-S'!D37+'G21-19032021-1'!D37+'G21-19032021'!D37+'ÜN20-19031920-S'!D37+'FA20-19031920-S'!D37+'G20-19031819-1'!D37+'ÖA19-19031819'!D37+'ÖA19-19031718'!D37+'BA19-19031819-S'!D37+'3E19-19031718-S'!D37+'AY18-19031718-S'!D37+'İP18-19031618-S'!D37+'G18-19031718-1'!D37+'G18-19031718'!D37+'BA16-19031415'!D37+'EM16-19031516-S'!D37+'G15-19031315'!D37+'3E14-19031213'!D37+BA19031213!D37+'G14-19031314-1'!D37+'G14-19031314'!D37+'3E13-19031213-S'!D37+'BA13-19031213-S'!D37+'ÜN13-19031213-S'!D37+'FA13-19031213-S'!D37+'G12-19031112'!D37+'BA12-19031011'!D37+'G12-19030911-1'!D37+'LA11-19030911-S'!D37+'AY11-19031011-S'!D37+'G11-19030911'!D37+'G9-19030708'!D37+'ÖA8-19030607'!D37+'G8-19030607'!D37+'G7-19030607'!D37+'G6-19030506'!D37+'BA5-19030305'!D37+'G5-19030204'!D37+'ÖA5-19030304-1'!D37+'ÖA4-19030304'!D37+'ÖB3-19032701'!D37</f>
        <v>0</v>
      </c>
      <c r="E37" s="29">
        <f t="shared" si="13"/>
        <v>0</v>
      </c>
      <c r="F37" s="28">
        <f t="shared" si="14"/>
        <v>30.960460075259867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>
        <f>'ÖA29-19032829'!D38+'EM29-19032629-S'!D38+'ÖA28-19032728'!D38+'FA28-19032627-S'!D38+'G28-19032728-1'!D38+'G28-19032728'!D38+'ÜN27-19032627-S'!D38+'G27-19032526'!D38+'ÖB26-19032426'!D38+'BA26-19032526-S'!D38+'ÖB26-19032426-S'!D38+'BA26-19032526'!D38+'SA26-19032325-S'!D38+'AY25-19032425-S'!D38+'ÖA25-19032425'!D38+'EM25-19032223-S'!D38+'MO25-19032325'!D38+'ÖA22-19032021'!D38+'AT22-19032121-S'!D38+'G21-19032021-1'!D38+'G21-19032021'!D38+'ÜN20-19031920-S'!D38+'FA20-19031920-S'!D38+'G20-19031819-1'!D38+'ÖA19-19031819'!D38+'ÖA19-19031718'!D38+'BA19-19031819-S'!D38+'3E19-19031718-S'!D38+'AY18-19031718-S'!D38+'İP18-19031618-S'!D38+'G18-19031718-1'!D38+'G18-19031718'!D38+'BA16-19031415'!D38+'EM16-19031516-S'!D38+'G15-19031315'!D38+'3E14-19031213'!D38+BA19031213!D38+'G14-19031314-1'!D38+'G14-19031314'!D38+'3E13-19031213-S'!D38+'BA13-19031213-S'!D38+'ÜN13-19031213-S'!D38+'FA13-19031213-S'!D38+'G12-19031112'!D38+'BA12-19031011'!D38+'G12-19030911-1'!D38+'LA11-19030911-S'!D38+'AY11-19031011-S'!D38+'G11-19030911'!D38+'G9-19030708'!D38+'ÖA8-19030607'!D38+'G8-19030607'!D38+'G7-19030607'!D38+'G6-19030506'!D38+'BA5-19030305'!D38+'G5-19030204'!D38+'ÖA5-19030304-1'!D38+'ÖA4-19030304'!D38+'ÖB3-19032701'!D38</f>
        <v>0</v>
      </c>
      <c r="E38" s="29">
        <f t="shared" si="13"/>
        <v>0</v>
      </c>
      <c r="F38" s="28">
        <f t="shared" si="14"/>
        <v>30.960460075259867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>
        <f>'ÖA29-19032829'!D39+'EM29-19032629-S'!D39+'ÖA28-19032728'!D39+'FA28-19032627-S'!D39+'G28-19032728-1'!D39+'G28-19032728'!D39+'ÜN27-19032627-S'!D39+'G27-19032526'!D39+'ÖB26-19032426'!D39+'BA26-19032526-S'!D39+'ÖB26-19032426-S'!D39+'BA26-19032526'!D39+'SA26-19032325-S'!D39+'AY25-19032425-S'!D39+'ÖA25-19032425'!D39+'EM25-19032223-S'!D39+'MO25-19032325'!D39+'ÖA22-19032021'!D39+'AT22-19032121-S'!D39+'G21-19032021-1'!D39+'G21-19032021'!D39+'ÜN20-19031920-S'!D39+'FA20-19031920-S'!D39+'G20-19031819-1'!D39+'ÖA19-19031819'!D39+'ÖA19-19031718'!D39+'BA19-19031819-S'!D39+'3E19-19031718-S'!D39+'AY18-19031718-S'!D39+'İP18-19031618-S'!D39+'G18-19031718-1'!D39+'G18-19031718'!D39+'BA16-19031415'!D39+'EM16-19031516-S'!D39+'G15-19031315'!D39+'3E14-19031213'!D39+BA19031213!D39+'G14-19031314-1'!D39+'G14-19031314'!D39+'3E13-19031213-S'!D39+'BA13-19031213-S'!D39+'ÜN13-19031213-S'!D39+'FA13-19031213-S'!D39+'G12-19031112'!D39+'BA12-19031011'!D39+'G12-19030911-1'!D39+'LA11-19030911-S'!D39+'AY11-19031011-S'!D39+'G11-19030911'!D39+'G9-19030708'!D39+'ÖA8-19030607'!D39+'G8-19030607'!D39+'G7-19030607'!D39+'G6-19030506'!D39+'BA5-19030305'!D39+'G5-19030204'!D39+'ÖA5-19030304-1'!D39+'ÖA4-19030304'!D39+'ÖB3-19032701'!D39</f>
        <v>0</v>
      </c>
      <c r="E39" s="29">
        <f t="shared" si="13"/>
        <v>0</v>
      </c>
      <c r="F39" s="28">
        <f t="shared" si="14"/>
        <v>32.084437173701644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18.419574007593837</v>
      </c>
      <c r="D40" s="22">
        <f>SUM(D34:D39)</f>
        <v>86383.23000000004</v>
      </c>
      <c r="E40" s="21">
        <f t="shared" si="13"/>
        <v>0.14641281755439978</v>
      </c>
      <c r="F40" s="20">
        <f>I40/D40</f>
        <v>18.821072134171725</v>
      </c>
      <c r="G40" s="19">
        <f>F40/C40-1</f>
        <v>2.1797362219797334E-2</v>
      </c>
      <c r="H40" s="18">
        <f>SUM(H34:H39)</f>
        <v>1591142.2980000009</v>
      </c>
      <c r="I40" s="18">
        <f>SUM(I34:I39)</f>
        <v>1625825.0030127477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'ÖA29-19032829'!D42+'EM29-19032629-S'!D42+'ÖA28-19032728'!D42+'FA28-19032627-S'!D42+'G28-19032728-1'!D42+'G28-19032728'!D42+'ÜN27-19032627-S'!D42+'G27-19032526'!D42+'ÖB26-19032426'!D42+'BA26-19032526-S'!D42+'ÖB26-19032426-S'!D42+'BA26-19032526'!D42+'SA26-19032325-S'!D42+'AY25-19032425-S'!D42+'ÖA25-19032425'!D42+'EM25-19032223-S'!D42+'MO25-19032325'!D42+'ÖA22-19032021'!D42+'AT22-19032121-S'!D42+'G21-19032021-1'!D42+'G21-19032021'!D42+'ÜN20-19031920-S'!D42+'FA20-19031920-S'!D42+'G20-19031819-1'!D42+'ÖA19-19031819'!D42+'ÖA19-19031718'!D42+'BA19-19031819-S'!D42+'3E19-19031718-S'!D42+'AY18-19031718-S'!D42+'İP18-19031618-S'!D42+'G18-19031718-1'!D42+'G18-19031718'!D42+'BA16-19031415'!D42+'EM16-19031516-S'!D42+'G15-19031315'!D42+'3E14-19031213'!D42+BA19031213!D42+'G14-19031314-1'!D42+'G14-19031314'!D42+'3E13-19031213-S'!D42+'BA13-19031213-S'!D42+'ÜN13-19031213-S'!D42+'FA13-19031213-S'!D42+'G12-19031112'!D42+'BA12-19031011'!D42+'G12-19030911-1'!D42+'LA11-19030911-S'!D42+'AY11-19031011-S'!D42+'G11-19030911'!D42+'G9-19030708'!D42+'ÖA8-19030607'!D42+'G8-19030607'!D42+'G7-19030607'!D42+'G6-19030506'!D42+'BA5-19030305'!D42+'G5-19030204'!D42+'ÖA5-19030304-1'!D42+'ÖA4-19030304'!D42+'ÖB3-19032701'!D42</f>
        <v>98923.800000000017</v>
      </c>
      <c r="E42" s="107">
        <f>D42/$D$48</f>
        <v>0.16766810272303928</v>
      </c>
      <c r="F42" s="28">
        <f>C42-(C42*$E$6)</f>
        <v>0.40871894488791904</v>
      </c>
      <c r="G42" s="27" t="str">
        <f>IF(C42&gt;=F42,"-","+")</f>
        <v>+</v>
      </c>
      <c r="H42" s="26">
        <f>C42*D42</f>
        <v>39569.520000000011</v>
      </c>
      <c r="I42" s="26">
        <f>F42*D42</f>
        <v>40432.03116030353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f>'ÖA29-19032829'!D43+'EM29-19032629-S'!D43+'ÖA28-19032728'!D43+'FA28-19032627-S'!D43+'G28-19032728-1'!D43+'G28-19032728'!D43+'ÜN27-19032627-S'!D43+'G27-19032526'!D43+'ÖB26-19032426'!D43+'BA26-19032526-S'!D43+'ÖB26-19032426-S'!D43+'BA26-19032526'!D43+'SA26-19032325-S'!D43+'AY25-19032425-S'!D43+'ÖA25-19032425'!D43+'EM25-19032223-S'!D43+'MO25-19032325'!D43+'ÖA22-19032021'!D43+'AT22-19032121-S'!D43+'G21-19032021-1'!D43+'G21-19032021'!D43+'ÜN20-19031920-S'!D43+'FA20-19031920-S'!D43+'G20-19031819-1'!D43+'ÖA19-19031819'!D43+'ÖA19-19031718'!D43+'BA19-19031819-S'!D43+'3E19-19031718-S'!D43+'AY18-19031718-S'!D43+'İP18-19031618-S'!D43+'G18-19031718-1'!D43+'G18-19031718'!D43+'BA16-19031415'!D43+'EM16-19031516-S'!D43+'G15-19031315'!D43+'3E14-19031213'!D43+BA19031213!D43+'G14-19031314-1'!D43+'G14-19031314'!D43+'3E13-19031213-S'!D43+'BA13-19031213-S'!D43+'ÜN13-19031213-S'!D43+'FA13-19031213-S'!D43+'G12-19031112'!D43+'BA12-19031011'!D43+'G12-19030911-1'!D43+'LA11-19030911-S'!D43+'AY11-19031011-S'!D43+'G11-19030911'!D43+'G9-19030708'!D43+'ÖA8-19030607'!D43+'G8-19030607'!D43+'G7-19030607'!D43+'G6-19030506'!D43+'BA5-19030305'!D43+'G5-19030204'!D43+'ÖA5-19030304-1'!D43+'ÖA4-19030304'!D43+'ÖB3-19032701'!D43</f>
        <v>3995.5999999999985</v>
      </c>
      <c r="E43" s="107">
        <f>D43/$D$48</f>
        <v>6.7722294456963386E-3</v>
      </c>
      <c r="F43" s="28">
        <f>C43-(C43*$E$6)</f>
        <v>0.40871894488791904</v>
      </c>
      <c r="G43" s="27" t="str">
        <f>IF(C43&gt;=F43,"-","+")</f>
        <v>+</v>
      </c>
      <c r="H43" s="26">
        <f>C43*D43</f>
        <v>1598.2399999999996</v>
      </c>
      <c r="I43" s="26">
        <f>F43*D43</f>
        <v>1633.0774161941688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f>'ÖA29-19032829'!D44+'EM29-19032629-S'!D44+'ÖA28-19032728'!D44+'FA28-19032627-S'!D44+'G28-19032728-1'!D44+'G28-19032728'!D44+'ÜN27-19032627-S'!D44+'G27-19032526'!D44+'ÖB26-19032426'!D44+'BA26-19032526-S'!D44+'ÖB26-19032426-S'!D44+'BA26-19032526'!D44+'SA26-19032325-S'!D44+'AY25-19032425-S'!D44+'ÖA25-19032425'!D44+'EM25-19032223-S'!D44+'MO25-19032325'!D44+'ÖA22-19032021'!D44+'AT22-19032121-S'!D44+'G21-19032021-1'!D44+'G21-19032021'!D44+'ÜN20-19031920-S'!D44+'FA20-19031920-S'!D44+'G20-19031819-1'!D44+'ÖA19-19031819'!D44+'ÖA19-19031718'!D44+'BA19-19031819-S'!D44+'3E19-19031718-S'!D44+'AY18-19031718-S'!D44+'İP18-19031618-S'!D44+'G18-19031718-1'!D44+'G18-19031718'!D44+'BA16-19031415'!D44+'EM16-19031516-S'!D44+'G15-19031315'!D44+'3E14-19031213'!D44+BA19031213!D44+'G14-19031314-1'!D44+'G14-19031314'!D44+'3E13-19031213-S'!D44+'BA13-19031213-S'!D44+'ÜN13-19031213-S'!D44+'FA13-19031213-S'!D44+'G12-19031112'!D44+'BA12-19031011'!D44+'G12-19030911-1'!D44+'LA11-19030911-S'!D44+'AY11-19031011-S'!D44+'G11-19030911'!D44+'G9-19030708'!D44+'ÖA8-19030607'!D44+'G8-19030607'!D44+'G7-19030607'!D44+'G6-19030506'!D44+'BA5-19030305'!D44+'G5-19030204'!D44+'ÖA5-19030304-1'!D44+'ÖA4-19030304'!D44+'ÖB3-19032701'!D44</f>
        <v>420.5</v>
      </c>
      <c r="E44" s="107">
        <f>D44/$D$48</f>
        <v>7.127146065460285E-4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f>'ÖA29-19032829'!D45+'EM29-19032629-S'!D45+'ÖA28-19032728'!D45+'FA28-19032627-S'!D45+'G28-19032728-1'!D45+'G28-19032728'!D45+'ÜN27-19032627-S'!D45+'G27-19032526'!D45+'ÖB26-19032426'!D45+'BA26-19032526-S'!D45+'ÖB26-19032426-S'!D45+'BA26-19032526'!D45+'SA26-19032325-S'!D45+'AY25-19032425-S'!D45+'ÖA25-19032425'!D45+'EM25-19032223-S'!D45+'MO25-19032325'!D45+'ÖA22-19032021'!D45+'AT22-19032121-S'!D45+'G21-19032021-1'!D45+'G21-19032021'!D45+'ÜN20-19031920-S'!D45+'FA20-19031920-S'!D45+'G20-19031819-1'!D45+'ÖA19-19031819'!D45+'ÖA19-19031718'!D45+'BA19-19031819-S'!D45+'3E19-19031718-S'!D45+'AY18-19031718-S'!D45+'İP18-19031618-S'!D45+'G18-19031718-1'!D45+'G18-19031718'!D45+'BA16-19031415'!D45+'EM16-19031516-S'!D45+'G15-19031315'!D45+'3E14-19031213'!D45+BA19031213!D45+'G14-19031314-1'!D45+'G14-19031314'!D45+'3E13-19031213-S'!D45+'BA13-19031213-S'!D45+'ÜN13-19031213-S'!D45+'FA13-19031213-S'!D45+'G12-19031112'!D45+'BA12-19031011'!D45+'G12-19030911-1'!D45+'LA11-19030911-S'!D45+'AY11-19031011-S'!D45+'G11-19030911'!D45+'G9-19030708'!D45+'ÖA8-19030607'!D45+'G8-19030607'!D45+'G7-19030607'!D45+'G6-19030506'!D45+'BA5-19030305'!D45+'G5-19030204'!D45+'ÖA5-19030304-1'!D45+'ÖA4-19030304'!D45+'ÖB3-19032701'!D45</f>
        <v>346.12</v>
      </c>
      <c r="E45" s="107">
        <f>D45/$D$48</f>
        <v>5.8664632489348724E-4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0.39704253283133062</v>
      </c>
      <c r="D46" s="22">
        <f>SUM(D41:D45)</f>
        <v>103686.02000000002</v>
      </c>
      <c r="E46" s="21">
        <f>D46/$D$48</f>
        <v>0.17573969310017515</v>
      </c>
      <c r="F46" s="20">
        <f>I46/D46</f>
        <v>0.40569701273612091</v>
      </c>
      <c r="G46" s="19">
        <f>F46/C46-1</f>
        <v>2.1797362219797334E-2</v>
      </c>
      <c r="H46" s="18">
        <f>SUM(H41:H44)</f>
        <v>41167.760000000009</v>
      </c>
      <c r="I46" s="18">
        <f>SUM(I41:I44)</f>
        <v>42065.108576497696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97.798896856329009</v>
      </c>
      <c r="D48" s="13">
        <f>D24+D32+D40+D46</f>
        <v>589997.7300000001</v>
      </c>
      <c r="E48" s="12">
        <f>SUM(E20:E46)/2</f>
        <v>1</v>
      </c>
      <c r="F48" s="11">
        <f>I48/D48</f>
        <v>26.041008992439625</v>
      </c>
      <c r="G48" s="10"/>
      <c r="H48" s="9">
        <f>SUM(H20:H46)/2</f>
        <v>15036382.711999997</v>
      </c>
      <c r="I48" s="9">
        <f>SUM(I20:I46)/2</f>
        <v>15364136.192448968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707572.43000000028</v>
      </c>
      <c r="E50" s="12">
        <f>D50/G2</f>
        <v>0.99999848778960831</v>
      </c>
      <c r="F50" s="11">
        <f>I50/D50</f>
        <v>26.270039725827068</v>
      </c>
      <c r="G50" s="10"/>
      <c r="H50" s="9">
        <f>H48+H19</f>
        <v>18191430.641999997</v>
      </c>
      <c r="I50" s="9">
        <f>I48+I19</f>
        <v>18587955.844999999</v>
      </c>
      <c r="J50" s="106">
        <f>D50-G2</f>
        <v>-1.0699999995995313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26.270039725827068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tabColor rgb="FFFF0000"/>
  </sheetPr>
  <dimension ref="A1:K56"/>
  <sheetViews>
    <sheetView workbookViewId="0">
      <selection activeCell="I4" sqref="I4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6.14062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398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112</v>
      </c>
      <c r="F2" s="110" t="s">
        <v>5</v>
      </c>
      <c r="G2" s="108">
        <f>'EM29-19032629-S'!G2+'FA28-19032627-S'!G2+'ÜN27-19032627-S'!G2+'BA26-19032526-S'!G2+'ÖB26-19032426-S'!G2+'SA26-19032325-S'!G2+'AY25-19032425-S'!G2+'EM25-19032223-S'!G2+'AT22-19032121-S'!G2+'ÜN20-19031920-S'!G2+'FA20-19031920-S'!G2+'BA19-19031819-S'!G2+'3E19-19031718-S'!G2+'AY18-19031718-S'!G2+'İP18-19031618-S'!G2+'EM16-19031516-S'!G2+'3E13-19031213-S'!G2+'BA13-19031213-S'!G2+'ÜN13-19031213-S'!G2+'FA13-19031213-S'!G2+'LA11-19030911-S'!G2+'AY11-19031011-S'!G2</f>
        <v>132472.70000000001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30">
        <f>'EM29-19032629-S'!E3+'FA28-19032627-S'!E3+'ÜN27-19032627-S'!E3+'BA26-19032526-S'!E3+'ÖB26-19032426-S'!E3+'SA26-19032325-S'!E3+'AY25-19032425-S'!E3+'EM25-19032223-S'!E3+'AT22-19032121-S'!E3+'ÜN20-19031920-S'!E3+'FA20-19031920-S'!E3+'BA19-19031819-S'!E3+'3E19-19031718-S'!E3+'AY18-19031718-S'!E3+'İP18-19031618-S'!E3+'EM16-19031516-S'!E3+'3E13-19031213-S'!E3+'BA13-19031213-S'!E3+'ÜN13-19031213-S'!E3+'FA13-19031213-S'!E3+'LA11-19030911-S'!E3+'AY11-19031011-S'!E3</f>
        <v>2020</v>
      </c>
      <c r="F3" s="111" t="s">
        <v>8</v>
      </c>
      <c r="G3" s="114">
        <v>23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65.580544554455457</v>
      </c>
      <c r="F4" s="81" t="s">
        <v>12</v>
      </c>
      <c r="G4" s="112">
        <f>G2*G3</f>
        <v>3046872.1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-8.0903136815586141E-2</v>
      </c>
      <c r="F6" s="69" t="s">
        <v>16</v>
      </c>
      <c r="G6" s="68">
        <f>(I50-I19)/(D50-(SUM(D42:D44)+D19))</f>
        <v>29.019400683297835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</v>
      </c>
      <c r="D10" s="30">
        <f>'EM29-19032629-S'!D10+'FA28-19032627-S'!D10+'ÜN27-19032627-S'!D10+'BA26-19032526-S'!D10+'ÖB26-19032426-S'!D10+'SA26-19032325-S'!D10+'AY25-19032425-S'!D10+'EM25-19032223-S'!D10+'AT22-19032121-S'!D10+'ÜN20-19031920-S'!D10+'FA20-19031920-S'!D10+'BA19-19031819-S'!D10+'3E19-19031718-S'!D10+'AY18-19031718-S'!D10+'İP18-19031618-S'!D10+'EM16-19031516-S'!D10+'3E13-19031213-S'!D10+'BA13-19031213-S'!D10+'ÜN13-19031213-S'!D10+'FA13-19031213-S'!D10+'LA11-19030911-S'!D10+'AY11-19031011-S'!D10</f>
        <v>0</v>
      </c>
      <c r="E10" s="29">
        <f t="shared" ref="E10:E19" si="1">D10/$D$19</f>
        <v>0</v>
      </c>
      <c r="F10" s="28">
        <f t="shared" ref="F10:F18" si="2">C10-(C10*$E$6)</f>
        <v>24.860772146758482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</v>
      </c>
      <c r="D11" s="30">
        <f>'EM29-19032629-S'!D11+'FA28-19032627-S'!D11+'ÜN27-19032627-S'!D11+'BA26-19032526-S'!D11+'ÖB26-19032426-S'!D11+'SA26-19032325-S'!D11+'AY25-19032425-S'!D11+'EM25-19032223-S'!D11+'AT22-19032121-S'!D11+'ÜN20-19031920-S'!D11+'FA20-19031920-S'!D11+'BA19-19031819-S'!D11+'3E19-19031718-S'!D11+'AY18-19031718-S'!D11+'İP18-19031618-S'!D11+'EM16-19031516-S'!D11+'3E13-19031213-S'!D11+'BA13-19031213-S'!D11+'ÜN13-19031213-S'!D11+'FA13-19031213-S'!D11+'LA11-19030911-S'!D11+'AY11-19031011-S'!D11</f>
        <v>52.8</v>
      </c>
      <c r="E11" s="29">
        <f t="shared" si="1"/>
        <v>0.35507733691997312</v>
      </c>
      <c r="F11" s="28">
        <f t="shared" si="2"/>
        <v>25.941675283574067</v>
      </c>
      <c r="G11" s="27" t="str">
        <f t="shared" si="3"/>
        <v>+</v>
      </c>
      <c r="H11" s="34">
        <f t="shared" si="4"/>
        <v>1267.1999999999998</v>
      </c>
      <c r="I11" s="34">
        <f t="shared" si="5"/>
        <v>1369.7204549727107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21.9</v>
      </c>
      <c r="D12" s="30">
        <f>'EM29-19032629-S'!D12+'FA28-19032627-S'!D12+'ÜN27-19032627-S'!D12+'BA26-19032526-S'!D12+'ÖB26-19032426-S'!D12+'SA26-19032325-S'!D12+'AY25-19032425-S'!D12+'EM25-19032223-S'!D12+'AT22-19032121-S'!D12+'ÜN20-19031920-S'!D12+'FA20-19031920-S'!D12+'BA19-19031819-S'!D12+'3E19-19031718-S'!D12+'AY18-19031718-S'!D12+'İP18-19031618-S'!D12+'EM16-19031516-S'!D12+'3E13-19031213-S'!D12+'BA13-19031213-S'!D12+'ÜN13-19031213-S'!D12+'FA13-19031213-S'!D12+'LA11-19030911-S'!D12+'AY11-19031011-S'!D12</f>
        <v>0</v>
      </c>
      <c r="E12" s="29">
        <f t="shared" si="1"/>
        <v>0</v>
      </c>
      <c r="F12" s="28">
        <f t="shared" si="2"/>
        <v>23.671778696261335</v>
      </c>
      <c r="G12" s="27" t="str">
        <f>IF(C12&gt;=F12,"-","+")</f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</v>
      </c>
      <c r="D13" s="30">
        <f>'EM29-19032629-S'!D13+'FA28-19032627-S'!D13+'ÜN27-19032627-S'!D13+'BA26-19032526-S'!D13+'ÖB26-19032426-S'!D13+'SA26-19032325-S'!D13+'AY25-19032425-S'!D13+'EM25-19032223-S'!D13+'AT22-19032121-S'!D13+'ÜN20-19031920-S'!D13+'FA20-19031920-S'!D13+'BA19-19031819-S'!D13+'3E19-19031718-S'!D13+'AY18-19031718-S'!D13+'İP18-19031618-S'!D13+'EM16-19031516-S'!D13+'3E13-19031213-S'!D13+'BA13-19031213-S'!D13+'ÜN13-19031213-S'!D13+'FA13-19031213-S'!D13+'LA11-19030911-S'!D13+'AY11-19031011-S'!D13</f>
        <v>54.9</v>
      </c>
      <c r="E13" s="29">
        <f t="shared" si="1"/>
        <v>0.36919973100201753</v>
      </c>
      <c r="F13" s="28">
        <f t="shared" si="2"/>
        <v>25.941675283574067</v>
      </c>
      <c r="G13" s="27" t="str">
        <f t="shared" si="3"/>
        <v>+</v>
      </c>
      <c r="H13" s="34">
        <f t="shared" si="4"/>
        <v>1317.6</v>
      </c>
      <c r="I13" s="34">
        <f t="shared" si="5"/>
        <v>1424.1979730682162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26.8</v>
      </c>
      <c r="D14" s="30">
        <f>'EM29-19032629-S'!D14+'FA28-19032627-S'!D14+'ÜN27-19032627-S'!D14+'BA26-19032526-S'!D14+'ÖB26-19032426-S'!D14+'SA26-19032325-S'!D14+'AY25-19032425-S'!D14+'EM25-19032223-S'!D14+'AT22-19032121-S'!D14+'ÜN20-19031920-S'!D14+'FA20-19031920-S'!D14+'BA19-19031819-S'!D14+'3E19-19031718-S'!D14+'AY18-19031718-S'!D14+'İP18-19031618-S'!D14+'EM16-19031516-S'!D14+'3E13-19031213-S'!D14+'BA13-19031213-S'!D14+'ÜN13-19031213-S'!D14+'FA13-19031213-S'!D14+'LA11-19030911-S'!D14+'AY11-19031011-S'!D14</f>
        <v>0</v>
      </c>
      <c r="E14" s="29">
        <f t="shared" si="1"/>
        <v>0</v>
      </c>
      <c r="F14" s="28">
        <f t="shared" si="2"/>
        <v>28.968204066657709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22.1</v>
      </c>
      <c r="D15" s="30">
        <f>'EM29-19032629-S'!D15+'FA28-19032627-S'!D15+'ÜN27-19032627-S'!D15+'BA26-19032526-S'!D15+'ÖB26-19032426-S'!D15+'SA26-19032325-S'!D15+'AY25-19032425-S'!D15+'EM25-19032223-S'!D15+'AT22-19032121-S'!D15+'ÜN20-19031920-S'!D15+'FA20-19031920-S'!D15+'BA19-19031819-S'!D15+'3E19-19031718-S'!D15+'AY18-19031718-S'!D15+'İP18-19031618-S'!D15+'EM16-19031516-S'!D15+'3E13-19031213-S'!D15+'BA13-19031213-S'!D15+'ÜN13-19031213-S'!D15+'FA13-19031213-S'!D15+'LA11-19030911-S'!D15+'AY11-19031011-S'!D15</f>
        <v>0</v>
      </c>
      <c r="E15" s="29">
        <f t="shared" si="1"/>
        <v>0</v>
      </c>
      <c r="F15" s="28">
        <f t="shared" si="2"/>
        <v>23.887959323624454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30.2</v>
      </c>
      <c r="D16" s="30">
        <f>'EM29-19032629-S'!D16+'FA28-19032627-S'!D16+'ÜN27-19032627-S'!D16+'BA26-19032526-S'!D16+'ÖB26-19032426-S'!D16+'SA26-19032325-S'!D16+'AY25-19032425-S'!D16+'EM25-19032223-S'!D16+'AT22-19032121-S'!D16+'ÜN20-19031920-S'!D16+'FA20-19031920-S'!D16+'BA19-19031819-S'!D16+'3E19-19031718-S'!D16+'AY18-19031718-S'!D16+'İP18-19031618-S'!D16+'EM16-19031516-S'!D16+'3E13-19031213-S'!D16+'BA13-19031213-S'!D16+'ÜN13-19031213-S'!D16+'FA13-19031213-S'!D16+'LA11-19030911-S'!D16+'AY11-19031011-S'!D16</f>
        <v>23</v>
      </c>
      <c r="E16" s="29">
        <f t="shared" si="1"/>
        <v>0.1546738399462004</v>
      </c>
      <c r="F16" s="28">
        <f t="shared" si="2"/>
        <v>32.643274731830701</v>
      </c>
      <c r="G16" s="27" t="str">
        <f t="shared" si="3"/>
        <v>+</v>
      </c>
      <c r="H16" s="34">
        <f t="shared" si="4"/>
        <v>694.6</v>
      </c>
      <c r="I16" s="34">
        <f t="shared" si="5"/>
        <v>750.79531883210609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44.5</v>
      </c>
      <c r="D17" s="30">
        <f>'EM29-19032629-S'!D17+'FA28-19032627-S'!D17+'ÜN27-19032627-S'!D17+'BA26-19032526-S'!D17+'ÖB26-19032426-S'!D17+'SA26-19032325-S'!D17+'AY25-19032425-S'!D17+'EM25-19032223-S'!D17+'AT22-19032121-S'!D17+'ÜN20-19031920-S'!D17+'FA20-19031920-S'!D17+'BA19-19031819-S'!D17+'3E19-19031718-S'!D17+'AY18-19031718-S'!D17+'İP18-19031618-S'!D17+'EM16-19031516-S'!D17+'3E13-19031213-S'!D17+'BA13-19031213-S'!D17+'ÜN13-19031213-S'!D17+'FA13-19031213-S'!D17+'LA11-19030911-S'!D17+'AY11-19031011-S'!D17</f>
        <v>18</v>
      </c>
      <c r="E17" s="29">
        <f t="shared" si="1"/>
        <v>0.12104909213180902</v>
      </c>
      <c r="F17" s="28">
        <f t="shared" si="2"/>
        <v>48.100189588293581</v>
      </c>
      <c r="G17" s="27" t="str">
        <f t="shared" si="3"/>
        <v>+</v>
      </c>
      <c r="H17" s="34">
        <f t="shared" si="4"/>
        <v>801</v>
      </c>
      <c r="I17" s="34">
        <f t="shared" si="5"/>
        <v>865.80341258928445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</v>
      </c>
      <c r="D18" s="30">
        <f>'EM29-19032629-S'!D18+'FA28-19032627-S'!D18+'ÜN27-19032627-S'!D18+'BA26-19032526-S'!D18+'ÖB26-19032426-S'!D18+'SA26-19032325-S'!D18+'AY25-19032425-S'!D18+'EM25-19032223-S'!D18+'AT22-19032121-S'!D18+'ÜN20-19031920-S'!D18+'FA20-19031920-S'!D18+'BA19-19031819-S'!D18+'3E19-19031718-S'!D18+'AY18-19031718-S'!D18+'İP18-19031618-S'!D18+'EM16-19031516-S'!D18+'3E13-19031213-S'!D18+'BA13-19031213-S'!D18+'ÜN13-19031213-S'!D18+'FA13-19031213-S'!D18+'LA11-19030911-S'!D18+'AY11-19031011-S'!D18</f>
        <v>0</v>
      </c>
      <c r="E18" s="29">
        <f t="shared" si="1"/>
        <v>0</v>
      </c>
      <c r="F18" s="28">
        <f t="shared" si="2"/>
        <v>42.155222335807856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27.440484196368526</v>
      </c>
      <c r="D19" s="49">
        <f>SUM(D10:D18)</f>
        <v>148.69999999999999</v>
      </c>
      <c r="E19" s="48">
        <f t="shared" si="1"/>
        <v>1</v>
      </c>
      <c r="F19" s="47">
        <f>I19/D19</f>
        <v>29.660505443593262</v>
      </c>
      <c r="G19" s="46">
        <f>F19/C19-1</f>
        <v>8.0903136815586363E-2</v>
      </c>
      <c r="H19" s="9">
        <f>SUM(H10:H18)</f>
        <v>4080.3999999999996</v>
      </c>
      <c r="I19" s="9">
        <f>SUM(I10:I18)</f>
        <v>4410.517159462318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57.8</v>
      </c>
      <c r="D21" s="30">
        <f>'EM29-19032629-S'!D21+'FA28-19032627-S'!D21+'ÜN27-19032627-S'!D21+'BA26-19032526-S'!D21+'ÖB26-19032426-S'!D21+'SA26-19032325-S'!D21+'AY25-19032425-S'!D21+'EM25-19032223-S'!D21+'AT22-19032121-S'!D21+'ÜN20-19031920-S'!D21+'FA20-19031920-S'!D21+'BA19-19031819-S'!D21+'3E19-19031718-S'!D21+'AY18-19031718-S'!D21+'İP18-19031618-S'!D21+'EM16-19031516-S'!D21+'3E13-19031213-S'!D21+'BA13-19031213-S'!D21+'ÜN13-19031213-S'!D21+'FA13-19031213-S'!D21+'LA11-19030911-S'!D21+'AY11-19031011-S'!D21</f>
        <v>1668.1000000000001</v>
      </c>
      <c r="E21" s="29">
        <f>D21/$D$48</f>
        <v>1.2606214022393434E-2</v>
      </c>
      <c r="F21" s="28">
        <f>C21-(C21*$E$6)</f>
        <v>62.476201307940876</v>
      </c>
      <c r="G21" s="27" t="str">
        <f>IF(C21&gt;=F21,"-","+")</f>
        <v>+</v>
      </c>
      <c r="H21" s="26">
        <f>C21*D21</f>
        <v>96416.180000000008</v>
      </c>
      <c r="I21" s="26">
        <f>F21*D21</f>
        <v>104216.55140177619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38.799999999999997</v>
      </c>
      <c r="D22" s="30">
        <f>'EM29-19032629-S'!D22+'FA28-19032627-S'!D22+'ÜN27-19032627-S'!D22+'BA26-19032526-S'!D22+'ÖB26-19032426-S'!D22+'SA26-19032325-S'!D22+'AY25-19032425-S'!D22+'EM25-19032223-S'!D22+'AT22-19032121-S'!D22+'ÜN20-19031920-S'!D22+'FA20-19031920-S'!D22+'BA19-19031819-S'!D22+'3E19-19031718-S'!D22+'AY18-19031718-S'!D22+'İP18-19031618-S'!D22+'EM16-19031516-S'!D22+'3E13-19031213-S'!D22+'BA13-19031213-S'!D22+'ÜN13-19031213-S'!D22+'FA13-19031213-S'!D22+'LA11-19030911-S'!D22+'AY11-19031011-S'!D22</f>
        <v>3404.5999999999995</v>
      </c>
      <c r="E22" s="29">
        <f>D22/$D$48</f>
        <v>2.5729342521815642E-2</v>
      </c>
      <c r="F22" s="28">
        <f>C22-(C22*$E$6)</f>
        <v>41.939041708444741</v>
      </c>
      <c r="G22" s="27" t="str">
        <f>IF(C22&gt;=F22,"-","+")</f>
        <v>+</v>
      </c>
      <c r="H22" s="26">
        <f>C22*D22</f>
        <v>132098.47999999998</v>
      </c>
      <c r="I22" s="26">
        <f>F22*D22</f>
        <v>142785.66140057094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35.4</v>
      </c>
      <c r="D23" s="30">
        <f>'EM29-19032629-S'!D23+'FA28-19032627-S'!D23+'ÜN27-19032627-S'!D23+'BA26-19032526-S'!D23+'ÖB26-19032426-S'!D23+'SA26-19032325-S'!D23+'AY25-19032425-S'!D23+'EM25-19032223-S'!D23+'AT22-19032121-S'!D23+'ÜN20-19031920-S'!D23+'FA20-19031920-S'!D23+'BA19-19031819-S'!D23+'3E19-19031718-S'!D23+'AY18-19031718-S'!D23+'İP18-19031618-S'!D23+'EM16-19031516-S'!D23+'3E13-19031213-S'!D23+'BA13-19031213-S'!D23+'ÜN13-19031213-S'!D23+'FA13-19031213-S'!D23+'LA11-19030911-S'!D23+'AY11-19031011-S'!D23</f>
        <v>2956.1999999999994</v>
      </c>
      <c r="E23" s="29">
        <f>D23/$D$48</f>
        <v>2.2340680950182518E-2</v>
      </c>
      <c r="F23" s="28">
        <f>C23-(C23*$E$6)</f>
        <v>38.263971043271745</v>
      </c>
      <c r="G23" s="27" t="str">
        <f>IF(C23&gt;=F23,"-","+")</f>
        <v>+</v>
      </c>
      <c r="H23" s="26">
        <f>C23*D23</f>
        <v>104649.47999999997</v>
      </c>
      <c r="I23" s="26">
        <f>F23*D23</f>
        <v>113115.9511981199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41.495614592285364</v>
      </c>
      <c r="D24" s="22">
        <f>SUM(D21:D23)</f>
        <v>8028.9</v>
      </c>
      <c r="E24" s="21">
        <f>D24/$D$48</f>
        <v>6.0676237494391598E-2</v>
      </c>
      <c r="F24" s="20">
        <f>I24/D24</f>
        <v>44.852739976891861</v>
      </c>
      <c r="G24" s="19">
        <f>F24/C24-1</f>
        <v>8.0903136815586141E-2</v>
      </c>
      <c r="H24" s="18">
        <f>SUM(H21:H23)</f>
        <v>333164.13999999996</v>
      </c>
      <c r="I24" s="18">
        <f>SUM(I21:I23)</f>
        <v>360118.16400046705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30.9</v>
      </c>
      <c r="D26" s="30">
        <f>'EM29-19032629-S'!D26+'FA28-19032627-S'!D26+'ÜN27-19032627-S'!D26+'BA26-19032526-S'!D26+'ÖB26-19032426-S'!D26+'SA26-19032325-S'!D26+'AY25-19032425-S'!D26+'EM25-19032223-S'!D26+'AT22-19032121-S'!D26+'ÜN20-19031920-S'!D26+'FA20-19031920-S'!D26+'BA19-19031819-S'!D26+'3E19-19031718-S'!D26+'AY18-19031718-S'!D26+'İP18-19031618-S'!D26+'EM16-19031516-S'!D26+'3E13-19031213-S'!D26+'BA13-19031213-S'!D26+'ÜN13-19031213-S'!D26+'FA13-19031213-S'!D26+'LA11-19030911-S'!D26+'AY11-19031011-S'!D26</f>
        <v>24688.200000000004</v>
      </c>
      <c r="E26" s="29">
        <f t="shared" ref="E26:E32" si="7">D26/$D$48</f>
        <v>0.18657438584476566</v>
      </c>
      <c r="F26" s="28">
        <f t="shared" ref="F26:F31" si="8">C26-(C26*$E$6)</f>
        <v>33.399906927601613</v>
      </c>
      <c r="G26" s="27" t="str">
        <f t="shared" ref="G26:G31" si="9">IF(C26&gt;=F26,"-","+")</f>
        <v>+</v>
      </c>
      <c r="H26" s="26">
        <f t="shared" ref="H26:H31" si="10">C26*D26</f>
        <v>762865.38000000012</v>
      </c>
      <c r="I26" s="26">
        <f t="shared" ref="I26:I31" si="11">F26*D26</f>
        <v>824583.58221001434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27.5</v>
      </c>
      <c r="D27" s="30">
        <f>'EM29-19032629-S'!D27+'FA28-19032627-S'!D27+'ÜN27-19032627-S'!D27+'BA26-19032526-S'!D27+'ÖB26-19032426-S'!D27+'SA26-19032325-S'!D27+'AY25-19032425-S'!D27+'EM25-19032223-S'!D27+'AT22-19032121-S'!D27+'ÜN20-19031920-S'!D27+'FA20-19031920-S'!D27+'BA19-19031819-S'!D27+'3E19-19031718-S'!D27+'AY18-19031718-S'!D27+'İP18-19031618-S'!D27+'EM16-19031516-S'!D27+'3E13-19031213-S'!D27+'BA13-19031213-S'!D27+'ÜN13-19031213-S'!D27+'FA13-19031213-S'!D27+'LA11-19030911-S'!D27+'AY11-19031011-S'!D27</f>
        <v>18541.599999999999</v>
      </c>
      <c r="E27" s="29">
        <f t="shared" si="7"/>
        <v>0.14012312086662074</v>
      </c>
      <c r="F27" s="28">
        <f t="shared" si="8"/>
        <v>29.724836262428617</v>
      </c>
      <c r="G27" s="27" t="str">
        <f t="shared" si="9"/>
        <v>+</v>
      </c>
      <c r="H27" s="26">
        <f t="shared" si="10"/>
        <v>509893.99999999994</v>
      </c>
      <c r="I27" s="26">
        <f t="shared" si="11"/>
        <v>551146.02404344641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27.5</v>
      </c>
      <c r="D28" s="30">
        <f>'EM29-19032629-S'!D28+'FA28-19032627-S'!D28+'ÜN27-19032627-S'!D28+'BA26-19032526-S'!D28+'ÖB26-19032426-S'!D28+'SA26-19032325-S'!D28+'AY25-19032425-S'!D28+'EM25-19032223-S'!D28+'AT22-19032121-S'!D28+'ÜN20-19031920-S'!D28+'FA20-19031920-S'!D28+'BA19-19031819-S'!D28+'3E19-19031718-S'!D28+'AY18-19031718-S'!D28+'İP18-19031618-S'!D28+'EM16-19031516-S'!D28+'3E13-19031213-S'!D28+'BA13-19031213-S'!D28+'ÜN13-19031213-S'!D28+'FA13-19031213-S'!D28+'LA11-19030911-S'!D28+'AY11-19031011-S'!D28</f>
        <v>11084.599999999999</v>
      </c>
      <c r="E28" s="29">
        <f t="shared" si="7"/>
        <v>8.3768862749608666E-2</v>
      </c>
      <c r="F28" s="28">
        <f t="shared" si="8"/>
        <v>29.724836262428617</v>
      </c>
      <c r="G28" s="27" t="str">
        <f t="shared" si="9"/>
        <v>+</v>
      </c>
      <c r="H28" s="26">
        <f t="shared" si="10"/>
        <v>304826.49999999994</v>
      </c>
      <c r="I28" s="26">
        <f t="shared" si="11"/>
        <v>329487.9200345162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26.6</v>
      </c>
      <c r="D29" s="30">
        <f>'EM29-19032629-S'!D29+'FA28-19032627-S'!D29+'ÜN27-19032627-S'!D29+'BA26-19032526-S'!D29+'ÖB26-19032426-S'!D29+'SA26-19032325-S'!D29+'AY25-19032425-S'!D29+'EM25-19032223-S'!D29+'AT22-19032121-S'!D29+'ÜN20-19031920-S'!D29+'FA20-19031920-S'!D29+'BA19-19031819-S'!D29+'3E19-19031718-S'!D29+'AY18-19031718-S'!D29+'İP18-19031618-S'!D29+'EM16-19031516-S'!D29+'3E13-19031213-S'!D29+'BA13-19031213-S'!D29+'ÜN13-19031213-S'!D29+'FA13-19031213-S'!D29+'LA11-19030911-S'!D29+'AY11-19031011-S'!D29</f>
        <v>10410.099999999999</v>
      </c>
      <c r="E29" s="29">
        <f t="shared" si="7"/>
        <v>7.8671511656685969E-2</v>
      </c>
      <c r="F29" s="28">
        <f t="shared" si="8"/>
        <v>28.752023439294593</v>
      </c>
      <c r="G29" s="27" t="str">
        <f t="shared" si="9"/>
        <v>+</v>
      </c>
      <c r="H29" s="26">
        <f t="shared" si="10"/>
        <v>276908.65999999997</v>
      </c>
      <c r="I29" s="26">
        <f t="shared" si="11"/>
        <v>299311.43920540059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26.6</v>
      </c>
      <c r="D30" s="30">
        <f>'EM29-19032629-S'!D30+'FA28-19032627-S'!D30+'ÜN27-19032627-S'!D30+'BA26-19032526-S'!D30+'ÖB26-19032426-S'!D30+'SA26-19032325-S'!D30+'AY25-19032425-S'!D30+'EM25-19032223-S'!D30+'AT22-19032121-S'!D30+'ÜN20-19031920-S'!D30+'FA20-19031920-S'!D30+'BA19-19031819-S'!D30+'3E19-19031718-S'!D30+'AY18-19031718-S'!D30+'İP18-19031618-S'!D30+'EM16-19031516-S'!D30+'3E13-19031213-S'!D30+'BA13-19031213-S'!D30+'ÜN13-19031213-S'!D30+'FA13-19031213-S'!D30+'LA11-19030911-S'!D30+'AY11-19031011-S'!D30</f>
        <v>7477.4</v>
      </c>
      <c r="E30" s="29">
        <f t="shared" si="7"/>
        <v>5.6508425592617137E-2</v>
      </c>
      <c r="F30" s="28">
        <f t="shared" si="8"/>
        <v>28.752023439294593</v>
      </c>
      <c r="G30" s="27" t="str">
        <f t="shared" si="9"/>
        <v>+</v>
      </c>
      <c r="H30" s="26">
        <f t="shared" si="10"/>
        <v>198898.84</v>
      </c>
      <c r="I30" s="26">
        <f t="shared" si="11"/>
        <v>214990.38006498138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</v>
      </c>
      <c r="D31" s="30">
        <f>'EM29-19032629-S'!D31+'FA28-19032627-S'!D31+'ÜN27-19032627-S'!D31+'BA26-19032526-S'!D31+'ÖB26-19032426-S'!D31+'SA26-19032325-S'!D31+'AY25-19032425-S'!D31+'EM25-19032223-S'!D31+'AT22-19032121-S'!D31+'ÜN20-19031920-S'!D31+'FA20-19031920-S'!D31+'BA19-19031819-S'!D31+'3E19-19031718-S'!D31+'AY18-19031718-S'!D31+'İP18-19031618-S'!D31+'EM16-19031516-S'!D31+'3E13-19031213-S'!D31+'BA13-19031213-S'!D31+'ÜN13-19031213-S'!D31+'FA13-19031213-S'!D31+'LA11-19030911-S'!D31+'AY11-19031011-S'!D31</f>
        <v>2441.4000000000005</v>
      </c>
      <c r="E31" s="29">
        <f t="shared" si="7"/>
        <v>1.8450219359913273E-2</v>
      </c>
      <c r="F31" s="28">
        <f t="shared" si="8"/>
        <v>29.184384694020824</v>
      </c>
      <c r="G31" s="27" t="str">
        <f t="shared" si="9"/>
        <v>+</v>
      </c>
      <c r="H31" s="26">
        <f t="shared" si="10"/>
        <v>65917.800000000017</v>
      </c>
      <c r="I31" s="26">
        <f t="shared" si="11"/>
        <v>71250.756791982451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28.392517211859612</v>
      </c>
      <c r="D32" s="22">
        <f>SUM(D26:D31)</f>
        <v>74643.299999999988</v>
      </c>
      <c r="E32" s="21">
        <f t="shared" si="7"/>
        <v>0.56409652607021132</v>
      </c>
      <c r="F32" s="20">
        <f>I32/D32</f>
        <v>30.689560916389571</v>
      </c>
      <c r="G32" s="19">
        <f>F32/C32-1</f>
        <v>8.0903136815585919E-2</v>
      </c>
      <c r="H32" s="18">
        <f>SUM(H26:H31)</f>
        <v>2119311.1800000002</v>
      </c>
      <c r="I32" s="18">
        <f>SUM(I26:I31)</f>
        <v>2290770.1023503412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16.2</v>
      </c>
      <c r="D34" s="30">
        <f>'EM29-19032629-S'!D34+'FA28-19032627-S'!D34+'ÜN27-19032627-S'!D34+'BA26-19032526-S'!D34+'ÖB26-19032426-S'!D34+'SA26-19032325-S'!D34+'AY25-19032425-S'!D34+'EM25-19032223-S'!D34+'AT22-19032121-S'!D34+'ÜN20-19031920-S'!D34+'FA20-19031920-S'!D34+'BA19-19031819-S'!D34+'3E19-19031718-S'!D34+'AY18-19031718-S'!D34+'İP18-19031618-S'!D34+'EM16-19031516-S'!D34+'3E13-19031213-S'!D34+'BA13-19031213-S'!D34+'ÜN13-19031213-S'!D34+'FA13-19031213-S'!D34+'LA11-19030911-S'!D34+'AY11-19031011-S'!D34</f>
        <v>20462.43</v>
      </c>
      <c r="E34" s="29">
        <f t="shared" ref="E34:E40" si="13">D34/$D$48</f>
        <v>0.15463927342380196</v>
      </c>
      <c r="F34" s="28">
        <f t="shared" ref="F34:F39" si="14">C34-(C34*$E$6)</f>
        <v>17.510630816412494</v>
      </c>
      <c r="G34" s="27" t="str">
        <f t="shared" ref="G34:G39" si="15">IF(C34&gt;=F34,"-","+")</f>
        <v>+</v>
      </c>
      <c r="H34" s="26">
        <f t="shared" ref="H34:H39" si="16">C34*D34</f>
        <v>331491.36599999998</v>
      </c>
      <c r="I34" s="26">
        <f t="shared" ref="I34:I39" si="17">F34*D34</f>
        <v>358310.0573366835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12.5</v>
      </c>
      <c r="D35" s="30">
        <f>'EM29-19032629-S'!D35+'FA28-19032627-S'!D35+'ÜN27-19032627-S'!D35+'BA26-19032526-S'!D35+'ÖB26-19032426-S'!D35+'SA26-19032325-S'!D35+'AY25-19032425-S'!D35+'EM25-19032223-S'!D35+'AT22-19032121-S'!D35+'ÜN20-19031920-S'!D35+'FA20-19031920-S'!D35+'BA19-19031819-S'!D35+'3E19-19031718-S'!D35+'AY18-19031718-S'!D35+'İP18-19031618-S'!D35+'EM16-19031516-S'!D35+'3E13-19031213-S'!D35+'BA13-19031213-S'!D35+'ÜN13-19031213-S'!D35+'FA13-19031213-S'!D35+'LA11-19030911-S'!D35+'AY11-19031011-S'!D35</f>
        <v>1583</v>
      </c>
      <c r="E35" s="29">
        <f t="shared" si="13"/>
        <v>1.1963093817785986E-2</v>
      </c>
      <c r="F35" s="28">
        <f t="shared" si="14"/>
        <v>13.511289210194827</v>
      </c>
      <c r="G35" s="27" t="str">
        <f t="shared" si="15"/>
        <v>+</v>
      </c>
      <c r="H35" s="26">
        <f t="shared" si="16"/>
        <v>19787.5</v>
      </c>
      <c r="I35" s="26">
        <f t="shared" si="17"/>
        <v>21388.370819738411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</v>
      </c>
      <c r="D36" s="30">
        <f>'EM29-19032629-S'!D36+'FA28-19032627-S'!D36+'ÜN27-19032627-S'!D36+'BA26-19032526-S'!D36+'ÖB26-19032426-S'!D36+'SA26-19032325-S'!D36+'AY25-19032425-S'!D36+'EM25-19032223-S'!D36+'AT22-19032121-S'!D36+'ÜN20-19031920-S'!D36+'FA20-19031920-S'!D36+'BA19-19031819-S'!D36+'3E19-19031718-S'!D36+'AY18-19031718-S'!D36+'İP18-19031618-S'!D36+'EM16-19031516-S'!D36+'3E13-19031213-S'!D36+'BA13-19031213-S'!D36+'ÜN13-19031213-S'!D36+'FA13-19031213-S'!D36+'LA11-19030911-S'!D36+'AY11-19031011-S'!D36</f>
        <v>0</v>
      </c>
      <c r="E36" s="29">
        <f t="shared" si="13"/>
        <v>0</v>
      </c>
      <c r="F36" s="28">
        <f t="shared" si="14"/>
        <v>10.809031368155861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26.6</v>
      </c>
      <c r="D37" s="30">
        <f>'EM29-19032629-S'!D37+'FA28-19032627-S'!D37+'ÜN27-19032627-S'!D37+'BA26-19032526-S'!D37+'ÖB26-19032426-S'!D37+'SA26-19032325-S'!D37+'AY25-19032425-S'!D37+'EM25-19032223-S'!D37+'AT22-19032121-S'!D37+'ÜN20-19031920-S'!D37+'FA20-19031920-S'!D37+'BA19-19031819-S'!D37+'3E19-19031718-S'!D37+'AY18-19031718-S'!D37+'İP18-19031618-S'!D37+'EM16-19031516-S'!D37+'3E13-19031213-S'!D37+'BA13-19031213-S'!D37+'ÜN13-19031213-S'!D37+'FA13-19031213-S'!D37+'LA11-19030911-S'!D37+'AY11-19031011-S'!D37</f>
        <v>0</v>
      </c>
      <c r="E37" s="29">
        <f t="shared" si="13"/>
        <v>0</v>
      </c>
      <c r="F37" s="28">
        <f t="shared" si="14"/>
        <v>28.752023439294593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26.6</v>
      </c>
      <c r="D38" s="30">
        <f>'EM29-19032629-S'!D38+'FA28-19032627-S'!D38+'ÜN27-19032627-S'!D38+'BA26-19032526-S'!D38+'ÖB26-19032426-S'!D38+'SA26-19032325-S'!D38+'AY25-19032425-S'!D38+'EM25-19032223-S'!D38+'AT22-19032121-S'!D38+'ÜN20-19031920-S'!D38+'FA20-19031920-S'!D38+'BA19-19031819-S'!D38+'3E19-19031718-S'!D38+'AY18-19031718-S'!D38+'İP18-19031618-S'!D38+'EM16-19031516-S'!D38+'3E13-19031213-S'!D38+'BA13-19031213-S'!D38+'ÜN13-19031213-S'!D38+'FA13-19031213-S'!D38+'LA11-19030911-S'!D38+'AY11-19031011-S'!D38</f>
        <v>0</v>
      </c>
      <c r="E38" s="29">
        <f t="shared" si="13"/>
        <v>0</v>
      </c>
      <c r="F38" s="28">
        <f t="shared" si="14"/>
        <v>28.752023439294593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27.5</v>
      </c>
      <c r="D39" s="30">
        <f>'EM29-19032629-S'!D39+'FA28-19032627-S'!D39+'ÜN27-19032627-S'!D39+'BA26-19032526-S'!D39+'ÖB26-19032426-S'!D39+'SA26-19032325-S'!D39+'AY25-19032425-S'!D39+'EM25-19032223-S'!D39+'AT22-19032121-S'!D39+'ÜN20-19031920-S'!D39+'FA20-19031920-S'!D39+'BA19-19031819-S'!D39+'3E19-19031718-S'!D39+'AY18-19031718-S'!D39+'İP18-19031618-S'!D39+'EM16-19031516-S'!D39+'3E13-19031213-S'!D39+'BA13-19031213-S'!D39+'ÜN13-19031213-S'!D39+'FA13-19031213-S'!D39+'LA11-19030911-S'!D39+'AY11-19031011-S'!D39</f>
        <v>0</v>
      </c>
      <c r="E39" s="29">
        <f t="shared" si="13"/>
        <v>0</v>
      </c>
      <c r="F39" s="28">
        <f t="shared" si="14"/>
        <v>29.724836262428617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15.934316817589858</v>
      </c>
      <c r="D40" s="22">
        <f>SUM(D34:D39)</f>
        <v>22045.43</v>
      </c>
      <c r="E40" s="21">
        <f t="shared" si="13"/>
        <v>0.16660236724158795</v>
      </c>
      <c r="F40" s="20">
        <f>I40/D40</f>
        <v>17.223453031146224</v>
      </c>
      <c r="G40" s="19">
        <f>F40/C40-1</f>
        <v>8.0903136815586141E-2</v>
      </c>
      <c r="H40" s="18">
        <f>SUM(H34:H39)</f>
        <v>351278.86599999998</v>
      </c>
      <c r="I40" s="18">
        <f>SUM(I34:I39)</f>
        <v>379698.42815642193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'EM29-19032629-S'!D42+'FA28-19032627-S'!D42+'ÜN27-19032627-S'!D42+'BA26-19032526-S'!D42+'ÖB26-19032426-S'!D42+'SA26-19032325-S'!D42+'AY25-19032425-S'!D42+'EM25-19032223-S'!D42+'AT22-19032121-S'!D42+'ÜN20-19031920-S'!D42+'FA20-19031920-S'!D42+'BA19-19031819-S'!D42+'3E19-19031718-S'!D42+'AY18-19031718-S'!D42+'İP18-19031618-S'!D42+'EM16-19031516-S'!D42+'3E13-19031213-S'!D42+'BA13-19031213-S'!D42+'ÜN13-19031213-S'!D42+'FA13-19031213-S'!D42+'LA11-19030911-S'!D42+'AY11-19031011-S'!D42</f>
        <v>26565.899999999998</v>
      </c>
      <c r="E42" s="107">
        <f>D42/$D$48</f>
        <v>0.20076459510670924</v>
      </c>
      <c r="F42" s="28">
        <f>C42-(C42*$E$6)</f>
        <v>0.43236125472623449</v>
      </c>
      <c r="G42" s="27" t="str">
        <f>IF(C42&gt;=F42,"-","+")</f>
        <v>+</v>
      </c>
      <c r="H42" s="26">
        <f>C42*D42</f>
        <v>10626.36</v>
      </c>
      <c r="I42" s="26">
        <f>F42*D42</f>
        <v>11486.065856931671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f>'EM29-19032629-S'!D43+'FA28-19032627-S'!D43+'ÜN27-19032627-S'!D43+'BA26-19032526-S'!D43+'ÖB26-19032426-S'!D43+'SA26-19032325-S'!D43+'AY25-19032425-S'!D43+'EM25-19032223-S'!D43+'AT22-19032121-S'!D43+'ÜN20-19031920-S'!D43+'FA20-19031920-S'!D43+'BA19-19031819-S'!D43+'3E19-19031718-S'!D43+'AY18-19031718-S'!D43+'İP18-19031618-S'!D43+'EM16-19031516-S'!D43+'3E13-19031213-S'!D43+'BA13-19031213-S'!D43+'ÜN13-19031213-S'!D43+'FA13-19031213-S'!D43+'LA11-19030911-S'!D43+'AY11-19031011-S'!D43</f>
        <v>899.30000000000007</v>
      </c>
      <c r="E43" s="107">
        <f>D43/$D$48</f>
        <v>6.7962162162570677E-3</v>
      </c>
      <c r="F43" s="28">
        <f>C43-(C43*$E$6)</f>
        <v>0.43236125472623449</v>
      </c>
      <c r="G43" s="27" t="str">
        <f>IF(C43&gt;=F43,"-","+")</f>
        <v>+</v>
      </c>
      <c r="H43" s="26">
        <f>C43*D43</f>
        <v>359.72</v>
      </c>
      <c r="I43" s="26">
        <f>F43*D43</f>
        <v>388.8224763753027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f>'EM29-19032629-S'!D44+'FA28-19032627-S'!D44+'ÜN27-19032627-S'!D44+'BA26-19032526-S'!D44+'ÖB26-19032426-S'!D44+'SA26-19032325-S'!D44+'AY25-19032425-S'!D44+'EM25-19032223-S'!D44+'AT22-19032121-S'!D44+'ÜN20-19031920-S'!D44+'FA20-19031920-S'!D44+'BA19-19031819-S'!D44+'3E19-19031718-S'!D44+'AY18-19031718-S'!D44+'İP18-19031618-S'!D44+'EM16-19031516-S'!D44+'3E13-19031213-S'!D44+'BA13-19031213-S'!D44+'ÜN13-19031213-S'!D44+'FA13-19031213-S'!D44+'LA11-19030911-S'!D44+'AY11-19031011-S'!D44</f>
        <v>16.100000000000001</v>
      </c>
      <c r="E44" s="107">
        <f>D44/$D$48</f>
        <v>1.2167139006086823E-4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f>'EM29-19032629-S'!D45+'FA28-19032627-S'!D45+'ÜN27-19032627-S'!D45+'BA26-19032526-S'!D45+'ÖB26-19032426-S'!D45+'SA26-19032325-S'!D45+'AY25-19032425-S'!D45+'EM25-19032223-S'!D45+'AT22-19032121-S'!D45+'ÜN20-19031920-S'!D45+'FA20-19031920-S'!D45+'BA19-19031819-S'!D45+'3E19-19031718-S'!D45+'AY18-19031718-S'!D45+'İP18-19031618-S'!D45+'EM16-19031516-S'!D45+'3E13-19031213-S'!D45+'BA13-19031213-S'!D45+'ÜN13-19031213-S'!D45+'FA13-19031213-S'!D45+'LA11-19030911-S'!D45+'AY11-19031011-S'!D45</f>
        <v>124.69999999999997</v>
      </c>
      <c r="E45" s="107">
        <f>D45/$D$48</f>
        <v>9.4238648078200397E-4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0.39795986379772519</v>
      </c>
      <c r="D46" s="22">
        <f>SUM(D41:D45)</f>
        <v>27605.999999999996</v>
      </c>
      <c r="E46" s="21">
        <f>D46/$D$48</f>
        <v>0.20862486919380915</v>
      </c>
      <c r="F46" s="20">
        <f>I46/D46</f>
        <v>0.43015606510566451</v>
      </c>
      <c r="G46" s="19">
        <f>F46/C46-1</f>
        <v>8.0903136815585919E-2</v>
      </c>
      <c r="H46" s="18">
        <f>SUM(H41:H44)</f>
        <v>10986.08</v>
      </c>
      <c r="I46" s="18">
        <f>SUM(I41:I44)</f>
        <v>11874.888333306973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86.220408485532559</v>
      </c>
      <c r="D48" s="13">
        <f>D24+D32+D40+D46</f>
        <v>132323.62999999998</v>
      </c>
      <c r="E48" s="12">
        <f>SUM(E20:E46)/2</f>
        <v>1.0000000000000002</v>
      </c>
      <c r="F48" s="11">
        <f>I48/D48</f>
        <v>22.992579502546427</v>
      </c>
      <c r="G48" s="10"/>
      <c r="H48" s="9">
        <f>SUM(H20:H46)/2</f>
        <v>2814740.2660000008</v>
      </c>
      <c r="I48" s="9">
        <f>SUM(I20:I46)/2</f>
        <v>3042461.5828405367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132472.32999999999</v>
      </c>
      <c r="E50" s="12">
        <f>D50/G2</f>
        <v>0.99999720697170036</v>
      </c>
      <c r="F50" s="11">
        <f>I50/D50</f>
        <v>23.000064239830305</v>
      </c>
      <c r="G50" s="10"/>
      <c r="H50" s="9">
        <f>H48+H19</f>
        <v>2818820.6660000007</v>
      </c>
      <c r="I50" s="9">
        <f>I48+I19</f>
        <v>3046872.0999999992</v>
      </c>
      <c r="J50" s="106">
        <f>D50-G2</f>
        <v>-0.37000000002444722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23.000064239830305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tabColor rgb="FF92D050"/>
  </sheetPr>
  <dimension ref="A1:L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399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399</v>
      </c>
      <c r="D2" s="96" t="s">
        <v>3</v>
      </c>
      <c r="E2" s="95" t="s">
        <v>71</v>
      </c>
      <c r="F2" s="94" t="s">
        <v>5</v>
      </c>
      <c r="G2" s="93">
        <v>8067.1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206</v>
      </c>
      <c r="D3" s="90" t="s">
        <v>7</v>
      </c>
      <c r="E3" s="89">
        <v>113</v>
      </c>
      <c r="F3" s="88" t="s">
        <v>8</v>
      </c>
      <c r="G3" s="87">
        <v>28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71.390265486725667</v>
      </c>
      <c r="F4" s="81" t="s">
        <v>12</v>
      </c>
      <c r="G4" s="80">
        <f>G2*G3</f>
        <v>225878.80000000002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5.7511185689462785E-3</v>
      </c>
      <c r="F6" s="69" t="s">
        <v>16</v>
      </c>
      <c r="G6" s="68">
        <f>(I50-I19)/(D50-(SUM(D42:D44)+D19))</f>
        <v>33.379459139943847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27.838968680069506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  <c r="L10" t="s">
        <v>317</v>
      </c>
    </row>
    <row r="11" spans="1:12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29.032067337786767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26.447020246066032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29.032067337786767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32.412513534652355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26.745294910495343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36.588358836662778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53.888289373563111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47.127396979831943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101.4</v>
      </c>
      <c r="E21" s="29">
        <f>D21/$D$48</f>
        <v>1.2569572708904068E-2</v>
      </c>
      <c r="F21" s="28">
        <f>C21-(C21*$E$6)</f>
        <v>69.995121252746188</v>
      </c>
      <c r="G21" s="27" t="str">
        <f>IF(C21&gt;=F21,"-","+")</f>
        <v>-</v>
      </c>
      <c r="H21" s="26">
        <f>C21*D21</f>
        <v>7138.5600000000013</v>
      </c>
      <c r="I21" s="26">
        <f>F21*D21</f>
        <v>7097.5052950284635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241.5</v>
      </c>
      <c r="E22" s="29">
        <f>D22/$D$48</f>
        <v>2.993640837475673E-2</v>
      </c>
      <c r="F22" s="28">
        <f>C22-(C22*$E$6)</f>
        <v>47.027972091688838</v>
      </c>
      <c r="G22" s="27" t="str">
        <f>IF(C22&gt;=F22,"-","+")</f>
        <v>-</v>
      </c>
      <c r="H22" s="26">
        <f>C22*D22</f>
        <v>11422.949999999999</v>
      </c>
      <c r="I22" s="26">
        <f>F22*D22</f>
        <v>11357.255260142854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221.8</v>
      </c>
      <c r="E23" s="29">
        <f>D23/$D$48</f>
        <v>2.7494390797188583E-2</v>
      </c>
      <c r="F23" s="28">
        <f>C23-(C23*$E$6)</f>
        <v>42.852126789678415</v>
      </c>
      <c r="G23" s="27" t="str">
        <f>IF(C23&gt;=F23,"-","+")</f>
        <v>-</v>
      </c>
      <c r="H23" s="26">
        <f>C23*D23</f>
        <v>9559.58</v>
      </c>
      <c r="I23" s="26">
        <f>F23*D23</f>
        <v>9504.6017219506739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49.798282273773687</v>
      </c>
      <c r="D24" s="22">
        <f>SUM(D21:D23)</f>
        <v>564.70000000000005</v>
      </c>
      <c r="E24" s="21">
        <f>D24/$D$48</f>
        <v>7.0000371880849385E-2</v>
      </c>
      <c r="F24" s="20">
        <f>I24/D24</f>
        <v>49.511886447887349</v>
      </c>
      <c r="G24" s="19">
        <f>F24/C24-1</f>
        <v>-5.7511185689465005E-3</v>
      </c>
      <c r="H24" s="18">
        <f>SUM(H21:H23)</f>
        <v>28121.090000000004</v>
      </c>
      <c r="I24" s="18">
        <f>SUM(I21:I23)</f>
        <v>27959.362277121989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1690.7</v>
      </c>
      <c r="E26" s="29">
        <f t="shared" ref="E26:E32" si="7">D26/$D$48</f>
        <v>0.20957965067992218</v>
      </c>
      <c r="F26" s="28">
        <f t="shared" ref="F26:F31" si="8">C26-(C26*$E$6)</f>
        <v>37.383757941807623</v>
      </c>
      <c r="G26" s="27" t="str">
        <f t="shared" ref="G26:G31" si="9">IF(C26&gt;=F26,"-","+")</f>
        <v>-</v>
      </c>
      <c r="H26" s="26">
        <f t="shared" ref="H26:H31" si="10">C26*D26</f>
        <v>63570.320000000007</v>
      </c>
      <c r="I26" s="26">
        <f t="shared" ref="I26:I31" si="11">F26*D26</f>
        <v>63204.719552214148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1233.3</v>
      </c>
      <c r="E27" s="29">
        <f t="shared" si="7"/>
        <v>0.15288021717841604</v>
      </c>
      <c r="F27" s="28">
        <f t="shared" si="8"/>
        <v>33.307337527940298</v>
      </c>
      <c r="G27" s="27" t="str">
        <f t="shared" si="9"/>
        <v>-</v>
      </c>
      <c r="H27" s="26">
        <f t="shared" si="10"/>
        <v>41315.549999999996</v>
      </c>
      <c r="I27" s="26">
        <f t="shared" si="11"/>
        <v>41077.93937320877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698.5</v>
      </c>
      <c r="E28" s="29">
        <f t="shared" si="7"/>
        <v>8.6586257763012736E-2</v>
      </c>
      <c r="F28" s="28">
        <f t="shared" si="8"/>
        <v>33.307337527940298</v>
      </c>
      <c r="G28" s="27" t="str">
        <f t="shared" si="9"/>
        <v>-</v>
      </c>
      <c r="H28" s="26">
        <f t="shared" si="10"/>
        <v>23399.75</v>
      </c>
      <c r="I28" s="26">
        <f t="shared" si="11"/>
        <v>23265.175263266297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676.8</v>
      </c>
      <c r="E29" s="29">
        <f t="shared" si="7"/>
        <v>8.3896319619194012E-2</v>
      </c>
      <c r="F29" s="28">
        <f t="shared" si="8"/>
        <v>32.114238870223033</v>
      </c>
      <c r="G29" s="27" t="str">
        <f t="shared" si="9"/>
        <v>-</v>
      </c>
      <c r="H29" s="26">
        <f t="shared" si="10"/>
        <v>21860.639999999996</v>
      </c>
      <c r="I29" s="26">
        <f t="shared" si="11"/>
        <v>21734.916867366948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593.9</v>
      </c>
      <c r="E30" s="29">
        <f t="shared" si="7"/>
        <v>7.3620012148107747E-2</v>
      </c>
      <c r="F30" s="28">
        <f t="shared" si="8"/>
        <v>32.114238870223033</v>
      </c>
      <c r="G30" s="27" t="str">
        <f t="shared" si="9"/>
        <v>-</v>
      </c>
      <c r="H30" s="26">
        <f t="shared" si="10"/>
        <v>19182.969999999998</v>
      </c>
      <c r="I30" s="26">
        <f t="shared" si="11"/>
        <v>19072.64646502546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249.6</v>
      </c>
      <c r="E31" s="29">
        <f t="shared" si="7"/>
        <v>3.0940486668071553E-2</v>
      </c>
      <c r="F31" s="28">
        <f t="shared" si="8"/>
        <v>32.710788199081669</v>
      </c>
      <c r="G31" s="27" t="str">
        <f t="shared" si="9"/>
        <v>-</v>
      </c>
      <c r="H31" s="26">
        <f t="shared" si="10"/>
        <v>8211.84</v>
      </c>
      <c r="I31" s="26">
        <f t="shared" si="11"/>
        <v>8164.6127344907845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34.522258302870029</v>
      </c>
      <c r="D32" s="22">
        <f>SUM(D26:D31)</f>
        <v>5142.8</v>
      </c>
      <c r="E32" s="21">
        <f t="shared" si="7"/>
        <v>0.63750294405672425</v>
      </c>
      <c r="F32" s="20">
        <f>I32/D32</f>
        <v>34.323716702102438</v>
      </c>
      <c r="G32" s="19">
        <f>F32/C32-1</f>
        <v>-5.7511185689461675E-3</v>
      </c>
      <c r="H32" s="18">
        <f>SUM(H26:H31)</f>
        <v>177541.06999999998</v>
      </c>
      <c r="I32" s="18">
        <f>SUM(I26:I31)</f>
        <v>176520.01025557242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1054.2</v>
      </c>
      <c r="E34" s="29">
        <f t="shared" ref="E34:E40" si="13">D34/$D$48</f>
        <v>0.13067893047067722</v>
      </c>
      <c r="F34" s="28">
        <f t="shared" ref="F34:F39" si="14">C34-(C34*$E$6)</f>
        <v>19.686127852334863</v>
      </c>
      <c r="G34" s="27" t="str">
        <f t="shared" ref="G34:G39" si="15">IF(C34&gt;=F34,"-","+")</f>
        <v>-</v>
      </c>
      <c r="H34" s="26">
        <f t="shared" ref="H34:H39" si="16">C34*D34</f>
        <v>20873.16</v>
      </c>
      <c r="I34" s="26">
        <f t="shared" ref="I34:I39" si="17">F34*D34</f>
        <v>20753.115981931413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15.112582997752016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12.129836353458854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32.114238870223033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32.114238870223033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33.307337527940298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1054.2</v>
      </c>
      <c r="E40" s="113">
        <f t="shared" si="13"/>
        <v>0.13067893047067722</v>
      </c>
      <c r="F40" s="20">
        <f>I40/D40</f>
        <v>19.686127852334863</v>
      </c>
      <c r="G40" s="19">
        <f>F40/C40-1</f>
        <v>-5.7511185689463895E-3</v>
      </c>
      <c r="H40" s="18">
        <f>SUM(H34:H39)</f>
        <v>20873.16</v>
      </c>
      <c r="I40" s="18">
        <f>SUM(I34:I39)</f>
        <v>20753.115981931413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1236</v>
      </c>
      <c r="E42" s="107">
        <f>D42/$D$48</f>
        <v>0.15321490994285433</v>
      </c>
      <c r="F42" s="28">
        <f>C42-(C42*$E$6)</f>
        <v>0.49712444071552686</v>
      </c>
      <c r="G42" s="27" t="str">
        <f>IF(C42&gt;=F42,"-","+")</f>
        <v>-</v>
      </c>
      <c r="H42" s="26">
        <f>C42*D42</f>
        <v>618</v>
      </c>
      <c r="I42" s="26">
        <f>F42*D42</f>
        <v>614.44580872439121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64.099999999999994</v>
      </c>
      <c r="E43" s="107">
        <f>D43/$D$48</f>
        <v>7.9458541483308741E-3</v>
      </c>
      <c r="F43" s="28">
        <f>C43-(C43*$E$6)</f>
        <v>0.49712444071552686</v>
      </c>
      <c r="G43" s="27" t="str">
        <f>IF(C43&gt;=F43,"-","+")</f>
        <v>-</v>
      </c>
      <c r="H43" s="26">
        <f>C43*D43</f>
        <v>32.049999999999997</v>
      </c>
      <c r="I43" s="26">
        <f>F43*D43</f>
        <v>31.865676649865268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6.5698950056401935E-4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0.49796997089014861</v>
      </c>
      <c r="D46" s="22">
        <f>SUM(D41:D45)</f>
        <v>1305.3999999999999</v>
      </c>
      <c r="E46" s="113">
        <f>D46/$D$48</f>
        <v>0.16181775359174919</v>
      </c>
      <c r="F46" s="20">
        <f>I46/D46</f>
        <v>0.49510608654378468</v>
      </c>
      <c r="G46" s="19">
        <f>F46/C46-1</f>
        <v>-5.7511185689461675E-3</v>
      </c>
      <c r="H46" s="18">
        <f>SUM(H41:H44)</f>
        <v>650.04999999999995</v>
      </c>
      <c r="I46" s="18">
        <f>SUM(I41:I44)</f>
        <v>646.31148537425645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104.61851054753386</v>
      </c>
      <c r="D48" s="13">
        <f>D24+D32+D40+D46</f>
        <v>8067.0999999999995</v>
      </c>
      <c r="E48" s="12">
        <f>SUM(E20:E46)/2</f>
        <v>1</v>
      </c>
      <c r="F48" s="11">
        <f>I48/D48</f>
        <v>28.000000000000004</v>
      </c>
      <c r="G48" s="10"/>
      <c r="H48" s="9">
        <f>SUM(H20:H46)/2</f>
        <v>227185.36999999994</v>
      </c>
      <c r="I48" s="9">
        <f>SUM(I20:I46)/2</f>
        <v>225878.80000000002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8067.1</v>
      </c>
      <c r="E50" s="12">
        <f>D50/G2</f>
        <v>1</v>
      </c>
      <c r="F50" s="11">
        <f>I50/D50</f>
        <v>28</v>
      </c>
      <c r="G50" s="10"/>
      <c r="H50" s="9">
        <f>H48+H19</f>
        <v>227185.36999999994</v>
      </c>
      <c r="I50" s="9">
        <f>I48+I19</f>
        <v>225878.80000000002</v>
      </c>
      <c r="J50" s="106">
        <f>D50-G2</f>
        <v>0</v>
      </c>
      <c r="K50" s="8"/>
    </row>
    <row r="51" spans="1:11" ht="23.25" x14ac:dyDescent="0.35">
      <c r="A51" s="174" t="s">
        <v>400</v>
      </c>
      <c r="B51" s="169"/>
      <c r="C51" s="170"/>
      <c r="G51" s="7"/>
      <c r="H51" s="6"/>
      <c r="I51" s="6">
        <f>+I50/D50</f>
        <v>28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399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399</v>
      </c>
      <c r="D2" s="96" t="s">
        <v>3</v>
      </c>
      <c r="E2" s="95" t="s">
        <v>71</v>
      </c>
      <c r="F2" s="94" t="s">
        <v>5</v>
      </c>
      <c r="G2" s="93">
        <v>13481.2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211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63.891943127962087</v>
      </c>
      <c r="F4" s="81" t="s">
        <v>12</v>
      </c>
      <c r="G4" s="80">
        <f>G2*G3</f>
        <v>377473.60000000003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-2.5973458017804374E-2</v>
      </c>
      <c r="F6" s="69" t="s">
        <v>16</v>
      </c>
      <c r="G6" s="68">
        <f>(I50-I19)/(D50-(SUM(D42:D44)+D19))</f>
        <v>33.752608650412554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28.727256824498522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953.9</v>
      </c>
      <c r="E11" s="29">
        <f t="shared" si="1"/>
        <v>0.61561794127137781</v>
      </c>
      <c r="F11" s="28">
        <f t="shared" si="2"/>
        <v>29.958424974119886</v>
      </c>
      <c r="G11" s="27" t="str">
        <f t="shared" si="3"/>
        <v>+</v>
      </c>
      <c r="H11" s="34">
        <f t="shared" si="4"/>
        <v>27853.879999999997</v>
      </c>
      <c r="I11" s="34">
        <f t="shared" si="5"/>
        <v>28577.341582812958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171.6</v>
      </c>
      <c r="E12" s="29">
        <f t="shared" si="1"/>
        <v>0.11074540174249757</v>
      </c>
      <c r="F12" s="28">
        <f t="shared" si="2"/>
        <v>27.290893983273598</v>
      </c>
      <c r="G12" s="27" t="str">
        <f t="shared" si="3"/>
        <v>+</v>
      </c>
      <c r="H12" s="34">
        <f t="shared" si="4"/>
        <v>4564.5600000000004</v>
      </c>
      <c r="I12" s="34">
        <f t="shared" si="5"/>
        <v>4683.1174075297495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29.958424974119886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302</v>
      </c>
      <c r="E14" s="29">
        <f t="shared" si="1"/>
        <v>0.19490158115521136</v>
      </c>
      <c r="F14" s="28">
        <f t="shared" si="2"/>
        <v>33.446734731380424</v>
      </c>
      <c r="G14" s="27" t="str">
        <f t="shared" si="3"/>
        <v>+</v>
      </c>
      <c r="H14" s="34">
        <f t="shared" si="4"/>
        <v>9845.2000000000007</v>
      </c>
      <c r="I14" s="34">
        <f t="shared" si="5"/>
        <v>10100.913888876888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122</v>
      </c>
      <c r="E15" s="29">
        <f t="shared" si="1"/>
        <v>7.8735075830913201E-2</v>
      </c>
      <c r="F15" s="28">
        <f t="shared" si="2"/>
        <v>27.598686020678937</v>
      </c>
      <c r="G15" s="27" t="str">
        <f t="shared" si="3"/>
        <v>+</v>
      </c>
      <c r="H15" s="34">
        <f t="shared" si="4"/>
        <v>3281.7999999999997</v>
      </c>
      <c r="I15" s="34">
        <f t="shared" si="5"/>
        <v>3367.0396945228304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37.755823255055198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55.607761424564998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48.631141910043922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29.393636656986125</v>
      </c>
      <c r="D19" s="49">
        <f>SUM(D10:D18)</f>
        <v>1549.5</v>
      </c>
      <c r="E19" s="48">
        <f t="shared" si="1"/>
        <v>1</v>
      </c>
      <c r="F19" s="47">
        <f>I19/D19</f>
        <v>30.157091044686947</v>
      </c>
      <c r="G19" s="46">
        <f>F19/C19-1</f>
        <v>2.5973458017804374E-2</v>
      </c>
      <c r="H19" s="9">
        <f>SUM(H10:H18)</f>
        <v>45545.440000000002</v>
      </c>
      <c r="I19" s="9">
        <f>SUM(I10:I18)</f>
        <v>46728.412573742426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130</v>
      </c>
      <c r="E21" s="29">
        <f>D21/$D$48</f>
        <v>1.0895711280413703E-2</v>
      </c>
      <c r="F21" s="28">
        <f>C21-(C21*$E$6)</f>
        <v>72.228531444453438</v>
      </c>
      <c r="G21" s="27" t="str">
        <f>IF(C21&gt;=F21,"-","+")</f>
        <v>+</v>
      </c>
      <c r="H21" s="26">
        <f>C21*D21</f>
        <v>9152</v>
      </c>
      <c r="I21" s="26">
        <f>F21*D21</f>
        <v>9389.7090877789469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396.3</v>
      </c>
      <c r="E22" s="29">
        <f>D22/$D$48</f>
        <v>3.3215156772522694E-2</v>
      </c>
      <c r="F22" s="28">
        <f>C22-(C22*$E$6)</f>
        <v>48.528544564242146</v>
      </c>
      <c r="G22" s="27" t="str">
        <f>IF(C22&gt;=F22,"-","+")</f>
        <v>+</v>
      </c>
      <c r="H22" s="26">
        <f>C22*D22</f>
        <v>18744.989999999998</v>
      </c>
      <c r="I22" s="26">
        <f>F22*D22</f>
        <v>19231.862210809162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268.39999999999998</v>
      </c>
      <c r="E23" s="29">
        <f>D23/$D$48</f>
        <v>2.2495453135869519E-2</v>
      </c>
      <c r="F23" s="28">
        <f>C23-(C23*$E$6)</f>
        <v>44.219456040567373</v>
      </c>
      <c r="G23" s="27" t="str">
        <f>IF(C23&gt;=F23,"-","+")</f>
        <v>+</v>
      </c>
      <c r="H23" s="26">
        <f>C23*D23</f>
        <v>11568.039999999999</v>
      </c>
      <c r="I23" s="26">
        <f>F23*D23</f>
        <v>11868.502001288281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49.660286900717253</v>
      </c>
      <c r="D24" s="22">
        <f>SUM(D21:D23)</f>
        <v>794.69999999999993</v>
      </c>
      <c r="E24" s="21">
        <f>D24/$D$48</f>
        <v>6.6606321188805911E-2</v>
      </c>
      <c r="F24" s="20">
        <f>I24/D24</f>
        <v>50.950136277685161</v>
      </c>
      <c r="G24" s="19">
        <f>F24/C24-1</f>
        <v>2.5973458017804596E-2</v>
      </c>
      <c r="H24" s="18">
        <f>SUM(H21:H23)</f>
        <v>39465.03</v>
      </c>
      <c r="I24" s="18">
        <f>SUM(I21:I23)</f>
        <v>40490.073299876392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314+373+116.5+1226.9</f>
        <v>2030.4</v>
      </c>
      <c r="E26" s="29">
        <f t="shared" ref="E26:E32" si="7">D26/$D$48</f>
        <v>0.17017424756732294</v>
      </c>
      <c r="F26" s="28">
        <f t="shared" ref="F26:F31" si="8">C26-(C26*$E$6)</f>
        <v>38.576602021469448</v>
      </c>
      <c r="G26" s="27" t="str">
        <f t="shared" ref="G26:G31" si="9">IF(C26&gt;=F26,"-","+")</f>
        <v>+</v>
      </c>
      <c r="H26" s="26">
        <f t="shared" ref="H26:H31" si="10">C26*D26</f>
        <v>76343.040000000008</v>
      </c>
      <c r="I26" s="26">
        <f t="shared" ref="I26:I31" si="11">F26*D26</f>
        <v>78325.932744391568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1909</v>
      </c>
      <c r="E27" s="29">
        <f t="shared" si="7"/>
        <v>0.15999932949469045</v>
      </c>
      <c r="F27" s="28">
        <f t="shared" si="8"/>
        <v>34.37011084359645</v>
      </c>
      <c r="G27" s="27" t="str">
        <f t="shared" si="9"/>
        <v>+</v>
      </c>
      <c r="H27" s="26">
        <f t="shared" si="10"/>
        <v>63951.5</v>
      </c>
      <c r="I27" s="26">
        <f t="shared" si="11"/>
        <v>65612.541600425626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1222.4000000000001</v>
      </c>
      <c r="E28" s="29">
        <f t="shared" si="7"/>
        <v>0.102453211301367</v>
      </c>
      <c r="F28" s="28">
        <f t="shared" si="8"/>
        <v>34.37011084359645</v>
      </c>
      <c r="G28" s="27" t="str">
        <f t="shared" si="9"/>
        <v>+</v>
      </c>
      <c r="H28" s="26">
        <f t="shared" si="10"/>
        <v>40950.400000000001</v>
      </c>
      <c r="I28" s="26">
        <f t="shared" si="11"/>
        <v>42014.023495212306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1138.5999999999999</v>
      </c>
      <c r="E29" s="29">
        <f t="shared" si="7"/>
        <v>9.5429668183684924E-2</v>
      </c>
      <c r="F29" s="28">
        <f t="shared" si="8"/>
        <v>33.138942693975082</v>
      </c>
      <c r="G29" s="27" t="str">
        <f t="shared" si="9"/>
        <v>+</v>
      </c>
      <c r="H29" s="26">
        <f t="shared" si="10"/>
        <v>36776.779999999992</v>
      </c>
      <c r="I29" s="26">
        <f t="shared" si="11"/>
        <v>37732.000151360022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701.5</v>
      </c>
      <c r="E30" s="29">
        <f t="shared" si="7"/>
        <v>5.8794934332386251E-2</v>
      </c>
      <c r="F30" s="28">
        <f t="shared" si="8"/>
        <v>33.138942693975082</v>
      </c>
      <c r="G30" s="27" t="str">
        <f t="shared" si="9"/>
        <v>+</v>
      </c>
      <c r="H30" s="26">
        <f t="shared" si="10"/>
        <v>22658.449999999997</v>
      </c>
      <c r="I30" s="26">
        <f t="shared" si="11"/>
        <v>23246.968299823518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175.7</v>
      </c>
      <c r="E31" s="29">
        <f t="shared" si="7"/>
        <v>1.4725972861297596E-2</v>
      </c>
      <c r="F31" s="28">
        <f t="shared" si="8"/>
        <v>33.754526768785766</v>
      </c>
      <c r="G31" s="27" t="str">
        <f t="shared" si="9"/>
        <v>+</v>
      </c>
      <c r="H31" s="26">
        <f t="shared" si="10"/>
        <v>5780.53</v>
      </c>
      <c r="I31" s="26">
        <f t="shared" si="11"/>
        <v>5930.6703532756583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34.337480494872935</v>
      </c>
      <c r="D32" s="22">
        <f>SUM(D26:D31)</f>
        <v>7177.5999999999995</v>
      </c>
      <c r="E32" s="21">
        <f t="shared" si="7"/>
        <v>0.6015773637407491</v>
      </c>
      <c r="F32" s="20">
        <f>I32/D32</f>
        <v>35.229343602943707</v>
      </c>
      <c r="G32" s="19">
        <f>F32/C32-1</f>
        <v>2.5973458017804818E-2</v>
      </c>
      <c r="H32" s="18">
        <f>SUM(H26:H31)</f>
        <v>246460.69999999998</v>
      </c>
      <c r="I32" s="18">
        <f>SUM(I26:I31)</f>
        <v>252862.13664448872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733.1+941.7</f>
        <v>1674.8000000000002</v>
      </c>
      <c r="E34" s="29">
        <f t="shared" ref="E34:E40" si="13">D34/$D$48</f>
        <v>0.14037028655720671</v>
      </c>
      <c r="F34" s="28">
        <f t="shared" ref="F34:F39" si="14">C34-(C34*$E$6)</f>
        <v>20.314274468752526</v>
      </c>
      <c r="G34" s="27" t="str">
        <f t="shared" ref="G34:G39" si="15">IF(C34&gt;=F34,"-","+")</f>
        <v>+</v>
      </c>
      <c r="H34" s="26">
        <f t="shared" ref="H34:H39" si="16">C34*D34</f>
        <v>33161.040000000008</v>
      </c>
      <c r="I34" s="26">
        <f t="shared" ref="I34:I39" si="17">F34*D34</f>
        <v>34022.346880266734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146</v>
      </c>
      <c r="E35" s="29">
        <f t="shared" si="13"/>
        <v>1.2236721899541543E-2</v>
      </c>
      <c r="F35" s="28">
        <f t="shared" si="14"/>
        <v>15.594796561870625</v>
      </c>
      <c r="G35" s="27" t="str">
        <f t="shared" si="15"/>
        <v>+</v>
      </c>
      <c r="H35" s="26">
        <f t="shared" si="16"/>
        <v>2219.1999999999998</v>
      </c>
      <c r="I35" s="26">
        <f t="shared" si="17"/>
        <v>2276.8402980331111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12.516876187817212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33.138942693975082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33.138942693975082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34.37011084359645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19.431151142355009</v>
      </c>
      <c r="D40" s="22">
        <f>SUM(D34:D39)</f>
        <v>1820.8000000000002</v>
      </c>
      <c r="E40" s="113">
        <f t="shared" si="13"/>
        <v>0.15260700845674824</v>
      </c>
      <c r="F40" s="20">
        <f>I40/D40</f>
        <v>19.935845330788577</v>
      </c>
      <c r="G40" s="19">
        <f>F40/C40-1</f>
        <v>2.5973458017804374E-2</v>
      </c>
      <c r="H40" s="18">
        <f>SUM(H34:H39)</f>
        <v>35380.240000000005</v>
      </c>
      <c r="I40" s="18">
        <f>SUM(I34:I39)</f>
        <v>36299.187178299842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127.2+960.4+987.6</f>
        <v>2075.1999999999998</v>
      </c>
      <c r="E42" s="107">
        <f>D42/$D$48</f>
        <v>0.17392907730088086</v>
      </c>
      <c r="F42" s="28">
        <f>C42-(C42*$E$6)</f>
        <v>0.51298672900890219</v>
      </c>
      <c r="G42" s="27" t="str">
        <f>IF(C42&gt;=F42,"-","+")</f>
        <v>+</v>
      </c>
      <c r="H42" s="26">
        <f>C42*D42</f>
        <v>1037.5999999999999</v>
      </c>
      <c r="I42" s="26">
        <f>F42*D42</f>
        <v>1064.5500600392738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57</v>
      </c>
      <c r="E43" s="107">
        <f>D43/$D$48</f>
        <v>4.7773503306429311E-3</v>
      </c>
      <c r="F43" s="28">
        <f>C43-(C43*$E$6)</f>
        <v>0.51298672900890219</v>
      </c>
      <c r="G43" s="27" t="str">
        <f>IF(C43&gt;=F43,"-","+")</f>
        <v>+</v>
      </c>
      <c r="H43" s="26">
        <f>C43*D43</f>
        <v>28.5</v>
      </c>
      <c r="I43" s="26">
        <f>F43*D43</f>
        <v>29.240243553507426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5.028789821729401E-4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0.49859695070620147</v>
      </c>
      <c r="D46" s="22">
        <f>SUM(D41:D45)</f>
        <v>2138.1999999999998</v>
      </c>
      <c r="E46" s="113">
        <f>D46/$D$48</f>
        <v>0.17920930661369674</v>
      </c>
      <c r="F46" s="20">
        <f>I46/D46</f>
        <v>0.51154723767317434</v>
      </c>
      <c r="G46" s="19">
        <f>F46/C46-1</f>
        <v>2.5973458017804596E-2</v>
      </c>
      <c r="H46" s="18">
        <f>SUM(H41:H44)</f>
        <v>1066.0999999999999</v>
      </c>
      <c r="I46" s="18">
        <f>SUM(I41:I44)</f>
        <v>1093.7903035927814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103.92751548865139</v>
      </c>
      <c r="D48" s="13">
        <f>D24+D32+D40+D46</f>
        <v>11931.3</v>
      </c>
      <c r="E48" s="12">
        <f>SUM(E20:E46)/2</f>
        <v>1.0000000000000002</v>
      </c>
      <c r="F48" s="11">
        <f>I48/D48</f>
        <v>27.720800535252465</v>
      </c>
      <c r="G48" s="10"/>
      <c r="H48" s="9">
        <f>SUM(H20:H46)/2</f>
        <v>322372.06999999995</v>
      </c>
      <c r="I48" s="9">
        <f>SUM(I20:I46)/2</f>
        <v>330745.1874262577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13480.800000000001</v>
      </c>
      <c r="E50" s="12">
        <f>D50/G2</f>
        <v>0.99997032905082639</v>
      </c>
      <c r="F50" s="11">
        <f>I50/D50</f>
        <v>28.000830811227829</v>
      </c>
      <c r="G50" s="10"/>
      <c r="H50" s="9">
        <f>H48+H19</f>
        <v>367917.50999999995</v>
      </c>
      <c r="I50" s="9">
        <f>I48+I19</f>
        <v>377473.60000000015</v>
      </c>
      <c r="J50" s="106">
        <f>D50-G2</f>
        <v>-0.3999999999996362</v>
      </c>
      <c r="K50" s="8"/>
    </row>
    <row r="51" spans="1:11" ht="23.25" x14ac:dyDescent="0.35">
      <c r="A51" s="174" t="s">
        <v>401</v>
      </c>
      <c r="B51" s="169"/>
      <c r="C51" s="170"/>
      <c r="G51" s="7"/>
      <c r="H51" s="6"/>
      <c r="I51" s="6">
        <f>+I50/D50</f>
        <v>28.000830811227829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399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399</v>
      </c>
      <c r="D2" s="96" t="s">
        <v>3</v>
      </c>
      <c r="E2" s="95" t="s">
        <v>112</v>
      </c>
      <c r="F2" s="94" t="s">
        <v>5</v>
      </c>
      <c r="G2" s="93">
        <v>2605.6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44</v>
      </c>
      <c r="F3" s="88" t="s">
        <v>8</v>
      </c>
      <c r="G3" s="87">
        <v>23.96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59.218181818181819</v>
      </c>
      <c r="F4" s="81" t="s">
        <v>12</v>
      </c>
      <c r="G4" s="80">
        <f>G2*G3</f>
        <v>62430.175999999999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-0.10706150034694217</v>
      </c>
      <c r="F6" s="69" t="s">
        <v>16</v>
      </c>
      <c r="G6" s="68">
        <f>(I50-I19)/(D50-(SUM(D42:D44)+D19))</f>
        <v>30.788664989890027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</v>
      </c>
      <c r="D10" s="30"/>
      <c r="E10" s="29" t="e">
        <f t="shared" ref="E10:E19" si="1">D10/$D$19</f>
        <v>#DIV/0!</v>
      </c>
      <c r="F10" s="28">
        <f t="shared" ref="F10:F18" si="2">C10-(C10*$E$6)</f>
        <v>26.56947600832661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</v>
      </c>
      <c r="D11" s="30"/>
      <c r="E11" s="29" t="e">
        <f t="shared" si="1"/>
        <v>#DIV/0!</v>
      </c>
      <c r="F11" s="28">
        <f t="shared" si="2"/>
        <v>27.676537508673555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22.8</v>
      </c>
      <c r="D12" s="30"/>
      <c r="E12" s="29" t="e">
        <f t="shared" si="1"/>
        <v>#DIV/0!</v>
      </c>
      <c r="F12" s="28">
        <f t="shared" si="2"/>
        <v>25.241002207910281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</v>
      </c>
      <c r="D13" s="30"/>
      <c r="E13" s="29" t="e">
        <f t="shared" si="1"/>
        <v>#DIV/0!</v>
      </c>
      <c r="F13" s="28">
        <f t="shared" si="2"/>
        <v>27.676537508673555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27.9</v>
      </c>
      <c r="D14" s="30"/>
      <c r="E14" s="29" t="e">
        <f t="shared" si="1"/>
        <v>#DIV/0!</v>
      </c>
      <c r="F14" s="28">
        <f t="shared" si="2"/>
        <v>30.887015859679686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</v>
      </c>
      <c r="D15" s="30"/>
      <c r="E15" s="29" t="e">
        <f t="shared" si="1"/>
        <v>#DIV/0!</v>
      </c>
      <c r="F15" s="28">
        <f t="shared" si="2"/>
        <v>25.46241450797967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31.5</v>
      </c>
      <c r="D16" s="30"/>
      <c r="E16" s="29" t="e">
        <f t="shared" si="1"/>
        <v>#DIV/0!</v>
      </c>
      <c r="F16" s="28">
        <f t="shared" si="2"/>
        <v>34.872437260928677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46.3</v>
      </c>
      <c r="D17" s="30"/>
      <c r="E17" s="29" t="e">
        <f t="shared" si="1"/>
        <v>#DIV/0!</v>
      </c>
      <c r="F17" s="28">
        <f t="shared" si="2"/>
        <v>51.256947466063423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40.6</v>
      </c>
      <c r="D18" s="30"/>
      <c r="E18" s="29" t="e">
        <f t="shared" si="1"/>
        <v>#DIV/0!</v>
      </c>
      <c r="F18" s="28">
        <f t="shared" si="2"/>
        <v>44.946696914085855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60.3</v>
      </c>
      <c r="D21" s="30">
        <v>34.299999999999997</v>
      </c>
      <c r="E21" s="29">
        <f>D21/$D$48</f>
        <v>1.3162944201396885E-2</v>
      </c>
      <c r="F21" s="28">
        <f>C21-(C21*$E$6)</f>
        <v>66.755808470920613</v>
      </c>
      <c r="G21" s="27" t="str">
        <f>IF(C21&gt;=F21,"-","+")</f>
        <v>+</v>
      </c>
      <c r="H21" s="26">
        <f>C21*D21</f>
        <v>2068.2899999999995</v>
      </c>
      <c r="I21" s="26">
        <f>F21*D21</f>
        <v>2289.724230552577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40.5</v>
      </c>
      <c r="D22" s="30">
        <v>67.599999999999994</v>
      </c>
      <c r="E22" s="29">
        <f>D22/$D$48</f>
        <v>2.5942129096630594E-2</v>
      </c>
      <c r="F22" s="28">
        <f>C22-(C22*$E$6)</f>
        <v>44.835990764051161</v>
      </c>
      <c r="G22" s="27" t="str">
        <f>IF(C22&gt;=F22,"-","+")</f>
        <v>+</v>
      </c>
      <c r="H22" s="26">
        <f>C22*D22</f>
        <v>2737.7999999999997</v>
      </c>
      <c r="I22" s="26">
        <f>F22*D22</f>
        <v>3030.9129756498583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36.9</v>
      </c>
      <c r="D23" s="30">
        <v>58.2</v>
      </c>
      <c r="E23" s="29">
        <f>D23/$D$48</f>
        <v>2.2334791618696757E-2</v>
      </c>
      <c r="F23" s="28">
        <f>C23-(C23*$E$6)</f>
        <v>40.850569362802162</v>
      </c>
      <c r="G23" s="27" t="str">
        <f>IF(C23&gt;=F23,"-","+")</f>
        <v>+</v>
      </c>
      <c r="H23" s="26">
        <f>C23*D23</f>
        <v>2147.58</v>
      </c>
      <c r="I23" s="26">
        <f>F23*D23</f>
        <v>2377.5031369150861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43.433291692692066</v>
      </c>
      <c r="D24" s="22">
        <f>SUM(D21:D23)</f>
        <v>160.1</v>
      </c>
      <c r="E24" s="21">
        <f>D24/$D$48</f>
        <v>6.1439864916724235E-2</v>
      </c>
      <c r="F24" s="20">
        <f>I24/D24</f>
        <v>48.083325066318054</v>
      </c>
      <c r="G24" s="19">
        <f>F24/C24-1</f>
        <v>0.10706150034694217</v>
      </c>
      <c r="H24" s="18">
        <f>SUM(H21:H23)</f>
        <v>6953.6699999999992</v>
      </c>
      <c r="I24" s="18">
        <f>SUM(I21:I23)</f>
        <v>7698.1403431175204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32.200000000000003</v>
      </c>
      <c r="D26" s="30">
        <v>511.5</v>
      </c>
      <c r="E26" s="29">
        <f t="shared" ref="E26:E32" si="7">D26/$D$48</f>
        <v>0.19629288510246376</v>
      </c>
      <c r="F26" s="28">
        <f t="shared" ref="F26:F31" si="8">C26-(C26*$E$6)</f>
        <v>35.647380311171538</v>
      </c>
      <c r="G26" s="27" t="str">
        <f t="shared" ref="G26:G31" si="9">IF(C26&gt;=F26,"-","+")</f>
        <v>+</v>
      </c>
      <c r="H26" s="26">
        <f t="shared" ref="H26:H31" si="10">C26*D26</f>
        <v>16470.300000000003</v>
      </c>
      <c r="I26" s="26">
        <f t="shared" ref="I26:I31" si="11">F26*D26</f>
        <v>18233.635029164241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28.6</v>
      </c>
      <c r="D27" s="30">
        <v>327.39999999999998</v>
      </c>
      <c r="E27" s="29">
        <f t="shared" si="7"/>
        <v>0.12564279683782331</v>
      </c>
      <c r="F27" s="28">
        <f t="shared" si="8"/>
        <v>31.661958909922546</v>
      </c>
      <c r="G27" s="27" t="str">
        <f t="shared" si="9"/>
        <v>+</v>
      </c>
      <c r="H27" s="26">
        <f t="shared" si="10"/>
        <v>9363.64</v>
      </c>
      <c r="I27" s="26">
        <f t="shared" si="11"/>
        <v>10366.12534710864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28.6</v>
      </c>
      <c r="D28" s="30">
        <v>203</v>
      </c>
      <c r="E28" s="29">
        <f t="shared" si="7"/>
        <v>7.7903139151124429E-2</v>
      </c>
      <c r="F28" s="28">
        <f t="shared" si="8"/>
        <v>31.661958909922546</v>
      </c>
      <c r="G28" s="27" t="str">
        <f t="shared" si="9"/>
        <v>+</v>
      </c>
      <c r="H28" s="26">
        <f t="shared" si="10"/>
        <v>5805.8</v>
      </c>
      <c r="I28" s="26">
        <f t="shared" si="11"/>
        <v>6427.3776587142765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27.7</v>
      </c>
      <c r="D29" s="30">
        <v>190.6</v>
      </c>
      <c r="E29" s="29">
        <f t="shared" si="7"/>
        <v>7.3144523754701055E-2</v>
      </c>
      <c r="F29" s="28">
        <f t="shared" si="8"/>
        <v>30.665603559610297</v>
      </c>
      <c r="G29" s="27" t="str">
        <f t="shared" si="9"/>
        <v>+</v>
      </c>
      <c r="H29" s="26">
        <f t="shared" si="10"/>
        <v>5279.62</v>
      </c>
      <c r="I29" s="26">
        <f t="shared" si="11"/>
        <v>5844.864038461722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27.7</v>
      </c>
      <c r="D30" s="30">
        <v>127.6</v>
      </c>
      <c r="E30" s="29">
        <f t="shared" si="7"/>
        <v>4.8967687466421064E-2</v>
      </c>
      <c r="F30" s="28">
        <f t="shared" si="8"/>
        <v>30.665603559610297</v>
      </c>
      <c r="G30" s="27" t="str">
        <f t="shared" si="9"/>
        <v>+</v>
      </c>
      <c r="H30" s="26">
        <f t="shared" si="10"/>
        <v>3534.5199999999995</v>
      </c>
      <c r="I30" s="26">
        <f t="shared" si="11"/>
        <v>3912.9310142062736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28.2</v>
      </c>
      <c r="D31" s="30">
        <v>30</v>
      </c>
      <c r="E31" s="29">
        <f t="shared" si="7"/>
        <v>1.1512779184895235E-2</v>
      </c>
      <c r="F31" s="28">
        <f t="shared" si="8"/>
        <v>31.219134309783769</v>
      </c>
      <c r="G31" s="27" t="str">
        <f t="shared" si="9"/>
        <v>+</v>
      </c>
      <c r="H31" s="26">
        <f t="shared" si="10"/>
        <v>846</v>
      </c>
      <c r="I31" s="26">
        <f t="shared" si="11"/>
        <v>936.57402929351304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29.710006474354362</v>
      </c>
      <c r="D32" s="22">
        <f>SUM(D26:D31)</f>
        <v>1390.1</v>
      </c>
      <c r="E32" s="21">
        <f t="shared" si="7"/>
        <v>0.53346381149742883</v>
      </c>
      <c r="F32" s="20">
        <f>I32/D32</f>
        <v>32.890804342816111</v>
      </c>
      <c r="G32" s="19">
        <f>F32/C32-1</f>
        <v>0.1070615003469424</v>
      </c>
      <c r="H32" s="18">
        <f>SUM(H26:H31)</f>
        <v>41299.879999999997</v>
      </c>
      <c r="I32" s="18">
        <f>SUM(I26:I31)</f>
        <v>45721.507116948676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16.899999999999999</v>
      </c>
      <c r="D34" s="30">
        <f>231+205</f>
        <v>436</v>
      </c>
      <c r="E34" s="29">
        <f t="shared" ref="E34:E40" si="13">D34/$D$48</f>
        <v>0.16731905748714407</v>
      </c>
      <c r="F34" s="28">
        <f t="shared" ref="F34:F39" si="14">C34-(C34*$E$6)</f>
        <v>18.709339355863321</v>
      </c>
      <c r="G34" s="27" t="str">
        <f t="shared" ref="G34:G39" si="15">IF(C34&gt;=F34,"-","+")</f>
        <v>+</v>
      </c>
      <c r="H34" s="26">
        <f t="shared" ref="H34:H39" si="16">C34*D34</f>
        <v>7368.4</v>
      </c>
      <c r="I34" s="26">
        <f t="shared" ref="I34:I39" si="17">F34*D34</f>
        <v>8157.2719591564082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</v>
      </c>
      <c r="D35" s="30">
        <v>41.5</v>
      </c>
      <c r="E35" s="29">
        <f t="shared" si="13"/>
        <v>1.592601120577174E-2</v>
      </c>
      <c r="F35" s="28">
        <f t="shared" si="14"/>
        <v>14.391799504510248</v>
      </c>
      <c r="G35" s="27" t="str">
        <f t="shared" si="15"/>
        <v>+</v>
      </c>
      <c r="H35" s="26">
        <f t="shared" si="16"/>
        <v>539.5</v>
      </c>
      <c r="I35" s="26">
        <f t="shared" si="17"/>
        <v>597.25967943717524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10.5</v>
      </c>
      <c r="D36" s="30"/>
      <c r="E36" s="29">
        <f t="shared" si="13"/>
        <v>0</v>
      </c>
      <c r="F36" s="28">
        <f t="shared" si="14"/>
        <v>11.624145753642892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27.7</v>
      </c>
      <c r="D37" s="30"/>
      <c r="E37" s="29">
        <f t="shared" si="13"/>
        <v>0</v>
      </c>
      <c r="F37" s="28">
        <f t="shared" si="14"/>
        <v>30.665603559610297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27.7</v>
      </c>
      <c r="D38" s="30"/>
      <c r="E38" s="29">
        <f t="shared" si="13"/>
        <v>0</v>
      </c>
      <c r="F38" s="28">
        <f t="shared" si="14"/>
        <v>30.665603559610297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28.6</v>
      </c>
      <c r="D39" s="30"/>
      <c r="E39" s="29">
        <f t="shared" si="13"/>
        <v>0</v>
      </c>
      <c r="F39" s="28">
        <f t="shared" si="14"/>
        <v>31.661958909922546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16.561047120418849</v>
      </c>
      <c r="D40" s="22">
        <f>SUM(D34:D39)</f>
        <v>477.5</v>
      </c>
      <c r="E40" s="113">
        <f t="shared" si="13"/>
        <v>0.18324506869291582</v>
      </c>
      <c r="F40" s="20">
        <f>I40/D40</f>
        <v>18.334097672447296</v>
      </c>
      <c r="G40" s="19">
        <f>F40/C40-1</f>
        <v>0.10706150034694217</v>
      </c>
      <c r="H40" s="18">
        <f>SUM(H34:H39)</f>
        <v>7907.9</v>
      </c>
      <c r="I40" s="18">
        <f>SUM(I34:I39)</f>
        <v>8754.5316385935839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260+33.8+251.3</f>
        <v>545.1</v>
      </c>
      <c r="E42" s="107">
        <f>D42/$D$48</f>
        <v>0.20918719778954642</v>
      </c>
      <c r="F42" s="28">
        <f>C42-(C42*$E$6)</f>
        <v>0.44282460013877689</v>
      </c>
      <c r="G42" s="27" t="str">
        <f>IF(C42&gt;=F42,"-","+")</f>
        <v>+</v>
      </c>
      <c r="H42" s="26">
        <f>C42*D42</f>
        <v>218.04000000000002</v>
      </c>
      <c r="I42" s="26">
        <f>F42*D42</f>
        <v>241.38368953564731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33</v>
      </c>
      <c r="E43" s="107">
        <f>D43/$D$48</f>
        <v>1.2664057103384758E-2</v>
      </c>
      <c r="F43" s="28">
        <f>C43-(C43*$E$6)</f>
        <v>0.44282460013877689</v>
      </c>
      <c r="G43" s="27" t="str">
        <f>IF(C43&gt;=F43,"-","+")</f>
        <v>+</v>
      </c>
      <c r="H43" s="26">
        <f>C43*D43</f>
        <v>13.200000000000001</v>
      </c>
      <c r="I43" s="26">
        <f>F43*D43</f>
        <v>14.613211804579638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/>
      <c r="E45" s="107">
        <f>D45/$D$48</f>
        <v>0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</v>
      </c>
      <c r="D46" s="22">
        <f>SUM(D41:D45)</f>
        <v>578.1</v>
      </c>
      <c r="E46" s="113">
        <f>D46/$D$48</f>
        <v>0.2218512548929312</v>
      </c>
      <c r="F46" s="20">
        <f>I46/D46</f>
        <v>0.44282460013877689</v>
      </c>
      <c r="G46" s="19">
        <f>F46/C46-1</f>
        <v>0.10706150034694217</v>
      </c>
      <c r="H46" s="18">
        <f>SUM(H41:H44)</f>
        <v>231.24</v>
      </c>
      <c r="I46" s="18">
        <f>SUM(I41:I44)</f>
        <v>255.99690134022694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90.104345287465279</v>
      </c>
      <c r="D48" s="13">
        <f>D24+D32+D40+D46</f>
        <v>2605.7999999999997</v>
      </c>
      <c r="E48" s="12">
        <f>SUM(E20:E46)/2</f>
        <v>1.0000000000000002</v>
      </c>
      <c r="F48" s="11">
        <f>I48/D48</f>
        <v>23.958161025404873</v>
      </c>
      <c r="G48" s="10"/>
      <c r="H48" s="9">
        <f>SUM(H20:H46)/2</f>
        <v>56392.689999999995</v>
      </c>
      <c r="I48" s="9">
        <f>SUM(I20:I46)/2</f>
        <v>62430.176000000014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2605.8000000000002</v>
      </c>
      <c r="E50" s="12">
        <f>D50/G2</f>
        <v>1.0000767577525331</v>
      </c>
      <c r="F50" s="11">
        <f>I50/D50</f>
        <v>23.95816102540487</v>
      </c>
      <c r="G50" s="10"/>
      <c r="H50" s="9">
        <f>H48+H19</f>
        <v>56392.689999999995</v>
      </c>
      <c r="I50" s="9">
        <f>I48+I19</f>
        <v>62430.176000000014</v>
      </c>
      <c r="J50" s="106">
        <f>D50-G2</f>
        <v>0.20000000000027285</v>
      </c>
      <c r="K50" s="8"/>
    </row>
    <row r="51" spans="1:11" ht="23.25" x14ac:dyDescent="0.35">
      <c r="A51" s="174" t="s">
        <v>402</v>
      </c>
      <c r="B51" s="169"/>
      <c r="C51" s="170"/>
      <c r="G51" s="7"/>
      <c r="H51" s="6"/>
      <c r="I51" s="6">
        <f>+I50/D50</f>
        <v>23.95816102540487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399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399</v>
      </c>
      <c r="D2" s="96" t="s">
        <v>3</v>
      </c>
      <c r="E2" s="95" t="s">
        <v>71</v>
      </c>
      <c r="F2" s="94" t="s">
        <v>5</v>
      </c>
      <c r="G2" s="93">
        <v>664.5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12</v>
      </c>
      <c r="F3" s="88" t="s">
        <v>8</v>
      </c>
      <c r="G3" s="87">
        <v>27.9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55.375</v>
      </c>
      <c r="F4" s="81" t="s">
        <v>12</v>
      </c>
      <c r="G4" s="80">
        <f>G2*G3</f>
        <v>18539.55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-8.5511327163649842E-3</v>
      </c>
      <c r="F6" s="69" t="s">
        <v>16</v>
      </c>
      <c r="G6" s="68">
        <f>(I50-I19)/(D50-(SUM(D42:D44)+D19))</f>
        <v>0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27.9</v>
      </c>
      <c r="D10" s="30"/>
      <c r="E10" s="29">
        <f t="shared" ref="E10:E19" si="1">D10/$D$19</f>
        <v>0</v>
      </c>
      <c r="F10" s="28">
        <f t="shared" ref="F10:F18" si="2">C10-(C10*$E$6)</f>
        <v>28.138576602786582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29.1</v>
      </c>
      <c r="D11" s="30">
        <v>310.60000000000002</v>
      </c>
      <c r="E11" s="29">
        <f t="shared" si="1"/>
        <v>0.46833534378769603</v>
      </c>
      <c r="F11" s="28">
        <f t="shared" si="2"/>
        <v>29.348837962046222</v>
      </c>
      <c r="G11" s="27" t="str">
        <f t="shared" si="3"/>
        <v>+</v>
      </c>
      <c r="H11" s="34">
        <f t="shared" si="4"/>
        <v>9038.4600000000009</v>
      </c>
      <c r="I11" s="34">
        <f t="shared" si="5"/>
        <v>9115.749071011558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26.5</v>
      </c>
      <c r="D12" s="30">
        <v>352.6</v>
      </c>
      <c r="E12" s="29">
        <f t="shared" si="1"/>
        <v>0.53166465621230397</v>
      </c>
      <c r="F12" s="28">
        <f t="shared" si="2"/>
        <v>26.726605016983672</v>
      </c>
      <c r="G12" s="27" t="str">
        <f t="shared" si="3"/>
        <v>+</v>
      </c>
      <c r="H12" s="34">
        <f t="shared" si="4"/>
        <v>9343.9000000000015</v>
      </c>
      <c r="I12" s="34">
        <f t="shared" si="5"/>
        <v>9423.800928988443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29.1</v>
      </c>
      <c r="D13" s="30"/>
      <c r="E13" s="29">
        <f t="shared" si="1"/>
        <v>0</v>
      </c>
      <c r="F13" s="28">
        <f t="shared" si="2"/>
        <v>29.348837962046222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32.5</v>
      </c>
      <c r="D14" s="30"/>
      <c r="E14" s="29">
        <f t="shared" si="1"/>
        <v>0</v>
      </c>
      <c r="F14" s="28">
        <f t="shared" si="2"/>
        <v>32.777911813281861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26.8</v>
      </c>
      <c r="D15" s="30"/>
      <c r="E15" s="29">
        <f t="shared" si="1"/>
        <v>0</v>
      </c>
      <c r="F15" s="28">
        <f t="shared" si="2"/>
        <v>27.029170356798581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36.700000000000003</v>
      </c>
      <c r="D16" s="30"/>
      <c r="E16" s="29">
        <f t="shared" si="1"/>
        <v>0</v>
      </c>
      <c r="F16" s="28">
        <f t="shared" si="2"/>
        <v>37.013826570690597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</v>
      </c>
      <c r="D17" s="30"/>
      <c r="E17" s="29">
        <f t="shared" si="1"/>
        <v>0</v>
      </c>
      <c r="F17" s="28">
        <f t="shared" si="2"/>
        <v>54.461761166683708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47.3</v>
      </c>
      <c r="D18" s="30"/>
      <c r="E18" s="29">
        <f t="shared" si="1"/>
        <v>0</v>
      </c>
      <c r="F18" s="28">
        <f t="shared" si="2"/>
        <v>47.704468577484064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27.71767189384801</v>
      </c>
      <c r="D19" s="49">
        <f>SUM(D10:D18)</f>
        <v>663.2</v>
      </c>
      <c r="E19" s="48">
        <f t="shared" si="1"/>
        <v>1</v>
      </c>
      <c r="F19" s="47">
        <f>I19/D19</f>
        <v>27.954689384800968</v>
      </c>
      <c r="G19" s="46">
        <f>F19/C19-1</f>
        <v>8.5511327163652062E-3</v>
      </c>
      <c r="H19" s="9">
        <f>SUM(H10:H18)</f>
        <v>18382.36</v>
      </c>
      <c r="I19" s="9">
        <f>SUM(I10:I18)</f>
        <v>18539.550000000003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70.2</v>
      </c>
      <c r="D21" s="30"/>
      <c r="E21" s="29">
        <f>D21/$D$48</f>
        <v>0</v>
      </c>
      <c r="F21" s="28">
        <f>C21-(C21*$E$6)</f>
        <v>70.800289516688821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47.1</v>
      </c>
      <c r="D22" s="30"/>
      <c r="E22" s="29">
        <f>D22/$D$48</f>
        <v>0</v>
      </c>
      <c r="F22" s="28">
        <f>C22-(C22*$E$6)</f>
        <v>47.502758350940795</v>
      </c>
      <c r="G22" s="27" t="str">
        <f>IF(C22&gt;=F22,"-","+")</f>
        <v>+</v>
      </c>
      <c r="H22" s="26">
        <f>C22*D22</f>
        <v>0</v>
      </c>
      <c r="I22" s="26">
        <f>F22*D22</f>
        <v>0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</v>
      </c>
      <c r="D23" s="30"/>
      <c r="E23" s="29">
        <f>D23/$D$48</f>
        <v>0</v>
      </c>
      <c r="F23" s="28">
        <f>C23-(C23*$E$6)</f>
        <v>43.367698706803694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 t="e">
        <f>H24/D24</f>
        <v>#DIV/0!</v>
      </c>
      <c r="D24" s="22">
        <f>SUM(D21:D23)</f>
        <v>0</v>
      </c>
      <c r="E24" s="21">
        <f>D24/$D$48</f>
        <v>0</v>
      </c>
      <c r="F24" s="20" t="e">
        <f>I24/D24</f>
        <v>#DIV/0!</v>
      </c>
      <c r="G24" s="19" t="e">
        <f>F24/C24-1</f>
        <v>#DIV/0!</v>
      </c>
      <c r="H24" s="18">
        <f>SUM(H21:H23)</f>
        <v>0</v>
      </c>
      <c r="I24" s="18">
        <f>SUM(I21:I23)</f>
        <v>0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37.4</v>
      </c>
      <c r="D26" s="30"/>
      <c r="E26" s="29">
        <f t="shared" ref="E26:E32" si="7">D26/$D$48</f>
        <v>0</v>
      </c>
      <c r="F26" s="28">
        <f t="shared" ref="F26:F31" si="8">C26-(C26*$E$6)</f>
        <v>37.719812363592048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33.299999999999997</v>
      </c>
      <c r="D27" s="30"/>
      <c r="E27" s="29">
        <f t="shared" si="7"/>
        <v>0</v>
      </c>
      <c r="F27" s="28">
        <f t="shared" si="8"/>
        <v>33.584752719454954</v>
      </c>
      <c r="G27" s="27" t="str">
        <f t="shared" si="9"/>
        <v>+</v>
      </c>
      <c r="H27" s="26">
        <f t="shared" si="10"/>
        <v>0</v>
      </c>
      <c r="I27" s="26">
        <f t="shared" si="11"/>
        <v>0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33.299999999999997</v>
      </c>
      <c r="D28" s="30"/>
      <c r="E28" s="29">
        <f t="shared" si="7"/>
        <v>0</v>
      </c>
      <c r="F28" s="28">
        <f t="shared" si="8"/>
        <v>33.584752719454954</v>
      </c>
      <c r="G28" s="27" t="str">
        <f t="shared" si="9"/>
        <v>+</v>
      </c>
      <c r="H28" s="26">
        <f t="shared" si="10"/>
        <v>0</v>
      </c>
      <c r="I28" s="26">
        <f t="shared" si="11"/>
        <v>0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32.200000000000003</v>
      </c>
      <c r="D29" s="30"/>
      <c r="E29" s="29">
        <f t="shared" si="7"/>
        <v>0</v>
      </c>
      <c r="F29" s="28">
        <f t="shared" si="8"/>
        <v>32.475346473466956</v>
      </c>
      <c r="G29" s="27" t="str">
        <f t="shared" si="9"/>
        <v>+</v>
      </c>
      <c r="H29" s="26">
        <f t="shared" si="10"/>
        <v>0</v>
      </c>
      <c r="I29" s="26">
        <f t="shared" si="11"/>
        <v>0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32.200000000000003</v>
      </c>
      <c r="D30" s="30"/>
      <c r="E30" s="29">
        <f t="shared" si="7"/>
        <v>0</v>
      </c>
      <c r="F30" s="28">
        <f t="shared" si="8"/>
        <v>32.475346473466956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32.799999999999997</v>
      </c>
      <c r="D31" s="30"/>
      <c r="E31" s="29">
        <f t="shared" si="7"/>
        <v>0</v>
      </c>
      <c r="F31" s="28">
        <f t="shared" si="8"/>
        <v>33.080477153096766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 t="e">
        <f>H32/D32</f>
        <v>#DIV/0!</v>
      </c>
      <c r="D32" s="22">
        <f>SUM(D26:D31)</f>
        <v>0</v>
      </c>
      <c r="E32" s="21">
        <f t="shared" si="7"/>
        <v>0</v>
      </c>
      <c r="F32" s="20" t="e">
        <f>I32/D32</f>
        <v>#DIV/0!</v>
      </c>
      <c r="G32" s="19" t="e">
        <f>F32/C32-1</f>
        <v>#DIV/0!</v>
      </c>
      <c r="H32" s="18">
        <f>SUM(H26:H31)</f>
        <v>0</v>
      </c>
      <c r="I32" s="18">
        <f>SUM(I26:I31)</f>
        <v>0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19.7</v>
      </c>
      <c r="D34" s="30"/>
      <c r="E34" s="29">
        <f t="shared" ref="E34:E40" si="13">D34/$D$48</f>
        <v>0</v>
      </c>
      <c r="F34" s="28">
        <f t="shared" ref="F34:F39" si="14">C34-(C34*$E$6)</f>
        <v>19.868457314512391</v>
      </c>
      <c r="G34" s="27" t="str">
        <f t="shared" ref="G34:G39" si="15">IF(C34&gt;=F34,"-","+")</f>
        <v>+</v>
      </c>
      <c r="H34" s="26">
        <f t="shared" ref="H34:H39" si="16">C34*D34</f>
        <v>0</v>
      </c>
      <c r="I34" s="26">
        <f t="shared" ref="I34:I39" si="17">F34*D34</f>
        <v>0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15.329977217288747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12.304323819139652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32.200000000000003</v>
      </c>
      <c r="D37" s="30"/>
      <c r="E37" s="29">
        <f t="shared" si="13"/>
        <v>0</v>
      </c>
      <c r="F37" s="28">
        <f t="shared" si="14"/>
        <v>32.475346473466956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32.200000000000003</v>
      </c>
      <c r="D38" s="30"/>
      <c r="E38" s="29">
        <f t="shared" si="13"/>
        <v>0</v>
      </c>
      <c r="F38" s="28">
        <f t="shared" si="14"/>
        <v>32.475346473466956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33.299999999999997</v>
      </c>
      <c r="D39" s="30"/>
      <c r="E39" s="29">
        <f t="shared" si="13"/>
        <v>0</v>
      </c>
      <c r="F39" s="28">
        <f t="shared" si="14"/>
        <v>33.584752719454954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 t="e">
        <f>H40/D40</f>
        <v>#DIV/0!</v>
      </c>
      <c r="D40" s="22">
        <f>SUM(D34:D39)</f>
        <v>0</v>
      </c>
      <c r="E40" s="113">
        <f t="shared" si="13"/>
        <v>0</v>
      </c>
      <c r="F40" s="20" t="e">
        <f>I40/D40</f>
        <v>#DIV/0!</v>
      </c>
      <c r="G40" s="19" t="e">
        <f>F40/C40-1</f>
        <v>#DIV/0!</v>
      </c>
      <c r="H40" s="18">
        <f>SUM(H34:H39)</f>
        <v>0</v>
      </c>
      <c r="I40" s="18">
        <f>SUM(I34:I39)</f>
        <v>0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/>
      <c r="E42" s="107">
        <f>D42/$D$48</f>
        <v>0</v>
      </c>
      <c r="F42" s="28">
        <f>C42-(C42*$E$6)</f>
        <v>0.50427556635818249</v>
      </c>
      <c r="G42" s="27" t="str">
        <f>IF(C42&gt;=F42,"-","+")</f>
        <v>+</v>
      </c>
      <c r="H42" s="26">
        <f>C42*D42</f>
        <v>0</v>
      </c>
      <c r="I42" s="26">
        <f>F42*D42</f>
        <v>0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/>
      <c r="E43" s="107">
        <f>D43/$D$48</f>
        <v>0</v>
      </c>
      <c r="F43" s="28">
        <f>C43-(C43*$E$6)</f>
        <v>0.50427556635818249</v>
      </c>
      <c r="G43" s="27" t="str">
        <f>IF(C43&gt;=F43,"-","+")</f>
        <v>+</v>
      </c>
      <c r="H43" s="26">
        <f>C43*D43</f>
        <v>0</v>
      </c>
      <c r="I43" s="26">
        <f>F43*D43</f>
        <v>0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1.4</v>
      </c>
      <c r="E44" s="107">
        <f>D44/$D$48</f>
        <v>1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/>
      <c r="E45" s="107">
        <f>D45/$D$48</f>
        <v>0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</v>
      </c>
      <c r="D46" s="22">
        <f>SUM(D41:D45)</f>
        <v>1.4</v>
      </c>
      <c r="E46" s="113">
        <f>D46/$D$48</f>
        <v>1</v>
      </c>
      <c r="F46" s="20">
        <f>I46/D46</f>
        <v>0</v>
      </c>
      <c r="G46" s="19" t="e">
        <f>F46/C46-1</f>
        <v>#DIV/0!</v>
      </c>
      <c r="H46" s="18">
        <f>SUM(H41:H44)</f>
        <v>0</v>
      </c>
      <c r="I46" s="18">
        <f>SUM(I41:I44)</f>
        <v>0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 t="e">
        <f>C24+C32+C40+C46</f>
        <v>#DIV/0!</v>
      </c>
      <c r="D48" s="13">
        <f>D24+D32+D40+D46</f>
        <v>1.4</v>
      </c>
      <c r="E48" s="12">
        <f>SUM(E20:E46)/2</f>
        <v>1</v>
      </c>
      <c r="F48" s="11">
        <f>I48/D48</f>
        <v>0</v>
      </c>
      <c r="G48" s="10"/>
      <c r="H48" s="9">
        <f>SUM(H20:H46)/2</f>
        <v>0</v>
      </c>
      <c r="I48" s="9">
        <f>SUM(I20:I46)/2</f>
        <v>0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664.60000000000014</v>
      </c>
      <c r="E50" s="12">
        <f>D50/G2</f>
        <v>1.0001504890895412</v>
      </c>
      <c r="F50" s="11">
        <f>I50/D50</f>
        <v>27.895801986157085</v>
      </c>
      <c r="G50" s="10"/>
      <c r="H50" s="9">
        <f>H48+H19</f>
        <v>18382.36</v>
      </c>
      <c r="I50" s="9">
        <f>I48+I19</f>
        <v>18539.550000000003</v>
      </c>
      <c r="J50" s="106">
        <f>D50-G2</f>
        <v>0.10000000000013642</v>
      </c>
      <c r="K50" s="8"/>
    </row>
    <row r="51" spans="1:11" ht="23.25" x14ac:dyDescent="0.35">
      <c r="A51" s="174" t="s">
        <v>403</v>
      </c>
      <c r="B51" s="169"/>
      <c r="C51" s="170"/>
      <c r="G51" s="7"/>
      <c r="H51" s="6"/>
      <c r="I51" s="6">
        <f>+I50/D50</f>
        <v>27.895801986157085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399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404</v>
      </c>
      <c r="D2" s="96" t="s">
        <v>3</v>
      </c>
      <c r="E2" s="95" t="s">
        <v>112</v>
      </c>
      <c r="F2" s="94" t="s">
        <v>5</v>
      </c>
      <c r="G2" s="93">
        <v>5199.8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80</v>
      </c>
      <c r="F3" s="88" t="s">
        <v>8</v>
      </c>
      <c r="G3" s="87">
        <v>23.68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64.997500000000002</v>
      </c>
      <c r="F4" s="81" t="s">
        <v>12</v>
      </c>
      <c r="G4" s="80">
        <f>G2*G3</f>
        <v>123131.264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-0.10687568330645814</v>
      </c>
      <c r="F6" s="69" t="s">
        <v>16</v>
      </c>
      <c r="G6" s="68">
        <f>(I50-I19)/(D50-(SUM(D42:D44)+D19))</f>
        <v>30.312218803082153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23.7</v>
      </c>
      <c r="D10" s="30"/>
      <c r="E10" s="29" t="e">
        <f t="shared" ref="E10:E19" si="1">D10/$D$19</f>
        <v>#DIV/0!</v>
      </c>
      <c r="F10" s="28">
        <f t="shared" ref="F10:F18" si="2">C10-(C10*$E$6)</f>
        <v>26.232953694363058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 t="e">
        <f t="shared" si="1"/>
        <v>#DIV/0!</v>
      </c>
      <c r="F11" s="28">
        <f t="shared" si="2"/>
        <v>27.339829377669517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22.5</v>
      </c>
      <c r="D12" s="30"/>
      <c r="E12" s="29" t="e">
        <f t="shared" si="1"/>
        <v>#DIV/0!</v>
      </c>
      <c r="F12" s="28">
        <f t="shared" si="2"/>
        <v>24.904702874395308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/>
      <c r="E13" s="29" t="e">
        <f t="shared" si="1"/>
        <v>#DIV/0!</v>
      </c>
      <c r="F13" s="28">
        <f t="shared" si="2"/>
        <v>27.339829377669517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27.6</v>
      </c>
      <c r="D14" s="30"/>
      <c r="E14" s="29" t="e">
        <f t="shared" si="1"/>
        <v>#DIV/0!</v>
      </c>
      <c r="F14" s="28">
        <f t="shared" si="2"/>
        <v>30.549768859258247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22.7</v>
      </c>
      <c r="D15" s="30"/>
      <c r="E15" s="29" t="e">
        <f t="shared" si="1"/>
        <v>#DIV/0!</v>
      </c>
      <c r="F15" s="28">
        <f t="shared" si="2"/>
        <v>25.126078011056599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31.1</v>
      </c>
      <c r="D16" s="30"/>
      <c r="E16" s="29" t="e">
        <f t="shared" si="1"/>
        <v>#DIV/0!</v>
      </c>
      <c r="F16" s="28">
        <f t="shared" si="2"/>
        <v>34.423833750830852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45.8</v>
      </c>
      <c r="D17" s="30"/>
      <c r="E17" s="29" t="e">
        <f t="shared" si="1"/>
        <v>#DIV/0!</v>
      </c>
      <c r="F17" s="28">
        <f t="shared" si="2"/>
        <v>50.694906295435779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40.1</v>
      </c>
      <c r="D18" s="30"/>
      <c r="E18" s="29" t="e">
        <f t="shared" si="1"/>
        <v>#DIV/0!</v>
      </c>
      <c r="F18" s="28">
        <f t="shared" si="2"/>
        <v>44.385714900588972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59.6</v>
      </c>
      <c r="D21" s="30">
        <v>54.1</v>
      </c>
      <c r="E21" s="29">
        <f>D21/$D$48</f>
        <v>1.0404246317166046E-2</v>
      </c>
      <c r="F21" s="28">
        <f>C21-(C21*$E$6)</f>
        <v>65.969790725064911</v>
      </c>
      <c r="G21" s="27" t="str">
        <f>IF(C21&gt;=F21,"-","+")</f>
        <v>+</v>
      </c>
      <c r="H21" s="26">
        <f>C21*D21</f>
        <v>3224.36</v>
      </c>
      <c r="I21" s="26">
        <f>F21*D21</f>
        <v>3568.9656782260117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</v>
      </c>
      <c r="D22" s="30">
        <v>121.8</v>
      </c>
      <c r="E22" s="29">
        <f>D22/$D$48</f>
        <v>2.3423977845301744E-2</v>
      </c>
      <c r="F22" s="28">
        <f>C22-(C22*$E$6)</f>
        <v>44.275027332258325</v>
      </c>
      <c r="G22" s="27" t="str">
        <f>IF(C22&gt;=F22,"-","+")</f>
        <v>+</v>
      </c>
      <c r="H22" s="26">
        <f>C22*D22</f>
        <v>4872</v>
      </c>
      <c r="I22" s="26">
        <f>F22*D22</f>
        <v>5392.6983290690641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36.5</v>
      </c>
      <c r="D23" s="30">
        <v>95.7</v>
      </c>
      <c r="E23" s="29">
        <f>D23/$D$48</f>
        <v>1.8404554021308514E-2</v>
      </c>
      <c r="F23" s="28">
        <f>C23-(C23*$E$6)</f>
        <v>40.400962440685724</v>
      </c>
      <c r="G23" s="27" t="str">
        <f>IF(C23&gt;=F23,"-","+")</f>
        <v>+</v>
      </c>
      <c r="H23" s="26">
        <f>C23*D23</f>
        <v>3493.05</v>
      </c>
      <c r="I23" s="26">
        <f>F23*D23</f>
        <v>3866.3721055736241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42.670876288659791</v>
      </c>
      <c r="D24" s="22">
        <f>SUM(D21:D23)</f>
        <v>271.60000000000002</v>
      </c>
      <c r="E24" s="21">
        <f>D24/$D$48</f>
        <v>5.2232778183776314E-2</v>
      </c>
      <c r="F24" s="20">
        <f>I24/D24</f>
        <v>47.231355349295654</v>
      </c>
      <c r="G24" s="19">
        <f>F24/C24-1</f>
        <v>0.10687568330645836</v>
      </c>
      <c r="H24" s="18">
        <f>SUM(H21:H23)</f>
        <v>11589.41</v>
      </c>
      <c r="I24" s="18">
        <f>SUM(I21:I23)</f>
        <v>12828.0361128687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31.8</v>
      </c>
      <c r="D26" s="30">
        <f>480.8+421</f>
        <v>901.8</v>
      </c>
      <c r="E26" s="29">
        <f t="shared" ref="E26:E32" si="7">D26/$D$48</f>
        <v>0.173429747297973</v>
      </c>
      <c r="F26" s="28">
        <f t="shared" ref="F26:F31" si="8">C26-(C26*$E$6)</f>
        <v>35.198646729145366</v>
      </c>
      <c r="G26" s="27" t="str">
        <f t="shared" ref="G26:G31" si="9">IF(C26&gt;=F26,"-","+")</f>
        <v>+</v>
      </c>
      <c r="H26" s="26">
        <f t="shared" ref="H26:H31" si="10">C26*D26</f>
        <v>28677.239999999998</v>
      </c>
      <c r="I26" s="26">
        <f t="shared" ref="I26:I31" si="11">F26*D26</f>
        <v>31742.139620343289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28.3</v>
      </c>
      <c r="D27" s="30">
        <v>697.1</v>
      </c>
      <c r="E27" s="29">
        <f t="shared" si="7"/>
        <v>0.1340628485710989</v>
      </c>
      <c r="F27" s="28">
        <f t="shared" si="8"/>
        <v>31.324581837572765</v>
      </c>
      <c r="G27" s="27" t="str">
        <f t="shared" si="9"/>
        <v>+</v>
      </c>
      <c r="H27" s="26">
        <f t="shared" si="10"/>
        <v>19727.93</v>
      </c>
      <c r="I27" s="26">
        <f t="shared" si="11"/>
        <v>21836.365998971974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28.3</v>
      </c>
      <c r="D28" s="30">
        <v>444.7</v>
      </c>
      <c r="E28" s="29">
        <f t="shared" si="7"/>
        <v>8.5522520096926818E-2</v>
      </c>
      <c r="F28" s="28">
        <f t="shared" si="8"/>
        <v>31.324581837572765</v>
      </c>
      <c r="G28" s="27" t="str">
        <f t="shared" si="9"/>
        <v>+</v>
      </c>
      <c r="H28" s="26">
        <f t="shared" si="10"/>
        <v>12585.01</v>
      </c>
      <c r="I28" s="26">
        <f t="shared" si="11"/>
        <v>13930.041543168609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409</v>
      </c>
      <c r="E29" s="29">
        <f t="shared" si="7"/>
        <v>7.8656871418131477E-2</v>
      </c>
      <c r="F29" s="28">
        <f t="shared" si="8"/>
        <v>30.32839372259695</v>
      </c>
      <c r="G29" s="27" t="str">
        <f t="shared" si="9"/>
        <v>+</v>
      </c>
      <c r="H29" s="26">
        <f t="shared" si="10"/>
        <v>11206.599999999999</v>
      </c>
      <c r="I29" s="26">
        <f t="shared" si="11"/>
        <v>12404.313032542152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337</v>
      </c>
      <c r="E30" s="29">
        <f t="shared" si="7"/>
        <v>6.4810185007115662E-2</v>
      </c>
      <c r="F30" s="28">
        <f t="shared" si="8"/>
        <v>30.32839372259695</v>
      </c>
      <c r="G30" s="27" t="str">
        <f t="shared" si="9"/>
        <v>+</v>
      </c>
      <c r="H30" s="26">
        <f t="shared" si="10"/>
        <v>9233.7999999999993</v>
      </c>
      <c r="I30" s="26">
        <f t="shared" si="11"/>
        <v>10220.668684515173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27.8</v>
      </c>
      <c r="D31" s="30">
        <v>127.7</v>
      </c>
      <c r="E31" s="29">
        <f t="shared" si="7"/>
        <v>2.4558636870648874E-2</v>
      </c>
      <c r="F31" s="28">
        <f t="shared" si="8"/>
        <v>30.771143995919537</v>
      </c>
      <c r="G31" s="27" t="str">
        <f t="shared" si="9"/>
        <v>+</v>
      </c>
      <c r="H31" s="26">
        <f t="shared" si="10"/>
        <v>3550.06</v>
      </c>
      <c r="I31" s="26">
        <f t="shared" si="11"/>
        <v>3929.4750882789249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29.129894080142595</v>
      </c>
      <c r="D32" s="22">
        <f>SUM(D26:D31)</f>
        <v>2917.3</v>
      </c>
      <c r="E32" s="21">
        <f t="shared" si="7"/>
        <v>0.56104080926189481</v>
      </c>
      <c r="F32" s="20">
        <f>I32/D32</f>
        <v>32.243171414602578</v>
      </c>
      <c r="G32" s="19">
        <f>F32/C32-1</f>
        <v>0.10687568330645791</v>
      </c>
      <c r="H32" s="18">
        <f>SUM(H26:H31)</f>
        <v>84980.64</v>
      </c>
      <c r="I32" s="18">
        <f>SUM(I26:I31)</f>
        <v>94063.003967820114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16.7</v>
      </c>
      <c r="D34" s="30">
        <f>440+357.8</f>
        <v>797.8</v>
      </c>
      <c r="E34" s="29">
        <f t="shared" ref="E34:E40" si="13">D34/$D$48</f>
        <v>0.15342897803761685</v>
      </c>
      <c r="F34" s="28">
        <f t="shared" ref="F34:F39" si="14">C34-(C34*$E$6)</f>
        <v>18.484823911217852</v>
      </c>
      <c r="G34" s="27" t="str">
        <f t="shared" ref="G34:G39" si="15">IF(C34&gt;=F34,"-","+")</f>
        <v>+</v>
      </c>
      <c r="H34" s="26">
        <f t="shared" ref="H34:H39" si="16">C34*D34</f>
        <v>13323.259999999998</v>
      </c>
      <c r="I34" s="26">
        <f t="shared" ref="I34:I39" si="17">F34*D34</f>
        <v>14747.192516369601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69.5</v>
      </c>
      <c r="E35" s="29">
        <f t="shared" si="13"/>
        <v>1.3365898688411095E-2</v>
      </c>
      <c r="F35" s="28">
        <f t="shared" si="14"/>
        <v>14.27869631465331</v>
      </c>
      <c r="G35" s="27" t="str">
        <f t="shared" si="15"/>
        <v>+</v>
      </c>
      <c r="H35" s="26">
        <f t="shared" si="16"/>
        <v>896.55000000000007</v>
      </c>
      <c r="I35" s="26">
        <f t="shared" si="17"/>
        <v>992.36939386840504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10.3</v>
      </c>
      <c r="D36" s="30"/>
      <c r="E36" s="29">
        <f t="shared" si="13"/>
        <v>0</v>
      </c>
      <c r="F36" s="28">
        <f t="shared" si="14"/>
        <v>11.40081953805652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30.32839372259695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30.32839372259695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28.3</v>
      </c>
      <c r="D39" s="30"/>
      <c r="E39" s="29">
        <f t="shared" si="13"/>
        <v>0</v>
      </c>
      <c r="F39" s="28">
        <f t="shared" si="14"/>
        <v>31.324581837572765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16.395491756024441</v>
      </c>
      <c r="D40" s="22">
        <f>SUM(D34:D39)</f>
        <v>867.3</v>
      </c>
      <c r="E40" s="113">
        <f t="shared" si="13"/>
        <v>0.16679487672602794</v>
      </c>
      <c r="F40" s="20">
        <f>I40/D40</f>
        <v>18.147771140594958</v>
      </c>
      <c r="G40" s="19">
        <f>F40/C40-1</f>
        <v>0.10687568330645836</v>
      </c>
      <c r="H40" s="18">
        <f>SUM(H34:H39)</f>
        <v>14219.809999999998</v>
      </c>
      <c r="I40" s="18">
        <f>SUM(I34:I39)</f>
        <v>15739.561910238006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540+58.8+491.9</f>
        <v>1090.6999999999998</v>
      </c>
      <c r="E42" s="107">
        <f>D42/$D$48</f>
        <v>0.20975806761798529</v>
      </c>
      <c r="F42" s="28">
        <f>C42-(C42*$E$6)</f>
        <v>0.44275027332258327</v>
      </c>
      <c r="G42" s="27" t="str">
        <f>IF(C42&gt;=F42,"-","+")</f>
        <v>+</v>
      </c>
      <c r="H42" s="26">
        <f>C42*D42</f>
        <v>436.28</v>
      </c>
      <c r="I42" s="26">
        <f>F42*D42</f>
        <v>482.90772311294148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40.1</v>
      </c>
      <c r="E43" s="107">
        <f>D43/$D$48</f>
        <v>7.7118350705796387E-3</v>
      </c>
      <c r="F43" s="28">
        <f>C43-(C43*$E$6)</f>
        <v>0.44275027332258327</v>
      </c>
      <c r="G43" s="27" t="str">
        <f>IF(C43&gt;=F43,"-","+")</f>
        <v>+</v>
      </c>
      <c r="H43" s="26">
        <f>C43*D43</f>
        <v>16.040000000000003</v>
      </c>
      <c r="I43" s="26">
        <f>F43*D43</f>
        <v>17.754285960235588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6.9</v>
      </c>
      <c r="E44" s="107">
        <f>D44/$D$48</f>
        <v>1.3269741143890153E-3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5.9</v>
      </c>
      <c r="E45" s="107">
        <f>D45/$D$48</f>
        <v>1.134659025347129E-3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0.39552291010842955</v>
      </c>
      <c r="D46" s="22">
        <f>SUM(D41:D45)</f>
        <v>1143.5999999999999</v>
      </c>
      <c r="E46" s="113">
        <f>D46/$D$48</f>
        <v>0.21993153582830111</v>
      </c>
      <c r="F46" s="20">
        <f>I46/D46</f>
        <v>0.43779469138962668</v>
      </c>
      <c r="G46" s="19">
        <f>F46/C46-1</f>
        <v>0.10687568330645791</v>
      </c>
      <c r="H46" s="18">
        <f>SUM(H41:H44)</f>
        <v>452.32</v>
      </c>
      <c r="I46" s="18">
        <f>SUM(I41:I44)</f>
        <v>500.66200907317705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88.591785034935256</v>
      </c>
      <c r="D48" s="13">
        <f>D24+D32+D40+D46</f>
        <v>5199.7999999999993</v>
      </c>
      <c r="E48" s="12">
        <f>SUM(E20:E46)/2</f>
        <v>1</v>
      </c>
      <c r="F48" s="11">
        <f>I48/D48</f>
        <v>23.680000000000003</v>
      </c>
      <c r="G48" s="10"/>
      <c r="H48" s="9">
        <f>SUM(H20:H46)/2</f>
        <v>111242.18</v>
      </c>
      <c r="I48" s="9">
        <f>SUM(I20:I46)/2</f>
        <v>123131.264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5199.7999999999993</v>
      </c>
      <c r="E50" s="12">
        <f>D50/G2</f>
        <v>0.99999999999999978</v>
      </c>
      <c r="F50" s="11">
        <f>I50/D50</f>
        <v>23.680000000000003</v>
      </c>
      <c r="G50" s="10"/>
      <c r="H50" s="9">
        <f>H48+H19</f>
        <v>111242.18</v>
      </c>
      <c r="I50" s="9">
        <f>I48+I19</f>
        <v>123131.264</v>
      </c>
      <c r="J50" s="106">
        <f>D50-G2</f>
        <v>0</v>
      </c>
      <c r="K50" s="8"/>
    </row>
    <row r="51" spans="1:11" ht="23.25" x14ac:dyDescent="0.35">
      <c r="A51" s="174" t="s">
        <v>405</v>
      </c>
      <c r="B51" s="169"/>
      <c r="C51" s="170"/>
      <c r="G51" s="7"/>
      <c r="H51" s="6"/>
      <c r="I51" s="6">
        <f>+I50/D50</f>
        <v>23.680000000000003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399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404</v>
      </c>
      <c r="D2" s="96" t="s">
        <v>3</v>
      </c>
      <c r="E2" s="95" t="s">
        <v>362</v>
      </c>
      <c r="F2" s="94" t="s">
        <v>5</v>
      </c>
      <c r="G2" s="93">
        <v>26693.8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352</v>
      </c>
      <c r="F3" s="88" t="s">
        <v>8</v>
      </c>
      <c r="G3" s="87">
        <v>27.75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75.834659090909085</v>
      </c>
      <c r="F4" s="81" t="s">
        <v>12</v>
      </c>
      <c r="G4" s="80">
        <f>G2*G3</f>
        <v>740752.95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-1.0885270225922117E-2</v>
      </c>
      <c r="F6" s="69" t="s">
        <v>16</v>
      </c>
      <c r="G6" s="68">
        <f>(I50-I19)/(D50-(SUM(D42:D44)+D19))</f>
        <v>32.400086245019317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>
        <f t="shared" ref="E10:E19" si="1">D10/$D$19</f>
        <v>0</v>
      </c>
      <c r="F10" s="28">
        <f t="shared" ref="F10:F18" si="2">C10-(C10*$E$6)</f>
        <v>28.102610512280634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30">
        <v>6256.4</v>
      </c>
      <c r="E11" s="29">
        <f t="shared" si="1"/>
        <v>0.74575059003027633</v>
      </c>
      <c r="F11" s="28">
        <f t="shared" si="2"/>
        <v>29.214584309529148</v>
      </c>
      <c r="G11" s="27" t="str">
        <f t="shared" si="3"/>
        <v>+</v>
      </c>
      <c r="H11" s="34">
        <f t="shared" si="4"/>
        <v>180809.96</v>
      </c>
      <c r="I11" s="34">
        <f t="shared" si="5"/>
        <v>182778.12527413815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>
        <v>1927</v>
      </c>
      <c r="E12" s="29">
        <f t="shared" si="1"/>
        <v>0.22969461463275087</v>
      </c>
      <c r="F12" s="28">
        <f t="shared" si="2"/>
        <v>26.687371133964341</v>
      </c>
      <c r="G12" s="27" t="str">
        <f t="shared" si="3"/>
        <v>+</v>
      </c>
      <c r="H12" s="34">
        <f t="shared" si="4"/>
        <v>50872.799999999996</v>
      </c>
      <c r="I12" s="34">
        <f t="shared" si="5"/>
        <v>51426.564175149288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30"/>
      <c r="E13" s="29">
        <f t="shared" si="1"/>
        <v>0</v>
      </c>
      <c r="F13" s="28">
        <f t="shared" si="2"/>
        <v>29.214584309529148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30"/>
      <c r="E14" s="29">
        <f t="shared" si="1"/>
        <v>0</v>
      </c>
      <c r="F14" s="28">
        <f t="shared" si="2"/>
        <v>32.651594228297284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>
        <v>206</v>
      </c>
      <c r="E15" s="29">
        <f t="shared" si="1"/>
        <v>2.4554795336972846E-2</v>
      </c>
      <c r="F15" s="28">
        <f t="shared" si="2"/>
        <v>26.889548188009531</v>
      </c>
      <c r="G15" s="27" t="str">
        <f t="shared" si="3"/>
        <v>+</v>
      </c>
      <c r="H15" s="34">
        <f t="shared" si="4"/>
        <v>5479.6</v>
      </c>
      <c r="I15" s="34">
        <f t="shared" si="5"/>
        <v>5539.246926729963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>
        <f t="shared" si="1"/>
        <v>0</v>
      </c>
      <c r="F16" s="28">
        <f t="shared" si="2"/>
        <v>36.897312363246158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53.7</v>
      </c>
      <c r="D17" s="30"/>
      <c r="E17" s="29">
        <f t="shared" si="1"/>
        <v>0</v>
      </c>
      <c r="F17" s="28">
        <f t="shared" si="2"/>
        <v>54.284539011132019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30"/>
      <c r="E18" s="29">
        <f t="shared" si="1"/>
        <v>0</v>
      </c>
      <c r="F18" s="28">
        <f t="shared" si="2"/>
        <v>47.511607700618342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28.269287434143084</v>
      </c>
      <c r="D19" s="49">
        <f>SUM(D10:D18)</f>
        <v>8389.4</v>
      </c>
      <c r="E19" s="48">
        <f t="shared" si="1"/>
        <v>1</v>
      </c>
      <c r="F19" s="47">
        <f>I19/D19</f>
        <v>28.577006266957998</v>
      </c>
      <c r="G19" s="46">
        <f>F19/C19-1</f>
        <v>1.0885270225922117E-2</v>
      </c>
      <c r="H19" s="9">
        <f>SUM(H10:H18)</f>
        <v>237162.36</v>
      </c>
      <c r="I19" s="9">
        <f>SUM(I10:I18)</f>
        <v>239743.9363760174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69.8</v>
      </c>
      <c r="D21" s="30">
        <v>151.4</v>
      </c>
      <c r="E21" s="29">
        <f>D21/$D$48</f>
        <v>8.2712353313957303E-3</v>
      </c>
      <c r="F21" s="28">
        <f>C21-(C21*$E$6)</f>
        <v>70.559791861769355</v>
      </c>
      <c r="G21" s="27" t="str">
        <f>IF(C21&gt;=F21,"-","+")</f>
        <v>+</v>
      </c>
      <c r="H21" s="26">
        <f>C21*D21</f>
        <v>10567.72</v>
      </c>
      <c r="I21" s="26">
        <f>F21*D21</f>
        <v>10682.752487871881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46.9</v>
      </c>
      <c r="D22" s="30">
        <v>722.2</v>
      </c>
      <c r="E22" s="29">
        <f>D22/$D$48</f>
        <v>3.9454994427569327E-2</v>
      </c>
      <c r="F22" s="28">
        <f>C22-(C22*$E$6)</f>
        <v>47.410519173595745</v>
      </c>
      <c r="G22" s="27" t="str">
        <f>IF(C22&gt;=F22,"-","+")</f>
        <v>+</v>
      </c>
      <c r="H22" s="26">
        <f>C22*D22</f>
        <v>33871.18</v>
      </c>
      <c r="I22" s="26">
        <f>F22*D22</f>
        <v>34239.876947170851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>
        <v>330.6</v>
      </c>
      <c r="E23" s="29">
        <f>D23/$D$48</f>
        <v>1.8061231179388564E-2</v>
      </c>
      <c r="F23" s="28">
        <f>C23-(C23*$E$6)</f>
        <v>43.164801038646878</v>
      </c>
      <c r="G23" s="27" t="str">
        <f>IF(C23&gt;=F23,"-","+")</f>
        <v>+</v>
      </c>
      <c r="H23" s="26">
        <f>C23*D23</f>
        <v>14116.620000000003</v>
      </c>
      <c r="I23" s="26">
        <f>F23*D23</f>
        <v>14270.283223376658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48.626075402757017</v>
      </c>
      <c r="D24" s="22">
        <f>SUM(D21:D23)</f>
        <v>1204.2</v>
      </c>
      <c r="E24" s="21">
        <f>D24/$D$48</f>
        <v>6.5787460938353623E-2</v>
      </c>
      <c r="F24" s="20">
        <f>I24/D24</f>
        <v>49.155383373542094</v>
      </c>
      <c r="G24" s="19">
        <f>F24/C24-1</f>
        <v>1.0885270225922117E-2</v>
      </c>
      <c r="H24" s="18">
        <f>SUM(H21:H23)</f>
        <v>58555.520000000004</v>
      </c>
      <c r="I24" s="18">
        <f>SUM(I21:I23)</f>
        <v>59192.912658419395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>
        <f>334+552.5+150.6+1208.2</f>
        <v>2245.3000000000002</v>
      </c>
      <c r="E26" s="29">
        <f t="shared" ref="E26:E32" si="7">D26/$D$48</f>
        <v>0.12266449596818252</v>
      </c>
      <c r="F26" s="28">
        <f t="shared" ref="F26:F31" si="8">C26-(C26*$E$6)</f>
        <v>37.604932052404308</v>
      </c>
      <c r="G26" s="27" t="str">
        <f t="shared" ref="G26:G31" si="9">IF(C26&gt;=F26,"-","+")</f>
        <v>+</v>
      </c>
      <c r="H26" s="26">
        <f t="shared" ref="H26:H31" si="10">C26*D26</f>
        <v>83525.160000000018</v>
      </c>
      <c r="I26" s="26">
        <f t="shared" ref="I26:I31" si="11">F26*D26</f>
        <v>84434.353937263397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2916.5</v>
      </c>
      <c r="E27" s="29">
        <f t="shared" si="7"/>
        <v>0.1593332750595485</v>
      </c>
      <c r="F27" s="28">
        <f t="shared" si="8"/>
        <v>33.561390971500614</v>
      </c>
      <c r="G27" s="27" t="str">
        <f t="shared" si="9"/>
        <v>+</v>
      </c>
      <c r="H27" s="26">
        <f t="shared" si="10"/>
        <v>96827.8</v>
      </c>
      <c r="I27" s="26">
        <f t="shared" si="11"/>
        <v>97881.796768381537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2395.1999999999998</v>
      </c>
      <c r="E28" s="29">
        <f t="shared" si="7"/>
        <v>0.1308537837896899</v>
      </c>
      <c r="F28" s="28">
        <f t="shared" si="8"/>
        <v>33.561390971500614</v>
      </c>
      <c r="G28" s="27" t="str">
        <f t="shared" si="9"/>
        <v>+</v>
      </c>
      <c r="H28" s="26">
        <f t="shared" si="10"/>
        <v>79520.639999999999</v>
      </c>
      <c r="I28" s="26">
        <f t="shared" si="11"/>
        <v>80386.243654938269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2368.3000000000002</v>
      </c>
      <c r="E29" s="29">
        <f t="shared" si="7"/>
        <v>0.1293841917790258</v>
      </c>
      <c r="F29" s="28">
        <f t="shared" si="8"/>
        <v>32.449417174252105</v>
      </c>
      <c r="G29" s="27" t="str">
        <f t="shared" si="9"/>
        <v>+</v>
      </c>
      <c r="H29" s="26">
        <f t="shared" si="10"/>
        <v>76022.430000000008</v>
      </c>
      <c r="I29" s="26">
        <f t="shared" si="11"/>
        <v>76849.95469378127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1065.5999999999999</v>
      </c>
      <c r="E30" s="29">
        <f t="shared" si="7"/>
        <v>5.8215511024671651E-2</v>
      </c>
      <c r="F30" s="28">
        <f t="shared" si="8"/>
        <v>32.449417174252105</v>
      </c>
      <c r="G30" s="27" t="str">
        <f t="shared" si="9"/>
        <v>+</v>
      </c>
      <c r="H30" s="26">
        <f t="shared" si="10"/>
        <v>34205.760000000002</v>
      </c>
      <c r="I30" s="26">
        <f t="shared" si="11"/>
        <v>34578.098940883043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30">
        <v>193.4</v>
      </c>
      <c r="E31" s="29">
        <f t="shared" si="7"/>
        <v>1.0565765608269049E-2</v>
      </c>
      <c r="F31" s="28">
        <f t="shared" si="8"/>
        <v>32.954859809365061</v>
      </c>
      <c r="G31" s="27" t="str">
        <f t="shared" si="9"/>
        <v>+</v>
      </c>
      <c r="H31" s="26">
        <f t="shared" si="10"/>
        <v>6304.84</v>
      </c>
      <c r="I31" s="26">
        <f t="shared" si="11"/>
        <v>6373.469887131203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33.654911795999759</v>
      </c>
      <c r="D32" s="22">
        <f>SUM(D26:D31)</f>
        <v>11184.3</v>
      </c>
      <c r="E32" s="21">
        <f t="shared" si="7"/>
        <v>0.61101702322938733</v>
      </c>
      <c r="F32" s="20">
        <f>I32/D32</f>
        <v>34.021254605328785</v>
      </c>
      <c r="G32" s="19">
        <f>F32/C32-1</f>
        <v>1.0885270225921895E-2</v>
      </c>
      <c r="H32" s="18">
        <f>SUM(H26:H31)</f>
        <v>376406.63000000006</v>
      </c>
      <c r="I32" s="18">
        <f>SUM(I26:I31)</f>
        <v>380503.91788237868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2870.2</v>
      </c>
      <c r="E34" s="29">
        <f t="shared" ref="E34:E40" si="13">D34/$D$48</f>
        <v>0.15680382858766195</v>
      </c>
      <c r="F34" s="28">
        <f t="shared" ref="F34:F39" si="14">C34-(C34*$E$6)</f>
        <v>19.813351296428074</v>
      </c>
      <c r="G34" s="27" t="str">
        <f t="shared" ref="G34:G39" si="15">IF(C34&gt;=F34,"-","+")</f>
        <v>+</v>
      </c>
      <c r="H34" s="26">
        <f t="shared" ref="H34:H39" si="16">C34*D34</f>
        <v>56255.92</v>
      </c>
      <c r="I34" s="26">
        <f t="shared" ref="I34:I39" si="17">F34*D34</f>
        <v>56868.280891007853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>
        <v>198</v>
      </c>
      <c r="E35" s="29">
        <f t="shared" si="13"/>
        <v>1.0817071305259936E-2</v>
      </c>
      <c r="F35" s="28">
        <f t="shared" si="14"/>
        <v>15.264367580411424</v>
      </c>
      <c r="G35" s="27" t="str">
        <f t="shared" si="15"/>
        <v>+</v>
      </c>
      <c r="H35" s="26">
        <f t="shared" si="16"/>
        <v>2989.7999999999997</v>
      </c>
      <c r="I35" s="26">
        <f t="shared" si="17"/>
        <v>3022.3447809214617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12.231711769733657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32.449417174252105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32.449417174252105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33.561390971500614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19.309601720878693</v>
      </c>
      <c r="D40" s="22">
        <f>SUM(D34:D39)</f>
        <v>3068.2</v>
      </c>
      <c r="E40" s="113">
        <f t="shared" si="13"/>
        <v>0.16762089989292189</v>
      </c>
      <c r="F40" s="20">
        <f>I40/D40</f>
        <v>19.519791953565388</v>
      </c>
      <c r="G40" s="19">
        <f>F40/C40-1</f>
        <v>1.0885270225922117E-2</v>
      </c>
      <c r="H40" s="18">
        <f>SUM(H34:H39)</f>
        <v>59245.72</v>
      </c>
      <c r="I40" s="18">
        <f>SUM(I34:I39)</f>
        <v>59890.625671929316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2684</v>
      </c>
      <c r="E42" s="107">
        <f>D42/$D$48</f>
        <v>0.14663141102685692</v>
      </c>
      <c r="F42" s="28">
        <f>C42-(C42*$E$6)</f>
        <v>0.50544263511296106</v>
      </c>
      <c r="G42" s="27" t="str">
        <f>IF(C42&gt;=F42,"-","+")</f>
        <v>+</v>
      </c>
      <c r="H42" s="26">
        <f>C42*D42</f>
        <v>1342</v>
      </c>
      <c r="I42" s="26">
        <f>F42*D42</f>
        <v>1356.6080326431875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128.5</v>
      </c>
      <c r="E43" s="107">
        <f>D43/$D$48</f>
        <v>7.020170013767181E-3</v>
      </c>
      <c r="F43" s="28">
        <f>C43-(C43*$E$6)</f>
        <v>0.50544263511296106</v>
      </c>
      <c r="G43" s="27" t="str">
        <f>IF(C43&gt;=F43,"-","+")</f>
        <v>+</v>
      </c>
      <c r="H43" s="26">
        <f>C43*D43</f>
        <v>64.25</v>
      </c>
      <c r="I43" s="26">
        <f>F43*D43</f>
        <v>64.949378612015494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28.7</v>
      </c>
      <c r="E44" s="107">
        <f>D44/$D$48</f>
        <v>1.5679290225301019E-3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6.5</v>
      </c>
      <c r="E45" s="107">
        <f>D45/$D$48</f>
        <v>3.5510587618277568E-4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0.49381957369104895</v>
      </c>
      <c r="D46" s="22">
        <f>SUM(D41:D45)</f>
        <v>2847.7</v>
      </c>
      <c r="E46" s="113">
        <f>D46/$D$48</f>
        <v>0.15557461593933697</v>
      </c>
      <c r="F46" s="20">
        <f>I46/D46</f>
        <v>0.4991949331935257</v>
      </c>
      <c r="G46" s="19">
        <f>F46/C46-1</f>
        <v>1.0885270225922117E-2</v>
      </c>
      <c r="H46" s="18">
        <f>SUM(H41:H44)</f>
        <v>1406.25</v>
      </c>
      <c r="I46" s="18">
        <f>SUM(I41:I44)</f>
        <v>1421.5574112552031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102.08440849332652</v>
      </c>
      <c r="D48" s="13">
        <f>D24+D32+D40+D46</f>
        <v>18304.400000000001</v>
      </c>
      <c r="E48" s="12">
        <f>SUM(E20:E46)/2</f>
        <v>0.99999999999999989</v>
      </c>
      <c r="F48" s="11">
        <f>I48/D48</f>
        <v>27.37096073206347</v>
      </c>
      <c r="G48" s="10"/>
      <c r="H48" s="9">
        <f>SUM(H20:H46)/2</f>
        <v>495614.12000000005</v>
      </c>
      <c r="I48" s="9">
        <f>SUM(I20:I46)/2</f>
        <v>501009.01362398261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26693.799999999996</v>
      </c>
      <c r="E50" s="12">
        <f>D50/G2</f>
        <v>0.99999999999999989</v>
      </c>
      <c r="F50" s="11">
        <f>I50/D50</f>
        <v>27.750000000000004</v>
      </c>
      <c r="G50" s="10"/>
      <c r="H50" s="9">
        <f>H48+H19</f>
        <v>732776.48</v>
      </c>
      <c r="I50" s="9">
        <f>I48+I19</f>
        <v>740752.95</v>
      </c>
      <c r="J50" s="106">
        <f>D50-G2</f>
        <v>0</v>
      </c>
      <c r="K50" s="8"/>
    </row>
    <row r="51" spans="1:11" ht="23.25" x14ac:dyDescent="0.35">
      <c r="A51" s="174" t="s">
        <v>406</v>
      </c>
      <c r="B51" s="169"/>
      <c r="C51" s="170"/>
      <c r="G51" s="7"/>
      <c r="H51" s="6"/>
      <c r="I51" s="6">
        <f>+I50/D50</f>
        <v>27.750000000000004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2.8554687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399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404</v>
      </c>
      <c r="D2" s="96" t="s">
        <v>3</v>
      </c>
      <c r="E2" s="95" t="s">
        <v>71</v>
      </c>
      <c r="F2" s="94" t="s">
        <v>5</v>
      </c>
      <c r="G2" s="93">
        <v>21996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340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64.694117647058818</v>
      </c>
      <c r="F4" s="81" t="s">
        <v>12</v>
      </c>
      <c r="G4" s="80">
        <f>G2*G3</f>
        <v>615888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-1.9365130787960538E-3</v>
      </c>
      <c r="F6" s="69" t="s">
        <v>16</v>
      </c>
      <c r="G6" s="68">
        <f>(I50-I19)/(D50-(SUM(D42:D44)+D19))</f>
        <v>33.012118241936335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28.05422236620629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>
        <f t="shared" si="1"/>
        <v>0</v>
      </c>
      <c r="F11" s="28">
        <f t="shared" si="2"/>
        <v>29.256546181900845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26.651511247895975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29.256546181900845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97.6</v>
      </c>
      <c r="E14" s="29">
        <f t="shared" si="1"/>
        <v>9.5359062042012693E-2</v>
      </c>
      <c r="F14" s="28">
        <f t="shared" si="2"/>
        <v>32.663130326368751</v>
      </c>
      <c r="G14" s="27" t="str">
        <f t="shared" si="3"/>
        <v>+</v>
      </c>
      <c r="H14" s="34">
        <f t="shared" si="4"/>
        <v>3181.7599999999998</v>
      </c>
      <c r="I14" s="34">
        <f t="shared" si="5"/>
        <v>3187.9215198535899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31.9</v>
      </c>
      <c r="E15" s="29">
        <f t="shared" si="1"/>
        <v>3.1167562286272592E-2</v>
      </c>
      <c r="F15" s="28">
        <f t="shared" si="2"/>
        <v>26.952092201819614</v>
      </c>
      <c r="G15" s="27" t="str">
        <f t="shared" si="3"/>
        <v>+</v>
      </c>
      <c r="H15" s="34">
        <f t="shared" si="4"/>
        <v>858.1099999999999</v>
      </c>
      <c r="I15" s="34">
        <f t="shared" si="5"/>
        <v>859.77174123804559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>
        <v>894</v>
      </c>
      <c r="E16" s="29">
        <f t="shared" si="1"/>
        <v>0.87347337567171468</v>
      </c>
      <c r="F16" s="28">
        <f t="shared" si="2"/>
        <v>36.871263681299695</v>
      </c>
      <c r="G16" s="27" t="str">
        <f t="shared" si="3"/>
        <v>+</v>
      </c>
      <c r="H16" s="34">
        <f t="shared" si="4"/>
        <v>32899.199999999997</v>
      </c>
      <c r="I16" s="34">
        <f t="shared" si="5"/>
        <v>32962.909731081927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54.304959008870746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47.491790719934933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36.090933072789447</v>
      </c>
      <c r="D19" s="49">
        <f>SUM(D10:D18)</f>
        <v>1023.5</v>
      </c>
      <c r="E19" s="48">
        <f t="shared" si="1"/>
        <v>1</v>
      </c>
      <c r="F19" s="47">
        <f>I19/D19</f>
        <v>36.160823636710859</v>
      </c>
      <c r="G19" s="46">
        <f>F19/C19-1</f>
        <v>1.9365130787960538E-3</v>
      </c>
      <c r="H19" s="9">
        <f>SUM(H10:H18)</f>
        <v>36939.07</v>
      </c>
      <c r="I19" s="9">
        <f>SUM(I10:I18)</f>
        <v>37010.602992173561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112.3</v>
      </c>
      <c r="E21" s="29">
        <f>D21/$D$48</f>
        <v>5.354631064489212E-3</v>
      </c>
      <c r="F21" s="28">
        <f>C21-(C21*$E$6)</f>
        <v>70.536330520747242</v>
      </c>
      <c r="G21" s="27" t="str">
        <f>IF(C21&gt;=F21,"-","+")</f>
        <v>+</v>
      </c>
      <c r="H21" s="26">
        <f>C21*D21</f>
        <v>7905.92</v>
      </c>
      <c r="I21" s="26">
        <f>F21*D21</f>
        <v>7921.2299174799155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602.4</v>
      </c>
      <c r="E22" s="29">
        <f>D22/$D$48</f>
        <v>2.8723328167838836E-2</v>
      </c>
      <c r="F22" s="28">
        <f>C22-(C22*$E$6)</f>
        <v>47.39159706862705</v>
      </c>
      <c r="G22" s="27" t="str">
        <f>IF(C22&gt;=F22,"-","+")</f>
        <v>+</v>
      </c>
      <c r="H22" s="26">
        <f>C22*D22</f>
        <v>28493.519999999997</v>
      </c>
      <c r="I22" s="26">
        <f>F22*D22</f>
        <v>28548.698074140935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224.7</v>
      </c>
      <c r="E23" s="29">
        <f>D23/$D$48</f>
        <v>1.0714030277744665E-2</v>
      </c>
      <c r="F23" s="28">
        <f>C23-(C23*$E$6)</f>
        <v>43.183463713696113</v>
      </c>
      <c r="G23" s="27" t="str">
        <f>IF(C23&gt;=F23,"-","+")</f>
        <v>+</v>
      </c>
      <c r="H23" s="26">
        <f>C23*D23</f>
        <v>9684.57</v>
      </c>
      <c r="I23" s="26">
        <f>F23*D23</f>
        <v>9703.3242964675155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49.056855439642327</v>
      </c>
      <c r="D24" s="22">
        <f>SUM(D21:D23)</f>
        <v>939.39999999999986</v>
      </c>
      <c r="E24" s="21">
        <f>D24/$D$48</f>
        <v>4.4791989510072711E-2</v>
      </c>
      <c r="F24" s="20">
        <f>I24/D24</f>
        <v>49.151854681805801</v>
      </c>
      <c r="G24" s="19">
        <f>F24/C24-1</f>
        <v>1.9365130787960538E-3</v>
      </c>
      <c r="H24" s="18">
        <f>SUM(H21:H23)</f>
        <v>46084.009999999995</v>
      </c>
      <c r="I24" s="18">
        <f>SUM(I21:I23)</f>
        <v>46173.252288088363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401+593+214.9+2842.1</f>
        <v>4051</v>
      </c>
      <c r="E26" s="29">
        <f t="shared" ref="E26:E32" si="7">D26/$D$48</f>
        <v>0.19315770652044345</v>
      </c>
      <c r="F26" s="28">
        <f t="shared" ref="F26:F31" si="8">C26-(C26*$E$6)</f>
        <v>37.672812891762732</v>
      </c>
      <c r="G26" s="27" t="str">
        <f t="shared" ref="G26:G31" si="9">IF(C26&gt;=F26,"-","+")</f>
        <v>+</v>
      </c>
      <c r="H26" s="26">
        <f t="shared" ref="H26:H31" si="10">C26*D26</f>
        <v>152317.6</v>
      </c>
      <c r="I26" s="26">
        <f t="shared" ref="I26:I31" si="11">F26*D26</f>
        <v>152612.56502453084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3580.5</v>
      </c>
      <c r="E27" s="29">
        <f t="shared" si="7"/>
        <v>0.17072356657527715</v>
      </c>
      <c r="F27" s="28">
        <f t="shared" si="8"/>
        <v>33.564873188139671</v>
      </c>
      <c r="G27" s="27" t="str">
        <f t="shared" si="9"/>
        <v>+</v>
      </c>
      <c r="H27" s="26">
        <f t="shared" si="10"/>
        <v>119946.75</v>
      </c>
      <c r="I27" s="26">
        <f t="shared" si="11"/>
        <v>120179.02845013409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2302.5</v>
      </c>
      <c r="E28" s="29">
        <f t="shared" si="7"/>
        <v>0.10978662534271069</v>
      </c>
      <c r="F28" s="28">
        <f t="shared" si="8"/>
        <v>33.564873188139671</v>
      </c>
      <c r="G28" s="27" t="str">
        <f t="shared" si="9"/>
        <v>+</v>
      </c>
      <c r="H28" s="26">
        <f t="shared" si="10"/>
        <v>77133.75</v>
      </c>
      <c r="I28" s="26">
        <f t="shared" si="11"/>
        <v>77283.120515691597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1964.2</v>
      </c>
      <c r="E29" s="29">
        <f t="shared" si="7"/>
        <v>9.3655978066515683E-2</v>
      </c>
      <c r="F29" s="28">
        <f t="shared" si="8"/>
        <v>32.362549372445109</v>
      </c>
      <c r="G29" s="27" t="str">
        <f t="shared" si="9"/>
        <v>+</v>
      </c>
      <c r="H29" s="26">
        <f t="shared" si="10"/>
        <v>63443.659999999996</v>
      </c>
      <c r="I29" s="26">
        <f t="shared" si="11"/>
        <v>63566.519477356684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1562.2</v>
      </c>
      <c r="E30" s="29">
        <f t="shared" si="7"/>
        <v>7.4488020026224816E-2</v>
      </c>
      <c r="F30" s="28">
        <f t="shared" si="8"/>
        <v>32.362549372445109</v>
      </c>
      <c r="G30" s="27" t="str">
        <f t="shared" si="9"/>
        <v>+</v>
      </c>
      <c r="H30" s="26">
        <f t="shared" si="10"/>
        <v>50459.06</v>
      </c>
      <c r="I30" s="26">
        <f t="shared" si="11"/>
        <v>50556.77462963375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358.5</v>
      </c>
      <c r="E31" s="29">
        <f t="shared" si="7"/>
        <v>1.70938133269758E-2</v>
      </c>
      <c r="F31" s="28">
        <f t="shared" si="8"/>
        <v>32.963711280292387</v>
      </c>
      <c r="G31" s="27" t="str">
        <f t="shared" si="9"/>
        <v>+</v>
      </c>
      <c r="H31" s="26">
        <f t="shared" si="10"/>
        <v>11794.65</v>
      </c>
      <c r="I31" s="26">
        <f t="shared" si="11"/>
        <v>11817.49049398482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34.380122151546068</v>
      </c>
      <c r="D32" s="22">
        <f>SUM(D26:D31)</f>
        <v>13818.900000000001</v>
      </c>
      <c r="E32" s="21">
        <f t="shared" si="7"/>
        <v>0.65890570985814767</v>
      </c>
      <c r="F32" s="20">
        <f>I32/D32</f>
        <v>34.44669970774315</v>
      </c>
      <c r="G32" s="19">
        <f>F32/C32-1</f>
        <v>1.9365130787962759E-3</v>
      </c>
      <c r="H32" s="18">
        <f>SUM(H26:H31)</f>
        <v>475095.47</v>
      </c>
      <c r="I32" s="18">
        <f>SUM(I26:I31)</f>
        <v>476015.49859133182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2771.1</v>
      </c>
      <c r="E34" s="29">
        <f t="shared" ref="E34:E40" si="13">D34/$D$48</f>
        <v>0.13213017046131839</v>
      </c>
      <c r="F34" s="28">
        <f t="shared" ref="F34:F39" si="14">C34-(C34*$E$6)</f>
        <v>19.838342958960162</v>
      </c>
      <c r="G34" s="27" t="str">
        <f t="shared" ref="G34:G39" si="15">IF(C34&gt;=F34,"-","+")</f>
        <v>+</v>
      </c>
      <c r="H34" s="26">
        <f t="shared" ref="H34:H39" si="16">C34*D34</f>
        <v>54867.78</v>
      </c>
      <c r="I34" s="26">
        <f t="shared" ref="I34:I39" si="17">F34*D34</f>
        <v>54974.032173574502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15.2294349987977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12.223625459561312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32.362549372445109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32.362549372445109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33.564873188139671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2771.1</v>
      </c>
      <c r="E40" s="113">
        <f t="shared" si="13"/>
        <v>0.13213017046131839</v>
      </c>
      <c r="F40" s="20">
        <f>I40/D40</f>
        <v>19.838342958960162</v>
      </c>
      <c r="G40" s="19">
        <f>F40/C40-1</f>
        <v>1.9365130787960538E-3</v>
      </c>
      <c r="H40" s="18">
        <f>SUM(H34:H39)</f>
        <v>54867.78</v>
      </c>
      <c r="I40" s="18">
        <f>SUM(I34:I39)</f>
        <v>54974.032173574502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3297</v>
      </c>
      <c r="E42" s="107">
        <f>D42/$D$48</f>
        <v>0.15720586482298249</v>
      </c>
      <c r="F42" s="28">
        <f>C42-(C42*$E$6)</f>
        <v>0.50096825653939803</v>
      </c>
      <c r="G42" s="27" t="str">
        <f>IF(C42&gt;=F42,"-","+")</f>
        <v>+</v>
      </c>
      <c r="H42" s="26">
        <f>C42*D42</f>
        <v>1648.5</v>
      </c>
      <c r="I42" s="26">
        <f>F42*D42</f>
        <v>1651.6923418103952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125.6</v>
      </c>
      <c r="E43" s="107">
        <f>D43/$D$48</f>
        <v>5.9887948503993321E-3</v>
      </c>
      <c r="F43" s="28">
        <f>C43-(C43*$E$6)</f>
        <v>0.50096825653939803</v>
      </c>
      <c r="G43" s="27" t="str">
        <f>IF(C43&gt;=F43,"-","+")</f>
        <v>+</v>
      </c>
      <c r="H43" s="26">
        <f>C43*D43</f>
        <v>62.8</v>
      </c>
      <c r="I43" s="26">
        <f>F43*D43</f>
        <v>62.921613021348392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14.6</v>
      </c>
      <c r="E44" s="107">
        <f>D44/$D$48</f>
        <v>6.9614971987126001E-4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5.9</v>
      </c>
      <c r="E45" s="107">
        <f>D45/$D$48</f>
        <v>2.8132077720824893E-4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0.49702303157038713</v>
      </c>
      <c r="D46" s="22">
        <f>SUM(D41:D45)</f>
        <v>3443.1</v>
      </c>
      <c r="E46" s="113">
        <f>D46/$D$48</f>
        <v>0.16417213017046131</v>
      </c>
      <c r="F46" s="20">
        <f>I46/D46</f>
        <v>0.49798552317148603</v>
      </c>
      <c r="G46" s="19">
        <f>F46/C46-1</f>
        <v>1.9365130787960538E-3</v>
      </c>
      <c r="H46" s="18">
        <f>SUM(H41:H44)</f>
        <v>1711.3</v>
      </c>
      <c r="I46" s="18">
        <f>SUM(I41:I44)</f>
        <v>1714.6139548317435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103.73400062275878</v>
      </c>
      <c r="D48" s="13">
        <f>D24+D32+D40+D46</f>
        <v>20972.5</v>
      </c>
      <c r="E48" s="12">
        <f>SUM(E20:E46)/2</f>
        <v>1.0000000000000002</v>
      </c>
      <c r="F48" s="11">
        <f>I48/D48</f>
        <v>27.601735463479617</v>
      </c>
      <c r="G48" s="10"/>
      <c r="H48" s="9">
        <f>SUM(H20:H46)/2</f>
        <v>577758.56000000006</v>
      </c>
      <c r="I48" s="9">
        <f>SUM(I20:I46)/2</f>
        <v>578877.39700782625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21996</v>
      </c>
      <c r="E50" s="12">
        <f>D50/G2</f>
        <v>1</v>
      </c>
      <c r="F50" s="11">
        <f>I50/D50</f>
        <v>27.999999999999989</v>
      </c>
      <c r="G50" s="10"/>
      <c r="H50" s="9">
        <f>H48+H19</f>
        <v>614697.63</v>
      </c>
      <c r="I50" s="9">
        <f>I48+I19</f>
        <v>615887.99999999977</v>
      </c>
      <c r="J50" s="106">
        <f>D50-G2</f>
        <v>0</v>
      </c>
      <c r="K50" s="8"/>
    </row>
    <row r="51" spans="1:11" ht="23.25" x14ac:dyDescent="0.35">
      <c r="A51" s="174" t="s">
        <v>407</v>
      </c>
      <c r="B51" s="169"/>
      <c r="C51" s="170"/>
      <c r="G51" s="7"/>
      <c r="H51" s="6"/>
      <c r="I51" s="6">
        <f>+I50/D50</f>
        <v>27.999999999999989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408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408</v>
      </c>
      <c r="D2" s="96" t="s">
        <v>3</v>
      </c>
      <c r="E2" s="95" t="s">
        <v>112</v>
      </c>
      <c r="F2" s="94" t="s">
        <v>5</v>
      </c>
      <c r="G2" s="93">
        <v>9743.6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152</v>
      </c>
      <c r="F3" s="88" t="s">
        <v>8</v>
      </c>
      <c r="G3" s="87">
        <v>23.91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64.102631578947367</v>
      </c>
      <c r="F4" s="81" t="s">
        <v>12</v>
      </c>
      <c r="G4" s="80">
        <f>G2*G3</f>
        <v>232969.47600000002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-8.8394420037752219E-2</v>
      </c>
      <c r="F6" s="69" t="s">
        <v>16</v>
      </c>
      <c r="G6" s="68">
        <f>(I50-I19)/(D50-(SUM(D42:D44)+D19))</f>
        <v>30.654808553273678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23.9</v>
      </c>
      <c r="D10" s="30"/>
      <c r="E10" s="29">
        <f t="shared" ref="E10:E19" si="1">D10/$D$19</f>
        <v>0</v>
      </c>
      <c r="F10" s="28">
        <f t="shared" ref="F10:F18" si="2">C10-(C10*$E$6)</f>
        <v>26.012626638902276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24.9</v>
      </c>
      <c r="D11" s="30"/>
      <c r="E11" s="29">
        <f t="shared" si="1"/>
        <v>0</v>
      </c>
      <c r="F11" s="28">
        <f t="shared" si="2"/>
        <v>27.101021058940027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22.7</v>
      </c>
      <c r="D12" s="30"/>
      <c r="E12" s="29">
        <f t="shared" si="1"/>
        <v>0</v>
      </c>
      <c r="F12" s="28">
        <f t="shared" si="2"/>
        <v>24.706553334856974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24.9</v>
      </c>
      <c r="D13" s="30"/>
      <c r="E13" s="29">
        <f t="shared" si="1"/>
        <v>0</v>
      </c>
      <c r="F13" s="28">
        <f t="shared" si="2"/>
        <v>27.101021058940027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27.8</v>
      </c>
      <c r="D14" s="30"/>
      <c r="E14" s="29">
        <f t="shared" si="1"/>
        <v>0</v>
      </c>
      <c r="F14" s="28">
        <f t="shared" si="2"/>
        <v>30.257364877049511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</v>
      </c>
      <c r="D15" s="30"/>
      <c r="E15" s="29">
        <f t="shared" si="1"/>
        <v>0</v>
      </c>
      <c r="F15" s="28">
        <f t="shared" si="2"/>
        <v>25.033071660868302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31.4</v>
      </c>
      <c r="D16" s="30"/>
      <c r="E16" s="29">
        <f t="shared" si="1"/>
        <v>0</v>
      </c>
      <c r="F16" s="28">
        <f t="shared" si="2"/>
        <v>34.175584789185422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46.2</v>
      </c>
      <c r="D17" s="30">
        <v>29</v>
      </c>
      <c r="E17" s="29">
        <f t="shared" si="1"/>
        <v>1</v>
      </c>
      <c r="F17" s="28">
        <f t="shared" si="2"/>
        <v>50.283822205744158</v>
      </c>
      <c r="G17" s="27" t="str">
        <f t="shared" si="3"/>
        <v>+</v>
      </c>
      <c r="H17" s="34">
        <f t="shared" si="4"/>
        <v>1339.8000000000002</v>
      </c>
      <c r="I17" s="34">
        <f t="shared" si="5"/>
        <v>1458.2308439665806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40.5</v>
      </c>
      <c r="D18" s="30"/>
      <c r="E18" s="29">
        <f t="shared" si="1"/>
        <v>0</v>
      </c>
      <c r="F18" s="28">
        <f t="shared" si="2"/>
        <v>44.079974011528968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46.2</v>
      </c>
      <c r="D19" s="49">
        <f>SUM(D10:D18)</f>
        <v>29</v>
      </c>
      <c r="E19" s="48">
        <f t="shared" si="1"/>
        <v>1</v>
      </c>
      <c r="F19" s="47">
        <f>I19/D19</f>
        <v>50.283822205744158</v>
      </c>
      <c r="G19" s="46">
        <f>F19/C19-1</f>
        <v>8.8394420037752219E-2</v>
      </c>
      <c r="H19" s="9">
        <f>SUM(H10:H18)</f>
        <v>1339.8000000000002</v>
      </c>
      <c r="I19" s="9">
        <f>SUM(I10:I18)</f>
        <v>1458.2308439665806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60.1</v>
      </c>
      <c r="D21" s="30">
        <v>130</v>
      </c>
      <c r="E21" s="29">
        <f>D21/$D$48</f>
        <v>1.3381919996705991E-2</v>
      </c>
      <c r="F21" s="28">
        <f>C21-(C21*$E$6)</f>
        <v>65.412504644268907</v>
      </c>
      <c r="G21" s="27" t="str">
        <f>IF(C21&gt;=F21,"-","+")</f>
        <v>+</v>
      </c>
      <c r="H21" s="26">
        <f>C21*D21</f>
        <v>7813</v>
      </c>
      <c r="I21" s="26">
        <f>F21*D21</f>
        <v>8503.6256037549574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40.4</v>
      </c>
      <c r="D22" s="30">
        <v>243.3</v>
      </c>
      <c r="E22" s="29">
        <f>D22/$D$48</f>
        <v>2.5044777963065906E-2</v>
      </c>
      <c r="F22" s="28">
        <f>C22-(C22*$E$6)</f>
        <v>43.971134569525191</v>
      </c>
      <c r="G22" s="27" t="str">
        <f>IF(C22&gt;=F22,"-","+")</f>
        <v>+</v>
      </c>
      <c r="H22" s="26">
        <f>C22*D22</f>
        <v>9829.32</v>
      </c>
      <c r="I22" s="26">
        <f>F22*D22</f>
        <v>10698.177040765479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36.799999999999997</v>
      </c>
      <c r="D23" s="30">
        <v>221.1</v>
      </c>
      <c r="E23" s="29">
        <f>D23/$D$48</f>
        <v>2.2759557779013034E-2</v>
      </c>
      <c r="F23" s="28">
        <f>C23-(C23*$E$6)</f>
        <v>40.05291465738928</v>
      </c>
      <c r="G23" s="27" t="str">
        <f>IF(C23&gt;=F23,"-","+")</f>
        <v>+</v>
      </c>
      <c r="H23" s="26">
        <f>C23*D23</f>
        <v>8136.48</v>
      </c>
      <c r="I23" s="26">
        <f>F23*D23</f>
        <v>8855.6994307487694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43.369448183041726</v>
      </c>
      <c r="D24" s="22">
        <f>SUM(D21:D23)</f>
        <v>594.4</v>
      </c>
      <c r="E24" s="21">
        <f>D24/$D$48</f>
        <v>6.1186255738784931E-2</v>
      </c>
      <c r="F24" s="20">
        <f>I24/D24</f>
        <v>47.203065402539046</v>
      </c>
      <c r="G24" s="19">
        <f>F24/C24-1</f>
        <v>8.8394420037752219E-2</v>
      </c>
      <c r="H24" s="18">
        <f>SUM(H21:H23)</f>
        <v>25778.799999999999</v>
      </c>
      <c r="I24" s="18">
        <f>SUM(I21:I23)</f>
        <v>28057.502075269207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32.1</v>
      </c>
      <c r="D26" s="30">
        <v>1922.4</v>
      </c>
      <c r="E26" s="29">
        <f t="shared" ref="E26:E32" si="7">D26/$D$48</f>
        <v>0.19788771539744307</v>
      </c>
      <c r="F26" s="28">
        <f t="shared" ref="F26:F31" si="8">C26-(C26*$E$6)</f>
        <v>34.937460883211848</v>
      </c>
      <c r="G26" s="27" t="str">
        <f t="shared" ref="G26:G31" si="9">IF(C26&gt;=F26,"-","+")</f>
        <v>+</v>
      </c>
      <c r="H26" s="26">
        <f t="shared" ref="H26:H31" si="10">C26*D26</f>
        <v>61709.040000000008</v>
      </c>
      <c r="I26" s="26">
        <f t="shared" ref="I26:I31" si="11">F26*D26</f>
        <v>67163.774801886466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28.6</v>
      </c>
      <c r="D27" s="30">
        <v>1483</v>
      </c>
      <c r="E27" s="29">
        <f t="shared" si="7"/>
        <v>0.15265682580857681</v>
      </c>
      <c r="F27" s="28">
        <f t="shared" si="8"/>
        <v>31.128080413079715</v>
      </c>
      <c r="G27" s="27" t="str">
        <f t="shared" si="9"/>
        <v>+</v>
      </c>
      <c r="H27" s="26">
        <f t="shared" si="10"/>
        <v>42413.8</v>
      </c>
      <c r="I27" s="26">
        <f t="shared" si="11"/>
        <v>46162.943252597215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28.6</v>
      </c>
      <c r="D28" s="30">
        <v>691.7</v>
      </c>
      <c r="E28" s="29">
        <f t="shared" si="7"/>
        <v>7.1202108167088732E-2</v>
      </c>
      <c r="F28" s="28">
        <f t="shared" si="8"/>
        <v>31.128080413079715</v>
      </c>
      <c r="G28" s="27" t="str">
        <f t="shared" si="9"/>
        <v>+</v>
      </c>
      <c r="H28" s="26">
        <f t="shared" si="10"/>
        <v>19782.620000000003</v>
      </c>
      <c r="I28" s="26">
        <f t="shared" si="11"/>
        <v>21531.293221727239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27.6</v>
      </c>
      <c r="D29" s="30">
        <v>665.9</v>
      </c>
      <c r="E29" s="29">
        <f t="shared" si="7"/>
        <v>6.8546311736973217E-2</v>
      </c>
      <c r="F29" s="28">
        <f t="shared" si="8"/>
        <v>30.039685993041964</v>
      </c>
      <c r="G29" s="27" t="str">
        <f t="shared" si="9"/>
        <v>+</v>
      </c>
      <c r="H29" s="26">
        <f t="shared" si="10"/>
        <v>18378.84</v>
      </c>
      <c r="I29" s="26">
        <f t="shared" si="11"/>
        <v>20003.426902766641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27.6</v>
      </c>
      <c r="D30" s="30">
        <v>527.20000000000005</v>
      </c>
      <c r="E30" s="29">
        <f t="shared" si="7"/>
        <v>5.4268832478949224E-2</v>
      </c>
      <c r="F30" s="28">
        <f t="shared" si="8"/>
        <v>30.039685993041964</v>
      </c>
      <c r="G30" s="27" t="str">
        <f t="shared" si="9"/>
        <v>+</v>
      </c>
      <c r="H30" s="26">
        <f t="shared" si="10"/>
        <v>14550.720000000001</v>
      </c>
      <c r="I30" s="26">
        <f t="shared" si="11"/>
        <v>15836.922455531725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28.1</v>
      </c>
      <c r="D31" s="30">
        <v>143.9</v>
      </c>
      <c r="E31" s="29">
        <f t="shared" si="7"/>
        <v>1.4812756057892248E-2</v>
      </c>
      <c r="F31" s="28">
        <f t="shared" si="8"/>
        <v>30.583883203060839</v>
      </c>
      <c r="G31" s="27" t="str">
        <f t="shared" si="9"/>
        <v>+</v>
      </c>
      <c r="H31" s="26">
        <f t="shared" si="10"/>
        <v>4043.59</v>
      </c>
      <c r="I31" s="26">
        <f t="shared" si="11"/>
        <v>4401.0207929204553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29.605382676064121</v>
      </c>
      <c r="D32" s="22">
        <f>SUM(D26:D31)</f>
        <v>5434.0999999999995</v>
      </c>
      <c r="E32" s="21">
        <f t="shared" si="7"/>
        <v>0.55937454964692324</v>
      </c>
      <c r="F32" s="20">
        <f>I32/D32</f>
        <v>32.222333307710521</v>
      </c>
      <c r="G32" s="19">
        <f>F32/C32-1</f>
        <v>8.8394420037751997E-2</v>
      </c>
      <c r="H32" s="18">
        <f>SUM(H26:H31)</f>
        <v>160878.61000000002</v>
      </c>
      <c r="I32" s="18">
        <f>SUM(I26:I31)</f>
        <v>175099.38142742973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16.899999999999999</v>
      </c>
      <c r="D34" s="30">
        <f>723.4+672.7</f>
        <v>1396.1</v>
      </c>
      <c r="E34" s="29">
        <f t="shared" ref="E34:E40" si="13">D34/$D$48</f>
        <v>0.1437115269800095</v>
      </c>
      <c r="F34" s="28">
        <f t="shared" ref="F34:F39" si="14">C34-(C34*$E$6)</f>
        <v>18.39386569863801</v>
      </c>
      <c r="G34" s="27" t="str">
        <f t="shared" ref="G34:G39" si="15">IF(C34&gt;=F34,"-","+")</f>
        <v>+</v>
      </c>
      <c r="H34" s="26">
        <f t="shared" ref="H34:H39" si="16">C34*D34</f>
        <v>23594.089999999997</v>
      </c>
      <c r="I34" s="26">
        <f t="shared" ref="I34:I39" si="17">F34*D34</f>
        <v>25679.675901868522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</v>
      </c>
      <c r="D35" s="30">
        <v>122.5</v>
      </c>
      <c r="E35" s="29">
        <f t="shared" si="13"/>
        <v>1.2609886150742183E-2</v>
      </c>
      <c r="F35" s="28">
        <f t="shared" si="14"/>
        <v>14.149127460490778</v>
      </c>
      <c r="G35" s="27" t="str">
        <f t="shared" si="15"/>
        <v>+</v>
      </c>
      <c r="H35" s="26">
        <f t="shared" si="16"/>
        <v>1592.5</v>
      </c>
      <c r="I35" s="26">
        <f t="shared" si="17"/>
        <v>1733.2681139101203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11.319301968392624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27.6</v>
      </c>
      <c r="D37" s="30"/>
      <c r="E37" s="29">
        <f t="shared" si="13"/>
        <v>0</v>
      </c>
      <c r="F37" s="28">
        <f t="shared" si="14"/>
        <v>30.039685993041964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27.6</v>
      </c>
      <c r="D38" s="30"/>
      <c r="E38" s="29">
        <f t="shared" si="13"/>
        <v>0</v>
      </c>
      <c r="F38" s="28">
        <f t="shared" si="14"/>
        <v>30.039685993041964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28.6</v>
      </c>
      <c r="D39" s="30"/>
      <c r="E39" s="29">
        <f t="shared" si="13"/>
        <v>0</v>
      </c>
      <c r="F39" s="28">
        <f t="shared" si="14"/>
        <v>31.128080413079715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16.585401027261952</v>
      </c>
      <c r="D40" s="22">
        <f>SUM(D34:D39)</f>
        <v>1518.6</v>
      </c>
      <c r="E40" s="113">
        <f t="shared" si="13"/>
        <v>0.15632141313075168</v>
      </c>
      <c r="F40" s="20">
        <f>I40/D40</f>
        <v>18.051457932160307</v>
      </c>
      <c r="G40" s="19">
        <f>F40/C40-1</f>
        <v>8.8394420037751997E-2</v>
      </c>
      <c r="H40" s="18">
        <f>SUM(H34:H39)</f>
        <v>25186.589999999997</v>
      </c>
      <c r="I40" s="18">
        <f>SUM(I34:I39)</f>
        <v>27412.944015778641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1027+123.8+953.8</f>
        <v>2104.6</v>
      </c>
      <c r="E42" s="107">
        <f>D42/$D$48</f>
        <v>0.21664299096205714</v>
      </c>
      <c r="F42" s="28">
        <f>C42-(C42*$E$6)</f>
        <v>0.4353577680151009</v>
      </c>
      <c r="G42" s="27" t="str">
        <f>IF(C42&gt;=F42,"-","+")</f>
        <v>+</v>
      </c>
      <c r="H42" s="26">
        <f>C42*D42</f>
        <v>841.84</v>
      </c>
      <c r="I42" s="26">
        <f>F42*D42</f>
        <v>916.25395856458135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57.8</v>
      </c>
      <c r="E43" s="107">
        <f>D43/$D$48</f>
        <v>5.9498075062277399E-3</v>
      </c>
      <c r="F43" s="28">
        <f>C43-(C43*$E$6)</f>
        <v>0.4353577680151009</v>
      </c>
      <c r="G43" s="27" t="str">
        <f>IF(C43&gt;=F43,"-","+")</f>
        <v>+</v>
      </c>
      <c r="H43" s="26">
        <f>C43*D43</f>
        <v>23.12</v>
      </c>
      <c r="I43" s="26">
        <f>F43*D43</f>
        <v>25.163678991272832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5.2498301525538888E-4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0.3990588235294118</v>
      </c>
      <c r="D46" s="22">
        <f>SUM(D41:D45)</f>
        <v>2167.5</v>
      </c>
      <c r="E46" s="113">
        <f>D46/$D$48</f>
        <v>0.22311778148354028</v>
      </c>
      <c r="F46" s="20">
        <f>I46/D46</f>
        <v>0.43433339679624183</v>
      </c>
      <c r="G46" s="19">
        <f>F46/C46-1</f>
        <v>8.8394420037752219E-2</v>
      </c>
      <c r="H46" s="18">
        <f>SUM(H41:H44)</f>
        <v>864.96</v>
      </c>
      <c r="I46" s="18">
        <f>SUM(I41:I44)</f>
        <v>941.41763755585418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89.959290709897218</v>
      </c>
      <c r="D48" s="13">
        <f>D24+D32+D40+D46</f>
        <v>9714.5999999999985</v>
      </c>
      <c r="E48" s="12">
        <f>SUM(E20:E46)/2</f>
        <v>1</v>
      </c>
      <c r="F48" s="11">
        <f>I48/D48</f>
        <v>23.831268930890975</v>
      </c>
      <c r="G48" s="10"/>
      <c r="H48" s="9">
        <f>SUM(H20:H46)/2</f>
        <v>212708.96000000002</v>
      </c>
      <c r="I48" s="9">
        <f>SUM(I20:I46)/2</f>
        <v>231511.24515603343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9743.5999999999985</v>
      </c>
      <c r="E50" s="12">
        <f>D50/G2</f>
        <v>0.99999999999999978</v>
      </c>
      <c r="F50" s="11">
        <f>I50/D50</f>
        <v>23.910000000000007</v>
      </c>
      <c r="G50" s="10"/>
      <c r="H50" s="9">
        <f>H48+H19</f>
        <v>214048.76</v>
      </c>
      <c r="I50" s="9">
        <f>I48+I19</f>
        <v>232969.47600000002</v>
      </c>
      <c r="J50" s="106">
        <f>D50-G2</f>
        <v>0</v>
      </c>
      <c r="K50" s="8"/>
    </row>
    <row r="51" spans="1:11" ht="23.25" x14ac:dyDescent="0.35">
      <c r="A51" s="174" t="s">
        <v>409</v>
      </c>
      <c r="B51" s="169"/>
      <c r="C51" s="170"/>
      <c r="G51" s="7"/>
      <c r="H51" s="6"/>
      <c r="I51" s="6">
        <f>+I50/D50</f>
        <v>23.910000000000007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408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408</v>
      </c>
      <c r="D2" s="96" t="s">
        <v>3</v>
      </c>
      <c r="E2" s="95" t="s">
        <v>71</v>
      </c>
      <c r="F2" s="94" t="s">
        <v>5</v>
      </c>
      <c r="G2" s="93">
        <v>19037.8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296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64.316891891891885</v>
      </c>
      <c r="F4" s="81" t="s">
        <v>12</v>
      </c>
      <c r="G4" s="80">
        <f>G2*G3</f>
        <v>533058.4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1.1809528894267229E-2</v>
      </c>
      <c r="F6" s="69" t="s">
        <v>16</v>
      </c>
      <c r="G6" s="68">
        <f>(I50-I19)/(D50-(SUM(D42:D44)+D19))</f>
        <v>33.392822528234149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27.669333190960518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406.7</v>
      </c>
      <c r="E11" s="29">
        <f t="shared" si="1"/>
        <v>0.71213447732446156</v>
      </c>
      <c r="F11" s="28">
        <f t="shared" si="2"/>
        <v>28.855161756287398</v>
      </c>
      <c r="G11" s="27" t="str">
        <f t="shared" si="3"/>
        <v>-</v>
      </c>
      <c r="H11" s="34">
        <f t="shared" si="4"/>
        <v>11875.64</v>
      </c>
      <c r="I11" s="34">
        <f t="shared" si="5"/>
        <v>11735.394286282084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26.285866531412495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49.8</v>
      </c>
      <c r="E13" s="29">
        <f t="shared" si="1"/>
        <v>8.7200140080546301E-2</v>
      </c>
      <c r="F13" s="28">
        <f t="shared" si="2"/>
        <v>28.855161756287398</v>
      </c>
      <c r="G13" s="27" t="str">
        <f t="shared" si="3"/>
        <v>-</v>
      </c>
      <c r="H13" s="34">
        <f t="shared" si="4"/>
        <v>1454.1599999999999</v>
      </c>
      <c r="I13" s="34">
        <f t="shared" si="5"/>
        <v>1436.9870554631123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32.215009358046892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f>47.8+36.8</f>
        <v>84.6</v>
      </c>
      <c r="E15" s="29">
        <f t="shared" si="1"/>
        <v>0.14813517772719312</v>
      </c>
      <c r="F15" s="28">
        <f t="shared" si="2"/>
        <v>26.582323672744209</v>
      </c>
      <c r="G15" s="27" t="str">
        <f t="shared" si="3"/>
        <v>-</v>
      </c>
      <c r="H15" s="34">
        <f t="shared" si="4"/>
        <v>2275.7399999999998</v>
      </c>
      <c r="I15" s="34">
        <f t="shared" si="5"/>
        <v>2248.86458271416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>
        <v>18</v>
      </c>
      <c r="E16" s="29">
        <f t="shared" si="1"/>
        <v>3.1518122920679389E-2</v>
      </c>
      <c r="F16" s="28">
        <f t="shared" si="2"/>
        <v>36.365409336690966</v>
      </c>
      <c r="G16" s="27" t="str">
        <f t="shared" si="3"/>
        <v>-</v>
      </c>
      <c r="H16" s="34">
        <f t="shared" si="4"/>
        <v>662.4</v>
      </c>
      <c r="I16" s="34">
        <f t="shared" si="5"/>
        <v>654.57736806043738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>
        <v>12</v>
      </c>
      <c r="E17" s="29">
        <f t="shared" si="1"/>
        <v>2.1012081947119593E-2</v>
      </c>
      <c r="F17" s="28">
        <f t="shared" si="2"/>
        <v>53.559923533930721</v>
      </c>
      <c r="G17" s="27" t="str">
        <f t="shared" si="3"/>
        <v>-</v>
      </c>
      <c r="H17" s="34">
        <f t="shared" si="4"/>
        <v>650.40000000000009</v>
      </c>
      <c r="I17" s="34">
        <f t="shared" si="5"/>
        <v>642.71908240716868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46.840228330411733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29.62412887410261</v>
      </c>
      <c r="D19" s="49">
        <f>SUM(D10:D18)</f>
        <v>571.1</v>
      </c>
      <c r="E19" s="48">
        <f t="shared" si="1"/>
        <v>1</v>
      </c>
      <c r="F19" s="47">
        <f>I19/D19</f>
        <v>29.274281868196393</v>
      </c>
      <c r="G19" s="46">
        <f>F19/C19-1</f>
        <v>-1.1809528894267451E-2</v>
      </c>
      <c r="H19" s="9">
        <f>SUM(H10:H18)</f>
        <v>16918.34</v>
      </c>
      <c r="I19" s="9">
        <f>SUM(I10:I18)</f>
        <v>16718.542374926961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211.7</v>
      </c>
      <c r="E21" s="29">
        <f>D21/$D$48</f>
        <v>1.146412654402885E-2</v>
      </c>
      <c r="F21" s="28">
        <f>C21-(C21*$E$6)</f>
        <v>69.568609165843597</v>
      </c>
      <c r="G21" s="27" t="str">
        <f>IF(C21&gt;=F21,"-","+")</f>
        <v>-</v>
      </c>
      <c r="H21" s="26">
        <f>C21*D21</f>
        <v>14903.68</v>
      </c>
      <c r="I21" s="26">
        <f>F21*D21</f>
        <v>14727.674560409088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559.5</v>
      </c>
      <c r="E22" s="29">
        <f>D22/$D$48</f>
        <v>3.0298435528503267E-2</v>
      </c>
      <c r="F22" s="28">
        <f>C22-(C22*$E$6)</f>
        <v>46.741409283301159</v>
      </c>
      <c r="G22" s="27" t="str">
        <f>IF(C22&gt;=F22,"-","+")</f>
        <v>-</v>
      </c>
      <c r="H22" s="26">
        <f>C22*D22</f>
        <v>26464.35</v>
      </c>
      <c r="I22" s="26">
        <f>F22*D22</f>
        <v>26151.818494006999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429</v>
      </c>
      <c r="E23" s="29">
        <f>D23/$D$48</f>
        <v>2.3231508206841649E-2</v>
      </c>
      <c r="F23" s="28">
        <f>C23-(C23*$E$6)</f>
        <v>42.591009304657085</v>
      </c>
      <c r="G23" s="27" t="str">
        <f>IF(C23&gt;=F23,"-","+")</f>
        <v>-</v>
      </c>
      <c r="H23" s="26">
        <f>C23*D23</f>
        <v>18489.900000000001</v>
      </c>
      <c r="I23" s="26">
        <f>F23*D23</f>
        <v>18271.54299169789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49.873296117313778</v>
      </c>
      <c r="D24" s="22">
        <f>SUM(D21:D23)</f>
        <v>1200.2</v>
      </c>
      <c r="E24" s="21">
        <f>D24/$D$48</f>
        <v>6.4994070279373775E-2</v>
      </c>
      <c r="F24" s="20">
        <f>I24/D24</f>
        <v>49.284315985764017</v>
      </c>
      <c r="G24" s="19">
        <f>F24/C24-1</f>
        <v>-1.1809528894267229E-2</v>
      </c>
      <c r="H24" s="18">
        <f>SUM(H21:H23)</f>
        <v>59857.93</v>
      </c>
      <c r="I24" s="18">
        <f>SUM(I21:I23)</f>
        <v>59151.036046113979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241.1+206.8+52.1+3051.6</f>
        <v>3551.6</v>
      </c>
      <c r="E26" s="29">
        <f t="shared" ref="E26:E32" si="7">D26/$D$48</f>
        <v>0.19232872854876176</v>
      </c>
      <c r="F26" s="28">
        <f t="shared" ref="F26:F31" si="8">C26-(C26*$E$6)</f>
        <v>37.15596171357555</v>
      </c>
      <c r="G26" s="27" t="str">
        <f t="shared" ref="G26:G31" si="9">IF(C26&gt;=F26,"-","+")</f>
        <v>-</v>
      </c>
      <c r="H26" s="26">
        <f t="shared" ref="H26:H31" si="10">C26*D26</f>
        <v>133540.16</v>
      </c>
      <c r="I26" s="26">
        <f t="shared" ref="I26:I31" si="11">F26*D26</f>
        <v>131963.11362193493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2995.3</v>
      </c>
      <c r="E27" s="29">
        <f t="shared" si="7"/>
        <v>0.16220358165956361</v>
      </c>
      <c r="F27" s="28">
        <f t="shared" si="8"/>
        <v>33.10438078204205</v>
      </c>
      <c r="G27" s="27" t="str">
        <f t="shared" si="9"/>
        <v>-</v>
      </c>
      <c r="H27" s="26">
        <f t="shared" si="10"/>
        <v>100342.55</v>
      </c>
      <c r="I27" s="26">
        <f t="shared" si="11"/>
        <v>99157.551756450557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2375.3000000000002</v>
      </c>
      <c r="E28" s="29">
        <f t="shared" si="7"/>
        <v>0.12862890779419808</v>
      </c>
      <c r="F28" s="28">
        <f t="shared" si="8"/>
        <v>33.10438078204205</v>
      </c>
      <c r="G28" s="27" t="str">
        <f t="shared" si="9"/>
        <v>-</v>
      </c>
      <c r="H28" s="26">
        <f t="shared" si="10"/>
        <v>79572.55</v>
      </c>
      <c r="I28" s="26">
        <f t="shared" si="11"/>
        <v>78632.835671584486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1781.9</v>
      </c>
      <c r="E29" s="29">
        <f t="shared" si="7"/>
        <v>9.6494695743056261E-2</v>
      </c>
      <c r="F29" s="28">
        <f t="shared" si="8"/>
        <v>31.918552216715167</v>
      </c>
      <c r="G29" s="27" t="str">
        <f t="shared" si="9"/>
        <v>-</v>
      </c>
      <c r="H29" s="26">
        <f t="shared" si="10"/>
        <v>57555.369999999995</v>
      </c>
      <c r="I29" s="26">
        <f t="shared" si="11"/>
        <v>56875.668194964761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1332.2</v>
      </c>
      <c r="E30" s="29">
        <f t="shared" si="7"/>
        <v>7.2142226650709657E-2</v>
      </c>
      <c r="F30" s="28">
        <f t="shared" si="8"/>
        <v>31.918552216715167</v>
      </c>
      <c r="G30" s="27" t="str">
        <f t="shared" si="9"/>
        <v>-</v>
      </c>
      <c r="H30" s="26">
        <f t="shared" si="10"/>
        <v>43030.06</v>
      </c>
      <c r="I30" s="26">
        <f t="shared" si="11"/>
        <v>42521.895263107945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277.89999999999998</v>
      </c>
      <c r="E31" s="29">
        <f t="shared" si="7"/>
        <v>1.5049035269653364E-2</v>
      </c>
      <c r="F31" s="28">
        <f t="shared" si="8"/>
        <v>32.511466499378606</v>
      </c>
      <c r="G31" s="27" t="str">
        <f t="shared" si="9"/>
        <v>-</v>
      </c>
      <c r="H31" s="26">
        <f t="shared" si="10"/>
        <v>9142.909999999998</v>
      </c>
      <c r="I31" s="26">
        <f t="shared" si="11"/>
        <v>9034.9365401773139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34.365496743596822</v>
      </c>
      <c r="D32" s="22">
        <f>SUM(D26:D31)</f>
        <v>12314.2</v>
      </c>
      <c r="E32" s="21">
        <f t="shared" si="7"/>
        <v>0.66684717566594276</v>
      </c>
      <c r="F32" s="20">
        <f>I32/D32</f>
        <v>33.959656416837475</v>
      </c>
      <c r="G32" s="19">
        <f>F32/C32-1</f>
        <v>-1.1809528894267007E-2</v>
      </c>
      <c r="H32" s="18">
        <f>SUM(H26:H31)</f>
        <v>423183.6</v>
      </c>
      <c r="I32" s="18">
        <f>SUM(I26:I31)</f>
        <v>418186.00104822003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1829.4</f>
        <v>1829.4</v>
      </c>
      <c r="E34" s="29">
        <f t="shared" ref="E34:E40" si="13">D34/$D$48</f>
        <v>9.9066948982741529E-2</v>
      </c>
      <c r="F34" s="28">
        <f t="shared" ref="F34:F39" si="14">C34-(C34*$E$6)</f>
        <v>19.56617132789351</v>
      </c>
      <c r="G34" s="27" t="str">
        <f t="shared" ref="G34:G39" si="15">IF(C34&gt;=F34,"-","+")</f>
        <v>-</v>
      </c>
      <c r="H34" s="26">
        <f t="shared" ref="H34:H39" si="16">C34*D34</f>
        <v>36222.120000000003</v>
      </c>
      <c r="I34" s="26">
        <f t="shared" ref="I34:I39" si="17">F34*D34</f>
        <v>35794.353827248393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114.8</v>
      </c>
      <c r="E35" s="29">
        <f t="shared" si="13"/>
        <v>6.216729935070912E-3</v>
      </c>
      <c r="F35" s="28">
        <f t="shared" si="14"/>
        <v>15.020495160807137</v>
      </c>
      <c r="G35" s="27" t="str">
        <f t="shared" si="15"/>
        <v>-</v>
      </c>
      <c r="H35" s="26">
        <f t="shared" si="16"/>
        <v>1744.9599999999998</v>
      </c>
      <c r="I35" s="26">
        <f t="shared" si="17"/>
        <v>1724.3528444606593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12.055923747489938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31.918552216715167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31.918552216715167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33.10438078204205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19.528381853718752</v>
      </c>
      <c r="D40" s="22">
        <f>SUM(D34:D39)</f>
        <v>1944.2</v>
      </c>
      <c r="E40" s="113">
        <f t="shared" si="13"/>
        <v>0.10528367891781243</v>
      </c>
      <c r="F40" s="20">
        <f>I40/D40</f>
        <v>19.297760863958981</v>
      </c>
      <c r="G40" s="19">
        <f>F40/C40-1</f>
        <v>-1.1809528894267007E-2</v>
      </c>
      <c r="H40" s="18">
        <f>SUM(H34:H39)</f>
        <v>37967.08</v>
      </c>
      <c r="I40" s="18">
        <f>SUM(I34:I39)</f>
        <v>37518.706671709049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2866</v>
      </c>
      <c r="E42" s="107">
        <f>D42/$D$48</f>
        <v>0.15520163757764141</v>
      </c>
      <c r="F42" s="28">
        <f>C42-(C42*$E$6)</f>
        <v>0.49409523555286639</v>
      </c>
      <c r="G42" s="27" t="str">
        <f>IF(C42&gt;=F42,"-","+")</f>
        <v>-</v>
      </c>
      <c r="H42" s="26">
        <f>C42*D42</f>
        <v>1433</v>
      </c>
      <c r="I42" s="26">
        <f>F42*D42</f>
        <v>1416.0769450945152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137.69999999999999</v>
      </c>
      <c r="E43" s="107">
        <f>D43/$D$48</f>
        <v>7.4568267600981231E-3</v>
      </c>
      <c r="F43" s="28">
        <f>C43-(C43*$E$6)</f>
        <v>0.49409523555286639</v>
      </c>
      <c r="G43" s="27" t="str">
        <f>IF(C43&gt;=F43,"-","+")</f>
        <v>-</v>
      </c>
      <c r="H43" s="26">
        <f>C43*D43</f>
        <v>68.849999999999994</v>
      </c>
      <c r="I43" s="26">
        <f>F43*D43</f>
        <v>68.036913935629698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2.1661079913139067E-4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0.49933504006383617</v>
      </c>
      <c r="D46" s="22">
        <f>SUM(D41:D45)</f>
        <v>3007.7</v>
      </c>
      <c r="E46" s="113">
        <f>D46/$D$48</f>
        <v>0.16287507513687091</v>
      </c>
      <c r="F46" s="20">
        <f>I46/D46</f>
        <v>0.49343812848028223</v>
      </c>
      <c r="G46" s="19">
        <f>F46/C46-1</f>
        <v>-1.1809528894267229E-2</v>
      </c>
      <c r="H46" s="18">
        <f>SUM(H41:H44)</f>
        <v>1501.85</v>
      </c>
      <c r="I46" s="18">
        <f>SUM(I41:I44)</f>
        <v>1484.1138590301448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104.26650975469319</v>
      </c>
      <c r="D48" s="13">
        <f>D24+D32+D40+D46</f>
        <v>18466.300000000003</v>
      </c>
      <c r="E48" s="12">
        <f>SUM(E20:E46)/2</f>
        <v>0.99999999999999989</v>
      </c>
      <c r="F48" s="11">
        <f>I48/D48</f>
        <v>27.961197295888901</v>
      </c>
      <c r="G48" s="10"/>
      <c r="H48" s="9">
        <f>SUM(H20:H46)/2</f>
        <v>522510.45999999996</v>
      </c>
      <c r="I48" s="9">
        <f>SUM(I20:I46)/2</f>
        <v>516339.85762507329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19037.399999999998</v>
      </c>
      <c r="E50" s="12">
        <f>D50/G2</f>
        <v>0.99997898916891648</v>
      </c>
      <c r="F50" s="11">
        <f>I50/D50</f>
        <v>28.000588315631354</v>
      </c>
      <c r="G50" s="10"/>
      <c r="H50" s="9">
        <f>H48+H19</f>
        <v>539428.79999999993</v>
      </c>
      <c r="I50" s="9">
        <f>I48+I19</f>
        <v>533058.40000000026</v>
      </c>
      <c r="J50" s="106">
        <f>D50-G2</f>
        <v>-0.40000000000145519</v>
      </c>
      <c r="K50" s="8"/>
    </row>
    <row r="51" spans="1:11" ht="23.25" x14ac:dyDescent="0.35">
      <c r="A51" s="174" t="s">
        <v>410</v>
      </c>
      <c r="B51" s="169"/>
      <c r="C51" s="170"/>
      <c r="G51" s="7"/>
      <c r="H51" s="6"/>
      <c r="I51" s="6">
        <f>+I50/D50</f>
        <v>28.000588315631354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411</v>
      </c>
      <c r="D2" s="96" t="s">
        <v>3</v>
      </c>
      <c r="E2" s="95" t="s">
        <v>71</v>
      </c>
      <c r="F2" s="94" t="s">
        <v>5</v>
      </c>
      <c r="G2" s="93">
        <v>13671.4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188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72.720212765957442</v>
      </c>
      <c r="F4" s="81" t="s">
        <v>12</v>
      </c>
      <c r="G4" s="80">
        <f>G2*G3</f>
        <v>382799.2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8.8055434504256125E-3</v>
      </c>
      <c r="F6" s="69" t="s">
        <v>16</v>
      </c>
      <c r="G6" s="68">
        <f>(I50-I19)/(D50-(SUM(D42:D44)+D19))</f>
        <v>33.422320009778751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27.753444783388083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28.942878131247571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26.365772544218679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28.942878131247571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32.31293928351613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26.663130881183548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36.475956001024336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53.722739544986936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46.982617240449827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176.9</v>
      </c>
      <c r="E21" s="29">
        <f>D21/$D$48</f>
        <v>1.2939420981026083E-2</v>
      </c>
      <c r="F21" s="28">
        <f>C21-(C21*$E$6)</f>
        <v>69.780089741090038</v>
      </c>
      <c r="G21" s="27" t="str">
        <f>IF(C21&gt;=F21,"-","+")</f>
        <v>-</v>
      </c>
      <c r="H21" s="26">
        <f>C21*D21</f>
        <v>12453.760000000002</v>
      </c>
      <c r="I21" s="26">
        <f>F21*D21</f>
        <v>12344.097875198828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399.7</v>
      </c>
      <c r="E22" s="29">
        <f>D22/$D$48</f>
        <v>2.9236215749667185E-2</v>
      </c>
      <c r="F22" s="28">
        <f>C22-(C22*$E$6)</f>
        <v>46.883497794794863</v>
      </c>
      <c r="G22" s="27" t="str">
        <f>IF(C22&gt;=F22,"-","+")</f>
        <v>-</v>
      </c>
      <c r="H22" s="26">
        <f>C22*D22</f>
        <v>18905.809999999998</v>
      </c>
      <c r="I22" s="26">
        <f>F22*D22</f>
        <v>18739.334068579505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361.3</v>
      </c>
      <c r="E23" s="29">
        <f>D23/$D$48</f>
        <v>2.6427432450224553E-2</v>
      </c>
      <c r="F23" s="28">
        <f>C23-(C23*$E$6)</f>
        <v>42.720481077286657</v>
      </c>
      <c r="G23" s="27" t="str">
        <f>IF(C23&gt;=F23,"-","+")</f>
        <v>-</v>
      </c>
      <c r="H23" s="26">
        <f>C23*D23</f>
        <v>15572.03</v>
      </c>
      <c r="I23" s="26">
        <f>F23*D23</f>
        <v>15434.909813223669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50.039023350037311</v>
      </c>
      <c r="D24" s="22">
        <f>SUM(D21:D23)</f>
        <v>937.90000000000009</v>
      </c>
      <c r="E24" s="21">
        <f>D24/$D$48</f>
        <v>6.8603069180917825E-2</v>
      </c>
      <c r="F24" s="20">
        <f>I24/D24</f>
        <v>49.598402555711694</v>
      </c>
      <c r="G24" s="19">
        <f>F24/C24-1</f>
        <v>-8.8055434504256125E-3</v>
      </c>
      <c r="H24" s="18">
        <f>SUM(H21:H23)</f>
        <v>46931.6</v>
      </c>
      <c r="I24" s="18">
        <f>SUM(I21:I23)</f>
        <v>46518.341757002003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2828.4</v>
      </c>
      <c r="E26" s="29">
        <f t="shared" ref="E26:E32" si="7">D26/$D$48</f>
        <v>0.20688444489957136</v>
      </c>
      <c r="F26" s="28">
        <f t="shared" ref="F26:F31" si="8">C26-(C26*$E$6)</f>
        <v>37.268911566263995</v>
      </c>
      <c r="G26" s="27" t="str">
        <f t="shared" ref="G26:G31" si="9">IF(C26&gt;=F26,"-","+")</f>
        <v>-</v>
      </c>
      <c r="H26" s="26">
        <f t="shared" ref="H26:H31" si="10">C26*D26</f>
        <v>106347.84000000001</v>
      </c>
      <c r="I26" s="26">
        <f t="shared" ref="I26:I31" si="11">F26*D26</f>
        <v>105411.38947402108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2140.1</v>
      </c>
      <c r="E27" s="29">
        <f t="shared" si="7"/>
        <v>0.15653846716503061</v>
      </c>
      <c r="F27" s="28">
        <f t="shared" si="8"/>
        <v>33.205014294410745</v>
      </c>
      <c r="G27" s="27" t="str">
        <f t="shared" si="9"/>
        <v>-</v>
      </c>
      <c r="H27" s="26">
        <f t="shared" si="10"/>
        <v>71693.349999999991</v>
      </c>
      <c r="I27" s="26">
        <f t="shared" si="11"/>
        <v>71062.051091468427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1290.8</v>
      </c>
      <c r="E28" s="29">
        <f t="shared" si="7"/>
        <v>9.4416080284389289E-2</v>
      </c>
      <c r="F28" s="28">
        <f t="shared" si="8"/>
        <v>33.205014294410745</v>
      </c>
      <c r="G28" s="27" t="str">
        <f t="shared" si="9"/>
        <v>-</v>
      </c>
      <c r="H28" s="26">
        <f t="shared" si="10"/>
        <v>43241.799999999996</v>
      </c>
      <c r="I28" s="26">
        <f t="shared" si="11"/>
        <v>42861.032451225386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1179.4000000000001</v>
      </c>
      <c r="E29" s="29">
        <f t="shared" si="7"/>
        <v>8.6267682900068754E-2</v>
      </c>
      <c r="F29" s="28">
        <f t="shared" si="8"/>
        <v>32.015580946551253</v>
      </c>
      <c r="G29" s="27" t="str">
        <f t="shared" si="9"/>
        <v>-</v>
      </c>
      <c r="H29" s="26">
        <f t="shared" si="10"/>
        <v>38094.620000000003</v>
      </c>
      <c r="I29" s="26">
        <f t="shared" si="11"/>
        <v>37759.176168362552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999.6</v>
      </c>
      <c r="E30" s="29">
        <f t="shared" si="7"/>
        <v>7.3116140263616014E-2</v>
      </c>
      <c r="F30" s="28">
        <f t="shared" si="8"/>
        <v>32.015580946551253</v>
      </c>
      <c r="G30" s="27" t="str">
        <f t="shared" si="9"/>
        <v>-</v>
      </c>
      <c r="H30" s="26">
        <f t="shared" si="10"/>
        <v>32287.079999999998</v>
      </c>
      <c r="I30" s="26">
        <f t="shared" si="11"/>
        <v>32002.774714172632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419.9</v>
      </c>
      <c r="E31" s="29">
        <f t="shared" si="7"/>
        <v>3.0713752797811484E-2</v>
      </c>
      <c r="F31" s="28">
        <f t="shared" si="8"/>
        <v>32.610297620480999</v>
      </c>
      <c r="G31" s="27" t="str">
        <f t="shared" si="9"/>
        <v>-</v>
      </c>
      <c r="H31" s="26">
        <f t="shared" si="10"/>
        <v>13814.71</v>
      </c>
      <c r="I31" s="26">
        <f t="shared" si="11"/>
        <v>13693.06397083997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34.485493666884921</v>
      </c>
      <c r="D32" s="22">
        <f>SUM(D26:D31)</f>
        <v>8858.2000000000007</v>
      </c>
      <c r="E32" s="21">
        <f t="shared" si="7"/>
        <v>0.64793656831048763</v>
      </c>
      <c r="F32" s="20">
        <f>I32/D32</f>
        <v>34.181830153991783</v>
      </c>
      <c r="G32" s="19">
        <f>F32/C32-1</f>
        <v>-8.8055434504257235E-3</v>
      </c>
      <c r="H32" s="18">
        <f>SUM(H26:H31)</f>
        <v>305479.40000000002</v>
      </c>
      <c r="I32" s="18">
        <f>SUM(I26:I31)</f>
        <v>302789.48787009006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1650.5</v>
      </c>
      <c r="E34" s="29">
        <f t="shared" ref="E34:E40" si="13">D34/$D$48</f>
        <v>0.12072648009713707</v>
      </c>
      <c r="F34" s="28">
        <f t="shared" ref="F34:F39" si="14">C34-(C34*$E$6)</f>
        <v>19.625650239681573</v>
      </c>
      <c r="G34" s="27" t="str">
        <f t="shared" ref="G34:G39" si="15">IF(C34&gt;=F34,"-","+")</f>
        <v>-</v>
      </c>
      <c r="H34" s="26">
        <f t="shared" ref="H34:H39" si="16">C34*D34</f>
        <v>32679.9</v>
      </c>
      <c r="I34" s="26">
        <f t="shared" ref="I34:I39" si="17">F34*D34</f>
        <v>32392.135720594437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15.06615573955353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12.092572369904806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32.015580946551253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32.015580946551253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33.205014294410745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1650.5</v>
      </c>
      <c r="E40" s="113">
        <f t="shared" si="13"/>
        <v>0.12072648009713707</v>
      </c>
      <c r="F40" s="20">
        <f>I40/D40</f>
        <v>19.625650239681573</v>
      </c>
      <c r="G40" s="19">
        <f>F40/C40-1</f>
        <v>-8.8055434504256125E-3</v>
      </c>
      <c r="H40" s="18">
        <f>SUM(H34:H39)</f>
        <v>32679.9</v>
      </c>
      <c r="I40" s="18">
        <f>SUM(I34:I39)</f>
        <v>32392.135720594437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2105</v>
      </c>
      <c r="E42" s="107">
        <f>D42/$D$48</f>
        <v>0.15397106368038385</v>
      </c>
      <c r="F42" s="28">
        <f>C42-(C42*$E$6)</f>
        <v>0.49559722827478719</v>
      </c>
      <c r="G42" s="27" t="str">
        <f>IF(C42&gt;=F42,"-","+")</f>
        <v>-</v>
      </c>
      <c r="H42" s="26">
        <f>C42*D42</f>
        <v>1052.5</v>
      </c>
      <c r="I42" s="26">
        <f>F42*D42</f>
        <v>1043.2321655184271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113</v>
      </c>
      <c r="E43" s="107">
        <f>D43/$D$48</f>
        <v>8.2654300217973285E-3</v>
      </c>
      <c r="F43" s="28">
        <f>C43-(C43*$E$6)</f>
        <v>0.49559722827478719</v>
      </c>
      <c r="G43" s="27" t="str">
        <f>IF(C43&gt;=F43,"-","+")</f>
        <v>-</v>
      </c>
      <c r="H43" s="26">
        <f>C43*D43</f>
        <v>56.5</v>
      </c>
      <c r="I43" s="26">
        <f>F43*D43</f>
        <v>56.002486795050956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6.8</v>
      </c>
      <c r="E45" s="107">
        <f>D45/$D$48</f>
        <v>4.9738870927629934E-4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0.49847177274361737</v>
      </c>
      <c r="D46" s="22">
        <f>SUM(D41:D45)</f>
        <v>2224.8000000000002</v>
      </c>
      <c r="E46" s="113">
        <f>D46/$D$48</f>
        <v>0.1627338824114575</v>
      </c>
      <c r="F46" s="20">
        <f>I46/D46</f>
        <v>0.49408245788991284</v>
      </c>
      <c r="G46" s="19">
        <f>F46/C46-1</f>
        <v>-8.8055434504255015E-3</v>
      </c>
      <c r="H46" s="18">
        <f>SUM(H41:H44)</f>
        <v>1109</v>
      </c>
      <c r="I46" s="18">
        <f>SUM(I41:I44)</f>
        <v>1099.2346523134781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104.82298878966584</v>
      </c>
      <c r="D48" s="13">
        <f>D24+D32+D40+D46</f>
        <v>13671.400000000001</v>
      </c>
      <c r="E48" s="12">
        <f>SUM(E20:E46)/2</f>
        <v>1</v>
      </c>
      <c r="F48" s="11">
        <f>I48/D48</f>
        <v>27.999999999999996</v>
      </c>
      <c r="G48" s="10"/>
      <c r="H48" s="9">
        <f>SUM(H20:H46)/2</f>
        <v>386199.9</v>
      </c>
      <c r="I48" s="9">
        <f>SUM(I20:I46)/2</f>
        <v>382799.2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13671.400000000001</v>
      </c>
      <c r="E50" s="12">
        <f>D50/G2</f>
        <v>1.0000000000000002</v>
      </c>
      <c r="F50" s="11">
        <f>I50/D50</f>
        <v>27.999999999999996</v>
      </c>
      <c r="G50" s="10"/>
      <c r="H50" s="9">
        <f>H48+H19</f>
        <v>386199.9</v>
      </c>
      <c r="I50" s="9">
        <f>I48+I19</f>
        <v>382799.2</v>
      </c>
      <c r="J50" s="106">
        <f>D50-G2</f>
        <v>0</v>
      </c>
      <c r="K50" s="8"/>
    </row>
    <row r="51" spans="1:11" ht="23.25" x14ac:dyDescent="0.35">
      <c r="A51" s="174" t="s">
        <v>412</v>
      </c>
      <c r="B51" s="169"/>
      <c r="C51" s="170"/>
      <c r="G51" s="7"/>
      <c r="H51" s="6"/>
      <c r="I51" s="6">
        <f>+I50/D50</f>
        <v>27.999999999999996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408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411</v>
      </c>
      <c r="D2" s="96" t="s">
        <v>3</v>
      </c>
      <c r="E2" s="95" t="s">
        <v>362</v>
      </c>
      <c r="F2" s="94" t="s">
        <v>5</v>
      </c>
      <c r="G2" s="93">
        <v>21704.7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312</v>
      </c>
      <c r="F3" s="88" t="s">
        <v>8</v>
      </c>
      <c r="G3" s="87">
        <v>27.9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69.566346153846155</v>
      </c>
      <c r="F4" s="81" t="s">
        <v>12</v>
      </c>
      <c r="G4" s="80">
        <f>G2*G3</f>
        <v>605561.13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9.9916661320671452E-3</v>
      </c>
      <c r="F6" s="69" t="s">
        <v>16</v>
      </c>
      <c r="G6" s="68">
        <f>(I50-I19)/(D50-(SUM(D42:D44)+D19))</f>
        <v>32.862939804033282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27.9</v>
      </c>
      <c r="D10" s="30"/>
      <c r="E10" s="29">
        <f t="shared" ref="E10:E19" si="1">D10/$D$19</f>
        <v>0</v>
      </c>
      <c r="F10" s="28">
        <f t="shared" ref="F10:F18" si="2">C10-(C10*$E$6)</f>
        <v>27.621232514915324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29.1</v>
      </c>
      <c r="D11" s="30">
        <v>2212.8000000000002</v>
      </c>
      <c r="E11" s="29">
        <f t="shared" si="1"/>
        <v>0.45808922471793811</v>
      </c>
      <c r="F11" s="28">
        <f t="shared" si="2"/>
        <v>28.809242515556846</v>
      </c>
      <c r="G11" s="27" t="str">
        <f t="shared" si="3"/>
        <v>-</v>
      </c>
      <c r="H11" s="34">
        <f t="shared" si="4"/>
        <v>64392.48000000001</v>
      </c>
      <c r="I11" s="34">
        <f t="shared" si="5"/>
        <v>63749.091838424196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26.5</v>
      </c>
      <c r="D12" s="30">
        <v>2118.5</v>
      </c>
      <c r="E12" s="29">
        <f t="shared" si="1"/>
        <v>0.43856743608322118</v>
      </c>
      <c r="F12" s="28">
        <f t="shared" si="2"/>
        <v>26.235220847500219</v>
      </c>
      <c r="G12" s="27" t="str">
        <f t="shared" si="3"/>
        <v>-</v>
      </c>
      <c r="H12" s="34">
        <f t="shared" si="4"/>
        <v>56140.25</v>
      </c>
      <c r="I12" s="34">
        <f t="shared" si="5"/>
        <v>55579.315365429218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29.1</v>
      </c>
      <c r="D13" s="30"/>
      <c r="E13" s="29">
        <f t="shared" si="1"/>
        <v>0</v>
      </c>
      <c r="F13" s="28">
        <f t="shared" si="2"/>
        <v>28.809242515556846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32.5</v>
      </c>
      <c r="D14" s="30"/>
      <c r="E14" s="29">
        <f t="shared" si="1"/>
        <v>0</v>
      </c>
      <c r="F14" s="28">
        <f t="shared" si="2"/>
        <v>32.175270850707818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26.8</v>
      </c>
      <c r="D15" s="30">
        <v>54</v>
      </c>
      <c r="E15" s="29">
        <f t="shared" si="1"/>
        <v>1.1178966980643825E-2</v>
      </c>
      <c r="F15" s="28">
        <f t="shared" si="2"/>
        <v>26.532223347660601</v>
      </c>
      <c r="G15" s="27" t="str">
        <f t="shared" si="3"/>
        <v>-</v>
      </c>
      <c r="H15" s="34">
        <f t="shared" si="4"/>
        <v>1447.2</v>
      </c>
      <c r="I15" s="34">
        <f t="shared" si="5"/>
        <v>1432.7400607736724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36.700000000000003</v>
      </c>
      <c r="D16" s="30">
        <v>423.2</v>
      </c>
      <c r="E16" s="29">
        <f t="shared" si="1"/>
        <v>8.7609978263119753E-2</v>
      </c>
      <c r="F16" s="28">
        <f t="shared" si="2"/>
        <v>36.333305852953139</v>
      </c>
      <c r="G16" s="27" t="str">
        <f t="shared" si="3"/>
        <v>-</v>
      </c>
      <c r="H16" s="34">
        <f t="shared" si="4"/>
        <v>15531.44</v>
      </c>
      <c r="I16" s="34">
        <f t="shared" si="5"/>
        <v>15376.255036969767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</v>
      </c>
      <c r="D17" s="30">
        <v>22</v>
      </c>
      <c r="E17" s="29">
        <f t="shared" si="1"/>
        <v>4.5543939550771141E-3</v>
      </c>
      <c r="F17" s="28">
        <f t="shared" si="2"/>
        <v>53.460450028868372</v>
      </c>
      <c r="G17" s="27" t="str">
        <f t="shared" si="3"/>
        <v>-</v>
      </c>
      <c r="H17" s="34">
        <f t="shared" si="4"/>
        <v>1188</v>
      </c>
      <c r="I17" s="34">
        <f t="shared" si="5"/>
        <v>1176.1299006351041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47.3</v>
      </c>
      <c r="D18" s="30"/>
      <c r="E18" s="29">
        <f t="shared" si="1"/>
        <v>0</v>
      </c>
      <c r="F18" s="28">
        <f t="shared" si="2"/>
        <v>46.827394191953218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28.713253286409273</v>
      </c>
      <c r="D19" s="49">
        <f>SUM(D10:D18)</f>
        <v>4830.5</v>
      </c>
      <c r="E19" s="48">
        <f t="shared" si="1"/>
        <v>1</v>
      </c>
      <c r="F19" s="47">
        <f>I19/D19</f>
        <v>28.426360046005996</v>
      </c>
      <c r="G19" s="46">
        <f>F19/C19-1</f>
        <v>-9.9916661320670341E-3</v>
      </c>
      <c r="H19" s="9">
        <f>SUM(H10:H18)</f>
        <v>138699.37</v>
      </c>
      <c r="I19" s="9">
        <f>SUM(I10:I18)</f>
        <v>137313.53220223196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70.2</v>
      </c>
      <c r="D21" s="30">
        <v>128</v>
      </c>
      <c r="E21" s="29">
        <f>D21/$D$48</f>
        <v>7.5855447961977454E-3</v>
      </c>
      <c r="F21" s="28">
        <f>C21-(C21*$E$6)</f>
        <v>69.498585037528883</v>
      </c>
      <c r="G21" s="27" t="str">
        <f>IF(C21&gt;=F21,"-","+")</f>
        <v>-</v>
      </c>
      <c r="H21" s="26">
        <f>C21*D21</f>
        <v>8985.6</v>
      </c>
      <c r="I21" s="26">
        <f>F21*D21</f>
        <v>8895.8188848036971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47.1</v>
      </c>
      <c r="D22" s="30">
        <v>521.20000000000005</v>
      </c>
      <c r="E22" s="29">
        <f>D22/$D$48</f>
        <v>3.0887390217017696E-2</v>
      </c>
      <c r="F22" s="28">
        <f>C22-(C22*$E$6)</f>
        <v>46.62939252517964</v>
      </c>
      <c r="G22" s="27" t="str">
        <f>IF(C22&gt;=F22,"-","+")</f>
        <v>-</v>
      </c>
      <c r="H22" s="26">
        <f>C22*D22</f>
        <v>24548.520000000004</v>
      </c>
      <c r="I22" s="26">
        <f>F22*D22</f>
        <v>24303.23938412363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</v>
      </c>
      <c r="D23" s="30">
        <v>256.10000000000002</v>
      </c>
      <c r="E23" s="29">
        <f>D23/$D$48</f>
        <v>1.5177015799267522E-2</v>
      </c>
      <c r="F23" s="28">
        <f>C23-(C23*$E$6)</f>
        <v>42.570358356321115</v>
      </c>
      <c r="G23" s="27" t="str">
        <f>IF(C23&gt;=F23,"-","+")</f>
        <v>-</v>
      </c>
      <c r="H23" s="26">
        <f>C23*D23</f>
        <v>11012.300000000001</v>
      </c>
      <c r="I23" s="26">
        <f>F23*D23</f>
        <v>10902.268775053839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49.206252071136639</v>
      </c>
      <c r="D24" s="22">
        <f>SUM(D21:D23)</f>
        <v>905.30000000000007</v>
      </c>
      <c r="E24" s="21">
        <f>D24/$D$48</f>
        <v>5.3649950812482965E-2</v>
      </c>
      <c r="F24" s="20">
        <f>I24/D24</f>
        <v>48.714599628831508</v>
      </c>
      <c r="G24" s="19">
        <f>F24/C24-1</f>
        <v>-9.9916661320670341E-3</v>
      </c>
      <c r="H24" s="18">
        <f>SUM(H21:H23)</f>
        <v>44546.420000000006</v>
      </c>
      <c r="I24" s="18">
        <f>SUM(I21:I23)</f>
        <v>44101.327043981168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37.4</v>
      </c>
      <c r="D26" s="30">
        <v>3271.8</v>
      </c>
      <c r="E26" s="29">
        <f t="shared" ref="E26:E32" si="7">D26/$D$48</f>
        <v>0.19389363643906082</v>
      </c>
      <c r="F26" s="28">
        <f t="shared" ref="F26:F31" si="8">C26-(C26*$E$6)</f>
        <v>37.026311686660691</v>
      </c>
      <c r="G26" s="27" t="str">
        <f t="shared" ref="G26:G31" si="9">IF(C26&gt;=F26,"-","+")</f>
        <v>-</v>
      </c>
      <c r="H26" s="26">
        <f t="shared" ref="H26:H31" si="10">C26*D26</f>
        <v>122365.32</v>
      </c>
      <c r="I26" s="26">
        <f t="shared" ref="I26:I31" si="11">F26*D26</f>
        <v>121142.68657641645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33.299999999999997</v>
      </c>
      <c r="D27" s="30">
        <v>2818.7</v>
      </c>
      <c r="E27" s="29">
        <f t="shared" si="7"/>
        <v>0.16704199310189519</v>
      </c>
      <c r="F27" s="28">
        <f t="shared" si="8"/>
        <v>32.96727751780216</v>
      </c>
      <c r="G27" s="27" t="str">
        <f t="shared" si="9"/>
        <v>-</v>
      </c>
      <c r="H27" s="26">
        <f t="shared" si="10"/>
        <v>93862.709999999992</v>
      </c>
      <c r="I27" s="26">
        <f t="shared" si="11"/>
        <v>92924.865139428948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33.299999999999997</v>
      </c>
      <c r="D28" s="30">
        <v>1819.5</v>
      </c>
      <c r="E28" s="29">
        <f t="shared" si="7"/>
        <v>0.10782733403657654</v>
      </c>
      <c r="F28" s="28">
        <f t="shared" si="8"/>
        <v>32.96727751780216</v>
      </c>
      <c r="G28" s="27" t="str">
        <f t="shared" si="9"/>
        <v>-</v>
      </c>
      <c r="H28" s="26">
        <f t="shared" si="10"/>
        <v>60589.349999999991</v>
      </c>
      <c r="I28" s="26">
        <f t="shared" si="11"/>
        <v>59983.961443641027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32.200000000000003</v>
      </c>
      <c r="D29" s="30">
        <v>2011.1</v>
      </c>
      <c r="E29" s="29">
        <f t="shared" si="7"/>
        <v>0.11918194640338504</v>
      </c>
      <c r="F29" s="28">
        <f t="shared" si="8"/>
        <v>31.87826835054744</v>
      </c>
      <c r="G29" s="27" t="str">
        <f t="shared" si="9"/>
        <v>-</v>
      </c>
      <c r="H29" s="26">
        <f t="shared" si="10"/>
        <v>64757.420000000006</v>
      </c>
      <c r="I29" s="26">
        <f t="shared" si="11"/>
        <v>64110.385479785953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32.200000000000003</v>
      </c>
      <c r="D30" s="30">
        <v>1173</v>
      </c>
      <c r="E30" s="29">
        <f t="shared" si="7"/>
        <v>6.9514406608905899E-2</v>
      </c>
      <c r="F30" s="28">
        <f t="shared" si="8"/>
        <v>31.87826835054744</v>
      </c>
      <c r="G30" s="27" t="str">
        <f t="shared" si="9"/>
        <v>-</v>
      </c>
      <c r="H30" s="26">
        <f t="shared" si="10"/>
        <v>37770.600000000006</v>
      </c>
      <c r="I30" s="26">
        <f t="shared" si="11"/>
        <v>37393.20877519215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32.799999999999997</v>
      </c>
      <c r="D31" s="30">
        <v>271</v>
      </c>
      <c r="E31" s="29">
        <f t="shared" si="7"/>
        <v>1.6060020623199913E-2</v>
      </c>
      <c r="F31" s="28">
        <f t="shared" si="8"/>
        <v>32.472273350868193</v>
      </c>
      <c r="G31" s="27" t="str">
        <f t="shared" si="9"/>
        <v>-</v>
      </c>
      <c r="H31" s="26">
        <f t="shared" si="10"/>
        <v>8888.7999999999993</v>
      </c>
      <c r="I31" s="26">
        <f t="shared" si="11"/>
        <v>8799.9860780852796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34.16020976498227</v>
      </c>
      <c r="D32" s="22">
        <f>SUM(D26:D31)</f>
        <v>11365.1</v>
      </c>
      <c r="E32" s="21">
        <f t="shared" si="7"/>
        <v>0.67351933721302337</v>
      </c>
      <c r="F32" s="20">
        <f>I32/D32</f>
        <v>33.818892354009186</v>
      </c>
      <c r="G32" s="19">
        <f>F32/C32-1</f>
        <v>-9.9916661320671452E-3</v>
      </c>
      <c r="H32" s="18">
        <f>SUM(H26:H31)</f>
        <v>388234.2</v>
      </c>
      <c r="I32" s="18">
        <f>SUM(I26:I31)</f>
        <v>384355.09349254984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19.7</v>
      </c>
      <c r="D34" s="30">
        <v>1973.6</v>
      </c>
      <c r="E34" s="29">
        <f t="shared" ref="E34:E40" si="13">D34/$D$48</f>
        <v>0.11695961882637398</v>
      </c>
      <c r="F34" s="28">
        <f t="shared" ref="F34:F39" si="14">C34-(C34*$E$6)</f>
        <v>19.503164177198276</v>
      </c>
      <c r="G34" s="27" t="str">
        <f t="shared" ref="G34:G39" si="15">IF(C34&gt;=F34,"-","+")</f>
        <v>-</v>
      </c>
      <c r="H34" s="26">
        <f t="shared" ref="H34:H39" si="16">C34*D34</f>
        <v>38879.919999999998</v>
      </c>
      <c r="I34" s="26">
        <f t="shared" ref="I34:I39" si="17">F34*D34</f>
        <v>38491.444820118515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15.048126674792579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12.07810167318878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32.200000000000003</v>
      </c>
      <c r="D37" s="30"/>
      <c r="E37" s="29">
        <f t="shared" si="13"/>
        <v>0</v>
      </c>
      <c r="F37" s="28">
        <f t="shared" si="14"/>
        <v>31.87826835054744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32.200000000000003</v>
      </c>
      <c r="D38" s="30"/>
      <c r="E38" s="29">
        <f t="shared" si="13"/>
        <v>0</v>
      </c>
      <c r="F38" s="28">
        <f t="shared" si="14"/>
        <v>31.87826835054744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33.299999999999997</v>
      </c>
      <c r="D39" s="30"/>
      <c r="E39" s="29">
        <f t="shared" si="13"/>
        <v>0</v>
      </c>
      <c r="F39" s="28">
        <f t="shared" si="14"/>
        <v>32.96727751780216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19.7</v>
      </c>
      <c r="D40" s="22">
        <f>SUM(D34:D39)</f>
        <v>1973.6</v>
      </c>
      <c r="E40" s="113">
        <f t="shared" si="13"/>
        <v>0.11695961882637398</v>
      </c>
      <c r="F40" s="20">
        <f>I40/D40</f>
        <v>19.503164177198276</v>
      </c>
      <c r="G40" s="19">
        <f>F40/C40-1</f>
        <v>-9.9916661320671452E-3</v>
      </c>
      <c r="H40" s="18">
        <f>SUM(H34:H39)</f>
        <v>38879.919999999998</v>
      </c>
      <c r="I40" s="18">
        <f>SUM(I34:I39)</f>
        <v>38491.444820118515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2527</v>
      </c>
      <c r="E42" s="107">
        <f>D42/$D$48</f>
        <v>0.14975524765618517</v>
      </c>
      <c r="F42" s="28">
        <f>C42-(C42*$E$6)</f>
        <v>0.49500416693396643</v>
      </c>
      <c r="G42" s="27" t="str">
        <f>IF(C42&gt;=F42,"-","+")</f>
        <v>-</v>
      </c>
      <c r="H42" s="26">
        <f>C42*D42</f>
        <v>1263.5</v>
      </c>
      <c r="I42" s="26">
        <f>F42*D42</f>
        <v>1250.8755298421331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98.7</v>
      </c>
      <c r="E43" s="107">
        <f>D43/$D$48</f>
        <v>5.8491661826931057E-3</v>
      </c>
      <c r="F43" s="28">
        <f>C43-(C43*$E$6)</f>
        <v>0.49500416693396643</v>
      </c>
      <c r="G43" s="27" t="str">
        <f>IF(C43&gt;=F43,"-","+")</f>
        <v>-</v>
      </c>
      <c r="H43" s="26">
        <f>C43*D43</f>
        <v>49.35</v>
      </c>
      <c r="I43" s="26">
        <f>F43*D43</f>
        <v>48.85691127638249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</v>
      </c>
      <c r="E45" s="107">
        <f>D45/$D$48</f>
        <v>2.6667930924132696E-4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0.49914455174511446</v>
      </c>
      <c r="D46" s="22">
        <f>SUM(D41:D45)</f>
        <v>2630.2</v>
      </c>
      <c r="E46" s="113">
        <f>D46/$D$48</f>
        <v>0.15587109314811959</v>
      </c>
      <c r="F46" s="20">
        <f>I46/D46</f>
        <v>0.49415726603243698</v>
      </c>
      <c r="G46" s="19">
        <f>F46/C46-1</f>
        <v>-9.9916661320671452E-3</v>
      </c>
      <c r="H46" s="18">
        <f>SUM(H41:H44)</f>
        <v>1312.85</v>
      </c>
      <c r="I46" s="18">
        <f>SUM(I41:I44)</f>
        <v>1299.7324411185157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103.56560638786402</v>
      </c>
      <c r="D48" s="13">
        <f>D24+D32+D40+D46</f>
        <v>16874.2</v>
      </c>
      <c r="E48" s="12">
        <f>SUM(E20:E46)/2</f>
        <v>1</v>
      </c>
      <c r="F48" s="11">
        <f>I48/D48</f>
        <v>27.749321318804327</v>
      </c>
      <c r="G48" s="10"/>
      <c r="H48" s="9">
        <f>SUM(H20:H46)/2</f>
        <v>472973.39</v>
      </c>
      <c r="I48" s="9">
        <f>SUM(I20:I46)/2</f>
        <v>468247.59779776802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21704.699999999997</v>
      </c>
      <c r="E50" s="12">
        <f>D50/G2</f>
        <v>0.99999999999999978</v>
      </c>
      <c r="F50" s="11">
        <f>I50/D50</f>
        <v>27.900000000000006</v>
      </c>
      <c r="G50" s="10"/>
      <c r="H50" s="9">
        <f>H48+H19</f>
        <v>611672.76</v>
      </c>
      <c r="I50" s="9">
        <f>I48+I19</f>
        <v>605561.13</v>
      </c>
      <c r="J50" s="106">
        <f>D50-G2</f>
        <v>0</v>
      </c>
      <c r="K50" s="8"/>
    </row>
    <row r="51" spans="1:11" ht="23.25" x14ac:dyDescent="0.35">
      <c r="A51" s="174" t="s">
        <v>413</v>
      </c>
      <c r="B51" s="169"/>
      <c r="C51" s="170"/>
      <c r="G51" s="7"/>
      <c r="H51" s="6"/>
      <c r="I51" s="6">
        <f>+I50/D50</f>
        <v>27.900000000000006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414</v>
      </c>
      <c r="D2" s="96" t="s">
        <v>3</v>
      </c>
      <c r="E2" s="95" t="s">
        <v>71</v>
      </c>
      <c r="F2" s="94" t="s">
        <v>5</v>
      </c>
      <c r="G2" s="93">
        <v>8484.6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124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68.424193548387095</v>
      </c>
      <c r="F4" s="81" t="s">
        <v>12</v>
      </c>
      <c r="G4" s="80">
        <f>G2*G3</f>
        <v>237568.80000000002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-2.830836437831552E-3</v>
      </c>
      <c r="F6" s="69" t="s">
        <v>16</v>
      </c>
      <c r="G6" s="68">
        <f>(I50-I19)/(D50-(SUM(D42:D44)+D19))</f>
        <v>33.691672575499261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28.079263420259284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44.8</v>
      </c>
      <c r="E11" s="29">
        <f t="shared" si="1"/>
        <v>0.55445544554455439</v>
      </c>
      <c r="F11" s="28">
        <f t="shared" si="2"/>
        <v>29.28266042398468</v>
      </c>
      <c r="G11" s="27" t="str">
        <f t="shared" si="3"/>
        <v>+</v>
      </c>
      <c r="H11" s="34">
        <f t="shared" si="4"/>
        <v>1308.1599999999999</v>
      </c>
      <c r="I11" s="34">
        <f t="shared" si="5"/>
        <v>1311.8631869945136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26.67530024924632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29.28266042398468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32.692285267873309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36</v>
      </c>
      <c r="E15" s="29">
        <f t="shared" si="1"/>
        <v>0.44554455445544555</v>
      </c>
      <c r="F15" s="28">
        <f t="shared" si="2"/>
        <v>26.976149500177666</v>
      </c>
      <c r="G15" s="27" t="str">
        <f t="shared" si="3"/>
        <v>+</v>
      </c>
      <c r="H15" s="34">
        <f t="shared" si="4"/>
        <v>968.4</v>
      </c>
      <c r="I15" s="34">
        <f t="shared" si="5"/>
        <v>971.14138200639593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36.9041747809122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54.35343133493047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47.534181647153211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28.175247524752475</v>
      </c>
      <c r="D19" s="49">
        <f>SUM(D10:D18)</f>
        <v>80.8</v>
      </c>
      <c r="E19" s="48">
        <f t="shared" si="1"/>
        <v>1</v>
      </c>
      <c r="F19" s="47">
        <f>I19/D19</f>
        <v>28.255007042090469</v>
      </c>
      <c r="G19" s="46">
        <f>F19/C19-1</f>
        <v>2.830836437831552E-3</v>
      </c>
      <c r="H19" s="9">
        <f>SUM(H10:H18)</f>
        <v>2276.56</v>
      </c>
      <c r="I19" s="9">
        <f>SUM(I10:I18)</f>
        <v>2283.0045690009097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91</v>
      </c>
      <c r="E21" s="29">
        <f>D21/$D$48</f>
        <v>1.0828434755705753E-2</v>
      </c>
      <c r="F21" s="28">
        <f>C21-(C21*$E$6)</f>
        <v>70.599290885223354</v>
      </c>
      <c r="G21" s="27" t="str">
        <f>IF(C21&gt;=F21,"-","+")</f>
        <v>+</v>
      </c>
      <c r="H21" s="26">
        <f>C21*D21</f>
        <v>6406.4000000000005</v>
      </c>
      <c r="I21" s="26">
        <f>F21*D21</f>
        <v>6424.5354705553254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273.60000000000002</v>
      </c>
      <c r="E22" s="29">
        <f>D22/$D$48</f>
        <v>3.2556700540231805E-2</v>
      </c>
      <c r="F22" s="28">
        <f>C22-(C22*$E$6)</f>
        <v>47.43389856350943</v>
      </c>
      <c r="G22" s="27" t="str">
        <f>IF(C22&gt;=F22,"-","+")</f>
        <v>+</v>
      </c>
      <c r="H22" s="26">
        <f>C22*D22</f>
        <v>12941.28</v>
      </c>
      <c r="I22" s="26">
        <f>F22*D22</f>
        <v>12977.914646976182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191.1</v>
      </c>
      <c r="E23" s="29">
        <f>D23/$D$48</f>
        <v>2.2739712986982082E-2</v>
      </c>
      <c r="F23" s="28">
        <f>C23-(C23*$E$6)</f>
        <v>43.22200905047054</v>
      </c>
      <c r="G23" s="27" t="str">
        <f>IF(C23&gt;=F23,"-","+")</f>
        <v>+</v>
      </c>
      <c r="H23" s="26">
        <f>C23*D23</f>
        <v>8236.41</v>
      </c>
      <c r="I23" s="26">
        <f>F23*D23</f>
        <v>8259.7259295449203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49.638456001439621</v>
      </c>
      <c r="D24" s="22">
        <f>SUM(D21:D23)</f>
        <v>555.70000000000005</v>
      </c>
      <c r="E24" s="21">
        <f>D24/$D$48</f>
        <v>6.6124848282919646E-2</v>
      </c>
      <c r="F24" s="20">
        <f>I24/D24</f>
        <v>49.778974351406198</v>
      </c>
      <c r="G24" s="19">
        <f>F24/C24-1</f>
        <v>2.830836437831552E-3</v>
      </c>
      <c r="H24" s="18">
        <f>SUM(H21:H23)</f>
        <v>27584.09</v>
      </c>
      <c r="I24" s="18">
        <f>SUM(I21:I23)</f>
        <v>27662.176047076427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108.1+1331.4</f>
        <v>1439.5</v>
      </c>
      <c r="E26" s="29">
        <f t="shared" ref="E26:E32" si="7">D26/$D$48</f>
        <v>0.1712915585806421</v>
      </c>
      <c r="F26" s="28">
        <f t="shared" ref="F26:F31" si="8">C26-(C26*$E$6)</f>
        <v>37.706439450062469</v>
      </c>
      <c r="G26" s="27" t="str">
        <f t="shared" ref="G26:G31" si="9">IF(C26&gt;=F26,"-","+")</f>
        <v>+</v>
      </c>
      <c r="H26" s="26">
        <f t="shared" ref="H26:H31" si="10">C26*D26</f>
        <v>54125.200000000004</v>
      </c>
      <c r="I26" s="26">
        <f t="shared" ref="I26:I31" si="11">F26*D26</f>
        <v>54278.419588364923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1402.7</v>
      </c>
      <c r="E27" s="29">
        <f t="shared" si="7"/>
        <v>0.16691258716295013</v>
      </c>
      <c r="F27" s="28">
        <f t="shared" si="8"/>
        <v>33.594833020667359</v>
      </c>
      <c r="G27" s="27" t="str">
        <f t="shared" si="9"/>
        <v>+</v>
      </c>
      <c r="H27" s="26">
        <f t="shared" si="10"/>
        <v>46990.450000000004</v>
      </c>
      <c r="I27" s="26">
        <f t="shared" si="11"/>
        <v>47123.472278090107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1119</v>
      </c>
      <c r="E28" s="29">
        <f t="shared" si="7"/>
        <v>0.13315404935862349</v>
      </c>
      <c r="F28" s="28">
        <f t="shared" si="8"/>
        <v>33.594833020667359</v>
      </c>
      <c r="G28" s="27" t="str">
        <f t="shared" si="9"/>
        <v>+</v>
      </c>
      <c r="H28" s="26">
        <f t="shared" si="10"/>
        <v>37486.5</v>
      </c>
      <c r="I28" s="26">
        <f t="shared" si="11"/>
        <v>37592.618150126771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816.4</v>
      </c>
      <c r="E29" s="29">
        <f t="shared" si="7"/>
        <v>9.7146528951188749E-2</v>
      </c>
      <c r="F29" s="28">
        <f t="shared" si="8"/>
        <v>32.39143601694196</v>
      </c>
      <c r="G29" s="27" t="str">
        <f t="shared" si="9"/>
        <v>+</v>
      </c>
      <c r="H29" s="26">
        <f t="shared" si="10"/>
        <v>26369.719999999998</v>
      </c>
      <c r="I29" s="26">
        <f t="shared" si="11"/>
        <v>26444.368364231414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565.5</v>
      </c>
      <c r="E30" s="29">
        <f t="shared" si="7"/>
        <v>6.7290987410457179E-2</v>
      </c>
      <c r="F30" s="28">
        <f t="shared" si="8"/>
        <v>32.39143601694196</v>
      </c>
      <c r="G30" s="27" t="str">
        <f t="shared" si="9"/>
        <v>+</v>
      </c>
      <c r="H30" s="26">
        <f t="shared" si="10"/>
        <v>18265.649999999998</v>
      </c>
      <c r="I30" s="26">
        <f t="shared" si="11"/>
        <v>18317.357067580677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133.5</v>
      </c>
      <c r="E31" s="29">
        <f t="shared" si="7"/>
        <v>1.5885670767985912E-2</v>
      </c>
      <c r="F31" s="28">
        <f t="shared" si="8"/>
        <v>32.993134518804659</v>
      </c>
      <c r="G31" s="27" t="str">
        <f t="shared" si="9"/>
        <v>+</v>
      </c>
      <c r="H31" s="26">
        <f t="shared" si="10"/>
        <v>4392.1499999999996</v>
      </c>
      <c r="I31" s="26">
        <f t="shared" si="11"/>
        <v>4404.583458260422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34.260247233685142</v>
      </c>
      <c r="D32" s="22">
        <f>SUM(D26:D31)</f>
        <v>5476.5999999999995</v>
      </c>
      <c r="E32" s="21">
        <f t="shared" si="7"/>
        <v>0.65168138223184746</v>
      </c>
      <c r="F32" s="20">
        <f>I32/D32</f>
        <v>34.357232389923375</v>
      </c>
      <c r="G32" s="19">
        <f>F32/C32-1</f>
        <v>2.830836437831552E-3</v>
      </c>
      <c r="H32" s="18">
        <f>SUM(H26:H31)</f>
        <v>187629.67</v>
      </c>
      <c r="I32" s="18">
        <f>SUM(I26:I31)</f>
        <v>188160.81890665434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945.2</v>
      </c>
      <c r="E34" s="29">
        <f t="shared" ref="E34:E40" si="13">D34/$D$48</f>
        <v>0.11247292891311075</v>
      </c>
      <c r="F34" s="28">
        <f t="shared" ref="F34:F39" si="14">C34-(C34*$E$6)</f>
        <v>19.856050561469065</v>
      </c>
      <c r="G34" s="27" t="str">
        <f t="shared" ref="G34:G39" si="15">IF(C34&gt;=F34,"-","+")</f>
        <v>+</v>
      </c>
      <c r="H34" s="26">
        <f t="shared" ref="H34:H39" si="16">C34*D34</f>
        <v>18714.960000000003</v>
      </c>
      <c r="I34" s="26">
        <f t="shared" ref="I34:I39" si="17">F34*D34</f>
        <v>18767.938990700561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15.24302871385504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12.234536204541545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32.39143601694196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32.39143601694196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33.594833020667359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945.2</v>
      </c>
      <c r="E40" s="113">
        <f t="shared" si="13"/>
        <v>0.11247292891311075</v>
      </c>
      <c r="F40" s="20">
        <f>I40/D40</f>
        <v>19.856050561469065</v>
      </c>
      <c r="G40" s="19">
        <f>F40/C40-1</f>
        <v>2.830836437831552E-3</v>
      </c>
      <c r="H40" s="18">
        <f>SUM(H34:H39)</f>
        <v>18714.960000000003</v>
      </c>
      <c r="I40" s="18">
        <f>SUM(I34:I39)</f>
        <v>18767.938990700561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1317</v>
      </c>
      <c r="E42" s="107">
        <f>D42/$D$48</f>
        <v>0.15671481948642282</v>
      </c>
      <c r="F42" s="28">
        <f>C42-(C42*$E$6)</f>
        <v>0.50141541821891578</v>
      </c>
      <c r="G42" s="27" t="str">
        <f>IF(C42&gt;=F42,"-","+")</f>
        <v>+</v>
      </c>
      <c r="H42" s="26">
        <f>C42*D42</f>
        <v>658.5</v>
      </c>
      <c r="I42" s="26">
        <f>F42*D42</f>
        <v>660.36410579431208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68.8</v>
      </c>
      <c r="E43" s="107">
        <f>D43/$D$48</f>
        <v>8.1867726504676452E-3</v>
      </c>
      <c r="F43" s="28">
        <f>C43-(C43*$E$6)</f>
        <v>0.50141541821891578</v>
      </c>
      <c r="G43" s="27" t="str">
        <f>IF(C43&gt;=F43,"-","+")</f>
        <v>+</v>
      </c>
      <c r="H43" s="26">
        <f>C43*D43</f>
        <v>34.4</v>
      </c>
      <c r="I43" s="26">
        <f>F43*D43</f>
        <v>34.497380773461401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34.5</v>
      </c>
      <c r="E44" s="107">
        <f>D44/$D$48</f>
        <v>4.105285704086247E-3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7.139627311454343E-4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0.48580242585711281</v>
      </c>
      <c r="D46" s="22">
        <f>SUM(D41:D45)</f>
        <v>1426.3</v>
      </c>
      <c r="E46" s="113">
        <f>D46/$D$48</f>
        <v>0.16972084057212214</v>
      </c>
      <c r="F46" s="20">
        <f>I46/D46</f>
        <v>0.48717765306581606</v>
      </c>
      <c r="G46" s="19">
        <f>F46/C46-1</f>
        <v>2.830836437831552E-3</v>
      </c>
      <c r="H46" s="18">
        <f>SUM(H41:H44)</f>
        <v>692.9</v>
      </c>
      <c r="I46" s="18">
        <f>SUM(I41:I44)</f>
        <v>694.86148656777345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104.18450566098188</v>
      </c>
      <c r="D48" s="13">
        <f>D24+D32+D40+D46</f>
        <v>8403.7999999999993</v>
      </c>
      <c r="E48" s="12">
        <f>SUM(E20:E46)/2</f>
        <v>1</v>
      </c>
      <c r="F48" s="11">
        <f>I48/D48</f>
        <v>27.997548184273676</v>
      </c>
      <c r="G48" s="10"/>
      <c r="H48" s="9">
        <f>SUM(H20:H46)/2</f>
        <v>234621.62000000005</v>
      </c>
      <c r="I48" s="9">
        <f>SUM(I20:I46)/2</f>
        <v>235285.7954309991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8484.6</v>
      </c>
      <c r="E50" s="12">
        <f>D50/G2</f>
        <v>1</v>
      </c>
      <c r="F50" s="11">
        <f>I50/D50</f>
        <v>28</v>
      </c>
      <c r="G50" s="10"/>
      <c r="H50" s="9">
        <f>H48+H19</f>
        <v>236898.18000000005</v>
      </c>
      <c r="I50" s="9">
        <f>I48+I19</f>
        <v>237568.80000000002</v>
      </c>
      <c r="J50" s="106">
        <f>D50-G2</f>
        <v>0</v>
      </c>
      <c r="K50" s="8"/>
    </row>
    <row r="51" spans="1:11" ht="23.25" x14ac:dyDescent="0.35">
      <c r="A51" s="174" t="s">
        <v>415</v>
      </c>
      <c r="B51" s="169"/>
      <c r="C51" s="170"/>
      <c r="G51" s="7"/>
      <c r="H51" s="6"/>
      <c r="I51" s="6">
        <f>+I50/D50</f>
        <v>28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414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414</v>
      </c>
      <c r="D2" s="96" t="s">
        <v>3</v>
      </c>
      <c r="E2" s="95" t="s">
        <v>112</v>
      </c>
      <c r="F2" s="94" t="s">
        <v>5</v>
      </c>
      <c r="G2" s="93">
        <v>2856.3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48</v>
      </c>
      <c r="F3" s="88" t="s">
        <v>8</v>
      </c>
      <c r="G3" s="87">
        <v>23.48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59.506250000000001</v>
      </c>
      <c r="F4" s="81" t="s">
        <v>12</v>
      </c>
      <c r="G4" s="80">
        <f>G2*G3</f>
        <v>67065.923999999999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-0.11053599575695494</v>
      </c>
      <c r="F6" s="69" t="s">
        <v>16</v>
      </c>
      <c r="G6" s="68">
        <f>(I50-I19)/(D50-(SUM(D42:D44)+D19))</f>
        <v>30.358935313023416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23.5</v>
      </c>
      <c r="D10" s="30"/>
      <c r="E10" s="29" t="e">
        <f t="shared" ref="E10:E19" si="1">D10/$D$19</f>
        <v>#DIV/0!</v>
      </c>
      <c r="F10" s="28">
        <f t="shared" ref="F10:F18" si="2">C10-(C10*$E$6)</f>
        <v>26.097595900288439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24.5</v>
      </c>
      <c r="D11" s="30"/>
      <c r="E11" s="29" t="e">
        <f t="shared" si="1"/>
        <v>#DIV/0!</v>
      </c>
      <c r="F11" s="28">
        <f t="shared" si="2"/>
        <v>27.208131896045394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22.3</v>
      </c>
      <c r="D12" s="30"/>
      <c r="E12" s="29" t="e">
        <f t="shared" si="1"/>
        <v>#DIV/0!</v>
      </c>
      <c r="F12" s="28">
        <f t="shared" si="2"/>
        <v>24.764952705380097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24.5</v>
      </c>
      <c r="D13" s="30"/>
      <c r="E13" s="29" t="e">
        <f t="shared" si="1"/>
        <v>#DIV/0!</v>
      </c>
      <c r="F13" s="28">
        <f t="shared" si="2"/>
        <v>27.208131896045394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27.3</v>
      </c>
      <c r="D14" s="30"/>
      <c r="E14" s="29" t="e">
        <f t="shared" si="1"/>
        <v>#DIV/0!</v>
      </c>
      <c r="F14" s="28">
        <f t="shared" si="2"/>
        <v>30.31763268416487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22.5</v>
      </c>
      <c r="D15" s="30"/>
      <c r="E15" s="29" t="e">
        <f t="shared" si="1"/>
        <v>#DIV/0!</v>
      </c>
      <c r="F15" s="28">
        <f t="shared" si="2"/>
        <v>24.987059904531485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30.9</v>
      </c>
      <c r="D16" s="30"/>
      <c r="E16" s="29" t="e">
        <f t="shared" si="1"/>
        <v>#DIV/0!</v>
      </c>
      <c r="F16" s="28">
        <f t="shared" si="2"/>
        <v>34.315562268889906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45.4</v>
      </c>
      <c r="D17" s="30"/>
      <c r="E17" s="29" t="e">
        <f t="shared" si="1"/>
        <v>#DIV/0!</v>
      </c>
      <c r="F17" s="28">
        <f t="shared" si="2"/>
        <v>50.418334207365753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39.799999999999997</v>
      </c>
      <c r="D18" s="30"/>
      <c r="E18" s="29" t="e">
        <f t="shared" si="1"/>
        <v>#DIV/0!</v>
      </c>
      <c r="F18" s="28">
        <f t="shared" si="2"/>
        <v>44.199332631126801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59.1</v>
      </c>
      <c r="D21" s="30">
        <v>32.1</v>
      </c>
      <c r="E21" s="29">
        <f>D21/$D$48</f>
        <v>1.1239495798319328E-2</v>
      </c>
      <c r="F21" s="28">
        <f>C21-(C21*$E$6)</f>
        <v>65.632677349236033</v>
      </c>
      <c r="G21" s="27" t="str">
        <f>IF(C21&gt;=F21,"-","+")</f>
        <v>+</v>
      </c>
      <c r="H21" s="26">
        <f>C21*D21</f>
        <v>1897.1100000000001</v>
      </c>
      <c r="I21" s="26">
        <f>F21*D21</f>
        <v>2106.8089429104766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39.700000000000003</v>
      </c>
      <c r="D22" s="30">
        <v>70</v>
      </c>
      <c r="E22" s="29">
        <f>D22/$D$48</f>
        <v>2.4509803921568627E-2</v>
      </c>
      <c r="F22" s="28">
        <f>C22-(C22*$E$6)</f>
        <v>44.088279031551117</v>
      </c>
      <c r="G22" s="27" t="str">
        <f>IF(C22&gt;=F22,"-","+")</f>
        <v>+</v>
      </c>
      <c r="H22" s="26">
        <f>C22*D22</f>
        <v>2779</v>
      </c>
      <c r="I22" s="26">
        <f>F22*D22</f>
        <v>3086.1795322085782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36.200000000000003</v>
      </c>
      <c r="D23" s="30">
        <v>66.7</v>
      </c>
      <c r="E23" s="29">
        <f>D23/$D$48</f>
        <v>2.3354341736694678E-2</v>
      </c>
      <c r="F23" s="28">
        <f>C23-(C23*$E$6)</f>
        <v>40.201403046401772</v>
      </c>
      <c r="G23" s="27" t="str">
        <f>IF(C23&gt;=F23,"-","+")</f>
        <v>+</v>
      </c>
      <c r="H23" s="26">
        <f>C23*D23</f>
        <v>2414.5400000000004</v>
      </c>
      <c r="I23" s="26">
        <f>F23*D23</f>
        <v>2681.4335831949984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42.006220379146924</v>
      </c>
      <c r="D24" s="22">
        <f>SUM(D21:D23)</f>
        <v>168.8</v>
      </c>
      <c r="E24" s="21">
        <f>D24/$D$48</f>
        <v>5.9103641456582638E-2</v>
      </c>
      <c r="F24" s="20">
        <f>I24/D24</f>
        <v>46.649419776742015</v>
      </c>
      <c r="G24" s="19">
        <f>F24/C24-1</f>
        <v>0.11053599575695472</v>
      </c>
      <c r="H24" s="18">
        <f>SUM(H21:H23)</f>
        <v>7090.6500000000015</v>
      </c>
      <c r="I24" s="18">
        <f>SUM(I21:I23)</f>
        <v>7874.4220583140532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31.5</v>
      </c>
      <c r="D26" s="30">
        <v>534.20000000000005</v>
      </c>
      <c r="E26" s="29">
        <f t="shared" ref="E26:E32" si="7">D26/$D$48</f>
        <v>0.1870448179271709</v>
      </c>
      <c r="F26" s="28">
        <f t="shared" ref="F26:F31" si="8">C26-(C26*$E$6)</f>
        <v>34.981883866344077</v>
      </c>
      <c r="G26" s="27" t="str">
        <f t="shared" ref="G26:G31" si="9">IF(C26&gt;=F26,"-","+")</f>
        <v>+</v>
      </c>
      <c r="H26" s="26">
        <f t="shared" ref="H26:H31" si="10">C26*D26</f>
        <v>16827.300000000003</v>
      </c>
      <c r="I26" s="26">
        <f t="shared" ref="I26:I31" si="11">F26*D26</f>
        <v>18687.322361401009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28.1</v>
      </c>
      <c r="D27" s="30">
        <v>447</v>
      </c>
      <c r="E27" s="29">
        <f t="shared" si="7"/>
        <v>0.15651260504201681</v>
      </c>
      <c r="F27" s="28">
        <f t="shared" si="8"/>
        <v>31.206061480770437</v>
      </c>
      <c r="G27" s="27" t="str">
        <f t="shared" si="9"/>
        <v>+</v>
      </c>
      <c r="H27" s="26">
        <f t="shared" si="10"/>
        <v>12560.7</v>
      </c>
      <c r="I27" s="26">
        <f t="shared" si="11"/>
        <v>13949.109481904385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28.1</v>
      </c>
      <c r="D28" s="30">
        <v>208</v>
      </c>
      <c r="E28" s="29">
        <f t="shared" si="7"/>
        <v>7.2829131652661069E-2</v>
      </c>
      <c r="F28" s="28">
        <f t="shared" si="8"/>
        <v>31.206061480770437</v>
      </c>
      <c r="G28" s="27" t="str">
        <f t="shared" si="9"/>
        <v>+</v>
      </c>
      <c r="H28" s="26">
        <f t="shared" si="10"/>
        <v>5844.8</v>
      </c>
      <c r="I28" s="26">
        <f t="shared" si="11"/>
        <v>6490.860788000251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27.1</v>
      </c>
      <c r="D29" s="30">
        <v>200</v>
      </c>
      <c r="E29" s="29">
        <f t="shared" si="7"/>
        <v>7.0028011204481794E-2</v>
      </c>
      <c r="F29" s="28">
        <f t="shared" si="8"/>
        <v>30.095525485013482</v>
      </c>
      <c r="G29" s="27" t="str">
        <f t="shared" si="9"/>
        <v>+</v>
      </c>
      <c r="H29" s="26">
        <f t="shared" si="10"/>
        <v>5420</v>
      </c>
      <c r="I29" s="26">
        <f t="shared" si="11"/>
        <v>6019.1050970026963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27.1</v>
      </c>
      <c r="D30" s="30">
        <v>134</v>
      </c>
      <c r="E30" s="29">
        <f t="shared" si="7"/>
        <v>4.6918767507002801E-2</v>
      </c>
      <c r="F30" s="28">
        <f t="shared" si="8"/>
        <v>30.095525485013482</v>
      </c>
      <c r="G30" s="27" t="str">
        <f t="shared" si="9"/>
        <v>+</v>
      </c>
      <c r="H30" s="26">
        <f t="shared" si="10"/>
        <v>3631.4</v>
      </c>
      <c r="I30" s="26">
        <f t="shared" si="11"/>
        <v>4032.8004149918065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27.6</v>
      </c>
      <c r="D31" s="30">
        <v>45</v>
      </c>
      <c r="E31" s="29">
        <f t="shared" si="7"/>
        <v>1.5756302521008403E-2</v>
      </c>
      <c r="F31" s="28">
        <f t="shared" si="8"/>
        <v>30.650793482891959</v>
      </c>
      <c r="G31" s="27" t="str">
        <f t="shared" si="9"/>
        <v>+</v>
      </c>
      <c r="H31" s="26">
        <f t="shared" si="10"/>
        <v>1242</v>
      </c>
      <c r="I31" s="26">
        <f t="shared" si="11"/>
        <v>1379.2857067301381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29.030863410279302</v>
      </c>
      <c r="D32" s="22">
        <f>SUM(D26:D31)</f>
        <v>1568.2</v>
      </c>
      <c r="E32" s="21">
        <f t="shared" si="7"/>
        <v>0.54908963585434178</v>
      </c>
      <c r="F32" s="20">
        <f>I32/D32</f>
        <v>32.239818805018672</v>
      </c>
      <c r="G32" s="19">
        <f>F32/C32-1</f>
        <v>0.11053599575695494</v>
      </c>
      <c r="H32" s="18">
        <f>SUM(H26:H31)</f>
        <v>45526.200000000004</v>
      </c>
      <c r="I32" s="18">
        <f>SUM(I26:I31)</f>
        <v>50558.483850030287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16.600000000000001</v>
      </c>
      <c r="D34" s="30">
        <f>202.4+214.3</f>
        <v>416.70000000000005</v>
      </c>
      <c r="E34" s="29">
        <f t="shared" ref="E34:E40" si="13">D34/$D$48</f>
        <v>0.14590336134453782</v>
      </c>
      <c r="F34" s="28">
        <f t="shared" ref="F34:F39" si="14">C34-(C34*$E$6)</f>
        <v>18.434897529565454</v>
      </c>
      <c r="G34" s="27" t="str">
        <f t="shared" ref="G34:G39" si="15">IF(C34&gt;=F34,"-","+")</f>
        <v>+</v>
      </c>
      <c r="H34" s="26">
        <f t="shared" ref="H34:H39" si="16">C34*D34</f>
        <v>6917.2200000000012</v>
      </c>
      <c r="I34" s="26">
        <f t="shared" ref="I34:I39" si="17">F34*D34</f>
        <v>7681.8218005699255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12.8</v>
      </c>
      <c r="D35" s="30">
        <v>46.7</v>
      </c>
      <c r="E35" s="29">
        <f t="shared" si="13"/>
        <v>1.6351540616246499E-2</v>
      </c>
      <c r="F35" s="28">
        <f t="shared" si="14"/>
        <v>14.214860745689023</v>
      </c>
      <c r="G35" s="27" t="str">
        <f t="shared" si="15"/>
        <v>+</v>
      </c>
      <c r="H35" s="26">
        <f t="shared" si="16"/>
        <v>597.7600000000001</v>
      </c>
      <c r="I35" s="26">
        <f t="shared" si="17"/>
        <v>663.83399682367747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10.3</v>
      </c>
      <c r="D36" s="30"/>
      <c r="E36" s="29">
        <f t="shared" si="13"/>
        <v>0</v>
      </c>
      <c r="F36" s="28">
        <f t="shared" si="14"/>
        <v>11.438520756296636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27.1</v>
      </c>
      <c r="D37" s="30"/>
      <c r="E37" s="29">
        <f t="shared" si="13"/>
        <v>0</v>
      </c>
      <c r="F37" s="28">
        <f t="shared" si="14"/>
        <v>30.095525485013482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27.1</v>
      </c>
      <c r="D38" s="30"/>
      <c r="E38" s="29">
        <f t="shared" si="13"/>
        <v>0</v>
      </c>
      <c r="F38" s="28">
        <f t="shared" si="14"/>
        <v>30.095525485013482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28.1</v>
      </c>
      <c r="D39" s="30"/>
      <c r="E39" s="29">
        <f t="shared" si="13"/>
        <v>0</v>
      </c>
      <c r="F39" s="28">
        <f t="shared" si="14"/>
        <v>31.206061480770437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16.217047906776006</v>
      </c>
      <c r="D40" s="22">
        <f>SUM(D34:D39)</f>
        <v>463.40000000000003</v>
      </c>
      <c r="E40" s="113">
        <f t="shared" si="13"/>
        <v>0.16225490196078432</v>
      </c>
      <c r="F40" s="20">
        <f>I40/D40</f>
        <v>18.009615445389734</v>
      </c>
      <c r="G40" s="19">
        <f>F40/C40-1</f>
        <v>0.11053599575695494</v>
      </c>
      <c r="H40" s="18">
        <f>SUM(H34:H39)</f>
        <v>7514.9800000000014</v>
      </c>
      <c r="I40" s="18">
        <f>SUM(I34:I39)</f>
        <v>8345.6557973936033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265+45.1+304.7</f>
        <v>614.79999999999995</v>
      </c>
      <c r="E42" s="107">
        <f>D42/$D$48</f>
        <v>0.21526610644257702</v>
      </c>
      <c r="F42" s="28">
        <f>C42-(C42*$E$6)</f>
        <v>0.44421439830278198</v>
      </c>
      <c r="G42" s="27" t="str">
        <f>IF(C42&gt;=F42,"-","+")</f>
        <v>+</v>
      </c>
      <c r="H42" s="26">
        <f>C42*D42</f>
        <v>245.92</v>
      </c>
      <c r="I42" s="26">
        <f>F42*D42</f>
        <v>273.10301207655033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32.1</v>
      </c>
      <c r="E43" s="107">
        <f>D43/$D$48</f>
        <v>1.1239495798319328E-2</v>
      </c>
      <c r="F43" s="28">
        <f>C43-(C43*$E$6)</f>
        <v>0.44421439830278198</v>
      </c>
      <c r="G43" s="27" t="str">
        <f>IF(C43&gt;=F43,"-","+")</f>
        <v>+</v>
      </c>
      <c r="H43" s="26">
        <f>C43*D43</f>
        <v>12.840000000000002</v>
      </c>
      <c r="I43" s="26">
        <f>F43*D43</f>
        <v>14.259282185519302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8.6999999999999993</v>
      </c>
      <c r="E45" s="107">
        <f>D45/$D$48</f>
        <v>3.0462184873949576E-3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0.39469188529591209</v>
      </c>
      <c r="D46" s="22">
        <f>SUM(D41:D45)</f>
        <v>655.6</v>
      </c>
      <c r="E46" s="113">
        <f>D46/$D$48</f>
        <v>0.22955182072829133</v>
      </c>
      <c r="F46" s="20">
        <f>I46/D46</f>
        <v>0.43831954585428556</v>
      </c>
      <c r="G46" s="19">
        <f>F46/C46-1</f>
        <v>0.11053599575695494</v>
      </c>
      <c r="H46" s="18">
        <f>SUM(H41:H44)</f>
        <v>258.76</v>
      </c>
      <c r="I46" s="18">
        <f>SUM(I41:I44)</f>
        <v>287.36229426206961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87.648823581498135</v>
      </c>
      <c r="D48" s="13">
        <f>D24+D32+D40+D46</f>
        <v>2856</v>
      </c>
      <c r="E48" s="12">
        <f>SUM(E20:E46)/2</f>
        <v>0.99999999999999989</v>
      </c>
      <c r="F48" s="11">
        <f>I48/D48</f>
        <v>23.482466386554631</v>
      </c>
      <c r="G48" s="10"/>
      <c r="H48" s="9">
        <f>SUM(H20:H46)/2</f>
        <v>60390.59</v>
      </c>
      <c r="I48" s="9">
        <f>SUM(I20:I46)/2</f>
        <v>67065.924000000028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2856</v>
      </c>
      <c r="E50" s="12">
        <f>D50/G2</f>
        <v>0.99989496901585961</v>
      </c>
      <c r="F50" s="11">
        <f>I50/D50</f>
        <v>23.482466386554631</v>
      </c>
      <c r="G50" s="10"/>
      <c r="H50" s="9">
        <f>H48+H19</f>
        <v>60390.59</v>
      </c>
      <c r="I50" s="9">
        <f>I48+I19</f>
        <v>67065.924000000028</v>
      </c>
      <c r="J50" s="106">
        <f>D50-G2</f>
        <v>-0.3000000000001819</v>
      </c>
      <c r="K50" s="8"/>
    </row>
    <row r="51" spans="1:11" ht="23.25" x14ac:dyDescent="0.35">
      <c r="A51" s="174" t="s">
        <v>416</v>
      </c>
      <c r="B51" s="169"/>
      <c r="C51" s="170"/>
      <c r="G51" s="7"/>
      <c r="H51" s="6"/>
      <c r="I51" s="6">
        <f>+I50/D50</f>
        <v>23.482466386554631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414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414</v>
      </c>
      <c r="D2" s="96" t="s">
        <v>3</v>
      </c>
      <c r="E2" s="95" t="s">
        <v>362</v>
      </c>
      <c r="F2" s="94" t="s">
        <v>5</v>
      </c>
      <c r="G2" s="93">
        <v>19916.5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272</v>
      </c>
      <c r="F3" s="88" t="s">
        <v>8</v>
      </c>
      <c r="G3" s="87">
        <v>27.9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73.222426470588232</v>
      </c>
      <c r="F4" s="81" t="s">
        <v>12</v>
      </c>
      <c r="G4" s="80">
        <f>G2*G3</f>
        <v>555670.35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-4.0157533183251548E-3</v>
      </c>
      <c r="F6" s="69" t="s">
        <v>16</v>
      </c>
      <c r="G6" s="68">
        <f>(I50-I19)/(D50-(SUM(D42:D44)+D19))</f>
        <v>33.067062889872638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27.9</v>
      </c>
      <c r="D10" s="30"/>
      <c r="E10" s="29">
        <f t="shared" ref="E10:E19" si="1">D10/$D$19</f>
        <v>0</v>
      </c>
      <c r="F10" s="28">
        <f t="shared" ref="F10:F18" si="2">C10-(C10*$E$6)</f>
        <v>28.012039517581272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29.1</v>
      </c>
      <c r="D11" s="30"/>
      <c r="E11" s="29">
        <f t="shared" si="1"/>
        <v>0</v>
      </c>
      <c r="F11" s="28">
        <f t="shared" si="2"/>
        <v>29.216858421563263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26.5</v>
      </c>
      <c r="D12" s="30"/>
      <c r="E12" s="29">
        <f t="shared" si="1"/>
        <v>0</v>
      </c>
      <c r="F12" s="28">
        <f t="shared" si="2"/>
        <v>26.606417462935617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29.1</v>
      </c>
      <c r="D13" s="30"/>
      <c r="E13" s="29">
        <f t="shared" si="1"/>
        <v>0</v>
      </c>
      <c r="F13" s="28">
        <f t="shared" si="2"/>
        <v>29.216858421563263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32.5</v>
      </c>
      <c r="D14" s="30"/>
      <c r="E14" s="29">
        <f t="shared" si="1"/>
        <v>0</v>
      </c>
      <c r="F14" s="28">
        <f t="shared" si="2"/>
        <v>32.630511982845569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26.8</v>
      </c>
      <c r="D15" s="30">
        <v>114.8</v>
      </c>
      <c r="E15" s="29">
        <f t="shared" si="1"/>
        <v>0.49913043478260866</v>
      </c>
      <c r="F15" s="28">
        <f t="shared" si="2"/>
        <v>26.907622188931114</v>
      </c>
      <c r="G15" s="27" t="str">
        <f t="shared" si="3"/>
        <v>+</v>
      </c>
      <c r="H15" s="34">
        <f t="shared" si="4"/>
        <v>3076.64</v>
      </c>
      <c r="I15" s="34">
        <f t="shared" si="5"/>
        <v>3088.995027289292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36.700000000000003</v>
      </c>
      <c r="D16" s="30">
        <v>10</v>
      </c>
      <c r="E16" s="29">
        <f t="shared" si="1"/>
        <v>4.3478260869565216E-2</v>
      </c>
      <c r="F16" s="28">
        <f t="shared" si="2"/>
        <v>36.847378146782539</v>
      </c>
      <c r="G16" s="27" t="str">
        <f t="shared" si="3"/>
        <v>+</v>
      </c>
      <c r="H16" s="34">
        <f t="shared" si="4"/>
        <v>367</v>
      </c>
      <c r="I16" s="34">
        <f t="shared" si="5"/>
        <v>368.4737814678254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</v>
      </c>
      <c r="D17" s="30">
        <v>105.2</v>
      </c>
      <c r="E17" s="29">
        <f t="shared" si="1"/>
        <v>0.4573913043478261</v>
      </c>
      <c r="F17" s="28">
        <f t="shared" si="2"/>
        <v>54.216850679189555</v>
      </c>
      <c r="G17" s="27" t="str">
        <f t="shared" si="3"/>
        <v>+</v>
      </c>
      <c r="H17" s="34">
        <f t="shared" si="4"/>
        <v>5680.8</v>
      </c>
      <c r="I17" s="34">
        <f t="shared" si="5"/>
        <v>5703.6126914507413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47.3</v>
      </c>
      <c r="D18" s="30"/>
      <c r="E18" s="29">
        <f t="shared" si="1"/>
        <v>0</v>
      </c>
      <c r="F18" s="28">
        <f t="shared" si="2"/>
        <v>47.48994513195678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39.67147826086957</v>
      </c>
      <c r="D19" s="49">
        <f>SUM(D10:D18)</f>
        <v>230</v>
      </c>
      <c r="E19" s="48">
        <f t="shared" si="1"/>
        <v>1</v>
      </c>
      <c r="F19" s="47">
        <f>I19/D19</f>
        <v>39.83078913133852</v>
      </c>
      <c r="G19" s="46">
        <f>F19/C19-1</f>
        <v>4.0157533183251548E-3</v>
      </c>
      <c r="H19" s="9">
        <f>SUM(H10:H18)</f>
        <v>9124.44</v>
      </c>
      <c r="I19" s="9">
        <f>SUM(I10:I18)</f>
        <v>9161.0815002078598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70.2</v>
      </c>
      <c r="D21" s="30">
        <v>221.1</v>
      </c>
      <c r="E21" s="29">
        <f>D21/$D$48</f>
        <v>1.12310466563381E-2</v>
      </c>
      <c r="F21" s="28">
        <f>C21-(C21*$E$6)</f>
        <v>70.481905882946435</v>
      </c>
      <c r="G21" s="27" t="str">
        <f>IF(C21&gt;=F21,"-","+")</f>
        <v>+</v>
      </c>
      <c r="H21" s="26">
        <f>C21*D21</f>
        <v>15521.22</v>
      </c>
      <c r="I21" s="26">
        <f>F21*D21</f>
        <v>15583.549390719456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47.1</v>
      </c>
      <c r="D22" s="30">
        <v>569.1</v>
      </c>
      <c r="E22" s="29">
        <f>D22/$D$48</f>
        <v>2.8908135016381786E-2</v>
      </c>
      <c r="F22" s="28">
        <f>C22-(C22*$E$6)</f>
        <v>47.289141981293113</v>
      </c>
      <c r="G22" s="27" t="str">
        <f>IF(C22&gt;=F22,"-","+")</f>
        <v>+</v>
      </c>
      <c r="H22" s="26">
        <f>C22*D22</f>
        <v>26804.61</v>
      </c>
      <c r="I22" s="26">
        <f>F22*D22</f>
        <v>26912.250701553912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</v>
      </c>
      <c r="D23" s="30">
        <v>477.6</v>
      </c>
      <c r="E23" s="29">
        <f>D23/$D$48</f>
        <v>2.426027988723237E-2</v>
      </c>
      <c r="F23" s="28">
        <f>C23-(C23*$E$6)</f>
        <v>43.17267739268798</v>
      </c>
      <c r="G23" s="27" t="str">
        <f>IF(C23&gt;=F23,"-","+")</f>
        <v>+</v>
      </c>
      <c r="H23" s="26">
        <f>C23*D23</f>
        <v>20536.8</v>
      </c>
      <c r="I23" s="26">
        <f>F23*D23</f>
        <v>20619.27072274778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49.584027449124463</v>
      </c>
      <c r="D24" s="22">
        <f>SUM(D21:D23)</f>
        <v>1267.8000000000002</v>
      </c>
      <c r="E24" s="21">
        <f>D24/$D$48</f>
        <v>6.4399461559952256E-2</v>
      </c>
      <c r="F24" s="20">
        <f>I24/D24</f>
        <v>49.783144671889211</v>
      </c>
      <c r="G24" s="19">
        <f>F24/C24-1</f>
        <v>4.0157533183251548E-3</v>
      </c>
      <c r="H24" s="18">
        <f>SUM(H21:H23)</f>
        <v>62862.630000000005</v>
      </c>
      <c r="I24" s="18">
        <f>SUM(I21:I23)</f>
        <v>63115.07081502115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37.4</v>
      </c>
      <c r="D26" s="30">
        <f>269.2+86.4+3483.3</f>
        <v>3838.9</v>
      </c>
      <c r="E26" s="29">
        <f t="shared" ref="E26:E32" si="7">D26/$D$48</f>
        <v>0.1950016508775049</v>
      </c>
      <c r="F26" s="28">
        <f t="shared" ref="F26:F31" si="8">C26-(C26*$E$6)</f>
        <v>37.550189174105363</v>
      </c>
      <c r="G26" s="27" t="str">
        <f t="shared" ref="G26:G31" si="9">IF(C26&gt;=F26,"-","+")</f>
        <v>+</v>
      </c>
      <c r="H26" s="26">
        <f t="shared" ref="H26:H31" si="10">C26*D26</f>
        <v>143574.85999999999</v>
      </c>
      <c r="I26" s="26">
        <f t="shared" ref="I26:I31" si="11">F26*D26</f>
        <v>144151.42122047307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33.299999999999997</v>
      </c>
      <c r="D27" s="30">
        <v>2973.5</v>
      </c>
      <c r="E27" s="29">
        <f t="shared" si="7"/>
        <v>0.15104259263962613</v>
      </c>
      <c r="F27" s="28">
        <f t="shared" si="8"/>
        <v>33.433724585500222</v>
      </c>
      <c r="G27" s="27" t="str">
        <f t="shared" si="9"/>
        <v>+</v>
      </c>
      <c r="H27" s="26">
        <f t="shared" si="10"/>
        <v>99017.549999999988</v>
      </c>
      <c r="I27" s="26">
        <f t="shared" si="11"/>
        <v>99415.180054984914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33.299999999999997</v>
      </c>
      <c r="D28" s="30">
        <v>2122.6</v>
      </c>
      <c r="E28" s="29">
        <f t="shared" si="7"/>
        <v>0.10782007975008254</v>
      </c>
      <c r="F28" s="28">
        <f t="shared" si="8"/>
        <v>33.433724585500222</v>
      </c>
      <c r="G28" s="27" t="str">
        <f t="shared" si="9"/>
        <v>+</v>
      </c>
      <c r="H28" s="26">
        <f t="shared" si="10"/>
        <v>70682.579999999987</v>
      </c>
      <c r="I28" s="26">
        <f t="shared" si="11"/>
        <v>70966.423805182771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32.200000000000003</v>
      </c>
      <c r="D29" s="30">
        <v>1806.2</v>
      </c>
      <c r="E29" s="29">
        <f t="shared" si="7"/>
        <v>9.1748152287100301E-2</v>
      </c>
      <c r="F29" s="28">
        <f t="shared" si="8"/>
        <v>32.329307256850072</v>
      </c>
      <c r="G29" s="27" t="str">
        <f t="shared" si="9"/>
        <v>+</v>
      </c>
      <c r="H29" s="26">
        <f t="shared" si="10"/>
        <v>58159.640000000007</v>
      </c>
      <c r="I29" s="26">
        <f t="shared" si="11"/>
        <v>58393.194767322602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32.200000000000003</v>
      </c>
      <c r="D30" s="30">
        <v>1261</v>
      </c>
      <c r="E30" s="29">
        <f t="shared" si="7"/>
        <v>6.4054047189698524E-2</v>
      </c>
      <c r="F30" s="28">
        <f t="shared" si="8"/>
        <v>32.329307256850072</v>
      </c>
      <c r="G30" s="27" t="str">
        <f t="shared" si="9"/>
        <v>+</v>
      </c>
      <c r="H30" s="26">
        <f t="shared" si="10"/>
        <v>40604.200000000004</v>
      </c>
      <c r="I30" s="26">
        <f t="shared" si="11"/>
        <v>40767.256450887944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32.799999999999997</v>
      </c>
      <c r="D31" s="30">
        <v>351</v>
      </c>
      <c r="E31" s="29">
        <f t="shared" si="7"/>
        <v>1.7829477052802682E-2</v>
      </c>
      <c r="F31" s="28">
        <f t="shared" si="8"/>
        <v>32.931716708841066</v>
      </c>
      <c r="G31" s="27" t="str">
        <f t="shared" si="9"/>
        <v>+</v>
      </c>
      <c r="H31" s="26">
        <f t="shared" si="10"/>
        <v>11512.8</v>
      </c>
      <c r="I31" s="26">
        <f t="shared" si="11"/>
        <v>11559.032564803214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34.28679451478159</v>
      </c>
      <c r="D32" s="22">
        <f>SUM(D26:D31)</f>
        <v>12353.2</v>
      </c>
      <c r="E32" s="21">
        <f t="shared" si="7"/>
        <v>0.62749599979681514</v>
      </c>
      <c r="F32" s="20">
        <f>I32/D32</f>
        <v>34.424481823629066</v>
      </c>
      <c r="G32" s="19">
        <f>F32/C32-1</f>
        <v>4.0157533183253769E-3</v>
      </c>
      <c r="H32" s="18">
        <f>SUM(H26:H31)</f>
        <v>423551.63</v>
      </c>
      <c r="I32" s="18">
        <f>SUM(I26:I31)</f>
        <v>425252.50886365457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19.7</v>
      </c>
      <c r="D34" s="30">
        <f>899.9+1828.3</f>
        <v>2728.2</v>
      </c>
      <c r="E34" s="29">
        <f t="shared" ref="E34:E40" si="13">D34/$D$48</f>
        <v>0.13858227719503213</v>
      </c>
      <c r="F34" s="28">
        <f t="shared" ref="F34:F39" si="14">C34-(C34*$E$6)</f>
        <v>19.779110340371005</v>
      </c>
      <c r="G34" s="27" t="str">
        <f t="shared" ref="G34:G39" si="15">IF(C34&gt;=F34,"-","+")</f>
        <v>+</v>
      </c>
      <c r="H34" s="26">
        <f t="shared" ref="H34:H39" si="16">C34*D34</f>
        <v>53745.539999999994</v>
      </c>
      <c r="I34" s="26">
        <f t="shared" ref="I34:I39" si="17">F34*D34</f>
        <v>53961.368830600171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170</v>
      </c>
      <c r="E35" s="29">
        <f t="shared" si="13"/>
        <v>8.6353592563431798E-3</v>
      </c>
      <c r="F35" s="28">
        <f t="shared" si="14"/>
        <v>15.261039450438542</v>
      </c>
      <c r="G35" s="27" t="str">
        <f t="shared" si="15"/>
        <v>+</v>
      </c>
      <c r="H35" s="26">
        <f t="shared" si="16"/>
        <v>2584</v>
      </c>
      <c r="I35" s="26">
        <f t="shared" si="17"/>
        <v>2594.3767065745519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12.248992190483566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32.200000000000003</v>
      </c>
      <c r="D37" s="30"/>
      <c r="E37" s="29">
        <f t="shared" si="13"/>
        <v>0</v>
      </c>
      <c r="F37" s="28">
        <f t="shared" si="14"/>
        <v>32.329307256850072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32.200000000000003</v>
      </c>
      <c r="D38" s="30"/>
      <c r="E38" s="29">
        <f t="shared" si="13"/>
        <v>0</v>
      </c>
      <c r="F38" s="28">
        <f t="shared" si="14"/>
        <v>32.329307256850072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33.299999999999997</v>
      </c>
      <c r="D39" s="30"/>
      <c r="E39" s="29">
        <f t="shared" si="13"/>
        <v>0</v>
      </c>
      <c r="F39" s="28">
        <f t="shared" si="14"/>
        <v>33.433724585500222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19.436043061210405</v>
      </c>
      <c r="D40" s="22">
        <f>SUM(D34:D39)</f>
        <v>2898.2</v>
      </c>
      <c r="E40" s="113">
        <f t="shared" si="13"/>
        <v>0.14721763645137531</v>
      </c>
      <c r="F40" s="20">
        <f>I40/D40</f>
        <v>19.514093415628572</v>
      </c>
      <c r="G40" s="19">
        <f>F40/C40-1</f>
        <v>4.0157533183251548E-3</v>
      </c>
      <c r="H40" s="18">
        <f>SUM(H34:H39)</f>
        <v>56329.539999999994</v>
      </c>
      <c r="I40" s="18">
        <f>SUM(I34:I39)</f>
        <v>56555.74553717472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181.6+1099.5+1755</f>
        <v>3036.1</v>
      </c>
      <c r="E42" s="107">
        <f>D42/$D$48</f>
        <v>0.15422243669519722</v>
      </c>
      <c r="F42" s="28">
        <f>C42-(C42*$E$6)</f>
        <v>0.50200787665916258</v>
      </c>
      <c r="G42" s="27" t="str">
        <f>IF(C42&gt;=F42,"-","+")</f>
        <v>+</v>
      </c>
      <c r="H42" s="26">
        <f>C42*D42</f>
        <v>1518.05</v>
      </c>
      <c r="I42" s="26">
        <f>F42*D42</f>
        <v>1524.1461143248835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123.1</v>
      </c>
      <c r="E43" s="107">
        <f>D43/$D$48</f>
        <v>6.2530160262108548E-3</v>
      </c>
      <c r="F43" s="28">
        <f>C43-(C43*$E$6)</f>
        <v>0.50200787665916258</v>
      </c>
      <c r="G43" s="27" t="str">
        <f>IF(C43&gt;=F43,"-","+")</f>
        <v>+</v>
      </c>
      <c r="H43" s="26">
        <f>C43*D43</f>
        <v>61.55</v>
      </c>
      <c r="I43" s="26">
        <f>F43*D43</f>
        <v>61.797169616742913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8.1</v>
      </c>
      <c r="E45" s="107">
        <f>D45/$D$48</f>
        <v>4.1144947044929262E-4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0.49872130836990497</v>
      </c>
      <c r="D46" s="22">
        <f>SUM(D41:D45)</f>
        <v>3167.2999999999997</v>
      </c>
      <c r="E46" s="113">
        <f>D46/$D$48</f>
        <v>0.16088690219185736</v>
      </c>
      <c r="F46" s="20">
        <f>I46/D46</f>
        <v>0.50072405011891086</v>
      </c>
      <c r="G46" s="19">
        <f>F46/C46-1</f>
        <v>4.0157533183251548E-3</v>
      </c>
      <c r="H46" s="18">
        <f>SUM(H41:H44)</f>
        <v>1579.6</v>
      </c>
      <c r="I46" s="18">
        <f>SUM(I41:I44)</f>
        <v>1585.9432839416263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103.80558633348636</v>
      </c>
      <c r="D48" s="13">
        <f>D24+D32+D40+D46</f>
        <v>19686.5</v>
      </c>
      <c r="E48" s="12">
        <f>SUM(E20:E46)/2</f>
        <v>1.0000000000000002</v>
      </c>
      <c r="F48" s="11">
        <f>I48/D48</f>
        <v>27.76061100245305</v>
      </c>
      <c r="G48" s="10"/>
      <c r="H48" s="9">
        <f>SUM(H20:H46)/2</f>
        <v>544323.40000000014</v>
      </c>
      <c r="I48" s="9">
        <f>SUM(I20:I46)/2</f>
        <v>546509.26849979197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19916.5</v>
      </c>
      <c r="E50" s="12">
        <f>D50/G2</f>
        <v>1</v>
      </c>
      <c r="F50" s="11">
        <f>I50/D50</f>
        <v>27.899999999999991</v>
      </c>
      <c r="G50" s="10"/>
      <c r="H50" s="9">
        <f>H48+H19</f>
        <v>553447.84000000008</v>
      </c>
      <c r="I50" s="9">
        <f>I48+I19</f>
        <v>555670.34999999986</v>
      </c>
      <c r="J50" s="106">
        <f>D50-G2</f>
        <v>0</v>
      </c>
      <c r="K50" s="8"/>
    </row>
    <row r="51" spans="1:11" ht="23.25" x14ac:dyDescent="0.35">
      <c r="A51" s="174" t="s">
        <v>417</v>
      </c>
      <c r="B51" s="169"/>
      <c r="C51" s="170"/>
      <c r="G51" s="7"/>
      <c r="H51" s="6"/>
      <c r="I51" s="6">
        <f>+I50/D50</f>
        <v>27.899999999999991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414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418</v>
      </c>
      <c r="D2" s="96" t="s">
        <v>3</v>
      </c>
      <c r="E2" s="95" t="s">
        <v>71</v>
      </c>
      <c r="F2" s="94" t="s">
        <v>5</v>
      </c>
      <c r="G2" s="93">
        <v>19769.3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284</v>
      </c>
      <c r="F3" s="88" t="s">
        <v>8</v>
      </c>
      <c r="G3" s="87">
        <v>29.35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69.610211267605635</v>
      </c>
      <c r="F4" s="81" t="s">
        <v>12</v>
      </c>
      <c r="G4" s="80">
        <f>G2*G3</f>
        <v>580228.95499999996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-3.9812306060429403E-3</v>
      </c>
      <c r="F6" s="69" t="s">
        <v>16</v>
      </c>
      <c r="G6" s="68">
        <f>(I50-I19)/(D50-(SUM(D42:D44)+D19))</f>
        <v>35.132838359835553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29.4</v>
      </c>
      <c r="D10" s="30"/>
      <c r="E10" s="29">
        <f t="shared" ref="E10:E19" si="1">D10/$D$19</f>
        <v>0</v>
      </c>
      <c r="F10" s="28">
        <f t="shared" ref="F10:F18" si="2">C10-(C10*$E$6)</f>
        <v>29.51704817981766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30.6</v>
      </c>
      <c r="D11" s="30">
        <v>5694.1</v>
      </c>
      <c r="E11" s="29">
        <f t="shared" si="1"/>
        <v>0.4687775280528868</v>
      </c>
      <c r="F11" s="28">
        <f t="shared" si="2"/>
        <v>30.721825656544915</v>
      </c>
      <c r="G11" s="27" t="str">
        <f t="shared" si="3"/>
        <v>+</v>
      </c>
      <c r="H11" s="34">
        <f t="shared" si="4"/>
        <v>174239.46000000002</v>
      </c>
      <c r="I11" s="34">
        <f t="shared" si="5"/>
        <v>174933.14747093242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27.9</v>
      </c>
      <c r="D12" s="30">
        <v>6452.6</v>
      </c>
      <c r="E12" s="29">
        <f t="shared" si="1"/>
        <v>0.53122247194711325</v>
      </c>
      <c r="F12" s="28">
        <f t="shared" si="2"/>
        <v>28.011076333908598</v>
      </c>
      <c r="G12" s="27" t="str">
        <f t="shared" si="3"/>
        <v>+</v>
      </c>
      <c r="H12" s="34">
        <f t="shared" si="4"/>
        <v>180027.54</v>
      </c>
      <c r="I12" s="34">
        <f t="shared" si="5"/>
        <v>180744.27115217864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30.6</v>
      </c>
      <c r="D13" s="30"/>
      <c r="E13" s="29">
        <f t="shared" si="1"/>
        <v>0</v>
      </c>
      <c r="F13" s="28">
        <f t="shared" si="2"/>
        <v>30.721825656544915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34.200000000000003</v>
      </c>
      <c r="D14" s="30"/>
      <c r="E14" s="29">
        <f t="shared" si="1"/>
        <v>0</v>
      </c>
      <c r="F14" s="28">
        <f t="shared" si="2"/>
        <v>34.33615808672667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28.2</v>
      </c>
      <c r="D15" s="30"/>
      <c r="E15" s="29">
        <f t="shared" si="1"/>
        <v>0</v>
      </c>
      <c r="F15" s="28">
        <f t="shared" si="2"/>
        <v>28.312270703090409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38.6</v>
      </c>
      <c r="D16" s="30"/>
      <c r="E16" s="29">
        <f t="shared" si="1"/>
        <v>0</v>
      </c>
      <c r="F16" s="28">
        <f t="shared" si="2"/>
        <v>38.753675501393261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56.8</v>
      </c>
      <c r="D17" s="30"/>
      <c r="E17" s="29">
        <f t="shared" si="1"/>
        <v>0</v>
      </c>
      <c r="F17" s="28">
        <f t="shared" si="2"/>
        <v>57.02613389842324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49.7</v>
      </c>
      <c r="D18" s="30"/>
      <c r="E18" s="29">
        <f t="shared" si="1"/>
        <v>0</v>
      </c>
      <c r="F18" s="28">
        <f t="shared" si="2"/>
        <v>49.897867161120338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29.165699325742793</v>
      </c>
      <c r="D19" s="49">
        <f>SUM(D10:D18)</f>
        <v>12146.7</v>
      </c>
      <c r="E19" s="48">
        <f t="shared" si="1"/>
        <v>1</v>
      </c>
      <c r="F19" s="47">
        <f>I19/D19</f>
        <v>29.281814700545091</v>
      </c>
      <c r="G19" s="46">
        <f>F19/C19-1</f>
        <v>3.9812306060431624E-3</v>
      </c>
      <c r="H19" s="9">
        <f>SUM(H10:H18)</f>
        <v>354267</v>
      </c>
      <c r="I19" s="9">
        <f>SUM(I10:I18)</f>
        <v>355677.41862311109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73.8</v>
      </c>
      <c r="D21" s="30">
        <v>101.6</v>
      </c>
      <c r="E21" s="29">
        <f>D21/$D$48</f>
        <v>1.3328260898083406E-2</v>
      </c>
      <c r="F21" s="28">
        <f>C21-(C21*$E$6)</f>
        <v>74.09381481872596</v>
      </c>
      <c r="G21" s="27" t="str">
        <f>IF(C21&gt;=F21,"-","+")</f>
        <v>+</v>
      </c>
      <c r="H21" s="26">
        <f>C21*D21</f>
        <v>7498.079999999999</v>
      </c>
      <c r="I21" s="26">
        <f>F21*D21</f>
        <v>7527.9315855825571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49.6</v>
      </c>
      <c r="D22" s="30">
        <v>256.89999999999998</v>
      </c>
      <c r="E22" s="29">
        <f>D22/$D$48</f>
        <v>3.3701084888953022E-2</v>
      </c>
      <c r="F22" s="28">
        <f>C22-(C22*$E$6)</f>
        <v>49.797469038059731</v>
      </c>
      <c r="G22" s="27" t="str">
        <f>IF(C22&gt;=F22,"-","+")</f>
        <v>+</v>
      </c>
      <c r="H22" s="26">
        <f>C22*D22</f>
        <v>12742.24</v>
      </c>
      <c r="I22" s="26">
        <f>F22*D22</f>
        <v>12792.969795877543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45.2</v>
      </c>
      <c r="D23" s="30">
        <v>185.1</v>
      </c>
      <c r="E23" s="29">
        <f>D23/$D$48</f>
        <v>2.4282097364520066E-2</v>
      </c>
      <c r="F23" s="28">
        <f>C23-(C23*$E$6)</f>
        <v>45.379951623393147</v>
      </c>
      <c r="G23" s="27" t="str">
        <f>IF(C23&gt;=F23,"-","+")</f>
        <v>+</v>
      </c>
      <c r="H23" s="26">
        <f>C23*D23</f>
        <v>8366.52</v>
      </c>
      <c r="I23" s="26">
        <f>F23*D23</f>
        <v>8399.8290454900707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52.624797645327448</v>
      </c>
      <c r="D24" s="22">
        <f>SUM(D21:D23)</f>
        <v>543.6</v>
      </c>
      <c r="E24" s="21">
        <f>D24/$D$48</f>
        <v>7.1311443151556506E-2</v>
      </c>
      <c r="F24" s="20">
        <f>I24/D24</f>
        <v>52.834309100349827</v>
      </c>
      <c r="G24" s="19">
        <f>F24/C24-1</f>
        <v>3.9812306060427183E-3</v>
      </c>
      <c r="H24" s="18">
        <f>SUM(H21:H23)</f>
        <v>28606.84</v>
      </c>
      <c r="I24" s="18">
        <f>SUM(I21:I23)</f>
        <v>28720.730426950169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39.4</v>
      </c>
      <c r="D26" s="30">
        <v>1362</v>
      </c>
      <c r="E26" s="29">
        <f t="shared" ref="E26:E32" si="7">D26/$D$48</f>
        <v>0.17867215888966143</v>
      </c>
      <c r="F26" s="28">
        <f t="shared" ref="F26:F31" si="8">C26-(C26*$E$6)</f>
        <v>39.55686048587809</v>
      </c>
      <c r="G26" s="27" t="str">
        <f t="shared" ref="G26:G31" si="9">IF(C26&gt;=F26,"-","+")</f>
        <v>+</v>
      </c>
      <c r="H26" s="26">
        <f t="shared" ref="H26:H31" si="10">C26*D26</f>
        <v>53662.799999999996</v>
      </c>
      <c r="I26" s="26">
        <f t="shared" ref="I26:I31" si="11">F26*D26</f>
        <v>53876.443981765959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35.1</v>
      </c>
      <c r="D27" s="30">
        <v>1177</v>
      </c>
      <c r="E27" s="29">
        <f t="shared" si="7"/>
        <v>0.15440317989216704</v>
      </c>
      <c r="F27" s="28">
        <f t="shared" si="8"/>
        <v>35.239741194272106</v>
      </c>
      <c r="G27" s="27" t="str">
        <f t="shared" si="9"/>
        <v>+</v>
      </c>
      <c r="H27" s="26">
        <f t="shared" si="10"/>
        <v>41312.700000000004</v>
      </c>
      <c r="I27" s="26">
        <f t="shared" si="11"/>
        <v>41477.175385658273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35.1</v>
      </c>
      <c r="D28" s="30">
        <v>997</v>
      </c>
      <c r="E28" s="29">
        <f t="shared" si="7"/>
        <v>0.13079011924595627</v>
      </c>
      <c r="F28" s="28">
        <f t="shared" si="8"/>
        <v>35.239741194272106</v>
      </c>
      <c r="G28" s="27" t="str">
        <f t="shared" si="9"/>
        <v>+</v>
      </c>
      <c r="H28" s="26">
        <f t="shared" si="10"/>
        <v>34994.700000000004</v>
      </c>
      <c r="I28" s="26">
        <f t="shared" si="11"/>
        <v>35134.021970689289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33.9</v>
      </c>
      <c r="D29" s="30">
        <v>745</v>
      </c>
      <c r="E29" s="29">
        <f t="shared" si="7"/>
        <v>9.7731834341261203E-2</v>
      </c>
      <c r="F29" s="28">
        <f t="shared" si="8"/>
        <v>34.034963717544855</v>
      </c>
      <c r="G29" s="27" t="str">
        <f t="shared" si="9"/>
        <v>+</v>
      </c>
      <c r="H29" s="26">
        <f t="shared" si="10"/>
        <v>25255.5</v>
      </c>
      <c r="I29" s="26">
        <f t="shared" si="11"/>
        <v>25356.047969570918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33.9</v>
      </c>
      <c r="D30" s="30">
        <v>408</v>
      </c>
      <c r="E30" s="29">
        <f t="shared" si="7"/>
        <v>5.3522937464744388E-2</v>
      </c>
      <c r="F30" s="28">
        <f t="shared" si="8"/>
        <v>34.034963717544855</v>
      </c>
      <c r="G30" s="27" t="str">
        <f t="shared" si="9"/>
        <v>+</v>
      </c>
      <c r="H30" s="26">
        <f t="shared" si="10"/>
        <v>13831.199999999999</v>
      </c>
      <c r="I30" s="26">
        <f t="shared" si="11"/>
        <v>13886.265196758301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34.5</v>
      </c>
      <c r="D31" s="30">
        <v>112.9</v>
      </c>
      <c r="E31" s="29">
        <f t="shared" si="7"/>
        <v>1.4810636371984418E-2</v>
      </c>
      <c r="F31" s="28">
        <f t="shared" si="8"/>
        <v>34.637352455908484</v>
      </c>
      <c r="G31" s="27" t="str">
        <f t="shared" si="9"/>
        <v>+</v>
      </c>
      <c r="H31" s="26">
        <f t="shared" si="10"/>
        <v>3895.05</v>
      </c>
      <c r="I31" s="26">
        <f t="shared" si="11"/>
        <v>3910.5570922720681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36.017399362752251</v>
      </c>
      <c r="D32" s="22">
        <f>SUM(D26:D31)</f>
        <v>4801.8999999999996</v>
      </c>
      <c r="E32" s="21">
        <f t="shared" si="7"/>
        <v>0.62993086620577465</v>
      </c>
      <c r="F32" s="20">
        <f>I32/D32</f>
        <v>36.160792935445301</v>
      </c>
      <c r="G32" s="19">
        <f>F32/C32-1</f>
        <v>3.9812306060427183E-3</v>
      </c>
      <c r="H32" s="18">
        <f>SUM(H26:H31)</f>
        <v>172951.95</v>
      </c>
      <c r="I32" s="18">
        <f>SUM(I26:I31)</f>
        <v>173640.51159671479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1038</v>
      </c>
      <c r="E34" s="29">
        <f t="shared" ref="E34:E40" si="13">D34/$D$48</f>
        <v>0.13616864972648204</v>
      </c>
      <c r="F34" s="28">
        <f t="shared" ref="F34:F39" si="14">C34-(C34*$E$6)</f>
        <v>20.782411473545089</v>
      </c>
      <c r="G34" s="27" t="str">
        <f t="shared" ref="G34:G39" si="15">IF(C34&gt;=F34,"-","+")</f>
        <v>+</v>
      </c>
      <c r="H34" s="26">
        <f t="shared" ref="H34:H39" si="16">C34*D34</f>
        <v>21486.6</v>
      </c>
      <c r="I34" s="26">
        <f t="shared" ref="I34:I39" si="17">F34*D34</f>
        <v>21572.143109539804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/>
      <c r="E35" s="29">
        <f t="shared" si="13"/>
        <v>0</v>
      </c>
      <c r="F35" s="28">
        <f t="shared" si="14"/>
        <v>16.063699689696687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12.850959751757351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33.9</v>
      </c>
      <c r="D37" s="30"/>
      <c r="E37" s="29">
        <f t="shared" si="13"/>
        <v>0</v>
      </c>
      <c r="F37" s="28">
        <f t="shared" si="14"/>
        <v>34.034963717544855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33.9</v>
      </c>
      <c r="D38" s="30"/>
      <c r="E38" s="29">
        <f t="shared" si="13"/>
        <v>0</v>
      </c>
      <c r="F38" s="28">
        <f t="shared" si="14"/>
        <v>34.034963717544855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35.1</v>
      </c>
      <c r="D39" s="30"/>
      <c r="E39" s="29">
        <f t="shared" si="13"/>
        <v>0</v>
      </c>
      <c r="F39" s="28">
        <f t="shared" si="14"/>
        <v>35.239741194272106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</v>
      </c>
      <c r="D40" s="22">
        <f>SUM(D34:D39)</f>
        <v>1038</v>
      </c>
      <c r="E40" s="113">
        <f t="shared" si="13"/>
        <v>0.13616864972648204</v>
      </c>
      <c r="F40" s="20">
        <f>I40/D40</f>
        <v>20.782411473545089</v>
      </c>
      <c r="G40" s="19">
        <f>F40/C40-1</f>
        <v>3.9812306060429403E-3</v>
      </c>
      <c r="H40" s="18">
        <f>SUM(H34:H39)</f>
        <v>21486.6</v>
      </c>
      <c r="I40" s="18">
        <f>SUM(I34:I39)</f>
        <v>21572.143109539804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1174</v>
      </c>
      <c r="E42" s="107">
        <f>D42/$D$48</f>
        <v>0.15400962888139685</v>
      </c>
      <c r="F42" s="28">
        <f>C42-(C42*$E$6)</f>
        <v>0.50199061530302147</v>
      </c>
      <c r="G42" s="27" t="str">
        <f>IF(C42&gt;=F42,"-","+")</f>
        <v>+</v>
      </c>
      <c r="H42" s="26">
        <f>C42*D42</f>
        <v>587</v>
      </c>
      <c r="I42" s="26">
        <f>F42*D42</f>
        <v>589.33698236574719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57.4</v>
      </c>
      <c r="E43" s="107">
        <f>D43/$D$48</f>
        <v>7.5299426727360981E-3</v>
      </c>
      <c r="F43" s="28">
        <f>C43-(C43*$E$6)</f>
        <v>0.50199061530302147</v>
      </c>
      <c r="G43" s="27" t="str">
        <f>IF(C43&gt;=F43,"-","+")</f>
        <v>+</v>
      </c>
      <c r="H43" s="26">
        <f>C43*D43</f>
        <v>28.7</v>
      </c>
      <c r="I43" s="26">
        <f>F43*D43</f>
        <v>28.814261318393431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1.0494693620538116E-3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0.49677263191867033</v>
      </c>
      <c r="D46" s="22">
        <f>SUM(D41:D45)</f>
        <v>1239.4000000000001</v>
      </c>
      <c r="E46" s="113">
        <f>D46/$D$48</f>
        <v>0.16258904091618678</v>
      </c>
      <c r="F46" s="20">
        <f>I46/D46</f>
        <v>0.49875039832510937</v>
      </c>
      <c r="G46" s="19">
        <f>F46/C46-1</f>
        <v>3.9812306060427183E-3</v>
      </c>
      <c r="H46" s="18">
        <f>SUM(H41:H44)</f>
        <v>615.70000000000005</v>
      </c>
      <c r="I46" s="18">
        <f>SUM(I41:I44)</f>
        <v>618.15124368414058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109.83896963999838</v>
      </c>
      <c r="D48" s="13">
        <f>D24+D32+D40+D46</f>
        <v>7622.9</v>
      </c>
      <c r="E48" s="12">
        <f>SUM(E20:E46)/2</f>
        <v>0.99999999999999989</v>
      </c>
      <c r="F48" s="11">
        <f>I48/D48</f>
        <v>29.457494703707109</v>
      </c>
      <c r="G48" s="10"/>
      <c r="H48" s="9">
        <f>SUM(H20:H46)/2</f>
        <v>223661.09</v>
      </c>
      <c r="I48" s="9">
        <f>SUM(I20:I46)/2</f>
        <v>224551.53637688892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19769.600000000002</v>
      </c>
      <c r="E50" s="12">
        <f>D50/G2</f>
        <v>1.0000151750441342</v>
      </c>
      <c r="F50" s="11">
        <f>I50/D50</f>
        <v>29.34955461921334</v>
      </c>
      <c r="G50" s="10"/>
      <c r="H50" s="9">
        <f>H48+H19</f>
        <v>577928.09</v>
      </c>
      <c r="I50" s="9">
        <f>I48+I19</f>
        <v>580228.95500000007</v>
      </c>
      <c r="J50" s="106">
        <f>D50-G2</f>
        <v>0.30000000000291038</v>
      </c>
      <c r="K50" s="8"/>
    </row>
    <row r="51" spans="1:11" ht="23.25" x14ac:dyDescent="0.35">
      <c r="A51" s="174" t="s">
        <v>419</v>
      </c>
      <c r="B51" s="169"/>
      <c r="C51" s="170"/>
      <c r="G51" s="7"/>
      <c r="H51" s="6"/>
      <c r="I51" s="6">
        <f>+I50/D50</f>
        <v>29.34955461921334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418</v>
      </c>
      <c r="D2" s="96" t="s">
        <v>3</v>
      </c>
      <c r="E2" s="95" t="s">
        <v>112</v>
      </c>
      <c r="F2" s="94" t="s">
        <v>5</v>
      </c>
      <c r="G2" s="93">
        <v>5802.2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82</v>
      </c>
      <c r="F3" s="88" t="s">
        <v>8</v>
      </c>
      <c r="G3" s="87">
        <v>25.26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70.758536585365846</v>
      </c>
      <c r="F4" s="81" t="s">
        <v>12</v>
      </c>
      <c r="G4" s="80">
        <f>G2*G3</f>
        <v>146563.57200000001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-7.424033577401401E-2</v>
      </c>
      <c r="F6" s="69" t="s">
        <v>16</v>
      </c>
      <c r="G6" s="68">
        <f>(I50-I19)/(D50-(SUM(D42:D44)+D19))</f>
        <v>31.636750059360654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27.178280495082554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 t="e">
        <f t="shared" si="1"/>
        <v>#DIV/0!</v>
      </c>
      <c r="F11" s="28">
        <f t="shared" si="2"/>
        <v>28.252520830856568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 t="e">
        <f t="shared" si="1"/>
        <v>#DIV/0!</v>
      </c>
      <c r="F12" s="28">
        <f t="shared" si="2"/>
        <v>25.781768058576336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 t="e">
        <f t="shared" si="1"/>
        <v>#DIV/0!</v>
      </c>
      <c r="F13" s="28">
        <f t="shared" si="2"/>
        <v>28.252520830856568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 t="e">
        <f t="shared" si="1"/>
        <v>#DIV/0!</v>
      </c>
      <c r="F14" s="28">
        <f t="shared" si="2"/>
        <v>31.58266587175601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 t="e">
        <f t="shared" si="1"/>
        <v>#DIV/0!</v>
      </c>
      <c r="F15" s="28">
        <f t="shared" si="2"/>
        <v>25.996616125731137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 t="e">
        <f t="shared" si="1"/>
        <v>#DIV/0!</v>
      </c>
      <c r="F16" s="28">
        <f t="shared" si="2"/>
        <v>35.664779147697267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48.9</v>
      </c>
      <c r="D17" s="30"/>
      <c r="E17" s="29" t="e">
        <f t="shared" si="1"/>
        <v>#DIV/0!</v>
      </c>
      <c r="F17" s="28">
        <f t="shared" si="2"/>
        <v>52.530352419349285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 t="e">
        <f t="shared" si="1"/>
        <v>#DIV/0!</v>
      </c>
      <c r="F18" s="28">
        <f t="shared" si="2"/>
        <v>45.977486371127796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63.5</v>
      </c>
      <c r="D21" s="30">
        <v>66.3</v>
      </c>
      <c r="E21" s="29">
        <f>D21/$D$48</f>
        <v>1.1426109435588106E-2</v>
      </c>
      <c r="F21" s="28">
        <f>C21-(C21*$E$6)</f>
        <v>68.214261321649886</v>
      </c>
      <c r="G21" s="27" t="str">
        <f>IF(C21&gt;=F21,"-","+")</f>
        <v>+</v>
      </c>
      <c r="H21" s="26">
        <f>C21*D21</f>
        <v>4210.05</v>
      </c>
      <c r="I21" s="26">
        <f>F21*D21</f>
        <v>4522.6055256253876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42.7</v>
      </c>
      <c r="D22" s="30">
        <v>147.5</v>
      </c>
      <c r="E22" s="29">
        <f>D22/$D$48</f>
        <v>2.5420077552778971E-2</v>
      </c>
      <c r="F22" s="28">
        <f>C22-(C22*$E$6)</f>
        <v>45.870062337550401</v>
      </c>
      <c r="G22" s="27" t="str">
        <f>IF(C22&gt;=F22,"-","+")</f>
        <v>+</v>
      </c>
      <c r="H22" s="26">
        <f>C22*D22</f>
        <v>6298.25</v>
      </c>
      <c r="I22" s="26">
        <f>F22*D22</f>
        <v>6765.8341947886838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v>128.9</v>
      </c>
      <c r="E23" s="29">
        <f>D23/$D$48</f>
        <v>2.2214562688496337E-2</v>
      </c>
      <c r="F23" s="28">
        <f>C23-(C23*$E$6)</f>
        <v>41.78794906160914</v>
      </c>
      <c r="G23" s="27" t="str">
        <f>IF(C23&gt;=F23,"-","+")</f>
        <v>+</v>
      </c>
      <c r="H23" s="26">
        <f>C23*D23</f>
        <v>5014.21</v>
      </c>
      <c r="I23" s="26">
        <f>F23*D23</f>
        <v>5386.4666340414187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45.294747592646623</v>
      </c>
      <c r="D24" s="22">
        <f>SUM(D21:D23)</f>
        <v>342.70000000000005</v>
      </c>
      <c r="E24" s="21">
        <f>D24/$D$48</f>
        <v>5.9060749676863422E-2</v>
      </c>
      <c r="F24" s="20">
        <f>I24/D24</f>
        <v>48.657444862723914</v>
      </c>
      <c r="G24" s="19">
        <f>F24/C24-1</f>
        <v>7.4240335774013788E-2</v>
      </c>
      <c r="H24" s="18">
        <f>SUM(H21:H23)</f>
        <v>15522.509999999998</v>
      </c>
      <c r="I24" s="18">
        <f>SUM(I21:I23)</f>
        <v>16674.906354455488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v>1067</v>
      </c>
      <c r="E26" s="29">
        <f t="shared" ref="E26:E32" si="7">D26/$D$48</f>
        <v>0.1838862559241706</v>
      </c>
      <c r="F26" s="28">
        <f t="shared" ref="F26:F31" si="8">C26-(C26*$E$6)</f>
        <v>36.416747382739075</v>
      </c>
      <c r="G26" s="27" t="str">
        <f t="shared" ref="G26:G31" si="9">IF(C26&gt;=F26,"-","+")</f>
        <v>+</v>
      </c>
      <c r="H26" s="26">
        <f t="shared" ref="H26:H31" si="10">C26*D26</f>
        <v>36171.299999999996</v>
      </c>
      <c r="I26" s="26">
        <f t="shared" ref="I26:I31" si="11">F26*D26</f>
        <v>38856.669457382595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861</v>
      </c>
      <c r="E27" s="29">
        <f t="shared" si="7"/>
        <v>0.14838431710469624</v>
      </c>
      <c r="F27" s="28">
        <f t="shared" si="8"/>
        <v>32.442058140375224</v>
      </c>
      <c r="G27" s="27" t="str">
        <f t="shared" si="9"/>
        <v>+</v>
      </c>
      <c r="H27" s="26">
        <f t="shared" si="10"/>
        <v>26002.2</v>
      </c>
      <c r="I27" s="26">
        <f t="shared" si="11"/>
        <v>27932.612058863069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481.6</v>
      </c>
      <c r="E28" s="29">
        <f t="shared" si="7"/>
        <v>8.2998707453683748E-2</v>
      </c>
      <c r="F28" s="28">
        <f t="shared" si="8"/>
        <v>32.442058140375224</v>
      </c>
      <c r="G28" s="27" t="str">
        <f t="shared" si="9"/>
        <v>+</v>
      </c>
      <c r="H28" s="26">
        <f t="shared" si="10"/>
        <v>14544.32</v>
      </c>
      <c r="I28" s="26">
        <f t="shared" si="11"/>
        <v>15624.095200404709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476</v>
      </c>
      <c r="E29" s="29">
        <f t="shared" si="7"/>
        <v>8.2033606204222301E-2</v>
      </c>
      <c r="F29" s="28">
        <f t="shared" si="8"/>
        <v>31.367817804601209</v>
      </c>
      <c r="G29" s="27" t="str">
        <f t="shared" si="9"/>
        <v>+</v>
      </c>
      <c r="H29" s="26">
        <f t="shared" si="10"/>
        <v>13899.199999999999</v>
      </c>
      <c r="I29" s="26">
        <f t="shared" si="11"/>
        <v>14931.081274990176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377</v>
      </c>
      <c r="E30" s="29">
        <f t="shared" si="7"/>
        <v>6.4971994829814722E-2</v>
      </c>
      <c r="F30" s="28">
        <f t="shared" si="8"/>
        <v>31.367817804601209</v>
      </c>
      <c r="G30" s="27" t="str">
        <f t="shared" si="9"/>
        <v>+</v>
      </c>
      <c r="H30" s="26">
        <f t="shared" si="10"/>
        <v>11008.4</v>
      </c>
      <c r="I30" s="26">
        <f t="shared" si="11"/>
        <v>11825.667312334655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74.3</v>
      </c>
      <c r="E31" s="29">
        <f t="shared" si="7"/>
        <v>1.2804825506247305E-2</v>
      </c>
      <c r="F31" s="28">
        <f t="shared" si="8"/>
        <v>31.904937972488217</v>
      </c>
      <c r="G31" s="27" t="str">
        <f t="shared" si="9"/>
        <v>+</v>
      </c>
      <c r="H31" s="26">
        <f t="shared" si="10"/>
        <v>2206.71</v>
      </c>
      <c r="I31" s="26">
        <f t="shared" si="11"/>
        <v>2370.5368913558746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31.11634451137283</v>
      </c>
      <c r="D32" s="22">
        <f>SUM(D26:D31)</f>
        <v>3336.9</v>
      </c>
      <c r="E32" s="21">
        <f t="shared" si="7"/>
        <v>0.57507970702283495</v>
      </c>
      <c r="F32" s="20">
        <f>I32/D32</f>
        <v>33.426432375957056</v>
      </c>
      <c r="G32" s="19">
        <f>F32/C32-1</f>
        <v>7.4240335774014232E-2</v>
      </c>
      <c r="H32" s="18">
        <f>SUM(H26:H31)</f>
        <v>103832.13</v>
      </c>
      <c r="I32" s="18">
        <f>SUM(I26:I31)</f>
        <v>111540.6621953311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v>878</v>
      </c>
      <c r="E34" s="29">
        <f t="shared" ref="E34:E40" si="13">D34/$D$48</f>
        <v>0.15131408875484703</v>
      </c>
      <c r="F34" s="28">
        <f t="shared" ref="F34:F39" si="14">C34-(C34*$E$6)</f>
        <v>19.121477976777449</v>
      </c>
      <c r="G34" s="27" t="str">
        <f t="shared" ref="G34:G39" si="15">IF(C34&gt;=F34,"-","+")</f>
        <v>+</v>
      </c>
      <c r="H34" s="26">
        <f t="shared" ref="H34:H39" si="16">C34*D34</f>
        <v>15628.400000000001</v>
      </c>
      <c r="I34" s="26">
        <f t="shared" ref="I34:I39" si="17">F34*D34</f>
        <v>16788.6576636106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71.8</v>
      </c>
      <c r="E35" s="29">
        <f t="shared" si="13"/>
        <v>1.2373976734166306E-2</v>
      </c>
      <c r="F35" s="28">
        <f t="shared" si="14"/>
        <v>14.717092600103991</v>
      </c>
      <c r="G35" s="27" t="str">
        <f t="shared" si="15"/>
        <v>+</v>
      </c>
      <c r="H35" s="26">
        <f t="shared" si="16"/>
        <v>983.65999999999985</v>
      </c>
      <c r="I35" s="26">
        <f t="shared" si="17"/>
        <v>1056.6872486874665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11.816643693514154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31.367817804601209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31.367817804601209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32.442058140375224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17.490061065487474</v>
      </c>
      <c r="D40" s="22">
        <f>SUM(D34:D39)</f>
        <v>949.8</v>
      </c>
      <c r="E40" s="113">
        <f t="shared" si="13"/>
        <v>0.16368806548901332</v>
      </c>
      <c r="F40" s="20">
        <f>I40/D40</f>
        <v>18.788529071697273</v>
      </c>
      <c r="G40" s="19">
        <f>F40/C40-1</f>
        <v>7.424033577401401E-2</v>
      </c>
      <c r="H40" s="18">
        <f>SUM(H34:H39)</f>
        <v>16612.060000000001</v>
      </c>
      <c r="I40" s="18">
        <f>SUM(I34:I39)</f>
        <v>17845.344912298067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468+87.2+585.1</f>
        <v>1140.3000000000002</v>
      </c>
      <c r="E42" s="107">
        <f>D42/$D$48</f>
        <v>0.19651874192158553</v>
      </c>
      <c r="F42" s="28">
        <f>C42-(C42*$E$6)</f>
        <v>0.42969613430960563</v>
      </c>
      <c r="G42" s="27" t="str">
        <f>IF(C42&gt;=F42,"-","+")</f>
        <v>+</v>
      </c>
      <c r="H42" s="26">
        <f>C42*D42</f>
        <v>456.12000000000012</v>
      </c>
      <c r="I42" s="26">
        <f>F42*D42</f>
        <v>489.9825019532434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29.5</v>
      </c>
      <c r="E43" s="107">
        <f>D43/$D$48</f>
        <v>5.0840155105557937E-3</v>
      </c>
      <c r="F43" s="28">
        <f>C43-(C43*$E$6)</f>
        <v>0.42969613430960563</v>
      </c>
      <c r="G43" s="27" t="str">
        <f>IF(C43&gt;=F43,"-","+")</f>
        <v>+</v>
      </c>
      <c r="H43" s="26">
        <f>C43*D43</f>
        <v>11.8</v>
      </c>
      <c r="I43" s="26">
        <f>F43*D43</f>
        <v>12.676035962133366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3.3</v>
      </c>
      <c r="E45" s="107">
        <f>D45/$D$48</f>
        <v>5.6872037914691936E-4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0.39887477623391021</v>
      </c>
      <c r="D46" s="22">
        <f>SUM(D41:D45)</f>
        <v>1173.1000000000001</v>
      </c>
      <c r="E46" s="113">
        <f>D46/$D$48</f>
        <v>0.20217147781128822</v>
      </c>
      <c r="F46" s="20">
        <f>I46/D46</f>
        <v>0.42848737355330041</v>
      </c>
      <c r="G46" s="19">
        <f>F46/C46-1</f>
        <v>7.424033577401401E-2</v>
      </c>
      <c r="H46" s="18">
        <f>SUM(H41:H44)</f>
        <v>467.92000000000013</v>
      </c>
      <c r="I46" s="18">
        <f>SUM(I41:I44)</f>
        <v>502.65853791537677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94.300027945740837</v>
      </c>
      <c r="D48" s="13">
        <f>D24+D32+D40+D46</f>
        <v>5802.5000000000009</v>
      </c>
      <c r="E48" s="12">
        <f>SUM(E20:E46)/2</f>
        <v>1</v>
      </c>
      <c r="F48" s="11">
        <f>I48/D48</f>
        <v>25.258694011202078</v>
      </c>
      <c r="G48" s="10"/>
      <c r="H48" s="9">
        <f>SUM(H20:H46)/2</f>
        <v>136434.62</v>
      </c>
      <c r="I48" s="9">
        <f>SUM(I20:I46)/2</f>
        <v>146563.57200000007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5802.4999999999991</v>
      </c>
      <c r="E50" s="12">
        <f>D50/G2</f>
        <v>1.0000517045258694</v>
      </c>
      <c r="F50" s="11">
        <f>I50/D50</f>
        <v>25.258694011202085</v>
      </c>
      <c r="G50" s="10"/>
      <c r="H50" s="9">
        <f>H48+H19</f>
        <v>136434.62</v>
      </c>
      <c r="I50" s="9">
        <f>I48+I19</f>
        <v>146563.57200000007</v>
      </c>
      <c r="J50" s="106">
        <f>D50-G2</f>
        <v>0.2999999999992724</v>
      </c>
      <c r="K50" s="8"/>
    </row>
    <row r="51" spans="1:11" ht="23.25" x14ac:dyDescent="0.35">
      <c r="A51" s="174" t="s">
        <v>420</v>
      </c>
      <c r="B51" s="169"/>
      <c r="C51" s="170"/>
      <c r="G51" s="7"/>
      <c r="H51" s="6"/>
      <c r="I51" s="6">
        <f>+I50/D50</f>
        <v>25.258694011202085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418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422</v>
      </c>
      <c r="D2" s="96" t="s">
        <v>3</v>
      </c>
      <c r="E2" s="95" t="s">
        <v>362</v>
      </c>
      <c r="F2" s="94" t="s">
        <v>5</v>
      </c>
      <c r="G2" s="93">
        <v>12745.5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160</v>
      </c>
      <c r="F3" s="88" t="s">
        <v>8</v>
      </c>
      <c r="G3" s="87">
        <v>29.4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79.659374999999997</v>
      </c>
      <c r="F4" s="81" t="s">
        <v>12</v>
      </c>
      <c r="G4" s="80">
        <f>G2*G3</f>
        <v>374717.69999999995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2.455848909138536E-2</v>
      </c>
      <c r="F6" s="69" t="s">
        <v>16</v>
      </c>
      <c r="G6" s="68">
        <f>(I50-I19)/(D50-(SUM(D42:D44)+D19))</f>
        <v>34.458308980131903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29.4</v>
      </c>
      <c r="D10" s="30"/>
      <c r="E10" s="29">
        <f t="shared" ref="E10:E19" si="1">D10/$D$19</f>
        <v>0</v>
      </c>
      <c r="F10" s="28">
        <f t="shared" ref="F10:F18" si="2">C10-(C10*$E$6)</f>
        <v>28.677980420713268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30.6</v>
      </c>
      <c r="D11" s="30"/>
      <c r="E11" s="29">
        <f t="shared" si="1"/>
        <v>0</v>
      </c>
      <c r="F11" s="28">
        <f t="shared" si="2"/>
        <v>29.848510233803609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</v>
      </c>
      <c r="D12" s="30"/>
      <c r="E12" s="29">
        <f t="shared" si="1"/>
        <v>0</v>
      </c>
      <c r="F12" s="28">
        <f t="shared" si="2"/>
        <v>27.312362305441209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30.6</v>
      </c>
      <c r="D13" s="30"/>
      <c r="E13" s="29">
        <f t="shared" si="1"/>
        <v>0</v>
      </c>
      <c r="F13" s="28">
        <f t="shared" si="2"/>
        <v>29.848510233803609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34.200000000000003</v>
      </c>
      <c r="D14" s="30"/>
      <c r="E14" s="29">
        <f t="shared" si="1"/>
        <v>0</v>
      </c>
      <c r="F14" s="28">
        <f t="shared" si="2"/>
        <v>33.360099673074622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28.2</v>
      </c>
      <c r="D15" s="30">
        <v>150.5</v>
      </c>
      <c r="E15" s="29">
        <f t="shared" si="1"/>
        <v>0.76982097186700771</v>
      </c>
      <c r="F15" s="28">
        <f t="shared" si="2"/>
        <v>27.507450607622932</v>
      </c>
      <c r="G15" s="27" t="str">
        <f t="shared" si="3"/>
        <v>-</v>
      </c>
      <c r="H15" s="34">
        <f t="shared" si="4"/>
        <v>4244.0999999999995</v>
      </c>
      <c r="I15" s="34">
        <f t="shared" si="5"/>
        <v>4139.871316447251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38.6</v>
      </c>
      <c r="D16" s="30"/>
      <c r="E16" s="29">
        <f t="shared" si="1"/>
        <v>0</v>
      </c>
      <c r="F16" s="28">
        <f t="shared" si="2"/>
        <v>37.652042321072528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56.9</v>
      </c>
      <c r="D17" s="30">
        <v>45</v>
      </c>
      <c r="E17" s="29">
        <f t="shared" si="1"/>
        <v>0.23017902813299232</v>
      </c>
      <c r="F17" s="28">
        <f t="shared" si="2"/>
        <v>55.502621970700169</v>
      </c>
      <c r="G17" s="27" t="str">
        <f t="shared" si="3"/>
        <v>-</v>
      </c>
      <c r="H17" s="34">
        <f t="shared" si="4"/>
        <v>2560.5</v>
      </c>
      <c r="I17" s="34">
        <f t="shared" si="5"/>
        <v>2497.6179886815075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49.8</v>
      </c>
      <c r="D18" s="30"/>
      <c r="E18" s="29">
        <f t="shared" si="1"/>
        <v>0</v>
      </c>
      <c r="F18" s="28">
        <f t="shared" si="2"/>
        <v>48.576987243249008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34.806138107416878</v>
      </c>
      <c r="D19" s="49">
        <f>SUM(D10:D18)</f>
        <v>195.5</v>
      </c>
      <c r="E19" s="48">
        <f t="shared" si="1"/>
        <v>1</v>
      </c>
      <c r="F19" s="47">
        <f>I19/D19</f>
        <v>33.951351944392627</v>
      </c>
      <c r="G19" s="46">
        <f>F19/C19-1</f>
        <v>-2.455848909138536E-2</v>
      </c>
      <c r="H19" s="9">
        <f>SUM(H10:H18)</f>
        <v>6804.5999999999995</v>
      </c>
      <c r="I19" s="9">
        <f>SUM(I10:I18)</f>
        <v>6637.4893051287581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73.900000000000006</v>
      </c>
      <c r="D21" s="30">
        <v>149.69999999999999</v>
      </c>
      <c r="E21" s="29">
        <f>D21/$D$48</f>
        <v>1.1928381899457368E-2</v>
      </c>
      <c r="F21" s="28">
        <f>C21-(C21*$E$6)</f>
        <v>72.085127656146625</v>
      </c>
      <c r="G21" s="27" t="str">
        <f>IF(C21&gt;=F21,"-","+")</f>
        <v>-</v>
      </c>
      <c r="H21" s="26">
        <f>C21*D21</f>
        <v>11062.83</v>
      </c>
      <c r="I21" s="26">
        <f>F21*D21</f>
        <v>10791.143610125149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49.7</v>
      </c>
      <c r="D22" s="30">
        <v>391.3</v>
      </c>
      <c r="E22" s="29">
        <f>D22/$D$48</f>
        <v>3.1179531311006467E-2</v>
      </c>
      <c r="F22" s="28">
        <f>C22-(C22*$E$6)</f>
        <v>48.479443092158149</v>
      </c>
      <c r="G22" s="27" t="str">
        <f>IF(C22&gt;=F22,"-","+")</f>
        <v>-</v>
      </c>
      <c r="H22" s="26">
        <f>C22*D22</f>
        <v>19447.61</v>
      </c>
      <c r="I22" s="26">
        <f>F22*D22</f>
        <v>18970.006081961485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45.3</v>
      </c>
      <c r="D23" s="30">
        <v>323.8</v>
      </c>
      <c r="E23" s="29">
        <f>D23/$D$48</f>
        <v>2.580100239842549E-2</v>
      </c>
      <c r="F23" s="28">
        <f>C23-(C23*$E$6)</f>
        <v>44.187500444160243</v>
      </c>
      <c r="G23" s="27" t="str">
        <f>IF(C23&gt;=F23,"-","+")</f>
        <v>-</v>
      </c>
      <c r="H23" s="26">
        <f>C23*D23</f>
        <v>14668.14</v>
      </c>
      <c r="I23" s="26">
        <f>F23*D23</f>
        <v>14307.912643819087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52.241651248843667</v>
      </c>
      <c r="D24" s="22">
        <f>SUM(D21:D23)</f>
        <v>864.8</v>
      </c>
      <c r="E24" s="21">
        <f>D24/$D$48</f>
        <v>6.8908915608889329E-2</v>
      </c>
      <c r="F24" s="20">
        <f>I24/D24</f>
        <v>50.958675226532982</v>
      </c>
      <c r="G24" s="19">
        <f>F24/C24-1</f>
        <v>-2.455848909138536E-2</v>
      </c>
      <c r="H24" s="18">
        <f>SUM(H21:H23)</f>
        <v>45178.58</v>
      </c>
      <c r="I24" s="18">
        <f>SUM(I21:I23)</f>
        <v>44069.062335905721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39.5</v>
      </c>
      <c r="D26" s="30">
        <f>2049.6+324</f>
        <v>2373.6</v>
      </c>
      <c r="E26" s="29">
        <f t="shared" ref="E26:E32" si="7">D26/$D$48</f>
        <v>0.18913298113929197</v>
      </c>
      <c r="F26" s="28">
        <f t="shared" ref="F26:F31" si="8">C26-(C26*$E$6)</f>
        <v>38.52993968089028</v>
      </c>
      <c r="G26" s="27" t="str">
        <f t="shared" ref="G26:G31" si="9">IF(C26&gt;=F26,"-","+")</f>
        <v>-</v>
      </c>
      <c r="H26" s="26">
        <f t="shared" ref="H26:H31" si="10">C26*D26</f>
        <v>93757.2</v>
      </c>
      <c r="I26" s="26">
        <f t="shared" ref="I26:I31" si="11">F26*D26</f>
        <v>91454.664826561158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35.1</v>
      </c>
      <c r="D27" s="30">
        <v>2084.5</v>
      </c>
      <c r="E27" s="29">
        <f t="shared" si="7"/>
        <v>0.1660969410114822</v>
      </c>
      <c r="F27" s="28">
        <f t="shared" si="8"/>
        <v>34.237997032892373</v>
      </c>
      <c r="G27" s="27" t="str">
        <f t="shared" si="9"/>
        <v>-</v>
      </c>
      <c r="H27" s="26">
        <f t="shared" si="10"/>
        <v>73165.95</v>
      </c>
      <c r="I27" s="26">
        <f t="shared" si="11"/>
        <v>71369.104815064158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35.1</v>
      </c>
      <c r="D28" s="30">
        <v>1650.4</v>
      </c>
      <c r="E28" s="29">
        <f t="shared" si="7"/>
        <v>0.1315070239603503</v>
      </c>
      <c r="F28" s="28">
        <f t="shared" si="8"/>
        <v>34.237997032892373</v>
      </c>
      <c r="G28" s="27" t="str">
        <f t="shared" si="9"/>
        <v>-</v>
      </c>
      <c r="H28" s="26">
        <f t="shared" si="10"/>
        <v>57929.040000000008</v>
      </c>
      <c r="I28" s="26">
        <f t="shared" si="11"/>
        <v>56506.390303085573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</v>
      </c>
      <c r="D29" s="30">
        <v>1284.7</v>
      </c>
      <c r="E29" s="29">
        <f t="shared" si="7"/>
        <v>0.10236734954063381</v>
      </c>
      <c r="F29" s="28">
        <f t="shared" si="8"/>
        <v>33.165011370892898</v>
      </c>
      <c r="G29" s="27" t="str">
        <f t="shared" si="9"/>
        <v>-</v>
      </c>
      <c r="H29" s="26">
        <f t="shared" si="10"/>
        <v>43679.8</v>
      </c>
      <c r="I29" s="26">
        <f t="shared" si="11"/>
        <v>42607.090108186108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</v>
      </c>
      <c r="D30" s="30">
        <v>792.5</v>
      </c>
      <c r="E30" s="29">
        <f t="shared" si="7"/>
        <v>6.3147913529191482E-2</v>
      </c>
      <c r="F30" s="28">
        <f t="shared" si="8"/>
        <v>33.165011370892898</v>
      </c>
      <c r="G30" s="27" t="str">
        <f t="shared" si="9"/>
        <v>-</v>
      </c>
      <c r="H30" s="26">
        <f t="shared" si="10"/>
        <v>26945</v>
      </c>
      <c r="I30" s="26">
        <f t="shared" si="11"/>
        <v>26283.27151143262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34.5</v>
      </c>
      <c r="D31" s="30">
        <v>203.6</v>
      </c>
      <c r="E31" s="29">
        <f t="shared" si="7"/>
        <v>1.6223236838540548E-2</v>
      </c>
      <c r="F31" s="28">
        <f t="shared" si="8"/>
        <v>33.652732126347203</v>
      </c>
      <c r="G31" s="27" t="str">
        <f t="shared" si="9"/>
        <v>-</v>
      </c>
      <c r="H31" s="26">
        <f t="shared" si="10"/>
        <v>7024.2</v>
      </c>
      <c r="I31" s="26">
        <f t="shared" si="11"/>
        <v>6851.6962609242901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36.057977423622951</v>
      </c>
      <c r="D32" s="22">
        <f>SUM(D26:D31)</f>
        <v>8389.2999999999993</v>
      </c>
      <c r="E32" s="21">
        <f t="shared" si="7"/>
        <v>0.66847544601949027</v>
      </c>
      <c r="F32" s="20">
        <f>I32/D32</f>
        <v>35.172447978407483</v>
      </c>
      <c r="G32" s="19">
        <f>F32/C32-1</f>
        <v>-2.4558489091385471E-2</v>
      </c>
      <c r="H32" s="18">
        <f>SUM(H26:H31)</f>
        <v>302501.19</v>
      </c>
      <c r="I32" s="18">
        <f>SUM(I26:I31)</f>
        <v>295072.2178252539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20.8</v>
      </c>
      <c r="D34" s="30">
        <v>1256.9000000000001</v>
      </c>
      <c r="E34" s="29">
        <f t="shared" ref="E34:E40" si="13">D34/$D$48</f>
        <v>0.10015219244774862</v>
      </c>
      <c r="F34" s="28">
        <f t="shared" ref="F34:F39" si="14">C34-(C34*$E$6)</f>
        <v>20.289183426899186</v>
      </c>
      <c r="G34" s="27" t="str">
        <f t="shared" ref="G34:G39" si="15">IF(C34&gt;=F34,"-","+")</f>
        <v>-</v>
      </c>
      <c r="H34" s="26">
        <f t="shared" ref="H34:H39" si="16">C34*D34</f>
        <v>26143.520000000004</v>
      </c>
      <c r="I34" s="26">
        <f t="shared" ref="I34:I39" si="17">F34*D34</f>
        <v>25501.474649269589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>
        <v>163</v>
      </c>
      <c r="E35" s="29">
        <f t="shared" si="13"/>
        <v>1.298815130001036E-2</v>
      </c>
      <c r="F35" s="28">
        <f t="shared" si="14"/>
        <v>15.607064174537834</v>
      </c>
      <c r="G35" s="27" t="str">
        <f t="shared" si="15"/>
        <v>-</v>
      </c>
      <c r="H35" s="26">
        <f t="shared" si="16"/>
        <v>2608</v>
      </c>
      <c r="I35" s="26">
        <f t="shared" si="17"/>
        <v>2543.9514604496671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12.485651339630268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</v>
      </c>
      <c r="D37" s="30"/>
      <c r="E37" s="29">
        <f t="shared" si="13"/>
        <v>0</v>
      </c>
      <c r="F37" s="28">
        <f t="shared" si="14"/>
        <v>33.165011370892898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</v>
      </c>
      <c r="D38" s="30"/>
      <c r="E38" s="29">
        <f t="shared" si="13"/>
        <v>0</v>
      </c>
      <c r="F38" s="28">
        <f t="shared" si="14"/>
        <v>33.165011370892898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35.1</v>
      </c>
      <c r="D39" s="30"/>
      <c r="E39" s="29">
        <f t="shared" si="13"/>
        <v>0</v>
      </c>
      <c r="F39" s="28">
        <f t="shared" si="14"/>
        <v>34.237997032892373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20.248975279949295</v>
      </c>
      <c r="D40" s="22">
        <f>SUM(D34:D39)</f>
        <v>1419.9</v>
      </c>
      <c r="E40" s="113">
        <f t="shared" si="13"/>
        <v>0.11314034374775897</v>
      </c>
      <c r="F40" s="20">
        <f>I40/D40</f>
        <v>19.751691041424927</v>
      </c>
      <c r="G40" s="19">
        <f>F40/C40-1</f>
        <v>-2.4558489091385471E-2</v>
      </c>
      <c r="H40" s="18">
        <f>SUM(H34:H39)</f>
        <v>28751.520000000004</v>
      </c>
      <c r="I40" s="18">
        <f>SUM(I34:I39)</f>
        <v>28045.426109719258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1758</v>
      </c>
      <c r="E42" s="107">
        <f>D42/$D$48</f>
        <v>0.14008079745655347</v>
      </c>
      <c r="F42" s="28">
        <f>C42-(C42*$E$6)</f>
        <v>0.48772075545430732</v>
      </c>
      <c r="G42" s="27" t="str">
        <f>IF(C42&gt;=F42,"-","+")</f>
        <v>-</v>
      </c>
      <c r="H42" s="26">
        <f>C42*D42</f>
        <v>879</v>
      </c>
      <c r="I42" s="26">
        <f>F42*D42</f>
        <v>857.41308808867223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74</v>
      </c>
      <c r="E43" s="107">
        <f>D43/$D$48</f>
        <v>5.8964613263850722E-3</v>
      </c>
      <c r="F43" s="28">
        <f>C43-(C43*$E$6)</f>
        <v>0.48772075545430732</v>
      </c>
      <c r="G43" s="27" t="str">
        <f>IF(C43&gt;=F43,"-","+")</f>
        <v>-</v>
      </c>
      <c r="H43" s="26">
        <f>C43*D43</f>
        <v>37</v>
      </c>
      <c r="I43" s="26">
        <f>F43*D43</f>
        <v>36.091335903618742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36</v>
      </c>
      <c r="E44" s="107">
        <f>D44/$D$48</f>
        <v>2.8685487533765216E-3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7.9</v>
      </c>
      <c r="E45" s="107">
        <f>D45/$D$48</f>
        <v>6.294870875465145E-4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0.48829894983741134</v>
      </c>
      <c r="D46" s="22">
        <f>SUM(D41:D45)</f>
        <v>1875.9</v>
      </c>
      <c r="E46" s="113">
        <f>D46/$D$48</f>
        <v>0.14947529462386158</v>
      </c>
      <c r="F46" s="20">
        <f>I46/D46</f>
        <v>0.47630706540449436</v>
      </c>
      <c r="G46" s="19">
        <f>F46/C46-1</f>
        <v>-2.455848909138536E-2</v>
      </c>
      <c r="H46" s="18">
        <f>SUM(H41:H44)</f>
        <v>916</v>
      </c>
      <c r="I46" s="18">
        <f>SUM(I41:I44)</f>
        <v>893.50442399229098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109.03690290225332</v>
      </c>
      <c r="D48" s="13">
        <f>D24+D32+D40+D46</f>
        <v>12549.899999999998</v>
      </c>
      <c r="E48" s="12">
        <f>SUM(E20:E46)/2</f>
        <v>1.0000000000000002</v>
      </c>
      <c r="F48" s="11">
        <f>I48/D48</f>
        <v>29.329334153648329</v>
      </c>
      <c r="G48" s="10"/>
      <c r="H48" s="9">
        <f>SUM(H20:H46)/2</f>
        <v>377347.29000000004</v>
      </c>
      <c r="I48" s="9">
        <f>SUM(I20:I46)/2</f>
        <v>368080.21069487109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12745.400000000003</v>
      </c>
      <c r="E50" s="12">
        <f>D50/G2</f>
        <v>0.99999215409360187</v>
      </c>
      <c r="F50" s="11">
        <f>I50/D50</f>
        <v>29.400230671457919</v>
      </c>
      <c r="G50" s="10"/>
      <c r="H50" s="9">
        <f>H48+H19</f>
        <v>384151.89</v>
      </c>
      <c r="I50" s="9">
        <f>I48+I19</f>
        <v>374717.69999999984</v>
      </c>
      <c r="J50" s="106">
        <f>D50-G2</f>
        <v>-9.9999999996725819E-2</v>
      </c>
      <c r="K50" s="8"/>
    </row>
    <row r="51" spans="1:11" ht="23.25" x14ac:dyDescent="0.35">
      <c r="A51" s="174" t="s">
        <v>424</v>
      </c>
      <c r="B51" s="169"/>
      <c r="C51" s="170"/>
      <c r="G51" s="7"/>
      <c r="H51" s="6"/>
      <c r="I51" s="6">
        <f>+I50/D50</f>
        <v>29.400230671457919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422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422</v>
      </c>
      <c r="D2" s="96" t="s">
        <v>3</v>
      </c>
      <c r="E2" s="95" t="s">
        <v>362</v>
      </c>
      <c r="F2" s="94" t="s">
        <v>5</v>
      </c>
      <c r="G2" s="93">
        <v>13850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170</v>
      </c>
      <c r="F3" s="88" t="s">
        <v>8</v>
      </c>
      <c r="G3" s="87">
        <v>29.5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81.470588235294116</v>
      </c>
      <c r="F4" s="81" t="s">
        <v>12</v>
      </c>
      <c r="G4" s="80">
        <f>G2*G3</f>
        <v>408575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5.2161660462524129E-3</v>
      </c>
      <c r="F6" s="69" t="s">
        <v>16</v>
      </c>
      <c r="G6" s="68">
        <f>(I50-I19)/(D50-(SUM(D42:D44)+D19))</f>
        <v>34.632630918676981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29.5</v>
      </c>
      <c r="D10" s="30"/>
      <c r="E10" s="29" t="e">
        <f t="shared" ref="E10:E19" si="1">D10/$D$19</f>
        <v>#DIV/0!</v>
      </c>
      <c r="F10" s="28">
        <f t="shared" ref="F10:F18" si="2">C10-(C10*$E$6)</f>
        <v>29.346123101635555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30.7</v>
      </c>
      <c r="D11" s="30"/>
      <c r="E11" s="29" t="e">
        <f t="shared" si="1"/>
        <v>#DIV/0!</v>
      </c>
      <c r="F11" s="28">
        <f t="shared" si="2"/>
        <v>30.53986370238005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28.1</v>
      </c>
      <c r="D12" s="30"/>
      <c r="E12" s="29" t="e">
        <f t="shared" si="1"/>
        <v>#DIV/0!</v>
      </c>
      <c r="F12" s="28">
        <f t="shared" si="2"/>
        <v>27.953425734100307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30.7</v>
      </c>
      <c r="D13" s="30"/>
      <c r="E13" s="29" t="e">
        <f t="shared" si="1"/>
        <v>#DIV/0!</v>
      </c>
      <c r="F13" s="28">
        <f t="shared" si="2"/>
        <v>30.53986370238005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34.299999999999997</v>
      </c>
      <c r="D14" s="30"/>
      <c r="E14" s="29" t="e">
        <f t="shared" si="1"/>
        <v>#DIV/0!</v>
      </c>
      <c r="F14" s="28">
        <f t="shared" si="2"/>
        <v>34.121085504613539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28.3</v>
      </c>
      <c r="D15" s="30"/>
      <c r="E15" s="29" t="e">
        <f t="shared" si="1"/>
        <v>#DIV/0!</v>
      </c>
      <c r="F15" s="28">
        <f t="shared" si="2"/>
        <v>28.152382500891058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38.799999999999997</v>
      </c>
      <c r="D16" s="30"/>
      <c r="E16" s="29" t="e">
        <f t="shared" si="1"/>
        <v>#DIV/0!</v>
      </c>
      <c r="F16" s="28">
        <f t="shared" si="2"/>
        <v>38.5976127574054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57.1</v>
      </c>
      <c r="D17" s="30"/>
      <c r="E17" s="29" t="e">
        <f t="shared" si="1"/>
        <v>#DIV/0!</v>
      </c>
      <c r="F17" s="28">
        <f t="shared" si="2"/>
        <v>56.802156918758989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</v>
      </c>
      <c r="D18" s="30"/>
      <c r="E18" s="29" t="e">
        <f t="shared" si="1"/>
        <v>#DIV/0!</v>
      </c>
      <c r="F18" s="28">
        <f t="shared" si="2"/>
        <v>49.739191697687382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74.2</v>
      </c>
      <c r="D21" s="30">
        <v>166.3</v>
      </c>
      <c r="E21" s="29">
        <f>D21/$D$48</f>
        <v>1.2006786758600773E-2</v>
      </c>
      <c r="F21" s="28">
        <f>C21-(C21*$E$6)</f>
        <v>73.812960479368073</v>
      </c>
      <c r="G21" s="27" t="str">
        <f>IF(C21&gt;=F21,"-","+")</f>
        <v>-</v>
      </c>
      <c r="H21" s="26">
        <f>C21*D21</f>
        <v>12339.460000000001</v>
      </c>
      <c r="I21" s="26">
        <f>F21*D21</f>
        <v>12275.095327718911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49.8</v>
      </c>
      <c r="D22" s="30">
        <v>438.2</v>
      </c>
      <c r="E22" s="29">
        <f>D22/$D$48</f>
        <v>3.1637847009133246E-2</v>
      </c>
      <c r="F22" s="28">
        <f>C22-(C22*$E$6)</f>
        <v>49.540234930896624</v>
      </c>
      <c r="G22" s="27" t="str">
        <f>IF(C22&gt;=F22,"-","+")</f>
        <v>-</v>
      </c>
      <c r="H22" s="26">
        <f>C22*D22</f>
        <v>21822.359999999997</v>
      </c>
      <c r="I22" s="26">
        <f>F22*D22</f>
        <v>21708.5309467189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45.4</v>
      </c>
      <c r="D23" s="30">
        <v>367.9</v>
      </c>
      <c r="E23" s="29">
        <f>D23/$D$48</f>
        <v>2.656221797047038E-2</v>
      </c>
      <c r="F23" s="28">
        <f>C23-(C23*$E$6)</f>
        <v>45.163186061500141</v>
      </c>
      <c r="G23" s="27" t="str">
        <f>IF(C23&gt;=F23,"-","+")</f>
        <v>-</v>
      </c>
      <c r="H23" s="26">
        <f>C23*D23</f>
        <v>16702.66</v>
      </c>
      <c r="I23" s="26">
        <f>F23*D23</f>
        <v>16615.536152025899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52.308185931715343</v>
      </c>
      <c r="D24" s="22">
        <f>SUM(D21:D23)</f>
        <v>972.4</v>
      </c>
      <c r="E24" s="21">
        <f>D24/$D$48</f>
        <v>7.0206851738204401E-2</v>
      </c>
      <c r="F24" s="20">
        <f>I24/D24</f>
        <v>52.035337748317268</v>
      </c>
      <c r="G24" s="19">
        <f>F24/C24-1</f>
        <v>-5.2161660462525239E-3</v>
      </c>
      <c r="H24" s="18">
        <f>SUM(H21:H23)</f>
        <v>50864.479999999996</v>
      </c>
      <c r="I24" s="18">
        <f>SUM(I21:I23)</f>
        <v>50599.162426463707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39.6</v>
      </c>
      <c r="D26" s="30">
        <v>2591.8000000000002</v>
      </c>
      <c r="E26" s="29">
        <f t="shared" ref="E26:E32" si="7">D26/$D$48</f>
        <v>0.187126818526407</v>
      </c>
      <c r="F26" s="28">
        <f t="shared" ref="F26:F31" si="8">C26-(C26*$E$6)</f>
        <v>39.393439824568404</v>
      </c>
      <c r="G26" s="27" t="str">
        <f t="shared" ref="G26:G31" si="9">IF(C26&gt;=F26,"-","+")</f>
        <v>-</v>
      </c>
      <c r="H26" s="26">
        <f t="shared" ref="H26:H31" si="10">C26*D26</f>
        <v>102635.28000000001</v>
      </c>
      <c r="I26" s="26">
        <f t="shared" ref="I26:I31" si="11">F26*D26</f>
        <v>102099.91733731639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35.299999999999997</v>
      </c>
      <c r="D27" s="30">
        <v>2071.1</v>
      </c>
      <c r="E27" s="29">
        <f t="shared" si="7"/>
        <v>0.14953250785170211</v>
      </c>
      <c r="F27" s="28">
        <f t="shared" si="8"/>
        <v>35.115869338567286</v>
      </c>
      <c r="G27" s="27" t="str">
        <f t="shared" si="9"/>
        <v>-</v>
      </c>
      <c r="H27" s="26">
        <f t="shared" si="10"/>
        <v>73109.829999999987</v>
      </c>
      <c r="I27" s="26">
        <f t="shared" si="11"/>
        <v>72728.476987106696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35.299999999999997</v>
      </c>
      <c r="D28" s="30">
        <v>1302.2</v>
      </c>
      <c r="E28" s="29">
        <f t="shared" si="7"/>
        <v>9.401826648857442E-2</v>
      </c>
      <c r="F28" s="28">
        <f t="shared" si="8"/>
        <v>35.115869338567286</v>
      </c>
      <c r="G28" s="27" t="str">
        <f t="shared" si="9"/>
        <v>-</v>
      </c>
      <c r="H28" s="26">
        <f t="shared" si="10"/>
        <v>45967.659999999996</v>
      </c>
      <c r="I28" s="26">
        <f t="shared" si="11"/>
        <v>45727.885052682323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34.1</v>
      </c>
      <c r="D29" s="30">
        <v>1455.5</v>
      </c>
      <c r="E29" s="29">
        <f t="shared" si="7"/>
        <v>0.10508645897260027</v>
      </c>
      <c r="F29" s="28">
        <f t="shared" si="8"/>
        <v>33.922128737822796</v>
      </c>
      <c r="G29" s="27" t="str">
        <f t="shared" si="9"/>
        <v>-</v>
      </c>
      <c r="H29" s="26">
        <f t="shared" si="10"/>
        <v>49632.55</v>
      </c>
      <c r="I29" s="26">
        <f t="shared" si="11"/>
        <v>49373.658377901076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34.1</v>
      </c>
      <c r="D30" s="30">
        <v>872.9</v>
      </c>
      <c r="E30" s="29">
        <f t="shared" si="7"/>
        <v>6.3022995559727082E-2</v>
      </c>
      <c r="F30" s="28">
        <f t="shared" si="8"/>
        <v>33.922128737822796</v>
      </c>
      <c r="G30" s="27" t="str">
        <f t="shared" si="9"/>
        <v>-</v>
      </c>
      <c r="H30" s="26">
        <f t="shared" si="10"/>
        <v>29765.89</v>
      </c>
      <c r="I30" s="26">
        <f t="shared" si="11"/>
        <v>29610.626175245518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34.700000000000003</v>
      </c>
      <c r="D31" s="30">
        <v>373.9</v>
      </c>
      <c r="E31" s="29">
        <f t="shared" si="7"/>
        <v>2.6995415327966499E-2</v>
      </c>
      <c r="F31" s="28">
        <f t="shared" si="8"/>
        <v>34.518999038195041</v>
      </c>
      <c r="G31" s="27" t="str">
        <f t="shared" si="9"/>
        <v>-</v>
      </c>
      <c r="H31" s="26">
        <f t="shared" si="10"/>
        <v>12974.33</v>
      </c>
      <c r="I31" s="26">
        <f t="shared" si="11"/>
        <v>12906.653740381125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36.237572974594464</v>
      </c>
      <c r="D32" s="22">
        <f>SUM(D26:D31)</f>
        <v>8667.4</v>
      </c>
      <c r="E32" s="21">
        <f t="shared" si="7"/>
        <v>0.62578246272697735</v>
      </c>
      <c r="F32" s="20">
        <f>I32/D32</f>
        <v>36.048551776845784</v>
      </c>
      <c r="G32" s="19">
        <f>F32/C32-1</f>
        <v>-5.2161660462526349E-3</v>
      </c>
      <c r="H32" s="18">
        <f>SUM(H26:H31)</f>
        <v>314085.54000000004</v>
      </c>
      <c r="I32" s="18">
        <f>SUM(I26:I31)</f>
        <v>312447.21767063311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20.8</v>
      </c>
      <c r="D34" s="30">
        <v>2151</v>
      </c>
      <c r="E34" s="29">
        <f t="shared" ref="E34:E40" si="13">D34/$D$48</f>
        <v>0.15530125266235875</v>
      </c>
      <c r="F34" s="28">
        <f t="shared" ref="F34:F39" si="14">C34-(C34*$E$6)</f>
        <v>20.691503746237949</v>
      </c>
      <c r="G34" s="27" t="str">
        <f t="shared" ref="G34:G39" si="15">IF(C34&gt;=F34,"-","+")</f>
        <v>-</v>
      </c>
      <c r="H34" s="26">
        <f t="shared" ref="H34:H39" si="16">C34*D34</f>
        <v>44740.800000000003</v>
      </c>
      <c r="I34" s="26">
        <f t="shared" ref="I34:I39" si="17">F34*D34</f>
        <v>44507.424558157829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/>
      <c r="E35" s="29">
        <f t="shared" si="13"/>
        <v>0</v>
      </c>
      <c r="F35" s="28">
        <f t="shared" si="14"/>
        <v>15.916541343259961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12.9</v>
      </c>
      <c r="D36" s="30"/>
      <c r="E36" s="29">
        <f t="shared" si="13"/>
        <v>0</v>
      </c>
      <c r="F36" s="28">
        <f t="shared" si="14"/>
        <v>12.832711458003343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34.1</v>
      </c>
      <c r="D37" s="30"/>
      <c r="E37" s="29">
        <f t="shared" si="13"/>
        <v>0</v>
      </c>
      <c r="F37" s="28">
        <f t="shared" si="14"/>
        <v>33.922128737822796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34.1</v>
      </c>
      <c r="D38" s="30"/>
      <c r="E38" s="29">
        <f t="shared" si="13"/>
        <v>0</v>
      </c>
      <c r="F38" s="28">
        <f t="shared" si="14"/>
        <v>33.922128737822796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35.299999999999997</v>
      </c>
      <c r="D39" s="30"/>
      <c r="E39" s="29">
        <f t="shared" si="13"/>
        <v>0</v>
      </c>
      <c r="F39" s="28">
        <f t="shared" si="14"/>
        <v>35.115869338567286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20.8</v>
      </c>
      <c r="D40" s="22">
        <f>SUM(D34:D39)</f>
        <v>2151</v>
      </c>
      <c r="E40" s="113">
        <f t="shared" si="13"/>
        <v>0.15530125266235875</v>
      </c>
      <c r="F40" s="20">
        <f>I40/D40</f>
        <v>20.691503746237949</v>
      </c>
      <c r="G40" s="19">
        <f>F40/C40-1</f>
        <v>-5.2161660462525239E-3</v>
      </c>
      <c r="H40" s="18">
        <f>SUM(H34:H39)</f>
        <v>44740.800000000003</v>
      </c>
      <c r="I40" s="18">
        <f>SUM(I34:I39)</f>
        <v>44507.424558157829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1966</v>
      </c>
      <c r="E42" s="107">
        <f>D42/$D$48</f>
        <v>0.14194433413956176</v>
      </c>
      <c r="F42" s="28">
        <f>C42-(C42*$E$6)</f>
        <v>0.49739191697687379</v>
      </c>
      <c r="G42" s="27" t="str">
        <f>IF(C42&gt;=F42,"-","+")</f>
        <v>-</v>
      </c>
      <c r="H42" s="26">
        <f>C42*D42</f>
        <v>983</v>
      </c>
      <c r="I42" s="26">
        <f>F42*D42</f>
        <v>977.87250877653389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87.1</v>
      </c>
      <c r="E43" s="107">
        <f>D43/$D$48</f>
        <v>6.2885816396519977E-3</v>
      </c>
      <c r="F43" s="28">
        <f>C43-(C43*$E$6)</f>
        <v>0.49739191697687379</v>
      </c>
      <c r="G43" s="27" t="str">
        <f>IF(C43&gt;=F43,"-","+")</f>
        <v>-</v>
      </c>
      <c r="H43" s="26">
        <f>C43*D43</f>
        <v>43.55</v>
      </c>
      <c r="I43" s="26">
        <f>F43*D43</f>
        <v>43.322835968685702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4.7651709324573116E-4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0.49839782492596013</v>
      </c>
      <c r="D46" s="22">
        <f>SUM(D41:D45)</f>
        <v>2059.6999999999998</v>
      </c>
      <c r="E46" s="113">
        <f>D46/$D$48</f>
        <v>0.14870943287245947</v>
      </c>
      <c r="F46" s="20">
        <f>I46/D46</f>
        <v>0.49579809911405531</v>
      </c>
      <c r="G46" s="19">
        <f>F46/C46-1</f>
        <v>-5.2161660462523018E-3</v>
      </c>
      <c r="H46" s="18">
        <f>SUM(H41:H44)</f>
        <v>1026.55</v>
      </c>
      <c r="I46" s="18">
        <f>SUM(I41:I44)</f>
        <v>1021.1953447452196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109.84415673123576</v>
      </c>
      <c r="D48" s="13">
        <f>D24+D32+D40+D46</f>
        <v>13850.5</v>
      </c>
      <c r="E48" s="12">
        <f>SUM(E20:E46)/2</f>
        <v>0.99999999999999989</v>
      </c>
      <c r="F48" s="11">
        <f>I48/D48</f>
        <v>29.498935056496137</v>
      </c>
      <c r="G48" s="10"/>
      <c r="H48" s="9">
        <f>SUM(H20:H46)/2</f>
        <v>410717.37000000011</v>
      </c>
      <c r="I48" s="9">
        <f>SUM(I20:I46)/2</f>
        <v>408574.99999999977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13850.499999999998</v>
      </c>
      <c r="E50" s="12">
        <f>D50/G2</f>
        <v>1.0000361010830323</v>
      </c>
      <c r="F50" s="11">
        <f>I50/D50</f>
        <v>29.498935056496144</v>
      </c>
      <c r="G50" s="10"/>
      <c r="H50" s="9">
        <f>H48+H19</f>
        <v>410717.37000000011</v>
      </c>
      <c r="I50" s="9">
        <f>I48+I19</f>
        <v>408574.99999999977</v>
      </c>
      <c r="J50" s="106">
        <f>D50-G2</f>
        <v>0.49999999999818101</v>
      </c>
      <c r="K50" s="8"/>
    </row>
    <row r="51" spans="1:11" ht="23.25" x14ac:dyDescent="0.35">
      <c r="A51" s="174" t="s">
        <v>425</v>
      </c>
      <c r="B51" s="169"/>
      <c r="C51" s="170"/>
      <c r="G51" s="7"/>
      <c r="H51" s="6"/>
      <c r="I51" s="6">
        <f>+I50/D50</f>
        <v>29.498935056496144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422</v>
      </c>
      <c r="D2" s="96" t="s">
        <v>3</v>
      </c>
      <c r="E2" s="95" t="s">
        <v>71</v>
      </c>
      <c r="F2" s="94" t="s">
        <v>5</v>
      </c>
      <c r="G2" s="93">
        <v>19555.3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272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71.894485294117644</v>
      </c>
      <c r="F4" s="81" t="s">
        <v>12</v>
      </c>
      <c r="G4" s="80">
        <f>G2*G3</f>
        <v>571992.52500000002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-9.2151279019569987E-3</v>
      </c>
      <c r="F6" s="69" t="s">
        <v>16</v>
      </c>
      <c r="G6" s="68">
        <f>(I50-I19)/(D50-(SUM(D42:D44)+D19))</f>
        <v>34.595313464565422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29.570003247527342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>
        <v>2804.8</v>
      </c>
      <c r="E11" s="29">
        <f t="shared" si="1"/>
        <v>0.46196923279638968</v>
      </c>
      <c r="F11" s="28">
        <f t="shared" si="2"/>
        <v>30.781061401009687</v>
      </c>
      <c r="G11" s="27" t="str">
        <f t="shared" si="3"/>
        <v>+</v>
      </c>
      <c r="H11" s="34">
        <f t="shared" si="4"/>
        <v>85546.400000000009</v>
      </c>
      <c r="I11" s="34">
        <f t="shared" si="5"/>
        <v>86334.721017551972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>
        <v>3266.6</v>
      </c>
      <c r="E12" s="29">
        <f t="shared" si="1"/>
        <v>0.53803076720361043</v>
      </c>
      <c r="F12" s="28">
        <f t="shared" si="2"/>
        <v>28.056180555674405</v>
      </c>
      <c r="G12" s="27" t="str">
        <f t="shared" si="3"/>
        <v>+</v>
      </c>
      <c r="H12" s="34">
        <f t="shared" si="4"/>
        <v>90811.48</v>
      </c>
      <c r="I12" s="34">
        <f t="shared" si="5"/>
        <v>91648.31940316601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30.781061401009687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>
        <f t="shared" si="1"/>
        <v>0</v>
      </c>
      <c r="F14" s="28">
        <f t="shared" si="2"/>
        <v>34.414235861456739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>
        <f t="shared" si="1"/>
        <v>0</v>
      </c>
      <c r="F15" s="28">
        <f t="shared" si="2"/>
        <v>28.358945094044994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>
        <f t="shared" si="1"/>
        <v>0</v>
      </c>
      <c r="F16" s="28">
        <f t="shared" si="2"/>
        <v>38.753860911435147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>
        <f t="shared" si="1"/>
        <v>0</v>
      </c>
      <c r="F17" s="28">
        <f t="shared" si="2"/>
        <v>57.121576239250764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50.05707034393707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29.047316928550256</v>
      </c>
      <c r="D19" s="49">
        <f>SUM(D10:D18)</f>
        <v>6071.4</v>
      </c>
      <c r="E19" s="48">
        <f t="shared" si="1"/>
        <v>1</v>
      </c>
      <c r="F19" s="47">
        <f>I19/D19</f>
        <v>29.314991669255523</v>
      </c>
      <c r="G19" s="46">
        <f>F19/C19-1</f>
        <v>9.2151279019567767E-3</v>
      </c>
      <c r="H19" s="9">
        <f>SUM(H10:H18)</f>
        <v>176357.88</v>
      </c>
      <c r="I19" s="9">
        <f>SUM(I10:I18)</f>
        <v>177983.04042071797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131.80000000000001</v>
      </c>
      <c r="E21" s="29">
        <f>D21/$D$48</f>
        <v>9.7746201024926042E-3</v>
      </c>
      <c r="F21" s="28">
        <f>C21-(C21*$E$6)</f>
        <v>74.278233413584033</v>
      </c>
      <c r="G21" s="27" t="str">
        <f>IF(C21&gt;=F21,"-","+")</f>
        <v>+</v>
      </c>
      <c r="H21" s="26">
        <f>C21*D21</f>
        <v>9700.48</v>
      </c>
      <c r="I21" s="26">
        <f>F21*D21</f>
        <v>9789.8711639103767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398.6</v>
      </c>
      <c r="E22" s="29">
        <f>D22/$D$48</f>
        <v>2.9561180370664276E-2</v>
      </c>
      <c r="F22" s="28">
        <f>C22-(C22*$E$6)</f>
        <v>49.855227318356675</v>
      </c>
      <c r="G22" s="27" t="str">
        <f>IF(C22&gt;=F22,"-","+")</f>
        <v>+</v>
      </c>
      <c r="H22" s="26">
        <f>C22*D22</f>
        <v>19690.84</v>
      </c>
      <c r="I22" s="26">
        <f>F22*D22</f>
        <v>19872.293609096971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323.3</v>
      </c>
      <c r="E23" s="29">
        <f>D23/$D$48</f>
        <v>2.3976742633807727E-2</v>
      </c>
      <c r="F23" s="28">
        <f>C23-(C23*$E$6)</f>
        <v>45.414680755588066</v>
      </c>
      <c r="G23" s="27" t="str">
        <f>IF(C23&gt;=F23,"-","+")</f>
        <v>+</v>
      </c>
      <c r="H23" s="26">
        <f>C23*D23</f>
        <v>14548.5</v>
      </c>
      <c r="I23" s="26">
        <f>F23*D23</f>
        <v>14682.566288281621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51.469860606770524</v>
      </c>
      <c r="D24" s="22">
        <f>SUM(D21:D23)</f>
        <v>853.7</v>
      </c>
      <c r="E24" s="21">
        <f>D24/$D$48</f>
        <v>6.3312543106964603E-2</v>
      </c>
      <c r="F24" s="20">
        <f>I24/D24</f>
        <v>51.944161955357814</v>
      </c>
      <c r="G24" s="19">
        <f>F24/C24-1</f>
        <v>9.2151279019569987E-3</v>
      </c>
      <c r="H24" s="18">
        <f>SUM(H21:H23)</f>
        <v>43939.82</v>
      </c>
      <c r="I24" s="18">
        <f>SUM(I21:I23)</f>
        <v>44344.731061288971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588.1+1812</f>
        <v>2400.1</v>
      </c>
      <c r="E26" s="29">
        <f t="shared" ref="E26:E32" si="7">D26/$D$48</f>
        <v>0.1779974636418247</v>
      </c>
      <c r="F26" s="28">
        <f t="shared" ref="F26:F31" si="8">C26-(C26*$E$6)</f>
        <v>39.662154526546907</v>
      </c>
      <c r="G26" s="27" t="str">
        <f t="shared" ref="G26:G31" si="9">IF(C26&gt;=F26,"-","+")</f>
        <v>+</v>
      </c>
      <c r="H26" s="26">
        <f t="shared" ref="H26:H31" si="10">C26*D26</f>
        <v>94323.93</v>
      </c>
      <c r="I26" s="26">
        <f t="shared" ref="I26:I31" si="11">F26*D26</f>
        <v>95193.13707916523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2022.6</v>
      </c>
      <c r="E27" s="29">
        <f t="shared" si="7"/>
        <v>0.15000111243779618</v>
      </c>
      <c r="F27" s="28">
        <f t="shared" si="8"/>
        <v>35.322529476568498</v>
      </c>
      <c r="G27" s="27" t="str">
        <f t="shared" si="9"/>
        <v>+</v>
      </c>
      <c r="H27" s="26">
        <f t="shared" si="10"/>
        <v>70791</v>
      </c>
      <c r="I27" s="26">
        <f t="shared" si="11"/>
        <v>71443.34811930744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1407</v>
      </c>
      <c r="E28" s="29">
        <f t="shared" si="7"/>
        <v>0.10434666528229963</v>
      </c>
      <c r="F28" s="28">
        <f t="shared" si="8"/>
        <v>35.322529476568498</v>
      </c>
      <c r="G28" s="27" t="str">
        <f t="shared" si="9"/>
        <v>+</v>
      </c>
      <c r="H28" s="26">
        <f t="shared" si="10"/>
        <v>49245</v>
      </c>
      <c r="I28" s="26">
        <f t="shared" si="11"/>
        <v>49698.798973531877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1423.8</v>
      </c>
      <c r="E29" s="29">
        <f t="shared" si="7"/>
        <v>0.10559259561402858</v>
      </c>
      <c r="F29" s="28">
        <f t="shared" si="8"/>
        <v>34.111471323086143</v>
      </c>
      <c r="G29" s="27" t="str">
        <f t="shared" si="9"/>
        <v>+</v>
      </c>
      <c r="H29" s="26">
        <f t="shared" si="10"/>
        <v>48124.439999999995</v>
      </c>
      <c r="I29" s="26">
        <f t="shared" si="11"/>
        <v>48567.912869810047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1000.3</v>
      </c>
      <c r="E30" s="29">
        <f t="shared" si="7"/>
        <v>7.4184768501694615E-2</v>
      </c>
      <c r="F30" s="28">
        <f t="shared" si="8"/>
        <v>34.111471323086143</v>
      </c>
      <c r="G30" s="27" t="str">
        <f t="shared" si="9"/>
        <v>+</v>
      </c>
      <c r="H30" s="26">
        <f t="shared" si="10"/>
        <v>33810.139999999992</v>
      </c>
      <c r="I30" s="26">
        <f t="shared" si="11"/>
        <v>34121.704764483067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179.7</v>
      </c>
      <c r="E31" s="29">
        <f t="shared" si="7"/>
        <v>1.3327004798315027E-2</v>
      </c>
      <c r="F31" s="28">
        <f t="shared" si="8"/>
        <v>34.71700039982732</v>
      </c>
      <c r="G31" s="27" t="str">
        <f t="shared" si="9"/>
        <v>+</v>
      </c>
      <c r="H31" s="26">
        <f t="shared" si="10"/>
        <v>6181.6799999999994</v>
      </c>
      <c r="I31" s="26">
        <f t="shared" si="11"/>
        <v>6238.6449718489694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35.86603308235015</v>
      </c>
      <c r="D32" s="22">
        <f>SUM(D26:D31)</f>
        <v>8433.5</v>
      </c>
      <c r="E32" s="21">
        <f t="shared" si="7"/>
        <v>0.6254496102759588</v>
      </c>
      <c r="F32" s="20">
        <f>I32/D32</f>
        <v>36.196543164539833</v>
      </c>
      <c r="G32" s="19">
        <f>F32/C32-1</f>
        <v>9.2151279019572208E-3</v>
      </c>
      <c r="H32" s="18">
        <f>SUM(H26:H31)</f>
        <v>302476.19</v>
      </c>
      <c r="I32" s="18">
        <f>SUM(I26:I31)</f>
        <v>305263.5467781467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2009.9</v>
      </c>
      <c r="E34" s="29">
        <f t="shared" ref="E34:E40" si="13">D34/$D$48</f>
        <v>0.14905924843702489</v>
      </c>
      <c r="F34" s="28">
        <f t="shared" ref="F34:F39" si="14">C34-(C34*$E$6)</f>
        <v>20.890753147570511</v>
      </c>
      <c r="G34" s="27" t="str">
        <f t="shared" ref="G34:G39" si="15">IF(C34&gt;=F34,"-","+")</f>
        <v>+</v>
      </c>
      <c r="H34" s="26">
        <f t="shared" ref="H34:H39" si="16">C34*D34</f>
        <v>41604.93</v>
      </c>
      <c r="I34" s="26">
        <f t="shared" ref="I34:I39" si="17">F34*D34</f>
        <v>41988.324751301974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85</v>
      </c>
      <c r="E35" s="29">
        <f t="shared" si="13"/>
        <v>6.303814178390525E-3</v>
      </c>
      <c r="F35" s="28">
        <f t="shared" si="14"/>
        <v>16.046520533641118</v>
      </c>
      <c r="G35" s="27" t="str">
        <f t="shared" si="15"/>
        <v>+</v>
      </c>
      <c r="H35" s="26">
        <f t="shared" si="16"/>
        <v>1351.5</v>
      </c>
      <c r="I35" s="26">
        <f t="shared" si="17"/>
        <v>1363.954245359495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12.91795363714505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34.111471323086143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34.111471323086143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35.322529476568498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20.505241300300728</v>
      </c>
      <c r="D40" s="22">
        <f>SUM(D34:D39)</f>
        <v>2094.9</v>
      </c>
      <c r="E40" s="113">
        <f t="shared" si="13"/>
        <v>0.15536306261541544</v>
      </c>
      <c r="F40" s="20">
        <f>I40/D40</f>
        <v>20.694199721543495</v>
      </c>
      <c r="G40" s="19">
        <f>F40/C40-1</f>
        <v>9.2151279019572208E-3</v>
      </c>
      <c r="H40" s="18">
        <f>SUM(H34:H39)</f>
        <v>42956.43</v>
      </c>
      <c r="I40" s="18">
        <f>SUM(I34:I39)</f>
        <v>43352.278996661465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1970</v>
      </c>
      <c r="E42" s="107">
        <f>D42/$D$48</f>
        <v>0.14610016389916863</v>
      </c>
      <c r="F42" s="28">
        <f>C42-(C42*$E$6)</f>
        <v>0.5046075639509785</v>
      </c>
      <c r="G42" s="27" t="str">
        <f>IF(C42&gt;=F42,"-","+")</f>
        <v>+</v>
      </c>
      <c r="H42" s="26">
        <f>C42*D42</f>
        <v>985</v>
      </c>
      <c r="I42" s="26">
        <f>F42*D42</f>
        <v>994.07690098342766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108.7</v>
      </c>
      <c r="E43" s="107">
        <f>D43/$D$48</f>
        <v>8.0614658963652948E-3</v>
      </c>
      <c r="F43" s="28">
        <f>C43-(C43*$E$6)</f>
        <v>0.5046075639509785</v>
      </c>
      <c r="G43" s="27" t="str">
        <f>IF(C43&gt;=F43,"-","+")</f>
        <v>+</v>
      </c>
      <c r="H43" s="26">
        <f>C43*D43</f>
        <v>54.35</v>
      </c>
      <c r="I43" s="26">
        <f>F43*D43</f>
        <v>54.850842201471366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16.100000000000001</v>
      </c>
      <c r="E44" s="107">
        <f>D44/$D$48</f>
        <v>1.1940165679069114E-3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</v>
      </c>
      <c r="E45" s="107">
        <f>D45/$D$48</f>
        <v>5.1913763822039616E-4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0.49450471024835857</v>
      </c>
      <c r="D46" s="22">
        <f>SUM(D41:D45)</f>
        <v>2101.7999999999997</v>
      </c>
      <c r="E46" s="113">
        <f>D46/$D$48</f>
        <v>0.15587478400166122</v>
      </c>
      <c r="F46" s="20">
        <f>I46/D46</f>
        <v>0.49906163440141749</v>
      </c>
      <c r="G46" s="19">
        <f>F46/C46-1</f>
        <v>9.2151279019572208E-3</v>
      </c>
      <c r="H46" s="18">
        <f>SUM(H41:H44)</f>
        <v>1039.3499999999999</v>
      </c>
      <c r="I46" s="18">
        <f>SUM(I41:I44)</f>
        <v>1048.9277431848991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108.33563969966976</v>
      </c>
      <c r="D48" s="13">
        <f>D24+D32+D40+D46</f>
        <v>13483.9</v>
      </c>
      <c r="E48" s="12">
        <f>SUM(E20:E46)/2</f>
        <v>1</v>
      </c>
      <c r="F48" s="11">
        <f>I48/D48</f>
        <v>29.220736180132015</v>
      </c>
      <c r="G48" s="10"/>
      <c r="H48" s="9">
        <f>SUM(H20:H46)/2</f>
        <v>390411.79000000004</v>
      </c>
      <c r="I48" s="9">
        <f>SUM(I20:I46)/2</f>
        <v>394009.48457928206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19555.3</v>
      </c>
      <c r="E50" s="12">
        <f>D50/G2</f>
        <v>1</v>
      </c>
      <c r="F50" s="11">
        <f>I50/D50</f>
        <v>29.250000000000004</v>
      </c>
      <c r="G50" s="10"/>
      <c r="H50" s="9">
        <f>H48+H19</f>
        <v>566769.67000000004</v>
      </c>
      <c r="I50" s="9">
        <f>I48+I19</f>
        <v>571992.52500000002</v>
      </c>
      <c r="J50" s="106">
        <f>D50-G2</f>
        <v>0</v>
      </c>
      <c r="K50" s="8"/>
    </row>
    <row r="51" spans="1:11" ht="23.25" x14ac:dyDescent="0.35">
      <c r="A51" s="174" t="s">
        <v>426</v>
      </c>
      <c r="B51" s="169"/>
      <c r="C51" s="170"/>
      <c r="G51" s="7"/>
      <c r="H51" s="6"/>
      <c r="I51" s="6">
        <f>+I50/D50</f>
        <v>29.250000000000004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422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427</v>
      </c>
      <c r="D2" s="96" t="s">
        <v>3</v>
      </c>
      <c r="E2" s="95" t="s">
        <v>362</v>
      </c>
      <c r="F2" s="94" t="s">
        <v>5</v>
      </c>
      <c r="G2" s="93">
        <v>13361.1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166</v>
      </c>
      <c r="F3" s="88" t="s">
        <v>8</v>
      </c>
      <c r="G3" s="87">
        <v>29.5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80.48855421686747</v>
      </c>
      <c r="F4" s="81" t="s">
        <v>12</v>
      </c>
      <c r="G4" s="80">
        <f>G2*G3</f>
        <v>394152.45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-1.5506166195497606E-2</v>
      </c>
      <c r="F6" s="69" t="s">
        <v>16</v>
      </c>
      <c r="G6" s="68">
        <f>(I50-I19)/(D50-(SUM(D42:D44)+D19))</f>
        <v>34.853019563941821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29.5</v>
      </c>
      <c r="D10" s="30"/>
      <c r="E10" s="29">
        <f t="shared" ref="E10:E19" si="1">D10/$D$19</f>
        <v>0</v>
      </c>
      <c r="F10" s="28">
        <f t="shared" ref="F10:F18" si="2">C10-(C10*$E$6)</f>
        <v>29.95743190276718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30.7</v>
      </c>
      <c r="D11" s="30">
        <v>50.3</v>
      </c>
      <c r="E11" s="29">
        <f t="shared" si="1"/>
        <v>0.20932168123179357</v>
      </c>
      <c r="F11" s="28">
        <f t="shared" si="2"/>
        <v>31.176039302201776</v>
      </c>
      <c r="G11" s="27" t="str">
        <f t="shared" si="3"/>
        <v>+</v>
      </c>
      <c r="H11" s="34">
        <f t="shared" si="4"/>
        <v>1544.2099999999998</v>
      </c>
      <c r="I11" s="34">
        <f t="shared" si="5"/>
        <v>1568.1547769007493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28.1</v>
      </c>
      <c r="D12" s="30"/>
      <c r="E12" s="29">
        <f t="shared" si="1"/>
        <v>0</v>
      </c>
      <c r="F12" s="28">
        <f t="shared" si="2"/>
        <v>28.535723270093484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30.7</v>
      </c>
      <c r="D13" s="30"/>
      <c r="E13" s="29">
        <f t="shared" si="1"/>
        <v>0</v>
      </c>
      <c r="F13" s="28">
        <f t="shared" si="2"/>
        <v>31.176039302201776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34.299999999999997</v>
      </c>
      <c r="D14" s="30"/>
      <c r="E14" s="29">
        <f t="shared" si="1"/>
        <v>0</v>
      </c>
      <c r="F14" s="28">
        <f t="shared" si="2"/>
        <v>34.831861500505568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28.3</v>
      </c>
      <c r="D15" s="30"/>
      <c r="E15" s="29">
        <f t="shared" si="1"/>
        <v>0</v>
      </c>
      <c r="F15" s="28">
        <f t="shared" si="2"/>
        <v>28.738824503332584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38.799999999999997</v>
      </c>
      <c r="D16" s="30">
        <v>190</v>
      </c>
      <c r="E16" s="29">
        <f t="shared" si="1"/>
        <v>0.79067831876820638</v>
      </c>
      <c r="F16" s="28">
        <f t="shared" si="2"/>
        <v>39.401639248385301</v>
      </c>
      <c r="G16" s="27" t="str">
        <f t="shared" si="3"/>
        <v>+</v>
      </c>
      <c r="H16" s="34">
        <f t="shared" si="4"/>
        <v>7371.9999999999991</v>
      </c>
      <c r="I16" s="34">
        <f t="shared" si="5"/>
        <v>7486.3114571932074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57.1</v>
      </c>
      <c r="D17" s="30"/>
      <c r="E17" s="29">
        <f t="shared" si="1"/>
        <v>0</v>
      </c>
      <c r="F17" s="28">
        <f t="shared" si="2"/>
        <v>57.985402089762914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</v>
      </c>
      <c r="D18" s="30"/>
      <c r="E18" s="29">
        <f t="shared" si="1"/>
        <v>0</v>
      </c>
      <c r="F18" s="28">
        <f t="shared" si="2"/>
        <v>50.775308309774879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37.104494382022466</v>
      </c>
      <c r="D19" s="49">
        <f>SUM(D10:D18)</f>
        <v>240.3</v>
      </c>
      <c r="E19" s="48">
        <f t="shared" si="1"/>
        <v>1</v>
      </c>
      <c r="F19" s="47">
        <f>I19/D19</f>
        <v>37.679842838510019</v>
      </c>
      <c r="G19" s="46">
        <f>F19/C19-1</f>
        <v>1.5506166195497828E-2</v>
      </c>
      <c r="H19" s="9">
        <f>SUM(H10:H18)</f>
        <v>8916.2099999999991</v>
      </c>
      <c r="I19" s="9">
        <f>SUM(I10:I18)</f>
        <v>9054.4662340939576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74.2</v>
      </c>
      <c r="D21" s="30">
        <v>108.1</v>
      </c>
      <c r="E21" s="29">
        <f>D21/$D$48</f>
        <v>8.2388269007987302E-3</v>
      </c>
      <c r="F21" s="28">
        <f>C21-(C21*$E$6)</f>
        <v>75.350557531705931</v>
      </c>
      <c r="G21" s="27" t="str">
        <f>IF(C21&gt;=F21,"-","+")</f>
        <v>+</v>
      </c>
      <c r="H21" s="26">
        <f>C21*D21</f>
        <v>8021.0199999999995</v>
      </c>
      <c r="I21" s="26">
        <f>F21*D21</f>
        <v>8145.3952691774111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49.8</v>
      </c>
      <c r="D22" s="30">
        <v>531.20000000000005</v>
      </c>
      <c r="E22" s="29">
        <f>D22/$D$48</f>
        <v>4.0485336259984149E-2</v>
      </c>
      <c r="F22" s="28">
        <f>C22-(C22*$E$6)</f>
        <v>50.572207076535776</v>
      </c>
      <c r="G22" s="27" t="str">
        <f>IF(C22&gt;=F22,"-","+")</f>
        <v>+</v>
      </c>
      <c r="H22" s="26">
        <f>C22*D22</f>
        <v>26453.760000000002</v>
      </c>
      <c r="I22" s="26">
        <f>F22*D22</f>
        <v>26863.956399055805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45.4</v>
      </c>
      <c r="D23" s="30">
        <v>135</v>
      </c>
      <c r="E23" s="29">
        <f>D23/$D$48</f>
        <v>1.0289006767880006E-2</v>
      </c>
      <c r="F23" s="28">
        <f>C23-(C23*$E$6)</f>
        <v>46.10397994527559</v>
      </c>
      <c r="G23" s="27" t="str">
        <f>IF(C23&gt;=F23,"-","+")</f>
        <v>+</v>
      </c>
      <c r="H23" s="26">
        <f>C23*D23</f>
        <v>6129</v>
      </c>
      <c r="I23" s="26">
        <f>F23*D23</f>
        <v>6224.0372926122045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52.439338757587493</v>
      </c>
      <c r="D24" s="22">
        <f>SUM(D21:D23)</f>
        <v>774.30000000000007</v>
      </c>
      <c r="E24" s="21">
        <f>D24/$D$48</f>
        <v>5.9013169928662887E-2</v>
      </c>
      <c r="F24" s="20">
        <f>I24/D24</f>
        <v>53.252471859544649</v>
      </c>
      <c r="G24" s="19">
        <f>F24/C24-1</f>
        <v>1.5506166195497606E-2</v>
      </c>
      <c r="H24" s="18">
        <f>SUM(H21:H23)</f>
        <v>40603.78</v>
      </c>
      <c r="I24" s="18">
        <f>SUM(I21:I23)</f>
        <v>41233.388960845426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39.6</v>
      </c>
      <c r="D26" s="30">
        <f>270+42.7+2011.4</f>
        <v>2324.1</v>
      </c>
      <c r="E26" s="29">
        <f t="shared" ref="E26:E32" si="7">D26/$D$48</f>
        <v>0.17713096762392536</v>
      </c>
      <c r="F26" s="28">
        <f t="shared" ref="F26:F31" si="8">C26-(C26*$E$6)</f>
        <v>40.214044181341706</v>
      </c>
      <c r="G26" s="27" t="str">
        <f t="shared" ref="G26:G31" si="9">IF(C26&gt;=F26,"-","+")</f>
        <v>+</v>
      </c>
      <c r="H26" s="26">
        <f t="shared" ref="H26:H31" si="10">C26*D26</f>
        <v>92034.36</v>
      </c>
      <c r="I26" s="26">
        <f t="shared" ref="I26:I31" si="11">F26*D26</f>
        <v>93461.460081856261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35.299999999999997</v>
      </c>
      <c r="D27" s="30">
        <v>1994</v>
      </c>
      <c r="E27" s="29">
        <f t="shared" si="7"/>
        <v>0.15197244070483507</v>
      </c>
      <c r="F27" s="28">
        <f t="shared" si="8"/>
        <v>35.847367666701061</v>
      </c>
      <c r="G27" s="27" t="str">
        <f t="shared" si="9"/>
        <v>+</v>
      </c>
      <c r="H27" s="26">
        <f t="shared" si="10"/>
        <v>70388.2</v>
      </c>
      <c r="I27" s="26">
        <f t="shared" si="11"/>
        <v>71479.651127401914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35.299999999999997</v>
      </c>
      <c r="D28" s="30">
        <v>1424.6</v>
      </c>
      <c r="E28" s="29">
        <f t="shared" si="7"/>
        <v>0.1085756966038656</v>
      </c>
      <c r="F28" s="28">
        <f t="shared" si="8"/>
        <v>35.847367666701061</v>
      </c>
      <c r="G28" s="27" t="str">
        <f t="shared" si="9"/>
        <v>+</v>
      </c>
      <c r="H28" s="26">
        <f t="shared" si="10"/>
        <v>50288.37999999999</v>
      </c>
      <c r="I28" s="26">
        <f t="shared" si="11"/>
        <v>51068.15997798233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34.1</v>
      </c>
      <c r="D29" s="30">
        <v>1353</v>
      </c>
      <c r="E29" s="29">
        <f t="shared" si="7"/>
        <v>0.10311871227364185</v>
      </c>
      <c r="F29" s="28">
        <f t="shared" si="8"/>
        <v>34.628760267266472</v>
      </c>
      <c r="G29" s="27" t="str">
        <f t="shared" si="9"/>
        <v>+</v>
      </c>
      <c r="H29" s="26">
        <f t="shared" si="10"/>
        <v>46137.3</v>
      </c>
      <c r="I29" s="26">
        <f t="shared" si="11"/>
        <v>46852.712641611535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34.1</v>
      </c>
      <c r="D30" s="30">
        <v>806.1</v>
      </c>
      <c r="E30" s="29">
        <f t="shared" si="7"/>
        <v>6.1436802633985731E-2</v>
      </c>
      <c r="F30" s="28">
        <f t="shared" si="8"/>
        <v>34.628760267266472</v>
      </c>
      <c r="G30" s="27" t="str">
        <f t="shared" si="9"/>
        <v>+</v>
      </c>
      <c r="H30" s="26">
        <f t="shared" si="10"/>
        <v>27488.010000000002</v>
      </c>
      <c r="I30" s="26">
        <f t="shared" si="11"/>
        <v>27914.243651443503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34.700000000000003</v>
      </c>
      <c r="D31" s="30">
        <v>181.2</v>
      </c>
      <c r="E31" s="29">
        <f t="shared" si="7"/>
        <v>1.3810133528443385E-2</v>
      </c>
      <c r="F31" s="28">
        <f t="shared" si="8"/>
        <v>35.238063966983773</v>
      </c>
      <c r="G31" s="27" t="str">
        <f t="shared" si="9"/>
        <v>+</v>
      </c>
      <c r="H31" s="26">
        <f t="shared" si="10"/>
        <v>6287.64</v>
      </c>
      <c r="I31" s="26">
        <f t="shared" si="11"/>
        <v>6385.1371908174597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36.202386490164542</v>
      </c>
      <c r="D32" s="22">
        <f>SUM(D26:D31)</f>
        <v>8083.0000000000009</v>
      </c>
      <c r="E32" s="21">
        <f t="shared" si="7"/>
        <v>0.61604475336869702</v>
      </c>
      <c r="F32" s="20">
        <f>I32/D32</f>
        <v>36.763746711754663</v>
      </c>
      <c r="G32" s="19">
        <f>F32/C32-1</f>
        <v>1.5506166195497384E-2</v>
      </c>
      <c r="H32" s="18">
        <f>SUM(H26:H31)</f>
        <v>292623.89</v>
      </c>
      <c r="I32" s="18">
        <f>SUM(I26:I31)</f>
        <v>297161.36467111297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20.8</v>
      </c>
      <c r="D34" s="30">
        <v>2070</v>
      </c>
      <c r="E34" s="29">
        <f t="shared" ref="E34:E40" si="13">D34/$D$48</f>
        <v>0.15776477044082676</v>
      </c>
      <c r="F34" s="28">
        <f t="shared" ref="F34:F39" si="14">C34-(C34*$E$6)</f>
        <v>21.122528256866349</v>
      </c>
      <c r="G34" s="27" t="str">
        <f t="shared" ref="G34:G39" si="15">IF(C34&gt;=F34,"-","+")</f>
        <v>+</v>
      </c>
      <c r="H34" s="26">
        <f t="shared" ref="H34:H39" si="16">C34*D34</f>
        <v>43056</v>
      </c>
      <c r="I34" s="26">
        <f t="shared" ref="I34:I39" si="17">F34*D34</f>
        <v>43723.633491713343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>
        <v>119.1</v>
      </c>
      <c r="E35" s="29">
        <f t="shared" si="13"/>
        <v>9.0771904152185823E-3</v>
      </c>
      <c r="F35" s="28">
        <f t="shared" si="14"/>
        <v>16.248098659127962</v>
      </c>
      <c r="G35" s="27" t="str">
        <f t="shared" si="15"/>
        <v>+</v>
      </c>
      <c r="H35" s="26">
        <f t="shared" si="16"/>
        <v>1905.6</v>
      </c>
      <c r="I35" s="26">
        <f t="shared" si="17"/>
        <v>1935.1485503021402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12.9</v>
      </c>
      <c r="D36" s="30"/>
      <c r="E36" s="29">
        <f t="shared" si="13"/>
        <v>0</v>
      </c>
      <c r="F36" s="28">
        <f t="shared" si="14"/>
        <v>13.10002954392192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34.1</v>
      </c>
      <c r="D37" s="30"/>
      <c r="E37" s="29">
        <f t="shared" si="13"/>
        <v>0</v>
      </c>
      <c r="F37" s="28">
        <f t="shared" si="14"/>
        <v>34.628760267266472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34.1</v>
      </c>
      <c r="D38" s="30"/>
      <c r="E38" s="29">
        <f t="shared" si="13"/>
        <v>0</v>
      </c>
      <c r="F38" s="28">
        <f t="shared" si="14"/>
        <v>34.628760267266472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35.299999999999997</v>
      </c>
      <c r="D39" s="30"/>
      <c r="E39" s="29">
        <f t="shared" si="13"/>
        <v>0</v>
      </c>
      <c r="F39" s="28">
        <f t="shared" si="14"/>
        <v>35.847367666701061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20.538851582842263</v>
      </c>
      <c r="D40" s="22">
        <f>SUM(D34:D39)</f>
        <v>2189.1</v>
      </c>
      <c r="E40" s="113">
        <f t="shared" si="13"/>
        <v>0.16684196085604533</v>
      </c>
      <c r="F40" s="20">
        <f>I40/D40</f>
        <v>20.857330428950476</v>
      </c>
      <c r="G40" s="19">
        <f>F40/C40-1</f>
        <v>1.5506166195497828E-2</v>
      </c>
      <c r="H40" s="18">
        <f>SUM(H34:H39)</f>
        <v>44961.599999999999</v>
      </c>
      <c r="I40" s="18">
        <f>SUM(I34:I39)</f>
        <v>45658.782042015482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146.5+894.4+946</f>
        <v>1986.9</v>
      </c>
      <c r="E42" s="107">
        <f>D42/$D$48</f>
        <v>0.15143131516370953</v>
      </c>
      <c r="F42" s="28">
        <f>C42-(C42*$E$6)</f>
        <v>0.5077530830977488</v>
      </c>
      <c r="G42" s="27" t="str">
        <f>IF(C42&gt;=F42,"-","+")</f>
        <v>+</v>
      </c>
      <c r="H42" s="26">
        <f>C42*D42</f>
        <v>993.45</v>
      </c>
      <c r="I42" s="26">
        <f>F42*D42</f>
        <v>1008.8546008069171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70.099999999999994</v>
      </c>
      <c r="E43" s="107">
        <f>D43/$D$48</f>
        <v>5.3426620328028774E-3</v>
      </c>
      <c r="F43" s="28">
        <f>C43-(C43*$E$6)</f>
        <v>0.5077530830977488</v>
      </c>
      <c r="G43" s="27" t="str">
        <f>IF(C43&gt;=F43,"-","+")</f>
        <v>+</v>
      </c>
      <c r="H43" s="26">
        <f>C43*D43</f>
        <v>35.049999999999997</v>
      </c>
      <c r="I43" s="26">
        <f>F43*D43</f>
        <v>35.593491125152191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14.6</v>
      </c>
      <c r="E44" s="107">
        <f>D44/$D$48</f>
        <v>1.1127370282299858E-3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2.8</v>
      </c>
      <c r="E45" s="107">
        <f>D45/$D$48</f>
        <v>2.1340162185232603E-4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0.49580601619745468</v>
      </c>
      <c r="D46" s="22">
        <f>SUM(D41:D45)</f>
        <v>2074.4</v>
      </c>
      <c r="E46" s="113">
        <f>D46/$D$48</f>
        <v>0.15810011584659472</v>
      </c>
      <c r="F46" s="20">
        <f>I46/D46</f>
        <v>0.50349406668533991</v>
      </c>
      <c r="G46" s="19">
        <f>F46/C46-1</f>
        <v>1.5506166195497384E-2</v>
      </c>
      <c r="H46" s="18">
        <f>SUM(H41:H44)</f>
        <v>1028.5</v>
      </c>
      <c r="I46" s="18">
        <f>SUM(I41:I44)</f>
        <v>1044.4480919320692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109.67638284679175</v>
      </c>
      <c r="D48" s="13">
        <f>D24+D32+D40+D46</f>
        <v>13120.800000000001</v>
      </c>
      <c r="E48" s="12">
        <f>SUM(E20:E46)/2</f>
        <v>0.99999999999999989</v>
      </c>
      <c r="F48" s="11">
        <f>I48/D48</f>
        <v>29.35019082418038</v>
      </c>
      <c r="G48" s="10"/>
      <c r="H48" s="9">
        <f>SUM(H20:H46)/2</f>
        <v>379217.77</v>
      </c>
      <c r="I48" s="9">
        <f>SUM(I20:I46)/2</f>
        <v>385097.98376590596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13361.099999999999</v>
      </c>
      <c r="E50" s="12">
        <f>D50/G2</f>
        <v>0.99999999999999989</v>
      </c>
      <c r="F50" s="11">
        <f>I50/D50</f>
        <v>29.499999999999996</v>
      </c>
      <c r="G50" s="10"/>
      <c r="H50" s="9">
        <f>H48+H19</f>
        <v>388133.98000000004</v>
      </c>
      <c r="I50" s="9">
        <f>I48+I19</f>
        <v>394152.4499999999</v>
      </c>
      <c r="J50" s="106">
        <f>D50-G2</f>
        <v>0</v>
      </c>
      <c r="K50" s="8"/>
    </row>
    <row r="51" spans="1:11" ht="23.25" x14ac:dyDescent="0.35">
      <c r="A51" s="174" t="s">
        <v>428</v>
      </c>
      <c r="B51" s="169"/>
      <c r="C51" s="170"/>
      <c r="G51" s="7"/>
      <c r="H51" s="6"/>
      <c r="I51" s="6">
        <f>+I50/D50</f>
        <v>29.499999999999996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418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427</v>
      </c>
      <c r="D2" s="96" t="s">
        <v>3</v>
      </c>
      <c r="E2" s="95" t="s">
        <v>362</v>
      </c>
      <c r="F2" s="94" t="s">
        <v>5</v>
      </c>
      <c r="G2" s="93">
        <v>9934.7000000000007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136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73.049264705882365</v>
      </c>
      <c r="F4" s="81" t="s">
        <v>12</v>
      </c>
      <c r="G4" s="80">
        <f>G2*G3</f>
        <v>288106.30000000005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2.0628192258209554E-2</v>
      </c>
      <c r="F6" s="69" t="s">
        <v>16</v>
      </c>
      <c r="G6" s="68">
        <f>(I50-I19)/(D50-(SUM(D42:D44)+D19))</f>
        <v>34.301951286784309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28.401782424511921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>
        <v>1650</v>
      </c>
      <c r="E11" s="29">
        <f t="shared" si="1"/>
        <v>0.68478937538908491</v>
      </c>
      <c r="F11" s="28">
        <f t="shared" si="2"/>
        <v>29.577028593802069</v>
      </c>
      <c r="G11" s="27" t="str">
        <f t="shared" si="3"/>
        <v>-</v>
      </c>
      <c r="H11" s="34">
        <f t="shared" si="4"/>
        <v>49830</v>
      </c>
      <c r="I11" s="34">
        <f t="shared" si="5"/>
        <v>48802.097179773416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>
        <v>759.5</v>
      </c>
      <c r="E12" s="29">
        <f t="shared" si="1"/>
        <v>0.31521062461091515</v>
      </c>
      <c r="F12" s="28">
        <f t="shared" si="2"/>
        <v>27.030661893673418</v>
      </c>
      <c r="G12" s="27" t="str">
        <f t="shared" si="3"/>
        <v>-</v>
      </c>
      <c r="H12" s="34">
        <f t="shared" si="4"/>
        <v>20962.2</v>
      </c>
      <c r="I12" s="34">
        <f t="shared" si="5"/>
        <v>20529.78770824496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>
        <f t="shared" si="1"/>
        <v>0</v>
      </c>
      <c r="F13" s="28">
        <f t="shared" si="2"/>
        <v>29.577028593802069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>
        <f t="shared" si="1"/>
        <v>0</v>
      </c>
      <c r="F14" s="28">
        <f t="shared" si="2"/>
        <v>33.102767101672512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>
        <f t="shared" si="1"/>
        <v>0</v>
      </c>
      <c r="F15" s="28">
        <f t="shared" si="2"/>
        <v>27.226536255221774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>
        <f t="shared" si="1"/>
        <v>0</v>
      </c>
      <c r="F16" s="28">
        <f t="shared" si="2"/>
        <v>37.314065874962218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>
        <f t="shared" si="1"/>
        <v>0</v>
      </c>
      <c r="F17" s="28">
        <f t="shared" si="2"/>
        <v>54.942758414314447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48.08715576012191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29.380452376011618</v>
      </c>
      <c r="D19" s="49">
        <f>SUM(D10:D18)</f>
        <v>2409.5</v>
      </c>
      <c r="E19" s="48">
        <f t="shared" si="1"/>
        <v>1</v>
      </c>
      <c r="F19" s="47">
        <f>I19/D19</f>
        <v>28.774386755766084</v>
      </c>
      <c r="G19" s="46">
        <f>F19/C19-1</f>
        <v>-2.0628192258209443E-2</v>
      </c>
      <c r="H19" s="9">
        <f>SUM(H10:H18)</f>
        <v>70792.2</v>
      </c>
      <c r="I19" s="9">
        <f>SUM(I10:I18)</f>
        <v>69331.88488801838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72</v>
      </c>
      <c r="E21" s="29">
        <f>D21/$D$48</f>
        <v>9.5678520172221334E-3</v>
      </c>
      <c r="F21" s="28">
        <f>C21-(C21*$E$6)</f>
        <v>71.396204784376522</v>
      </c>
      <c r="G21" s="27" t="str">
        <f>IF(C21&gt;=F21,"-","+")</f>
        <v>-</v>
      </c>
      <c r="H21" s="26">
        <f>C21*D21</f>
        <v>5248.8</v>
      </c>
      <c r="I21" s="26">
        <f>F21*D21</f>
        <v>5140.5267444751098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273.39999999999998</v>
      </c>
      <c r="E22" s="29">
        <f>D22/$D$48</f>
        <v>3.6331260298729601E-2</v>
      </c>
      <c r="F22" s="28">
        <f>C22-(C22*$E$6)</f>
        <v>47.989218579347735</v>
      </c>
      <c r="G22" s="27" t="str">
        <f>IF(C22&gt;=F22,"-","+")</f>
        <v>-</v>
      </c>
      <c r="H22" s="26">
        <f>C22*D22</f>
        <v>13396.599999999999</v>
      </c>
      <c r="I22" s="26">
        <f>F22*D22</f>
        <v>13120.252359593669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151.19999999999999</v>
      </c>
      <c r="E23" s="29">
        <f>D23/$D$48</f>
        <v>2.009248923616648E-2</v>
      </c>
      <c r="F23" s="28">
        <f>C23-(C23*$E$6)</f>
        <v>43.777919806058037</v>
      </c>
      <c r="G23" s="27" t="str">
        <f>IF(C23&gt;=F23,"-","+")</f>
        <v>-</v>
      </c>
      <c r="H23" s="26">
        <f>C23*D23</f>
        <v>6758.64</v>
      </c>
      <c r="I23" s="26">
        <f>F23*D23</f>
        <v>6619.2214746759746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51.155940394683846</v>
      </c>
      <c r="D24" s="22">
        <f>SUM(D21:D23)</f>
        <v>496.59999999999997</v>
      </c>
      <c r="E24" s="21">
        <f>D24/$D$48</f>
        <v>6.5991601552118209E-2</v>
      </c>
      <c r="F24" s="20">
        <f>I24/D24</f>
        <v>50.100685821072808</v>
      </c>
      <c r="G24" s="19">
        <f>F24/C24-1</f>
        <v>-2.0628192258209332E-2</v>
      </c>
      <c r="H24" s="18">
        <f>SUM(H21:H23)</f>
        <v>25404.039999999997</v>
      </c>
      <c r="I24" s="18">
        <f>SUM(I21:I23)</f>
        <v>24880.000578744755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f>313.8+94.7+880.9</f>
        <v>1289.4000000000001</v>
      </c>
      <c r="E26" s="29">
        <f t="shared" ref="E26:E32" si="7">D26/$D$48</f>
        <v>0.17134428320841974</v>
      </c>
      <c r="F26" s="28">
        <f t="shared" ref="F26:F31" si="8">C26-(C26*$E$6)</f>
        <v>38.097563321155647</v>
      </c>
      <c r="G26" s="27" t="str">
        <f t="shared" ref="G26:G31" si="9">IF(C26&gt;=F26,"-","+")</f>
        <v>-</v>
      </c>
      <c r="H26" s="26">
        <f t="shared" ref="H26:H31" si="10">C26*D26</f>
        <v>50157.66</v>
      </c>
      <c r="I26" s="26">
        <f t="shared" ref="I26:I31" si="11">F26*D26</f>
        <v>49122.998146298094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1326</v>
      </c>
      <c r="E27" s="29">
        <f t="shared" si="7"/>
        <v>0.17620794131717429</v>
      </c>
      <c r="F27" s="28">
        <f t="shared" si="8"/>
        <v>33.98420172864013</v>
      </c>
      <c r="G27" s="27" t="str">
        <f t="shared" si="9"/>
        <v>-</v>
      </c>
      <c r="H27" s="26">
        <f t="shared" si="10"/>
        <v>46012.200000000004</v>
      </c>
      <c r="I27" s="26">
        <f t="shared" si="11"/>
        <v>45063.051492176812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1013</v>
      </c>
      <c r="E28" s="29">
        <f t="shared" si="7"/>
        <v>0.13461436240897251</v>
      </c>
      <c r="F28" s="28">
        <f t="shared" si="8"/>
        <v>33.98420172864013</v>
      </c>
      <c r="G28" s="27" t="str">
        <f t="shared" si="9"/>
        <v>-</v>
      </c>
      <c r="H28" s="26">
        <f t="shared" si="10"/>
        <v>35151.100000000006</v>
      </c>
      <c r="I28" s="26">
        <f t="shared" si="11"/>
        <v>34425.996351112452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1004.4</v>
      </c>
      <c r="E29" s="29">
        <f t="shared" si="7"/>
        <v>0.13347153564024877</v>
      </c>
      <c r="F29" s="28">
        <f t="shared" si="8"/>
        <v>32.808955559349982</v>
      </c>
      <c r="G29" s="27" t="str">
        <f t="shared" si="9"/>
        <v>-</v>
      </c>
      <c r="H29" s="26">
        <f t="shared" si="10"/>
        <v>33647.4</v>
      </c>
      <c r="I29" s="26">
        <f t="shared" si="11"/>
        <v>32953.314963811121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420</v>
      </c>
      <c r="E30" s="29">
        <f t="shared" si="7"/>
        <v>5.5812470100462447E-2</v>
      </c>
      <c r="F30" s="28">
        <f t="shared" si="8"/>
        <v>32.808955559349982</v>
      </c>
      <c r="G30" s="27" t="str">
        <f t="shared" si="9"/>
        <v>-</v>
      </c>
      <c r="H30" s="26">
        <f t="shared" si="10"/>
        <v>14070</v>
      </c>
      <c r="I30" s="26">
        <f t="shared" si="11"/>
        <v>13779.761334926992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108.9</v>
      </c>
      <c r="E31" s="29">
        <f t="shared" si="7"/>
        <v>1.4471376176048479E-2</v>
      </c>
      <c r="F31" s="28">
        <f t="shared" si="8"/>
        <v>33.396578643995056</v>
      </c>
      <c r="G31" s="27" t="str">
        <f t="shared" si="9"/>
        <v>-</v>
      </c>
      <c r="H31" s="26">
        <f t="shared" si="10"/>
        <v>3713.4900000000002</v>
      </c>
      <c r="I31" s="26">
        <f t="shared" si="11"/>
        <v>3636.8874143310618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35.40536063699944</v>
      </c>
      <c r="D32" s="22">
        <f>SUM(D26:D31)</f>
        <v>5161.7</v>
      </c>
      <c r="E32" s="21">
        <f t="shared" si="7"/>
        <v>0.68592196885132617</v>
      </c>
      <c r="F32" s="20">
        <f>I32/D32</f>
        <v>34.675012050808171</v>
      </c>
      <c r="G32" s="19">
        <f>F32/C32-1</f>
        <v>-2.0628192258209554E-2</v>
      </c>
      <c r="H32" s="18">
        <f>SUM(H26:H31)</f>
        <v>182751.85</v>
      </c>
      <c r="I32" s="18">
        <f>SUM(I26:I31)</f>
        <v>178982.00970265653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715</v>
      </c>
      <c r="E34" s="29">
        <f t="shared" ref="E34:E40" si="13">D34/$D$48</f>
        <v>9.5014086004358692E-2</v>
      </c>
      <c r="F34" s="28">
        <f t="shared" ref="F34:F39" si="14">C34-(C34*$E$6)</f>
        <v>20.077122058706703</v>
      </c>
      <c r="G34" s="27" t="str">
        <f t="shared" ref="G34:G39" si="15">IF(C34&gt;=F34,"-","+")</f>
        <v>-</v>
      </c>
      <c r="H34" s="26">
        <f t="shared" ref="H34:H39" si="16">C34*D34</f>
        <v>14657.5</v>
      </c>
      <c r="I34" s="26">
        <f t="shared" ref="I34:I39" si="17">F34*D34</f>
        <v>14355.142271975292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/>
      <c r="E35" s="29">
        <f t="shared" si="13"/>
        <v>0</v>
      </c>
      <c r="F35" s="28">
        <f t="shared" si="14"/>
        <v>15.47407456232029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12.438021958320737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32.808955559349982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32.808955559349982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33.98420172864013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</v>
      </c>
      <c r="D40" s="22">
        <f>SUM(D34:D39)</f>
        <v>715</v>
      </c>
      <c r="E40" s="113">
        <f t="shared" si="13"/>
        <v>9.5014086004358692E-2</v>
      </c>
      <c r="F40" s="20">
        <f>I40/D40</f>
        <v>20.077122058706703</v>
      </c>
      <c r="G40" s="19">
        <f>F40/C40-1</f>
        <v>-2.0628192258209666E-2</v>
      </c>
      <c r="H40" s="18">
        <f>SUM(H34:H39)</f>
        <v>14657.5</v>
      </c>
      <c r="I40" s="18">
        <f>SUM(I34:I39)</f>
        <v>14355.142271975292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1102</v>
      </c>
      <c r="E42" s="107">
        <f>D42/$D$48</f>
        <v>0.14644129059692765</v>
      </c>
      <c r="F42" s="28">
        <f>C42-(C42*$E$6)</f>
        <v>0.48968590387089522</v>
      </c>
      <c r="G42" s="27" t="str">
        <f>IF(C42&gt;=F42,"-","+")</f>
        <v>-</v>
      </c>
      <c r="H42" s="26">
        <f>C42*D42</f>
        <v>551</v>
      </c>
      <c r="I42" s="26">
        <f>F42*D42</f>
        <v>539.63386606572658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36</v>
      </c>
      <c r="E43" s="107">
        <f>D43/$D$48</f>
        <v>4.7839260086110667E-3</v>
      </c>
      <c r="F43" s="28">
        <f>C43-(C43*$E$6)</f>
        <v>0.48968590387089522</v>
      </c>
      <c r="G43" s="27" t="str">
        <f>IF(C43&gt;=F43,"-","+")</f>
        <v>-</v>
      </c>
      <c r="H43" s="26">
        <f>C43*D43</f>
        <v>18</v>
      </c>
      <c r="I43" s="26">
        <f>F43*D43</f>
        <v>17.62869253935223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9.3000000000000007</v>
      </c>
      <c r="E44" s="107">
        <f>D44/$D$48</f>
        <v>1.2358475522245256E-3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4.5999999999999996</v>
      </c>
      <c r="E45" s="107">
        <f>D45/$D$48</f>
        <v>6.1127943443363625E-4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0.49396649014671418</v>
      </c>
      <c r="D46" s="22">
        <f>SUM(D41:D45)</f>
        <v>1151.8999999999999</v>
      </c>
      <c r="E46" s="113">
        <f>D46/$D$48</f>
        <v>0.15307234359219687</v>
      </c>
      <c r="F46" s="20">
        <f>I46/D46</f>
        <v>0.48377685441885476</v>
      </c>
      <c r="G46" s="19">
        <f>F46/C46-1</f>
        <v>-2.0628192258209554E-2</v>
      </c>
      <c r="H46" s="18">
        <f>SUM(H41:H44)</f>
        <v>569</v>
      </c>
      <c r="I46" s="18">
        <f>SUM(I41:I44)</f>
        <v>557.26255860507877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107.55526752183</v>
      </c>
      <c r="D48" s="13">
        <f>D24+D32+D40+D46</f>
        <v>7525.2</v>
      </c>
      <c r="E48" s="12">
        <f>SUM(E20:E46)/2</f>
        <v>1</v>
      </c>
      <c r="F48" s="11">
        <f>I48/D48</f>
        <v>29.072239290913416</v>
      </c>
      <c r="G48" s="10"/>
      <c r="H48" s="9">
        <f>SUM(H20:H46)/2</f>
        <v>223382.39</v>
      </c>
      <c r="I48" s="9">
        <f>SUM(I20:I46)/2</f>
        <v>218774.41511198162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9934.6999999999989</v>
      </c>
      <c r="E50" s="12">
        <f>D50/G2</f>
        <v>0.99999999999999978</v>
      </c>
      <c r="F50" s="11">
        <f>I50/D50</f>
        <v>29.000000000000004</v>
      </c>
      <c r="G50" s="10"/>
      <c r="H50" s="9">
        <f>H48+H19</f>
        <v>294174.59000000003</v>
      </c>
      <c r="I50" s="9">
        <f>I48+I19</f>
        <v>288106.3</v>
      </c>
      <c r="J50" s="106">
        <f>D50-G2</f>
        <v>0</v>
      </c>
      <c r="K50" s="8"/>
    </row>
    <row r="51" spans="1:11" ht="23.25" x14ac:dyDescent="0.35">
      <c r="A51" s="174" t="s">
        <v>429</v>
      </c>
      <c r="B51" s="169"/>
      <c r="C51" s="170"/>
      <c r="G51" s="7"/>
      <c r="H51" s="6"/>
      <c r="I51" s="6">
        <f>+I50/D50</f>
        <v>29.000000000000004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418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427</v>
      </c>
      <c r="D2" s="96" t="s">
        <v>3</v>
      </c>
      <c r="E2" s="95" t="s">
        <v>362</v>
      </c>
      <c r="F2" s="94" t="s">
        <v>5</v>
      </c>
      <c r="G2" s="93">
        <v>5816.4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84</v>
      </c>
      <c r="F3" s="88" t="s">
        <v>8</v>
      </c>
      <c r="G3" s="87">
        <v>29.4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69.242857142857133</v>
      </c>
      <c r="F4" s="81" t="s">
        <v>12</v>
      </c>
      <c r="G4" s="80">
        <f>G2*G3</f>
        <v>171002.15999999997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-3.3340192296211768E-3</v>
      </c>
      <c r="F6" s="69" t="s">
        <v>16</v>
      </c>
      <c r="G6" s="68">
        <f>(I50-I19)/(D50-(SUM(D42:D44)+D19))</f>
        <v>35.0550747217154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29.4</v>
      </c>
      <c r="D10" s="30"/>
      <c r="E10" s="29" t="e">
        <f t="shared" ref="E10:E19" si="1">D10/$D$19</f>
        <v>#DIV/0!</v>
      </c>
      <c r="F10" s="28">
        <f t="shared" ref="F10:F18" si="2">C10-(C10*$E$6)</f>
        <v>29.498020165350862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30.6</v>
      </c>
      <c r="D11" s="30"/>
      <c r="E11" s="29" t="e">
        <f t="shared" si="1"/>
        <v>#DIV/0!</v>
      </c>
      <c r="F11" s="28">
        <f t="shared" si="2"/>
        <v>30.702020988426408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</v>
      </c>
      <c r="D12" s="30"/>
      <c r="E12" s="29" t="e">
        <f t="shared" si="1"/>
        <v>#DIV/0!</v>
      </c>
      <c r="F12" s="28">
        <f t="shared" si="2"/>
        <v>28.093352538429393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30.6</v>
      </c>
      <c r="D13" s="30"/>
      <c r="E13" s="29" t="e">
        <f t="shared" si="1"/>
        <v>#DIV/0!</v>
      </c>
      <c r="F13" s="28">
        <f t="shared" si="2"/>
        <v>30.702020988426408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34.200000000000003</v>
      </c>
      <c r="D14" s="30"/>
      <c r="E14" s="29" t="e">
        <f t="shared" si="1"/>
        <v>#DIV/0!</v>
      </c>
      <c r="F14" s="28">
        <f t="shared" si="2"/>
        <v>34.31402345765305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28.2</v>
      </c>
      <c r="D15" s="30"/>
      <c r="E15" s="29" t="e">
        <f t="shared" si="1"/>
        <v>#DIV/0!</v>
      </c>
      <c r="F15" s="28">
        <f t="shared" si="2"/>
        <v>28.294019342275316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38.6</v>
      </c>
      <c r="D16" s="30"/>
      <c r="E16" s="29" t="e">
        <f t="shared" si="1"/>
        <v>#DIV/0!</v>
      </c>
      <c r="F16" s="28">
        <f t="shared" si="2"/>
        <v>38.728693142263381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56.9</v>
      </c>
      <c r="D17" s="30"/>
      <c r="E17" s="29" t="e">
        <f t="shared" si="1"/>
        <v>#DIV/0!</v>
      </c>
      <c r="F17" s="28">
        <f t="shared" si="2"/>
        <v>57.089705694165445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49.8</v>
      </c>
      <c r="D18" s="30"/>
      <c r="E18" s="29" t="e">
        <f t="shared" si="1"/>
        <v>#DIV/0!</v>
      </c>
      <c r="F18" s="28">
        <f t="shared" si="2"/>
        <v>49.966034157635129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73.900000000000006</v>
      </c>
      <c r="D21" s="30">
        <v>73.8</v>
      </c>
      <c r="E21" s="29">
        <f>D21/$D$48</f>
        <v>1.2687824502286558E-2</v>
      </c>
      <c r="F21" s="28">
        <f>C21-(C21*$E$6)</f>
        <v>74.146384021069011</v>
      </c>
      <c r="G21" s="27" t="str">
        <f>IF(C21&gt;=F21,"-","+")</f>
        <v>+</v>
      </c>
      <c r="H21" s="26">
        <f>C21*D21</f>
        <v>5453.8200000000006</v>
      </c>
      <c r="I21" s="26">
        <f>F21*D21</f>
        <v>5472.0031407548931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49.7</v>
      </c>
      <c r="D22" s="30">
        <v>184.5</v>
      </c>
      <c r="E22" s="29">
        <f>D22/$D$48</f>
        <v>3.1719561255716393E-2</v>
      </c>
      <c r="F22" s="28">
        <f>C22-(C22*$E$6)</f>
        <v>49.865700755712176</v>
      </c>
      <c r="G22" s="27" t="str">
        <f>IF(C22&gt;=F22,"-","+")</f>
        <v>+</v>
      </c>
      <c r="H22" s="26">
        <f>C22*D22</f>
        <v>9169.65</v>
      </c>
      <c r="I22" s="26">
        <f>F22*D22</f>
        <v>9200.221789428897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45.3</v>
      </c>
      <c r="D23" s="30">
        <v>148.4</v>
      </c>
      <c r="E23" s="29">
        <f>D23/$D$48</f>
        <v>2.5513186397551835E-2</v>
      </c>
      <c r="F23" s="28">
        <f>C23-(C23*$E$6)</f>
        <v>45.451031071101838</v>
      </c>
      <c r="G23" s="27" t="str">
        <f>IF(C23&gt;=F23,"-","+")</f>
        <v>+</v>
      </c>
      <c r="H23" s="26">
        <f>C23*D23</f>
        <v>6722.5199999999995</v>
      </c>
      <c r="I23" s="26">
        <f>F23*D23</f>
        <v>6744.9330109515131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52.485837226456844</v>
      </c>
      <c r="D24" s="22">
        <f>SUM(D21:D23)</f>
        <v>406.70000000000005</v>
      </c>
      <c r="E24" s="21">
        <f>D24/$D$48</f>
        <v>6.9920572155554792E-2</v>
      </c>
      <c r="F24" s="20">
        <f>I24/D24</f>
        <v>52.660826017052628</v>
      </c>
      <c r="G24" s="19">
        <f>F24/C24-1</f>
        <v>3.3340192296213988E-3</v>
      </c>
      <c r="H24" s="18">
        <f>SUM(H21:H23)</f>
        <v>21345.99</v>
      </c>
      <c r="I24" s="18">
        <f>SUM(I21:I23)</f>
        <v>21417.157941135305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39.5</v>
      </c>
      <c r="D26" s="30">
        <f>216+25.5+863.2</f>
        <v>1104.7</v>
      </c>
      <c r="E26" s="29">
        <f t="shared" ref="E26:E32" si="7">D26/$D$48</f>
        <v>0.18992194752948457</v>
      </c>
      <c r="F26" s="28">
        <f t="shared" ref="F26:F31" si="8">C26-(C26*$E$6)</f>
        <v>39.631693759570034</v>
      </c>
      <c r="G26" s="27" t="str">
        <f t="shared" ref="G26:G31" si="9">IF(C26&gt;=F26,"-","+")</f>
        <v>+</v>
      </c>
      <c r="H26" s="26">
        <f t="shared" ref="H26:H31" si="10">C26*D26</f>
        <v>43635.65</v>
      </c>
      <c r="I26" s="26">
        <f t="shared" ref="I26:I31" si="11">F26*D26</f>
        <v>43781.13209619702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35.1</v>
      </c>
      <c r="D27" s="30">
        <f>992.3-166</f>
        <v>826.3</v>
      </c>
      <c r="E27" s="29">
        <f t="shared" si="7"/>
        <v>0.14205893477289136</v>
      </c>
      <c r="F27" s="28">
        <f t="shared" si="8"/>
        <v>35.217024074959703</v>
      </c>
      <c r="G27" s="27" t="str">
        <f t="shared" si="9"/>
        <v>+</v>
      </c>
      <c r="H27" s="26">
        <f t="shared" si="10"/>
        <v>29003.13</v>
      </c>
      <c r="I27" s="26">
        <f t="shared" si="11"/>
        <v>29099.826993139202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35.1</v>
      </c>
      <c r="D28" s="30">
        <v>694.7</v>
      </c>
      <c r="E28" s="29">
        <f t="shared" si="7"/>
        <v>0.11943403362789258</v>
      </c>
      <c r="F28" s="28">
        <f t="shared" si="8"/>
        <v>35.217024074959703</v>
      </c>
      <c r="G28" s="27" t="str">
        <f t="shared" si="9"/>
        <v>+</v>
      </c>
      <c r="H28" s="26">
        <f t="shared" si="10"/>
        <v>24383.97</v>
      </c>
      <c r="I28" s="26">
        <f t="shared" si="11"/>
        <v>24465.266624874508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</v>
      </c>
      <c r="D29" s="30">
        <v>577.79999999999995</v>
      </c>
      <c r="E29" s="29">
        <f t="shared" si="7"/>
        <v>9.9336382078877683E-2</v>
      </c>
      <c r="F29" s="28">
        <f t="shared" si="8"/>
        <v>34.113356653807116</v>
      </c>
      <c r="G29" s="27" t="str">
        <f t="shared" si="9"/>
        <v>+</v>
      </c>
      <c r="H29" s="26">
        <f t="shared" si="10"/>
        <v>19645.199999999997</v>
      </c>
      <c r="I29" s="26">
        <f t="shared" si="11"/>
        <v>19710.697474569752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</v>
      </c>
      <c r="D30" s="30">
        <v>330</v>
      </c>
      <c r="E30" s="29">
        <f t="shared" si="7"/>
        <v>5.6734174603720385E-2</v>
      </c>
      <c r="F30" s="28">
        <f t="shared" si="8"/>
        <v>34.113356653807116</v>
      </c>
      <c r="G30" s="27" t="str">
        <f t="shared" si="9"/>
        <v>+</v>
      </c>
      <c r="H30" s="26">
        <f t="shared" si="10"/>
        <v>11220</v>
      </c>
      <c r="I30" s="26">
        <f t="shared" si="11"/>
        <v>11257.407695756348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34.5</v>
      </c>
      <c r="D31" s="30">
        <v>97.1</v>
      </c>
      <c r="E31" s="29">
        <f t="shared" si="7"/>
        <v>1.6693601072791664E-2</v>
      </c>
      <c r="F31" s="28">
        <f t="shared" si="8"/>
        <v>34.61502366342193</v>
      </c>
      <c r="G31" s="27" t="str">
        <f t="shared" si="9"/>
        <v>+</v>
      </c>
      <c r="H31" s="26">
        <f t="shared" si="10"/>
        <v>3349.95</v>
      </c>
      <c r="I31" s="26">
        <f t="shared" si="11"/>
        <v>3361.118797718269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36.147716630859911</v>
      </c>
      <c r="D32" s="22">
        <f>SUM(D26:D31)</f>
        <v>3630.6</v>
      </c>
      <c r="E32" s="21">
        <f t="shared" si="7"/>
        <v>0.62417907368565828</v>
      </c>
      <c r="F32" s="20">
        <f>I32/D32</f>
        <v>36.268233813214096</v>
      </c>
      <c r="G32" s="19">
        <f>F32/C32-1</f>
        <v>3.3340192296211768E-3</v>
      </c>
      <c r="H32" s="18">
        <f>SUM(H26:H31)</f>
        <v>131237.9</v>
      </c>
      <c r="I32" s="18">
        <f>SUM(I26:I31)</f>
        <v>131675.4496822551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20.8</v>
      </c>
      <c r="D34" s="30">
        <v>835.8</v>
      </c>
      <c r="E34" s="29">
        <f t="shared" ref="E34:E40" si="13">D34/$D$48</f>
        <v>0.14369219131451361</v>
      </c>
      <c r="F34" s="28">
        <f t="shared" ref="F34:F39" si="14">C34-(C34*$E$6)</f>
        <v>20.86934759997612</v>
      </c>
      <c r="G34" s="27" t="str">
        <f t="shared" ref="G34:G39" si="15">IF(C34&gt;=F34,"-","+")</f>
        <v>+</v>
      </c>
      <c r="H34" s="26">
        <f t="shared" ref="H34:H39" si="16">C34*D34</f>
        <v>17384.64</v>
      </c>
      <c r="I34" s="26">
        <f t="shared" ref="I34:I39" si="17">F34*D34</f>
        <v>17442.600724060041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/>
      <c r="E35" s="29">
        <f t="shared" si="13"/>
        <v>0</v>
      </c>
      <c r="F35" s="28">
        <f t="shared" si="14"/>
        <v>16.053344307673939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12.842675446139152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</v>
      </c>
      <c r="D37" s="30"/>
      <c r="E37" s="29">
        <f t="shared" si="13"/>
        <v>0</v>
      </c>
      <c r="F37" s="28">
        <f t="shared" si="14"/>
        <v>34.113356653807116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</v>
      </c>
      <c r="D38" s="30"/>
      <c r="E38" s="29">
        <f t="shared" si="13"/>
        <v>0</v>
      </c>
      <c r="F38" s="28">
        <f t="shared" si="14"/>
        <v>34.113356653807116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35.1</v>
      </c>
      <c r="D39" s="30"/>
      <c r="E39" s="29">
        <f t="shared" si="13"/>
        <v>0</v>
      </c>
      <c r="F39" s="28">
        <f t="shared" si="14"/>
        <v>35.217024074959703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20.8</v>
      </c>
      <c r="D40" s="22">
        <f>SUM(D34:D39)</f>
        <v>835.8</v>
      </c>
      <c r="E40" s="113">
        <f t="shared" si="13"/>
        <v>0.14369219131451361</v>
      </c>
      <c r="F40" s="20">
        <f>I40/D40</f>
        <v>20.86934759997612</v>
      </c>
      <c r="G40" s="19">
        <f>F40/C40-1</f>
        <v>3.3340192296211768E-3</v>
      </c>
      <c r="H40" s="18">
        <f>SUM(H34:H39)</f>
        <v>17384.64</v>
      </c>
      <c r="I40" s="18">
        <f>SUM(I34:I39)</f>
        <v>17442.600724060041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901</v>
      </c>
      <c r="E42" s="107">
        <f>D42/$D$48</f>
        <v>0.15490148884227897</v>
      </c>
      <c r="F42" s="28">
        <f>C42-(C42*$E$6)</f>
        <v>0.50166700961481059</v>
      </c>
      <c r="G42" s="27" t="str">
        <f>IF(C42&gt;=F42,"-","+")</f>
        <v>+</v>
      </c>
      <c r="H42" s="26">
        <f>C42*D42</f>
        <v>450.5</v>
      </c>
      <c r="I42" s="26">
        <f>F42*D42</f>
        <v>452.00197566294435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29.8</v>
      </c>
      <c r="E43" s="107">
        <f>D43/$D$48</f>
        <v>5.1232678884571741E-3</v>
      </c>
      <c r="F43" s="28">
        <f>C43-(C43*$E$6)</f>
        <v>0.50166700961481059</v>
      </c>
      <c r="G43" s="27" t="str">
        <f>IF(C43&gt;=F43,"-","+")</f>
        <v>+</v>
      </c>
      <c r="H43" s="26">
        <f>C43*D43</f>
        <v>14.9</v>
      </c>
      <c r="I43" s="26">
        <f>F43*D43</f>
        <v>14.949676886521356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7.7</v>
      </c>
      <c r="E44" s="107">
        <f>D44/$D$48</f>
        <v>1.3237974074201424E-3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8.5960870611697553E-4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0.49326974032856385</v>
      </c>
      <c r="D46" s="22">
        <f>SUM(D41:D45)</f>
        <v>943.5</v>
      </c>
      <c r="E46" s="113">
        <f>D46/$D$48</f>
        <v>0.16220816284427328</v>
      </c>
      <c r="F46" s="20">
        <f>I46/D46</f>
        <v>0.49491431112820949</v>
      </c>
      <c r="G46" s="19">
        <f>F46/C46-1</f>
        <v>3.3340192296211768E-3</v>
      </c>
      <c r="H46" s="18">
        <f>SUM(H41:H44)</f>
        <v>465.4</v>
      </c>
      <c r="I46" s="18">
        <f>SUM(I41:I44)</f>
        <v>466.95165254946568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109.92682359764531</v>
      </c>
      <c r="D48" s="13">
        <f>D24+D32+D40+D46</f>
        <v>5816.6</v>
      </c>
      <c r="E48" s="12">
        <f>SUM(E20:E46)/2</f>
        <v>1</v>
      </c>
      <c r="F48" s="11">
        <f>I48/D48</f>
        <v>29.398989100161586</v>
      </c>
      <c r="G48" s="10"/>
      <c r="H48" s="9">
        <f>SUM(H20:H46)/2</f>
        <v>170433.93000000005</v>
      </c>
      <c r="I48" s="9">
        <f>SUM(I20:I46)/2</f>
        <v>171002.15999999989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5816.5999999999995</v>
      </c>
      <c r="E50" s="12">
        <f>D50/G2</f>
        <v>1.0000343855305687</v>
      </c>
      <c r="F50" s="11">
        <f>I50/D50</f>
        <v>29.39898910016159</v>
      </c>
      <c r="G50" s="10"/>
      <c r="H50" s="9">
        <f>H48+H19</f>
        <v>170433.93000000005</v>
      </c>
      <c r="I50" s="9">
        <f>I48+I19</f>
        <v>171002.15999999989</v>
      </c>
      <c r="J50" s="106">
        <f>D50-G2</f>
        <v>0.1999999999998181</v>
      </c>
      <c r="K50" s="8"/>
    </row>
    <row r="51" spans="1:11" ht="23.25" x14ac:dyDescent="0.35">
      <c r="A51" s="174" t="s">
        <v>430</v>
      </c>
      <c r="B51" s="169"/>
      <c r="C51" s="170"/>
      <c r="G51" s="7"/>
      <c r="H51" s="6"/>
      <c r="I51" s="6">
        <f>+I50/D50</f>
        <v>29.39898910016159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418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427</v>
      </c>
      <c r="D2" s="96" t="s">
        <v>3</v>
      </c>
      <c r="E2" s="95" t="s">
        <v>431</v>
      </c>
      <c r="F2" s="94" t="s">
        <v>5</v>
      </c>
      <c r="G2" s="93">
        <v>3512.4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60</v>
      </c>
      <c r="F3" s="88" t="s">
        <v>8</v>
      </c>
      <c r="G3" s="87">
        <v>25.71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58.54</v>
      </c>
      <c r="F4" s="81" t="s">
        <v>12</v>
      </c>
      <c r="G4" s="80">
        <f>G2*G3</f>
        <v>90303.804000000004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-7.7078656349093277E-2</v>
      </c>
      <c r="F6" s="69" t="s">
        <v>16</v>
      </c>
      <c r="G6" s="68">
        <f>(I50-I19)/(D50-(SUM(D42:D44)+D19))</f>
        <v>32.363852198546063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25.7</v>
      </c>
      <c r="D10" s="30"/>
      <c r="E10" s="29">
        <f t="shared" ref="E10:E19" si="1">D10/$D$19</f>
        <v>0</v>
      </c>
      <c r="F10" s="28">
        <f t="shared" ref="F10:F18" si="2">C10-(C10*$E$6)</f>
        <v>27.680921468171697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26.8</v>
      </c>
      <c r="D11" s="30"/>
      <c r="E11" s="29">
        <f t="shared" si="1"/>
        <v>0</v>
      </c>
      <c r="F11" s="28">
        <f t="shared" si="2"/>
        <v>28.865707990155702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/>
      <c r="E12" s="29">
        <f t="shared" si="1"/>
        <v>0</v>
      </c>
      <c r="F12" s="28">
        <f t="shared" si="2"/>
        <v>26.388427080552784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26.8</v>
      </c>
      <c r="D13" s="30"/>
      <c r="E13" s="29">
        <f t="shared" si="1"/>
        <v>0</v>
      </c>
      <c r="F13" s="28">
        <f t="shared" si="2"/>
        <v>28.865707990155702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29.9</v>
      </c>
      <c r="D14" s="30"/>
      <c r="E14" s="29">
        <f t="shared" si="1"/>
        <v>0</v>
      </c>
      <c r="F14" s="28">
        <f t="shared" si="2"/>
        <v>32.204651824837889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24.7</v>
      </c>
      <c r="D15" s="30"/>
      <c r="E15" s="29">
        <f t="shared" si="1"/>
        <v>0</v>
      </c>
      <c r="F15" s="28">
        <f t="shared" si="2"/>
        <v>26.603842811822602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33.799999999999997</v>
      </c>
      <c r="D16" s="30">
        <v>59.8</v>
      </c>
      <c r="E16" s="29">
        <f t="shared" si="1"/>
        <v>1</v>
      </c>
      <c r="F16" s="28">
        <f t="shared" si="2"/>
        <v>36.405258584599352</v>
      </c>
      <c r="G16" s="27" t="str">
        <f t="shared" si="3"/>
        <v>+</v>
      </c>
      <c r="H16" s="34">
        <f t="shared" si="4"/>
        <v>2021.2399999999998</v>
      </c>
      <c r="I16" s="34">
        <f t="shared" si="5"/>
        <v>2177.0344633590412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49.7</v>
      </c>
      <c r="D17" s="30"/>
      <c r="E17" s="29">
        <f t="shared" si="1"/>
        <v>0</v>
      </c>
      <c r="F17" s="28">
        <f t="shared" si="2"/>
        <v>53.530809220549941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43.6</v>
      </c>
      <c r="D18" s="30"/>
      <c r="E18" s="29">
        <f t="shared" si="1"/>
        <v>0</v>
      </c>
      <c r="F18" s="28">
        <f t="shared" si="2"/>
        <v>46.960629416820467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33.799999999999997</v>
      </c>
      <c r="D19" s="49">
        <f>SUM(D10:D18)</f>
        <v>59.8</v>
      </c>
      <c r="E19" s="48">
        <f t="shared" si="1"/>
        <v>1</v>
      </c>
      <c r="F19" s="47">
        <f>I19/D19</f>
        <v>36.405258584599352</v>
      </c>
      <c r="G19" s="46">
        <f>F19/C19-1</f>
        <v>7.7078656349093277E-2</v>
      </c>
      <c r="H19" s="9">
        <f>SUM(H10:H18)</f>
        <v>2021.2399999999998</v>
      </c>
      <c r="I19" s="9">
        <f>SUM(I10:I18)</f>
        <v>2177.0344633590412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64.7</v>
      </c>
      <c r="D21" s="30">
        <v>37.5</v>
      </c>
      <c r="E21" s="29">
        <f>D21/$D$48</f>
        <v>1.0861379829693563E-2</v>
      </c>
      <c r="F21" s="28">
        <f>C21-(C21*$E$6)</f>
        <v>69.686989065786335</v>
      </c>
      <c r="G21" s="27" t="str">
        <f>IF(C21&gt;=F21,"-","+")</f>
        <v>+</v>
      </c>
      <c r="H21" s="26">
        <f>C21*D21</f>
        <v>2426.25</v>
      </c>
      <c r="I21" s="26">
        <f>F21*D21</f>
        <v>2613.2620899669878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43.4</v>
      </c>
      <c r="D22" s="30">
        <v>90.3</v>
      </c>
      <c r="E22" s="29">
        <f>D22/$D$48</f>
        <v>2.6154202629902101E-2</v>
      </c>
      <c r="F22" s="28">
        <f>C22-(C22*$E$6)</f>
        <v>46.745213685550645</v>
      </c>
      <c r="G22" s="27" t="str">
        <f>IF(C22&gt;=F22,"-","+")</f>
        <v>+</v>
      </c>
      <c r="H22" s="26">
        <f>C22*D22</f>
        <v>3919.0199999999995</v>
      </c>
      <c r="I22" s="26">
        <f>F22*D22</f>
        <v>4221.0927958052234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39.6</v>
      </c>
      <c r="D23" s="30">
        <v>65.599999999999994</v>
      </c>
      <c r="E23" s="29">
        <f>D23/$D$48</f>
        <v>1.9000173782077273E-2</v>
      </c>
      <c r="F23" s="28">
        <f>C23-(C23*$E$6)</f>
        <v>42.652314791424097</v>
      </c>
      <c r="G23" s="27" t="str">
        <f>IF(C23&gt;=F23,"-","+")</f>
        <v>+</v>
      </c>
      <c r="H23" s="26">
        <f>C23*D23</f>
        <v>2597.7599999999998</v>
      </c>
      <c r="I23" s="26">
        <f>F23*D23</f>
        <v>2797.9918503174204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46.241106514994826</v>
      </c>
      <c r="D24" s="22">
        <f>SUM(D21:D23)</f>
        <v>193.39999999999998</v>
      </c>
      <c r="E24" s="21">
        <f>D24/$D$48</f>
        <v>5.6015756241672932E-2</v>
      </c>
      <c r="F24" s="20">
        <f>I24/D24</f>
        <v>49.805308873265943</v>
      </c>
      <c r="G24" s="19">
        <f>F24/C24-1</f>
        <v>7.70786563490935E-2</v>
      </c>
      <c r="H24" s="18">
        <f>SUM(H21:H23)</f>
        <v>8943.0299999999988</v>
      </c>
      <c r="I24" s="18">
        <f>SUM(I21:I23)</f>
        <v>9632.346736089632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34.5</v>
      </c>
      <c r="D26" s="30">
        <v>658.5</v>
      </c>
      <c r="E26" s="29">
        <f t="shared" ref="E26:E32" si="7">D26/$D$48</f>
        <v>0.19072582980941896</v>
      </c>
      <c r="F26" s="28">
        <f t="shared" ref="F26:F31" si="8">C26-(C26*$E$6)</f>
        <v>37.159213644043717</v>
      </c>
      <c r="G26" s="27" t="str">
        <f t="shared" ref="G26:G31" si="9">IF(C26&gt;=F26,"-","+")</f>
        <v>+</v>
      </c>
      <c r="H26" s="26">
        <f t="shared" ref="H26:H31" si="10">C26*D26</f>
        <v>22718.25</v>
      </c>
      <c r="I26" s="26">
        <f t="shared" ref="I26:I31" si="11">F26*D26</f>
        <v>24469.342184602789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30.7</v>
      </c>
      <c r="D27" s="30">
        <v>525.4</v>
      </c>
      <c r="E27" s="29">
        <f t="shared" si="7"/>
        <v>0.15217517233389327</v>
      </c>
      <c r="F27" s="28">
        <f t="shared" si="8"/>
        <v>33.066314749917161</v>
      </c>
      <c r="G27" s="27" t="str">
        <f t="shared" si="9"/>
        <v>+</v>
      </c>
      <c r="H27" s="26">
        <f t="shared" si="10"/>
        <v>16129.779999999999</v>
      </c>
      <c r="I27" s="26">
        <f t="shared" si="11"/>
        <v>17373.041769606476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30.7</v>
      </c>
      <c r="D28" s="30">
        <v>286</v>
      </c>
      <c r="E28" s="29">
        <f t="shared" si="7"/>
        <v>8.283612350112958E-2</v>
      </c>
      <c r="F28" s="28">
        <f t="shared" si="8"/>
        <v>33.066314749917161</v>
      </c>
      <c r="G28" s="27" t="str">
        <f t="shared" si="9"/>
        <v>+</v>
      </c>
      <c r="H28" s="26">
        <f t="shared" si="10"/>
        <v>8780.1999999999989</v>
      </c>
      <c r="I28" s="26">
        <f t="shared" si="11"/>
        <v>9456.9660184763088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29.7</v>
      </c>
      <c r="D29" s="30">
        <v>262</v>
      </c>
      <c r="E29" s="29">
        <f t="shared" si="7"/>
        <v>7.5884840410125692E-2</v>
      </c>
      <c r="F29" s="28">
        <f t="shared" si="8"/>
        <v>31.989236093568071</v>
      </c>
      <c r="G29" s="27" t="str">
        <f t="shared" si="9"/>
        <v>+</v>
      </c>
      <c r="H29" s="26">
        <f t="shared" si="10"/>
        <v>7781.4</v>
      </c>
      <c r="I29" s="26">
        <f t="shared" si="11"/>
        <v>8381.1798565148347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29.7</v>
      </c>
      <c r="D30" s="30">
        <v>209.6</v>
      </c>
      <c r="E30" s="29">
        <f t="shared" si="7"/>
        <v>6.0707872328100557E-2</v>
      </c>
      <c r="F30" s="28">
        <f t="shared" si="8"/>
        <v>31.989236093568071</v>
      </c>
      <c r="G30" s="27" t="str">
        <f t="shared" si="9"/>
        <v>+</v>
      </c>
      <c r="H30" s="26">
        <f t="shared" si="10"/>
        <v>6225.12</v>
      </c>
      <c r="I30" s="26">
        <f t="shared" si="11"/>
        <v>6704.9438852118674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30.2</v>
      </c>
      <c r="D31" s="30">
        <v>52.4</v>
      </c>
      <c r="E31" s="29">
        <f t="shared" si="7"/>
        <v>1.5176968082025139E-2</v>
      </c>
      <c r="F31" s="28">
        <f t="shared" si="8"/>
        <v>32.527775421742618</v>
      </c>
      <c r="G31" s="27" t="str">
        <f t="shared" si="9"/>
        <v>+</v>
      </c>
      <c r="H31" s="26">
        <f t="shared" si="10"/>
        <v>1582.48</v>
      </c>
      <c r="I31" s="26">
        <f t="shared" si="11"/>
        <v>1704.4554320993132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31.705316214454086</v>
      </c>
      <c r="D32" s="22">
        <f>SUM(D26:D31)</f>
        <v>1993.9</v>
      </c>
      <c r="E32" s="21">
        <f t="shared" si="7"/>
        <v>0.57750680646469321</v>
      </c>
      <c r="F32" s="20">
        <f>I32/D32</f>
        <v>34.149119387387323</v>
      </c>
      <c r="G32" s="19">
        <f>F32/C32-1</f>
        <v>7.7078656349093055E-2</v>
      </c>
      <c r="H32" s="18">
        <f>SUM(H26:H31)</f>
        <v>63217.23</v>
      </c>
      <c r="I32" s="18">
        <f>SUM(I26:I31)</f>
        <v>68089.929146511582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f>228.4+242.6</f>
        <v>471</v>
      </c>
      <c r="E34" s="29">
        <f t="shared" ref="E34:E40" si="13">D34/$D$48</f>
        <v>0.13641893066095115</v>
      </c>
      <c r="F34" s="28">
        <f t="shared" ref="F34:F39" si="14">C34-(C34*$E$6)</f>
        <v>19.602831545553496</v>
      </c>
      <c r="G34" s="27" t="str">
        <f t="shared" ref="G34:G39" si="15">IF(C34&gt;=F34,"-","+")</f>
        <v>+</v>
      </c>
      <c r="H34" s="26">
        <f t="shared" ref="H34:H39" si="16">C34*D34</f>
        <v>8572.1999999999989</v>
      </c>
      <c r="I34" s="26">
        <f t="shared" ref="I34:I39" si="17">F34*D34</f>
        <v>9232.9336579556966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>
        <v>57</v>
      </c>
      <c r="E35" s="29">
        <f t="shared" si="13"/>
        <v>1.6509297341134217E-2</v>
      </c>
      <c r="F35" s="28">
        <f t="shared" si="14"/>
        <v>15.079101188887305</v>
      </c>
      <c r="G35" s="27" t="str">
        <f t="shared" si="15"/>
        <v>+</v>
      </c>
      <c r="H35" s="26">
        <f t="shared" si="16"/>
        <v>798</v>
      </c>
      <c r="I35" s="26">
        <f t="shared" si="17"/>
        <v>859.5087677665764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12.063280951109844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29.7</v>
      </c>
      <c r="D37" s="30"/>
      <c r="E37" s="29">
        <f t="shared" si="13"/>
        <v>0</v>
      </c>
      <c r="F37" s="28">
        <f t="shared" si="14"/>
        <v>31.989236093568071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29.7</v>
      </c>
      <c r="D38" s="30"/>
      <c r="E38" s="29">
        <f t="shared" si="13"/>
        <v>0</v>
      </c>
      <c r="F38" s="28">
        <f t="shared" si="14"/>
        <v>31.989236093568071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30.7</v>
      </c>
      <c r="D39" s="30"/>
      <c r="E39" s="29">
        <f t="shared" si="13"/>
        <v>0</v>
      </c>
      <c r="F39" s="28">
        <f t="shared" si="14"/>
        <v>33.066314749917161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17.746590909090909</v>
      </c>
      <c r="D40" s="22">
        <f>SUM(D34:D39)</f>
        <v>528</v>
      </c>
      <c r="E40" s="113">
        <f t="shared" si="13"/>
        <v>0.15292822800208536</v>
      </c>
      <c r="F40" s="20">
        <f>I40/D40</f>
        <v>19.114474291140667</v>
      </c>
      <c r="G40" s="19">
        <f>F40/C40-1</f>
        <v>7.7078656349093055E-2</v>
      </c>
      <c r="H40" s="18">
        <f>SUM(H34:H39)</f>
        <v>9370.1999999999989</v>
      </c>
      <c r="I40" s="18">
        <f>SUM(I34:I39)</f>
        <v>10092.442425722273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286+54.3+371.2</f>
        <v>711.5</v>
      </c>
      <c r="E42" s="107">
        <f>D42/$D$48</f>
        <v>0.2060765799687192</v>
      </c>
      <c r="F42" s="28">
        <f>C42-(C42*$E$6)</f>
        <v>0.43083146253963733</v>
      </c>
      <c r="G42" s="27" t="str">
        <f>IF(C42&gt;=F42,"-","+")</f>
        <v>+</v>
      </c>
      <c r="H42" s="26">
        <f>C42*D42</f>
        <v>284.60000000000002</v>
      </c>
      <c r="I42" s="26">
        <f>F42*D42</f>
        <v>306.53658559695197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12.8</v>
      </c>
      <c r="E43" s="107">
        <f>D43/$D$48</f>
        <v>3.7073509818687364E-3</v>
      </c>
      <c r="F43" s="28">
        <f>C43-(C43*$E$6)</f>
        <v>0.43083146253963733</v>
      </c>
      <c r="G43" s="27" t="str">
        <f>IF(C43&gt;=F43,"-","+")</f>
        <v>+</v>
      </c>
      <c r="H43" s="26">
        <f>C43*D43</f>
        <v>5.120000000000001</v>
      </c>
      <c r="I43" s="26">
        <f>F43*D43</f>
        <v>5.514642720507358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5.3</v>
      </c>
      <c r="E44" s="107">
        <f>D44/$D$48</f>
        <v>1.5350750159300235E-3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7.7</v>
      </c>
      <c r="E45" s="107">
        <f>D45/$D$48</f>
        <v>2.2302033250304115E-3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0.39294723992947245</v>
      </c>
      <c r="D46" s="22">
        <f>SUM(D41:D45)</f>
        <v>737.3</v>
      </c>
      <c r="E46" s="113">
        <f>D46/$D$48</f>
        <v>0.21354920929154836</v>
      </c>
      <c r="F46" s="20">
        <f>I46/D46</f>
        <v>0.42323508519932096</v>
      </c>
      <c r="G46" s="19">
        <f>F46/C46-1</f>
        <v>7.7078656349093277E-2</v>
      </c>
      <c r="H46" s="18">
        <f>SUM(H41:H44)</f>
        <v>289.72000000000003</v>
      </c>
      <c r="I46" s="18">
        <f>SUM(I41:I44)</f>
        <v>312.05122831745933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96.085960878469294</v>
      </c>
      <c r="D48" s="13">
        <f>D24+D32+D40+D46</f>
        <v>3452.6000000000004</v>
      </c>
      <c r="E48" s="12">
        <f>SUM(E20:E46)/2</f>
        <v>0.99999999999999989</v>
      </c>
      <c r="F48" s="11">
        <f>I48/D48</f>
        <v>25.524755122702008</v>
      </c>
      <c r="G48" s="10"/>
      <c r="H48" s="9">
        <f>SUM(H20:H46)/2</f>
        <v>81820.180000000008</v>
      </c>
      <c r="I48" s="9">
        <f>SUM(I20:I46)/2</f>
        <v>88126.769536640961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3512.4000000000005</v>
      </c>
      <c r="E50" s="12">
        <f>D50/G2</f>
        <v>1.0000000000000002</v>
      </c>
      <c r="F50" s="11">
        <f>I50/D50</f>
        <v>25.709999999999997</v>
      </c>
      <c r="G50" s="10"/>
      <c r="H50" s="9">
        <f>H48+H19</f>
        <v>83841.420000000013</v>
      </c>
      <c r="I50" s="9">
        <f>I48+I19</f>
        <v>90303.804000000004</v>
      </c>
      <c r="J50" s="106">
        <f>D50-G2</f>
        <v>0</v>
      </c>
      <c r="K50" s="8"/>
    </row>
    <row r="51" spans="1:11" ht="23.25" x14ac:dyDescent="0.35">
      <c r="A51" s="174" t="s">
        <v>432</v>
      </c>
      <c r="B51" s="169"/>
      <c r="C51" s="170"/>
      <c r="G51" s="7"/>
      <c r="H51" s="6"/>
      <c r="I51" s="6">
        <f>+I50/D50</f>
        <v>25.709999999999997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418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427</v>
      </c>
      <c r="D2" s="96" t="s">
        <v>3</v>
      </c>
      <c r="E2" s="95" t="s">
        <v>433</v>
      </c>
      <c r="F2" s="94" t="s">
        <v>5</v>
      </c>
      <c r="G2" s="93">
        <v>1354.7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16</v>
      </c>
      <c r="F3" s="88" t="s">
        <v>8</v>
      </c>
      <c r="G3" s="87">
        <v>27.5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84.668750000000003</v>
      </c>
      <c r="F4" s="81" t="s">
        <v>12</v>
      </c>
      <c r="G4" s="80">
        <f>G2*G3</f>
        <v>37254.25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1.9953831280294154E-2</v>
      </c>
      <c r="F6" s="69" t="s">
        <v>16</v>
      </c>
      <c r="G6" s="68">
        <f>(I50-I19)/(D50-(SUM(D42:D44)+D19))</f>
        <v>31.08505031203644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30"/>
      <c r="E10" s="29">
        <f t="shared" ref="E10:E19" si="1">D10/$D$19</f>
        <v>0</v>
      </c>
      <c r="F10" s="28">
        <f t="shared" ref="F10:F18" si="2">C10-(C10*$E$6)</f>
        <v>26.95126963979191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28.6</v>
      </c>
      <c r="D11" s="30"/>
      <c r="E11" s="29">
        <f t="shared" si="1"/>
        <v>0</v>
      </c>
      <c r="F11" s="28">
        <f t="shared" si="2"/>
        <v>28.029320425383588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26.2</v>
      </c>
      <c r="D12" s="30"/>
      <c r="E12" s="29">
        <f t="shared" si="1"/>
        <v>0</v>
      </c>
      <c r="F12" s="28">
        <f t="shared" si="2"/>
        <v>25.677209620456292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28.6</v>
      </c>
      <c r="D13" s="30"/>
      <c r="E13" s="29">
        <f t="shared" si="1"/>
        <v>0</v>
      </c>
      <c r="F13" s="28">
        <f t="shared" si="2"/>
        <v>28.029320425383588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</v>
      </c>
      <c r="D14" s="30"/>
      <c r="E14" s="29">
        <f t="shared" si="1"/>
        <v>0</v>
      </c>
      <c r="F14" s="28">
        <f t="shared" si="2"/>
        <v>31.361477399030587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26.4</v>
      </c>
      <c r="D15" s="30"/>
      <c r="E15" s="29">
        <f t="shared" si="1"/>
        <v>0</v>
      </c>
      <c r="F15" s="28">
        <f t="shared" si="2"/>
        <v>25.873218854200232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36.1</v>
      </c>
      <c r="D16" s="30">
        <v>67</v>
      </c>
      <c r="E16" s="29">
        <f t="shared" si="1"/>
        <v>0.4589041095890411</v>
      </c>
      <c r="F16" s="28">
        <f t="shared" si="2"/>
        <v>35.379666690781384</v>
      </c>
      <c r="G16" s="27" t="str">
        <f t="shared" si="3"/>
        <v>-</v>
      </c>
      <c r="H16" s="34">
        <f t="shared" si="4"/>
        <v>2418.7000000000003</v>
      </c>
      <c r="I16" s="34">
        <f t="shared" si="5"/>
        <v>2370.4376682823527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30">
        <v>79</v>
      </c>
      <c r="E17" s="29">
        <f t="shared" si="1"/>
        <v>0.54109589041095896</v>
      </c>
      <c r="F17" s="28">
        <f t="shared" si="2"/>
        <v>52.138456175888351</v>
      </c>
      <c r="G17" s="27" t="str">
        <f t="shared" si="3"/>
        <v>-</v>
      </c>
      <c r="H17" s="34">
        <f t="shared" si="4"/>
        <v>4202.8</v>
      </c>
      <c r="I17" s="34">
        <f t="shared" si="5"/>
        <v>4118.9380378951801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30"/>
      <c r="E18" s="29">
        <f t="shared" si="1"/>
        <v>0</v>
      </c>
      <c r="F18" s="28">
        <f t="shared" si="2"/>
        <v>45.670151462338296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45.352739726027394</v>
      </c>
      <c r="D19" s="49">
        <f>SUM(D10:D18)</f>
        <v>146</v>
      </c>
      <c r="E19" s="48">
        <f t="shared" si="1"/>
        <v>1</v>
      </c>
      <c r="F19" s="47">
        <f>I19/D19</f>
        <v>44.44777880943515</v>
      </c>
      <c r="G19" s="46">
        <f>F19/C19-1</f>
        <v>-1.9953831280294154E-2</v>
      </c>
      <c r="H19" s="9">
        <f>SUM(H10:H18)</f>
        <v>6621.5</v>
      </c>
      <c r="I19" s="9">
        <f>SUM(I10:I18)</f>
        <v>6489.3757061775323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30">
        <v>13.5</v>
      </c>
      <c r="E21" s="29">
        <f>D21/$D$48</f>
        <v>1.1169024571854059E-2</v>
      </c>
      <c r="F21" s="28">
        <f>C21-(C21*$E$6)</f>
        <v>67.819194875403653</v>
      </c>
      <c r="G21" s="27" t="str">
        <f>IF(C21&gt;=F21,"-","+")</f>
        <v>-</v>
      </c>
      <c r="H21" s="26">
        <f>C21*D21</f>
        <v>934.2</v>
      </c>
      <c r="I21" s="26">
        <f>F21*D21</f>
        <v>915.55913081794927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46.4</v>
      </c>
      <c r="D22" s="30">
        <v>17</v>
      </c>
      <c r="E22" s="29">
        <f>D22/$D$48</f>
        <v>1.4064697609001406E-2</v>
      </c>
      <c r="F22" s="28">
        <f>C22-(C22*$E$6)</f>
        <v>45.474142228594353</v>
      </c>
      <c r="G22" s="27" t="str">
        <f>IF(C22&gt;=F22,"-","+")</f>
        <v>-</v>
      </c>
      <c r="H22" s="26">
        <f>C22*D22</f>
        <v>788.8</v>
      </c>
      <c r="I22" s="26">
        <f>F22*D22</f>
        <v>773.06041788610401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30">
        <v>23.5</v>
      </c>
      <c r="E23" s="29">
        <f>D23/$D$48</f>
        <v>1.9442376106560768E-2</v>
      </c>
      <c r="F23" s="28">
        <f>C23-(C23*$E$6)</f>
        <v>41.553957553715527</v>
      </c>
      <c r="G23" s="27" t="str">
        <f>IF(C23&gt;=F23,"-","+")</f>
        <v>-</v>
      </c>
      <c r="H23" s="26">
        <f>C23*D23</f>
        <v>996.4</v>
      </c>
      <c r="I23" s="26">
        <f>F23*D23</f>
        <v>976.51800251231487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50.359259259259261</v>
      </c>
      <c r="D24" s="22">
        <f>SUM(D21:D23)</f>
        <v>54</v>
      </c>
      <c r="E24" s="21">
        <f>D24/$D$48</f>
        <v>4.4676098287416234E-2</v>
      </c>
      <c r="F24" s="20">
        <f>I24/D24</f>
        <v>49.354399096599408</v>
      </c>
      <c r="G24" s="19">
        <f>F24/C24-1</f>
        <v>-1.9953831280294154E-2</v>
      </c>
      <c r="H24" s="18">
        <f>SUM(H21:H23)</f>
        <v>2719.4</v>
      </c>
      <c r="I24" s="18">
        <f>SUM(I21:I23)</f>
        <v>2665.1375512163681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30">
        <v>220</v>
      </c>
      <c r="E26" s="29">
        <f t="shared" ref="E26:E32" si="7">D26/$D$48</f>
        <v>0.1820137337635476</v>
      </c>
      <c r="F26" s="28">
        <f t="shared" ref="F26:F31" si="8">C26-(C26*$E$6)</f>
        <v>36.163703625757144</v>
      </c>
      <c r="G26" s="27" t="str">
        <f t="shared" ref="G26:G31" si="9">IF(C26&gt;=F26,"-","+")</f>
        <v>-</v>
      </c>
      <c r="H26" s="26">
        <f t="shared" ref="H26:H31" si="10">C26*D26</f>
        <v>8118</v>
      </c>
      <c r="I26" s="26">
        <f t="shared" ref="I26:I31" si="11">F26*D26</f>
        <v>7956.0147976665712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30">
        <v>182</v>
      </c>
      <c r="E27" s="29">
        <f t="shared" si="7"/>
        <v>0.15057499793166212</v>
      </c>
      <c r="F27" s="28">
        <f t="shared" si="8"/>
        <v>32.243518950878318</v>
      </c>
      <c r="G27" s="27" t="str">
        <f t="shared" si="9"/>
        <v>-</v>
      </c>
      <c r="H27" s="26">
        <f t="shared" si="10"/>
        <v>5987.8</v>
      </c>
      <c r="I27" s="26">
        <f t="shared" si="11"/>
        <v>5868.3204490598537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30">
        <v>120</v>
      </c>
      <c r="E28" s="29">
        <f t="shared" si="7"/>
        <v>9.9280218416480506E-2</v>
      </c>
      <c r="F28" s="28">
        <f t="shared" si="8"/>
        <v>32.243518950878318</v>
      </c>
      <c r="G28" s="27" t="str">
        <f t="shared" si="9"/>
        <v>-</v>
      </c>
      <c r="H28" s="26">
        <f t="shared" si="10"/>
        <v>3948</v>
      </c>
      <c r="I28" s="26">
        <f t="shared" si="11"/>
        <v>3869.2222741053984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30">
        <v>117</v>
      </c>
      <c r="E29" s="29">
        <f t="shared" si="7"/>
        <v>9.6798212956068497E-2</v>
      </c>
      <c r="F29" s="28">
        <f t="shared" si="8"/>
        <v>31.165468165286647</v>
      </c>
      <c r="G29" s="27" t="str">
        <f t="shared" si="9"/>
        <v>-</v>
      </c>
      <c r="H29" s="26">
        <f t="shared" si="10"/>
        <v>3720.6</v>
      </c>
      <c r="I29" s="26">
        <f t="shared" si="11"/>
        <v>3646.3597753385379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30">
        <v>64</v>
      </c>
      <c r="E30" s="29">
        <f t="shared" si="7"/>
        <v>5.2949449822122942E-2</v>
      </c>
      <c r="F30" s="28">
        <f t="shared" si="8"/>
        <v>31.165468165286647</v>
      </c>
      <c r="G30" s="27" t="str">
        <f t="shared" si="9"/>
        <v>-</v>
      </c>
      <c r="H30" s="26">
        <f t="shared" si="10"/>
        <v>2035.2</v>
      </c>
      <c r="I30" s="26">
        <f t="shared" si="11"/>
        <v>1994.5899625783454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30">
        <v>30</v>
      </c>
      <c r="E31" s="29">
        <f t="shared" si="7"/>
        <v>2.4820054604120127E-2</v>
      </c>
      <c r="F31" s="28">
        <f t="shared" si="8"/>
        <v>31.655491249646495</v>
      </c>
      <c r="G31" s="27" t="str">
        <f t="shared" si="9"/>
        <v>-</v>
      </c>
      <c r="H31" s="26">
        <f t="shared" si="10"/>
        <v>968.99999999999989</v>
      </c>
      <c r="I31" s="26">
        <f t="shared" si="11"/>
        <v>949.66473748939484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33.804365620736696</v>
      </c>
      <c r="D32" s="22">
        <f>SUM(D26:D31)</f>
        <v>733</v>
      </c>
      <c r="E32" s="21">
        <f t="shared" si="7"/>
        <v>0.60643666749400182</v>
      </c>
      <c r="F32" s="20">
        <f>I32/D32</f>
        <v>33.129839012603135</v>
      </c>
      <c r="G32" s="19">
        <f>F32/C32-1</f>
        <v>-1.9953831280294265E-2</v>
      </c>
      <c r="H32" s="18">
        <f>SUM(H26:H31)</f>
        <v>24778.6</v>
      </c>
      <c r="I32" s="18">
        <f>SUM(I26:I31)</f>
        <v>24284.171996238099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f>110+75.4</f>
        <v>185.4</v>
      </c>
      <c r="E34" s="29">
        <f t="shared" ref="E34:E40" si="13">D34/$D$48</f>
        <v>0.15338793745346241</v>
      </c>
      <c r="F34" s="28">
        <f t="shared" ref="F34:F39" si="14">C34-(C34*$E$6)</f>
        <v>19.012895673162291</v>
      </c>
      <c r="G34" s="27" t="str">
        <f t="shared" ref="G34:G39" si="15">IF(C34&gt;=F34,"-","+")</f>
        <v>-</v>
      </c>
      <c r="H34" s="26">
        <f t="shared" ref="H34:H39" si="16">C34*D34</f>
        <v>3596.7599999999998</v>
      </c>
      <c r="I34" s="26">
        <f t="shared" ref="I34:I39" si="17">F34*D34</f>
        <v>3524.9908578042887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>
        <v>12.6</v>
      </c>
      <c r="E35" s="29">
        <f t="shared" si="13"/>
        <v>1.0424422933730453E-2</v>
      </c>
      <c r="F35" s="28">
        <f t="shared" si="14"/>
        <v>14.602687913923617</v>
      </c>
      <c r="G35" s="27" t="str">
        <f t="shared" si="15"/>
        <v>-</v>
      </c>
      <c r="H35" s="26">
        <f t="shared" si="16"/>
        <v>187.74</v>
      </c>
      <c r="I35" s="26">
        <f t="shared" si="17"/>
        <v>183.99386771543757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11.76055402463647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30"/>
      <c r="E37" s="29">
        <f t="shared" si="13"/>
        <v>0</v>
      </c>
      <c r="F37" s="28">
        <f t="shared" si="14"/>
        <v>31.165468165286647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30"/>
      <c r="E38" s="29">
        <f t="shared" si="13"/>
        <v>0</v>
      </c>
      <c r="F38" s="28">
        <f t="shared" si="14"/>
        <v>31.165468165286647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30"/>
      <c r="E39" s="29">
        <f t="shared" si="13"/>
        <v>0</v>
      </c>
      <c r="F39" s="28">
        <f t="shared" si="14"/>
        <v>32.243518950878318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19.113636363636363</v>
      </c>
      <c r="D40" s="22">
        <f>SUM(D34:D39)</f>
        <v>198</v>
      </c>
      <c r="E40" s="113">
        <f t="shared" si="13"/>
        <v>0.16381236038719285</v>
      </c>
      <c r="F40" s="20">
        <f>I40/D40</f>
        <v>18.732246088483468</v>
      </c>
      <c r="G40" s="19">
        <f>F40/C40-1</f>
        <v>-1.9953831280294154E-2</v>
      </c>
      <c r="H40" s="18">
        <f>SUM(H34:H39)</f>
        <v>3784.5</v>
      </c>
      <c r="I40" s="18">
        <f>SUM(I34:I39)</f>
        <v>3708.9847255197265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87+14+101.5</f>
        <v>202.5</v>
      </c>
      <c r="E42" s="107">
        <f>D42/$D$48</f>
        <v>0.16753536857781087</v>
      </c>
      <c r="F42" s="28">
        <f>C42-(C42*$E$6)</f>
        <v>0.49002308435985292</v>
      </c>
      <c r="G42" s="27" t="str">
        <f>IF(C42&gt;=F42,"-","+")</f>
        <v>-</v>
      </c>
      <c r="H42" s="26">
        <f>C42*D42</f>
        <v>101.25</v>
      </c>
      <c r="I42" s="26">
        <f>F42*D42</f>
        <v>99.229674582870217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15</v>
      </c>
      <c r="E43" s="107">
        <f>D43/$D$48</f>
        <v>1.2410027302060063E-2</v>
      </c>
      <c r="F43" s="28">
        <f>C43-(C43*$E$6)</f>
        <v>0.49002308435985292</v>
      </c>
      <c r="G43" s="27" t="str">
        <f>IF(C43&gt;=F43,"-","+")</f>
        <v>-</v>
      </c>
      <c r="H43" s="26">
        <f>C43*D43</f>
        <v>7.5</v>
      </c>
      <c r="I43" s="26">
        <f>F43*D43</f>
        <v>7.3503462653977936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1.5</v>
      </c>
      <c r="E44" s="107">
        <f>D44/$D$48</f>
        <v>1.2410027302060065E-3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3.8884752213121537E-3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0.48614215467143496</v>
      </c>
      <c r="D46" s="22">
        <f>SUM(D41:D45)</f>
        <v>223.7</v>
      </c>
      <c r="E46" s="113">
        <f>D46/$D$48</f>
        <v>0.18507487383138907</v>
      </c>
      <c r="F46" s="20">
        <f>I46/D46</f>
        <v>0.47644175613888251</v>
      </c>
      <c r="G46" s="19">
        <f>F46/C46-1</f>
        <v>-1.9953831280294043E-2</v>
      </c>
      <c r="H46" s="18">
        <f>SUM(H41:H44)</f>
        <v>108.75</v>
      </c>
      <c r="I46" s="18">
        <f>SUM(I41:I44)</f>
        <v>106.58002084826801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103.76340339830375</v>
      </c>
      <c r="D48" s="13">
        <f>D24+D32+D40+D46</f>
        <v>1208.7</v>
      </c>
      <c r="E48" s="12">
        <f>SUM(E20:E46)/2</f>
        <v>1</v>
      </c>
      <c r="F48" s="11">
        <f>I48/D48</f>
        <v>25.452861995385504</v>
      </c>
      <c r="G48" s="10"/>
      <c r="H48" s="9">
        <f>SUM(H20:H46)/2</f>
        <v>31391.25</v>
      </c>
      <c r="I48" s="9">
        <f>SUM(I20:I46)/2</f>
        <v>30764.87429382246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1354.6999999999998</v>
      </c>
      <c r="E50" s="12">
        <f>D50/G2</f>
        <v>0.99999999999999978</v>
      </c>
      <c r="F50" s="11">
        <f>I50/D50</f>
        <v>27.5</v>
      </c>
      <c r="G50" s="10"/>
      <c r="H50" s="9">
        <f>H48+H19</f>
        <v>38012.75</v>
      </c>
      <c r="I50" s="9">
        <f>I48+I19</f>
        <v>37254.249999999993</v>
      </c>
      <c r="J50" s="106">
        <f>D50-G2</f>
        <v>0</v>
      </c>
      <c r="K50" s="8"/>
    </row>
    <row r="51" spans="1:11" ht="23.25" x14ac:dyDescent="0.35">
      <c r="A51" s="174" t="s">
        <v>434</v>
      </c>
      <c r="B51" s="169"/>
      <c r="C51" s="170"/>
      <c r="G51" s="7"/>
      <c r="H51" s="6"/>
      <c r="I51" s="6">
        <f>+I50/D50</f>
        <v>27.5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422</v>
      </c>
      <c r="D1" s="100" t="s">
        <v>1</v>
      </c>
      <c r="E1" s="168" t="s">
        <v>371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427</v>
      </c>
      <c r="D2" s="96" t="s">
        <v>3</v>
      </c>
      <c r="E2" s="95" t="s">
        <v>71</v>
      </c>
      <c r="F2" s="94" t="s">
        <v>5</v>
      </c>
      <c r="G2" s="93">
        <v>4324.1000000000004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194</v>
      </c>
      <c r="D3" s="90" t="s">
        <v>7</v>
      </c>
      <c r="E3" s="89">
        <v>56</v>
      </c>
      <c r="F3" s="88" t="s">
        <v>8</v>
      </c>
      <c r="G3" s="87">
        <v>29.5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77.216071428571439</v>
      </c>
      <c r="F4" s="81" t="s">
        <v>12</v>
      </c>
      <c r="G4" s="80">
        <f>G2*G3</f>
        <v>127560.95000000001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1.3376705452986637E-2</v>
      </c>
      <c r="F6" s="69" t="s">
        <v>16</v>
      </c>
      <c r="G6" s="68">
        <f>(I50-I19)/(D50-(SUM(D42:D44)+D19))</f>
        <v>33.691074991857874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29.5</v>
      </c>
      <c r="D10" s="30"/>
      <c r="E10" s="29">
        <f t="shared" ref="E10:E19" si="1">D10/$D$19</f>
        <v>0</v>
      </c>
      <c r="F10" s="28">
        <f t="shared" ref="F10:F18" si="2">C10-(C10*$E$6)</f>
        <v>29.105387189136895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30.7</v>
      </c>
      <c r="D11" s="30"/>
      <c r="E11" s="29">
        <f t="shared" si="1"/>
        <v>0</v>
      </c>
      <c r="F11" s="28">
        <f t="shared" si="2"/>
        <v>30.289335142593309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28.1</v>
      </c>
      <c r="D12" s="30"/>
      <c r="E12" s="29">
        <f t="shared" si="1"/>
        <v>0</v>
      </c>
      <c r="F12" s="28">
        <f t="shared" si="2"/>
        <v>27.724114576771075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30.7</v>
      </c>
      <c r="D13" s="30"/>
      <c r="E13" s="29">
        <f t="shared" si="1"/>
        <v>0</v>
      </c>
      <c r="F13" s="28">
        <f t="shared" si="2"/>
        <v>30.289335142593309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34.299999999999997</v>
      </c>
      <c r="D14" s="30"/>
      <c r="E14" s="29">
        <f t="shared" si="1"/>
        <v>0</v>
      </c>
      <c r="F14" s="28">
        <f t="shared" si="2"/>
        <v>33.841179002962555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28.3</v>
      </c>
      <c r="D15" s="30"/>
      <c r="E15" s="29">
        <f t="shared" si="1"/>
        <v>0</v>
      </c>
      <c r="F15" s="28">
        <f t="shared" si="2"/>
        <v>27.921439235680477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38.799999999999997</v>
      </c>
      <c r="D16" s="30">
        <v>328.8</v>
      </c>
      <c r="E16" s="29">
        <f t="shared" si="1"/>
        <v>1</v>
      </c>
      <c r="F16" s="28">
        <f t="shared" si="2"/>
        <v>38.280983828424112</v>
      </c>
      <c r="G16" s="27" t="str">
        <f t="shared" si="3"/>
        <v>-</v>
      </c>
      <c r="H16" s="34">
        <f t="shared" si="4"/>
        <v>12757.439999999999</v>
      </c>
      <c r="I16" s="34">
        <f t="shared" si="5"/>
        <v>12586.787482785849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57.1</v>
      </c>
      <c r="D17" s="30"/>
      <c r="E17" s="29">
        <f t="shared" si="1"/>
        <v>0</v>
      </c>
      <c r="F17" s="28">
        <f t="shared" si="2"/>
        <v>56.336190118634462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</v>
      </c>
      <c r="D18" s="30"/>
      <c r="E18" s="29">
        <f t="shared" si="1"/>
        <v>0</v>
      </c>
      <c r="F18" s="28">
        <f t="shared" si="2"/>
        <v>49.331164727350668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38.799999999999997</v>
      </c>
      <c r="D19" s="49">
        <f>SUM(D10:D18)</f>
        <v>328.8</v>
      </c>
      <c r="E19" s="48">
        <f t="shared" si="1"/>
        <v>1</v>
      </c>
      <c r="F19" s="47">
        <f>I19/D19</f>
        <v>38.280983828424112</v>
      </c>
      <c r="G19" s="46">
        <f>F19/C19-1</f>
        <v>-1.3376705452986748E-2</v>
      </c>
      <c r="H19" s="9">
        <f>SUM(H10:H18)</f>
        <v>12757.439999999999</v>
      </c>
      <c r="I19" s="9">
        <f>SUM(I10:I18)</f>
        <v>12586.787482785849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74.2</v>
      </c>
      <c r="D21" s="30"/>
      <c r="E21" s="29">
        <f>D21/$D$48</f>
        <v>0</v>
      </c>
      <c r="F21" s="28">
        <f>C21-(C21*$E$6)</f>
        <v>73.207448455388388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49.8</v>
      </c>
      <c r="D22" s="30">
        <v>121.6</v>
      </c>
      <c r="E22" s="29">
        <f>D22/$D$48</f>
        <v>3.043576202037394E-2</v>
      </c>
      <c r="F22" s="28">
        <f>C22-(C22*$E$6)</f>
        <v>49.133840068441266</v>
      </c>
      <c r="G22" s="27" t="str">
        <f>IF(C22&gt;=F22,"-","+")</f>
        <v>-</v>
      </c>
      <c r="H22" s="26">
        <f>C22*D22</f>
        <v>6055.6799999999994</v>
      </c>
      <c r="I22" s="26">
        <f>F22*D22</f>
        <v>5974.674952322458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45.4</v>
      </c>
      <c r="D23" s="30"/>
      <c r="E23" s="29">
        <f>D23/$D$48</f>
        <v>0</v>
      </c>
      <c r="F23" s="28">
        <f>C23-(C23*$E$6)</f>
        <v>44.792697572434406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49.8</v>
      </c>
      <c r="D24" s="22">
        <f>SUM(D21:D23)</f>
        <v>121.6</v>
      </c>
      <c r="E24" s="21">
        <f>D24/$D$48</f>
        <v>3.043576202037394E-2</v>
      </c>
      <c r="F24" s="20">
        <f>I24/D24</f>
        <v>49.133840068441266</v>
      </c>
      <c r="G24" s="19">
        <f>F24/C24-1</f>
        <v>-1.3376705452986526E-2</v>
      </c>
      <c r="H24" s="18">
        <f>SUM(H21:H23)</f>
        <v>6055.6799999999994</v>
      </c>
      <c r="I24" s="18">
        <f>SUM(I21:I23)</f>
        <v>5974.674952322458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39.6</v>
      </c>
      <c r="D26" s="30">
        <v>819.4</v>
      </c>
      <c r="E26" s="29">
        <f t="shared" ref="E26:E32" si="7">D26/$D$48</f>
        <v>0.2050909819037369</v>
      </c>
      <c r="F26" s="28">
        <f t="shared" ref="F26:F31" si="8">C26-(C26*$E$6)</f>
        <v>39.070282464061734</v>
      </c>
      <c r="G26" s="27" t="str">
        <f t="shared" ref="G26:G31" si="9">IF(C26&gt;=F26,"-","+")</f>
        <v>-</v>
      </c>
      <c r="H26" s="26">
        <f t="shared" ref="H26:H31" si="10">C26*D26</f>
        <v>32448.240000000002</v>
      </c>
      <c r="I26" s="26">
        <f t="shared" ref="I26:I31" si="11">F26*D26</f>
        <v>32014.189451052185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35.299999999999997</v>
      </c>
      <c r="D27" s="30">
        <v>599.29999999999995</v>
      </c>
      <c r="E27" s="29">
        <f t="shared" si="7"/>
        <v>0.1500012514704778</v>
      </c>
      <c r="F27" s="28">
        <f t="shared" si="8"/>
        <v>34.827802297509571</v>
      </c>
      <c r="G27" s="27" t="str">
        <f t="shared" si="9"/>
        <v>-</v>
      </c>
      <c r="H27" s="26">
        <f t="shared" si="10"/>
        <v>21155.289999999997</v>
      </c>
      <c r="I27" s="26">
        <f t="shared" si="11"/>
        <v>20872.301916897482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35.299999999999997</v>
      </c>
      <c r="D28" s="30">
        <v>459</v>
      </c>
      <c r="E28" s="29">
        <f t="shared" si="7"/>
        <v>0.11488498986308913</v>
      </c>
      <c r="F28" s="28">
        <f t="shared" si="8"/>
        <v>34.827802297509571</v>
      </c>
      <c r="G28" s="27" t="str">
        <f t="shared" si="9"/>
        <v>-</v>
      </c>
      <c r="H28" s="26">
        <f t="shared" si="10"/>
        <v>16202.699999999999</v>
      </c>
      <c r="I28" s="26">
        <f t="shared" si="11"/>
        <v>15985.961254556893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34.1</v>
      </c>
      <c r="D29" s="30">
        <v>472.6</v>
      </c>
      <c r="E29" s="29">
        <f t="shared" si="7"/>
        <v>0.11828898956273623</v>
      </c>
      <c r="F29" s="28">
        <f t="shared" si="8"/>
        <v>33.64385434405316</v>
      </c>
      <c r="G29" s="27" t="str">
        <f t="shared" si="9"/>
        <v>-</v>
      </c>
      <c r="H29" s="26">
        <f t="shared" si="10"/>
        <v>16115.660000000002</v>
      </c>
      <c r="I29" s="26">
        <f t="shared" si="11"/>
        <v>15900.085562999524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34.1</v>
      </c>
      <c r="D30" s="30">
        <v>294</v>
      </c>
      <c r="E30" s="29">
        <f t="shared" si="7"/>
        <v>7.3586464095311999E-2</v>
      </c>
      <c r="F30" s="28">
        <f t="shared" si="8"/>
        <v>33.64385434405316</v>
      </c>
      <c r="G30" s="27" t="str">
        <f t="shared" si="9"/>
        <v>-</v>
      </c>
      <c r="H30" s="26">
        <f t="shared" si="10"/>
        <v>10025.4</v>
      </c>
      <c r="I30" s="26">
        <f t="shared" si="11"/>
        <v>9891.2931771516287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34.700000000000003</v>
      </c>
      <c r="D31" s="30">
        <v>64</v>
      </c>
      <c r="E31" s="29">
        <f t="shared" si="7"/>
        <v>1.6018822115986285E-2</v>
      </c>
      <c r="F31" s="28">
        <f t="shared" si="8"/>
        <v>34.235828320781366</v>
      </c>
      <c r="G31" s="27" t="str">
        <f t="shared" si="9"/>
        <v>-</v>
      </c>
      <c r="H31" s="26">
        <f t="shared" si="10"/>
        <v>2220.8000000000002</v>
      </c>
      <c r="I31" s="26">
        <f t="shared" si="11"/>
        <v>2191.0930125300074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36.247125503083119</v>
      </c>
      <c r="D32" s="22">
        <f>SUM(D26:D31)</f>
        <v>2708.2999999999997</v>
      </c>
      <c r="E32" s="21">
        <f t="shared" si="7"/>
        <v>0.67787149901133825</v>
      </c>
      <c r="F32" s="20">
        <f>I32/D32</f>
        <v>35.762258381710936</v>
      </c>
      <c r="G32" s="19">
        <f>F32/C32-1</f>
        <v>-1.3376705452986637E-2</v>
      </c>
      <c r="H32" s="18">
        <f>SUM(H26:H31)</f>
        <v>98168.09</v>
      </c>
      <c r="I32" s="18">
        <f>SUM(I26:I31)</f>
        <v>96854.924375187722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20.8</v>
      </c>
      <c r="D34" s="30">
        <v>577.9</v>
      </c>
      <c r="E34" s="29">
        <f t="shared" ref="E34:E40" si="13">D34/$D$48</f>
        <v>0.1446449578254449</v>
      </c>
      <c r="F34" s="28">
        <f t="shared" ref="F34:F39" si="14">C34-(C34*$E$6)</f>
        <v>20.521764526577879</v>
      </c>
      <c r="G34" s="27" t="str">
        <f t="shared" ref="G34:G39" si="15">IF(C34&gt;=F34,"-","+")</f>
        <v>-</v>
      </c>
      <c r="H34" s="26">
        <f t="shared" ref="H34:H39" si="16">C34*D34</f>
        <v>12020.32</v>
      </c>
      <c r="I34" s="26">
        <f t="shared" ref="I34:I39" si="17">F34*D34</f>
        <v>11859.527719909356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/>
      <c r="E35" s="29">
        <f t="shared" si="13"/>
        <v>0</v>
      </c>
      <c r="F35" s="28">
        <f t="shared" si="14"/>
        <v>15.785972712752214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12.9</v>
      </c>
      <c r="D36" s="30"/>
      <c r="E36" s="29">
        <f t="shared" si="13"/>
        <v>0</v>
      </c>
      <c r="F36" s="28">
        <f t="shared" si="14"/>
        <v>12.727440499656472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34.1</v>
      </c>
      <c r="D37" s="30"/>
      <c r="E37" s="29">
        <f t="shared" si="13"/>
        <v>0</v>
      </c>
      <c r="F37" s="28">
        <f t="shared" si="14"/>
        <v>33.64385434405316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34.1</v>
      </c>
      <c r="D38" s="30"/>
      <c r="E38" s="29">
        <f t="shared" si="13"/>
        <v>0</v>
      </c>
      <c r="F38" s="28">
        <f t="shared" si="14"/>
        <v>33.64385434405316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35.299999999999997</v>
      </c>
      <c r="D39" s="30"/>
      <c r="E39" s="29">
        <f t="shared" si="13"/>
        <v>0</v>
      </c>
      <c r="F39" s="28">
        <f t="shared" si="14"/>
        <v>34.827802297509571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20.8</v>
      </c>
      <c r="D40" s="22">
        <f>SUM(D34:D39)</f>
        <v>577.9</v>
      </c>
      <c r="E40" s="21">
        <f t="shared" si="13"/>
        <v>0.1446449578254449</v>
      </c>
      <c r="F40" s="20">
        <f>I40/D40</f>
        <v>20.521764526577879</v>
      </c>
      <c r="G40" s="19">
        <f>F40/C40-1</f>
        <v>-1.3376705452986637E-2</v>
      </c>
      <c r="H40" s="18">
        <f>SUM(H34:H39)</f>
        <v>12020.32</v>
      </c>
      <c r="I40" s="18">
        <f>SUM(I34:I39)</f>
        <v>11859.527719909356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558</v>
      </c>
      <c r="E42" s="107">
        <f>D42/$D$48</f>
        <v>0.13966410532375542</v>
      </c>
      <c r="F42" s="28">
        <f>C42-(C42*$E$6)</f>
        <v>0.49331164727350668</v>
      </c>
      <c r="G42" s="27" t="str">
        <f>IF(C42&gt;=F42,"-","+")</f>
        <v>-</v>
      </c>
      <c r="H42" s="26">
        <f>C42*D42</f>
        <v>279</v>
      </c>
      <c r="I42" s="26">
        <f>F42*D42</f>
        <v>275.26789917861674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19.8</v>
      </c>
      <c r="E43" s="107">
        <f>D43/$D$48</f>
        <v>4.9558230921332574E-3</v>
      </c>
      <c r="F43" s="28">
        <f>C43-(C43*$E$6)</f>
        <v>0.49331164727350668</v>
      </c>
      <c r="G43" s="27" t="str">
        <f>IF(C43&gt;=F43,"-","+")</f>
        <v>-</v>
      </c>
      <c r="H43" s="26">
        <f>C43*D43</f>
        <v>9.9</v>
      </c>
      <c r="I43" s="26">
        <f>F43*D43</f>
        <v>9.7675706160154334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4.9000000000000004</v>
      </c>
      <c r="E44" s="107">
        <f>D44/$D$48</f>
        <v>1.2264410682552001E-3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4.8</v>
      </c>
      <c r="E45" s="107">
        <f>D45/$D$48</f>
        <v>1.2014116586989713E-3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0.49174468085106388</v>
      </c>
      <c r="D46" s="22">
        <f>SUM(D41:D45)</f>
        <v>587.49999999999989</v>
      </c>
      <c r="E46" s="21">
        <f>D46/$D$48</f>
        <v>0.14704778114284281</v>
      </c>
      <c r="F46" s="20">
        <f>I46/D46</f>
        <v>0.48516675709724633</v>
      </c>
      <c r="G46" s="19">
        <f>F46/C46-1</f>
        <v>-1.3376705452986526E-2</v>
      </c>
      <c r="H46" s="18">
        <f>SUM(H41:H44)</f>
        <v>288.89999999999998</v>
      </c>
      <c r="I46" s="18">
        <f>SUM(I41:I44)</f>
        <v>285.03546979463215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107.33887018393419</v>
      </c>
      <c r="D48" s="13">
        <f>D24+D32+D40+D46</f>
        <v>3995.2999999999997</v>
      </c>
      <c r="E48" s="12">
        <f>SUM(E20:E46)/2</f>
        <v>1</v>
      </c>
      <c r="F48" s="11">
        <f>I48/D48</f>
        <v>28.777354020277368</v>
      </c>
      <c r="G48" s="10"/>
      <c r="H48" s="9">
        <f>SUM(H20:H46)/2</f>
        <v>116532.98999999999</v>
      </c>
      <c r="I48" s="9">
        <f>SUM(I20:I46)/2</f>
        <v>114974.16251721416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4324.0999999999995</v>
      </c>
      <c r="E50" s="12">
        <f>D50/G2</f>
        <v>0.99999999999999978</v>
      </c>
      <c r="F50" s="11">
        <f>I50/D50</f>
        <v>29.500000000000007</v>
      </c>
      <c r="G50" s="10"/>
      <c r="H50" s="9">
        <f>H48+H19</f>
        <v>129290.43</v>
      </c>
      <c r="I50" s="9">
        <f>I48+I19</f>
        <v>127560.95000000001</v>
      </c>
      <c r="J50" s="106">
        <f>D50-G2</f>
        <v>0</v>
      </c>
      <c r="K50" s="8"/>
    </row>
    <row r="51" spans="1:11" ht="23.25" x14ac:dyDescent="0.35">
      <c r="A51" s="174" t="s">
        <v>435</v>
      </c>
      <c r="B51" s="169"/>
      <c r="C51" s="170"/>
      <c r="G51" s="7"/>
      <c r="H51" s="6"/>
      <c r="I51" s="6">
        <f>+I50/D50</f>
        <v>29.500000000000007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427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427</v>
      </c>
      <c r="D2" s="96" t="s">
        <v>3</v>
      </c>
      <c r="E2" s="95" t="s">
        <v>112</v>
      </c>
      <c r="F2" s="94" t="s">
        <v>5</v>
      </c>
      <c r="G2" s="93">
        <v>4489.7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84</v>
      </c>
      <c r="F3" s="88" t="s">
        <v>8</v>
      </c>
      <c r="G3" s="87">
        <v>23.76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53.448809523809523</v>
      </c>
      <c r="F4" s="81" t="s">
        <v>12</v>
      </c>
      <c r="G4" s="80">
        <f>G2*G3</f>
        <v>106675.272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-0.14890048323164229</v>
      </c>
      <c r="F6" s="69" t="s">
        <v>16</v>
      </c>
      <c r="G6" s="68">
        <f>(I50-I19)/(D50-(SUM(D42:D44)+D19))</f>
        <v>31.506666666666664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23.8</v>
      </c>
      <c r="D10" s="30"/>
      <c r="E10" s="29" t="e">
        <f t="shared" ref="E10:E19" si="1">D10/$D$19</f>
        <v>#DIV/0!</v>
      </c>
      <c r="F10" s="28">
        <f t="shared" ref="F10:F18" si="2">C10-(C10*$E$6)</f>
        <v>27.343831500913087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 t="e">
        <f t="shared" si="1"/>
        <v>#DIV/0!</v>
      </c>
      <c r="F11" s="28">
        <f t="shared" si="2"/>
        <v>28.377841935821564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22.6</v>
      </c>
      <c r="D12" s="30"/>
      <c r="E12" s="29" t="e">
        <f t="shared" si="1"/>
        <v>#DIV/0!</v>
      </c>
      <c r="F12" s="28">
        <f t="shared" si="2"/>
        <v>25.965150921035118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/>
      <c r="E13" s="29" t="e">
        <f t="shared" si="1"/>
        <v>#DIV/0!</v>
      </c>
      <c r="F13" s="28">
        <f t="shared" si="2"/>
        <v>28.377841935821564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27.7</v>
      </c>
      <c r="D14" s="30"/>
      <c r="E14" s="29" t="e">
        <f t="shared" si="1"/>
        <v>#DIV/0!</v>
      </c>
      <c r="F14" s="28">
        <f t="shared" si="2"/>
        <v>31.824543385516492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22.8</v>
      </c>
      <c r="D15" s="30"/>
      <c r="E15" s="29" t="e">
        <f t="shared" si="1"/>
        <v>#DIV/0!</v>
      </c>
      <c r="F15" s="28">
        <f t="shared" si="2"/>
        <v>26.194931017681444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31.2</v>
      </c>
      <c r="D16" s="30"/>
      <c r="E16" s="29" t="e">
        <f t="shared" si="1"/>
        <v>#DIV/0!</v>
      </c>
      <c r="F16" s="28">
        <f t="shared" si="2"/>
        <v>35.845695076827241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</v>
      </c>
      <c r="D17" s="30"/>
      <c r="E17" s="29" t="e">
        <f t="shared" si="1"/>
        <v>#DIV/0!</v>
      </c>
      <c r="F17" s="28">
        <f t="shared" si="2"/>
        <v>52.849422228655541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40.299999999999997</v>
      </c>
      <c r="D18" s="30"/>
      <c r="E18" s="29" t="e">
        <f t="shared" si="1"/>
        <v>#DIV/0!</v>
      </c>
      <c r="F18" s="28">
        <f t="shared" si="2"/>
        <v>46.300689474235185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59.8</v>
      </c>
      <c r="D21" s="30">
        <v>47</v>
      </c>
      <c r="E21" s="29">
        <f>D21/$D$48</f>
        <v>1.0468405461389401E-2</v>
      </c>
      <c r="F21" s="28">
        <f>C21-(C21*$E$6)</f>
        <v>68.704248897252199</v>
      </c>
      <c r="G21" s="27" t="str">
        <f>IF(C21&gt;=F21,"-","+")</f>
        <v>+</v>
      </c>
      <c r="H21" s="26">
        <f>C21*D21</f>
        <v>2810.6</v>
      </c>
      <c r="I21" s="26">
        <f>F21*D21</f>
        <v>3229.0996981708536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40.1</v>
      </c>
      <c r="D22" s="30">
        <v>108</v>
      </c>
      <c r="E22" s="29">
        <f>D22/$D$48</f>
        <v>2.4055059358086283E-2</v>
      </c>
      <c r="F22" s="28">
        <f>C22-(C22*$E$6)</f>
        <v>46.070909377588855</v>
      </c>
      <c r="G22" s="27" t="str">
        <f>IF(C22&gt;=F22,"-","+")</f>
        <v>+</v>
      </c>
      <c r="H22" s="26">
        <f>C22*D22</f>
        <v>4330.8</v>
      </c>
      <c r="I22" s="26">
        <f>F22*D22</f>
        <v>4975.6582127795964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36.6</v>
      </c>
      <c r="D23" s="30">
        <v>95</v>
      </c>
      <c r="E23" s="29">
        <f>D23/$D$48</f>
        <v>2.1159542953872193E-2</v>
      </c>
      <c r="F23" s="28">
        <f>C23-(C23*$E$6)</f>
        <v>42.049757686278113</v>
      </c>
      <c r="G23" s="27" t="str">
        <f>IF(C23&gt;=F23,"-","+")</f>
        <v>+</v>
      </c>
      <c r="H23" s="26">
        <f>C23*D23</f>
        <v>3477</v>
      </c>
      <c r="I23" s="26">
        <f>F23*D23</f>
        <v>3994.7269801964208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42.473599999999998</v>
      </c>
      <c r="D24" s="22">
        <f>SUM(D21:D23)</f>
        <v>250</v>
      </c>
      <c r="E24" s="21">
        <f>D24/$D$48</f>
        <v>5.5683007773347878E-2</v>
      </c>
      <c r="F24" s="20">
        <f>I24/D24</f>
        <v>48.79793956458748</v>
      </c>
      <c r="G24" s="19">
        <f>F24/C24-1</f>
        <v>0.14890048323164229</v>
      </c>
      <c r="H24" s="18">
        <f>SUM(H21:H23)</f>
        <v>10618.4</v>
      </c>
      <c r="I24" s="18">
        <f>SUM(I21:I23)</f>
        <v>12199.484891146871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31.9</v>
      </c>
      <c r="D26" s="30">
        <v>765.4</v>
      </c>
      <c r="E26" s="29">
        <f t="shared" ref="E26:E32" si="7">D26/$D$48</f>
        <v>0.17047909659888186</v>
      </c>
      <c r="F26" s="28">
        <f t="shared" ref="F26:F31" si="8">C26-(C26*$E$6)</f>
        <v>36.649925415089385</v>
      </c>
      <c r="G26" s="27" t="str">
        <f t="shared" ref="G26:G31" si="9">IF(C26&gt;=F26,"-","+")</f>
        <v>+</v>
      </c>
      <c r="H26" s="26">
        <f t="shared" ref="H26:H31" si="10">C26*D26</f>
        <v>24416.26</v>
      </c>
      <c r="I26" s="26">
        <f t="shared" ref="I26:I31" si="11">F26*D26</f>
        <v>28051.852912709415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28.4</v>
      </c>
      <c r="D27" s="30">
        <v>680</v>
      </c>
      <c r="E27" s="29">
        <f t="shared" si="7"/>
        <v>0.15145778114350622</v>
      </c>
      <c r="F27" s="28">
        <f t="shared" si="8"/>
        <v>32.628773723778636</v>
      </c>
      <c r="G27" s="27" t="str">
        <f t="shared" si="9"/>
        <v>+</v>
      </c>
      <c r="H27" s="26">
        <f t="shared" si="10"/>
        <v>19312</v>
      </c>
      <c r="I27" s="26">
        <f t="shared" si="11"/>
        <v>22187.566132169472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28.4</v>
      </c>
      <c r="D28" s="30">
        <v>295.2</v>
      </c>
      <c r="E28" s="29">
        <f t="shared" si="7"/>
        <v>6.5750495578769164E-2</v>
      </c>
      <c r="F28" s="28">
        <f t="shared" si="8"/>
        <v>32.628773723778636</v>
      </c>
      <c r="G28" s="27" t="str">
        <f t="shared" si="9"/>
        <v>+</v>
      </c>
      <c r="H28" s="26">
        <f t="shared" si="10"/>
        <v>8383.6799999999985</v>
      </c>
      <c r="I28" s="26">
        <f t="shared" si="11"/>
        <v>9632.0140032594536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284</v>
      </c>
      <c r="E29" s="29">
        <f t="shared" si="7"/>
        <v>6.3255896830523184E-2</v>
      </c>
      <c r="F29" s="28">
        <f t="shared" si="8"/>
        <v>31.479873240546997</v>
      </c>
      <c r="G29" s="27" t="str">
        <f t="shared" si="9"/>
        <v>+</v>
      </c>
      <c r="H29" s="26">
        <f t="shared" si="10"/>
        <v>7781.5999999999995</v>
      </c>
      <c r="I29" s="26">
        <f t="shared" si="11"/>
        <v>8940.2840003153469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268</v>
      </c>
      <c r="E30" s="29">
        <f t="shared" si="7"/>
        <v>5.9692184333028926E-2</v>
      </c>
      <c r="F30" s="28">
        <f t="shared" si="8"/>
        <v>31.479873240546997</v>
      </c>
      <c r="G30" s="27" t="str">
        <f t="shared" si="9"/>
        <v>+</v>
      </c>
      <c r="H30" s="26">
        <f t="shared" si="10"/>
        <v>7343.2</v>
      </c>
      <c r="I30" s="26">
        <f t="shared" si="11"/>
        <v>8436.6060284665946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27.9</v>
      </c>
      <c r="D31" s="30">
        <v>72.400000000000006</v>
      </c>
      <c r="E31" s="29">
        <f t="shared" si="7"/>
        <v>1.6125799051161547E-2</v>
      </c>
      <c r="F31" s="28">
        <f t="shared" si="8"/>
        <v>32.054323482162815</v>
      </c>
      <c r="G31" s="27" t="str">
        <f t="shared" si="9"/>
        <v>+</v>
      </c>
      <c r="H31" s="26">
        <f t="shared" si="10"/>
        <v>2019.96</v>
      </c>
      <c r="I31" s="26">
        <f t="shared" si="11"/>
        <v>2320.7330201085879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29.284016913319231</v>
      </c>
      <c r="D32" s="22">
        <f>SUM(D26:D31)</f>
        <v>2365.0000000000005</v>
      </c>
      <c r="E32" s="21">
        <f t="shared" si="7"/>
        <v>0.526761253535871</v>
      </c>
      <c r="F32" s="20">
        <f>I32/D32</f>
        <v>33.644421182676055</v>
      </c>
      <c r="G32" s="19">
        <f>F32/C32-1</f>
        <v>0.14890048323164251</v>
      </c>
      <c r="H32" s="18">
        <f>SUM(H26:H31)</f>
        <v>69256.7</v>
      </c>
      <c r="I32" s="18">
        <f>SUM(I26:I31)</f>
        <v>79569.056097028879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</v>
      </c>
      <c r="D34" s="30">
        <f>327.9+367.6</f>
        <v>695.5</v>
      </c>
      <c r="E34" s="29">
        <f t="shared" ref="E34:E40" si="13">D34/$D$48</f>
        <v>0.15491012762545378</v>
      </c>
      <c r="F34" s="28">
        <f t="shared" ref="F34:F39" si="14">C34-(C34*$E$6)</f>
        <v>19.301528118291593</v>
      </c>
      <c r="G34" s="27" t="str">
        <f t="shared" ref="G34:G39" si="15">IF(C34&gt;=F34,"-","+")</f>
        <v>+</v>
      </c>
      <c r="H34" s="26">
        <f t="shared" ref="H34:H39" si="16">C34*D34</f>
        <v>11684.4</v>
      </c>
      <c r="I34" s="26">
        <f t="shared" ref="I34:I39" si="17">F34*D34</f>
        <v>13424.212806271802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65.8</v>
      </c>
      <c r="E35" s="29">
        <f t="shared" si="13"/>
        <v>1.465576764594516E-2</v>
      </c>
      <c r="F35" s="28">
        <f t="shared" si="14"/>
        <v>14.820816233688186</v>
      </c>
      <c r="G35" s="27" t="str">
        <f t="shared" si="15"/>
        <v>+</v>
      </c>
      <c r="H35" s="26">
        <f t="shared" si="16"/>
        <v>848.81999999999994</v>
      </c>
      <c r="I35" s="26">
        <f t="shared" si="17"/>
        <v>975.20970817668262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11.94856502560908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31.479873240546997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31.479873240546997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28.4</v>
      </c>
      <c r="D39" s="30"/>
      <c r="E39" s="29">
        <f t="shared" si="13"/>
        <v>0</v>
      </c>
      <c r="F39" s="28">
        <f t="shared" si="14"/>
        <v>32.628773723778636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16.462918691711547</v>
      </c>
      <c r="D40" s="22">
        <f>SUM(D34:D39)</f>
        <v>761.3</v>
      </c>
      <c r="E40" s="113">
        <f t="shared" si="13"/>
        <v>0.16956589527139895</v>
      </c>
      <c r="F40" s="20">
        <f>I40/D40</f>
        <v>18.914255240310634</v>
      </c>
      <c r="G40" s="19">
        <f>F40/C40-1</f>
        <v>0.14890048323164251</v>
      </c>
      <c r="H40" s="18">
        <f>SUM(H34:H39)</f>
        <v>12533.22</v>
      </c>
      <c r="I40" s="18">
        <f>SUM(I34:I39)</f>
        <v>14399.422514448484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437+68+572</f>
        <v>1077</v>
      </c>
      <c r="E42" s="107">
        <f>D42/$D$48</f>
        <v>0.23988239748758264</v>
      </c>
      <c r="F42" s="28">
        <f>C42-(C42*$E$6)</f>
        <v>0.45956019329265696</v>
      </c>
      <c r="G42" s="27" t="str">
        <f>IF(C42&gt;=F42,"-","+")</f>
        <v>+</v>
      </c>
      <c r="H42" s="26">
        <f>C42*D42</f>
        <v>430.8</v>
      </c>
      <c r="I42" s="26">
        <f>F42*D42</f>
        <v>494.94632817619157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26.9</v>
      </c>
      <c r="E43" s="107">
        <f>D43/$D$48</f>
        <v>5.9914916364122309E-3</v>
      </c>
      <c r="F43" s="28">
        <f>C43-(C43*$E$6)</f>
        <v>0.45956019329265696</v>
      </c>
      <c r="G43" s="27" t="str">
        <f>IF(C43&gt;=F43,"-","+")</f>
        <v>+</v>
      </c>
      <c r="H43" s="26">
        <f>C43*D43</f>
        <v>10.76</v>
      </c>
      <c r="I43" s="26">
        <f>F43*D43</f>
        <v>12.362169199572472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9.5</v>
      </c>
      <c r="E45" s="107">
        <f>D45/$D$48</f>
        <v>2.1159542953872192E-3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0.39658703071672352</v>
      </c>
      <c r="D46" s="22">
        <f>SUM(D41:D45)</f>
        <v>1113.4000000000001</v>
      </c>
      <c r="E46" s="113">
        <f>D46/$D$48</f>
        <v>0.24798984341938213</v>
      </c>
      <c r="F46" s="20">
        <f>I46/D46</f>
        <v>0.45563903123384586</v>
      </c>
      <c r="G46" s="19">
        <f>F46/C46-1</f>
        <v>0.14890048323164229</v>
      </c>
      <c r="H46" s="18">
        <f>SUM(H41:H44)</f>
        <v>441.56</v>
      </c>
      <c r="I46" s="18">
        <f>SUM(I41:I44)</f>
        <v>507.30849737576403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88.617122635747492</v>
      </c>
      <c r="D48" s="13">
        <f>D24+D32+D40+D46</f>
        <v>4489.7000000000007</v>
      </c>
      <c r="E48" s="12">
        <f>SUM(E20:E46)/2</f>
        <v>1</v>
      </c>
      <c r="F48" s="11">
        <f>I48/D48</f>
        <v>23.759999999999991</v>
      </c>
      <c r="G48" s="10"/>
      <c r="H48" s="9">
        <f>SUM(H20:H46)/2</f>
        <v>92849.88</v>
      </c>
      <c r="I48" s="9">
        <f>SUM(I20:I46)/2</f>
        <v>106675.27199999998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4489.7</v>
      </c>
      <c r="E50" s="12">
        <f>D50/G2</f>
        <v>1</v>
      </c>
      <c r="F50" s="11">
        <f>I50/D50</f>
        <v>23.759999999999998</v>
      </c>
      <c r="G50" s="10"/>
      <c r="H50" s="9">
        <f>H48+H19</f>
        <v>92849.88</v>
      </c>
      <c r="I50" s="9">
        <f>I48+I19</f>
        <v>106675.27199999998</v>
      </c>
      <c r="J50" s="106">
        <f>D50-G2</f>
        <v>0</v>
      </c>
      <c r="K50" s="8"/>
    </row>
    <row r="51" spans="1:11" ht="23.25" x14ac:dyDescent="0.35">
      <c r="A51" s="174" t="s">
        <v>436</v>
      </c>
      <c r="B51" s="169"/>
      <c r="C51" s="170"/>
      <c r="G51" s="7"/>
      <c r="H51" s="6"/>
      <c r="I51" s="6">
        <f>+I50/D50</f>
        <v>23.759999999999998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427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427</v>
      </c>
      <c r="D2" s="96" t="s">
        <v>3</v>
      </c>
      <c r="E2" s="95" t="s">
        <v>71</v>
      </c>
      <c r="F2" s="94" t="s">
        <v>5</v>
      </c>
      <c r="G2" s="93">
        <v>19551.400000000001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256</v>
      </c>
      <c r="F3" s="88" t="s">
        <v>8</v>
      </c>
      <c r="G3" s="87">
        <v>29.7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76.372656250000006</v>
      </c>
      <c r="F4" s="81" t="s">
        <v>12</v>
      </c>
      <c r="G4" s="80">
        <f>G2*G3</f>
        <v>580676.58000000007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-7.3529495953130741E-3</v>
      </c>
      <c r="F6" s="69" t="s">
        <v>16</v>
      </c>
      <c r="G6" s="68">
        <f>(I50-I19)/(D50-(SUM(D42:D44)+D19))</f>
        <v>35.690820188824503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29.7</v>
      </c>
      <c r="D10" s="30"/>
      <c r="E10" s="29">
        <f t="shared" ref="E10:E19" si="1">D10/$D$19</f>
        <v>0</v>
      </c>
      <c r="F10" s="28">
        <f t="shared" ref="F10:F18" si="2">C10-(C10*$E$6)</f>
        <v>29.918382602980799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30.9</v>
      </c>
      <c r="D11" s="30">
        <v>3623.1</v>
      </c>
      <c r="E11" s="29">
        <f t="shared" si="1"/>
        <v>0.80475777970280526</v>
      </c>
      <c r="F11" s="28">
        <f t="shared" si="2"/>
        <v>31.127206142495172</v>
      </c>
      <c r="G11" s="27" t="str">
        <f t="shared" si="3"/>
        <v>+</v>
      </c>
      <c r="H11" s="34">
        <f t="shared" si="4"/>
        <v>111953.79</v>
      </c>
      <c r="I11" s="34">
        <f t="shared" si="5"/>
        <v>112776.98057487425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28.3</v>
      </c>
      <c r="D12" s="30">
        <v>879</v>
      </c>
      <c r="E12" s="29">
        <f t="shared" si="1"/>
        <v>0.19524222029719462</v>
      </c>
      <c r="F12" s="28">
        <f t="shared" si="2"/>
        <v>28.50808847354736</v>
      </c>
      <c r="G12" s="27" t="str">
        <f t="shared" si="3"/>
        <v>+</v>
      </c>
      <c r="H12" s="34">
        <f t="shared" si="4"/>
        <v>24875.7</v>
      </c>
      <c r="I12" s="34">
        <f t="shared" si="5"/>
        <v>25058.60976824813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30.9</v>
      </c>
      <c r="D13" s="30"/>
      <c r="E13" s="29">
        <f t="shared" si="1"/>
        <v>0</v>
      </c>
      <c r="F13" s="28">
        <f t="shared" si="2"/>
        <v>31.127206142495172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34.6</v>
      </c>
      <c r="D14" s="30"/>
      <c r="E14" s="29">
        <f t="shared" si="1"/>
        <v>0</v>
      </c>
      <c r="F14" s="28">
        <f t="shared" si="2"/>
        <v>34.854412055997834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28.5</v>
      </c>
      <c r="D15" s="30"/>
      <c r="E15" s="29">
        <f t="shared" si="1"/>
        <v>0</v>
      </c>
      <c r="F15" s="28">
        <f t="shared" si="2"/>
        <v>28.709559063466422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39</v>
      </c>
      <c r="D16" s="30"/>
      <c r="E16" s="29">
        <f t="shared" si="1"/>
        <v>0</v>
      </c>
      <c r="F16" s="28">
        <f t="shared" si="2"/>
        <v>39.286765034217211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57.4</v>
      </c>
      <c r="D17" s="30"/>
      <c r="E17" s="29">
        <f t="shared" si="1"/>
        <v>0</v>
      </c>
      <c r="F17" s="28">
        <f t="shared" si="2"/>
        <v>57.822059306770967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50.3</v>
      </c>
      <c r="D18" s="30"/>
      <c r="E18" s="29">
        <f t="shared" si="1"/>
        <v>0</v>
      </c>
      <c r="F18" s="28">
        <f t="shared" si="2"/>
        <v>50.669853364644247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30.392370227227289</v>
      </c>
      <c r="D19" s="49">
        <f>SUM(D10:D18)</f>
        <v>4502.1000000000004</v>
      </c>
      <c r="E19" s="48">
        <f t="shared" si="1"/>
        <v>1</v>
      </c>
      <c r="F19" s="47">
        <f>I19/D19</f>
        <v>30.615843793590184</v>
      </c>
      <c r="G19" s="46">
        <f>F19/C19-1</f>
        <v>7.3529495953130741E-3</v>
      </c>
      <c r="H19" s="9">
        <f>SUM(H10:H18)</f>
        <v>136829.49</v>
      </c>
      <c r="I19" s="9">
        <f>SUM(I10:I18)</f>
        <v>137835.59034312237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74.7</v>
      </c>
      <c r="D21" s="30">
        <v>168.5</v>
      </c>
      <c r="E21" s="29">
        <f>D21/$D$48</f>
        <v>1.1196534058062502E-2</v>
      </c>
      <c r="F21" s="28">
        <f>C21-(C21*$E$6)</f>
        <v>75.249265334769888</v>
      </c>
      <c r="G21" s="27" t="str">
        <f>IF(C21&gt;=F21,"-","+")</f>
        <v>+</v>
      </c>
      <c r="H21" s="26">
        <f>C21*D21</f>
        <v>12586.95</v>
      </c>
      <c r="I21" s="26">
        <f>F21*D21</f>
        <v>12679.501208908727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50.2</v>
      </c>
      <c r="D22" s="30">
        <v>546.70000000000005</v>
      </c>
      <c r="E22" s="29">
        <f>D22/$D$48</f>
        <v>3.6327271035862141E-2</v>
      </c>
      <c r="F22" s="28">
        <f>C22-(C22*$E$6)</f>
        <v>50.56911806968472</v>
      </c>
      <c r="G22" s="27" t="str">
        <f>IF(C22&gt;=F22,"-","+")</f>
        <v>+</v>
      </c>
      <c r="H22" s="26">
        <f>C22*D22</f>
        <v>27444.340000000004</v>
      </c>
      <c r="I22" s="26">
        <f>F22*D22</f>
        <v>27646.136848696638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45.7</v>
      </c>
      <c r="D23" s="30">
        <v>302.39999999999998</v>
      </c>
      <c r="E23" s="29">
        <f>D23/$D$48</f>
        <v>2.0093957858505047E-2</v>
      </c>
      <c r="F23" s="28">
        <f>C23-(C23*$E$6)</f>
        <v>46.036029796505808</v>
      </c>
      <c r="G23" s="27" t="str">
        <f>IF(C23&gt;=F23,"-","+")</f>
        <v>+</v>
      </c>
      <c r="H23" s="26">
        <f>C23*D23</f>
        <v>13819.68</v>
      </c>
      <c r="I23" s="26">
        <f>F23*D23</f>
        <v>13921.295410463355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52.919585298742149</v>
      </c>
      <c r="D24" s="22">
        <f>SUM(D21:D23)</f>
        <v>1017.6</v>
      </c>
      <c r="E24" s="21">
        <f>D24/$D$48</f>
        <v>6.7617762952429689E-2</v>
      </c>
      <c r="F24" s="20">
        <f>I24/D24</f>
        <v>53.30870034204866</v>
      </c>
      <c r="G24" s="19">
        <f>F24/C24-1</f>
        <v>7.3529495953128521E-3</v>
      </c>
      <c r="H24" s="18">
        <f>SUM(H21:H23)</f>
        <v>53850.970000000008</v>
      </c>
      <c r="I24" s="18">
        <f>SUM(I21:I23)</f>
        <v>54246.933468068717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39.9</v>
      </c>
      <c r="D26" s="30">
        <v>2549</v>
      </c>
      <c r="E26" s="29">
        <f t="shared" ref="E26:E32" si="7">D26/$D$48</f>
        <v>0.1693766487477823</v>
      </c>
      <c r="F26" s="28">
        <f t="shared" ref="F26:F31" si="8">C26-(C26*$E$6)</f>
        <v>40.193382688852992</v>
      </c>
      <c r="G26" s="27" t="str">
        <f t="shared" ref="G26:G31" si="9">IF(C26&gt;=F26,"-","+")</f>
        <v>+</v>
      </c>
      <c r="H26" s="26">
        <f t="shared" ref="H26:H31" si="10">C26*D26</f>
        <v>101705.09999999999</v>
      </c>
      <c r="I26" s="26">
        <f t="shared" ref="I26:I31" si="11">F26*D26</f>
        <v>102452.93247388628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35.5</v>
      </c>
      <c r="D27" s="30">
        <v>2385.8000000000002</v>
      </c>
      <c r="E27" s="29">
        <f t="shared" si="7"/>
        <v>0.15853229053843038</v>
      </c>
      <c r="F27" s="28">
        <f t="shared" si="8"/>
        <v>35.761029710633615</v>
      </c>
      <c r="G27" s="27" t="str">
        <f t="shared" si="9"/>
        <v>+</v>
      </c>
      <c r="H27" s="26">
        <f t="shared" si="10"/>
        <v>84695.900000000009</v>
      </c>
      <c r="I27" s="26">
        <f t="shared" si="11"/>
        <v>85318.664683629686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35.5</v>
      </c>
      <c r="D28" s="30">
        <v>1923.6</v>
      </c>
      <c r="E28" s="29">
        <f t="shared" si="7"/>
        <v>0.12781989859993489</v>
      </c>
      <c r="F28" s="28">
        <f t="shared" si="8"/>
        <v>35.761029710633615</v>
      </c>
      <c r="G28" s="27" t="str">
        <f t="shared" si="9"/>
        <v>+</v>
      </c>
      <c r="H28" s="26">
        <f t="shared" si="10"/>
        <v>68287.8</v>
      </c>
      <c r="I28" s="26">
        <f t="shared" si="11"/>
        <v>68789.916751374825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34.299999999999997</v>
      </c>
      <c r="D29" s="30">
        <v>1647.9</v>
      </c>
      <c r="E29" s="29">
        <f t="shared" si="7"/>
        <v>0.10950010963965102</v>
      </c>
      <c r="F29" s="28">
        <f t="shared" si="8"/>
        <v>34.552206171119238</v>
      </c>
      <c r="G29" s="27" t="str">
        <f t="shared" si="9"/>
        <v>+</v>
      </c>
      <c r="H29" s="26">
        <f t="shared" si="10"/>
        <v>56522.97</v>
      </c>
      <c r="I29" s="26">
        <f t="shared" si="11"/>
        <v>56938.580549387392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34.299999999999997</v>
      </c>
      <c r="D30" s="30">
        <v>776</v>
      </c>
      <c r="E30" s="29">
        <f t="shared" si="7"/>
        <v>5.1563860113094967E-2</v>
      </c>
      <c r="F30" s="28">
        <f t="shared" si="8"/>
        <v>34.552206171119238</v>
      </c>
      <c r="G30" s="27" t="str">
        <f t="shared" si="9"/>
        <v>+</v>
      </c>
      <c r="H30" s="26">
        <f t="shared" si="10"/>
        <v>26616.799999999999</v>
      </c>
      <c r="I30" s="26">
        <f t="shared" si="11"/>
        <v>26812.51198878853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34.9</v>
      </c>
      <c r="D31" s="30">
        <v>207</v>
      </c>
      <c r="E31" s="29">
        <f t="shared" si="7"/>
        <v>1.3754792581714765E-2</v>
      </c>
      <c r="F31" s="28">
        <f t="shared" si="8"/>
        <v>35.156617940876423</v>
      </c>
      <c r="G31" s="27" t="str">
        <f t="shared" si="9"/>
        <v>+</v>
      </c>
      <c r="H31" s="26">
        <f t="shared" si="10"/>
        <v>7224.2999999999993</v>
      </c>
      <c r="I31" s="26">
        <f t="shared" si="11"/>
        <v>7277.4199137614196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36.362310180940639</v>
      </c>
      <c r="D32" s="22">
        <f>SUM(D26:D31)</f>
        <v>9489.2999999999993</v>
      </c>
      <c r="E32" s="21">
        <f t="shared" si="7"/>
        <v>0.6305476002206083</v>
      </c>
      <c r="F32" s="20">
        <f>I32/D32</f>
        <v>36.629680414870236</v>
      </c>
      <c r="G32" s="19">
        <f>F32/C32-1</f>
        <v>7.3529495953130741E-3</v>
      </c>
      <c r="H32" s="18">
        <f>SUM(H26:H31)</f>
        <v>345052.87</v>
      </c>
      <c r="I32" s="18">
        <f>SUM(I26:I31)</f>
        <v>347590.02636082814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21</v>
      </c>
      <c r="D34" s="30">
        <v>1816.6</v>
      </c>
      <c r="E34" s="29">
        <f t="shared" ref="E34:E40" si="13">D34/$D$48</f>
        <v>0.12070993335238184</v>
      </c>
      <c r="F34" s="28">
        <f t="shared" ref="F34:F39" si="14">C34-(C34*$E$6)</f>
        <v>21.154411941501575</v>
      </c>
      <c r="G34" s="27" t="str">
        <f t="shared" ref="G34:G39" si="15">IF(C34&gt;=F34,"-","+")</f>
        <v>+</v>
      </c>
      <c r="H34" s="26">
        <f t="shared" ref="H34:H39" si="16">C34*D34</f>
        <v>38148.6</v>
      </c>
      <c r="I34" s="26">
        <f t="shared" ref="I34:I39" si="17">F34*D34</f>
        <v>38429.104732931759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16.100000000000001</v>
      </c>
      <c r="D35" s="30">
        <v>77.8</v>
      </c>
      <c r="E35" s="29">
        <f t="shared" si="13"/>
        <v>5.1696756659778192E-3</v>
      </c>
      <c r="F35" s="28">
        <f t="shared" si="14"/>
        <v>16.218382488484544</v>
      </c>
      <c r="G35" s="27" t="str">
        <f t="shared" si="15"/>
        <v>+</v>
      </c>
      <c r="H35" s="26">
        <f t="shared" si="16"/>
        <v>1252.5800000000002</v>
      </c>
      <c r="I35" s="26">
        <f t="shared" si="17"/>
        <v>1261.7901576040974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13</v>
      </c>
      <c r="D36" s="30"/>
      <c r="E36" s="29">
        <f t="shared" si="13"/>
        <v>0</v>
      </c>
      <c r="F36" s="28">
        <f t="shared" si="14"/>
        <v>13.09558834473907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34.299999999999997</v>
      </c>
      <c r="D37" s="30"/>
      <c r="E37" s="29">
        <f t="shared" si="13"/>
        <v>0</v>
      </c>
      <c r="F37" s="28">
        <f t="shared" si="14"/>
        <v>34.552206171119238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34.299999999999997</v>
      </c>
      <c r="D38" s="30"/>
      <c r="E38" s="29">
        <f t="shared" si="13"/>
        <v>0</v>
      </c>
      <c r="F38" s="28">
        <f t="shared" si="14"/>
        <v>34.552206171119238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35.5</v>
      </c>
      <c r="D39" s="30"/>
      <c r="E39" s="29">
        <f t="shared" si="13"/>
        <v>0</v>
      </c>
      <c r="F39" s="28">
        <f t="shared" si="14"/>
        <v>35.761029710633615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20.798764780405406</v>
      </c>
      <c r="D40" s="22">
        <f>SUM(D34:D39)</f>
        <v>1894.3999999999999</v>
      </c>
      <c r="E40" s="113">
        <f t="shared" si="13"/>
        <v>0.12587960901835965</v>
      </c>
      <c r="F40" s="20">
        <f>I40/D40</f>
        <v>20.951697049480501</v>
      </c>
      <c r="G40" s="19">
        <f>F40/C40-1</f>
        <v>7.3529495953130741E-3</v>
      </c>
      <c r="H40" s="18">
        <f>SUM(H34:H39)</f>
        <v>39401.18</v>
      </c>
      <c r="I40" s="18">
        <f>SUM(I34:I39)</f>
        <v>39690.894890535856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2500</v>
      </c>
      <c r="E42" s="107">
        <f>D42/$D$48</f>
        <v>0.16612068335404306</v>
      </c>
      <c r="F42" s="28">
        <f>C42-(C42*$E$6)</f>
        <v>0.50367647479765654</v>
      </c>
      <c r="G42" s="27" t="str">
        <f>IF(C42&gt;=F42,"-","+")</f>
        <v>+</v>
      </c>
      <c r="H42" s="26">
        <f>C42*D42</f>
        <v>1250</v>
      </c>
      <c r="I42" s="26">
        <f>F42*D42</f>
        <v>1259.1911869941414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107.1</v>
      </c>
      <c r="E43" s="107">
        <f>D43/$D$48</f>
        <v>7.1166100748872039E-3</v>
      </c>
      <c r="F43" s="28">
        <f>C43-(C43*$E$6)</f>
        <v>0.50367647479765654</v>
      </c>
      <c r="G43" s="27" t="str">
        <f>IF(C43&gt;=F43,"-","+")</f>
        <v>+</v>
      </c>
      <c r="H43" s="26">
        <f>C43*D43</f>
        <v>53.55</v>
      </c>
      <c r="I43" s="26">
        <f>F43*D43</f>
        <v>53.943750450829015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34.5</v>
      </c>
      <c r="E44" s="107">
        <f>D44/$D$48</f>
        <v>2.292465430285794E-3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6.4</v>
      </c>
      <c r="E45" s="107">
        <f>D45/$D$48</f>
        <v>4.2526894938635026E-4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0.49227719033232625</v>
      </c>
      <c r="D46" s="22">
        <f>SUM(D41:D45)</f>
        <v>2648</v>
      </c>
      <c r="E46" s="113">
        <f>D46/$D$48</f>
        <v>0.17595502780860239</v>
      </c>
      <c r="F46" s="20">
        <f>I46/D46</f>
        <v>0.49589687969976221</v>
      </c>
      <c r="G46" s="19">
        <f>F46/C46-1</f>
        <v>7.3529495953130741E-3</v>
      </c>
      <c r="H46" s="18">
        <f>SUM(H41:H44)</f>
        <v>1303.55</v>
      </c>
      <c r="I46" s="18">
        <f>SUM(I41:I44)</f>
        <v>1313.1349374449703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110.57293745042053</v>
      </c>
      <c r="D48" s="13">
        <f>D24+D32+D40+D46</f>
        <v>15049.3</v>
      </c>
      <c r="E48" s="12">
        <f>SUM(E20:E46)/2</f>
        <v>1</v>
      </c>
      <c r="F48" s="11">
        <f>I48/D48</f>
        <v>29.426019127592497</v>
      </c>
      <c r="G48" s="10"/>
      <c r="H48" s="9">
        <f>SUM(H20:H46)/2</f>
        <v>439608.57</v>
      </c>
      <c r="I48" s="9">
        <f>SUM(I20:I46)/2</f>
        <v>442840.98965687776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19551.399999999998</v>
      </c>
      <c r="E50" s="12">
        <f>D50/G2</f>
        <v>0.99999999999999978</v>
      </c>
      <c r="F50" s="11">
        <f>I50/D50</f>
        <v>29.700000000000006</v>
      </c>
      <c r="G50" s="10"/>
      <c r="H50" s="9">
        <f>H48+H19</f>
        <v>576438.06000000006</v>
      </c>
      <c r="I50" s="9">
        <f>I48+I19</f>
        <v>580676.58000000007</v>
      </c>
      <c r="J50" s="106">
        <f>D50-G2</f>
        <v>0</v>
      </c>
      <c r="K50" s="8"/>
    </row>
    <row r="51" spans="1:11" ht="23.25" x14ac:dyDescent="0.35">
      <c r="A51" s="174" t="s">
        <v>437</v>
      </c>
      <c r="B51" s="169"/>
      <c r="C51" s="170"/>
      <c r="G51" s="7"/>
      <c r="H51" s="6"/>
      <c r="I51" s="6">
        <f>+I50/D50</f>
        <v>29.700000000000006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422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427</v>
      </c>
      <c r="D2" s="96" t="s">
        <v>3</v>
      </c>
      <c r="E2" s="95" t="s">
        <v>362</v>
      </c>
      <c r="F2" s="94" t="s">
        <v>5</v>
      </c>
      <c r="G2" s="93">
        <v>25072.2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f>76*4</f>
        <v>304</v>
      </c>
      <c r="F3" s="88" t="s">
        <v>8</v>
      </c>
      <c r="G3" s="87">
        <v>29.5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82.474342105263162</v>
      </c>
      <c r="F4" s="81" t="s">
        <v>12</v>
      </c>
      <c r="G4" s="80">
        <f>G2*G3</f>
        <v>739629.9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2.0600730168519266E-2</v>
      </c>
      <c r="F6" s="69" t="s">
        <v>16</v>
      </c>
      <c r="G6" s="68">
        <f>(I50-I19)/(D50-(SUM(D42:D44)+D19))</f>
        <v>34.662908907983919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29.5</v>
      </c>
      <c r="D10" s="30"/>
      <c r="E10" s="29">
        <f t="shared" ref="E10:E19" si="1">D10/$D$19</f>
        <v>0</v>
      </c>
      <c r="F10" s="28">
        <f t="shared" ref="F10:F18" si="2">C10-(C10*$E$6)</f>
        <v>28.892278460028681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30.7</v>
      </c>
      <c r="D11" s="30">
        <v>721.4</v>
      </c>
      <c r="E11" s="29">
        <f t="shared" si="1"/>
        <v>0.50521745220253522</v>
      </c>
      <c r="F11" s="28">
        <f t="shared" si="2"/>
        <v>30.067557583826456</v>
      </c>
      <c r="G11" s="27" t="str">
        <f t="shared" si="3"/>
        <v>-</v>
      </c>
      <c r="H11" s="34">
        <f t="shared" si="4"/>
        <v>22146.98</v>
      </c>
      <c r="I11" s="34">
        <f t="shared" si="5"/>
        <v>21690.736040972406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28.1</v>
      </c>
      <c r="D12" s="30">
        <v>661.2</v>
      </c>
      <c r="E12" s="29">
        <f t="shared" si="1"/>
        <v>0.46305763708943209</v>
      </c>
      <c r="F12" s="28">
        <f t="shared" si="2"/>
        <v>27.521119482264609</v>
      </c>
      <c r="G12" s="27" t="str">
        <f t="shared" si="3"/>
        <v>-</v>
      </c>
      <c r="H12" s="34">
        <f t="shared" si="4"/>
        <v>18579.72</v>
      </c>
      <c r="I12" s="34">
        <f t="shared" si="5"/>
        <v>18196.96420167336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30.7</v>
      </c>
      <c r="D13" s="30"/>
      <c r="E13" s="29">
        <f t="shared" si="1"/>
        <v>0</v>
      </c>
      <c r="F13" s="28">
        <f t="shared" si="2"/>
        <v>30.067557583826456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34.299999999999997</v>
      </c>
      <c r="D14" s="30"/>
      <c r="E14" s="29">
        <f t="shared" si="1"/>
        <v>0</v>
      </c>
      <c r="F14" s="28">
        <f t="shared" si="2"/>
        <v>33.593394955219786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28.3</v>
      </c>
      <c r="D15" s="30"/>
      <c r="E15" s="29">
        <f t="shared" si="1"/>
        <v>0</v>
      </c>
      <c r="F15" s="28">
        <f t="shared" si="2"/>
        <v>27.716999336230906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38.799999999999997</v>
      </c>
      <c r="D16" s="30">
        <v>10.3</v>
      </c>
      <c r="E16" s="29">
        <f t="shared" si="1"/>
        <v>7.2133902934379173E-3</v>
      </c>
      <c r="F16" s="28">
        <f t="shared" si="2"/>
        <v>38.000691669461453</v>
      </c>
      <c r="G16" s="27" t="str">
        <f t="shared" si="3"/>
        <v>-</v>
      </c>
      <c r="H16" s="34">
        <f t="shared" si="4"/>
        <v>399.64</v>
      </c>
      <c r="I16" s="34">
        <f t="shared" si="5"/>
        <v>391.40712419545298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57.1</v>
      </c>
      <c r="D17" s="30">
        <v>35</v>
      </c>
      <c r="E17" s="29">
        <f t="shared" si="1"/>
        <v>2.451152041459486E-2</v>
      </c>
      <c r="F17" s="28">
        <f t="shared" si="2"/>
        <v>55.923698307377549</v>
      </c>
      <c r="G17" s="27" t="str">
        <f t="shared" si="3"/>
        <v>-</v>
      </c>
      <c r="H17" s="34">
        <f t="shared" si="4"/>
        <v>1998.5</v>
      </c>
      <c r="I17" s="34">
        <f t="shared" si="5"/>
        <v>1957.3294407582143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</v>
      </c>
      <c r="D18" s="30"/>
      <c r="E18" s="29">
        <f t="shared" si="1"/>
        <v>0</v>
      </c>
      <c r="F18" s="28">
        <f t="shared" si="2"/>
        <v>48.969963491574035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30.201582743889627</v>
      </c>
      <c r="D19" s="49">
        <f>SUM(D10:D18)</f>
        <v>1427.8999999999999</v>
      </c>
      <c r="E19" s="48">
        <f t="shared" si="1"/>
        <v>1</v>
      </c>
      <c r="F19" s="47">
        <f>I19/D19</f>
        <v>29.579408087120548</v>
      </c>
      <c r="G19" s="46">
        <f>F19/C19-1</f>
        <v>-2.0600730168519266E-2</v>
      </c>
      <c r="H19" s="9">
        <f>SUM(H10:H18)</f>
        <v>43124.84</v>
      </c>
      <c r="I19" s="9">
        <f>SUM(I10:I18)</f>
        <v>42236.436807599428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74.2</v>
      </c>
      <c r="D21" s="30">
        <v>256.5</v>
      </c>
      <c r="E21" s="29">
        <f>D21/$D$48</f>
        <v>1.0848280558104915E-2</v>
      </c>
      <c r="F21" s="28">
        <f>C21-(C21*$E$6)</f>
        <v>72.671425821495873</v>
      </c>
      <c r="G21" s="27" t="str">
        <f>IF(C21&gt;=F21,"-","+")</f>
        <v>-</v>
      </c>
      <c r="H21" s="26">
        <f>C21*D21</f>
        <v>19032.3</v>
      </c>
      <c r="I21" s="26">
        <f>F21*D21</f>
        <v>18640.22072321369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49.8</v>
      </c>
      <c r="D22" s="30">
        <v>714.9</v>
      </c>
      <c r="E22" s="29">
        <f>D22/$D$48</f>
        <v>3.0235617040893583E-2</v>
      </c>
      <c r="F22" s="28">
        <f>C22-(C22*$E$6)</f>
        <v>48.774083637607738</v>
      </c>
      <c r="G22" s="27" t="str">
        <f>IF(C22&gt;=F22,"-","+")</f>
        <v>-</v>
      </c>
      <c r="H22" s="26">
        <f>C22*D22</f>
        <v>35602.019999999997</v>
      </c>
      <c r="I22" s="26">
        <f>F22*D22</f>
        <v>34868.592392525774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45.4</v>
      </c>
      <c r="D23" s="30">
        <v>562.1</v>
      </c>
      <c r="E23" s="29">
        <f>D23/$D$48</f>
        <v>2.3773171546630695E-2</v>
      </c>
      <c r="F23" s="28">
        <f>C23-(C23*$E$6)</f>
        <v>44.464726850349223</v>
      </c>
      <c r="G23" s="27" t="str">
        <f>IF(C23&gt;=F23,"-","+")</f>
        <v>-</v>
      </c>
      <c r="H23" s="26">
        <f>C23*D23</f>
        <v>25519.34</v>
      </c>
      <c r="I23" s="26">
        <f>F23*D23</f>
        <v>24993.622962581299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52.268444734268009</v>
      </c>
      <c r="D24" s="22">
        <f>SUM(D21:D23)</f>
        <v>1533.5</v>
      </c>
      <c r="E24" s="21">
        <f>D24/$D$48</f>
        <v>6.4857069145629193E-2</v>
      </c>
      <c r="F24" s="20">
        <f>I24/D24</f>
        <v>51.1916766079692</v>
      </c>
      <c r="G24" s="19">
        <f>F24/C24-1</f>
        <v>-2.0600730168519155E-2</v>
      </c>
      <c r="H24" s="18">
        <f>SUM(H21:H23)</f>
        <v>80153.659999999989</v>
      </c>
      <c r="I24" s="18">
        <f>SUM(I21:I23)</f>
        <v>78502.436078320767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39.6</v>
      </c>
      <c r="D26" s="30">
        <f>306+839.2+113+3151</f>
        <v>4409.2</v>
      </c>
      <c r="E26" s="29">
        <f t="shared" ref="E26:E32" si="7">D26/$D$48</f>
        <v>0.18648046252162256</v>
      </c>
      <c r="F26" s="28">
        <f t="shared" ref="F26:F31" si="8">C26-(C26*$E$6)</f>
        <v>38.784211085326639</v>
      </c>
      <c r="G26" s="27" t="str">
        <f t="shared" ref="G26:G31" si="9">IF(C26&gt;=F26,"-","+")</f>
        <v>-</v>
      </c>
      <c r="H26" s="26">
        <f t="shared" ref="H26:H31" si="10">C26*D26</f>
        <v>174604.32</v>
      </c>
      <c r="I26" s="26">
        <f t="shared" ref="I26:I31" si="11">F26*D26</f>
        <v>171007.34351742221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35.299999999999997</v>
      </c>
      <c r="D27" s="30">
        <v>3836.2</v>
      </c>
      <c r="E27" s="29">
        <f t="shared" si="7"/>
        <v>0.16224629191813675</v>
      </c>
      <c r="F27" s="28">
        <f t="shared" si="8"/>
        <v>34.572794225051268</v>
      </c>
      <c r="G27" s="27" t="str">
        <f t="shared" si="9"/>
        <v>-</v>
      </c>
      <c r="H27" s="26">
        <f t="shared" si="10"/>
        <v>135417.85999999999</v>
      </c>
      <c r="I27" s="26">
        <f t="shared" si="11"/>
        <v>132628.15320614167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35.299999999999997</v>
      </c>
      <c r="D28" s="30">
        <v>2846.6</v>
      </c>
      <c r="E28" s="29">
        <f t="shared" si="7"/>
        <v>0.12039265277466453</v>
      </c>
      <c r="F28" s="28">
        <f t="shared" si="8"/>
        <v>34.572794225051268</v>
      </c>
      <c r="G28" s="27" t="str">
        <f t="shared" si="9"/>
        <v>-</v>
      </c>
      <c r="H28" s="26">
        <f t="shared" si="10"/>
        <v>100484.98</v>
      </c>
      <c r="I28" s="26">
        <f t="shared" si="11"/>
        <v>98414.916041030941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34.1</v>
      </c>
      <c r="D29" s="30">
        <v>2796.4</v>
      </c>
      <c r="E29" s="29">
        <f t="shared" si="7"/>
        <v>0.11826951950364362</v>
      </c>
      <c r="F29" s="28">
        <f t="shared" si="8"/>
        <v>33.397515101253497</v>
      </c>
      <c r="G29" s="27" t="str">
        <f t="shared" si="9"/>
        <v>-</v>
      </c>
      <c r="H29" s="26">
        <f t="shared" si="10"/>
        <v>95357.24</v>
      </c>
      <c r="I29" s="26">
        <f t="shared" si="11"/>
        <v>93392.811229145285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34.1</v>
      </c>
      <c r="D30" s="30">
        <v>1583.3</v>
      </c>
      <c r="E30" s="29">
        <f t="shared" si="7"/>
        <v>6.6963285020068278E-2</v>
      </c>
      <c r="F30" s="28">
        <f t="shared" si="8"/>
        <v>33.397515101253497</v>
      </c>
      <c r="G30" s="27" t="str">
        <f t="shared" si="9"/>
        <v>-</v>
      </c>
      <c r="H30" s="26">
        <f t="shared" si="10"/>
        <v>53990.53</v>
      </c>
      <c r="I30" s="26">
        <f t="shared" si="11"/>
        <v>52878.285659814661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34.700000000000003</v>
      </c>
      <c r="D31" s="30">
        <v>407</v>
      </c>
      <c r="E31" s="29">
        <f t="shared" si="7"/>
        <v>1.7213451022022225E-2</v>
      </c>
      <c r="F31" s="28">
        <f t="shared" si="8"/>
        <v>33.985154663152386</v>
      </c>
      <c r="G31" s="27" t="str">
        <f t="shared" si="9"/>
        <v>-</v>
      </c>
      <c r="H31" s="26">
        <f t="shared" si="10"/>
        <v>14122.900000000001</v>
      </c>
      <c r="I31" s="26">
        <f t="shared" si="11"/>
        <v>13831.957947903022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36.147658813378932</v>
      </c>
      <c r="D32" s="22">
        <f>SUM(D26:D31)</f>
        <v>15878.699999999999</v>
      </c>
      <c r="E32" s="21">
        <f t="shared" si="7"/>
        <v>0.67156566276015794</v>
      </c>
      <c r="F32" s="20">
        <f>I32/D32</f>
        <v>35.402990647940818</v>
      </c>
      <c r="G32" s="19">
        <f>F32/C32-1</f>
        <v>-2.0600730168519155E-2</v>
      </c>
      <c r="H32" s="18">
        <f>SUM(H26:H31)</f>
        <v>573977.82999999996</v>
      </c>
      <c r="I32" s="18">
        <f>SUM(I26:I31)</f>
        <v>562153.46760145784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20.8</v>
      </c>
      <c r="D34" s="30">
        <v>2702.1</v>
      </c>
      <c r="E34" s="29">
        <f t="shared" ref="E34:E40" si="13">D34/$D$48</f>
        <v>0.11428124325947482</v>
      </c>
      <c r="F34" s="28">
        <f t="shared" ref="F34:F39" si="14">C34-(C34*$E$6)</f>
        <v>20.371504812494798</v>
      </c>
      <c r="G34" s="27" t="str">
        <f t="shared" ref="G34:G39" si="15">IF(C34&gt;=F34,"-","+")</f>
        <v>-</v>
      </c>
      <c r="H34" s="26">
        <f t="shared" ref="H34:H39" si="16">C34*D34</f>
        <v>56203.68</v>
      </c>
      <c r="I34" s="26">
        <f t="shared" ref="I34:I39" si="17">F34*D34</f>
        <v>55045.843153842194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/>
      <c r="E35" s="29">
        <f t="shared" si="13"/>
        <v>0</v>
      </c>
      <c r="F35" s="28">
        <f t="shared" si="14"/>
        <v>15.670388317303692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12.9</v>
      </c>
      <c r="D36" s="30"/>
      <c r="E36" s="29">
        <f t="shared" si="13"/>
        <v>0</v>
      </c>
      <c r="F36" s="28">
        <f t="shared" si="14"/>
        <v>12.634250580826102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34.1</v>
      </c>
      <c r="D37" s="30"/>
      <c r="E37" s="29">
        <f t="shared" si="13"/>
        <v>0</v>
      </c>
      <c r="F37" s="28">
        <f t="shared" si="14"/>
        <v>33.397515101253497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34.1</v>
      </c>
      <c r="D38" s="30"/>
      <c r="E38" s="29">
        <f t="shared" si="13"/>
        <v>0</v>
      </c>
      <c r="F38" s="28">
        <f t="shared" si="14"/>
        <v>33.397515101253497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35.299999999999997</v>
      </c>
      <c r="D39" s="30"/>
      <c r="E39" s="29">
        <f t="shared" si="13"/>
        <v>0</v>
      </c>
      <c r="F39" s="28">
        <f t="shared" si="14"/>
        <v>34.572794225051268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20.8</v>
      </c>
      <c r="D40" s="22">
        <f>SUM(D34:D39)</f>
        <v>2702.1</v>
      </c>
      <c r="E40" s="113">
        <f t="shared" si="13"/>
        <v>0.11428124325947482</v>
      </c>
      <c r="F40" s="20">
        <f>I40/D40</f>
        <v>20.371504812494798</v>
      </c>
      <c r="G40" s="19">
        <f>F40/C40-1</f>
        <v>-2.0600730168519377E-2</v>
      </c>
      <c r="H40" s="18">
        <f>SUM(H34:H39)</f>
        <v>56203.68</v>
      </c>
      <c r="I40" s="18">
        <f>SUM(I34:I39)</f>
        <v>55045.843153842194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3307</v>
      </c>
      <c r="E42" s="107">
        <f>D42/$D$48</f>
        <v>0.13986457624036239</v>
      </c>
      <c r="F42" s="28">
        <f>C42-(C42*$E$6)</f>
        <v>0.48969963491574037</v>
      </c>
      <c r="G42" s="27" t="str">
        <f>IF(C42&gt;=F42,"-","+")</f>
        <v>-</v>
      </c>
      <c r="H42" s="26">
        <f>C42*D42</f>
        <v>1653.5</v>
      </c>
      <c r="I42" s="26">
        <f>F42*D42</f>
        <v>1619.4366926663533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147.6</v>
      </c>
      <c r="E43" s="107">
        <f>D43/$D$48</f>
        <v>6.2425193386989684E-3</v>
      </c>
      <c r="F43" s="28">
        <f>C43-(C43*$E$6)</f>
        <v>0.48969963491574037</v>
      </c>
      <c r="G43" s="27" t="str">
        <f>IF(C43&gt;=F43,"-","+")</f>
        <v>-</v>
      </c>
      <c r="H43" s="26">
        <f>C43*D43</f>
        <v>73.8</v>
      </c>
      <c r="I43" s="26">
        <f>F43*D43</f>
        <v>72.27966611356328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70.400000000000006</v>
      </c>
      <c r="E44" s="107">
        <f>D44/$D$48</f>
        <v>2.9774617984038446E-3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2.1146745727300029E-4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0.48932011331444758</v>
      </c>
      <c r="D46" s="22">
        <f>SUM(D41:D45)</f>
        <v>3530</v>
      </c>
      <c r="E46" s="113">
        <f>D46/$D$48</f>
        <v>0.14929602483473822</v>
      </c>
      <c r="F46" s="20">
        <f>I46/D46</f>
        <v>0.47923976169402738</v>
      </c>
      <c r="G46" s="19">
        <f>F46/C46-1</f>
        <v>-2.0600730168519266E-2</v>
      </c>
      <c r="H46" s="18">
        <f>SUM(H41:H44)</f>
        <v>1727.3</v>
      </c>
      <c r="I46" s="18">
        <f>SUM(I41:I44)</f>
        <v>1691.7163587799166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109.70542366096139</v>
      </c>
      <c r="D48" s="13">
        <f>D24+D32+D40+D46</f>
        <v>23644.299999999996</v>
      </c>
      <c r="E48" s="12">
        <f>SUM(E20:E46)/2</f>
        <v>1.0000000000000002</v>
      </c>
      <c r="F48" s="11">
        <f>I48/D48</f>
        <v>29.495204476021744</v>
      </c>
      <c r="G48" s="10"/>
      <c r="H48" s="9">
        <f>SUM(H20:H46)/2</f>
        <v>712062.47</v>
      </c>
      <c r="I48" s="9">
        <f>SUM(I20:I46)/2</f>
        <v>697393.46319240076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25072.199999999997</v>
      </c>
      <c r="E50" s="12">
        <f>D50/G2</f>
        <v>0.99999999999999989</v>
      </c>
      <c r="F50" s="11">
        <f>I50/D50</f>
        <v>29.500000000000011</v>
      </c>
      <c r="G50" s="10"/>
      <c r="H50" s="9">
        <f>H48+H19</f>
        <v>755187.30999999994</v>
      </c>
      <c r="I50" s="9">
        <f>I48+I19</f>
        <v>739629.90000000014</v>
      </c>
      <c r="J50" s="106">
        <f>D50-G2</f>
        <v>0</v>
      </c>
      <c r="K50" s="8"/>
    </row>
    <row r="51" spans="1:11" ht="23.25" x14ac:dyDescent="0.35">
      <c r="A51" s="174" t="s">
        <v>438</v>
      </c>
      <c r="B51" s="169"/>
      <c r="C51" s="170"/>
      <c r="G51" s="7"/>
      <c r="H51" s="6"/>
      <c r="I51" s="6">
        <f>+I50/D50</f>
        <v>29.500000000000011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tabColor rgb="FF92D050"/>
  </sheetPr>
  <dimension ref="A1:L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439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439</v>
      </c>
      <c r="D2" s="96" t="s">
        <v>3</v>
      </c>
      <c r="E2" s="95" t="s">
        <v>112</v>
      </c>
      <c r="F2" s="94" t="s">
        <v>5</v>
      </c>
      <c r="G2" s="116">
        <v>8585.5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140</v>
      </c>
      <c r="F3" s="88" t="s">
        <v>8</v>
      </c>
      <c r="G3" s="87">
        <v>24.96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61.325000000000003</v>
      </c>
      <c r="F4" s="81" t="s">
        <v>12</v>
      </c>
      <c r="G4" s="80">
        <f>G2*G3</f>
        <v>214294.08000000002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-0.10816472612681993</v>
      </c>
      <c r="F6" s="69" t="s">
        <v>16</v>
      </c>
      <c r="G6" s="68">
        <f>(I50-I19)/(D50-(SUM(D42:D44)+D19))</f>
        <v>32.210626944640687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27.704118153170498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28.812282879297317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23.7</v>
      </c>
      <c r="D12" s="30"/>
      <c r="E12" s="29" t="e">
        <f t="shared" si="1"/>
        <v>#DIV/0!</v>
      </c>
      <c r="F12" s="28">
        <f t="shared" si="2"/>
        <v>26.263504009205633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28.812282879297317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 t="e">
        <f t="shared" si="1"/>
        <v>#DIV/0!</v>
      </c>
      <c r="F14" s="28">
        <f t="shared" si="2"/>
        <v>32.247593530290459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26.595953427043678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32.799999999999997</v>
      </c>
      <c r="D16" s="30"/>
      <c r="E16" s="29" t="e">
        <f t="shared" si="1"/>
        <v>#DIV/0!</v>
      </c>
      <c r="F16" s="28">
        <f t="shared" si="2"/>
        <v>36.347803016959688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/>
      <c r="E17" s="29" t="e">
        <f t="shared" si="1"/>
        <v>#DIV/0!</v>
      </c>
      <c r="F17" s="28">
        <f t="shared" si="2"/>
        <v>53.524356271925399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42.3</v>
      </c>
      <c r="D18" s="30"/>
      <c r="E18" s="29" t="e">
        <f t="shared" si="1"/>
        <v>#DIV/0!</v>
      </c>
      <c r="F18" s="28">
        <f t="shared" si="2"/>
        <v>46.875367915164482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62.8</v>
      </c>
      <c r="D21" s="30">
        <v>102.5</v>
      </c>
      <c r="E21" s="29">
        <f>D21/$D$48</f>
        <v>1.1938733911828082E-2</v>
      </c>
      <c r="F21" s="28">
        <f>C21-(C21*$E$6)</f>
        <v>69.592744800764294</v>
      </c>
      <c r="G21" s="27" t="str">
        <f>IF(C21&gt;=F21,"-","+")</f>
        <v>+</v>
      </c>
      <c r="H21" s="26">
        <f>C21*D21</f>
        <v>6437</v>
      </c>
      <c r="I21" s="26">
        <f>F21*D21</f>
        <v>7133.2563420783399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234.1</v>
      </c>
      <c r="E22" s="29">
        <f>D22/$D$48</f>
        <v>2.7266903500087356E-2</v>
      </c>
      <c r="F22" s="28">
        <f>C22-(C22*$E$6)</f>
        <v>46.764551442551806</v>
      </c>
      <c r="G22" s="27" t="str">
        <f>IF(C22&gt;=F22,"-","+")</f>
        <v>+</v>
      </c>
      <c r="H22" s="26">
        <f>C22*D22</f>
        <v>9879.02</v>
      </c>
      <c r="I22" s="26">
        <f>F22*D22</f>
        <v>10947.581492701378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38.4</v>
      </c>
      <c r="D23" s="30">
        <v>184.8</v>
      </c>
      <c r="E23" s="29">
        <f>D23/$D$48</f>
        <v>2.1524663677130046E-2</v>
      </c>
      <c r="F23" s="28">
        <f>C23-(C23*$E$6)</f>
        <v>42.553525483269887</v>
      </c>
      <c r="G23" s="27" t="str">
        <f>IF(C23&gt;=F23,"-","+")</f>
        <v>+</v>
      </c>
      <c r="H23" s="26">
        <f>C23*D23</f>
        <v>7096.3200000000006</v>
      </c>
      <c r="I23" s="26">
        <f>F23*D23</f>
        <v>7863.891509308276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44.902838511699265</v>
      </c>
      <c r="D24" s="22">
        <f>SUM(D21:D23)</f>
        <v>521.40000000000009</v>
      </c>
      <c r="E24" s="21">
        <f>D24/$D$48</f>
        <v>6.0730301089045494E-2</v>
      </c>
      <c r="F24" s="20">
        <f>I24/D24</f>
        <v>49.759741741634045</v>
      </c>
      <c r="G24" s="19">
        <f>F24/C24-1</f>
        <v>0.10816472612682015</v>
      </c>
      <c r="H24" s="18">
        <f>SUM(H21:H23)</f>
        <v>23412.34</v>
      </c>
      <c r="I24" s="18">
        <f>SUM(I21:I23)</f>
        <v>25944.729344087995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v>1648</v>
      </c>
      <c r="E26" s="29">
        <f t="shared" ref="E26:E32" si="7">D26/$D$48</f>
        <v>0.1919515462116359</v>
      </c>
      <c r="F26" s="28">
        <f t="shared" ref="F26:F31" si="8">C26-(C26*$E$6)</f>
        <v>37.123518325248469</v>
      </c>
      <c r="G26" s="27" t="str">
        <f t="shared" ref="G26:G31" si="9">IF(C26&gt;=F26,"-","+")</f>
        <v>+</v>
      </c>
      <c r="H26" s="26">
        <f t="shared" ref="H26:H31" si="10">C26*D26</f>
        <v>55208</v>
      </c>
      <c r="I26" s="26">
        <f t="shared" ref="I26:I31" si="11">F26*D26</f>
        <v>61179.55820000948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29.8</v>
      </c>
      <c r="D27" s="30">
        <v>1229.4000000000001</v>
      </c>
      <c r="E27" s="29">
        <f t="shared" si="7"/>
        <v>0.14319492167025799</v>
      </c>
      <c r="F27" s="28">
        <f t="shared" si="8"/>
        <v>33.023308838579233</v>
      </c>
      <c r="G27" s="27" t="str">
        <f t="shared" si="9"/>
        <v>+</v>
      </c>
      <c r="H27" s="26">
        <f t="shared" si="10"/>
        <v>36636.120000000003</v>
      </c>
      <c r="I27" s="26">
        <f t="shared" si="11"/>
        <v>40598.855886149315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29.8</v>
      </c>
      <c r="D28" s="30">
        <v>679.6</v>
      </c>
      <c r="E28" s="29">
        <f t="shared" si="7"/>
        <v>7.9156717721740141E-2</v>
      </c>
      <c r="F28" s="28">
        <f t="shared" si="8"/>
        <v>33.023308838579233</v>
      </c>
      <c r="G28" s="27" t="str">
        <f t="shared" si="9"/>
        <v>+</v>
      </c>
      <c r="H28" s="26">
        <f t="shared" si="10"/>
        <v>20252.080000000002</v>
      </c>
      <c r="I28" s="26">
        <f t="shared" si="11"/>
        <v>22442.640686698447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28.8</v>
      </c>
      <c r="D29" s="30">
        <v>530.79999999999995</v>
      </c>
      <c r="E29" s="29">
        <f t="shared" si="7"/>
        <v>6.1825170345349713E-2</v>
      </c>
      <c r="F29" s="28">
        <f t="shared" si="8"/>
        <v>31.915144112452413</v>
      </c>
      <c r="G29" s="27" t="str">
        <f t="shared" si="9"/>
        <v>+</v>
      </c>
      <c r="H29" s="26">
        <f t="shared" si="10"/>
        <v>15287.039999999999</v>
      </c>
      <c r="I29" s="26">
        <f t="shared" si="11"/>
        <v>16940.558494889741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28.8</v>
      </c>
      <c r="D30" s="30">
        <v>432</v>
      </c>
      <c r="E30" s="29">
        <f t="shared" si="7"/>
        <v>5.031739560887543E-2</v>
      </c>
      <c r="F30" s="28">
        <f t="shared" si="8"/>
        <v>31.915144112452413</v>
      </c>
      <c r="G30" s="27" t="str">
        <f t="shared" si="9"/>
        <v>+</v>
      </c>
      <c r="H30" s="26">
        <f t="shared" si="10"/>
        <v>12441.6</v>
      </c>
      <c r="I30" s="26">
        <f t="shared" si="11"/>
        <v>13787.342256579443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29.3</v>
      </c>
      <c r="D31" s="30">
        <v>134</v>
      </c>
      <c r="E31" s="29">
        <f t="shared" si="7"/>
        <v>1.560771067497525E-2</v>
      </c>
      <c r="F31" s="28">
        <f t="shared" si="8"/>
        <v>32.469226475515825</v>
      </c>
      <c r="G31" s="27" t="str">
        <f t="shared" si="9"/>
        <v>+</v>
      </c>
      <c r="H31" s="26">
        <f t="shared" si="10"/>
        <v>3926.2000000000003</v>
      </c>
      <c r="I31" s="26">
        <f t="shared" si="11"/>
        <v>4350.8763477191205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30.888959559929521</v>
      </c>
      <c r="D32" s="22">
        <f>SUM(D26:D31)</f>
        <v>4653.8</v>
      </c>
      <c r="E32" s="21">
        <f t="shared" si="7"/>
        <v>0.54205346223283446</v>
      </c>
      <c r="F32" s="20">
        <f>I32/D32</f>
        <v>34.23005541107171</v>
      </c>
      <c r="G32" s="19">
        <f>F32/C32-1</f>
        <v>0.10816472612681971</v>
      </c>
      <c r="H32" s="18">
        <f>SUM(H26:H31)</f>
        <v>143751.04000000001</v>
      </c>
      <c r="I32" s="18">
        <f>SUM(I26:I31)</f>
        <v>159299.83187204553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f>752+607.2</f>
        <v>1359.2</v>
      </c>
      <c r="E34" s="29">
        <f t="shared" ref="E34:E40" si="13">D34/$D$48</f>
        <v>0.15831343544348028</v>
      </c>
      <c r="F34" s="28">
        <f t="shared" ref="F34:F39" si="14">C34-(C34*$E$6)</f>
        <v>19.503699179832033</v>
      </c>
      <c r="G34" s="27" t="str">
        <f t="shared" ref="G34:G39" si="15">IF(C34&gt;=F34,"-","+")</f>
        <v>+</v>
      </c>
      <c r="H34" s="26">
        <f t="shared" ref="H34:H39" si="16">C34*D34</f>
        <v>23921.920000000002</v>
      </c>
      <c r="I34" s="26">
        <f t="shared" ref="I34:I39" si="17">F34*D34</f>
        <v>26509.427925227701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111.7</v>
      </c>
      <c r="E35" s="29">
        <f t="shared" si="13"/>
        <v>1.3010308077572651E-2</v>
      </c>
      <c r="F35" s="28">
        <f t="shared" si="14"/>
        <v>15.071040275324751</v>
      </c>
      <c r="G35" s="27" t="str">
        <f t="shared" si="15"/>
        <v>+</v>
      </c>
      <c r="H35" s="26">
        <f t="shared" si="16"/>
        <v>1519.12</v>
      </c>
      <c r="I35" s="26">
        <f t="shared" si="17"/>
        <v>1683.4351987537748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12.078995514782338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28.8</v>
      </c>
      <c r="D37" s="30"/>
      <c r="E37" s="29">
        <f t="shared" si="13"/>
        <v>0</v>
      </c>
      <c r="F37" s="28">
        <f t="shared" si="14"/>
        <v>31.915144112452413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28.8</v>
      </c>
      <c r="D38" s="30"/>
      <c r="E38" s="29">
        <f t="shared" si="13"/>
        <v>0</v>
      </c>
      <c r="F38" s="28">
        <f t="shared" si="14"/>
        <v>31.915144112452413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29.8</v>
      </c>
      <c r="D39" s="30"/>
      <c r="E39" s="29">
        <f t="shared" si="13"/>
        <v>0</v>
      </c>
      <c r="F39" s="28">
        <f t="shared" si="14"/>
        <v>33.023308838579233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17.296240397035827</v>
      </c>
      <c r="D40" s="22">
        <f>SUM(D34:D39)</f>
        <v>1470.9</v>
      </c>
      <c r="E40" s="113">
        <f t="shared" si="13"/>
        <v>0.17132374352105295</v>
      </c>
      <c r="F40" s="20">
        <f>I40/D40</f>
        <v>19.16708350260485</v>
      </c>
      <c r="G40" s="19">
        <f>F40/C40-1</f>
        <v>0.10816472612682015</v>
      </c>
      <c r="H40" s="18">
        <f>SUM(H34:H39)</f>
        <v>25441.040000000001</v>
      </c>
      <c r="I40" s="18">
        <f>SUM(I34:I39)</f>
        <v>28192.863123981475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903+114.2+838.2</f>
        <v>1855.4</v>
      </c>
      <c r="E42" s="107">
        <f>D42/$D$48</f>
        <v>0.21610855512200805</v>
      </c>
      <c r="F42" s="28">
        <f>C42-(C42*$E$6)</f>
        <v>0.44326589045072801</v>
      </c>
      <c r="G42" s="27" t="str">
        <f>IF(C42&gt;=F42,"-","+")</f>
        <v>+</v>
      </c>
      <c r="H42" s="26">
        <f>C42*D42</f>
        <v>742.16000000000008</v>
      </c>
      <c r="I42" s="26">
        <f>F42*D42</f>
        <v>822.43553314228075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77.2</v>
      </c>
      <c r="E43" s="107">
        <f>D43/$D$48</f>
        <v>8.9919049560305171E-3</v>
      </c>
      <c r="F43" s="28">
        <f>C43-(C43*$E$6)</f>
        <v>0.44326589045072801</v>
      </c>
      <c r="G43" s="27" t="str">
        <f>IF(C43&gt;=F43,"-","+")</f>
        <v>+</v>
      </c>
      <c r="H43" s="26">
        <f>C43*D43</f>
        <v>30.880000000000003</v>
      </c>
      <c r="I43" s="26">
        <f>F43*D43</f>
        <v>34.220126742796204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6.8</v>
      </c>
      <c r="E45" s="107">
        <f>D45/$D$48</f>
        <v>7.9203307902859469E-4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0.39859750438279884</v>
      </c>
      <c r="D46" s="22">
        <f>SUM(D41:D45)</f>
        <v>1939.4</v>
      </c>
      <c r="E46" s="113">
        <f>D46/$D$48</f>
        <v>0.22589249315706716</v>
      </c>
      <c r="F46" s="20">
        <f>I46/D46</f>
        <v>0.44171169427919815</v>
      </c>
      <c r="G46" s="19">
        <f>F46/C46-1</f>
        <v>0.10816472612681993</v>
      </c>
      <c r="H46" s="18">
        <f>SUM(H41:H44)</f>
        <v>773.04000000000008</v>
      </c>
      <c r="I46" s="18">
        <f>SUM(I41:I44)</f>
        <v>856.65565988507694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93.486635973047413</v>
      </c>
      <c r="D48" s="13">
        <f>D24+D32+D40+D46</f>
        <v>8585.5</v>
      </c>
      <c r="E48" s="12">
        <f>SUM(E20:E46)/2</f>
        <v>1</v>
      </c>
      <c r="F48" s="11">
        <f>I48/D48</f>
        <v>24.960000000000008</v>
      </c>
      <c r="G48" s="10"/>
      <c r="H48" s="9">
        <f>SUM(H20:H46)/2</f>
        <v>193377.45999999996</v>
      </c>
      <c r="I48" s="9">
        <f>SUM(I20:I46)/2</f>
        <v>214294.08000000007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8585.5000000000018</v>
      </c>
      <c r="E50" s="12">
        <f>D50/G2</f>
        <v>1.0000000000000002</v>
      </c>
      <c r="F50" s="11">
        <f>I50/D50</f>
        <v>24.960000000000004</v>
      </c>
      <c r="G50" s="10"/>
      <c r="H50" s="9">
        <f>H48+H19</f>
        <v>193377.45999999996</v>
      </c>
      <c r="I50" s="9">
        <f>I48+I19</f>
        <v>214294.08000000007</v>
      </c>
      <c r="J50" s="106">
        <f>D50-G2</f>
        <v>0</v>
      </c>
      <c r="K50" s="8"/>
    </row>
    <row r="51" spans="1:11" ht="23.25" x14ac:dyDescent="0.35">
      <c r="A51" s="174" t="s">
        <v>440</v>
      </c>
      <c r="B51" s="169"/>
      <c r="C51" s="170"/>
      <c r="G51" s="7"/>
      <c r="H51" s="6"/>
      <c r="I51" s="6">
        <f>+I50/D50</f>
        <v>24.960000000000004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439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441</v>
      </c>
      <c r="D2" s="96" t="s">
        <v>3</v>
      </c>
      <c r="E2" s="95" t="s">
        <v>112</v>
      </c>
      <c r="F2" s="94" t="s">
        <v>5</v>
      </c>
      <c r="G2" s="93">
        <v>5781.6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80</v>
      </c>
      <c r="F3" s="88" t="s">
        <v>8</v>
      </c>
      <c r="G3" s="87">
        <v>25.87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72.27000000000001</v>
      </c>
      <c r="F4" s="81" t="s">
        <v>12</v>
      </c>
      <c r="G4" s="80">
        <f>G2*G3</f>
        <v>149569.99200000003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-5.9697690344939991E-2</v>
      </c>
      <c r="F6" s="69" t="s">
        <v>16</v>
      </c>
      <c r="G6" s="68">
        <f>(I50-I19)/(D50-(SUM(D42:D44)+D19))</f>
        <v>32.058040123456799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27.446170179933944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26.9</v>
      </c>
      <c r="D11" s="30"/>
      <c r="E11" s="29" t="e">
        <f t="shared" si="1"/>
        <v>#DIV/0!</v>
      </c>
      <c r="F11" s="28">
        <f t="shared" si="2"/>
        <v>28.505867870278884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24.6</v>
      </c>
      <c r="D12" s="30"/>
      <c r="E12" s="29" t="e">
        <f t="shared" si="1"/>
        <v>#DIV/0!</v>
      </c>
      <c r="F12" s="28">
        <f t="shared" si="2"/>
        <v>26.068563182485526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26.9</v>
      </c>
      <c r="D13" s="30"/>
      <c r="E13" s="29" t="e">
        <f t="shared" si="1"/>
        <v>#DIV/0!</v>
      </c>
      <c r="F13" s="28">
        <f t="shared" si="2"/>
        <v>28.505867870278884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30.1</v>
      </c>
      <c r="D14" s="30"/>
      <c r="E14" s="29" t="e">
        <f t="shared" si="1"/>
        <v>#DIV/0!</v>
      </c>
      <c r="F14" s="28">
        <f t="shared" si="2"/>
        <v>31.896900479382694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24.8</v>
      </c>
      <c r="D15" s="30"/>
      <c r="E15" s="29" t="e">
        <f t="shared" si="1"/>
        <v>#DIV/0!</v>
      </c>
      <c r="F15" s="28">
        <f t="shared" si="2"/>
        <v>26.280502720554512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</v>
      </c>
      <c r="D16" s="30"/>
      <c r="E16" s="29" t="e">
        <f t="shared" si="1"/>
        <v>#DIV/0!</v>
      </c>
      <c r="F16" s="28">
        <f t="shared" si="2"/>
        <v>36.02972147172796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</v>
      </c>
      <c r="D17" s="30"/>
      <c r="E17" s="29" t="e">
        <f t="shared" si="1"/>
        <v>#DIV/0!</v>
      </c>
      <c r="F17" s="28">
        <f t="shared" si="2"/>
        <v>52.984884517246996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43.8</v>
      </c>
      <c r="D18" s="30"/>
      <c r="E18" s="29" t="e">
        <f t="shared" si="1"/>
        <v>#DIV/0!</v>
      </c>
      <c r="F18" s="28">
        <f t="shared" si="2"/>
        <v>46.414758837108366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65.099999999999994</v>
      </c>
      <c r="D21" s="30">
        <v>73.7</v>
      </c>
      <c r="E21" s="29">
        <f>D21/$D$48</f>
        <v>1.2747336377473365E-2</v>
      </c>
      <c r="F21" s="28">
        <f>C21-(C21*$E$6)</f>
        <v>68.986319641455594</v>
      </c>
      <c r="G21" s="27" t="str">
        <f>IF(C21&gt;=F21,"-","+")</f>
        <v>+</v>
      </c>
      <c r="H21" s="26">
        <f>C21*D21</f>
        <v>4797.87</v>
      </c>
      <c r="I21" s="26">
        <f>F21*D21</f>
        <v>5084.2917575752772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43.7</v>
      </c>
      <c r="D22" s="30">
        <v>163.6</v>
      </c>
      <c r="E22" s="29">
        <f>D22/$D$48</f>
        <v>2.8296665282966656E-2</v>
      </c>
      <c r="F22" s="28">
        <f>C22-(C22*$E$6)</f>
        <v>46.308789068073878</v>
      </c>
      <c r="G22" s="27" t="str">
        <f>IF(C22&gt;=F22,"-","+")</f>
        <v>+</v>
      </c>
      <c r="H22" s="26">
        <f>C22*D22</f>
        <v>7149.3200000000006</v>
      </c>
      <c r="I22" s="26">
        <f>F22*D22</f>
        <v>7576.1178915368864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39.799999999999997</v>
      </c>
      <c r="D23" s="30">
        <v>137.1</v>
      </c>
      <c r="E23" s="29">
        <f>D23/$D$48</f>
        <v>2.371315898713159E-2</v>
      </c>
      <c r="F23" s="28">
        <f>C23-(C23*$E$6)</f>
        <v>42.175968075728612</v>
      </c>
      <c r="G23" s="27" t="str">
        <f>IF(C23&gt;=F23,"-","+")</f>
        <v>+</v>
      </c>
      <c r="H23" s="26">
        <f>C23*D23</f>
        <v>5456.579999999999</v>
      </c>
      <c r="I23" s="26">
        <f>F23*D23</f>
        <v>5782.3252231823926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46.484428418803425</v>
      </c>
      <c r="D24" s="22">
        <f>SUM(D21:D23)</f>
        <v>374.4</v>
      </c>
      <c r="E24" s="21">
        <f>D24/$D$48</f>
        <v>6.4757160647571615E-2</v>
      </c>
      <c r="F24" s="20">
        <f>I24/D24</f>
        <v>49.259441432410682</v>
      </c>
      <c r="G24" s="19">
        <f>F24/C24-1</f>
        <v>5.9697690344939991E-2</v>
      </c>
      <c r="H24" s="18">
        <f>SUM(H21:H23)</f>
        <v>17403.77</v>
      </c>
      <c r="I24" s="18">
        <f>SUM(I21:I23)</f>
        <v>18442.734872294557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34.700000000000003</v>
      </c>
      <c r="D26" s="30">
        <v>1065.4000000000001</v>
      </c>
      <c r="E26" s="29">
        <f t="shared" ref="E26:E32" si="7">D26/$D$48</f>
        <v>0.18427424934274253</v>
      </c>
      <c r="F26" s="28">
        <f t="shared" ref="F26:F31" si="8">C26-(C26*$E$6)</f>
        <v>36.771509854969423</v>
      </c>
      <c r="G26" s="27" t="str">
        <f t="shared" ref="G26:G31" si="9">IF(C26&gt;=F26,"-","+")</f>
        <v>+</v>
      </c>
      <c r="H26" s="26">
        <f t="shared" ref="H26:H31" si="10">C26*D26</f>
        <v>36969.380000000005</v>
      </c>
      <c r="I26" s="26">
        <f t="shared" ref="I26:I31" si="11">F26*D26</f>
        <v>39176.366599484427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30.9</v>
      </c>
      <c r="D27" s="30">
        <v>835.5</v>
      </c>
      <c r="E27" s="29">
        <f t="shared" si="7"/>
        <v>0.14451017019510171</v>
      </c>
      <c r="F27" s="28">
        <f t="shared" si="8"/>
        <v>32.744658631658645</v>
      </c>
      <c r="G27" s="27" t="str">
        <f t="shared" si="9"/>
        <v>+</v>
      </c>
      <c r="H27" s="26">
        <f t="shared" si="10"/>
        <v>25816.949999999997</v>
      </c>
      <c r="I27" s="26">
        <f t="shared" si="11"/>
        <v>27358.162286750798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30.9</v>
      </c>
      <c r="D28" s="30">
        <v>524.5</v>
      </c>
      <c r="E28" s="29">
        <f t="shared" si="7"/>
        <v>9.0718832157188331E-2</v>
      </c>
      <c r="F28" s="28">
        <f t="shared" si="8"/>
        <v>32.744658631658645</v>
      </c>
      <c r="G28" s="27" t="str">
        <f t="shared" si="9"/>
        <v>+</v>
      </c>
      <c r="H28" s="26">
        <f t="shared" si="10"/>
        <v>16207.05</v>
      </c>
      <c r="I28" s="26">
        <f t="shared" si="11"/>
        <v>17174.573452304958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29.9</v>
      </c>
      <c r="D29" s="30">
        <v>486.2</v>
      </c>
      <c r="E29" s="29">
        <f t="shared" si="7"/>
        <v>8.4094368340943693E-2</v>
      </c>
      <c r="F29" s="28">
        <f t="shared" si="8"/>
        <v>31.684960941313705</v>
      </c>
      <c r="G29" s="27" t="str">
        <f t="shared" si="9"/>
        <v>+</v>
      </c>
      <c r="H29" s="26">
        <f t="shared" si="10"/>
        <v>14537.38</v>
      </c>
      <c r="I29" s="26">
        <f t="shared" si="11"/>
        <v>15405.228009666724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29.9</v>
      </c>
      <c r="D30" s="30">
        <v>326.5</v>
      </c>
      <c r="E30" s="29">
        <f t="shared" si="7"/>
        <v>5.6472256814722573E-2</v>
      </c>
      <c r="F30" s="28">
        <f t="shared" si="8"/>
        <v>31.684960941313705</v>
      </c>
      <c r="G30" s="27" t="str">
        <f t="shared" si="9"/>
        <v>+</v>
      </c>
      <c r="H30" s="26">
        <f t="shared" si="10"/>
        <v>9762.35</v>
      </c>
      <c r="I30" s="26">
        <f t="shared" si="11"/>
        <v>10345.139747338924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30.4</v>
      </c>
      <c r="D31" s="30">
        <v>91.4</v>
      </c>
      <c r="E31" s="29">
        <f t="shared" si="7"/>
        <v>1.5808772658087729E-2</v>
      </c>
      <c r="F31" s="28">
        <f t="shared" si="8"/>
        <v>32.214809786486171</v>
      </c>
      <c r="G31" s="27" t="str">
        <f t="shared" si="9"/>
        <v>+</v>
      </c>
      <c r="H31" s="26">
        <f t="shared" si="10"/>
        <v>2778.56</v>
      </c>
      <c r="I31" s="26">
        <f t="shared" si="11"/>
        <v>2944.4336144848362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31.858137858537322</v>
      </c>
      <c r="D32" s="22">
        <f>SUM(D26:D31)</f>
        <v>3329.5</v>
      </c>
      <c r="E32" s="21">
        <f t="shared" si="7"/>
        <v>0.57587864950878653</v>
      </c>
      <c r="F32" s="20">
        <f>I32/D32</f>
        <v>33.759995107382693</v>
      </c>
      <c r="G32" s="19">
        <f>F32/C32-1</f>
        <v>5.9697690344939991E-2</v>
      </c>
      <c r="H32" s="18">
        <f>SUM(H26:H31)</f>
        <v>106071.67000000001</v>
      </c>
      <c r="I32" s="18">
        <f>SUM(I26:I31)</f>
        <v>112403.90371003067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f>490.4+399.4</f>
        <v>889.8</v>
      </c>
      <c r="E34" s="29">
        <f t="shared" ref="E34:E40" si="13">D34/$D$48</f>
        <v>0.15390203403902034</v>
      </c>
      <c r="F34" s="28">
        <f t="shared" ref="F34:F39" si="14">C34-(C34*$E$6)</f>
        <v>19.392467733312401</v>
      </c>
      <c r="G34" s="27" t="str">
        <f t="shared" ref="G34:G39" si="15">IF(C34&gt;=F34,"-","+")</f>
        <v>+</v>
      </c>
      <c r="H34" s="26">
        <f t="shared" ref="H34:H39" si="16">C34*D34</f>
        <v>16283.34</v>
      </c>
      <c r="I34" s="26">
        <f t="shared" ref="I34:I39" si="17">F34*D34</f>
        <v>17255.417789101375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66.8</v>
      </c>
      <c r="E35" s="29">
        <f t="shared" si="13"/>
        <v>1.1553895115538951E-2</v>
      </c>
      <c r="F35" s="28">
        <f t="shared" si="14"/>
        <v>14.941737433863654</v>
      </c>
      <c r="G35" s="27" t="str">
        <f t="shared" si="15"/>
        <v>+</v>
      </c>
      <c r="H35" s="26">
        <f t="shared" si="16"/>
        <v>941.87999999999988</v>
      </c>
      <c r="I35" s="26">
        <f t="shared" si="17"/>
        <v>998.10806058209209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11.974583900897823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29.9</v>
      </c>
      <c r="D37" s="30"/>
      <c r="E37" s="29">
        <f t="shared" si="13"/>
        <v>0</v>
      </c>
      <c r="F37" s="28">
        <f t="shared" si="14"/>
        <v>31.684960941313705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29.9</v>
      </c>
      <c r="D38" s="30"/>
      <c r="E38" s="29">
        <f t="shared" si="13"/>
        <v>0</v>
      </c>
      <c r="F38" s="28">
        <f t="shared" si="14"/>
        <v>31.684960941313705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30.9</v>
      </c>
      <c r="D39" s="30"/>
      <c r="E39" s="29">
        <f t="shared" si="13"/>
        <v>0</v>
      </c>
      <c r="F39" s="28">
        <f t="shared" si="14"/>
        <v>32.744658631658645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18.006711269077986</v>
      </c>
      <c r="D40" s="22">
        <f>SUM(D34:D39)</f>
        <v>956.59999999999991</v>
      </c>
      <c r="E40" s="113">
        <f t="shared" si="13"/>
        <v>0.16545592915455928</v>
      </c>
      <c r="F40" s="20">
        <f>I40/D40</f>
        <v>19.081670342550147</v>
      </c>
      <c r="G40" s="19">
        <f>F40/C40-1</f>
        <v>5.9697690344940213E-2</v>
      </c>
      <c r="H40" s="18">
        <f>SUM(H34:H39)</f>
        <v>17225.22</v>
      </c>
      <c r="I40" s="18">
        <f>SUM(I34:I39)</f>
        <v>18253.525849683469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526+61.1+497.7</f>
        <v>1084.8</v>
      </c>
      <c r="E42" s="107">
        <f>D42/$D$48</f>
        <v>0.18762972187629723</v>
      </c>
      <c r="F42" s="28">
        <f>C42-(C42*$E$6)</f>
        <v>0.42387907613797604</v>
      </c>
      <c r="G42" s="27" t="str">
        <f>IF(C42&gt;=F42,"-","+")</f>
        <v>+</v>
      </c>
      <c r="H42" s="26">
        <f>C42*D42</f>
        <v>433.92</v>
      </c>
      <c r="I42" s="26">
        <f>F42*D42</f>
        <v>459.82402179447638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23.6</v>
      </c>
      <c r="E43" s="107">
        <f>D43/$D$48</f>
        <v>4.0819150408191512E-3</v>
      </c>
      <c r="F43" s="28">
        <f>C43-(C43*$E$6)</f>
        <v>0.42387907613797604</v>
      </c>
      <c r="G43" s="27" t="str">
        <f>IF(C43&gt;=F43,"-","+")</f>
        <v>+</v>
      </c>
      <c r="H43" s="26">
        <f>C43*D43</f>
        <v>9.4400000000000013</v>
      </c>
      <c r="I43" s="26">
        <f>F43*D43</f>
        <v>10.003546196856234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7.6</v>
      </c>
      <c r="E44" s="107">
        <f>D44/$D$48</f>
        <v>1.3145150131451502E-3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8.8210875882108761E-4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0.39546873606279559</v>
      </c>
      <c r="D46" s="22">
        <f>SUM(D41:D45)</f>
        <v>1121.0999999999997</v>
      </c>
      <c r="E46" s="113">
        <f>D46/$D$48</f>
        <v>0.19390826068908257</v>
      </c>
      <c r="F46" s="20">
        <f>I46/D46</f>
        <v>0.41907730620937717</v>
      </c>
      <c r="G46" s="19">
        <f>F46/C46-1</f>
        <v>5.9697690344939991E-2</v>
      </c>
      <c r="H46" s="18">
        <f>SUM(H41:H44)</f>
        <v>443.36</v>
      </c>
      <c r="I46" s="18">
        <f>SUM(I41:I44)</f>
        <v>469.82756799133261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96.744746282481529</v>
      </c>
      <c r="D48" s="13">
        <f>D24+D32+D40+D46</f>
        <v>5781.5999999999995</v>
      </c>
      <c r="E48" s="12">
        <f>SUM(E20:E46)/2</f>
        <v>0.99999999999999989</v>
      </c>
      <c r="F48" s="11">
        <f>I48/D48</f>
        <v>25.870000000000008</v>
      </c>
      <c r="G48" s="10"/>
      <c r="H48" s="9">
        <f>SUM(H20:H46)/2</f>
        <v>141144.02000000002</v>
      </c>
      <c r="I48" s="9">
        <f>SUM(I20:I46)/2</f>
        <v>149569.99200000003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5781.5999999999995</v>
      </c>
      <c r="E50" s="12">
        <f>D50/G2</f>
        <v>0.99999999999999989</v>
      </c>
      <c r="F50" s="11">
        <f>I50/D50</f>
        <v>25.870000000000008</v>
      </c>
      <c r="G50" s="10"/>
      <c r="H50" s="9">
        <f>H48+H19</f>
        <v>141144.02000000002</v>
      </c>
      <c r="I50" s="9">
        <f>I48+I19</f>
        <v>149569.99200000003</v>
      </c>
      <c r="J50" s="106">
        <f>D50-G2</f>
        <v>0</v>
      </c>
      <c r="K50" s="8"/>
    </row>
    <row r="51" spans="1:11" ht="23.25" x14ac:dyDescent="0.35">
      <c r="A51" s="174" t="s">
        <v>442</v>
      </c>
      <c r="B51" s="169"/>
      <c r="C51" s="170"/>
      <c r="G51" s="7"/>
      <c r="H51" s="6"/>
      <c r="I51" s="6">
        <f>+I50/D50</f>
        <v>25.870000000000008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439</v>
      </c>
      <c r="D1" s="100" t="s">
        <v>1</v>
      </c>
      <c r="E1" s="168" t="s">
        <v>97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441</v>
      </c>
      <c r="D2" s="96" t="s">
        <v>3</v>
      </c>
      <c r="E2" s="95" t="s">
        <v>362</v>
      </c>
      <c r="F2" s="94" t="s">
        <v>5</v>
      </c>
      <c r="G2" s="93">
        <v>12707.5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160</v>
      </c>
      <c r="F3" s="88" t="s">
        <v>8</v>
      </c>
      <c r="G3" s="87">
        <v>30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79.421875</v>
      </c>
      <c r="F4" s="81" t="s">
        <v>12</v>
      </c>
      <c r="G4" s="80">
        <f>G2*G3</f>
        <v>381225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9.1873137198724697E-3</v>
      </c>
      <c r="F6" s="69" t="s">
        <v>16</v>
      </c>
      <c r="G6" s="68">
        <f>(I50-I19)/(D50-(SUM(D42:D44)+D19))</f>
        <v>35.684866752159962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30</v>
      </c>
      <c r="D10" s="30"/>
      <c r="E10" s="29" t="e">
        <f t="shared" ref="E10:E19" si="1">D10/$D$19</f>
        <v>#DIV/0!</v>
      </c>
      <c r="F10" s="28">
        <f t="shared" ref="F10:F18" si="2">C10-(C10*$E$6)</f>
        <v>29.724380588403825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31.2</v>
      </c>
      <c r="D11" s="30"/>
      <c r="E11" s="29" t="e">
        <f t="shared" si="1"/>
        <v>#DIV/0!</v>
      </c>
      <c r="F11" s="28">
        <f t="shared" si="2"/>
        <v>30.913355811939979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28.5</v>
      </c>
      <c r="D12" s="30"/>
      <c r="E12" s="29" t="e">
        <f t="shared" si="1"/>
        <v>#DIV/0!</v>
      </c>
      <c r="F12" s="28">
        <f t="shared" si="2"/>
        <v>28.238161558983634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31.2</v>
      </c>
      <c r="D13" s="30"/>
      <c r="E13" s="29" t="e">
        <f t="shared" si="1"/>
        <v>#DIV/0!</v>
      </c>
      <c r="F13" s="28">
        <f t="shared" si="2"/>
        <v>30.913355811939979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34.9</v>
      </c>
      <c r="D14" s="30"/>
      <c r="E14" s="29" t="e">
        <f t="shared" si="1"/>
        <v>#DIV/0!</v>
      </c>
      <c r="F14" s="28">
        <f t="shared" si="2"/>
        <v>34.579362751176447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28.8</v>
      </c>
      <c r="D15" s="30"/>
      <c r="E15" s="29" t="e">
        <f t="shared" si="1"/>
        <v>#DIV/0!</v>
      </c>
      <c r="F15" s="28">
        <f t="shared" si="2"/>
        <v>28.535405364867675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39.4</v>
      </c>
      <c r="D16" s="30"/>
      <c r="E16" s="29" t="e">
        <f t="shared" si="1"/>
        <v>#DIV/0!</v>
      </c>
      <c r="F16" s="28">
        <f t="shared" si="2"/>
        <v>39.038019839437027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58</v>
      </c>
      <c r="D17" s="30"/>
      <c r="E17" s="29" t="e">
        <f t="shared" si="1"/>
        <v>#DIV/0!</v>
      </c>
      <c r="F17" s="28">
        <f t="shared" si="2"/>
        <v>57.467135804247398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50.8</v>
      </c>
      <c r="D18" s="30"/>
      <c r="E18" s="29" t="e">
        <f t="shared" si="1"/>
        <v>#DIV/0!</v>
      </c>
      <c r="F18" s="28">
        <f t="shared" si="2"/>
        <v>50.333284463030473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75.5</v>
      </c>
      <c r="D21" s="30">
        <v>158.30000000000001</v>
      </c>
      <c r="E21" s="29">
        <f>D21/$D$48</f>
        <v>1.2457210308872714E-2</v>
      </c>
      <c r="F21" s="28">
        <f>C21-(C21*$E$6)</f>
        <v>74.806357814149635</v>
      </c>
      <c r="G21" s="27" t="str">
        <f>IF(C21&gt;=F21,"-","+")</f>
        <v>-</v>
      </c>
      <c r="H21" s="26">
        <f>C21*D21</f>
        <v>11951.650000000001</v>
      </c>
      <c r="I21" s="26">
        <f>F21*D21</f>
        <v>11841.846441979887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50.7</v>
      </c>
      <c r="D22" s="30">
        <v>434.2</v>
      </c>
      <c r="E22" s="29">
        <f>D22/$D$48</f>
        <v>3.4168797953964193E-2</v>
      </c>
      <c r="F22" s="28">
        <f>C22-(C22*$E$6)</f>
        <v>50.234203194402468</v>
      </c>
      <c r="G22" s="27" t="str">
        <f>IF(C22&gt;=F22,"-","+")</f>
        <v>-</v>
      </c>
      <c r="H22" s="26">
        <f>C22*D22</f>
        <v>22013.940000000002</v>
      </c>
      <c r="I22" s="26">
        <f>F22*D22</f>
        <v>21811.69102700955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46.2</v>
      </c>
      <c r="D23" s="30">
        <v>337</v>
      </c>
      <c r="E23" s="29">
        <f>D23/$D$48</f>
        <v>2.6519771788313988E-2</v>
      </c>
      <c r="F23" s="28">
        <f>C23-(C23*$E$6)</f>
        <v>45.775546106141896</v>
      </c>
      <c r="G23" s="27" t="str">
        <f>IF(C23&gt;=F23,"-","+")</f>
        <v>-</v>
      </c>
      <c r="H23" s="26">
        <f>C23*D23</f>
        <v>15569.400000000001</v>
      </c>
      <c r="I23" s="26">
        <f>F23*D23</f>
        <v>15426.359037769818</v>
      </c>
      <c r="J23" s="25"/>
      <c r="K23" s="25"/>
    </row>
    <row r="24" spans="1:11" x14ac:dyDescent="0.25">
      <c r="A24" s="24" t="s">
        <v>34</v>
      </c>
      <c r="B24" s="23"/>
      <c r="C24" s="20">
        <f>H24/D24</f>
        <v>53.292081764389465</v>
      </c>
      <c r="D24" s="22">
        <f>SUM(D21:D23)</f>
        <v>929.5</v>
      </c>
      <c r="E24" s="21">
        <f>D24/$D$48</f>
        <v>7.3145780051150897E-2</v>
      </c>
      <c r="F24" s="20">
        <f>I24/D24</f>
        <v>52.802470690434923</v>
      </c>
      <c r="G24" s="19">
        <f>F24/C24-1</f>
        <v>-9.1873137198724697E-3</v>
      </c>
      <c r="H24" s="18">
        <f>SUM(H21:H23)</f>
        <v>49534.990000000005</v>
      </c>
      <c r="I24" s="18">
        <f>SUM(I21:I23)</f>
        <v>49079.896506759258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40.299999999999997</v>
      </c>
      <c r="D26" s="30">
        <v>2413.9</v>
      </c>
      <c r="E26" s="29">
        <f t="shared" ref="E26:E32" si="7">D26/$D$48</f>
        <v>0.18995868581546332</v>
      </c>
      <c r="F26" s="28">
        <f t="shared" ref="F26:F31" si="8">C26-(C26*$E$6)</f>
        <v>39.929751257089137</v>
      </c>
      <c r="G26" s="27" t="str">
        <f t="shared" ref="G26:G31" si="9">IF(C26&gt;=F26,"-","+")</f>
        <v>-</v>
      </c>
      <c r="H26" s="26">
        <f t="shared" ref="H26:H31" si="10">C26*D26</f>
        <v>97280.17</v>
      </c>
      <c r="I26" s="26">
        <f t="shared" ref="I26:I31" si="11">F26*D26</f>
        <v>96386.426559487474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35.9</v>
      </c>
      <c r="D27" s="30">
        <v>2109.1</v>
      </c>
      <c r="E27" s="29">
        <f t="shared" si="7"/>
        <v>0.16597285067873302</v>
      </c>
      <c r="F27" s="28">
        <f t="shared" si="8"/>
        <v>35.570175437456577</v>
      </c>
      <c r="G27" s="27" t="str">
        <f t="shared" si="9"/>
        <v>-</v>
      </c>
      <c r="H27" s="26">
        <f t="shared" si="10"/>
        <v>75716.689999999988</v>
      </c>
      <c r="I27" s="26">
        <f t="shared" si="11"/>
        <v>75021.057015139668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35.9</v>
      </c>
      <c r="D28" s="30">
        <v>1322.2</v>
      </c>
      <c r="E28" s="29">
        <f t="shared" si="7"/>
        <v>0.10404879008459572</v>
      </c>
      <c r="F28" s="28">
        <f t="shared" si="8"/>
        <v>35.570175437456577</v>
      </c>
      <c r="G28" s="27" t="str">
        <f t="shared" si="9"/>
        <v>-</v>
      </c>
      <c r="H28" s="26">
        <f t="shared" si="10"/>
        <v>47466.98</v>
      </c>
      <c r="I28" s="26">
        <f t="shared" si="11"/>
        <v>47030.88596340509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34.700000000000003</v>
      </c>
      <c r="D29" s="30">
        <v>1159</v>
      </c>
      <c r="E29" s="29">
        <f t="shared" si="7"/>
        <v>9.1205980720047222E-2</v>
      </c>
      <c r="F29" s="28">
        <f t="shared" si="8"/>
        <v>34.38120021392043</v>
      </c>
      <c r="G29" s="27" t="str">
        <f t="shared" si="9"/>
        <v>-</v>
      </c>
      <c r="H29" s="26">
        <f t="shared" si="10"/>
        <v>40217.300000000003</v>
      </c>
      <c r="I29" s="26">
        <f t="shared" si="11"/>
        <v>39847.811047933777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34.700000000000003</v>
      </c>
      <c r="D30" s="30">
        <v>763.1</v>
      </c>
      <c r="E30" s="29">
        <f t="shared" si="7"/>
        <v>6.0051150895140668E-2</v>
      </c>
      <c r="F30" s="28">
        <f t="shared" si="8"/>
        <v>34.38120021392043</v>
      </c>
      <c r="G30" s="27" t="str">
        <f t="shared" si="9"/>
        <v>-</v>
      </c>
      <c r="H30" s="26">
        <f t="shared" si="10"/>
        <v>26479.570000000003</v>
      </c>
      <c r="I30" s="26">
        <f t="shared" si="11"/>
        <v>26236.293883242681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35.299999999999997</v>
      </c>
      <c r="D31" s="30">
        <v>359.7</v>
      </c>
      <c r="E31" s="29">
        <f t="shared" si="7"/>
        <v>2.8306118433995671E-2</v>
      </c>
      <c r="F31" s="28">
        <f t="shared" si="8"/>
        <v>34.975687825688496</v>
      </c>
      <c r="G31" s="27" t="str">
        <f t="shared" si="9"/>
        <v>-</v>
      </c>
      <c r="H31" s="26">
        <f t="shared" si="10"/>
        <v>12697.409999999998</v>
      </c>
      <c r="I31" s="26">
        <f t="shared" si="11"/>
        <v>12580.754910900152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36.896532545834873</v>
      </c>
      <c r="D32" s="22">
        <f>SUM(D26:D31)</f>
        <v>8127</v>
      </c>
      <c r="E32" s="21">
        <f t="shared" si="7"/>
        <v>0.63954357662797556</v>
      </c>
      <c r="F32" s="20">
        <f>I32/D32</f>
        <v>36.557552526160798</v>
      </c>
      <c r="G32" s="19">
        <f>F32/C32-1</f>
        <v>-9.1873137198725807E-3</v>
      </c>
      <c r="H32" s="18">
        <f>SUM(H26:H31)</f>
        <v>299858.12</v>
      </c>
      <c r="I32" s="18">
        <f>SUM(I26:I31)</f>
        <v>297103.22938010882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21.2</v>
      </c>
      <c r="D34" s="30">
        <v>1620.5</v>
      </c>
      <c r="E34" s="29">
        <f t="shared" ref="E34:E40" si="13">D34/$D$48</f>
        <v>0.12752311626991933</v>
      </c>
      <c r="F34" s="28">
        <f t="shared" ref="F34:F39" si="14">C34-(C34*$E$6)</f>
        <v>21.005228949138704</v>
      </c>
      <c r="G34" s="27" t="str">
        <f t="shared" ref="G34:G39" si="15">IF(C34&gt;=F34,"-","+")</f>
        <v>-</v>
      </c>
      <c r="H34" s="26">
        <f t="shared" ref="H34:H39" si="16">C34*D34</f>
        <v>34354.6</v>
      </c>
      <c r="I34" s="26">
        <f t="shared" ref="I34:I39" si="17">F34*D34</f>
        <v>34038.973512079268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16.3</v>
      </c>
      <c r="D35" s="30"/>
      <c r="E35" s="29">
        <f t="shared" si="13"/>
        <v>0</v>
      </c>
      <c r="F35" s="28">
        <f t="shared" si="14"/>
        <v>16.150246786366079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13.1</v>
      </c>
      <c r="D36" s="30"/>
      <c r="E36" s="29">
        <f t="shared" si="13"/>
        <v>0</v>
      </c>
      <c r="F36" s="28">
        <f t="shared" si="14"/>
        <v>12.979646190269671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34.700000000000003</v>
      </c>
      <c r="D37" s="30"/>
      <c r="E37" s="29">
        <f t="shared" si="13"/>
        <v>0</v>
      </c>
      <c r="F37" s="28">
        <f t="shared" si="14"/>
        <v>34.38120021392043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34.700000000000003</v>
      </c>
      <c r="D38" s="30"/>
      <c r="E38" s="29">
        <f t="shared" si="13"/>
        <v>0</v>
      </c>
      <c r="F38" s="28">
        <f t="shared" si="14"/>
        <v>34.38120021392043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35.9</v>
      </c>
      <c r="D39" s="30"/>
      <c r="E39" s="29">
        <f t="shared" si="13"/>
        <v>0</v>
      </c>
      <c r="F39" s="28">
        <f t="shared" si="14"/>
        <v>35.570175437456577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21.2</v>
      </c>
      <c r="D40" s="22">
        <f>SUM(D34:D39)</f>
        <v>1620.5</v>
      </c>
      <c r="E40" s="113">
        <f t="shared" si="13"/>
        <v>0.12752311626991933</v>
      </c>
      <c r="F40" s="20">
        <f>I40/D40</f>
        <v>21.005228949138704</v>
      </c>
      <c r="G40" s="19">
        <f>F40/C40-1</f>
        <v>-9.1873137198723587E-3</v>
      </c>
      <c r="H40" s="18">
        <f>SUM(H34:H39)</f>
        <v>34354.6</v>
      </c>
      <c r="I40" s="18">
        <f>SUM(I34:I39)</f>
        <v>34038.973512079268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1939</v>
      </c>
      <c r="E42" s="107">
        <f>D42/$D$48</f>
        <v>0.15258705488884516</v>
      </c>
      <c r="F42" s="28">
        <f>C42-(C42*$E$6)</f>
        <v>0.49540634314006377</v>
      </c>
      <c r="G42" s="27" t="str">
        <f>IF(C42&gt;=F42,"-","+")</f>
        <v>-</v>
      </c>
      <c r="H42" s="26">
        <f>C42*D42</f>
        <v>969.5</v>
      </c>
      <c r="I42" s="26">
        <f>F42*D42</f>
        <v>960.59289934858361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85.4</v>
      </c>
      <c r="E43" s="107">
        <f>D43/$D$48</f>
        <v>6.7204406846350581E-3</v>
      </c>
      <c r="F43" s="28">
        <f>C43-(C43*$E$6)</f>
        <v>0.49540634314006377</v>
      </c>
      <c r="G43" s="27" t="str">
        <f>IF(C43&gt;=F43,"-","+")</f>
        <v>-</v>
      </c>
      <c r="H43" s="26">
        <f>C43*D43</f>
        <v>42.7</v>
      </c>
      <c r="I43" s="26">
        <f>F43*D43</f>
        <v>42.307701704161445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6.1</v>
      </c>
      <c r="E45" s="107">
        <f>D45/$D$48</f>
        <v>4.8003147747393269E-4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0.49849790691947798</v>
      </c>
      <c r="D46" s="22">
        <f>SUM(D41:D45)</f>
        <v>2030.5</v>
      </c>
      <c r="E46" s="113">
        <f>D46/$D$48</f>
        <v>0.15978752705095417</v>
      </c>
      <c r="F46" s="20">
        <f>I46/D46</f>
        <v>0.49391805025990893</v>
      </c>
      <c r="G46" s="19">
        <f>F46/C46-1</f>
        <v>-9.1873137198725807E-3</v>
      </c>
      <c r="H46" s="18">
        <f>SUM(H41:H44)</f>
        <v>1012.2</v>
      </c>
      <c r="I46" s="18">
        <f>SUM(I41:I44)</f>
        <v>1002.9006010527451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111.88711221714382</v>
      </c>
      <c r="D48" s="13">
        <f>D24+D32+D40+D46</f>
        <v>12707.5</v>
      </c>
      <c r="E48" s="12">
        <f>SUM(E20:E46)/2</f>
        <v>1</v>
      </c>
      <c r="F48" s="11">
        <f>I48/D48</f>
        <v>30.000000000000011</v>
      </c>
      <c r="G48" s="10"/>
      <c r="H48" s="9">
        <f>SUM(H20:H46)/2</f>
        <v>384759.90999999992</v>
      </c>
      <c r="I48" s="9">
        <f>SUM(I20:I46)/2</f>
        <v>381225.00000000012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12707.5</v>
      </c>
      <c r="E50" s="12">
        <f>D50/G2</f>
        <v>1</v>
      </c>
      <c r="F50" s="11">
        <f>I50/D50</f>
        <v>30.000000000000011</v>
      </c>
      <c r="G50" s="10"/>
      <c r="H50" s="9">
        <f>H48+H19</f>
        <v>384759.90999999992</v>
      </c>
      <c r="I50" s="9">
        <f>I48+I19</f>
        <v>381225.00000000012</v>
      </c>
      <c r="J50" s="106">
        <f>D50-G2</f>
        <v>0</v>
      </c>
      <c r="K50" s="8"/>
    </row>
    <row r="51" spans="1:11" ht="23.25" x14ac:dyDescent="0.35">
      <c r="A51" s="174" t="s">
        <v>443</v>
      </c>
      <c r="B51" s="169"/>
      <c r="C51" s="170"/>
      <c r="G51" s="7"/>
      <c r="H51" s="6"/>
      <c r="I51" s="6">
        <f>+I50/D50</f>
        <v>30.000000000000011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439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441</v>
      </c>
      <c r="D2" s="96" t="s">
        <v>3</v>
      </c>
      <c r="E2" s="95" t="s">
        <v>71</v>
      </c>
      <c r="F2" s="94" t="s">
        <v>5</v>
      </c>
      <c r="G2" s="93">
        <v>19762.8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244</v>
      </c>
      <c r="F3" s="88" t="s">
        <v>8</v>
      </c>
      <c r="G3" s="87">
        <v>29.7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80.99508196721311</v>
      </c>
      <c r="F4" s="81" t="s">
        <v>12</v>
      </c>
      <c r="G4" s="80">
        <f>G2*G3</f>
        <v>586955.15999999992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-8.1952611511950657E-3</v>
      </c>
      <c r="F6" s="69" t="s">
        <v>16</v>
      </c>
      <c r="G6" s="68">
        <f>(I50-I19)/(D50-(SUM(D42:D44)+D19))</f>
        <v>35.344266204205518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29.7</v>
      </c>
      <c r="D10" s="30"/>
      <c r="E10" s="29" t="e">
        <f t="shared" ref="E10:E19" si="1">D10/$D$19</f>
        <v>#DIV/0!</v>
      </c>
      <c r="F10" s="28">
        <f t="shared" ref="F10:F18" si="2">C10-(C10*$E$6)</f>
        <v>29.943399256190492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30.9</v>
      </c>
      <c r="D11" s="30"/>
      <c r="E11" s="29" t="e">
        <f t="shared" si="1"/>
        <v>#DIV/0!</v>
      </c>
      <c r="F11" s="28">
        <f t="shared" si="2"/>
        <v>31.153233569571928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28.3</v>
      </c>
      <c r="D12" s="30"/>
      <c r="E12" s="29" t="e">
        <f t="shared" si="1"/>
        <v>#DIV/0!</v>
      </c>
      <c r="F12" s="28">
        <f t="shared" si="2"/>
        <v>28.531925890578822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30.9</v>
      </c>
      <c r="D13" s="30"/>
      <c r="E13" s="29" t="e">
        <f t="shared" si="1"/>
        <v>#DIV/0!</v>
      </c>
      <c r="F13" s="28">
        <f t="shared" si="2"/>
        <v>31.153233569571928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34.6</v>
      </c>
      <c r="D14" s="30"/>
      <c r="E14" s="29" t="e">
        <f t="shared" si="1"/>
        <v>#DIV/0!</v>
      </c>
      <c r="F14" s="28">
        <f t="shared" si="2"/>
        <v>34.883556035831347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28.5</v>
      </c>
      <c r="D15" s="30"/>
      <c r="E15" s="29" t="e">
        <f t="shared" si="1"/>
        <v>#DIV/0!</v>
      </c>
      <c r="F15" s="28">
        <f t="shared" si="2"/>
        <v>28.73356494280906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39</v>
      </c>
      <c r="D16" s="30"/>
      <c r="E16" s="29" t="e">
        <f t="shared" si="1"/>
        <v>#DIV/0!</v>
      </c>
      <c r="F16" s="28">
        <f t="shared" si="2"/>
        <v>39.319615184896605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57.4</v>
      </c>
      <c r="D17" s="30"/>
      <c r="E17" s="29" t="e">
        <f t="shared" si="1"/>
        <v>#DIV/0!</v>
      </c>
      <c r="F17" s="28">
        <f t="shared" si="2"/>
        <v>57.870407990078597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50.3</v>
      </c>
      <c r="D18" s="30"/>
      <c r="E18" s="29" t="e">
        <f t="shared" si="1"/>
        <v>#DIV/0!</v>
      </c>
      <c r="F18" s="28">
        <f t="shared" si="2"/>
        <v>50.712221635905109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74.7</v>
      </c>
      <c r="D21" s="30">
        <v>233.2</v>
      </c>
      <c r="E21" s="29">
        <f>D21/$D$48</f>
        <v>1.179994737587791E-2</v>
      </c>
      <c r="F21" s="28">
        <f>C21-(C21*$E$6)</f>
        <v>75.312186007994271</v>
      </c>
      <c r="G21" s="27" t="str">
        <f>IF(C21&gt;=F21,"-","+")</f>
        <v>+</v>
      </c>
      <c r="H21" s="26">
        <f>C21*D21</f>
        <v>17420.04</v>
      </c>
      <c r="I21" s="26">
        <f>F21*D21</f>
        <v>17562.801777064262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50.2</v>
      </c>
      <c r="D22" s="30">
        <v>559.20000000000005</v>
      </c>
      <c r="E22" s="29">
        <f>D22/$D$48</f>
        <v>2.8295585645758695E-2</v>
      </c>
      <c r="F22" s="28">
        <f>C22-(C22*$E$6)</f>
        <v>50.611402109789992</v>
      </c>
      <c r="G22" s="27" t="str">
        <f>IF(C22&gt;=F22,"-","+")</f>
        <v>+</v>
      </c>
      <c r="H22" s="26">
        <f>C22*D22</f>
        <v>28071.840000000004</v>
      </c>
      <c r="I22" s="26">
        <f>F22*D22</f>
        <v>28301.896059794566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45.7</v>
      </c>
      <c r="D23" s="30">
        <v>483.6</v>
      </c>
      <c r="E23" s="29">
        <f>D23/$D$48</f>
        <v>2.4470216770902907E-2</v>
      </c>
      <c r="F23" s="28">
        <f>C23-(C23*$E$6)</f>
        <v>46.074523434609617</v>
      </c>
      <c r="G23" s="27" t="str">
        <f>IF(C23&gt;=F23,"-","+")</f>
        <v>+</v>
      </c>
      <c r="H23" s="26">
        <f>C23*D23</f>
        <v>22100.520000000004</v>
      </c>
      <c r="I23" s="26">
        <f>F23*D23</f>
        <v>22281.639532977213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52.972100313479629</v>
      </c>
      <c r="D24" s="22">
        <f>SUM(D21:D23)</f>
        <v>1276</v>
      </c>
      <c r="E24" s="21">
        <f>D24/$D$48</f>
        <v>6.4565749792539512E-2</v>
      </c>
      <c r="F24" s="20">
        <f>I24/D24</f>
        <v>53.406220509275904</v>
      </c>
      <c r="G24" s="19">
        <f>F24/C24-1</f>
        <v>8.1952611511952878E-3</v>
      </c>
      <c r="H24" s="18">
        <f>SUM(H21:H23)</f>
        <v>67592.400000000009</v>
      </c>
      <c r="I24" s="18">
        <f>SUM(I21:I23)</f>
        <v>68146.337369836052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39.9</v>
      </c>
      <c r="D26" s="30">
        <f>3325.8+312.5</f>
        <v>3638.3</v>
      </c>
      <c r="E26" s="29">
        <f t="shared" ref="E26:E32" si="7">D26/$D$48</f>
        <v>0.18409840710830447</v>
      </c>
      <c r="F26" s="28">
        <f t="shared" ref="F26:F31" si="8">C26-(C26*$E$6)</f>
        <v>40.226990919932682</v>
      </c>
      <c r="G26" s="27" t="str">
        <f t="shared" ref="G26:G31" si="9">IF(C26&gt;=F26,"-","+")</f>
        <v>+</v>
      </c>
      <c r="H26" s="26">
        <f t="shared" ref="H26:H31" si="10">C26*D26</f>
        <v>145168.17000000001</v>
      </c>
      <c r="I26" s="26">
        <f t="shared" ref="I26:I31" si="11">F26*D26</f>
        <v>146357.86106399109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35.5</v>
      </c>
      <c r="D27" s="30">
        <v>3224.8</v>
      </c>
      <c r="E27" s="29">
        <f t="shared" si="7"/>
        <v>0.16317525856659987</v>
      </c>
      <c r="F27" s="28">
        <f t="shared" si="8"/>
        <v>35.790931770867424</v>
      </c>
      <c r="G27" s="27" t="str">
        <f t="shared" si="9"/>
        <v>+</v>
      </c>
      <c r="H27" s="26">
        <f t="shared" si="10"/>
        <v>114480.40000000001</v>
      </c>
      <c r="I27" s="26">
        <f t="shared" si="11"/>
        <v>115418.59677469327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35.5</v>
      </c>
      <c r="D28" s="30">
        <v>2145.8000000000002</v>
      </c>
      <c r="E28" s="29">
        <f t="shared" si="7"/>
        <v>0.108577731900338</v>
      </c>
      <c r="F28" s="28">
        <f t="shared" si="8"/>
        <v>35.790931770867424</v>
      </c>
      <c r="G28" s="27" t="str">
        <f t="shared" si="9"/>
        <v>+</v>
      </c>
      <c r="H28" s="26">
        <f t="shared" si="10"/>
        <v>76175.900000000009</v>
      </c>
      <c r="I28" s="26">
        <f t="shared" si="11"/>
        <v>76800.181393927327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34.299999999999997</v>
      </c>
      <c r="D29" s="30">
        <v>1844.2</v>
      </c>
      <c r="E29" s="29">
        <f t="shared" si="7"/>
        <v>9.3316736494828662E-2</v>
      </c>
      <c r="F29" s="28">
        <f t="shared" si="8"/>
        <v>34.581097457485988</v>
      </c>
      <c r="G29" s="27" t="str">
        <f t="shared" si="9"/>
        <v>+</v>
      </c>
      <c r="H29" s="26">
        <f t="shared" si="10"/>
        <v>63256.06</v>
      </c>
      <c r="I29" s="26">
        <f t="shared" si="11"/>
        <v>63774.459931095662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34.299999999999997</v>
      </c>
      <c r="D30" s="30">
        <v>1247.5999999999999</v>
      </c>
      <c r="E30" s="29">
        <f t="shared" si="7"/>
        <v>6.3128706458598971E-2</v>
      </c>
      <c r="F30" s="28">
        <f t="shared" si="8"/>
        <v>34.581097457485988</v>
      </c>
      <c r="G30" s="27" t="str">
        <f t="shared" si="9"/>
        <v>+</v>
      </c>
      <c r="H30" s="26">
        <f t="shared" si="10"/>
        <v>42792.679999999993</v>
      </c>
      <c r="I30" s="26">
        <f t="shared" si="11"/>
        <v>43143.377187959515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34.9</v>
      </c>
      <c r="D31" s="30">
        <v>298.39999999999998</v>
      </c>
      <c r="E31" s="29">
        <f t="shared" si="7"/>
        <v>1.5099075029854065E-2</v>
      </c>
      <c r="F31" s="28">
        <f t="shared" si="8"/>
        <v>35.186014614176706</v>
      </c>
      <c r="G31" s="27" t="str">
        <f t="shared" si="9"/>
        <v>+</v>
      </c>
      <c r="H31" s="26">
        <f t="shared" si="10"/>
        <v>10414.159999999998</v>
      </c>
      <c r="I31" s="26">
        <f t="shared" si="11"/>
        <v>10499.506760870328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36.477435459025244</v>
      </c>
      <c r="D32" s="22">
        <f>SUM(D26:D31)</f>
        <v>12399.100000000002</v>
      </c>
      <c r="E32" s="21">
        <f t="shared" si="7"/>
        <v>0.62739591555852414</v>
      </c>
      <c r="F32" s="20">
        <f>I32/D32</f>
        <v>36.776377568737821</v>
      </c>
      <c r="G32" s="19">
        <f>F32/C32-1</f>
        <v>8.1952611511950657E-3</v>
      </c>
      <c r="H32" s="18">
        <f>SUM(H26:H31)</f>
        <v>452287.37</v>
      </c>
      <c r="I32" s="18">
        <f>SUM(I26:I31)</f>
        <v>455993.98311253719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21</v>
      </c>
      <c r="D34" s="30">
        <v>2784.6</v>
      </c>
      <c r="E34" s="29">
        <f t="shared" ref="E34:E40" si="13">D34/$D$48</f>
        <v>0.14090108689052155</v>
      </c>
      <c r="F34" s="28">
        <f t="shared" ref="F34:F39" si="14">C34-(C34*$E$6)</f>
        <v>21.172100484175097</v>
      </c>
      <c r="G34" s="27" t="str">
        <f t="shared" ref="G34:G39" si="15">IF(C34&gt;=F34,"-","+")</f>
        <v>+</v>
      </c>
      <c r="H34" s="26">
        <f t="shared" ref="H34:H39" si="16">C34*D34</f>
        <v>58476.6</v>
      </c>
      <c r="I34" s="26">
        <f t="shared" ref="I34:I39" si="17">F34*D34</f>
        <v>58955.831008233974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16.100000000000001</v>
      </c>
      <c r="D35" s="30">
        <v>140.4</v>
      </c>
      <c r="E35" s="29">
        <f t="shared" si="13"/>
        <v>7.104256481875037E-3</v>
      </c>
      <c r="F35" s="28">
        <f t="shared" si="14"/>
        <v>16.231943704534242</v>
      </c>
      <c r="G35" s="27" t="str">
        <f t="shared" si="15"/>
        <v>+</v>
      </c>
      <c r="H35" s="26">
        <f t="shared" si="16"/>
        <v>2260.4400000000005</v>
      </c>
      <c r="I35" s="26">
        <f t="shared" si="17"/>
        <v>2278.9648961166076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13</v>
      </c>
      <c r="D36" s="30"/>
      <c r="E36" s="29">
        <f t="shared" si="13"/>
        <v>0</v>
      </c>
      <c r="F36" s="28">
        <f t="shared" si="14"/>
        <v>13.106538394965536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34.299999999999997</v>
      </c>
      <c r="D37" s="30"/>
      <c r="E37" s="29">
        <f t="shared" si="13"/>
        <v>0</v>
      </c>
      <c r="F37" s="28">
        <f t="shared" si="14"/>
        <v>34.581097457485988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34.299999999999997</v>
      </c>
      <c r="D38" s="30"/>
      <c r="E38" s="29">
        <f t="shared" si="13"/>
        <v>0</v>
      </c>
      <c r="F38" s="28">
        <f t="shared" si="14"/>
        <v>34.581097457485988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35.5</v>
      </c>
      <c r="D39" s="30"/>
      <c r="E39" s="29">
        <f t="shared" si="13"/>
        <v>0</v>
      </c>
      <c r="F39" s="28">
        <f t="shared" si="14"/>
        <v>35.790931770867424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20.764800000000001</v>
      </c>
      <c r="D40" s="22">
        <f>SUM(D34:D39)</f>
        <v>2925</v>
      </c>
      <c r="E40" s="113">
        <f t="shared" si="13"/>
        <v>0.1480053433723966</v>
      </c>
      <c r="F40" s="20">
        <f>I40/D40</f>
        <v>20.934972958752336</v>
      </c>
      <c r="G40" s="19">
        <f>F40/C40-1</f>
        <v>8.1952611511950657E-3</v>
      </c>
      <c r="H40" s="18">
        <f>SUM(H34:H39)</f>
        <v>60737.04</v>
      </c>
      <c r="I40" s="18">
        <f>SUM(I34:I39)</f>
        <v>61234.795904350583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3019</v>
      </c>
      <c r="E42" s="107">
        <f>D42/$D$48</f>
        <v>0.15276175440727019</v>
      </c>
      <c r="F42" s="28">
        <f>C42-(C42*$E$6)</f>
        <v>0.50409763057559753</v>
      </c>
      <c r="G42" s="27" t="str">
        <f>IF(C42&gt;=F42,"-","+")</f>
        <v>+</v>
      </c>
      <c r="H42" s="26">
        <f>C42*D42</f>
        <v>1509.5</v>
      </c>
      <c r="I42" s="26">
        <f>F42*D42</f>
        <v>1521.870746707729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115.4</v>
      </c>
      <c r="E43" s="107">
        <f>D43/$D$48</f>
        <v>5.8392535470682284E-3</v>
      </c>
      <c r="F43" s="28">
        <f>C43-(C43*$E$6)</f>
        <v>0.50409763057559753</v>
      </c>
      <c r="G43" s="27" t="str">
        <f>IF(C43&gt;=F43,"-","+")</f>
        <v>+</v>
      </c>
      <c r="H43" s="26">
        <f>C43*D43</f>
        <v>57.7</v>
      </c>
      <c r="I43" s="26">
        <f>F43*D43</f>
        <v>58.172866568423956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21.6</v>
      </c>
      <c r="E44" s="107">
        <f>D44/$D$48</f>
        <v>1.0929625356730828E-3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6.7</v>
      </c>
      <c r="E45" s="107">
        <f>D45/$D$48</f>
        <v>3.390207865282247E-4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0.49552597464191994</v>
      </c>
      <c r="D46" s="22">
        <f>SUM(D41:D45)</f>
        <v>3162.7</v>
      </c>
      <c r="E46" s="113">
        <f>D46/$D$48</f>
        <v>0.16003299127653972</v>
      </c>
      <c r="F46" s="20">
        <f>I46/D46</f>
        <v>0.49958693941131088</v>
      </c>
      <c r="G46" s="19">
        <f>F46/C46-1</f>
        <v>8.1952611511948437E-3</v>
      </c>
      <c r="H46" s="18">
        <f>SUM(H41:H44)</f>
        <v>1567.2</v>
      </c>
      <c r="I46" s="18">
        <f>SUM(I41:I44)</f>
        <v>1580.0436132761529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110.7098617471468</v>
      </c>
      <c r="D48" s="13">
        <f>D24+D32+D40+D46</f>
        <v>19762.800000000003</v>
      </c>
      <c r="E48" s="12">
        <f>SUM(E20:E46)/2</f>
        <v>0.99999999999999989</v>
      </c>
      <c r="F48" s="11">
        <f>I48/D48</f>
        <v>29.700000000000003</v>
      </c>
      <c r="G48" s="10"/>
      <c r="H48" s="9">
        <f>SUM(H20:H46)/2</f>
        <v>582184.01</v>
      </c>
      <c r="I48" s="9">
        <f>SUM(I20:I46)/2</f>
        <v>586955.16000000015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19762.8</v>
      </c>
      <c r="E50" s="12">
        <f>D50/G2</f>
        <v>1</v>
      </c>
      <c r="F50" s="11">
        <f>I50/D50</f>
        <v>29.70000000000001</v>
      </c>
      <c r="G50" s="10"/>
      <c r="H50" s="9">
        <f>H48+H19</f>
        <v>582184.01</v>
      </c>
      <c r="I50" s="9">
        <f>I48+I19</f>
        <v>586955.16000000015</v>
      </c>
      <c r="J50" s="106">
        <f>D50-G2</f>
        <v>0</v>
      </c>
      <c r="K50" s="8"/>
    </row>
    <row r="51" spans="1:11" ht="23.25" x14ac:dyDescent="0.35">
      <c r="A51" s="174" t="s">
        <v>444</v>
      </c>
      <c r="B51" s="169"/>
      <c r="C51" s="170"/>
      <c r="G51" s="7"/>
      <c r="H51" s="6"/>
      <c r="I51" s="6">
        <f>+I50/D50</f>
        <v>29.70000000000001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439</v>
      </c>
      <c r="D1" s="100" t="s">
        <v>1</v>
      </c>
      <c r="E1" s="168" t="s">
        <v>445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441</v>
      </c>
      <c r="D2" s="96" t="s">
        <v>3</v>
      </c>
      <c r="E2" s="95" t="s">
        <v>71</v>
      </c>
      <c r="F2" s="94" t="s">
        <v>5</v>
      </c>
      <c r="G2" s="93">
        <v>21549.9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312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69.070192307692309</v>
      </c>
      <c r="F4" s="81" t="s">
        <v>12</v>
      </c>
      <c r="G4" s="80">
        <f>G2*G3</f>
        <v>624947.10000000009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-2.756080661834126E-2</v>
      </c>
      <c r="F6" s="69" t="s">
        <v>16</v>
      </c>
      <c r="G6" s="68">
        <f>(I50-I19)/(D50-(SUM(D42:D44)+D19))</f>
        <v>35.186969054189746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29.799263391931895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>
        <v>53.8</v>
      </c>
      <c r="E11" s="29">
        <f t="shared" si="1"/>
        <v>7.2860238353196091E-2</v>
      </c>
      <c r="F11" s="28">
        <f t="shared" si="2"/>
        <v>31.032336359873906</v>
      </c>
      <c r="G11" s="27" t="str">
        <f t="shared" si="3"/>
        <v>+</v>
      </c>
      <c r="H11" s="34">
        <f t="shared" si="4"/>
        <v>1624.7599999999998</v>
      </c>
      <c r="I11" s="34">
        <f t="shared" si="5"/>
        <v>1669.5396961612159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/>
      <c r="E12" s="29">
        <f t="shared" si="1"/>
        <v>0</v>
      </c>
      <c r="F12" s="28">
        <f t="shared" si="2"/>
        <v>28.360678262666219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>
        <f t="shared" si="1"/>
        <v>0</v>
      </c>
      <c r="F13" s="28">
        <f t="shared" si="2"/>
        <v>31.032336359873906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>
        <f t="shared" si="1"/>
        <v>0</v>
      </c>
      <c r="F14" s="28">
        <f t="shared" si="2"/>
        <v>34.731555263699931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>
        <f t="shared" si="1"/>
        <v>0</v>
      </c>
      <c r="F15" s="28">
        <f t="shared" si="2"/>
        <v>28.566190423989887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>
        <v>684.6</v>
      </c>
      <c r="E16" s="29">
        <f t="shared" si="1"/>
        <v>0.92713976164680401</v>
      </c>
      <c r="F16" s="28">
        <f t="shared" si="2"/>
        <v>39.150066732158805</v>
      </c>
      <c r="G16" s="27" t="str">
        <f t="shared" si="3"/>
        <v>+</v>
      </c>
      <c r="H16" s="34">
        <f t="shared" si="4"/>
        <v>26083.260000000002</v>
      </c>
      <c r="I16" s="34">
        <f t="shared" si="5"/>
        <v>26802.135684835917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>
        <f t="shared" si="1"/>
        <v>0</v>
      </c>
      <c r="F17" s="28">
        <f t="shared" si="2"/>
        <v>57.646161251288945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50.453235604960554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37.524404117009752</v>
      </c>
      <c r="D19" s="49">
        <f>SUM(D10:D18)</f>
        <v>738.4</v>
      </c>
      <c r="E19" s="48">
        <f t="shared" si="1"/>
        <v>1</v>
      </c>
      <c r="F19" s="47">
        <f>I19/D19</f>
        <v>38.558606962347149</v>
      </c>
      <c r="G19" s="46">
        <f>F19/C19-1</f>
        <v>2.756080661834126E-2</v>
      </c>
      <c r="H19" s="9">
        <f>SUM(H10:H18)</f>
        <v>27708.02</v>
      </c>
      <c r="I19" s="9">
        <f>SUM(I10:I18)</f>
        <v>28471.675380997134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143.30000000000001</v>
      </c>
      <c r="E21" s="29">
        <f>D21/$D$48</f>
        <v>6.8856161256997343E-3</v>
      </c>
      <c r="F21" s="28">
        <f>C21-(C21*$E$6)</f>
        <v>74.90918280247709</v>
      </c>
      <c r="G21" s="27" t="str">
        <f>IF(C21&gt;=F21,"-","+")</f>
        <v>+</v>
      </c>
      <c r="H21" s="26">
        <f>C21*D21</f>
        <v>10446.570000000002</v>
      </c>
      <c r="I21" s="26">
        <f>F21*D21</f>
        <v>10734.485895594968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686.4</v>
      </c>
      <c r="E22" s="29">
        <f>D22/$D$48</f>
        <v>3.2981764889604304E-2</v>
      </c>
      <c r="F22" s="28">
        <f>C22-(C22*$E$6)</f>
        <v>50.35047952429872</v>
      </c>
      <c r="G22" s="27" t="str">
        <f>IF(C22&gt;=F22,"-","+")</f>
        <v>+</v>
      </c>
      <c r="H22" s="26">
        <f>C22*D22</f>
        <v>33633.599999999999</v>
      </c>
      <c r="I22" s="26">
        <f>F22*D22</f>
        <v>34560.569145478643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277.39999999999998</v>
      </c>
      <c r="E23" s="29">
        <f>D23/$D$48</f>
        <v>1.3329168969079595E-2</v>
      </c>
      <c r="F23" s="28">
        <f>C23-(C23*$E$6)</f>
        <v>45.93196805583986</v>
      </c>
      <c r="G23" s="27" t="str">
        <f>IF(C23&gt;=F23,"-","+")</f>
        <v>+</v>
      </c>
      <c r="H23" s="26">
        <f>C23*D23</f>
        <v>12399.78</v>
      </c>
      <c r="I23" s="26">
        <f>F23*D23</f>
        <v>12741.527938689977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51.016123204769215</v>
      </c>
      <c r="D24" s="22">
        <f>SUM(D21:D23)</f>
        <v>1107.0999999999999</v>
      </c>
      <c r="E24" s="21">
        <f>D24/$D$48</f>
        <v>5.3196549984383633E-2</v>
      </c>
      <c r="F24" s="20">
        <f>I24/D24</f>
        <v>52.42216871083334</v>
      </c>
      <c r="G24" s="19">
        <f>F24/C24-1</f>
        <v>2.7560806618341482E-2</v>
      </c>
      <c r="H24" s="18">
        <f>SUM(H21:H23)</f>
        <v>56479.95</v>
      </c>
      <c r="I24" s="18">
        <f>SUM(I21:I23)</f>
        <v>58036.582979763589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f>44.7+4180.6</f>
        <v>4225.3</v>
      </c>
      <c r="E26" s="29">
        <f t="shared" ref="E26:E32" si="7">D26/$D$48</f>
        <v>0.20302717247675564</v>
      </c>
      <c r="F26" s="28">
        <f t="shared" ref="F26:F31" si="8">C26-(C26*$E$6)</f>
        <v>39.972115377453477</v>
      </c>
      <c r="G26" s="27" t="str">
        <f t="shared" ref="G26:G31" si="9">IF(C26&gt;=F26,"-","+")</f>
        <v>+</v>
      </c>
      <c r="H26" s="26">
        <f t="shared" ref="H26:H31" si="10">C26*D26</f>
        <v>164364.17000000001</v>
      </c>
      <c r="I26" s="26">
        <f t="shared" ref="I26:I31" si="11">F26*D26</f>
        <v>168894.17910435417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3388.3</v>
      </c>
      <c r="E27" s="29">
        <f t="shared" si="7"/>
        <v>0.16280902385700216</v>
      </c>
      <c r="F27" s="28">
        <f t="shared" si="8"/>
        <v>35.656359989656444</v>
      </c>
      <c r="G27" s="27" t="str">
        <f t="shared" si="9"/>
        <v>+</v>
      </c>
      <c r="H27" s="26">
        <f t="shared" si="10"/>
        <v>117574.01000000001</v>
      </c>
      <c r="I27" s="26">
        <f t="shared" si="11"/>
        <v>120814.44455295293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2197.9</v>
      </c>
      <c r="E28" s="29">
        <f t="shared" si="7"/>
        <v>0.10560987915335272</v>
      </c>
      <c r="F28" s="28">
        <f t="shared" si="8"/>
        <v>35.656359989656444</v>
      </c>
      <c r="G28" s="27" t="str">
        <f t="shared" si="9"/>
        <v>+</v>
      </c>
      <c r="H28" s="26">
        <f t="shared" si="10"/>
        <v>76267.13</v>
      </c>
      <c r="I28" s="26">
        <f t="shared" si="11"/>
        <v>78369.113621265904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1795.5</v>
      </c>
      <c r="E29" s="29">
        <f t="shared" si="7"/>
        <v>8.6274415587535735E-2</v>
      </c>
      <c r="F29" s="28">
        <f t="shared" si="8"/>
        <v>34.42328702171443</v>
      </c>
      <c r="G29" s="27" t="str">
        <f t="shared" si="9"/>
        <v>+</v>
      </c>
      <c r="H29" s="26">
        <f t="shared" si="10"/>
        <v>60149.25</v>
      </c>
      <c r="I29" s="26">
        <f t="shared" si="11"/>
        <v>61807.011847488255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1076.9000000000001</v>
      </c>
      <c r="E30" s="29">
        <f t="shared" si="7"/>
        <v>5.1745429209811886E-2</v>
      </c>
      <c r="F30" s="28">
        <f t="shared" si="8"/>
        <v>34.42328702171443</v>
      </c>
      <c r="G30" s="27" t="str">
        <f t="shared" si="9"/>
        <v>+</v>
      </c>
      <c r="H30" s="26">
        <f t="shared" si="10"/>
        <v>36076.15</v>
      </c>
      <c r="I30" s="26">
        <f t="shared" si="11"/>
        <v>37070.437793684272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293.89999999999998</v>
      </c>
      <c r="E31" s="29">
        <f t="shared" si="7"/>
        <v>1.4121999855848928E-2</v>
      </c>
      <c r="F31" s="28">
        <f t="shared" si="8"/>
        <v>35.03982350568544</v>
      </c>
      <c r="G31" s="27" t="str">
        <f t="shared" si="9"/>
        <v>+</v>
      </c>
      <c r="H31" s="26">
        <f t="shared" si="10"/>
        <v>10021.99</v>
      </c>
      <c r="I31" s="26">
        <f t="shared" si="11"/>
        <v>10298.204128320951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35.788246081770417</v>
      </c>
      <c r="D32" s="22">
        <f>SUM(D26:D31)</f>
        <v>12977.8</v>
      </c>
      <c r="E32" s="21">
        <f t="shared" si="7"/>
        <v>0.62358792014030706</v>
      </c>
      <c r="F32" s="20">
        <f>I32/D32</f>
        <v>36.774599011239694</v>
      </c>
      <c r="G32" s="19">
        <f>F32/C32-1</f>
        <v>2.7560806618341038E-2</v>
      </c>
      <c r="H32" s="18">
        <f>SUM(H26:H31)</f>
        <v>464452.70000000007</v>
      </c>
      <c r="I32" s="18">
        <f>SUM(I26:I31)</f>
        <v>477253.39104806649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f>1390.6+1250.7</f>
        <v>2641.3</v>
      </c>
      <c r="E34" s="29">
        <f t="shared" ref="E34:E40" si="13">D34/$D$48</f>
        <v>0.12691540734689957</v>
      </c>
      <c r="F34" s="28">
        <f t="shared" ref="F34:F39" si="14">C34-(C34*$E$6)</f>
        <v>21.064996535675995</v>
      </c>
      <c r="G34" s="27" t="str">
        <f t="shared" ref="G34:G39" si="15">IF(C34&gt;=F34,"-","+")</f>
        <v>+</v>
      </c>
      <c r="H34" s="26">
        <f t="shared" ref="H34:H39" si="16">C34*D34</f>
        <v>54146.65</v>
      </c>
      <c r="I34" s="26">
        <f t="shared" ref="I34:I39" si="17">F34*D34</f>
        <v>55638.975349681008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>
        <v>220.2</v>
      </c>
      <c r="E35" s="29">
        <f t="shared" si="13"/>
        <v>1.058068856161257E-2</v>
      </c>
      <c r="F35" s="28">
        <f t="shared" si="14"/>
        <v>16.235460744569792</v>
      </c>
      <c r="G35" s="27" t="str">
        <f t="shared" si="15"/>
        <v>+</v>
      </c>
      <c r="H35" s="26">
        <f t="shared" si="16"/>
        <v>3479.16</v>
      </c>
      <c r="I35" s="26">
        <f t="shared" si="17"/>
        <v>3575.0484559542679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13.050022244052933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34.42328702171443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34.42328702171443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35.656359989656444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20.138322558098899</v>
      </c>
      <c r="D40" s="22">
        <f>SUM(D34:D39)</f>
        <v>2861.5</v>
      </c>
      <c r="E40" s="113">
        <f t="shared" si="13"/>
        <v>0.13749609590851211</v>
      </c>
      <c r="F40" s="20">
        <f>I40/D40</f>
        <v>20.693350971740443</v>
      </c>
      <c r="G40" s="19">
        <f>F40/C40-1</f>
        <v>2.756080661834126E-2</v>
      </c>
      <c r="H40" s="18">
        <f>SUM(H34:H39)</f>
        <v>57625.81</v>
      </c>
      <c r="I40" s="18">
        <f>SUM(I34:I39)</f>
        <v>59214.023805635275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232.2+1511+1967</f>
        <v>3710.2</v>
      </c>
      <c r="E42" s="107">
        <f>D42/$D$48</f>
        <v>0.17827643370252022</v>
      </c>
      <c r="F42" s="28">
        <f>C42-(C42*$E$6)</f>
        <v>0.51378040330917063</v>
      </c>
      <c r="G42" s="27" t="str">
        <f>IF(C42&gt;=F42,"-","+")</f>
        <v>+</v>
      </c>
      <c r="H42" s="26">
        <f>C42*D42</f>
        <v>1855.1</v>
      </c>
      <c r="I42" s="26">
        <f>F42*D42</f>
        <v>1906.2280523576849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126.9</v>
      </c>
      <c r="E43" s="107">
        <f>D43/$D$48</f>
        <v>6.0975902746077896E-3</v>
      </c>
      <c r="F43" s="28">
        <f>C43-(C43*$E$6)</f>
        <v>0.51378040330917063</v>
      </c>
      <c r="G43" s="27" t="str">
        <f>IF(C43&gt;=F43,"-","+")</f>
        <v>+</v>
      </c>
      <c r="H43" s="26">
        <f>C43*D43</f>
        <v>63.45</v>
      </c>
      <c r="I43" s="26">
        <f>F43*D43</f>
        <v>65.198733179933754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22.8</v>
      </c>
      <c r="E44" s="107">
        <f>D44/$D$48</f>
        <v>1.0955481344448984E-3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2.4986185522427506E-4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0.4963778427466301</v>
      </c>
      <c r="D46" s="22">
        <f>SUM(D41:D45)</f>
        <v>3865.1</v>
      </c>
      <c r="E46" s="113">
        <f>D46/$D$48</f>
        <v>0.18571943396679719</v>
      </c>
      <c r="F46" s="20">
        <f>I46/D46</f>
        <v>0.51005841648019934</v>
      </c>
      <c r="G46" s="19">
        <f>F46/C46-1</f>
        <v>2.756080661834126E-2</v>
      </c>
      <c r="H46" s="18">
        <f>SUM(H41:H44)</f>
        <v>1918.55</v>
      </c>
      <c r="I46" s="18">
        <f>SUM(I41:I44)</f>
        <v>1971.4267855376186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107.43906968738517</v>
      </c>
      <c r="D48" s="13">
        <f>D24+D32+D40+D46</f>
        <v>20811.5</v>
      </c>
      <c r="E48" s="12">
        <f>SUM(E20:E46)/2</f>
        <v>1</v>
      </c>
      <c r="F48" s="11">
        <f>I48/D48</f>
        <v>28.660856959806015</v>
      </c>
      <c r="G48" s="10"/>
      <c r="H48" s="9">
        <f>SUM(H20:H46)/2</f>
        <v>580477.01</v>
      </c>
      <c r="I48" s="9">
        <f>SUM(I20:I46)/2</f>
        <v>596475.42461900285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21549.899999999998</v>
      </c>
      <c r="E50" s="12">
        <f>D50/G2</f>
        <v>0.99999999999999978</v>
      </c>
      <c r="F50" s="11">
        <f>I50/D50</f>
        <v>29.000000000000004</v>
      </c>
      <c r="G50" s="10"/>
      <c r="H50" s="9">
        <f>H48+H19</f>
        <v>608185.03</v>
      </c>
      <c r="I50" s="9">
        <f>I48+I19</f>
        <v>624947.1</v>
      </c>
      <c r="J50" s="106">
        <f>D50-G2</f>
        <v>0</v>
      </c>
      <c r="K50" s="8"/>
    </row>
    <row r="51" spans="1:11" ht="23.25" x14ac:dyDescent="0.35">
      <c r="A51" s="174" t="s">
        <v>446</v>
      </c>
      <c r="B51" s="169"/>
      <c r="C51" s="170"/>
      <c r="G51" s="7"/>
      <c r="H51" s="6"/>
      <c r="I51" s="6">
        <f>+I50/D50</f>
        <v>29.000000000000004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441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447</v>
      </c>
      <c r="D2" s="96" t="s">
        <v>3</v>
      </c>
      <c r="E2" s="95" t="s">
        <v>433</v>
      </c>
      <c r="F2" s="94" t="s">
        <v>5</v>
      </c>
      <c r="G2" s="93">
        <v>1975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28</v>
      </c>
      <c r="F3" s="88" t="s">
        <v>8</v>
      </c>
      <c r="G3" s="87">
        <v>27.5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70.535714285714292</v>
      </c>
      <c r="F4" s="81" t="s">
        <v>12</v>
      </c>
      <c r="G4" s="80">
        <f>G2*G3</f>
        <v>54312.5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-5.6862871008731108E-2</v>
      </c>
      <c r="F6" s="69" t="s">
        <v>16</v>
      </c>
      <c r="G6" s="68">
        <f>(I50-I19)/(D50-(SUM(D42:D44)+D19))</f>
        <v>34.232005546451532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30"/>
      <c r="E10" s="29" t="e">
        <f t="shared" ref="E10:E19" si="1">D10/$D$19</f>
        <v>#DIV/0!</v>
      </c>
      <c r="F10" s="28">
        <f t="shared" ref="F10:F18" si="2">C10-(C10*$E$6)</f>
        <v>29.063728952740107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28.6</v>
      </c>
      <c r="D11" s="30"/>
      <c r="E11" s="29" t="e">
        <f t="shared" si="1"/>
        <v>#DIV/0!</v>
      </c>
      <c r="F11" s="28">
        <f t="shared" si="2"/>
        <v>30.226278110849712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26.2</v>
      </c>
      <c r="D12" s="30"/>
      <c r="E12" s="29" t="e">
        <f t="shared" si="1"/>
        <v>#DIV/0!</v>
      </c>
      <c r="F12" s="28">
        <f t="shared" si="2"/>
        <v>27.689807220428754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28.6</v>
      </c>
      <c r="D13" s="30"/>
      <c r="E13" s="29" t="e">
        <f t="shared" si="1"/>
        <v>#DIV/0!</v>
      </c>
      <c r="F13" s="28">
        <f t="shared" si="2"/>
        <v>30.226278110849712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</v>
      </c>
      <c r="D14" s="30"/>
      <c r="E14" s="29" t="e">
        <f t="shared" si="1"/>
        <v>#DIV/0!</v>
      </c>
      <c r="F14" s="28">
        <f t="shared" si="2"/>
        <v>33.819611872279395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26.4</v>
      </c>
      <c r="D15" s="30"/>
      <c r="E15" s="29" t="e">
        <f t="shared" si="1"/>
        <v>#DIV/0!</v>
      </c>
      <c r="F15" s="28">
        <f t="shared" si="2"/>
        <v>27.901179794630501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36.1</v>
      </c>
      <c r="D16" s="30"/>
      <c r="E16" s="29" t="e">
        <f t="shared" si="1"/>
        <v>#DIV/0!</v>
      </c>
      <c r="F16" s="28">
        <f t="shared" si="2"/>
        <v>38.152749643415191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30"/>
      <c r="E17" s="29" t="e">
        <f t="shared" si="1"/>
        <v>#DIV/0!</v>
      </c>
      <c r="F17" s="28">
        <f t="shared" si="2"/>
        <v>56.225104737664495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30"/>
      <c r="E18" s="29" t="e">
        <f t="shared" si="1"/>
        <v>#DIV/0!</v>
      </c>
      <c r="F18" s="28">
        <f t="shared" si="2"/>
        <v>49.249809789006875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30">
        <v>27.5</v>
      </c>
      <c r="E21" s="29">
        <f>D21/$D$48</f>
        <v>1.3924050632911395E-2</v>
      </c>
      <c r="F21" s="28">
        <f>C21-(C21*$E$6)</f>
        <v>73.1349106738042</v>
      </c>
      <c r="G21" s="27" t="str">
        <f>IF(C21&gt;=F21,"-","+")</f>
        <v>+</v>
      </c>
      <c r="H21" s="26">
        <f>C21*D21</f>
        <v>1903</v>
      </c>
      <c r="I21" s="26">
        <f>F21*D21</f>
        <v>2011.2100435296154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46.4</v>
      </c>
      <c r="D22" s="30">
        <v>52.9</v>
      </c>
      <c r="E22" s="29">
        <f>D22/$D$48</f>
        <v>2.6784810126582285E-2</v>
      </c>
      <c r="F22" s="28">
        <f>C22-(C22*$E$6)</f>
        <v>49.038437214805121</v>
      </c>
      <c r="G22" s="27" t="str">
        <f>IF(C22&gt;=F22,"-","+")</f>
        <v>+</v>
      </c>
      <c r="H22" s="26">
        <f>C22*D22</f>
        <v>2454.56</v>
      </c>
      <c r="I22" s="26">
        <f>F22*D22</f>
        <v>2594.1333286631907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30">
        <v>47.2</v>
      </c>
      <c r="E23" s="29">
        <f>D23/$D$48</f>
        <v>2.3898734177215195E-2</v>
      </c>
      <c r="F23" s="28">
        <f>C23-(C23*$E$6)</f>
        <v>44.810985730770199</v>
      </c>
      <c r="G23" s="27" t="str">
        <f>IF(C23&gt;=F23,"-","+")</f>
        <v>+</v>
      </c>
      <c r="H23" s="26">
        <f>C23*D23</f>
        <v>2001.28</v>
      </c>
      <c r="I23" s="26">
        <f>F23*D23</f>
        <v>2115.0785264923534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49.834169278996853</v>
      </c>
      <c r="D24" s="22">
        <f>SUM(D21:D23)</f>
        <v>127.60000000000001</v>
      </c>
      <c r="E24" s="21">
        <f>D24/$D$48</f>
        <v>6.4607594936708881E-2</v>
      </c>
      <c r="F24" s="20">
        <f>I24/D24</f>
        <v>52.667883218535728</v>
      </c>
      <c r="G24" s="19">
        <f>F24/C24-1</f>
        <v>5.686287100873133E-2</v>
      </c>
      <c r="H24" s="18">
        <f>SUM(H21:H23)</f>
        <v>6358.8399999999992</v>
      </c>
      <c r="I24" s="18">
        <f>SUM(I21:I23)</f>
        <v>6720.4218986851592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30">
        <v>358.7</v>
      </c>
      <c r="E26" s="29">
        <f t="shared" ref="E26:E32" si="7">D26/$D$48</f>
        <v>0.18162025316455699</v>
      </c>
      <c r="F26" s="28">
        <f t="shared" ref="F26:F31" si="8">C26-(C26*$E$6)</f>
        <v>38.998239940222177</v>
      </c>
      <c r="G26" s="27" t="str">
        <f t="shared" ref="G26:G31" si="9">IF(C26&gt;=F26,"-","+")</f>
        <v>+</v>
      </c>
      <c r="H26" s="26">
        <f t="shared" ref="H26:H31" si="10">C26*D26</f>
        <v>13236.029999999999</v>
      </c>
      <c r="I26" s="26">
        <f t="shared" ref="I26:I31" si="11">F26*D26</f>
        <v>13988.668666557694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30">
        <v>294.2</v>
      </c>
      <c r="E27" s="29">
        <f t="shared" si="7"/>
        <v>0.14896202531645572</v>
      </c>
      <c r="F27" s="28">
        <f t="shared" si="8"/>
        <v>34.770788456187255</v>
      </c>
      <c r="G27" s="27" t="str">
        <f t="shared" si="9"/>
        <v>+</v>
      </c>
      <c r="H27" s="26">
        <f t="shared" si="10"/>
        <v>9679.1799999999985</v>
      </c>
      <c r="I27" s="26">
        <f t="shared" si="11"/>
        <v>10229.56596381029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30">
        <v>195.2</v>
      </c>
      <c r="E28" s="29">
        <f t="shared" si="7"/>
        <v>9.8835443037974702E-2</v>
      </c>
      <c r="F28" s="28">
        <f t="shared" si="8"/>
        <v>34.770788456187255</v>
      </c>
      <c r="G28" s="27" t="str">
        <f t="shared" si="9"/>
        <v>+</v>
      </c>
      <c r="H28" s="26">
        <f t="shared" si="10"/>
        <v>6422.079999999999</v>
      </c>
      <c r="I28" s="26">
        <f t="shared" si="11"/>
        <v>6787.257906647752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30">
        <v>175.9</v>
      </c>
      <c r="E29" s="29">
        <f t="shared" si="7"/>
        <v>8.9063291139240525E-2</v>
      </c>
      <c r="F29" s="28">
        <f t="shared" si="8"/>
        <v>33.608239298077649</v>
      </c>
      <c r="G29" s="27" t="str">
        <f t="shared" si="9"/>
        <v>+</v>
      </c>
      <c r="H29" s="26">
        <f t="shared" si="10"/>
        <v>5593.62</v>
      </c>
      <c r="I29" s="26">
        <f t="shared" si="11"/>
        <v>5911.6892925318589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30">
        <v>97.6</v>
      </c>
      <c r="E30" s="29">
        <f t="shared" si="7"/>
        <v>4.9417721518987351E-2</v>
      </c>
      <c r="F30" s="28">
        <f t="shared" si="8"/>
        <v>33.608239298077649</v>
      </c>
      <c r="G30" s="27" t="str">
        <f t="shared" si="9"/>
        <v>+</v>
      </c>
      <c r="H30" s="26">
        <f t="shared" si="10"/>
        <v>3103.68</v>
      </c>
      <c r="I30" s="26">
        <f t="shared" si="11"/>
        <v>3280.1641554923785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30">
        <v>39.1</v>
      </c>
      <c r="E31" s="29">
        <f t="shared" si="7"/>
        <v>1.9797468354430386E-2</v>
      </c>
      <c r="F31" s="28">
        <f t="shared" si="8"/>
        <v>34.136670733582015</v>
      </c>
      <c r="G31" s="27" t="str">
        <f t="shared" si="9"/>
        <v>+</v>
      </c>
      <c r="H31" s="26">
        <f t="shared" si="10"/>
        <v>1262.9299999999998</v>
      </c>
      <c r="I31" s="26">
        <f t="shared" si="11"/>
        <v>1334.7438256830569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33.85674162143534</v>
      </c>
      <c r="D32" s="22">
        <f>SUM(D26:D31)</f>
        <v>1160.6999999999998</v>
      </c>
      <c r="E32" s="21">
        <f t="shared" si="7"/>
        <v>0.58769620253164556</v>
      </c>
      <c r="F32" s="20">
        <f>I32/D32</f>
        <v>35.781933153030963</v>
      </c>
      <c r="G32" s="19">
        <f>F32/C32-1</f>
        <v>5.686287100873133E-2</v>
      </c>
      <c r="H32" s="18">
        <f>SUM(H26:H31)</f>
        <v>39297.519999999997</v>
      </c>
      <c r="I32" s="18">
        <f>SUM(I26:I31)</f>
        <v>41532.089810723031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f>119.6+146.2</f>
        <v>265.79999999999995</v>
      </c>
      <c r="E34" s="29">
        <f t="shared" ref="E34:E40" si="13">D34/$D$48</f>
        <v>0.13458227848101267</v>
      </c>
      <c r="F34" s="28">
        <f t="shared" ref="F34:F39" si="14">C34-(C34*$E$6)</f>
        <v>20.503139697569381</v>
      </c>
      <c r="G34" s="27" t="str">
        <f t="shared" ref="G34:G39" si="15">IF(C34&gt;=F34,"-","+")</f>
        <v>+</v>
      </c>
      <c r="H34" s="26">
        <f t="shared" ref="H34:H39" si="16">C34*D34</f>
        <v>5156.5199999999986</v>
      </c>
      <c r="I34" s="26">
        <f t="shared" ref="I34:I39" si="17">F34*D34</f>
        <v>5449.7345316139408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>
        <v>25.8</v>
      </c>
      <c r="E35" s="29">
        <f t="shared" si="13"/>
        <v>1.3063291139240509E-2</v>
      </c>
      <c r="F35" s="28">
        <f t="shared" si="14"/>
        <v>15.747256778030094</v>
      </c>
      <c r="G35" s="27" t="str">
        <f t="shared" si="15"/>
        <v>+</v>
      </c>
      <c r="H35" s="26">
        <f t="shared" si="16"/>
        <v>384.42</v>
      </c>
      <c r="I35" s="26">
        <f t="shared" si="17"/>
        <v>406.27922487317642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12.682354452104773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30"/>
      <c r="E37" s="29">
        <f t="shared" si="13"/>
        <v>0</v>
      </c>
      <c r="F37" s="28">
        <f t="shared" si="14"/>
        <v>33.608239298077649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30"/>
      <c r="E38" s="29">
        <f t="shared" si="13"/>
        <v>0</v>
      </c>
      <c r="F38" s="28">
        <f t="shared" si="14"/>
        <v>33.608239298077649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30"/>
      <c r="E39" s="29">
        <f t="shared" si="13"/>
        <v>0</v>
      </c>
      <c r="F39" s="28">
        <f t="shared" si="14"/>
        <v>34.770788456187255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19.00185185185185</v>
      </c>
      <c r="D40" s="22">
        <f>SUM(D34:D39)</f>
        <v>291.59999999999997</v>
      </c>
      <c r="E40" s="113">
        <f t="shared" si="13"/>
        <v>0.14764556962025319</v>
      </c>
      <c r="F40" s="20">
        <f>I40/D40</f>
        <v>20.082351702630721</v>
      </c>
      <c r="G40" s="19">
        <f>F40/C40-1</f>
        <v>5.6862871008731108E-2</v>
      </c>
      <c r="H40" s="18">
        <f>SUM(H34:H39)</f>
        <v>5540.9399999999987</v>
      </c>
      <c r="I40" s="18">
        <f>SUM(I34:I39)</f>
        <v>5856.0137564871175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167+23.2+183.1</f>
        <v>373.29999999999995</v>
      </c>
      <c r="E42" s="107">
        <f>D42/$D$48</f>
        <v>0.18901265822784813</v>
      </c>
      <c r="F42" s="28">
        <f>C42-(C42*$E$6)</f>
        <v>0.52843143550436555</v>
      </c>
      <c r="G42" s="27" t="str">
        <f>IF(C42&gt;=F42,"-","+")</f>
        <v>+</v>
      </c>
      <c r="H42" s="26">
        <f>C42*D42</f>
        <v>186.64999999999998</v>
      </c>
      <c r="I42" s="26">
        <f>F42*D42</f>
        <v>197.26345487377964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12.7</v>
      </c>
      <c r="E43" s="107">
        <f>D43/$D$48</f>
        <v>6.4303797468354441E-3</v>
      </c>
      <c r="F43" s="28">
        <f>C43-(C43*$E$6)</f>
        <v>0.52843143550436555</v>
      </c>
      <c r="G43" s="27" t="str">
        <f>IF(C43&gt;=F43,"-","+")</f>
        <v>+</v>
      </c>
      <c r="H43" s="26">
        <f>C43*D43</f>
        <v>6.35</v>
      </c>
      <c r="I43" s="26">
        <f>F43*D43</f>
        <v>6.7110792309054421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2.4</v>
      </c>
      <c r="E44" s="107">
        <f>D44/$D$48</f>
        <v>1.2151898734177218E-3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6.7</v>
      </c>
      <c r="E45" s="107">
        <f>D45/$D$48</f>
        <v>3.3924050632911399E-3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0.48848392811946345</v>
      </c>
      <c r="D46" s="22">
        <f>SUM(D41:D45)</f>
        <v>395.09999999999991</v>
      </c>
      <c r="E46" s="113">
        <f>D46/$D$48</f>
        <v>0.20005063291139241</v>
      </c>
      <c r="F46" s="20">
        <f>I46/D46</f>
        <v>0.51626052671395883</v>
      </c>
      <c r="G46" s="19">
        <f>F46/C46-1</f>
        <v>5.6862871008731108E-2</v>
      </c>
      <c r="H46" s="18">
        <f>SUM(H41:H44)</f>
        <v>192.99999999999997</v>
      </c>
      <c r="I46" s="18">
        <f>SUM(I41:I44)</f>
        <v>203.97453410468509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103.1812466804035</v>
      </c>
      <c r="D48" s="13">
        <f>D24+D32+D40+D46</f>
        <v>1974.9999999999995</v>
      </c>
      <c r="E48" s="12">
        <f>SUM(E20:E46)/2</f>
        <v>1.0000000000000002</v>
      </c>
      <c r="F48" s="11">
        <f>I48/D48</f>
        <v>27.500000000000004</v>
      </c>
      <c r="G48" s="10"/>
      <c r="H48" s="9">
        <f>SUM(H20:H46)/2</f>
        <v>51390.3</v>
      </c>
      <c r="I48" s="9">
        <f>SUM(I20:I46)/2</f>
        <v>54312.499999999993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1974.9999999999995</v>
      </c>
      <c r="E50" s="12">
        <f>D50/G2</f>
        <v>0.99999999999999978</v>
      </c>
      <c r="F50" s="11">
        <f>I50/D50</f>
        <v>27.500000000000004</v>
      </c>
      <c r="G50" s="10"/>
      <c r="H50" s="9">
        <f>H48+H19</f>
        <v>51390.3</v>
      </c>
      <c r="I50" s="9">
        <f>I48+I19</f>
        <v>54312.499999999993</v>
      </c>
      <c r="J50" s="106">
        <f>D50-G2</f>
        <v>0</v>
      </c>
      <c r="K50" s="8"/>
    </row>
    <row r="51" spans="1:11" ht="23.25" x14ac:dyDescent="0.35">
      <c r="A51" s="174" t="s">
        <v>448</v>
      </c>
      <c r="B51" s="169"/>
      <c r="C51" s="170"/>
      <c r="G51" s="7"/>
      <c r="H51" s="6"/>
      <c r="I51" s="6">
        <f>+I50/D50</f>
        <v>27.500000000000004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441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447</v>
      </c>
      <c r="D2" s="96" t="s">
        <v>3</v>
      </c>
      <c r="E2" s="95" t="s">
        <v>362</v>
      </c>
      <c r="F2" s="94" t="s">
        <v>5</v>
      </c>
      <c r="G2" s="93">
        <v>16251.8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224</v>
      </c>
      <c r="F3" s="88" t="s">
        <v>8</v>
      </c>
      <c r="G3" s="87">
        <v>29.35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72.552678571428572</v>
      </c>
      <c r="F4" s="81" t="s">
        <v>12</v>
      </c>
      <c r="G4" s="80">
        <f>G2*G3</f>
        <v>476990.33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-1.87211055380887E-3</v>
      </c>
      <c r="F6" s="69" t="s">
        <v>16</v>
      </c>
      <c r="G6" s="68">
        <f>(I50-I19)/(D50-(SUM(D42:D44)+D19))</f>
        <v>34.696804782373704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29.4</v>
      </c>
      <c r="D10" s="30"/>
      <c r="E10" s="29">
        <f t="shared" ref="E10:E19" si="1">D10/$D$19</f>
        <v>0</v>
      </c>
      <c r="F10" s="28">
        <f t="shared" ref="F10:F18" si="2">C10-(C10*$E$6)</f>
        <v>29.45504005028198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30.6</v>
      </c>
      <c r="D11" s="30"/>
      <c r="E11" s="29">
        <f t="shared" si="1"/>
        <v>0</v>
      </c>
      <c r="F11" s="28">
        <f t="shared" si="2"/>
        <v>30.657286582946554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27.9</v>
      </c>
      <c r="D12" s="30">
        <v>493.3</v>
      </c>
      <c r="E12" s="29">
        <f t="shared" si="1"/>
        <v>0.68390406211007904</v>
      </c>
      <c r="F12" s="28">
        <f t="shared" si="2"/>
        <v>27.952231884451265</v>
      </c>
      <c r="G12" s="27" t="str">
        <f t="shared" si="3"/>
        <v>+</v>
      </c>
      <c r="H12" s="34">
        <f t="shared" si="4"/>
        <v>13763.07</v>
      </c>
      <c r="I12" s="34">
        <f t="shared" si="5"/>
        <v>13788.835988599809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30.6</v>
      </c>
      <c r="D13" s="30"/>
      <c r="E13" s="29">
        <f t="shared" si="1"/>
        <v>0</v>
      </c>
      <c r="F13" s="28">
        <f t="shared" si="2"/>
        <v>30.657286582946554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34.200000000000003</v>
      </c>
      <c r="D14" s="30"/>
      <c r="E14" s="29">
        <f t="shared" si="1"/>
        <v>0</v>
      </c>
      <c r="F14" s="28">
        <f t="shared" si="2"/>
        <v>34.264026180940263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28.2</v>
      </c>
      <c r="D15" s="30">
        <v>173</v>
      </c>
      <c r="E15" s="29">
        <f t="shared" si="1"/>
        <v>0.23984472480244004</v>
      </c>
      <c r="F15" s="28">
        <f t="shared" si="2"/>
        <v>28.252793517617409</v>
      </c>
      <c r="G15" s="27" t="str">
        <f t="shared" si="3"/>
        <v>+</v>
      </c>
      <c r="H15" s="34">
        <f t="shared" si="4"/>
        <v>4878.5999999999995</v>
      </c>
      <c r="I15" s="34">
        <f t="shared" si="5"/>
        <v>4887.733278547812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38.6</v>
      </c>
      <c r="D16" s="30"/>
      <c r="E16" s="29">
        <f t="shared" si="1"/>
        <v>0</v>
      </c>
      <c r="F16" s="28">
        <f t="shared" si="2"/>
        <v>38.672263467377022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56.8</v>
      </c>
      <c r="D17" s="30">
        <v>55</v>
      </c>
      <c r="E17" s="29">
        <f t="shared" si="1"/>
        <v>7.6251213087480937E-2</v>
      </c>
      <c r="F17" s="28">
        <f t="shared" si="2"/>
        <v>56.906335879456343</v>
      </c>
      <c r="G17" s="27" t="str">
        <f t="shared" si="3"/>
        <v>+</v>
      </c>
      <c r="H17" s="34">
        <f t="shared" si="4"/>
        <v>3124</v>
      </c>
      <c r="I17" s="34">
        <f t="shared" si="5"/>
        <v>3129.8484733700989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49.7</v>
      </c>
      <c r="D18" s="30"/>
      <c r="E18" s="29">
        <f t="shared" si="1"/>
        <v>0</v>
      </c>
      <c r="F18" s="28">
        <f t="shared" si="2"/>
        <v>49.793043894524303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30.175613475668932</v>
      </c>
      <c r="D19" s="49">
        <f>SUM(D10:D18)</f>
        <v>721.3</v>
      </c>
      <c r="E19" s="48">
        <f t="shared" si="1"/>
        <v>1</v>
      </c>
      <c r="F19" s="47">
        <f>I19/D19</f>
        <v>30.232105560124385</v>
      </c>
      <c r="G19" s="46">
        <f>F19/C19-1</f>
        <v>1.872110553808648E-3</v>
      </c>
      <c r="H19" s="9">
        <f>SUM(H10:H18)</f>
        <v>21765.67</v>
      </c>
      <c r="I19" s="9">
        <f>SUM(I10:I18)</f>
        <v>21806.417740517718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73.8</v>
      </c>
      <c r="D21" s="30">
        <v>193.2</v>
      </c>
      <c r="E21" s="29">
        <f>D21/$D$48</f>
        <v>1.2440037345867808E-2</v>
      </c>
      <c r="F21" s="28">
        <f>C21-(C21*$E$6)</f>
        <v>73.93816175887109</v>
      </c>
      <c r="G21" s="27" t="str">
        <f>IF(C21&gt;=F21,"-","+")</f>
        <v>+</v>
      </c>
      <c r="H21" s="26">
        <f>C21*D21</f>
        <v>14258.159999999998</v>
      </c>
      <c r="I21" s="26">
        <f>F21*D21</f>
        <v>14284.852851813894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49.6</v>
      </c>
      <c r="D22" s="30">
        <v>475.5</v>
      </c>
      <c r="E22" s="29">
        <f>D22/$D$48</f>
        <v>3.0617172660249187E-2</v>
      </c>
      <c r="F22" s="28">
        <f>C22-(C22*$E$6)</f>
        <v>49.692856683468918</v>
      </c>
      <c r="G22" s="27" t="str">
        <f>IF(C22&gt;=F22,"-","+")</f>
        <v>+</v>
      </c>
      <c r="H22" s="26">
        <f>C22*D22</f>
        <v>23584.799999999999</v>
      </c>
      <c r="I22" s="26">
        <f>F22*D22</f>
        <v>23628.953352989469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45.2</v>
      </c>
      <c r="D23" s="30">
        <v>414.1</v>
      </c>
      <c r="E23" s="29">
        <f>D23/$D$48</f>
        <v>2.6663661826728052E-2</v>
      </c>
      <c r="F23" s="28">
        <f>C23-(C23*$E$6)</f>
        <v>45.284619397032166</v>
      </c>
      <c r="G23" s="27" t="str">
        <f>IF(C23&gt;=F23,"-","+")</f>
        <v>+</v>
      </c>
      <c r="H23" s="26">
        <f>C23*D23</f>
        <v>18717.320000000003</v>
      </c>
      <c r="I23" s="26">
        <f>F23*D23</f>
        <v>18752.360892311022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52.235205024011812</v>
      </c>
      <c r="D24" s="22">
        <f>SUM(D21:D23)</f>
        <v>1082.8000000000002</v>
      </c>
      <c r="E24" s="21">
        <f>D24/$D$48</f>
        <v>6.9720871832845061E-2</v>
      </c>
      <c r="F24" s="20">
        <f>I24/D24</f>
        <v>52.33299510261763</v>
      </c>
      <c r="G24" s="19">
        <f>F24/C24-1</f>
        <v>1.87211055380887E-3</v>
      </c>
      <c r="H24" s="18">
        <f>SUM(H21:H23)</f>
        <v>56560.28</v>
      </c>
      <c r="I24" s="18">
        <f>SUM(I21:I23)</f>
        <v>56666.167097114383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39.4</v>
      </c>
      <c r="D26" s="30">
        <f>547.3+144+2315.8</f>
        <v>3007.1000000000004</v>
      </c>
      <c r="E26" s="29">
        <f t="shared" ref="E26:E32" si="7">D26/$D$48</f>
        <v>0.1936254467016516</v>
      </c>
      <c r="F26" s="28">
        <f t="shared" ref="F26:F31" si="8">C26-(C26*$E$6)</f>
        <v>39.473761155820071</v>
      </c>
      <c r="G26" s="27" t="str">
        <f t="shared" ref="G26:G31" si="9">IF(C26&gt;=F26,"-","+")</f>
        <v>+</v>
      </c>
      <c r="H26" s="26">
        <f t="shared" ref="H26:H31" si="10">C26*D26</f>
        <v>118479.74</v>
      </c>
      <c r="I26" s="26">
        <f t="shared" ref="I26:I31" si="11">F26*D26</f>
        <v>118701.54717166655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35.1</v>
      </c>
      <c r="D27" s="30">
        <v>2404.3000000000002</v>
      </c>
      <c r="E27" s="29">
        <f t="shared" si="7"/>
        <v>0.15481149995170795</v>
      </c>
      <c r="F27" s="28">
        <f t="shared" si="8"/>
        <v>35.16571108043869</v>
      </c>
      <c r="G27" s="27" t="str">
        <f t="shared" si="9"/>
        <v>+</v>
      </c>
      <c r="H27" s="26">
        <f t="shared" si="10"/>
        <v>84390.930000000008</v>
      </c>
      <c r="I27" s="26">
        <f t="shared" si="11"/>
        <v>84548.919150698755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35.1</v>
      </c>
      <c r="D28" s="30">
        <v>1556.5</v>
      </c>
      <c r="E28" s="29">
        <f t="shared" si="7"/>
        <v>0.10022214352403336</v>
      </c>
      <c r="F28" s="28">
        <f t="shared" si="8"/>
        <v>35.16571108043869</v>
      </c>
      <c r="G28" s="27" t="str">
        <f t="shared" si="9"/>
        <v>+</v>
      </c>
      <c r="H28" s="26">
        <f t="shared" si="10"/>
        <v>54633.15</v>
      </c>
      <c r="I28" s="26">
        <f t="shared" si="11"/>
        <v>54735.429296702823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33.9</v>
      </c>
      <c r="D29" s="30">
        <v>1376.6</v>
      </c>
      <c r="E29" s="29">
        <f t="shared" si="7"/>
        <v>8.8638485560670929E-2</v>
      </c>
      <c r="F29" s="28">
        <f t="shared" si="8"/>
        <v>33.963464547774116</v>
      </c>
      <c r="G29" s="27" t="str">
        <f t="shared" si="9"/>
        <v>+</v>
      </c>
      <c r="H29" s="26">
        <f t="shared" si="10"/>
        <v>46666.74</v>
      </c>
      <c r="I29" s="26">
        <f t="shared" si="11"/>
        <v>46754.105296465845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33.9</v>
      </c>
      <c r="D30" s="30">
        <v>1028.5999999999999</v>
      </c>
      <c r="E30" s="29">
        <f t="shared" si="7"/>
        <v>6.6230964875567427E-2</v>
      </c>
      <c r="F30" s="28">
        <f t="shared" si="8"/>
        <v>33.963464547774116</v>
      </c>
      <c r="G30" s="27" t="str">
        <f t="shared" si="9"/>
        <v>+</v>
      </c>
      <c r="H30" s="26">
        <f t="shared" si="10"/>
        <v>34869.539999999994</v>
      </c>
      <c r="I30" s="26">
        <f t="shared" si="11"/>
        <v>34934.819633840452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34.5</v>
      </c>
      <c r="D31" s="30">
        <v>222.8</v>
      </c>
      <c r="E31" s="29">
        <f t="shared" si="7"/>
        <v>1.4345964392646729E-2</v>
      </c>
      <c r="F31" s="28">
        <f t="shared" si="8"/>
        <v>34.564587814106403</v>
      </c>
      <c r="G31" s="27" t="str">
        <f t="shared" si="9"/>
        <v>+</v>
      </c>
      <c r="H31" s="26">
        <f t="shared" si="10"/>
        <v>7686.6</v>
      </c>
      <c r="I31" s="26">
        <f t="shared" si="11"/>
        <v>7700.9901649829071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36.132796298419116</v>
      </c>
      <c r="D32" s="22">
        <f>SUM(D26:D31)</f>
        <v>9595.9</v>
      </c>
      <c r="E32" s="21">
        <f t="shared" si="7"/>
        <v>0.61787450500627794</v>
      </c>
      <c r="F32" s="20">
        <f>I32/D32</f>
        <v>36.200440887708019</v>
      </c>
      <c r="G32" s="19">
        <f>F32/C32-1</f>
        <v>1.8721105538090921E-3</v>
      </c>
      <c r="H32" s="18">
        <f>SUM(H26:H31)</f>
        <v>346726.69999999995</v>
      </c>
      <c r="I32" s="18">
        <f>SUM(I26:I31)</f>
        <v>347375.81071435736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2322.6</v>
      </c>
      <c r="E34" s="29">
        <f t="shared" ref="E34:E40" si="13">D34/$D$48</f>
        <v>0.14955088374488909</v>
      </c>
      <c r="F34" s="28">
        <f t="shared" ref="F34:F39" si="14">C34-(C34*$E$6)</f>
        <v>20.738752688463844</v>
      </c>
      <c r="G34" s="27" t="str">
        <f t="shared" ref="G34:G39" si="15">IF(C34&gt;=F34,"-","+")</f>
        <v>+</v>
      </c>
      <c r="H34" s="26">
        <f t="shared" ref="H34:H39" si="16">C34*D34</f>
        <v>48077.82</v>
      </c>
      <c r="I34" s="26">
        <f t="shared" ref="I34:I39" si="17">F34*D34</f>
        <v>48167.826994226125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>
        <v>110.8</v>
      </c>
      <c r="E35" s="29">
        <f t="shared" si="13"/>
        <v>7.1343485399697369E-3</v>
      </c>
      <c r="F35" s="28">
        <f t="shared" si="14"/>
        <v>16.029953768860942</v>
      </c>
      <c r="G35" s="27" t="str">
        <f t="shared" si="15"/>
        <v>+</v>
      </c>
      <c r="H35" s="26">
        <f t="shared" si="16"/>
        <v>1772.8</v>
      </c>
      <c r="I35" s="26">
        <f t="shared" si="17"/>
        <v>1776.1188775897924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12.823963015088754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33.9</v>
      </c>
      <c r="D37" s="30"/>
      <c r="E37" s="29">
        <f t="shared" si="13"/>
        <v>0</v>
      </c>
      <c r="F37" s="28">
        <f t="shared" si="14"/>
        <v>33.963464547774116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33.9</v>
      </c>
      <c r="D38" s="30"/>
      <c r="E38" s="29">
        <f t="shared" si="13"/>
        <v>0</v>
      </c>
      <c r="F38" s="28">
        <f t="shared" si="14"/>
        <v>33.963464547774116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35.1</v>
      </c>
      <c r="D39" s="30"/>
      <c r="E39" s="29">
        <f t="shared" si="13"/>
        <v>0</v>
      </c>
      <c r="F39" s="28">
        <f t="shared" si="14"/>
        <v>35.16571108043869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20.4859949042492</v>
      </c>
      <c r="D40" s="22">
        <f>SUM(D34:D39)</f>
        <v>2433.4</v>
      </c>
      <c r="E40" s="113">
        <f t="shared" si="13"/>
        <v>0.15668523228485884</v>
      </c>
      <c r="F40" s="20">
        <f>I40/D40</f>
        <v>20.524346951514719</v>
      </c>
      <c r="G40" s="19">
        <f>F40/C40-1</f>
        <v>1.87211055380887E-3</v>
      </c>
      <c r="H40" s="18">
        <f>SUM(H34:H39)</f>
        <v>49850.62</v>
      </c>
      <c r="I40" s="18">
        <f>SUM(I34:I39)</f>
        <v>49943.945871815915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2284</v>
      </c>
      <c r="E42" s="107">
        <f>D42/$D$48</f>
        <v>0.14706545185280576</v>
      </c>
      <c r="F42" s="28">
        <f>C42-(C42*$E$6)</f>
        <v>0.50093605527690444</v>
      </c>
      <c r="G42" s="27" t="str">
        <f>IF(C42&gt;=F42,"-","+")</f>
        <v>+</v>
      </c>
      <c r="H42" s="26">
        <f>C42*D42</f>
        <v>1142</v>
      </c>
      <c r="I42" s="26">
        <f>F42*D42</f>
        <v>1144.1379502524496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107.5</v>
      </c>
      <c r="E43" s="107">
        <f>D43/$D$48</f>
        <v>6.9218634300247895E-3</v>
      </c>
      <c r="F43" s="28">
        <f>C43-(C43*$E$6)</f>
        <v>0.50093605527690444</v>
      </c>
      <c r="G43" s="27" t="str">
        <f>IF(C43&gt;=F43,"-","+")</f>
        <v>+</v>
      </c>
      <c r="H43" s="26">
        <f>C43*D43</f>
        <v>53.75</v>
      </c>
      <c r="I43" s="26">
        <f>F43*D43</f>
        <v>53.850625942267229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20.100000000000001</v>
      </c>
      <c r="E44" s="107">
        <f>D44/$D$48</f>
        <v>1.2942274878464956E-3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6.8</v>
      </c>
      <c r="E45" s="107">
        <f>D45/$D$48</f>
        <v>4.3784810534110299E-4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0.49443847171683758</v>
      </c>
      <c r="D46" s="22">
        <f>SUM(D41:D45)</f>
        <v>2418.4</v>
      </c>
      <c r="E46" s="113">
        <f>D46/$D$48</f>
        <v>0.15571939087601816</v>
      </c>
      <c r="F46" s="20">
        <f>I46/D46</f>
        <v>0.49536411519794776</v>
      </c>
      <c r="G46" s="19">
        <f>F46/C46-1</f>
        <v>1.87211055380887E-3</v>
      </c>
      <c r="H46" s="18">
        <f>SUM(H41:H44)</f>
        <v>1195.75</v>
      </c>
      <c r="I46" s="18">
        <f>SUM(I41:I44)</f>
        <v>1197.9885761947169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109.34843469839696</v>
      </c>
      <c r="D48" s="13">
        <f>D24+D32+D40+D46</f>
        <v>15530.5</v>
      </c>
      <c r="E48" s="12">
        <f>SUM(E20:E46)/2</f>
        <v>1</v>
      </c>
      <c r="F48" s="11">
        <f>I48/D48</f>
        <v>29.309031406553707</v>
      </c>
      <c r="G48" s="10"/>
      <c r="H48" s="9">
        <f>SUM(H20:H46)/2</f>
        <v>454333.35</v>
      </c>
      <c r="I48" s="9">
        <f>SUM(I20:I46)/2</f>
        <v>455183.91225948237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16251.8</v>
      </c>
      <c r="E50" s="12">
        <f>D50/G2</f>
        <v>1</v>
      </c>
      <c r="F50" s="11">
        <f>I50/D50</f>
        <v>29.350000000000005</v>
      </c>
      <c r="G50" s="10"/>
      <c r="H50" s="9">
        <f>H48+H19</f>
        <v>476099.01999999996</v>
      </c>
      <c r="I50" s="9">
        <f>I48+I19</f>
        <v>476990.33000000007</v>
      </c>
      <c r="J50" s="106">
        <f>D50-G2</f>
        <v>0</v>
      </c>
      <c r="K50" s="8"/>
    </row>
    <row r="51" spans="1:11" ht="23.25" x14ac:dyDescent="0.35">
      <c r="A51" s="174" t="s">
        <v>449</v>
      </c>
      <c r="B51" s="169"/>
      <c r="C51" s="170"/>
      <c r="G51" s="7"/>
      <c r="H51" s="6"/>
      <c r="I51" s="6">
        <f>+I50/D50</f>
        <v>29.350000000000005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441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447</v>
      </c>
      <c r="D2" s="96" t="s">
        <v>3</v>
      </c>
      <c r="E2" s="95" t="s">
        <v>112</v>
      </c>
      <c r="F2" s="94" t="s">
        <v>5</v>
      </c>
      <c r="G2" s="93">
        <v>1491.8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28</v>
      </c>
      <c r="F3" s="88" t="s">
        <v>8</v>
      </c>
      <c r="G3" s="87">
        <v>25.24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53.278571428571425</v>
      </c>
      <c r="F4" s="81" t="s">
        <v>12</v>
      </c>
      <c r="G4" s="80">
        <f>G2*G3</f>
        <v>37653.031999999999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-8.4929511192891383E-2</v>
      </c>
      <c r="F6" s="69" t="s">
        <v>16</v>
      </c>
      <c r="G6" s="68">
        <f>(I50-I19)/(D50-(SUM(D42:D44)+D19))</f>
        <v>32.342408520872716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25.2</v>
      </c>
      <c r="D10" s="30"/>
      <c r="E10" s="29" t="e">
        <f t="shared" ref="E10:E19" si="1">D10/$D$19</f>
        <v>#DIV/0!</v>
      </c>
      <c r="F10" s="28">
        <f t="shared" ref="F10:F18" si="2">C10-(C10*$E$6)</f>
        <v>27.340223682060863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 t="e">
        <f t="shared" si="1"/>
        <v>#DIV/0!</v>
      </c>
      <c r="F11" s="28">
        <f t="shared" si="2"/>
        <v>28.533646144373044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 t="e">
        <f t="shared" si="1"/>
        <v>#DIV/0!</v>
      </c>
      <c r="F12" s="28">
        <f t="shared" si="2"/>
        <v>26.038308268629393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 t="e">
        <f t="shared" si="1"/>
        <v>#DIV/0!</v>
      </c>
      <c r="F13" s="28">
        <f t="shared" si="2"/>
        <v>28.533646144373044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 t="e">
        <f t="shared" si="1"/>
        <v>#DIV/0!</v>
      </c>
      <c r="F14" s="28">
        <f t="shared" si="2"/>
        <v>31.896927629071005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 t="e">
        <f t="shared" si="1"/>
        <v>#DIV/0!</v>
      </c>
      <c r="F15" s="28">
        <f t="shared" si="2"/>
        <v>26.25529417086797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 t="e">
        <f t="shared" si="1"/>
        <v>#DIV/0!</v>
      </c>
      <c r="F16" s="28">
        <f t="shared" si="2"/>
        <v>36.019659771603997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48.8</v>
      </c>
      <c r="D17" s="30"/>
      <c r="E17" s="29" t="e">
        <f t="shared" si="1"/>
        <v>#DIV/0!</v>
      </c>
      <c r="F17" s="28">
        <f t="shared" si="2"/>
        <v>52.944560146213099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 t="e">
        <f t="shared" si="1"/>
        <v>#DIV/0!</v>
      </c>
      <c r="F18" s="28">
        <f t="shared" si="2"/>
        <v>46.434983079055748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63.5</v>
      </c>
      <c r="D21" s="30">
        <v>20.399999999999999</v>
      </c>
      <c r="E21" s="29">
        <f>D21/$D$48</f>
        <v>1.3674755329132591E-2</v>
      </c>
      <c r="F21" s="28">
        <f>C21-(C21*$E$6)</f>
        <v>68.893023960748607</v>
      </c>
      <c r="G21" s="27" t="str">
        <f>IF(C21&gt;=F21,"-","+")</f>
        <v>+</v>
      </c>
      <c r="H21" s="26">
        <f>C21*D21</f>
        <v>1295.3999999999999</v>
      </c>
      <c r="I21" s="26">
        <f>F21*D21</f>
        <v>1405.4176887992714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42.6</v>
      </c>
      <c r="D22" s="30">
        <v>46.2</v>
      </c>
      <c r="E22" s="29">
        <f>D22/$D$48</f>
        <v>3.0969298833623812E-2</v>
      </c>
      <c r="F22" s="28">
        <f>C22-(C22*$E$6)</f>
        <v>46.217997176817171</v>
      </c>
      <c r="G22" s="27" t="str">
        <f>IF(C22&gt;=F22,"-","+")</f>
        <v>+</v>
      </c>
      <c r="H22" s="26">
        <f>C22*D22</f>
        <v>1968.1200000000001</v>
      </c>
      <c r="I22" s="26">
        <f>F22*D22</f>
        <v>2135.2714695689533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v>32.200000000000003</v>
      </c>
      <c r="E23" s="29">
        <f>D23/$D$48</f>
        <v>2.158466282343478E-2</v>
      </c>
      <c r="F23" s="28">
        <f>C23-(C23*$E$6)</f>
        <v>42.20375798540347</v>
      </c>
      <c r="G23" s="27" t="str">
        <f>IF(C23&gt;=F23,"-","+")</f>
        <v>+</v>
      </c>
      <c r="H23" s="26">
        <f>C23*D23</f>
        <v>1252.5800000000002</v>
      </c>
      <c r="I23" s="26">
        <f>F23*D23</f>
        <v>1358.9610071299919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45.709514170040492</v>
      </c>
      <c r="D24" s="22">
        <f>SUM(D21:D23)</f>
        <v>98.8</v>
      </c>
      <c r="E24" s="21">
        <f>D24/$D$48</f>
        <v>6.6228716986191177E-2</v>
      </c>
      <c r="F24" s="20">
        <f>I24/D24</f>
        <v>49.591600865366566</v>
      </c>
      <c r="G24" s="19">
        <f>F24/C24-1</f>
        <v>8.4929511192891161E-2</v>
      </c>
      <c r="H24" s="18">
        <f>SUM(H21:H23)</f>
        <v>4516.1000000000004</v>
      </c>
      <c r="I24" s="18">
        <f>SUM(I21:I23)</f>
        <v>4899.6501654982167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v>269</v>
      </c>
      <c r="E26" s="29">
        <f t="shared" ref="E26:E32" si="7">D26/$D$48</f>
        <v>0.18031907762434643</v>
      </c>
      <c r="F26" s="28">
        <f t="shared" ref="F26:F31" si="8">C26-(C26*$E$6)</f>
        <v>36.779110429439015</v>
      </c>
      <c r="G26" s="27" t="str">
        <f t="shared" ref="G26:G31" si="9">IF(C26&gt;=F26,"-","+")</f>
        <v>+</v>
      </c>
      <c r="H26" s="26">
        <f t="shared" ref="H26:H31" si="10">C26*D26</f>
        <v>9119.1</v>
      </c>
      <c r="I26" s="26">
        <f t="shared" ref="I26:I31" si="11">F26*D26</f>
        <v>9893.5807055190944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224</v>
      </c>
      <c r="E27" s="29">
        <f t="shared" si="7"/>
        <v>0.15015417616302454</v>
      </c>
      <c r="F27" s="28">
        <f t="shared" si="8"/>
        <v>32.764871238025322</v>
      </c>
      <c r="G27" s="27" t="str">
        <f t="shared" si="9"/>
        <v>+</v>
      </c>
      <c r="H27" s="26">
        <f t="shared" si="10"/>
        <v>6764.8</v>
      </c>
      <c r="I27" s="26">
        <f t="shared" si="11"/>
        <v>7339.3311573176725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121.2</v>
      </c>
      <c r="E28" s="29">
        <f t="shared" si="7"/>
        <v>8.1244134602493634E-2</v>
      </c>
      <c r="F28" s="28">
        <f t="shared" si="8"/>
        <v>32.764871238025322</v>
      </c>
      <c r="G28" s="27" t="str">
        <f t="shared" si="9"/>
        <v>+</v>
      </c>
      <c r="H28" s="26">
        <f t="shared" si="10"/>
        <v>3660.24</v>
      </c>
      <c r="I28" s="26">
        <f t="shared" si="11"/>
        <v>3971.1023940486689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115.2</v>
      </c>
      <c r="E29" s="29">
        <f t="shared" si="7"/>
        <v>7.7222147740984057E-2</v>
      </c>
      <c r="F29" s="28">
        <f t="shared" si="8"/>
        <v>31.679941726832428</v>
      </c>
      <c r="G29" s="27" t="str">
        <f t="shared" si="9"/>
        <v>+</v>
      </c>
      <c r="H29" s="26">
        <f t="shared" si="10"/>
        <v>3363.84</v>
      </c>
      <c r="I29" s="26">
        <f t="shared" si="11"/>
        <v>3649.5292869310956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87</v>
      </c>
      <c r="E30" s="29">
        <f t="shared" si="7"/>
        <v>5.8318809491888994E-2</v>
      </c>
      <c r="F30" s="28">
        <f t="shared" si="8"/>
        <v>31.679941726832428</v>
      </c>
      <c r="G30" s="27" t="str">
        <f t="shared" si="9"/>
        <v>+</v>
      </c>
      <c r="H30" s="26">
        <f t="shared" si="10"/>
        <v>2540.4</v>
      </c>
      <c r="I30" s="26">
        <f t="shared" si="11"/>
        <v>2756.154930234421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28</v>
      </c>
      <c r="E31" s="29">
        <f t="shared" si="7"/>
        <v>1.8769272020378067E-2</v>
      </c>
      <c r="F31" s="28">
        <f t="shared" si="8"/>
        <v>32.222406482428873</v>
      </c>
      <c r="G31" s="27" t="str">
        <f t="shared" si="9"/>
        <v>+</v>
      </c>
      <c r="H31" s="26">
        <f t="shared" si="10"/>
        <v>831.6</v>
      </c>
      <c r="I31" s="26">
        <f t="shared" si="11"/>
        <v>902.22738150800842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31.122666982472758</v>
      </c>
      <c r="D32" s="22">
        <f>SUM(D26:D31)</f>
        <v>844.40000000000009</v>
      </c>
      <c r="E32" s="21">
        <f t="shared" si="7"/>
        <v>0.56602761764311582</v>
      </c>
      <c r="F32" s="20">
        <f>I32/D32</f>
        <v>33.765899876313306</v>
      </c>
      <c r="G32" s="19">
        <f>F32/C32-1</f>
        <v>8.4929511192891161E-2</v>
      </c>
      <c r="H32" s="18">
        <f>SUM(H26:H31)</f>
        <v>26279.98</v>
      </c>
      <c r="I32" s="18">
        <f>SUM(I26:I31)</f>
        <v>28511.925855558959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85+113.1</f>
        <v>198.1</v>
      </c>
      <c r="E34" s="29">
        <f t="shared" ref="E34:E40" si="13">D34/$D$48</f>
        <v>0.13279259954417483</v>
      </c>
      <c r="F34" s="28">
        <f t="shared" ref="F34:F39" si="14">C34-(C34*$E$6)</f>
        <v>19.311745299233468</v>
      </c>
      <c r="G34" s="27" t="str">
        <f t="shared" ref="G34:G39" si="15">IF(C34&gt;=F34,"-","+")</f>
        <v>+</v>
      </c>
      <c r="H34" s="26">
        <f t="shared" ref="H34:H39" si="16">C34*D34</f>
        <v>3526.18</v>
      </c>
      <c r="I34" s="26">
        <f t="shared" ref="I34:I39" si="17">F34*D34</f>
        <v>3825.65674377815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18.5</v>
      </c>
      <c r="E35" s="29">
        <f t="shared" si="13"/>
        <v>1.2401126156321223E-2</v>
      </c>
      <c r="F35" s="28">
        <f t="shared" si="14"/>
        <v>14.863534303342611</v>
      </c>
      <c r="G35" s="27" t="str">
        <f t="shared" si="15"/>
        <v>+</v>
      </c>
      <c r="H35" s="26">
        <f t="shared" si="16"/>
        <v>253.45</v>
      </c>
      <c r="I35" s="26">
        <f t="shared" si="17"/>
        <v>274.97538461183831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11.934224623121805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31.679941726832428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31.679941726832428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32.764871238025322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17.449815327793164</v>
      </c>
      <c r="D40" s="22">
        <f>SUM(D34:D39)</f>
        <v>216.6</v>
      </c>
      <c r="E40" s="113">
        <f t="shared" si="13"/>
        <v>0.14519372570049605</v>
      </c>
      <c r="F40" s="20">
        <f>I40/D40</f>
        <v>18.931819613988868</v>
      </c>
      <c r="G40" s="19">
        <f>F40/C40-1</f>
        <v>8.4929511192891827E-2</v>
      </c>
      <c r="H40" s="18">
        <f>SUM(H34:H39)</f>
        <v>3779.6299999999997</v>
      </c>
      <c r="I40" s="18">
        <f>SUM(I34:I39)</f>
        <v>4100.6321283899888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160+17.4+141.1</f>
        <v>318.5</v>
      </c>
      <c r="E42" s="107">
        <f>D42/$D$48</f>
        <v>0.21350046923180052</v>
      </c>
      <c r="F42" s="28">
        <f>C42-(C42*$E$6)</f>
        <v>0.43397180447715655</v>
      </c>
      <c r="G42" s="27" t="str">
        <f>IF(C42&gt;=F42,"-","+")</f>
        <v>+</v>
      </c>
      <c r="H42" s="26">
        <f>C42*D42</f>
        <v>127.4</v>
      </c>
      <c r="I42" s="26">
        <f>F42*D42</f>
        <v>138.22001972597437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</v>
      </c>
      <c r="E43" s="107">
        <f>D43/$D$48</f>
        <v>4.0219868615095859E-3</v>
      </c>
      <c r="F43" s="28">
        <f>C43-(C43*$E$6)</f>
        <v>0.43397180447715655</v>
      </c>
      <c r="G43" s="27" t="str">
        <f>IF(C43&gt;=F43,"-","+")</f>
        <v>+</v>
      </c>
      <c r="H43" s="26">
        <f>C43*D43</f>
        <v>2.4000000000000004</v>
      </c>
      <c r="I43" s="26">
        <f>F43*D43</f>
        <v>2.6038308268629393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3.1</v>
      </c>
      <c r="E44" s="107">
        <f>D44/$D$48</f>
        <v>2.0780265451132863E-3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4.4000000000000004</v>
      </c>
      <c r="E45" s="107">
        <f>D45/$D$48</f>
        <v>2.9494570317736965E-3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0.39096385542168677</v>
      </c>
      <c r="D46" s="22">
        <f>SUM(D41:D45)</f>
        <v>332</v>
      </c>
      <c r="E46" s="113">
        <f>D46/$D$48</f>
        <v>0.22254993967019709</v>
      </c>
      <c r="F46" s="20">
        <f>I46/D46</f>
        <v>0.42416822455673892</v>
      </c>
      <c r="G46" s="19">
        <f>F46/C46-1</f>
        <v>8.4929511192891383E-2</v>
      </c>
      <c r="H46" s="18">
        <f>SUM(H41:H44)</f>
        <v>129.80000000000001</v>
      </c>
      <c r="I46" s="18">
        <f>SUM(I41:I44)</f>
        <v>140.82385055283731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94.672960335728092</v>
      </c>
      <c r="D48" s="13">
        <f>D24+D32+D40+D46</f>
        <v>1491.8</v>
      </c>
      <c r="E48" s="12">
        <f>SUM(E20:E46)/2</f>
        <v>1</v>
      </c>
      <c r="F48" s="11">
        <f>I48/D48</f>
        <v>25.240000000000009</v>
      </c>
      <c r="G48" s="10"/>
      <c r="H48" s="9">
        <f>SUM(H20:H46)/2</f>
        <v>34705.509999999995</v>
      </c>
      <c r="I48" s="9">
        <f>SUM(I20:I46)/2</f>
        <v>37653.032000000014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1491.8</v>
      </c>
      <c r="E50" s="12">
        <f>D50/G2</f>
        <v>1</v>
      </c>
      <c r="F50" s="11">
        <f>I50/D50</f>
        <v>25.240000000000009</v>
      </c>
      <c r="G50" s="10"/>
      <c r="H50" s="9">
        <f>H48+H19</f>
        <v>34705.509999999995</v>
      </c>
      <c r="I50" s="9">
        <f>I48+I19</f>
        <v>37653.032000000014</v>
      </c>
      <c r="J50" s="106">
        <f>D50-G2</f>
        <v>0</v>
      </c>
      <c r="K50" s="8"/>
    </row>
    <row r="51" spans="1:11" ht="23.25" x14ac:dyDescent="0.35">
      <c r="A51" s="174" t="s">
        <v>450</v>
      </c>
      <c r="B51" s="169"/>
      <c r="C51" s="170"/>
      <c r="G51" s="7"/>
      <c r="H51" s="6"/>
      <c r="I51" s="6">
        <f>+I50/D50</f>
        <v>25.240000000000009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447</v>
      </c>
      <c r="D1" s="100" t="s">
        <v>1</v>
      </c>
      <c r="E1" s="168" t="s">
        <v>451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447</v>
      </c>
      <c r="D2" s="96" t="s">
        <v>3</v>
      </c>
      <c r="E2" s="95" t="s">
        <v>112</v>
      </c>
      <c r="F2" s="94" t="s">
        <v>5</v>
      </c>
      <c r="G2" s="93">
        <v>7236.8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452</v>
      </c>
      <c r="D3" s="90" t="s">
        <v>7</v>
      </c>
      <c r="E3" s="89">
        <v>100</v>
      </c>
      <c r="F3" s="88" t="s">
        <v>8</v>
      </c>
      <c r="G3" s="87">
        <v>25.97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72.367999999999995</v>
      </c>
      <c r="F4" s="81" t="s">
        <v>12</v>
      </c>
      <c r="G4" s="80">
        <f>G2*G3</f>
        <v>187939.696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-7.2882950872453778E-2</v>
      </c>
      <c r="F6" s="69" t="s">
        <v>16</v>
      </c>
      <c r="G6" s="68">
        <f>(I50-I19)/(D50-(SUM(D42:D44)+D19))</f>
        <v>32.531277435435847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 t="e">
        <f t="shared" ref="E10:E19" si="1">D10/$D$19</f>
        <v>#DIV/0!</v>
      </c>
      <c r="F10" s="28">
        <f t="shared" ref="F10:F18" si="2">C10-(C10*$E$6)</f>
        <v>27.894956722683798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28.967839673556252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26.500208886549608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28.967839673556252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/>
      <c r="E14" s="29" t="e">
        <f t="shared" si="1"/>
        <v>#DIV/0!</v>
      </c>
      <c r="F14" s="28">
        <f t="shared" si="2"/>
        <v>32.4010651163481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26.714785476724096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34.1</v>
      </c>
      <c r="D16" s="30"/>
      <c r="E16" s="29" t="e">
        <f t="shared" si="1"/>
        <v>#DIV/0!</v>
      </c>
      <c r="F16" s="28">
        <f t="shared" si="2"/>
        <v>36.585308624750674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50.2</v>
      </c>
      <c r="D17" s="30"/>
      <c r="E17" s="29" t="e">
        <f t="shared" si="1"/>
        <v>#DIV/0!</v>
      </c>
      <c r="F17" s="28">
        <f t="shared" si="2"/>
        <v>53.858724133797182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 t="e">
        <f t="shared" si="1"/>
        <v>#DIV/0!</v>
      </c>
      <c r="F18" s="28">
        <f t="shared" si="2"/>
        <v>47.206849838387967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65.3</v>
      </c>
      <c r="D21" s="30">
        <v>92.9</v>
      </c>
      <c r="E21" s="29">
        <f>D21/$D$48</f>
        <v>1.2837165598054388E-2</v>
      </c>
      <c r="F21" s="28">
        <f>C21-(C21*$E$6)</f>
        <v>70.059256691971228</v>
      </c>
      <c r="G21" s="27" t="str">
        <f>IF(C21&gt;=F21,"-","+")</f>
        <v>+</v>
      </c>
      <c r="H21" s="26">
        <f>C21*D21</f>
        <v>6066.37</v>
      </c>
      <c r="I21" s="26">
        <f>F21*D21</f>
        <v>6508.5049466841274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205</v>
      </c>
      <c r="E22" s="29">
        <f>D22/$D$48</f>
        <v>2.8327437541454784E-2</v>
      </c>
      <c r="F22" s="28">
        <f>C22-(C22*$E$6)</f>
        <v>47.099561543300723</v>
      </c>
      <c r="G22" s="27" t="str">
        <f>IF(C22&gt;=F22,"-","+")</f>
        <v>+</v>
      </c>
      <c r="H22" s="26">
        <f>C22*D22</f>
        <v>8999.5</v>
      </c>
      <c r="I22" s="26">
        <f>F22*D22</f>
        <v>9655.4101163766481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175.4</v>
      </c>
      <c r="E23" s="29">
        <f>D23/$D$48</f>
        <v>2.4237231925713022E-2</v>
      </c>
      <c r="F23" s="28">
        <f>C23-(C23*$E$6)</f>
        <v>42.915318034898149</v>
      </c>
      <c r="G23" s="27" t="str">
        <f>IF(C23&gt;=F23,"-","+")</f>
        <v>+</v>
      </c>
      <c r="H23" s="26">
        <f>C23*D23</f>
        <v>7016</v>
      </c>
      <c r="I23" s="26">
        <f>F23*D23</f>
        <v>7527.3467833211353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46.655123600253539</v>
      </c>
      <c r="D24" s="22">
        <f>SUM(D21:D23)</f>
        <v>473.29999999999995</v>
      </c>
      <c r="E24" s="21">
        <f>D24/$D$48</f>
        <v>6.5401835065222194E-2</v>
      </c>
      <c r="F24" s="20">
        <f>I24/D24</f>
        <v>50.055486681559088</v>
      </c>
      <c r="G24" s="19">
        <f>F24/C24-1</f>
        <v>7.2882950872454E-2</v>
      </c>
      <c r="H24" s="18">
        <f>SUM(H21:H23)</f>
        <v>22081.87</v>
      </c>
      <c r="I24" s="18">
        <f>SUM(I21:I23)</f>
        <v>23691.261846381913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f>79.6+1239.6</f>
        <v>1319.1999999999998</v>
      </c>
      <c r="E26" s="29">
        <f t="shared" ref="E26:E32" si="7">D26/$D$48</f>
        <v>0.18229051514481537</v>
      </c>
      <c r="F26" s="28">
        <f t="shared" ref="F26:F31" si="8">C26-(C26*$E$6)</f>
        <v>37.443614985448633</v>
      </c>
      <c r="G26" s="27" t="str">
        <f t="shared" ref="G26:G31" si="9">IF(C26&gt;=F26,"-","+")</f>
        <v>+</v>
      </c>
      <c r="H26" s="26">
        <f t="shared" ref="H26:H31" si="10">C26*D26</f>
        <v>46040.079999999994</v>
      </c>
      <c r="I26" s="26">
        <f t="shared" ref="I26:I31" si="11">F26*D26</f>
        <v>49395.61688880383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v>985.8</v>
      </c>
      <c r="E27" s="29">
        <f t="shared" si="7"/>
        <v>0.13622042891885916</v>
      </c>
      <c r="F27" s="28">
        <f t="shared" si="8"/>
        <v>33.259371477046066</v>
      </c>
      <c r="G27" s="27" t="str">
        <f t="shared" si="9"/>
        <v>+</v>
      </c>
      <c r="H27" s="26">
        <f t="shared" si="10"/>
        <v>30559.8</v>
      </c>
      <c r="I27" s="26">
        <f t="shared" si="11"/>
        <v>32787.088402072011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v>631.5</v>
      </c>
      <c r="E28" s="29">
        <f t="shared" si="7"/>
        <v>8.7262325889896089E-2</v>
      </c>
      <c r="F28" s="28">
        <f t="shared" si="8"/>
        <v>33.259371477046066</v>
      </c>
      <c r="G28" s="27" t="str">
        <f t="shared" si="9"/>
        <v>+</v>
      </c>
      <c r="H28" s="26">
        <f t="shared" si="10"/>
        <v>19576.5</v>
      </c>
      <c r="I28" s="26">
        <f t="shared" si="11"/>
        <v>21003.293087754591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565.9</v>
      </c>
      <c r="E29" s="29">
        <f t="shared" si="7"/>
        <v>7.8197545876630553E-2</v>
      </c>
      <c r="F29" s="28">
        <f t="shared" si="8"/>
        <v>32.186488526173612</v>
      </c>
      <c r="G29" s="27" t="str">
        <f t="shared" si="9"/>
        <v>+</v>
      </c>
      <c r="H29" s="26">
        <f t="shared" si="10"/>
        <v>16977</v>
      </c>
      <c r="I29" s="26">
        <f t="shared" si="11"/>
        <v>18214.333856961646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463</v>
      </c>
      <c r="E30" s="29">
        <f t="shared" si="7"/>
        <v>6.3978554057041781E-2</v>
      </c>
      <c r="F30" s="28">
        <f t="shared" si="8"/>
        <v>32.186488526173612</v>
      </c>
      <c r="G30" s="27" t="str">
        <f t="shared" si="9"/>
        <v>+</v>
      </c>
      <c r="H30" s="26">
        <f t="shared" si="10"/>
        <v>13890</v>
      </c>
      <c r="I30" s="26">
        <f t="shared" si="11"/>
        <v>14902.344187618382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30.5</v>
      </c>
      <c r="D31" s="30">
        <v>120.1</v>
      </c>
      <c r="E31" s="29">
        <f t="shared" si="7"/>
        <v>1.6595732920627902E-2</v>
      </c>
      <c r="F31" s="28">
        <f t="shared" si="8"/>
        <v>32.722930001609839</v>
      </c>
      <c r="G31" s="27" t="str">
        <f t="shared" si="9"/>
        <v>+</v>
      </c>
      <c r="H31" s="26">
        <f t="shared" si="10"/>
        <v>3663.0499999999997</v>
      </c>
      <c r="I31" s="26">
        <f t="shared" si="11"/>
        <v>3930.0238931933413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31.992762207808099</v>
      </c>
      <c r="D32" s="22">
        <f>SUM(D26:D31)</f>
        <v>4085.5</v>
      </c>
      <c r="E32" s="21">
        <f t="shared" si="7"/>
        <v>0.56454510280787085</v>
      </c>
      <c r="F32" s="20">
        <f>I32/D32</f>
        <v>34.324489124073871</v>
      </c>
      <c r="G32" s="19">
        <f>F32/C32-1</f>
        <v>7.2882950872453778E-2</v>
      </c>
      <c r="H32" s="18">
        <f>SUM(H26:H31)</f>
        <v>130706.43</v>
      </c>
      <c r="I32" s="18">
        <f>SUM(I26:I31)</f>
        <v>140232.70031640379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f>565.3+552.4</f>
        <v>1117.6999999999998</v>
      </c>
      <c r="E34" s="29">
        <f t="shared" ref="E34:E40" si="13">D34/$D$48</f>
        <v>0.15444671678089761</v>
      </c>
      <c r="F34" s="28">
        <f t="shared" ref="F34:F39" si="14">C34-(C34*$E$6)</f>
        <v>19.633758000965905</v>
      </c>
      <c r="G34" s="27" t="str">
        <f t="shared" ref="G34:G39" si="15">IF(C34&gt;=F34,"-","+")</f>
        <v>+</v>
      </c>
      <c r="H34" s="26">
        <f t="shared" ref="H34:H39" si="16">C34*D34</f>
        <v>20453.909999999996</v>
      </c>
      <c r="I34" s="26">
        <f t="shared" ref="I34:I39" si="17">F34*D34</f>
        <v>21944.651317679589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95.5</v>
      </c>
      <c r="E35" s="29">
        <f t="shared" si="13"/>
        <v>1.3196440415653326E-2</v>
      </c>
      <c r="F35" s="28">
        <f t="shared" si="14"/>
        <v>15.127649607301597</v>
      </c>
      <c r="G35" s="27" t="str">
        <f t="shared" si="15"/>
        <v>+</v>
      </c>
      <c r="H35" s="26">
        <f t="shared" si="16"/>
        <v>1346.55</v>
      </c>
      <c r="I35" s="26">
        <f t="shared" si="17"/>
        <v>1444.6905374973026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12.123577344858729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32.186488526173612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32.186488526173612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/>
      <c r="E39" s="29">
        <f t="shared" si="13"/>
        <v>0</v>
      </c>
      <c r="F39" s="28">
        <f t="shared" si="14"/>
        <v>33.259371477046066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17.969386745796239</v>
      </c>
      <c r="D40" s="22">
        <f>SUM(D34:D39)</f>
        <v>1213.1999999999998</v>
      </c>
      <c r="E40" s="113">
        <f t="shared" si="13"/>
        <v>0.16764315719655093</v>
      </c>
      <c r="F40" s="20">
        <f>I40/D40</f>
        <v>19.279048677198233</v>
      </c>
      <c r="G40" s="19">
        <f>F40/C40-1</f>
        <v>7.2882950872454E-2</v>
      </c>
      <c r="H40" s="18">
        <f>SUM(H34:H39)</f>
        <v>21800.459999999995</v>
      </c>
      <c r="I40" s="18">
        <f>SUM(I34:I39)</f>
        <v>23389.341855176892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570+82.2+760.5</f>
        <v>1412.7</v>
      </c>
      <c r="E42" s="107">
        <f>D42/$D$48</f>
        <v>0.19521059031616184</v>
      </c>
      <c r="F42" s="28">
        <f>C42-(C42*$E$6)</f>
        <v>0.42915318034898153</v>
      </c>
      <c r="G42" s="27" t="str">
        <f>IF(C42&gt;=F42,"-","+")</f>
        <v>+</v>
      </c>
      <c r="H42" s="26">
        <f>C42*D42</f>
        <v>565.08000000000004</v>
      </c>
      <c r="I42" s="26">
        <f>F42*D42</f>
        <v>606.26469787900623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46.9</v>
      </c>
      <c r="E43" s="107">
        <f>D43/$D$48</f>
        <v>6.4807649789962408E-3</v>
      </c>
      <c r="F43" s="28">
        <f>C43-(C43*$E$6)</f>
        <v>0.42915318034898153</v>
      </c>
      <c r="G43" s="27" t="str">
        <f>IF(C43&gt;=F43,"-","+")</f>
        <v>+</v>
      </c>
      <c r="H43" s="26">
        <f>C43*D43</f>
        <v>18.760000000000002</v>
      </c>
      <c r="I43" s="26">
        <f>F43*D43</f>
        <v>20.127284158367232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7.1854963519787755E-4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0.39858001092299289</v>
      </c>
      <c r="D46" s="22">
        <f>SUM(D41:D45)</f>
        <v>1464.8000000000002</v>
      </c>
      <c r="E46" s="113">
        <f>D46/$D$48</f>
        <v>0.20240990493035599</v>
      </c>
      <c r="F46" s="20">
        <f>I46/D46</f>
        <v>0.42762969827783548</v>
      </c>
      <c r="G46" s="19">
        <f>F46/C46-1</f>
        <v>7.2882950872453778E-2</v>
      </c>
      <c r="H46" s="18">
        <f>SUM(H41:H44)</f>
        <v>583.84</v>
      </c>
      <c r="I46" s="18">
        <f>SUM(I41:I44)</f>
        <v>626.39198203737351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97.015852564780872</v>
      </c>
      <c r="D48" s="13">
        <f>D24+D32+D40+D46</f>
        <v>7236.8</v>
      </c>
      <c r="E48" s="12">
        <f>SUM(E20:E46)/2</f>
        <v>0.99999999999999989</v>
      </c>
      <c r="F48" s="11">
        <f>I48/D48</f>
        <v>25.97</v>
      </c>
      <c r="G48" s="10"/>
      <c r="H48" s="9">
        <f>SUM(H20:H46)/2</f>
        <v>175172.6</v>
      </c>
      <c r="I48" s="9">
        <f>SUM(I20:I46)/2</f>
        <v>187939.696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7236.8000000000011</v>
      </c>
      <c r="E50" s="12">
        <f>D50/G2</f>
        <v>1.0000000000000002</v>
      </c>
      <c r="F50" s="11">
        <f>I50/D50</f>
        <v>25.969999999999995</v>
      </c>
      <c r="G50" s="10"/>
      <c r="H50" s="9">
        <f>H48+H19</f>
        <v>175172.6</v>
      </c>
      <c r="I50" s="9">
        <f>I48+I19</f>
        <v>187939.696</v>
      </c>
      <c r="J50" s="106">
        <f>D50-G2</f>
        <v>0</v>
      </c>
      <c r="K50" s="8"/>
    </row>
    <row r="51" spans="1:11" ht="23.25" x14ac:dyDescent="0.35">
      <c r="A51" s="174" t="s">
        <v>453</v>
      </c>
      <c r="B51" s="169"/>
      <c r="C51" s="170"/>
      <c r="G51" s="7"/>
      <c r="H51" s="6"/>
      <c r="I51" s="6">
        <f>+I50/D50</f>
        <v>25.969999999999995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447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447</v>
      </c>
      <c r="D2" s="96" t="s">
        <v>3</v>
      </c>
      <c r="E2" s="95" t="s">
        <v>112</v>
      </c>
      <c r="F2" s="94" t="s">
        <v>5</v>
      </c>
      <c r="G2" s="93">
        <v>3760.8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64</v>
      </c>
      <c r="F3" s="88" t="s">
        <v>8</v>
      </c>
      <c r="G3" s="87">
        <v>24.56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58.762500000000003</v>
      </c>
      <c r="F4" s="81" t="s">
        <v>12</v>
      </c>
      <c r="G4" s="80">
        <f>G2*G3</f>
        <v>92365.248000000007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-0.10082589430169064</v>
      </c>
      <c r="F6" s="69" t="s">
        <v>16</v>
      </c>
      <c r="G6" s="68">
        <f>(I50-I19)/(D50-(SUM(D42:D44)+D19))</f>
        <v>31.343190471342769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24.6</v>
      </c>
      <c r="D10" s="30"/>
      <c r="E10" s="29" t="e">
        <f t="shared" ref="E10:E19" si="1">D10/$D$19</f>
        <v>#DIV/0!</v>
      </c>
      <c r="F10" s="28">
        <f t="shared" ref="F10:F18" si="2">C10-(C10*$E$6)</f>
        <v>27.080316999821591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25.6</v>
      </c>
      <c r="D11" s="30"/>
      <c r="E11" s="29" t="e">
        <f t="shared" si="1"/>
        <v>#DIV/0!</v>
      </c>
      <c r="F11" s="28">
        <f t="shared" si="2"/>
        <v>28.181142894123283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23.4</v>
      </c>
      <c r="D12" s="30"/>
      <c r="E12" s="29" t="e">
        <f t="shared" si="1"/>
        <v>#DIV/0!</v>
      </c>
      <c r="F12" s="28">
        <f t="shared" si="2"/>
        <v>25.75932592665956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25.6</v>
      </c>
      <c r="D13" s="30"/>
      <c r="E13" s="29" t="e">
        <f t="shared" si="1"/>
        <v>#DIV/0!</v>
      </c>
      <c r="F13" s="28">
        <f t="shared" si="2"/>
        <v>28.181142894123283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28.6</v>
      </c>
      <c r="D14" s="30"/>
      <c r="E14" s="29" t="e">
        <f t="shared" si="1"/>
        <v>#DIV/0!</v>
      </c>
      <c r="F14" s="28">
        <f t="shared" si="2"/>
        <v>31.483620577028354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23.6</v>
      </c>
      <c r="D15" s="30"/>
      <c r="E15" s="29" t="e">
        <f t="shared" si="1"/>
        <v>#DIV/0!</v>
      </c>
      <c r="F15" s="28">
        <f t="shared" si="2"/>
        <v>25.979491105519902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32.299999999999997</v>
      </c>
      <c r="D16" s="30"/>
      <c r="E16" s="29" t="e">
        <f t="shared" si="1"/>
        <v>#DIV/0!</v>
      </c>
      <c r="F16" s="28">
        <f t="shared" si="2"/>
        <v>35.556676385944606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47.5</v>
      </c>
      <c r="D17" s="30"/>
      <c r="E17" s="29" t="e">
        <f t="shared" si="1"/>
        <v>#DIV/0!</v>
      </c>
      <c r="F17" s="28">
        <f t="shared" si="2"/>
        <v>52.289229979330308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41.6</v>
      </c>
      <c r="D18" s="30"/>
      <c r="E18" s="29" t="e">
        <f t="shared" si="1"/>
        <v>#DIV/0!</v>
      </c>
      <c r="F18" s="28">
        <f t="shared" si="2"/>
        <v>45.79435720295033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61.8</v>
      </c>
      <c r="D21" s="30">
        <v>52</v>
      </c>
      <c r="E21" s="29">
        <f>D21/$D$48</f>
        <v>1.3826845352052756E-2</v>
      </c>
      <c r="F21" s="28">
        <f>C21-(C21*$E$6)</f>
        <v>68.031040267844475</v>
      </c>
      <c r="G21" s="27" t="str">
        <f>IF(C21&gt;=F21,"-","+")</f>
        <v>+</v>
      </c>
      <c r="H21" s="26">
        <f>C21*D21</f>
        <v>3213.6</v>
      </c>
      <c r="I21" s="26">
        <f>F21*D21</f>
        <v>3537.6140939279126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41.5</v>
      </c>
      <c r="D22" s="30">
        <v>97.1</v>
      </c>
      <c r="E22" s="29">
        <f>D22/$D$48</f>
        <v>2.5818974686236972E-2</v>
      </c>
      <c r="F22" s="28">
        <f>C22-(C22*$E$6)</f>
        <v>45.684274613520159</v>
      </c>
      <c r="G22" s="27" t="str">
        <f>IF(C22&gt;=F22,"-","+")</f>
        <v>+</v>
      </c>
      <c r="H22" s="26">
        <f>C22*D22</f>
        <v>4029.6499999999996</v>
      </c>
      <c r="I22" s="26">
        <f>F22*D22</f>
        <v>4435.9430649728074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37.799999999999997</v>
      </c>
      <c r="D23" s="30">
        <v>91.4</v>
      </c>
      <c r="E23" s="29">
        <f>D23/$D$48</f>
        <v>2.430333971495427E-2</v>
      </c>
      <c r="F23" s="28">
        <f>C23-(C23*$E$6)</f>
        <v>41.611218804603901</v>
      </c>
      <c r="G23" s="27" t="str">
        <f>IF(C23&gt;=F23,"-","+")</f>
        <v>+</v>
      </c>
      <c r="H23" s="26">
        <f>C23*D23</f>
        <v>3454.92</v>
      </c>
      <c r="I23" s="26">
        <f>F23*D23</f>
        <v>3803.2653987407966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44.48303534303534</v>
      </c>
      <c r="D24" s="22">
        <f>SUM(D21:D23)</f>
        <v>240.5</v>
      </c>
      <c r="E24" s="21">
        <f>D24/$D$48</f>
        <v>6.3949159753244E-2</v>
      </c>
      <c r="F24" s="20">
        <f>I24/D24</f>
        <v>48.968077162750589</v>
      </c>
      <c r="G24" s="19">
        <f>F24/C24-1</f>
        <v>0.10082589430169064</v>
      </c>
      <c r="H24" s="18">
        <f>SUM(H21:H23)</f>
        <v>10698.17</v>
      </c>
      <c r="I24" s="18">
        <f>SUM(I21:I23)</f>
        <v>11776.822557641517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</v>
      </c>
      <c r="D26" s="30">
        <v>668.5</v>
      </c>
      <c r="E26" s="29">
        <f t="shared" ref="E26:E32" si="7">D26/$D$48</f>
        <v>0.17775473303552436</v>
      </c>
      <c r="F26" s="28">
        <f t="shared" ref="F26:F31" si="8">C26-(C26*$E$6)</f>
        <v>36.327254511955793</v>
      </c>
      <c r="G26" s="27" t="str">
        <f t="shared" ref="G26:G31" si="9">IF(C26&gt;=F26,"-","+")</f>
        <v>+</v>
      </c>
      <c r="H26" s="26">
        <f t="shared" ref="H26:H31" si="10">C26*D26</f>
        <v>22060.5</v>
      </c>
      <c r="I26" s="26">
        <f t="shared" ref="I26:I31" si="11">F26*D26</f>
        <v>24284.769641242448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29.3</v>
      </c>
      <c r="D27" s="30">
        <v>533</v>
      </c>
      <c r="E27" s="29">
        <f t="shared" si="7"/>
        <v>0.14172516485854075</v>
      </c>
      <c r="F27" s="28">
        <f t="shared" si="8"/>
        <v>32.254198703039535</v>
      </c>
      <c r="G27" s="27" t="str">
        <f t="shared" si="9"/>
        <v>+</v>
      </c>
      <c r="H27" s="26">
        <f t="shared" si="10"/>
        <v>15616.9</v>
      </c>
      <c r="I27" s="26">
        <f t="shared" si="11"/>
        <v>17191.487908720072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29.3</v>
      </c>
      <c r="D28" s="30">
        <v>277.8</v>
      </c>
      <c r="E28" s="29">
        <f t="shared" si="7"/>
        <v>7.3867262284620303E-2</v>
      </c>
      <c r="F28" s="28">
        <f t="shared" si="8"/>
        <v>32.254198703039535</v>
      </c>
      <c r="G28" s="27" t="str">
        <f t="shared" si="9"/>
        <v>+</v>
      </c>
      <c r="H28" s="26">
        <f t="shared" si="10"/>
        <v>8139.5400000000009</v>
      </c>
      <c r="I28" s="26">
        <f t="shared" si="11"/>
        <v>8960.2163997043826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28.4</v>
      </c>
      <c r="D29" s="30">
        <v>266.3</v>
      </c>
      <c r="E29" s="29">
        <f t="shared" si="7"/>
        <v>7.0809402254839407E-2</v>
      </c>
      <c r="F29" s="28">
        <f t="shared" si="8"/>
        <v>31.263455398168013</v>
      </c>
      <c r="G29" s="27" t="str">
        <f t="shared" si="9"/>
        <v>+</v>
      </c>
      <c r="H29" s="26">
        <f t="shared" si="10"/>
        <v>7562.92</v>
      </c>
      <c r="I29" s="26">
        <f t="shared" si="11"/>
        <v>8325.4581725321423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28.4</v>
      </c>
      <c r="D30" s="30">
        <v>206.3</v>
      </c>
      <c r="E30" s="29">
        <f t="shared" si="7"/>
        <v>5.4855349925547761E-2</v>
      </c>
      <c r="F30" s="28">
        <f t="shared" si="8"/>
        <v>31.263455398168013</v>
      </c>
      <c r="G30" s="27" t="str">
        <f t="shared" si="9"/>
        <v>+</v>
      </c>
      <c r="H30" s="26">
        <f t="shared" si="10"/>
        <v>5858.92</v>
      </c>
      <c r="I30" s="26">
        <f t="shared" si="11"/>
        <v>6449.6508486420616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28.9</v>
      </c>
      <c r="D31" s="30">
        <v>73</v>
      </c>
      <c r="E31" s="29">
        <f t="shared" si="7"/>
        <v>1.941076366730483E-2</v>
      </c>
      <c r="F31" s="28">
        <f t="shared" si="8"/>
        <v>31.813868345318859</v>
      </c>
      <c r="G31" s="27" t="str">
        <f t="shared" si="9"/>
        <v>+</v>
      </c>
      <c r="H31" s="26">
        <f t="shared" si="10"/>
        <v>2109.6999999999998</v>
      </c>
      <c r="I31" s="26">
        <f t="shared" si="11"/>
        <v>2322.4123892082766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30.297041829226135</v>
      </c>
      <c r="D32" s="22">
        <f>SUM(D26:D31)</f>
        <v>2024.8999999999999</v>
      </c>
      <c r="E32" s="21">
        <f t="shared" si="7"/>
        <v>0.53842267602637739</v>
      </c>
      <c r="F32" s="20">
        <f>I32/D32</f>
        <v>33.351768166353594</v>
      </c>
      <c r="G32" s="19">
        <f>F32/C32-1</f>
        <v>0.10082589430169087</v>
      </c>
      <c r="H32" s="18">
        <f>SUM(H26:H31)</f>
        <v>61348.479999999996</v>
      </c>
      <c r="I32" s="18">
        <f>SUM(I26:I31)</f>
        <v>67533.99536004939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17.399999999999999</v>
      </c>
      <c r="D34" s="30">
        <f>334.9+283.9</f>
        <v>618.79999999999995</v>
      </c>
      <c r="E34" s="29">
        <f t="shared" ref="E34:E40" si="13">D34/$D$48</f>
        <v>0.16453945968942779</v>
      </c>
      <c r="F34" s="28">
        <f t="shared" ref="F34:F39" si="14">C34-(C34*$E$6)</f>
        <v>19.154370560849415</v>
      </c>
      <c r="G34" s="27" t="str">
        <f t="shared" ref="G34:G39" si="15">IF(C34&gt;=F34,"-","+")</f>
        <v>+</v>
      </c>
      <c r="H34" s="26">
        <f t="shared" ref="H34:H39" si="16">C34*D34</f>
        <v>10767.119999999999</v>
      </c>
      <c r="I34" s="26">
        <f t="shared" ref="I34:I39" si="17">F34*D34</f>
        <v>11852.724503053618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>
        <v>57.6</v>
      </c>
      <c r="E35" s="29">
        <f t="shared" si="13"/>
        <v>1.5315890236119976E-2</v>
      </c>
      <c r="F35" s="28">
        <f t="shared" si="14"/>
        <v>14.640984394212486</v>
      </c>
      <c r="G35" s="27" t="str">
        <f t="shared" si="15"/>
        <v>+</v>
      </c>
      <c r="H35" s="26">
        <f t="shared" si="16"/>
        <v>766.08</v>
      </c>
      <c r="I35" s="26">
        <f t="shared" si="17"/>
        <v>843.32070110663926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11.778837069028089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28.4</v>
      </c>
      <c r="D37" s="30"/>
      <c r="E37" s="29">
        <f t="shared" si="13"/>
        <v>0</v>
      </c>
      <c r="F37" s="28">
        <f t="shared" si="14"/>
        <v>31.263455398168013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28.4</v>
      </c>
      <c r="D38" s="30"/>
      <c r="E38" s="29">
        <f t="shared" si="13"/>
        <v>0</v>
      </c>
      <c r="F38" s="28">
        <f t="shared" si="14"/>
        <v>31.263455398168013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29.3</v>
      </c>
      <c r="D39" s="30"/>
      <c r="E39" s="29">
        <f t="shared" si="13"/>
        <v>0</v>
      </c>
      <c r="F39" s="28">
        <f t="shared" si="14"/>
        <v>32.254198703039535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17.050857480780603</v>
      </c>
      <c r="D40" s="22">
        <f>SUM(D34:D39)</f>
        <v>676.4</v>
      </c>
      <c r="E40" s="113">
        <f t="shared" si="13"/>
        <v>0.17985534992554778</v>
      </c>
      <c r="F40" s="20">
        <f>I40/D40</f>
        <v>18.770025434890979</v>
      </c>
      <c r="G40" s="19">
        <f>F40/C40-1</f>
        <v>0.10082589430169064</v>
      </c>
      <c r="H40" s="18">
        <f>SUM(H34:H39)</f>
        <v>11533.199999999999</v>
      </c>
      <c r="I40" s="18">
        <f>SUM(I34:I39)</f>
        <v>12696.045204160257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392+46.1+356.1</f>
        <v>794.2</v>
      </c>
      <c r="E42" s="107">
        <f>D42/$D$48</f>
        <v>0.21117847266539036</v>
      </c>
      <c r="F42" s="28">
        <f>C42-(C42*$E$6)</f>
        <v>0.4403303577206763</v>
      </c>
      <c r="G42" s="27" t="str">
        <f>IF(C42&gt;=F42,"-","+")</f>
        <v>+</v>
      </c>
      <c r="H42" s="26">
        <f>C42*D42</f>
        <v>317.68000000000006</v>
      </c>
      <c r="I42" s="26">
        <f>F42*D42</f>
        <v>349.71037010176116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19.7</v>
      </c>
      <c r="E43" s="107">
        <f>D43/$D$48</f>
        <v>5.2382471814507552E-3</v>
      </c>
      <c r="F43" s="28">
        <f>C43-(C43*$E$6)</f>
        <v>0.4403303577206763</v>
      </c>
      <c r="G43" s="27" t="str">
        <f>IF(C43&gt;=F43,"-","+")</f>
        <v>+</v>
      </c>
      <c r="H43" s="26">
        <f>C43*D43</f>
        <v>7.88</v>
      </c>
      <c r="I43" s="26">
        <f>F43*D43</f>
        <v>8.6745080470973228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1.3560944479897893E-3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0.39750915750915755</v>
      </c>
      <c r="D46" s="22">
        <f>SUM(D41:D45)</f>
        <v>819.00000000000011</v>
      </c>
      <c r="E46" s="113">
        <f>D46/$D$48</f>
        <v>0.21777281429483095</v>
      </c>
      <c r="F46" s="20">
        <f>I46/D46</f>
        <v>0.43758837380812998</v>
      </c>
      <c r="G46" s="19">
        <f>F46/C46-1</f>
        <v>0.10082589430169064</v>
      </c>
      <c r="H46" s="18">
        <f>SUM(H41:H44)</f>
        <v>325.56000000000006</v>
      </c>
      <c r="I46" s="18">
        <f>SUM(I41:I44)</f>
        <v>358.38487814885849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92.228443810551241</v>
      </c>
      <c r="D48" s="13">
        <f>D24+D32+D40+D46</f>
        <v>3760.7999999999997</v>
      </c>
      <c r="E48" s="12">
        <f>SUM(E20:E46)/2</f>
        <v>1</v>
      </c>
      <c r="F48" s="11">
        <f>I48/D48</f>
        <v>24.560000000000002</v>
      </c>
      <c r="G48" s="10"/>
      <c r="H48" s="9">
        <f>SUM(H20:H46)/2</f>
        <v>83905.409999999989</v>
      </c>
      <c r="I48" s="9">
        <f>SUM(I20:I46)/2</f>
        <v>92365.248000000007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3760.8</v>
      </c>
      <c r="E50" s="12">
        <f>D50/G2</f>
        <v>1</v>
      </c>
      <c r="F50" s="11">
        <f>I50/D50</f>
        <v>24.560000000000002</v>
      </c>
      <c r="G50" s="10"/>
      <c r="H50" s="9">
        <f>H48+H19</f>
        <v>83905.409999999989</v>
      </c>
      <c r="I50" s="9">
        <f>I48+I19</f>
        <v>92365.248000000007</v>
      </c>
      <c r="J50" s="106">
        <f>D50-G2</f>
        <v>0</v>
      </c>
      <c r="K50" s="8"/>
    </row>
    <row r="51" spans="1:11" ht="23.25" x14ac:dyDescent="0.35">
      <c r="A51" s="174" t="s">
        <v>454</v>
      </c>
      <c r="B51" s="169"/>
      <c r="C51" s="170"/>
      <c r="G51" s="7"/>
      <c r="H51" s="6"/>
      <c r="I51" s="6">
        <f>+I50/D50</f>
        <v>24.560000000000002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447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455</v>
      </c>
      <c r="D2" s="96" t="s">
        <v>3</v>
      </c>
      <c r="E2" s="95" t="s">
        <v>362</v>
      </c>
      <c r="F2" s="94" t="s">
        <v>5</v>
      </c>
      <c r="G2" s="93">
        <v>23360.7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288</v>
      </c>
      <c r="F3" s="88" t="s">
        <v>8</v>
      </c>
      <c r="G3" s="87">
        <v>29.75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81.113541666666663</v>
      </c>
      <c r="F4" s="81" t="s">
        <v>12</v>
      </c>
      <c r="G4" s="80">
        <f>G2*G3</f>
        <v>694980.82500000007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3.2848693163565201E-3</v>
      </c>
      <c r="F6" s="69" t="s">
        <v>16</v>
      </c>
      <c r="G6" s="68">
        <f>(I50-I19)/(D50-(SUM(D42:D44)+D19))</f>
        <v>34.452919575560358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29.8</v>
      </c>
      <c r="D10" s="30"/>
      <c r="E10" s="29">
        <f t="shared" ref="E10:E19" si="1">D10/$D$19</f>
        <v>0</v>
      </c>
      <c r="F10" s="28">
        <f t="shared" ref="F10:F18" si="2">C10-(C10*$E$6)</f>
        <v>29.702110894372577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31</v>
      </c>
      <c r="D11" s="30">
        <v>2987.1</v>
      </c>
      <c r="E11" s="29">
        <f t="shared" si="1"/>
        <v>0.40799573851995519</v>
      </c>
      <c r="F11" s="28">
        <f t="shared" si="2"/>
        <v>30.898169051192948</v>
      </c>
      <c r="G11" s="27" t="str">
        <f t="shared" si="3"/>
        <v>-</v>
      </c>
      <c r="H11" s="34">
        <f t="shared" si="4"/>
        <v>92600.099999999991</v>
      </c>
      <c r="I11" s="34">
        <f t="shared" si="5"/>
        <v>92295.920772818456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28.3</v>
      </c>
      <c r="D12" s="30">
        <v>3419.7</v>
      </c>
      <c r="E12" s="29">
        <f t="shared" si="1"/>
        <v>0.46708279837189609</v>
      </c>
      <c r="F12" s="28">
        <f t="shared" si="2"/>
        <v>28.20703819834711</v>
      </c>
      <c r="G12" s="27" t="str">
        <f t="shared" si="3"/>
        <v>-</v>
      </c>
      <c r="H12" s="34">
        <f t="shared" si="4"/>
        <v>96777.51</v>
      </c>
      <c r="I12" s="34">
        <f t="shared" si="5"/>
        <v>96459.608526887605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31</v>
      </c>
      <c r="D13" s="30"/>
      <c r="E13" s="29">
        <f t="shared" si="1"/>
        <v>0</v>
      </c>
      <c r="F13" s="28">
        <f t="shared" si="2"/>
        <v>30.898169051192948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34.6</v>
      </c>
      <c r="D14" s="30">
        <v>366.6</v>
      </c>
      <c r="E14" s="29">
        <f t="shared" si="1"/>
        <v>5.0072390526402062E-2</v>
      </c>
      <c r="F14" s="28">
        <f t="shared" si="2"/>
        <v>34.486343521654064</v>
      </c>
      <c r="G14" s="27" t="str">
        <f t="shared" si="3"/>
        <v>-</v>
      </c>
      <c r="H14" s="34">
        <f t="shared" si="4"/>
        <v>12684.36</v>
      </c>
      <c r="I14" s="34">
        <f t="shared" si="5"/>
        <v>12642.693535038381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28.6</v>
      </c>
      <c r="D15" s="30"/>
      <c r="E15" s="29">
        <f t="shared" si="1"/>
        <v>0</v>
      </c>
      <c r="F15" s="28">
        <f t="shared" si="2"/>
        <v>28.506052737552206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39.1</v>
      </c>
      <c r="D16" s="30">
        <v>437.5</v>
      </c>
      <c r="E16" s="29">
        <f t="shared" si="1"/>
        <v>5.9756330756412714E-2</v>
      </c>
      <c r="F16" s="28">
        <f t="shared" si="2"/>
        <v>38.971561609730465</v>
      </c>
      <c r="G16" s="27" t="str">
        <f t="shared" si="3"/>
        <v>-</v>
      </c>
      <c r="H16" s="34">
        <f t="shared" si="4"/>
        <v>17106.25</v>
      </c>
      <c r="I16" s="34">
        <f t="shared" si="5"/>
        <v>17050.058204257079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57.5</v>
      </c>
      <c r="D17" s="30">
        <v>110.5</v>
      </c>
      <c r="E17" s="29">
        <f t="shared" si="1"/>
        <v>1.5092741825333954E-2</v>
      </c>
      <c r="F17" s="28">
        <f t="shared" si="2"/>
        <v>57.311120014309502</v>
      </c>
      <c r="G17" s="27" t="str">
        <f t="shared" si="3"/>
        <v>-</v>
      </c>
      <c r="H17" s="34">
        <f t="shared" si="4"/>
        <v>6353.75</v>
      </c>
      <c r="I17" s="34">
        <f t="shared" si="5"/>
        <v>6332.8787615811998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50.4</v>
      </c>
      <c r="D18" s="30"/>
      <c r="E18" s="29">
        <f t="shared" si="1"/>
        <v>0</v>
      </c>
      <c r="F18" s="28">
        <f t="shared" si="2"/>
        <v>50.234442586455629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30.803120987789217</v>
      </c>
      <c r="D19" s="49">
        <f>SUM(D10:D18)</f>
        <v>7321.4</v>
      </c>
      <c r="E19" s="48">
        <f t="shared" si="1"/>
        <v>1</v>
      </c>
      <c r="F19" s="47">
        <f>I19/D19</f>
        <v>30.701936760808415</v>
      </c>
      <c r="G19" s="46">
        <f>F19/C19-1</f>
        <v>-3.2848693163564091E-3</v>
      </c>
      <c r="H19" s="9">
        <f>SUM(H10:H18)</f>
        <v>225521.96999999997</v>
      </c>
      <c r="I19" s="9">
        <f>SUM(I10:I18)</f>
        <v>224781.15980058271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74.8</v>
      </c>
      <c r="D21" s="30">
        <v>103</v>
      </c>
      <c r="E21" s="29">
        <f>D21/$D$48</f>
        <v>6.4217266339553474E-3</v>
      </c>
      <c r="F21" s="28">
        <f>C21-(C21*$E$6)</f>
        <v>74.554291775136534</v>
      </c>
      <c r="G21" s="27" t="str">
        <f>IF(C21&gt;=F21,"-","+")</f>
        <v>-</v>
      </c>
      <c r="H21" s="26">
        <f>C21*D21</f>
        <v>7704.4</v>
      </c>
      <c r="I21" s="26">
        <f>F21*D21</f>
        <v>7679.0920528390634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50.2</v>
      </c>
      <c r="D22" s="30">
        <v>461.3</v>
      </c>
      <c r="E22" s="29">
        <f>D22/$D$48</f>
        <v>2.8760606759646621E-2</v>
      </c>
      <c r="F22" s="28">
        <f>C22-(C22*$E$6)</f>
        <v>50.035099560318905</v>
      </c>
      <c r="G22" s="27" t="str">
        <f>IF(C22&gt;=F22,"-","+")</f>
        <v>-</v>
      </c>
      <c r="H22" s="26">
        <f>C22*D22</f>
        <v>23157.260000000002</v>
      </c>
      <c r="I22" s="26">
        <f>F22*D22</f>
        <v>23081.191427175112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45.8</v>
      </c>
      <c r="D23" s="30">
        <v>232.5</v>
      </c>
      <c r="E23" s="29">
        <f>D23/$D$48</f>
        <v>1.449564507179241E-2</v>
      </c>
      <c r="F23" s="28">
        <f>C23-(C23*$E$6)</f>
        <v>45.649552985310869</v>
      </c>
      <c r="G23" s="27" t="str">
        <f>IF(C23&gt;=F23,"-","+")</f>
        <v>-</v>
      </c>
      <c r="H23" s="26">
        <f>C23*D23</f>
        <v>10648.5</v>
      </c>
      <c r="I23" s="26">
        <f>F23*D23</f>
        <v>10613.521069084778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52.096084337349403</v>
      </c>
      <c r="D24" s="22">
        <f>SUM(D21:D23)</f>
        <v>796.8</v>
      </c>
      <c r="E24" s="21">
        <f>D24/$D$48</f>
        <v>4.9677978465394373E-2</v>
      </c>
      <c r="F24" s="20">
        <f>I24/D24</f>
        <v>51.924955508407322</v>
      </c>
      <c r="G24" s="19">
        <f>F24/C24-1</f>
        <v>-3.2848693163565201E-3</v>
      </c>
      <c r="H24" s="18">
        <f>SUM(H21:H23)</f>
        <v>41510.160000000003</v>
      </c>
      <c r="I24" s="18">
        <f>SUM(I21:I23)</f>
        <v>41373.804549098953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39.9</v>
      </c>
      <c r="D26" s="30">
        <f>567.5+2008.4</f>
        <v>2575.9</v>
      </c>
      <c r="E26" s="29">
        <f t="shared" ref="E26:E32" si="7">D26/$D$48</f>
        <v>0.16059927802335514</v>
      </c>
      <c r="F26" s="28">
        <f t="shared" ref="F26:F31" si="8">C26-(C26*$E$6)</f>
        <v>39.768933714277374</v>
      </c>
      <c r="G26" s="27" t="str">
        <f t="shared" ref="G26:G31" si="9">IF(C26&gt;=F26,"-","+")</f>
        <v>-</v>
      </c>
      <c r="H26" s="26">
        <f t="shared" ref="H26:H31" si="10">C26*D26</f>
        <v>102778.41</v>
      </c>
      <c r="I26" s="26">
        <f t="shared" ref="I26:I31" si="11">F26*D26</f>
        <v>102440.7963546071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35.6</v>
      </c>
      <c r="D27" s="30">
        <v>2494.4</v>
      </c>
      <c r="E27" s="29">
        <f t="shared" si="7"/>
        <v>0.15551800889066233</v>
      </c>
      <c r="F27" s="28">
        <f t="shared" si="8"/>
        <v>35.483058652337711</v>
      </c>
      <c r="G27" s="27" t="str">
        <f t="shared" si="9"/>
        <v>-</v>
      </c>
      <c r="H27" s="26">
        <f t="shared" si="10"/>
        <v>88800.640000000014</v>
      </c>
      <c r="I27" s="26">
        <f t="shared" si="11"/>
        <v>88508.941502391186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35.6</v>
      </c>
      <c r="D28" s="30">
        <v>1972.2</v>
      </c>
      <c r="E28" s="29">
        <f t="shared" si="7"/>
        <v>0.12296047832511395</v>
      </c>
      <c r="F28" s="28">
        <f t="shared" si="8"/>
        <v>35.483058652337711</v>
      </c>
      <c r="G28" s="27" t="str">
        <f t="shared" si="9"/>
        <v>-</v>
      </c>
      <c r="H28" s="26">
        <f t="shared" si="10"/>
        <v>70210.320000000007</v>
      </c>
      <c r="I28" s="26">
        <f t="shared" si="11"/>
        <v>69979.688274140441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34.4</v>
      </c>
      <c r="D29" s="30">
        <v>1961</v>
      </c>
      <c r="E29" s="29">
        <f t="shared" si="7"/>
        <v>0.12226219348724696</v>
      </c>
      <c r="F29" s="28">
        <f t="shared" si="8"/>
        <v>34.287000495517333</v>
      </c>
      <c r="G29" s="27" t="str">
        <f t="shared" si="9"/>
        <v>-</v>
      </c>
      <c r="H29" s="26">
        <f t="shared" si="10"/>
        <v>67458.399999999994</v>
      </c>
      <c r="I29" s="26">
        <f t="shared" si="11"/>
        <v>67236.807971709495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34.4</v>
      </c>
      <c r="D30" s="30">
        <v>1201</v>
      </c>
      <c r="E30" s="29">
        <f t="shared" si="7"/>
        <v>7.4878579489129835E-2</v>
      </c>
      <c r="F30" s="28">
        <f t="shared" si="8"/>
        <v>34.287000495517333</v>
      </c>
      <c r="G30" s="27" t="str">
        <f t="shared" si="9"/>
        <v>-</v>
      </c>
      <c r="H30" s="26">
        <f t="shared" si="10"/>
        <v>41314.400000000001</v>
      </c>
      <c r="I30" s="26">
        <f t="shared" si="11"/>
        <v>41178.687595116317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35</v>
      </c>
      <c r="D31" s="30">
        <v>254.5</v>
      </c>
      <c r="E31" s="29">
        <f t="shared" si="7"/>
        <v>1.5867276003316853E-2</v>
      </c>
      <c r="F31" s="28">
        <f t="shared" si="8"/>
        <v>34.885029573927525</v>
      </c>
      <c r="G31" s="27" t="str">
        <f t="shared" si="9"/>
        <v>-</v>
      </c>
      <c r="H31" s="26">
        <f t="shared" si="10"/>
        <v>8907.5</v>
      </c>
      <c r="I31" s="26">
        <f t="shared" si="11"/>
        <v>8878.2400265645556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36.281639736112446</v>
      </c>
      <c r="D32" s="22">
        <f>SUM(D26:D31)</f>
        <v>10459</v>
      </c>
      <c r="E32" s="21">
        <f t="shared" si="7"/>
        <v>0.65208581421882506</v>
      </c>
      <c r="F32" s="20">
        <f>I32/D32</f>
        <v>36.162459290996189</v>
      </c>
      <c r="G32" s="19">
        <f>F32/C32-1</f>
        <v>-3.2848693163565201E-3</v>
      </c>
      <c r="H32" s="18">
        <f>SUM(H26:H31)</f>
        <v>379469.67000000004</v>
      </c>
      <c r="I32" s="18">
        <f>SUM(I26:I31)</f>
        <v>378223.16172452911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21</v>
      </c>
      <c r="D34" s="30">
        <v>2284</v>
      </c>
      <c r="E34" s="29">
        <f t="shared" ref="E34:E40" si="13">D34/$D$48</f>
        <v>0.14240022943644673</v>
      </c>
      <c r="F34" s="28">
        <f t="shared" ref="F34:F39" si="14">C34-(C34*$E$6)</f>
        <v>20.931017744356513</v>
      </c>
      <c r="G34" s="27" t="str">
        <f t="shared" ref="G34:G39" si="15">IF(C34&gt;=F34,"-","+")</f>
        <v>-</v>
      </c>
      <c r="H34" s="26">
        <f t="shared" ref="H34:H39" si="16">C34*D34</f>
        <v>47964</v>
      </c>
      <c r="I34" s="26">
        <f t="shared" ref="I34:I39" si="17">F34*D34</f>
        <v>47806.444528110274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16.2</v>
      </c>
      <c r="D35" s="30">
        <v>100.1</v>
      </c>
      <c r="E35" s="29">
        <f t="shared" si="13"/>
        <v>6.2409207384362163E-3</v>
      </c>
      <c r="F35" s="28">
        <f t="shared" si="14"/>
        <v>16.146785117075023</v>
      </c>
      <c r="G35" s="27" t="str">
        <f t="shared" si="15"/>
        <v>-</v>
      </c>
      <c r="H35" s="26">
        <f t="shared" si="16"/>
        <v>1621.62</v>
      </c>
      <c r="I35" s="26">
        <f t="shared" si="17"/>
        <v>1616.2931902192097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13</v>
      </c>
      <c r="D36" s="30"/>
      <c r="E36" s="29">
        <f t="shared" si="13"/>
        <v>0</v>
      </c>
      <c r="F36" s="28">
        <f t="shared" si="14"/>
        <v>12.957296698887365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34.4</v>
      </c>
      <c r="D37" s="30"/>
      <c r="E37" s="29">
        <f t="shared" si="13"/>
        <v>0</v>
      </c>
      <c r="F37" s="28">
        <f t="shared" si="14"/>
        <v>34.287000495517333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34.4</v>
      </c>
      <c r="D38" s="30"/>
      <c r="E38" s="29">
        <f t="shared" si="13"/>
        <v>0</v>
      </c>
      <c r="F38" s="28">
        <f t="shared" si="14"/>
        <v>34.287000495517333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35.6</v>
      </c>
      <c r="D39" s="30"/>
      <c r="E39" s="29">
        <f t="shared" si="13"/>
        <v>0</v>
      </c>
      <c r="F39" s="28">
        <f t="shared" si="14"/>
        <v>35.483058652337711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20.798464829495408</v>
      </c>
      <c r="D40" s="22">
        <f>SUM(D34:D39)</f>
        <v>2384.1</v>
      </c>
      <c r="E40" s="113">
        <f t="shared" si="13"/>
        <v>0.14864115017488294</v>
      </c>
      <c r="F40" s="20">
        <f>I40/D40</f>
        <v>20.730144590549678</v>
      </c>
      <c r="G40" s="19">
        <f>F40/C40-1</f>
        <v>-3.2848693163565201E-3</v>
      </c>
      <c r="H40" s="18">
        <f>SUM(H34:H39)</f>
        <v>49585.62</v>
      </c>
      <c r="I40" s="18">
        <f>SUM(I34:I39)</f>
        <v>49422.737718329481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2275</v>
      </c>
      <c r="E42" s="107">
        <f>D42/$D$48</f>
        <v>0.14183910769173219</v>
      </c>
      <c r="F42" s="28">
        <f>C42-(C42*$E$6)</f>
        <v>0.49835756534182174</v>
      </c>
      <c r="G42" s="27" t="str">
        <f>IF(C42&gt;=F42,"-","+")</f>
        <v>-</v>
      </c>
      <c r="H42" s="26">
        <f>C42*D42</f>
        <v>1137.5</v>
      </c>
      <c r="I42" s="26">
        <f>F42*D42</f>
        <v>1133.7634611526444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92.7</v>
      </c>
      <c r="E43" s="107">
        <f>D43/$D$48</f>
        <v>5.7795539705598128E-3</v>
      </c>
      <c r="F43" s="28">
        <f>C43-(C43*$E$6)</f>
        <v>0.49835756534182174</v>
      </c>
      <c r="G43" s="27" t="str">
        <f>IF(C43&gt;=F43,"-","+")</f>
        <v>-</v>
      </c>
      <c r="H43" s="26">
        <f>C43*D43</f>
        <v>46.35</v>
      </c>
      <c r="I43" s="26">
        <f>F43*D43</f>
        <v>46.197746307186875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24</v>
      </c>
      <c r="E44" s="107">
        <f>D44/$D$48</f>
        <v>1.4963246525721199E-3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7.7</v>
      </c>
      <c r="E45" s="107">
        <f>D45/$D$48</f>
        <v>4.8007082603355512E-4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0.49339418187880307</v>
      </c>
      <c r="D46" s="22">
        <f>SUM(D41:D45)</f>
        <v>2399.3999999999996</v>
      </c>
      <c r="E46" s="113">
        <f>D46/$D$48</f>
        <v>0.14959505714089766</v>
      </c>
      <c r="F46" s="20">
        <f>I46/D46</f>
        <v>0.49177344646988058</v>
      </c>
      <c r="G46" s="19">
        <f>F46/C46-1</f>
        <v>-3.2848693163565201E-3</v>
      </c>
      <c r="H46" s="18">
        <f>SUM(H41:H44)</f>
        <v>1183.8499999999999</v>
      </c>
      <c r="I46" s="18">
        <f>SUM(I41:I44)</f>
        <v>1179.9612074598313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109.66958308483605</v>
      </c>
      <c r="D48" s="13">
        <f>D24+D32+D40+D46</f>
        <v>16039.3</v>
      </c>
      <c r="E48" s="12">
        <f>SUM(E20:E46)/2</f>
        <v>1</v>
      </c>
      <c r="F48" s="11">
        <f>I48/D48</f>
        <v>29.315472944543558</v>
      </c>
      <c r="G48" s="10"/>
      <c r="H48" s="9">
        <f>SUM(H20:H46)/2</f>
        <v>471749.3</v>
      </c>
      <c r="I48" s="9">
        <f>SUM(I20:I46)/2</f>
        <v>470199.66519941745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23360.699999999997</v>
      </c>
      <c r="E50" s="12">
        <f>D50/G2</f>
        <v>0.99999999999999989</v>
      </c>
      <c r="F50" s="11">
        <f>I50/D50</f>
        <v>29.750000000000011</v>
      </c>
      <c r="G50" s="10"/>
      <c r="H50" s="9">
        <f>H48+H19</f>
        <v>697271.27</v>
      </c>
      <c r="I50" s="9">
        <f>I48+I19</f>
        <v>694980.82500000019</v>
      </c>
      <c r="J50" s="106">
        <f>D50-G2</f>
        <v>0</v>
      </c>
      <c r="K50" s="8"/>
    </row>
    <row r="51" spans="1:11" ht="23.25" x14ac:dyDescent="0.35">
      <c r="A51" s="174" t="s">
        <v>456</v>
      </c>
      <c r="B51" s="169"/>
      <c r="C51" s="170"/>
      <c r="G51" s="7"/>
      <c r="H51" s="6"/>
      <c r="I51" s="6">
        <f>+I50/D50</f>
        <v>29.750000000000011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457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457</v>
      </c>
      <c r="D2" s="96" t="s">
        <v>3</v>
      </c>
      <c r="E2" s="95" t="s">
        <v>362</v>
      </c>
      <c r="F2" s="94" t="s">
        <v>5</v>
      </c>
      <c r="G2" s="93">
        <v>14872.7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192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77.461979166666666</v>
      </c>
      <c r="F4" s="81" t="s">
        <v>12</v>
      </c>
      <c r="G4" s="80">
        <f>G2*G3</f>
        <v>431308.30000000005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2.69537603163994E-3</v>
      </c>
      <c r="F6" s="69" t="s">
        <v>16</v>
      </c>
      <c r="G6" s="68">
        <f>(I50-I19)/(D50-(SUM(D42:D44)+D19))</f>
        <v>34.184153377928546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 t="e">
        <f t="shared" ref="E10:E19" si="1">D10/$D$19</f>
        <v>#DIV/0!</v>
      </c>
      <c r="F10" s="28">
        <f t="shared" ref="F10:F18" si="2">C10-(C10*$E$6)</f>
        <v>28.921834095082442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/>
      <c r="E11" s="29" t="e">
        <f t="shared" si="1"/>
        <v>#DIV/0!</v>
      </c>
      <c r="F11" s="28">
        <f t="shared" si="2"/>
        <v>30.118599643844473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/>
      <c r="E12" s="29" t="e">
        <f t="shared" si="1"/>
        <v>#DIV/0!</v>
      </c>
      <c r="F12" s="28">
        <f t="shared" si="2"/>
        <v>27.525607621526738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 t="e">
        <f t="shared" si="1"/>
        <v>#DIV/0!</v>
      </c>
      <c r="F13" s="28">
        <f t="shared" si="2"/>
        <v>30.118599643844473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 t="e">
        <f t="shared" si="1"/>
        <v>#DIV/0!</v>
      </c>
      <c r="F14" s="28">
        <f t="shared" si="2"/>
        <v>33.708896290130568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 t="e">
        <f t="shared" si="1"/>
        <v>#DIV/0!</v>
      </c>
      <c r="F15" s="28">
        <f t="shared" si="2"/>
        <v>27.725068546320411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 t="e">
        <f t="shared" si="1"/>
        <v>#DIV/0!</v>
      </c>
      <c r="F16" s="28">
        <f t="shared" si="2"/>
        <v>37.997306173194517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 t="e">
        <f t="shared" si="1"/>
        <v>#DIV/0!</v>
      </c>
      <c r="F17" s="28">
        <f t="shared" si="2"/>
        <v>55.948789404625003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 t="e">
        <f t="shared" si="1"/>
        <v>#DIV/0!</v>
      </c>
      <c r="F18" s="28">
        <f t="shared" si="2"/>
        <v>48.967657036846482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186.6</v>
      </c>
      <c r="E21" s="29">
        <f>D21/$D$48</f>
        <v>1.2546477774714744E-2</v>
      </c>
      <c r="F21" s="28">
        <f>C21-(C21*$E$6)</f>
        <v>72.70350708729346</v>
      </c>
      <c r="G21" s="27" t="str">
        <f>IF(C21&gt;=F21,"-","+")</f>
        <v>-</v>
      </c>
      <c r="H21" s="26">
        <f>C21*D21</f>
        <v>13603.140000000001</v>
      </c>
      <c r="I21" s="26">
        <f>F21*D21</f>
        <v>13566.47442248896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455.5</v>
      </c>
      <c r="E22" s="29">
        <f>D22/$D$48</f>
        <v>3.0626584278577527E-2</v>
      </c>
      <c r="F22" s="28">
        <f>C22-(C22*$E$6)</f>
        <v>48.86792657444964</v>
      </c>
      <c r="G22" s="27" t="str">
        <f>IF(C22&gt;=F22,"-","+")</f>
        <v>-</v>
      </c>
      <c r="H22" s="26">
        <f>C22*D22</f>
        <v>22319.5</v>
      </c>
      <c r="I22" s="26">
        <f>F22*D22</f>
        <v>22259.340554661812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400.4</v>
      </c>
      <c r="E23" s="29">
        <f>D23/$D$48</f>
        <v>2.6921809758819849E-2</v>
      </c>
      <c r="F23" s="28">
        <f>C23-(C23*$E$6)</f>
        <v>44.579516691385699</v>
      </c>
      <c r="G23" s="27" t="str">
        <f>IF(C23&gt;=F23,"-","+")</f>
        <v>-</v>
      </c>
      <c r="H23" s="26">
        <f>C23*D23</f>
        <v>17897.88</v>
      </c>
      <c r="I23" s="26">
        <f>F23*D23</f>
        <v>17849.638483230832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51.626398081534774</v>
      </c>
      <c r="D24" s="22">
        <f>SUM(D21:D23)</f>
        <v>1042.5</v>
      </c>
      <c r="E24" s="21">
        <f>D24/$D$48</f>
        <v>7.0094871812112117E-2</v>
      </c>
      <c r="F24" s="20">
        <f>I24/D24</f>
        <v>51.487245525545909</v>
      </c>
      <c r="G24" s="19">
        <f>F24/C24-1</f>
        <v>-2.695376031639829E-3</v>
      </c>
      <c r="H24" s="18">
        <f>SUM(H21:H23)</f>
        <v>53820.520000000004</v>
      </c>
      <c r="I24" s="18">
        <f>SUM(I21:I23)</f>
        <v>53675.453460381606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v>2856.3</v>
      </c>
      <c r="E26" s="29">
        <f t="shared" ref="E26:E32" si="7">D26/$D$48</f>
        <v>0.19204986317212072</v>
      </c>
      <c r="F26" s="28">
        <f t="shared" ref="F26:F31" si="8">C26-(C26*$E$6)</f>
        <v>38.795149872369208</v>
      </c>
      <c r="G26" s="27" t="str">
        <f t="shared" ref="G26:G31" si="9">IF(C26&gt;=F26,"-","+")</f>
        <v>-</v>
      </c>
      <c r="H26" s="26">
        <f t="shared" ref="H26:H31" si="10">C26*D26</f>
        <v>111110.07</v>
      </c>
      <c r="I26" s="26">
        <f t="shared" ref="I26:I31" si="11">F26*D26</f>
        <v>110810.58658044817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2064</v>
      </c>
      <c r="E27" s="29">
        <f t="shared" si="7"/>
        <v>0.13877776059491551</v>
      </c>
      <c r="F27" s="28">
        <f t="shared" si="8"/>
        <v>34.606470451702094</v>
      </c>
      <c r="G27" s="27" t="str">
        <f t="shared" si="9"/>
        <v>-</v>
      </c>
      <c r="H27" s="26">
        <f t="shared" si="10"/>
        <v>71620.800000000003</v>
      </c>
      <c r="I27" s="26">
        <f t="shared" si="11"/>
        <v>71427.755012313122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1323.4</v>
      </c>
      <c r="E28" s="29">
        <f t="shared" si="7"/>
        <v>8.8981825761294181E-2</v>
      </c>
      <c r="F28" s="28">
        <f t="shared" si="8"/>
        <v>34.606470451702094</v>
      </c>
      <c r="G28" s="27" t="str">
        <f t="shared" si="9"/>
        <v>-</v>
      </c>
      <c r="H28" s="26">
        <f t="shared" si="10"/>
        <v>45921.98000000001</v>
      </c>
      <c r="I28" s="26">
        <f t="shared" si="11"/>
        <v>45798.202995782558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1610.3</v>
      </c>
      <c r="E29" s="29">
        <f t="shared" si="7"/>
        <v>0.10827220343313587</v>
      </c>
      <c r="F29" s="28">
        <f t="shared" si="8"/>
        <v>33.409704902940064</v>
      </c>
      <c r="G29" s="27" t="str">
        <f t="shared" si="9"/>
        <v>-</v>
      </c>
      <c r="H29" s="26">
        <f t="shared" si="10"/>
        <v>53945.049999999996</v>
      </c>
      <c r="I29" s="26">
        <f t="shared" si="11"/>
        <v>53799.647805204382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976.3</v>
      </c>
      <c r="E30" s="29">
        <f t="shared" si="7"/>
        <v>6.5643763405434111E-2</v>
      </c>
      <c r="F30" s="28">
        <f t="shared" si="8"/>
        <v>33.409704902940064</v>
      </c>
      <c r="G30" s="27" t="str">
        <f t="shared" si="9"/>
        <v>-</v>
      </c>
      <c r="H30" s="26">
        <f t="shared" si="10"/>
        <v>32706.05</v>
      </c>
      <c r="I30" s="26">
        <f t="shared" si="11"/>
        <v>32617.894896740381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448.6</v>
      </c>
      <c r="E31" s="29">
        <f t="shared" si="7"/>
        <v>3.0162646997518944E-2</v>
      </c>
      <c r="F31" s="28">
        <f t="shared" si="8"/>
        <v>34.008087677321079</v>
      </c>
      <c r="G31" s="27" t="str">
        <f t="shared" si="9"/>
        <v>-</v>
      </c>
      <c r="H31" s="26">
        <f t="shared" si="10"/>
        <v>15297.260000000002</v>
      </c>
      <c r="I31" s="26">
        <f t="shared" si="11"/>
        <v>15256.028132046236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35.629353694942282</v>
      </c>
      <c r="D32" s="22">
        <f>SUM(D26:D31)</f>
        <v>9278.9000000000015</v>
      </c>
      <c r="E32" s="21">
        <f t="shared" si="7"/>
        <v>0.62388806336441949</v>
      </c>
      <c r="F32" s="20">
        <f>I32/D32</f>
        <v>35.533319188970111</v>
      </c>
      <c r="G32" s="19">
        <f>F32/C32-1</f>
        <v>-2.69537603163994E-3</v>
      </c>
      <c r="H32" s="18">
        <f>SUM(H26:H31)</f>
        <v>330601.21000000002</v>
      </c>
      <c r="I32" s="18">
        <f>SUM(I26:I31)</f>
        <v>329710.11542253481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2289</v>
      </c>
      <c r="E34" s="29">
        <f t="shared" ref="E34:E40" si="13">D34/$D$48</f>
        <v>0.15390615019465193</v>
      </c>
      <c r="F34" s="28">
        <f t="shared" ref="F34:F39" si="14">C34-(C34*$E$6)</f>
        <v>20.444744791351383</v>
      </c>
      <c r="G34" s="27" t="str">
        <f t="shared" ref="G34:G39" si="15">IF(C34&gt;=F34,"-","+")</f>
        <v>-</v>
      </c>
      <c r="H34" s="26">
        <f t="shared" ref="H34:H39" si="16">C34*D34</f>
        <v>46924.5</v>
      </c>
      <c r="I34" s="26">
        <f t="shared" ref="I34:I39" si="17">F34*D34</f>
        <v>46798.020827403314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/>
      <c r="E35" s="29">
        <f t="shared" si="13"/>
        <v>0</v>
      </c>
      <c r="F35" s="28">
        <f t="shared" si="14"/>
        <v>15.75741305870009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12.665768724398172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33.409704902940064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33.409704902940064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34.606470451702094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</v>
      </c>
      <c r="D40" s="22">
        <f>SUM(D34:D39)</f>
        <v>2289</v>
      </c>
      <c r="E40" s="113">
        <f t="shared" si="13"/>
        <v>0.15390615019465193</v>
      </c>
      <c r="F40" s="20">
        <f>I40/D40</f>
        <v>20.444744791351383</v>
      </c>
      <c r="G40" s="19">
        <f>F40/C40-1</f>
        <v>-2.695376031639829E-3</v>
      </c>
      <c r="H40" s="18">
        <f>SUM(H34:H39)</f>
        <v>46924.5</v>
      </c>
      <c r="I40" s="18">
        <f>SUM(I34:I39)</f>
        <v>46798.020827403314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2149</v>
      </c>
      <c r="E42" s="107">
        <f>D42/$D$48</f>
        <v>0.14449292999926039</v>
      </c>
      <c r="F42" s="28">
        <f>C42-(C42*$E$6)</f>
        <v>0.49865231198418003</v>
      </c>
      <c r="G42" s="27" t="str">
        <f>IF(C42&gt;=F42,"-","+")</f>
        <v>-</v>
      </c>
      <c r="H42" s="26">
        <f>C42*D42</f>
        <v>1074.5</v>
      </c>
      <c r="I42" s="26">
        <f>F42*D42</f>
        <v>1071.603818454003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106.5</v>
      </c>
      <c r="E43" s="107">
        <f>D43/$D$48</f>
        <v>7.1607710772085761E-3</v>
      </c>
      <c r="F43" s="28">
        <f>C43-(C43*$E$6)</f>
        <v>0.49865231198418003</v>
      </c>
      <c r="G43" s="27" t="str">
        <f>IF(C43&gt;=F43,"-","+")</f>
        <v>-</v>
      </c>
      <c r="H43" s="26">
        <f>C43*D43</f>
        <v>53.25</v>
      </c>
      <c r="I43" s="26">
        <f>F43*D43</f>
        <v>53.106471226315172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6.8</v>
      </c>
      <c r="E45" s="107">
        <f>D45/$D$48</f>
        <v>4.5721355234758985E-4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0.49849710471643899</v>
      </c>
      <c r="D46" s="22">
        <f>SUM(D41:D45)</f>
        <v>2262.3000000000002</v>
      </c>
      <c r="E46" s="113">
        <f>D46/$D$48</f>
        <v>0.15211091462881657</v>
      </c>
      <c r="F46" s="20">
        <f>I46/D46</f>
        <v>0.49715346756854439</v>
      </c>
      <c r="G46" s="19">
        <f>F46/C46-1</f>
        <v>-2.69537603163994E-3</v>
      </c>
      <c r="H46" s="18">
        <f>SUM(H41:H44)</f>
        <v>1127.75</v>
      </c>
      <c r="I46" s="18">
        <f>SUM(I41:I44)</f>
        <v>1124.7102896803181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108.25424888119349</v>
      </c>
      <c r="D48" s="13">
        <f>D24+D32+D40+D46</f>
        <v>14872.7</v>
      </c>
      <c r="E48" s="12">
        <f>SUM(E20:E46)/2</f>
        <v>1</v>
      </c>
      <c r="F48" s="11">
        <f>I48/D48</f>
        <v>29</v>
      </c>
      <c r="G48" s="10"/>
      <c r="H48" s="9">
        <f>SUM(H20:H46)/2</f>
        <v>432473.98</v>
      </c>
      <c r="I48" s="9">
        <f>SUM(I20:I46)/2</f>
        <v>431308.30000000005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14872.7</v>
      </c>
      <c r="E50" s="12">
        <f>D50/G2</f>
        <v>1</v>
      </c>
      <c r="F50" s="11">
        <f>I50/D50</f>
        <v>29</v>
      </c>
      <c r="G50" s="10"/>
      <c r="H50" s="9">
        <f>H48+H19</f>
        <v>432473.98</v>
      </c>
      <c r="I50" s="9">
        <f>I48+I19</f>
        <v>431308.30000000005</v>
      </c>
      <c r="J50" s="106">
        <f>D50-G2</f>
        <v>0</v>
      </c>
      <c r="K50" s="8"/>
    </row>
    <row r="51" spans="1:11" ht="23.25" x14ac:dyDescent="0.35">
      <c r="A51" s="174" t="s">
        <v>458</v>
      </c>
      <c r="B51" s="169"/>
      <c r="C51" s="170"/>
      <c r="G51" s="7"/>
      <c r="H51" s="6"/>
      <c r="I51" s="6">
        <f>+I50/D50</f>
        <v>29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457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457</v>
      </c>
      <c r="D2" s="96" t="s">
        <v>3</v>
      </c>
      <c r="E2" s="95" t="s">
        <v>362</v>
      </c>
      <c r="F2" s="94" t="s">
        <v>5</v>
      </c>
      <c r="G2" s="93">
        <v>13649.1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176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77.551704545454541</v>
      </c>
      <c r="F4" s="81" t="s">
        <v>12</v>
      </c>
      <c r="G4" s="80">
        <f>G2*G3</f>
        <v>395823.9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-8.2342136943358568E-3</v>
      </c>
      <c r="F6" s="69" t="s">
        <v>16</v>
      </c>
      <c r="G6" s="68">
        <f>(I50-I19)/(D50-(SUM(D42:D44)+D19))</f>
        <v>34.15545751731252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29.238792197135741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>
        <v>273.89999999999998</v>
      </c>
      <c r="E11" s="29">
        <f t="shared" si="1"/>
        <v>0.44660035871514758</v>
      </c>
      <c r="F11" s="28">
        <f t="shared" si="2"/>
        <v>30.448673253568941</v>
      </c>
      <c r="G11" s="27" t="str">
        <f t="shared" si="3"/>
        <v>+</v>
      </c>
      <c r="H11" s="34">
        <f t="shared" si="4"/>
        <v>8271.7799999999988</v>
      </c>
      <c r="I11" s="34">
        <f t="shared" si="5"/>
        <v>8339.8916041525317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>
        <v>339.4</v>
      </c>
      <c r="E12" s="29">
        <f t="shared" si="1"/>
        <v>0.55339964128485242</v>
      </c>
      <c r="F12" s="28">
        <f t="shared" si="2"/>
        <v>27.827264297963673</v>
      </c>
      <c r="G12" s="27" t="str">
        <f t="shared" si="3"/>
        <v>+</v>
      </c>
      <c r="H12" s="34">
        <f t="shared" si="4"/>
        <v>9367.44</v>
      </c>
      <c r="I12" s="34">
        <f t="shared" si="5"/>
        <v>9444.5735027288702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>
        <f t="shared" si="1"/>
        <v>0</v>
      </c>
      <c r="F13" s="28">
        <f t="shared" si="2"/>
        <v>30.448673253568941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>
        <f t="shared" si="1"/>
        <v>0</v>
      </c>
      <c r="F14" s="28">
        <f t="shared" si="2"/>
        <v>34.078316422868546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>
        <f t="shared" si="1"/>
        <v>0</v>
      </c>
      <c r="F15" s="28">
        <f t="shared" si="2"/>
        <v>28.028911140702537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>
        <f t="shared" si="1"/>
        <v>0</v>
      </c>
      <c r="F16" s="28">
        <f t="shared" si="2"/>
        <v>38.413723541754194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>
        <f t="shared" si="1"/>
        <v>0</v>
      </c>
      <c r="F17" s="28">
        <f t="shared" si="2"/>
        <v>56.561939388252242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49.504299892391892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28.761160932659386</v>
      </c>
      <c r="D19" s="49">
        <f>SUM(D10:D18)</f>
        <v>613.29999999999995</v>
      </c>
      <c r="E19" s="48">
        <f t="shared" si="1"/>
        <v>1</v>
      </c>
      <c r="F19" s="47">
        <f>I19/D19</f>
        <v>28.997986477876086</v>
      </c>
      <c r="G19" s="46">
        <f>F19/C19-1</f>
        <v>8.2342136943358568E-3</v>
      </c>
      <c r="H19" s="9">
        <f>SUM(H10:H18)</f>
        <v>17639.22</v>
      </c>
      <c r="I19" s="9">
        <f>SUM(I10:I18)</f>
        <v>17784.465106881402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128.19999999999999</v>
      </c>
      <c r="E21" s="29">
        <f>D21/$D$48</f>
        <v>9.8344558830298079E-3</v>
      </c>
      <c r="F21" s="28">
        <f>C21-(C21*$E$6)</f>
        <v>73.500274178317085</v>
      </c>
      <c r="G21" s="27" t="str">
        <f>IF(C21&gt;=F21,"-","+")</f>
        <v>+</v>
      </c>
      <c r="H21" s="26">
        <f>C21*D21</f>
        <v>9345.7800000000007</v>
      </c>
      <c r="I21" s="26">
        <f>F21*D21</f>
        <v>9422.7351496602496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442.2</v>
      </c>
      <c r="E22" s="29">
        <f>D22/$D$48</f>
        <v>3.3921968732260388E-2</v>
      </c>
      <c r="F22" s="28">
        <f>C22-(C22*$E$6)</f>
        <v>49.403476471022458</v>
      </c>
      <c r="G22" s="27" t="str">
        <f>IF(C22&gt;=F22,"-","+")</f>
        <v>+</v>
      </c>
      <c r="H22" s="26">
        <f>C22*D22</f>
        <v>21667.8</v>
      </c>
      <c r="I22" s="26">
        <f>F22*D22</f>
        <v>21846.217295486131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279.10000000000002</v>
      </c>
      <c r="E23" s="29">
        <f>D23/$D$48</f>
        <v>2.1410270179045399E-2</v>
      </c>
      <c r="F23" s="28">
        <f>C23-(C23*$E$6)</f>
        <v>45.068069352136817</v>
      </c>
      <c r="G23" s="27" t="str">
        <f>IF(C23&gt;=F23,"-","+")</f>
        <v>+</v>
      </c>
      <c r="H23" s="26">
        <f>C23*D23</f>
        <v>12475.770000000002</v>
      </c>
      <c r="I23" s="26">
        <f>F23*D23</f>
        <v>12578.498156181387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51.194055326662749</v>
      </c>
      <c r="D24" s="22">
        <f>SUM(D21:D23)</f>
        <v>849.5</v>
      </c>
      <c r="E24" s="21">
        <f>D24/$D$48</f>
        <v>6.5166694794335595E-2</v>
      </c>
      <c r="F24" s="20">
        <f>I24/D24</f>
        <v>51.615598118102142</v>
      </c>
      <c r="G24" s="19">
        <f>F24/C24-1</f>
        <v>8.2342136943358568E-3</v>
      </c>
      <c r="H24" s="18">
        <f>SUM(H21:H23)</f>
        <v>43489.350000000006</v>
      </c>
      <c r="I24" s="18">
        <f>SUM(I21:I23)</f>
        <v>43847.450601327771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f>580+180.3+1173.7</f>
        <v>1934</v>
      </c>
      <c r="E26" s="29">
        <f t="shared" ref="E26:E32" si="7">D26/$D$48</f>
        <v>0.14836066831341382</v>
      </c>
      <c r="F26" s="28">
        <f t="shared" ref="F26:F31" si="8">C26-(C26*$E$6)</f>
        <v>39.220310912709664</v>
      </c>
      <c r="G26" s="27" t="str">
        <f t="shared" ref="G26:G31" si="9">IF(C26&gt;=F26,"-","+")</f>
        <v>+</v>
      </c>
      <c r="H26" s="26">
        <f t="shared" ref="H26:H31" si="10">C26*D26</f>
        <v>75232.599999999991</v>
      </c>
      <c r="I26" s="26">
        <f t="shared" ref="I26:I31" si="11">F26*D26</f>
        <v>75852.081305180487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2093</v>
      </c>
      <c r="E27" s="29">
        <f t="shared" si="7"/>
        <v>0.16055784838675033</v>
      </c>
      <c r="F27" s="28">
        <f t="shared" si="8"/>
        <v>34.985727215193457</v>
      </c>
      <c r="G27" s="27" t="str">
        <f t="shared" si="9"/>
        <v>+</v>
      </c>
      <c r="H27" s="26">
        <f t="shared" si="10"/>
        <v>72627.100000000006</v>
      </c>
      <c r="I27" s="26">
        <f t="shared" si="11"/>
        <v>73225.127061399908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1666</v>
      </c>
      <c r="E28" s="29">
        <f t="shared" si="7"/>
        <v>0.12780189938477116</v>
      </c>
      <c r="F28" s="28">
        <f t="shared" si="8"/>
        <v>34.985727215193457</v>
      </c>
      <c r="G28" s="27" t="str">
        <f t="shared" si="9"/>
        <v>+</v>
      </c>
      <c r="H28" s="26">
        <f t="shared" si="10"/>
        <v>57810.200000000004</v>
      </c>
      <c r="I28" s="26">
        <f t="shared" si="11"/>
        <v>58286.221540512299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1495</v>
      </c>
      <c r="E29" s="29">
        <f t="shared" si="7"/>
        <v>0.11468417741910737</v>
      </c>
      <c r="F29" s="28">
        <f t="shared" si="8"/>
        <v>33.775846158760253</v>
      </c>
      <c r="G29" s="27" t="str">
        <f t="shared" si="9"/>
        <v>+</v>
      </c>
      <c r="H29" s="26">
        <f t="shared" si="10"/>
        <v>50082.5</v>
      </c>
      <c r="I29" s="26">
        <f t="shared" si="11"/>
        <v>50494.890007346577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794.6</v>
      </c>
      <c r="E30" s="29">
        <f t="shared" si="7"/>
        <v>6.0955215636938273E-2</v>
      </c>
      <c r="F30" s="28">
        <f t="shared" si="8"/>
        <v>33.775846158760253</v>
      </c>
      <c r="G30" s="27" t="str">
        <f t="shared" si="9"/>
        <v>+</v>
      </c>
      <c r="H30" s="26">
        <f t="shared" si="10"/>
        <v>26619.100000000002</v>
      </c>
      <c r="I30" s="26">
        <f t="shared" si="11"/>
        <v>26838.287357750898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192</v>
      </c>
      <c r="E31" s="29">
        <f t="shared" si="7"/>
        <v>1.4728670277236532E-2</v>
      </c>
      <c r="F31" s="28">
        <f t="shared" si="8"/>
        <v>34.380786686976855</v>
      </c>
      <c r="G31" s="27" t="str">
        <f t="shared" si="9"/>
        <v>+</v>
      </c>
      <c r="H31" s="26">
        <f t="shared" si="10"/>
        <v>6547.2000000000007</v>
      </c>
      <c r="I31" s="26">
        <f t="shared" si="11"/>
        <v>6601.1110438995565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35.343466346977223</v>
      </c>
      <c r="D32" s="22">
        <f>SUM(D26:D31)</f>
        <v>8174.6</v>
      </c>
      <c r="E32" s="21">
        <f t="shared" si="7"/>
        <v>0.62708847941821755</v>
      </c>
      <c r="F32" s="20">
        <f>I32/D32</f>
        <v>35.634492001576795</v>
      </c>
      <c r="G32" s="19">
        <f>F32/C32-1</f>
        <v>8.2342136943356348E-3</v>
      </c>
      <c r="H32" s="18">
        <f>SUM(H26:H31)</f>
        <v>288918.7</v>
      </c>
      <c r="I32" s="18">
        <f>SUM(I26:I31)</f>
        <v>291297.71831608971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1996.7</v>
      </c>
      <c r="E34" s="29">
        <f t="shared" ref="E34:E40" si="13">D34/$D$48</f>
        <v>0.15317049970082389</v>
      </c>
      <c r="F34" s="28">
        <f t="shared" ref="F34:F39" si="14">C34-(C34*$E$6)</f>
        <v>20.668801380733886</v>
      </c>
      <c r="G34" s="27" t="str">
        <f t="shared" ref="G34:G39" si="15">IF(C34&gt;=F34,"-","+")</f>
        <v>+</v>
      </c>
      <c r="H34" s="26">
        <f t="shared" ref="H34:H39" si="16">C34*D34</f>
        <v>40932.35</v>
      </c>
      <c r="I34" s="26">
        <f t="shared" ref="I34:I39" si="17">F34*D34</f>
        <v>41269.395716911349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>
        <v>40</v>
      </c>
      <c r="E35" s="29">
        <f t="shared" si="13"/>
        <v>3.0684729744242774E-3</v>
      </c>
      <c r="F35" s="28">
        <f t="shared" si="14"/>
        <v>15.930100576370506</v>
      </c>
      <c r="G35" s="27" t="str">
        <f t="shared" si="15"/>
        <v>+</v>
      </c>
      <c r="H35" s="26">
        <f t="shared" si="16"/>
        <v>632</v>
      </c>
      <c r="I35" s="26">
        <f t="shared" si="17"/>
        <v>637.20402305482025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12.804574513918064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33.775846158760253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33.775846158760253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34.985727215193457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20.407693818431774</v>
      </c>
      <c r="D40" s="22">
        <f>SUM(D34:D39)</f>
        <v>2036.7</v>
      </c>
      <c r="E40" s="113">
        <f t="shared" si="13"/>
        <v>0.15623897267524817</v>
      </c>
      <c r="F40" s="20">
        <f>I40/D40</f>
        <v>20.575735130341322</v>
      </c>
      <c r="G40" s="19">
        <f>F40/C40-1</f>
        <v>8.2342136943360789E-3</v>
      </c>
      <c r="H40" s="18">
        <f>SUM(H34:H39)</f>
        <v>41564.35</v>
      </c>
      <c r="I40" s="18">
        <f>SUM(I34:I39)</f>
        <v>41906.599739966172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1890</v>
      </c>
      <c r="E42" s="107">
        <f>D42/$D$48</f>
        <v>0.14498534804154711</v>
      </c>
      <c r="F42" s="28">
        <f>C42-(C42*$E$6)</f>
        <v>0.50411710684716793</v>
      </c>
      <c r="G42" s="27" t="str">
        <f>IF(C42&gt;=F42,"-","+")</f>
        <v>+</v>
      </c>
      <c r="H42" s="26">
        <f>C42*D42</f>
        <v>945</v>
      </c>
      <c r="I42" s="26">
        <f>F42*D42</f>
        <v>952.78133194114741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69.2</v>
      </c>
      <c r="E43" s="107">
        <f>D43/$D$48</f>
        <v>5.3084582457539999E-3</v>
      </c>
      <c r="F43" s="28">
        <f>C43-(C43*$E$6)</f>
        <v>0.50411710684716793</v>
      </c>
      <c r="G43" s="27" t="str">
        <f>IF(C43&gt;=F43,"-","+")</f>
        <v>+</v>
      </c>
      <c r="H43" s="26">
        <f>C43*D43</f>
        <v>34.6</v>
      </c>
      <c r="I43" s="26">
        <f>F43*D43</f>
        <v>34.884903793824023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8.4</v>
      </c>
      <c r="E44" s="107">
        <f>D44/$D$48</f>
        <v>6.4437932462909828E-4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7.4</v>
      </c>
      <c r="E45" s="107">
        <f>D45/$D$48</f>
        <v>5.6766750026849134E-4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0.49599999999999994</v>
      </c>
      <c r="D46" s="22">
        <f>SUM(D41:D45)</f>
        <v>1975.0000000000002</v>
      </c>
      <c r="E46" s="113">
        <f>D46/$D$48</f>
        <v>0.15150585311219872</v>
      </c>
      <c r="F46" s="20">
        <f>I46/D46</f>
        <v>0.50008416999239058</v>
      </c>
      <c r="G46" s="19">
        <f>F46/C46-1</f>
        <v>8.2342136943360789E-3</v>
      </c>
      <c r="H46" s="18">
        <f>SUM(H41:H44)</f>
        <v>979.6</v>
      </c>
      <c r="I46" s="18">
        <f>SUM(I41:I44)</f>
        <v>987.66623573497145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107.44121549207175</v>
      </c>
      <c r="D48" s="13">
        <f>D24+D32+D40+D46</f>
        <v>13035.800000000001</v>
      </c>
      <c r="E48" s="12">
        <f>SUM(E20:E46)/2</f>
        <v>1.0000000000000002</v>
      </c>
      <c r="F48" s="11">
        <f>I48/D48</f>
        <v>29.000094730904014</v>
      </c>
      <c r="G48" s="10"/>
      <c r="H48" s="9">
        <f>SUM(H20:H46)/2</f>
        <v>374951.99999999994</v>
      </c>
      <c r="I48" s="9">
        <f>SUM(I20:I46)/2</f>
        <v>378039.43489311857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13649.100000000004</v>
      </c>
      <c r="E50" s="12">
        <f>D50/G2</f>
        <v>1.0000000000000002</v>
      </c>
      <c r="F50" s="11">
        <f>I50/D50</f>
        <v>28.999999999999989</v>
      </c>
      <c r="G50" s="10"/>
      <c r="H50" s="9">
        <f>H48+H19</f>
        <v>392591.22</v>
      </c>
      <c r="I50" s="9">
        <f>I48+I19</f>
        <v>395823.89999999997</v>
      </c>
      <c r="J50" s="106">
        <f>D50-G2</f>
        <v>0</v>
      </c>
      <c r="K50" s="8"/>
    </row>
    <row r="51" spans="1:11" ht="23.25" x14ac:dyDescent="0.35">
      <c r="A51" s="174" t="s">
        <v>459</v>
      </c>
      <c r="B51" s="169"/>
      <c r="C51" s="170"/>
      <c r="G51" s="7"/>
      <c r="H51" s="6"/>
      <c r="I51" s="6">
        <f>+I50/D50</f>
        <v>28.999999999999989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tabColor rgb="FF92D050"/>
  </sheetPr>
  <dimension ref="A1:K56"/>
  <sheetViews>
    <sheetView topLeftCell="D1"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455</v>
      </c>
      <c r="D1" s="100" t="s">
        <v>1</v>
      </c>
      <c r="E1" s="168" t="s">
        <v>193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457</v>
      </c>
      <c r="D2" s="96" t="s">
        <v>3</v>
      </c>
      <c r="E2" s="95" t="s">
        <v>112</v>
      </c>
      <c r="F2" s="94" t="s">
        <v>5</v>
      </c>
      <c r="G2" s="93">
        <v>7540.4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334</v>
      </c>
      <c r="D3" s="90" t="s">
        <v>7</v>
      </c>
      <c r="E3" s="89">
        <v>92</v>
      </c>
      <c r="F3" s="88" t="s">
        <v>8</v>
      </c>
      <c r="G3" s="87">
        <v>25.57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81.960869565217394</v>
      </c>
      <c r="F4" s="81" t="s">
        <v>12</v>
      </c>
      <c r="G4" s="80">
        <f>G2*G3</f>
        <v>192808.02799999999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-5.136126529767826E-2</v>
      </c>
      <c r="F6" s="69" t="s">
        <v>16</v>
      </c>
      <c r="G6" s="68">
        <f>(I50-I19)/(D50-(SUM(D42:D44)+D19))</f>
        <v>31.494801940574011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25.6</v>
      </c>
      <c r="D10" s="30"/>
      <c r="E10" s="29" t="e">
        <f t="shared" ref="E10:E19" si="1">D10/$D$19</f>
        <v>#DIV/0!</v>
      </c>
      <c r="F10" s="28">
        <f t="shared" ref="F10:F18" si="2">C10-(C10*$E$6)</f>
        <v>26.914848391620566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26.6</v>
      </c>
      <c r="D11" s="30"/>
      <c r="E11" s="29" t="e">
        <f t="shared" si="1"/>
        <v>#DIV/0!</v>
      </c>
      <c r="F11" s="28">
        <f t="shared" si="2"/>
        <v>27.966209656918242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24.3</v>
      </c>
      <c r="D12" s="30"/>
      <c r="E12" s="29" t="e">
        <f t="shared" si="1"/>
        <v>#DIV/0!</v>
      </c>
      <c r="F12" s="28">
        <f t="shared" si="2"/>
        <v>25.548078746733584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26.6</v>
      </c>
      <c r="D13" s="30"/>
      <c r="E13" s="29" t="e">
        <f t="shared" si="1"/>
        <v>#DIV/0!</v>
      </c>
      <c r="F13" s="28">
        <f t="shared" si="2"/>
        <v>27.966209656918242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29.8</v>
      </c>
      <c r="D14" s="30"/>
      <c r="E14" s="29" t="e">
        <f t="shared" si="1"/>
        <v>#DIV/0!</v>
      </c>
      <c r="F14" s="28">
        <f t="shared" si="2"/>
        <v>31.330565705870814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24.5</v>
      </c>
      <c r="D15" s="30"/>
      <c r="E15" s="29" t="e">
        <f t="shared" si="1"/>
        <v>#DIV/0!</v>
      </c>
      <c r="F15" s="28">
        <f t="shared" si="2"/>
        <v>25.758350999793116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33.6</v>
      </c>
      <c r="D16" s="30"/>
      <c r="E16" s="29" t="e">
        <f t="shared" si="1"/>
        <v>#DIV/0!</v>
      </c>
      <c r="F16" s="28">
        <f t="shared" si="2"/>
        <v>35.325738514001991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49.5</v>
      </c>
      <c r="D17" s="30"/>
      <c r="E17" s="29" t="e">
        <f t="shared" si="1"/>
        <v>#DIV/0!</v>
      </c>
      <c r="F17" s="28">
        <f t="shared" si="2"/>
        <v>52.042382632235075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43.3</v>
      </c>
      <c r="D18" s="30"/>
      <c r="E18" s="29" t="e">
        <f t="shared" si="1"/>
        <v>#DIV/0!</v>
      </c>
      <c r="F18" s="28">
        <f t="shared" si="2"/>
        <v>45.523942787389466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64.3</v>
      </c>
      <c r="D21" s="30">
        <v>96.1</v>
      </c>
      <c r="E21" s="29">
        <f>D21/$D$48</f>
        <v>1.2744681979735823E-2</v>
      </c>
      <c r="F21" s="28">
        <f>C21-(C21*$E$6)</f>
        <v>67.602529358640709</v>
      </c>
      <c r="G21" s="27" t="str">
        <f>IF(C21&gt;=F21,"-","+")</f>
        <v>+</v>
      </c>
      <c r="H21" s="26">
        <f>C21*D21</f>
        <v>6179.23</v>
      </c>
      <c r="I21" s="26">
        <f>F21*D21</f>
        <v>6496.6030713653718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43.2</v>
      </c>
      <c r="D22" s="30">
        <v>198.4</v>
      </c>
      <c r="E22" s="29">
        <f>D22/$D$48</f>
        <v>2.6311601506551378E-2</v>
      </c>
      <c r="F22" s="28">
        <f>C22-(C22*$E$6)</f>
        <v>45.418806660859701</v>
      </c>
      <c r="G22" s="27" t="str">
        <f>IF(C22&gt;=F22,"-","+")</f>
        <v>+</v>
      </c>
      <c r="H22" s="26">
        <f>C22*D22</f>
        <v>8570.880000000001</v>
      </c>
      <c r="I22" s="26">
        <f>F22*D22</f>
        <v>9011.0912415145649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39.4</v>
      </c>
      <c r="D23" s="30">
        <v>201.2</v>
      </c>
      <c r="E23" s="29">
        <f>D23/$D$48</f>
        <v>2.6682934592329319E-2</v>
      </c>
      <c r="F23" s="28">
        <f>C23-(C23*$E$6)</f>
        <v>41.423633852728521</v>
      </c>
      <c r="G23" s="27" t="str">
        <f>IF(C23&gt;=F23,"-","+")</f>
        <v>+</v>
      </c>
      <c r="H23" s="26">
        <f>C23*D23</f>
        <v>7927.2799999999988</v>
      </c>
      <c r="I23" s="26">
        <f>F23*D23</f>
        <v>8334.4351311689788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45.748214645955215</v>
      </c>
      <c r="D24" s="22">
        <f>SUM(D21:D23)</f>
        <v>495.7</v>
      </c>
      <c r="E24" s="21">
        <f>D24/$D$48</f>
        <v>6.5739218078616518E-2</v>
      </c>
      <c r="F24" s="20">
        <f>I24/D24</f>
        <v>48.097900835281251</v>
      </c>
      <c r="G24" s="19">
        <f>F24/C24-1</f>
        <v>5.136126529767826E-2</v>
      </c>
      <c r="H24" s="18">
        <f>SUM(H21:H23)</f>
        <v>22677.39</v>
      </c>
      <c r="I24" s="18">
        <f>SUM(I21:I23)</f>
        <v>23842.129444048915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34.299999999999997</v>
      </c>
      <c r="D26" s="30">
        <v>1434.5</v>
      </c>
      <c r="E26" s="29">
        <f t="shared" ref="E26:E32" si="7">D26/$D$48</f>
        <v>0.1902418969815925</v>
      </c>
      <c r="F26" s="28">
        <f t="shared" ref="F26:F31" si="8">C26-(C26*$E$6)</f>
        <v>36.061691399710362</v>
      </c>
      <c r="G26" s="27" t="str">
        <f t="shared" ref="G26:G31" si="9">IF(C26&gt;=F26,"-","+")</f>
        <v>+</v>
      </c>
      <c r="H26" s="26">
        <f t="shared" ref="H26:H31" si="10">C26*D26</f>
        <v>49203.35</v>
      </c>
      <c r="I26" s="26">
        <f t="shared" ref="I26:I31" si="11">F26*D26</f>
        <v>51730.496312884512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30.6</v>
      </c>
      <c r="D27" s="30">
        <v>1150</v>
      </c>
      <c r="E27" s="29">
        <f t="shared" si="7"/>
        <v>0.15251180308736939</v>
      </c>
      <c r="F27" s="28">
        <f t="shared" si="8"/>
        <v>32.171654718108954</v>
      </c>
      <c r="G27" s="27" t="str">
        <f t="shared" si="9"/>
        <v>+</v>
      </c>
      <c r="H27" s="26">
        <f t="shared" si="10"/>
        <v>35190</v>
      </c>
      <c r="I27" s="26">
        <f t="shared" si="11"/>
        <v>36997.402925825299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30.6</v>
      </c>
      <c r="D28" s="30">
        <v>630</v>
      </c>
      <c r="E28" s="29">
        <f t="shared" si="7"/>
        <v>8.3549944300037135E-2</v>
      </c>
      <c r="F28" s="28">
        <f t="shared" si="8"/>
        <v>32.171654718108954</v>
      </c>
      <c r="G28" s="27" t="str">
        <f t="shared" si="9"/>
        <v>+</v>
      </c>
      <c r="H28" s="26">
        <f t="shared" si="10"/>
        <v>19278</v>
      </c>
      <c r="I28" s="26">
        <f t="shared" si="11"/>
        <v>20268.142472408639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29.5</v>
      </c>
      <c r="D29" s="30">
        <v>631.79999999999995</v>
      </c>
      <c r="E29" s="29">
        <f t="shared" si="7"/>
        <v>8.3788658426608667E-2</v>
      </c>
      <c r="F29" s="28">
        <f t="shared" si="8"/>
        <v>31.015157326281511</v>
      </c>
      <c r="G29" s="27" t="str">
        <f t="shared" si="9"/>
        <v>+</v>
      </c>
      <c r="H29" s="26">
        <f t="shared" si="10"/>
        <v>18638.099999999999</v>
      </c>
      <c r="I29" s="26">
        <f t="shared" si="11"/>
        <v>19595.376398744658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29.5</v>
      </c>
      <c r="D30" s="30">
        <v>410</v>
      </c>
      <c r="E30" s="29">
        <f t="shared" si="7"/>
        <v>5.4373773274627342E-2</v>
      </c>
      <c r="F30" s="28">
        <f t="shared" si="8"/>
        <v>31.015157326281511</v>
      </c>
      <c r="G30" s="27" t="str">
        <f t="shared" si="9"/>
        <v>+</v>
      </c>
      <c r="H30" s="26">
        <f t="shared" si="10"/>
        <v>12095</v>
      </c>
      <c r="I30" s="26">
        <f t="shared" si="11"/>
        <v>12716.21450377542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</v>
      </c>
      <c r="D31" s="30">
        <v>114.9</v>
      </c>
      <c r="E31" s="29">
        <f t="shared" si="7"/>
        <v>1.5237918412816298E-2</v>
      </c>
      <c r="F31" s="28">
        <f t="shared" si="8"/>
        <v>31.540837958930346</v>
      </c>
      <c r="G31" s="27" t="str">
        <f t="shared" si="9"/>
        <v>+</v>
      </c>
      <c r="H31" s="26">
        <f t="shared" si="10"/>
        <v>3447</v>
      </c>
      <c r="I31" s="26">
        <f t="shared" si="11"/>
        <v>3624.0422814810968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31.536294381405568</v>
      </c>
      <c r="D32" s="22">
        <f>SUM(D26:D31)</f>
        <v>4371.2</v>
      </c>
      <c r="E32" s="21">
        <f t="shared" si="7"/>
        <v>0.57970399448305132</v>
      </c>
      <c r="F32" s="20">
        <f>I32/D32</f>
        <v>33.156038363634615</v>
      </c>
      <c r="G32" s="19">
        <f>F32/C32-1</f>
        <v>5.1361265297678038E-2</v>
      </c>
      <c r="H32" s="18">
        <f>SUM(H26:H31)</f>
        <v>137851.45000000001</v>
      </c>
      <c r="I32" s="18">
        <f>SUM(I26:I31)</f>
        <v>144931.67489511962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18.100000000000001</v>
      </c>
      <c r="D34" s="30">
        <f>661+508.8</f>
        <v>1169.8</v>
      </c>
      <c r="E34" s="29">
        <f t="shared" ref="E34:E40" si="13">D34/$D$48</f>
        <v>0.15513765847965624</v>
      </c>
      <c r="F34" s="28">
        <f t="shared" ref="F34:F39" si="14">C34-(C34*$E$6)</f>
        <v>19.029638901887978</v>
      </c>
      <c r="G34" s="27" t="str">
        <f t="shared" ref="G34:G39" si="15">IF(C34&gt;=F34,"-","+")</f>
        <v>+</v>
      </c>
      <c r="H34" s="26">
        <f t="shared" ref="H34:H39" si="16">C34*D34</f>
        <v>21173.38</v>
      </c>
      <c r="I34" s="26">
        <f t="shared" ref="I34:I39" si="17">F34*D34</f>
        <v>22260.871587428555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>
        <v>80.8</v>
      </c>
      <c r="E35" s="29">
        <f t="shared" si="13"/>
        <v>1.0715611903877778E-2</v>
      </c>
      <c r="F35" s="28">
        <f t="shared" si="14"/>
        <v>14.613921587637728</v>
      </c>
      <c r="G35" s="27" t="str">
        <f t="shared" si="15"/>
        <v>+</v>
      </c>
      <c r="H35" s="26">
        <f t="shared" si="16"/>
        <v>1123.1199999999999</v>
      </c>
      <c r="I35" s="26">
        <f t="shared" si="17"/>
        <v>1180.8048642811284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11.775246171333995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29.5</v>
      </c>
      <c r="D37" s="30"/>
      <c r="E37" s="29">
        <f t="shared" si="13"/>
        <v>0</v>
      </c>
      <c r="F37" s="28">
        <f t="shared" si="14"/>
        <v>31.015157326281511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29.5</v>
      </c>
      <c r="D38" s="30"/>
      <c r="E38" s="29">
        <f t="shared" si="13"/>
        <v>0</v>
      </c>
      <c r="F38" s="28">
        <f t="shared" si="14"/>
        <v>31.015157326281511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30.6</v>
      </c>
      <c r="D39" s="30"/>
      <c r="E39" s="29">
        <f t="shared" si="13"/>
        <v>0</v>
      </c>
      <c r="F39" s="28">
        <f t="shared" si="14"/>
        <v>32.171654718108954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17.828642251719177</v>
      </c>
      <c r="D40" s="22">
        <f>SUM(D34:D39)</f>
        <v>1250.5999999999999</v>
      </c>
      <c r="E40" s="113">
        <f t="shared" si="13"/>
        <v>0.16585327038353403</v>
      </c>
      <c r="F40" s="20">
        <f>I40/D40</f>
        <v>18.744343876307124</v>
      </c>
      <c r="G40" s="19">
        <f>F40/C40-1</f>
        <v>5.136126529767826E-2</v>
      </c>
      <c r="H40" s="18">
        <f>SUM(H34:H39)</f>
        <v>22296.5</v>
      </c>
      <c r="I40" s="18">
        <f>SUM(I34:I39)</f>
        <v>23441.676451709685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666+87.4+622</f>
        <v>1375.4</v>
      </c>
      <c r="E42" s="107">
        <f>D42/$D$48</f>
        <v>0.1824041164924938</v>
      </c>
      <c r="F42" s="28">
        <f>C42-(C42*$E$6)</f>
        <v>0.42054450611907135</v>
      </c>
      <c r="G42" s="27" t="str">
        <f>IF(C42&gt;=F42,"-","+")</f>
        <v>+</v>
      </c>
      <c r="H42" s="26">
        <f>C42*D42</f>
        <v>550.16000000000008</v>
      </c>
      <c r="I42" s="26">
        <f>F42*D42</f>
        <v>578.41691371617082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33.6</v>
      </c>
      <c r="E43" s="107">
        <f>D43/$D$48</f>
        <v>4.4559970293353143E-3</v>
      </c>
      <c r="F43" s="28">
        <f>C43-(C43*$E$6)</f>
        <v>0.42054450611907135</v>
      </c>
      <c r="G43" s="27" t="str">
        <f>IF(C43&gt;=F43,"-","+")</f>
        <v>+</v>
      </c>
      <c r="H43" s="26">
        <f>C43*D43</f>
        <v>13.440000000000001</v>
      </c>
      <c r="I43" s="26">
        <f>F43*D43</f>
        <v>14.130295405600798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9.5</v>
      </c>
      <c r="E44" s="107">
        <f>D44/$D$48</f>
        <v>1.2598801124608775E-3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4.4000000000000004</v>
      </c>
      <c r="E45" s="107">
        <f>D45/$D$48</f>
        <v>5.8352342050819594E-4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0.39609248717408119</v>
      </c>
      <c r="D46" s="22">
        <f>SUM(D41:D45)</f>
        <v>1422.9</v>
      </c>
      <c r="E46" s="113">
        <f>D46/$D$48</f>
        <v>0.18870351705479818</v>
      </c>
      <c r="F46" s="20">
        <f>I46/D46</f>
        <v>0.41643629849024638</v>
      </c>
      <c r="G46" s="19">
        <f>F46/C46-1</f>
        <v>5.136126529767826E-2</v>
      </c>
      <c r="H46" s="18">
        <f>SUM(H41:H44)</f>
        <v>563.60000000000014</v>
      </c>
      <c r="I46" s="18">
        <f>SUM(I41:I44)</f>
        <v>592.54720912177163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95.509243766254045</v>
      </c>
      <c r="D48" s="13">
        <f>D24+D32+D40+D46</f>
        <v>7540.4</v>
      </c>
      <c r="E48" s="12">
        <f>SUM(E20:E46)/2</f>
        <v>1.0000000000000002</v>
      </c>
      <c r="F48" s="11">
        <f>I48/D48</f>
        <v>25.57</v>
      </c>
      <c r="G48" s="10"/>
      <c r="H48" s="9">
        <f>SUM(H20:H46)/2</f>
        <v>183388.94</v>
      </c>
      <c r="I48" s="9">
        <f>SUM(I20:I46)/2</f>
        <v>192808.02799999999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7540.3999999999987</v>
      </c>
      <c r="E50" s="12">
        <f>D50/G2</f>
        <v>0.99999999999999989</v>
      </c>
      <c r="F50" s="11">
        <f>I50/D50</f>
        <v>25.570000000000004</v>
      </c>
      <c r="G50" s="10"/>
      <c r="H50" s="9">
        <f>H48+H19</f>
        <v>183388.94</v>
      </c>
      <c r="I50" s="9">
        <f>I48+I19</f>
        <v>192808.02799999999</v>
      </c>
      <c r="J50" s="106">
        <f>D50-G2</f>
        <v>0</v>
      </c>
      <c r="K50" s="8"/>
    </row>
    <row r="51" spans="1:11" ht="23.25" x14ac:dyDescent="0.35">
      <c r="A51" s="174" t="s">
        <v>460</v>
      </c>
      <c r="B51" s="169"/>
      <c r="C51" s="170"/>
      <c r="G51" s="7"/>
      <c r="H51" s="6"/>
      <c r="I51" s="6">
        <f>+I50/D50</f>
        <v>25.570000000000004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441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457</v>
      </c>
      <c r="D2" s="96" t="s">
        <v>3</v>
      </c>
      <c r="E2" s="95" t="s">
        <v>362</v>
      </c>
      <c r="F2" s="94" t="s">
        <v>5</v>
      </c>
      <c r="G2" s="93">
        <v>24893.599999999999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312</v>
      </c>
      <c r="F3" s="88" t="s">
        <v>8</v>
      </c>
      <c r="G3" s="87">
        <v>29.75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79.787179487179486</v>
      </c>
      <c r="F4" s="81" t="s">
        <v>12</v>
      </c>
      <c r="G4" s="80">
        <f>G2*G3</f>
        <v>740584.6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-1.7327650795998073E-2</v>
      </c>
      <c r="F6" s="69" t="s">
        <v>16</v>
      </c>
      <c r="G6" s="68">
        <f>(I50-I19)/(D50-(SUM(D42:D44)+D19))</f>
        <v>35.396142858559394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29.8</v>
      </c>
      <c r="D10" s="30"/>
      <c r="E10" s="29">
        <f t="shared" ref="E10:E19" si="1">D10/$D$19</f>
        <v>0</v>
      </c>
      <c r="F10" s="28">
        <f t="shared" ref="F10:F18" si="2">C10-(C10*$E$6)</f>
        <v>30.316363993720742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31</v>
      </c>
      <c r="D11" s="30">
        <v>629.29999999999995</v>
      </c>
      <c r="E11" s="29">
        <f t="shared" si="1"/>
        <v>0.53335028392236628</v>
      </c>
      <c r="F11" s="28">
        <f t="shared" si="2"/>
        <v>31.53715717467594</v>
      </c>
      <c r="G11" s="27" t="str">
        <f t="shared" si="3"/>
        <v>+</v>
      </c>
      <c r="H11" s="34">
        <f t="shared" si="4"/>
        <v>19508.3</v>
      </c>
      <c r="I11" s="34">
        <f t="shared" si="5"/>
        <v>19846.333010023569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28.3</v>
      </c>
      <c r="D12" s="30">
        <v>360</v>
      </c>
      <c r="E12" s="29">
        <f t="shared" si="1"/>
        <v>0.30511060259344014</v>
      </c>
      <c r="F12" s="28">
        <f t="shared" si="2"/>
        <v>28.790372517526745</v>
      </c>
      <c r="G12" s="27" t="str">
        <f t="shared" si="3"/>
        <v>+</v>
      </c>
      <c r="H12" s="34">
        <f t="shared" si="4"/>
        <v>10188</v>
      </c>
      <c r="I12" s="34">
        <f t="shared" si="5"/>
        <v>10364.534106309628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31</v>
      </c>
      <c r="D13" s="30"/>
      <c r="E13" s="29">
        <f t="shared" si="1"/>
        <v>0</v>
      </c>
      <c r="F13" s="28">
        <f t="shared" si="2"/>
        <v>31.53715717467594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34.6</v>
      </c>
      <c r="D14" s="30">
        <v>190.6</v>
      </c>
      <c r="E14" s="29">
        <f t="shared" si="1"/>
        <v>0.16153911348419359</v>
      </c>
      <c r="F14" s="28">
        <f t="shared" si="2"/>
        <v>35.199536717541534</v>
      </c>
      <c r="G14" s="27" t="str">
        <f t="shared" si="3"/>
        <v>+</v>
      </c>
      <c r="H14" s="34">
        <f t="shared" si="4"/>
        <v>6594.76</v>
      </c>
      <c r="I14" s="34">
        <f t="shared" si="5"/>
        <v>6709.0316983634166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28.6</v>
      </c>
      <c r="D15" s="30"/>
      <c r="E15" s="29">
        <f t="shared" si="1"/>
        <v>0</v>
      </c>
      <c r="F15" s="28">
        <f t="shared" si="2"/>
        <v>29.095570812765548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39.1</v>
      </c>
      <c r="D16" s="30"/>
      <c r="E16" s="29">
        <f t="shared" si="1"/>
        <v>0</v>
      </c>
      <c r="F16" s="28">
        <f t="shared" si="2"/>
        <v>39.777511146123523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57.5</v>
      </c>
      <c r="D17" s="30"/>
      <c r="E17" s="29">
        <f t="shared" si="1"/>
        <v>0</v>
      </c>
      <c r="F17" s="28">
        <f t="shared" si="2"/>
        <v>58.496339920769891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50.4</v>
      </c>
      <c r="D18" s="30"/>
      <c r="E18" s="29">
        <f t="shared" si="1"/>
        <v>0</v>
      </c>
      <c r="F18" s="28">
        <f t="shared" si="2"/>
        <v>51.2733136001183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30.757742181540809</v>
      </c>
      <c r="D19" s="49">
        <f>SUM(D10:D18)</f>
        <v>1179.8999999999999</v>
      </c>
      <c r="E19" s="48">
        <f t="shared" si="1"/>
        <v>1</v>
      </c>
      <c r="F19" s="47">
        <f>I19/D19</f>
        <v>31.290701597335893</v>
      </c>
      <c r="G19" s="46">
        <f>F19/C19-1</f>
        <v>1.7327650795998295E-2</v>
      </c>
      <c r="H19" s="9">
        <f>SUM(H10:H18)</f>
        <v>36291.06</v>
      </c>
      <c r="I19" s="9">
        <f>SUM(I10:I18)</f>
        <v>36919.898814696615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74.8</v>
      </c>
      <c r="D21" s="30">
        <v>268.7</v>
      </c>
      <c r="E21" s="29">
        <f>D21/$D$48</f>
        <v>1.133100275368247E-2</v>
      </c>
      <c r="F21" s="28">
        <f>C21-(C21*$E$6)</f>
        <v>76.096108279540658</v>
      </c>
      <c r="G21" s="27" t="str">
        <f>IF(C21&gt;=F21,"-","+")</f>
        <v>+</v>
      </c>
      <c r="H21" s="26">
        <f>C21*D21</f>
        <v>20098.759999999998</v>
      </c>
      <c r="I21" s="26">
        <f>F21*D21</f>
        <v>20447.024294712573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50.2</v>
      </c>
      <c r="D22" s="30">
        <v>705</v>
      </c>
      <c r="E22" s="29">
        <f>D22/$D$48</f>
        <v>2.9729649949185491E-2</v>
      </c>
      <c r="F22" s="28">
        <f>C22-(C22*$E$6)</f>
        <v>51.069848069959107</v>
      </c>
      <c r="G22" s="27" t="str">
        <f>IF(C22&gt;=F22,"-","+")</f>
        <v>+</v>
      </c>
      <c r="H22" s="26">
        <f>C22*D22</f>
        <v>35391</v>
      </c>
      <c r="I22" s="26">
        <f>F22*D22</f>
        <v>36004.242889321169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45.8</v>
      </c>
      <c r="D23" s="30">
        <v>567.79999999999995</v>
      </c>
      <c r="E23" s="29">
        <f>D23/$D$48</f>
        <v>2.3943964881060313E-2</v>
      </c>
      <c r="F23" s="28">
        <f>C23-(C23*$E$6)</f>
        <v>46.593606406456708</v>
      </c>
      <c r="G23" s="27" t="str">
        <f>IF(C23&gt;=F23,"-","+")</f>
        <v>+</v>
      </c>
      <c r="H23" s="26">
        <f>C23*D23</f>
        <v>26005.239999999998</v>
      </c>
      <c r="I23" s="26">
        <f>F23*D23</f>
        <v>26455.849717586116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52.86733700940642</v>
      </c>
      <c r="D24" s="22">
        <f>SUM(D21:D23)</f>
        <v>1541.5</v>
      </c>
      <c r="E24" s="21">
        <f>D24/$D$48</f>
        <v>6.5004617583928281E-2</v>
      </c>
      <c r="F24" s="20">
        <f>I24/D24</f>
        <v>53.783403763619759</v>
      </c>
      <c r="G24" s="19">
        <f>F24/C24-1</f>
        <v>1.7327650795998073E-2</v>
      </c>
      <c r="H24" s="18">
        <f>SUM(H21:H23)</f>
        <v>81495</v>
      </c>
      <c r="I24" s="18">
        <f>SUM(I21:I23)</f>
        <v>82907.116901619855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39.9</v>
      </c>
      <c r="D26" s="30">
        <f>1283.4+170.3+2972.9</f>
        <v>4426.6000000000004</v>
      </c>
      <c r="E26" s="29">
        <f t="shared" ref="E26:E32" si="7">D26/$D$48</f>
        <v>0.18666846590789291</v>
      </c>
      <c r="F26" s="28">
        <f t="shared" ref="F26:F31" si="8">C26-(C26*$E$6)</f>
        <v>40.591373266760321</v>
      </c>
      <c r="G26" s="27" t="str">
        <f t="shared" ref="G26:G31" si="9">IF(C26&gt;=F26,"-","+")</f>
        <v>+</v>
      </c>
      <c r="H26" s="26">
        <f t="shared" ref="H26:H31" si="10">C26*D26</f>
        <v>176621.34</v>
      </c>
      <c r="I26" s="26">
        <f t="shared" ref="I26:I31" si="11">F26*D26</f>
        <v>179681.77290264124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35.6</v>
      </c>
      <c r="D27" s="30">
        <v>3740.8</v>
      </c>
      <c r="E27" s="29">
        <f t="shared" si="7"/>
        <v>0.15774847451051502</v>
      </c>
      <c r="F27" s="28">
        <f t="shared" si="8"/>
        <v>36.216864368337532</v>
      </c>
      <c r="G27" s="27" t="str">
        <f t="shared" si="9"/>
        <v>+</v>
      </c>
      <c r="H27" s="26">
        <f t="shared" si="10"/>
        <v>133172.48000000001</v>
      </c>
      <c r="I27" s="26">
        <f t="shared" si="11"/>
        <v>135480.04622907704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35.6</v>
      </c>
      <c r="D28" s="30">
        <v>2237.6</v>
      </c>
      <c r="E28" s="29">
        <f t="shared" si="7"/>
        <v>9.4358957058577941E-2</v>
      </c>
      <c r="F28" s="28">
        <f t="shared" si="8"/>
        <v>36.216864368337532</v>
      </c>
      <c r="G28" s="27" t="str">
        <f t="shared" si="9"/>
        <v>+</v>
      </c>
      <c r="H28" s="26">
        <f t="shared" si="10"/>
        <v>79658.559999999998</v>
      </c>
      <c r="I28" s="26">
        <f t="shared" si="11"/>
        <v>81038.855710592063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34.4</v>
      </c>
      <c r="D29" s="30">
        <v>2158.8000000000002</v>
      </c>
      <c r="E29" s="29">
        <f t="shared" si="7"/>
        <v>9.103598341886758E-2</v>
      </c>
      <c r="F29" s="28">
        <f t="shared" si="8"/>
        <v>34.996071187382334</v>
      </c>
      <c r="G29" s="27" t="str">
        <f t="shared" si="9"/>
        <v>+</v>
      </c>
      <c r="H29" s="26">
        <f t="shared" si="10"/>
        <v>74262.720000000001</v>
      </c>
      <c r="I29" s="26">
        <f t="shared" si="11"/>
        <v>75549.518479320992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34.4</v>
      </c>
      <c r="D30" s="30">
        <v>1461.7</v>
      </c>
      <c r="E30" s="29">
        <f t="shared" si="7"/>
        <v>6.1639474227977921E-2</v>
      </c>
      <c r="F30" s="28">
        <f t="shared" si="8"/>
        <v>34.996071187382334</v>
      </c>
      <c r="G30" s="27" t="str">
        <f t="shared" si="9"/>
        <v>+</v>
      </c>
      <c r="H30" s="26">
        <f t="shared" si="10"/>
        <v>50282.479999999996</v>
      </c>
      <c r="I30" s="26">
        <f t="shared" si="11"/>
        <v>51153.757254596756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35</v>
      </c>
      <c r="D31" s="30">
        <v>350.5</v>
      </c>
      <c r="E31" s="29">
        <f t="shared" si="7"/>
        <v>1.4780485542112786E-2</v>
      </c>
      <c r="F31" s="28">
        <f t="shared" si="8"/>
        <v>35.606467777859933</v>
      </c>
      <c r="G31" s="27" t="str">
        <f t="shared" si="9"/>
        <v>+</v>
      </c>
      <c r="H31" s="26">
        <f t="shared" si="10"/>
        <v>12267.5</v>
      </c>
      <c r="I31" s="26">
        <f t="shared" si="11"/>
        <v>12480.066956139906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36.607198107957707</v>
      </c>
      <c r="D32" s="22">
        <f>SUM(D26:D31)</f>
        <v>14376</v>
      </c>
      <c r="E32" s="21">
        <f t="shared" si="7"/>
        <v>0.60623184066594415</v>
      </c>
      <c r="F32" s="20">
        <f>I32/D32</f>
        <v>37.241514853392317</v>
      </c>
      <c r="G32" s="19">
        <f>F32/C32-1</f>
        <v>1.7327650795998073E-2</v>
      </c>
      <c r="H32" s="18">
        <f>SUM(H26:H31)</f>
        <v>526265.07999999996</v>
      </c>
      <c r="I32" s="18">
        <f>SUM(I26:I31)</f>
        <v>535384.01753236796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21</v>
      </c>
      <c r="D34" s="30">
        <f>1392.2+2345</f>
        <v>3737.2</v>
      </c>
      <c r="E34" s="29">
        <f t="shared" ref="E34:E40" si="13">D34/$D$48</f>
        <v>0.15759666353205107</v>
      </c>
      <c r="F34" s="28">
        <f t="shared" ref="F34:F39" si="14">C34-(C34*$E$6)</f>
        <v>21.363880666715961</v>
      </c>
      <c r="G34" s="27" t="str">
        <f t="shared" ref="G34:G39" si="15">IF(C34&gt;=F34,"-","+")</f>
        <v>+</v>
      </c>
      <c r="H34" s="26">
        <f t="shared" ref="H34:H39" si="16">C34*D34</f>
        <v>78481.2</v>
      </c>
      <c r="I34" s="26">
        <f t="shared" ref="I34:I39" si="17">F34*D34</f>
        <v>79841.094827650886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16.2</v>
      </c>
      <c r="D35" s="30">
        <v>218.2</v>
      </c>
      <c r="E35" s="29">
        <f t="shared" si="13"/>
        <v>9.2014320835635093E-3</v>
      </c>
      <c r="F35" s="28">
        <f t="shared" si="14"/>
        <v>16.480707942895169</v>
      </c>
      <c r="G35" s="27" t="str">
        <f t="shared" si="15"/>
        <v>+</v>
      </c>
      <c r="H35" s="26">
        <f t="shared" si="16"/>
        <v>3534.8399999999997</v>
      </c>
      <c r="I35" s="26">
        <f t="shared" si="17"/>
        <v>3596.0904731397259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13</v>
      </c>
      <c r="D36" s="30"/>
      <c r="E36" s="29">
        <f t="shared" si="13"/>
        <v>0</v>
      </c>
      <c r="F36" s="28">
        <f t="shared" si="14"/>
        <v>13.225259460347974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34.4</v>
      </c>
      <c r="D37" s="30"/>
      <c r="E37" s="29">
        <f t="shared" si="13"/>
        <v>0</v>
      </c>
      <c r="F37" s="28">
        <f t="shared" si="14"/>
        <v>34.996071187382334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34.4</v>
      </c>
      <c r="D38" s="30"/>
      <c r="E38" s="29">
        <f t="shared" si="13"/>
        <v>0</v>
      </c>
      <c r="F38" s="28">
        <f t="shared" si="14"/>
        <v>34.996071187382334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35.6</v>
      </c>
      <c r="D39" s="30"/>
      <c r="E39" s="29">
        <f t="shared" si="13"/>
        <v>0</v>
      </c>
      <c r="F39" s="28">
        <f t="shared" si="14"/>
        <v>36.216864368337532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20.735207564342417</v>
      </c>
      <c r="D40" s="22">
        <f>SUM(D34:D39)</f>
        <v>3955.3999999999996</v>
      </c>
      <c r="E40" s="113">
        <f t="shared" si="13"/>
        <v>0.16679809561561459</v>
      </c>
      <c r="F40" s="20">
        <f>I40/D40</f>
        <v>21.094500000199886</v>
      </c>
      <c r="G40" s="19">
        <f>F40/C40-1</f>
        <v>1.7327650795998295E-2</v>
      </c>
      <c r="H40" s="18">
        <f>SUM(H34:H39)</f>
        <v>82016.039999999994</v>
      </c>
      <c r="I40" s="18">
        <f>SUM(I34:I39)</f>
        <v>83437.185300790617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245.3+1685+1746</f>
        <v>3676.3</v>
      </c>
      <c r="E42" s="107">
        <f>D42/$D$48</f>
        <v>0.15502852781303636</v>
      </c>
      <c r="F42" s="28">
        <f>C42-(C42*$E$6)</f>
        <v>0.50866382539799904</v>
      </c>
      <c r="G42" s="27" t="str">
        <f>IF(C42&gt;=F42,"-","+")</f>
        <v>+</v>
      </c>
      <c r="H42" s="26">
        <f>C42*D42</f>
        <v>1838.15</v>
      </c>
      <c r="I42" s="26">
        <f>F42*D42</f>
        <v>1870.0008213106639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130.5</v>
      </c>
      <c r="E43" s="107">
        <f>D43/$D$48</f>
        <v>5.5031479693173147E-3</v>
      </c>
      <c r="F43" s="28">
        <f>C43-(C43*$E$6)</f>
        <v>0.50866382539799904</v>
      </c>
      <c r="G43" s="27" t="str">
        <f>IF(C43&gt;=F43,"-","+")</f>
        <v>+</v>
      </c>
      <c r="H43" s="26">
        <f>C43*D43</f>
        <v>65.25</v>
      </c>
      <c r="I43" s="26">
        <f>F43*D43</f>
        <v>66.380629214438869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27.2</v>
      </c>
      <c r="E44" s="107">
        <f>D44/$D$48</f>
        <v>1.1470162817274403E-3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6.8</v>
      </c>
      <c r="E45" s="107">
        <f>D45/$D$48</f>
        <v>2.8675407043186006E-4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0.49557383878358674</v>
      </c>
      <c r="D46" s="22">
        <f>SUM(D41:D45)</f>
        <v>3840.8</v>
      </c>
      <c r="E46" s="113">
        <f>D46/$D$48</f>
        <v>0.16196544613451297</v>
      </c>
      <c r="F46" s="20">
        <f>I46/D46</f>
        <v>0.504160969205661</v>
      </c>
      <c r="G46" s="19">
        <f>F46/C46-1</f>
        <v>1.7327650795998073E-2</v>
      </c>
      <c r="H46" s="18">
        <f>SUM(H41:H44)</f>
        <v>1903.4</v>
      </c>
      <c r="I46" s="18">
        <f>SUM(I41:I44)</f>
        <v>1936.3814505251028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110.70531652049013</v>
      </c>
      <c r="D48" s="13">
        <f>D24+D32+D40+D46</f>
        <v>23713.7</v>
      </c>
      <c r="E48" s="12">
        <f>SUM(E20:E46)/2</f>
        <v>1</v>
      </c>
      <c r="F48" s="11">
        <f>I48/D48</f>
        <v>29.673340777074156</v>
      </c>
      <c r="G48" s="10"/>
      <c r="H48" s="9">
        <f>SUM(H20:H46)/2</f>
        <v>691679.51999999979</v>
      </c>
      <c r="I48" s="9">
        <f>SUM(I20:I46)/2</f>
        <v>703664.70118530339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24893.600000000002</v>
      </c>
      <c r="E50" s="12">
        <f>D50/G2</f>
        <v>1.0000000000000002</v>
      </c>
      <c r="F50" s="11">
        <f>I50/D50</f>
        <v>29.749999999999996</v>
      </c>
      <c r="G50" s="10"/>
      <c r="H50" s="9">
        <f>H48+H19</f>
        <v>727970.57999999984</v>
      </c>
      <c r="I50" s="9">
        <f>I48+I19</f>
        <v>740584.6</v>
      </c>
      <c r="J50" s="106">
        <f>D50-G2</f>
        <v>0</v>
      </c>
      <c r="K50" s="8"/>
    </row>
    <row r="51" spans="1:11" ht="23.25" x14ac:dyDescent="0.35">
      <c r="A51" s="174" t="s">
        <v>461</v>
      </c>
      <c r="B51" s="169"/>
      <c r="C51" s="170"/>
      <c r="G51" s="7"/>
      <c r="H51" s="6"/>
      <c r="I51" s="6">
        <f>+I50/D50</f>
        <v>29.749999999999996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457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457</v>
      </c>
      <c r="D2" s="96" t="s">
        <v>3</v>
      </c>
      <c r="E2" s="95" t="s">
        <v>112</v>
      </c>
      <c r="F2" s="94" t="s">
        <v>5</v>
      </c>
      <c r="G2" s="93">
        <v>3397.1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60</v>
      </c>
      <c r="F3" s="88" t="s">
        <v>8</v>
      </c>
      <c r="G3" s="87">
        <v>25.34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56.618333333333332</v>
      </c>
      <c r="F4" s="81" t="s">
        <v>12</v>
      </c>
      <c r="G4" s="80">
        <f>G2*G3</f>
        <v>86082.513999999996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-9.4970026579722644E-2</v>
      </c>
      <c r="F6" s="69" t="s">
        <v>16</v>
      </c>
      <c r="G6" s="68">
        <f>(I50-I19)/(D50-(SUM(D42:D44)+D19))</f>
        <v>32.179176105566135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27.702741672466985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26.4</v>
      </c>
      <c r="D11" s="30"/>
      <c r="E11" s="29" t="e">
        <f t="shared" si="1"/>
        <v>#DIV/0!</v>
      </c>
      <c r="F11" s="28">
        <f t="shared" si="2"/>
        <v>28.907208701704675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 t="e">
        <f t="shared" si="1"/>
        <v>#DIV/0!</v>
      </c>
      <c r="F12" s="28">
        <f t="shared" si="2"/>
        <v>26.388777640571316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26.4</v>
      </c>
      <c r="D13" s="30"/>
      <c r="E13" s="29" t="e">
        <f t="shared" si="1"/>
        <v>#DIV/0!</v>
      </c>
      <c r="F13" s="28">
        <f t="shared" si="2"/>
        <v>28.907208701704675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29.5</v>
      </c>
      <c r="D14" s="30"/>
      <c r="E14" s="29" t="e">
        <f t="shared" si="1"/>
        <v>#DIV/0!</v>
      </c>
      <c r="F14" s="28">
        <f t="shared" si="2"/>
        <v>32.30161578410182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24.3</v>
      </c>
      <c r="D15" s="30"/>
      <c r="E15" s="29" t="e">
        <f t="shared" si="1"/>
        <v>#DIV/0!</v>
      </c>
      <c r="F15" s="28">
        <f t="shared" si="2"/>
        <v>26.607771645887262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33.299999999999997</v>
      </c>
      <c r="D16" s="30"/>
      <c r="E16" s="29" t="e">
        <f t="shared" si="1"/>
        <v>#DIV/0!</v>
      </c>
      <c r="F16" s="28">
        <f t="shared" si="2"/>
        <v>36.462501885104764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</v>
      </c>
      <c r="D17" s="30"/>
      <c r="E17" s="29" t="e">
        <f t="shared" si="1"/>
        <v>#DIV/0!</v>
      </c>
      <c r="F17" s="28">
        <f t="shared" si="2"/>
        <v>53.653531302406407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42.9</v>
      </c>
      <c r="D18" s="30"/>
      <c r="E18" s="29" t="e">
        <f t="shared" si="1"/>
        <v>#DIV/0!</v>
      </c>
      <c r="F18" s="28">
        <f t="shared" si="2"/>
        <v>46.974214140270099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63.7</v>
      </c>
      <c r="D21" s="30">
        <v>43.8</v>
      </c>
      <c r="E21" s="29">
        <f>D21/$D$48</f>
        <v>1.2893350210473638E-2</v>
      </c>
      <c r="F21" s="28">
        <f>C21-(C21*$E$6)</f>
        <v>69.74959069312834</v>
      </c>
      <c r="G21" s="27" t="str">
        <f>IF(C21&gt;=F21,"-","+")</f>
        <v>+</v>
      </c>
      <c r="H21" s="26">
        <f>C21*D21</f>
        <v>2790.06</v>
      </c>
      <c r="I21" s="26">
        <f>F21*D21</f>
        <v>3055.0320723590212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42.8</v>
      </c>
      <c r="D22" s="30">
        <v>83.5</v>
      </c>
      <c r="E22" s="29">
        <f>D22/$D$48</f>
        <v>2.4579788643254542E-2</v>
      </c>
      <c r="F22" s="28">
        <f>C22-(C22*$E$6)</f>
        <v>46.864717137612125</v>
      </c>
      <c r="G22" s="27" t="str">
        <f>IF(C22&gt;=F22,"-","+")</f>
        <v>+</v>
      </c>
      <c r="H22" s="26">
        <f>C22*D22</f>
        <v>3573.7999999999997</v>
      </c>
      <c r="I22" s="26">
        <f>F22*D22</f>
        <v>3913.2038809906126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</v>
      </c>
      <c r="D23" s="30">
        <v>73.8</v>
      </c>
      <c r="E23" s="29">
        <f>D23/$D$48</f>
        <v>2.1724411998469282E-2</v>
      </c>
      <c r="F23" s="28">
        <f>C23-(C23*$E$6)</f>
        <v>42.703831036609181</v>
      </c>
      <c r="G23" s="27" t="str">
        <f>IF(C23&gt;=F23,"-","+")</f>
        <v>+</v>
      </c>
      <c r="H23" s="26">
        <f>C23*D23</f>
        <v>2878.2</v>
      </c>
      <c r="I23" s="26">
        <f>F23*D23</f>
        <v>3151.5427305017574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45.957533565390349</v>
      </c>
      <c r="D24" s="22">
        <f>SUM(D21:D23)</f>
        <v>201.1</v>
      </c>
      <c r="E24" s="21">
        <f>D24/$D$48</f>
        <v>5.919755085219746E-2</v>
      </c>
      <c r="F24" s="20">
        <f>I24/D24</f>
        <v>50.322121749633972</v>
      </c>
      <c r="G24" s="19">
        <f>F24/C24-1</f>
        <v>9.4970026579722866E-2</v>
      </c>
      <c r="H24" s="18">
        <f>SUM(H21:H23)</f>
        <v>9242.06</v>
      </c>
      <c r="I24" s="18">
        <f>SUM(I21:I23)</f>
        <v>10119.778683851391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</v>
      </c>
      <c r="D26" s="30">
        <f>187.9+475.1</f>
        <v>663</v>
      </c>
      <c r="E26" s="29">
        <f t="shared" ref="E26:E32" si="7">D26/$D$48</f>
        <v>0.19516646551470374</v>
      </c>
      <c r="F26" s="28">
        <f t="shared" ref="F26:F31" si="8">C26-(C26*$E$6)</f>
        <v>37.228980903710571</v>
      </c>
      <c r="G26" s="27" t="str">
        <f t="shared" ref="G26:G31" si="9">IF(C26&gt;=F26,"-","+")</f>
        <v>+</v>
      </c>
      <c r="H26" s="26">
        <f t="shared" ref="H26:H31" si="10">C26*D26</f>
        <v>22542</v>
      </c>
      <c r="I26" s="26">
        <f t="shared" ref="I26:I31" si="11">F26*D26</f>
        <v>24682.814339160108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30.3</v>
      </c>
      <c r="D27" s="30">
        <v>467.4</v>
      </c>
      <c r="E27" s="29">
        <f t="shared" si="7"/>
        <v>0.13758794265697211</v>
      </c>
      <c r="F27" s="28">
        <f t="shared" si="8"/>
        <v>33.177591805365594</v>
      </c>
      <c r="G27" s="27" t="str">
        <f t="shared" si="9"/>
        <v>+</v>
      </c>
      <c r="H27" s="26">
        <f t="shared" si="10"/>
        <v>14162.22</v>
      </c>
      <c r="I27" s="26">
        <f t="shared" si="11"/>
        <v>15507.206409827879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30.3</v>
      </c>
      <c r="D28" s="30">
        <v>248</v>
      </c>
      <c r="E28" s="29">
        <f t="shared" si="7"/>
        <v>7.3003444114097316E-2</v>
      </c>
      <c r="F28" s="28">
        <f t="shared" si="8"/>
        <v>33.177591805365594</v>
      </c>
      <c r="G28" s="27" t="str">
        <f t="shared" si="9"/>
        <v>+</v>
      </c>
      <c r="H28" s="26">
        <f t="shared" si="10"/>
        <v>7514.4000000000005</v>
      </c>
      <c r="I28" s="26">
        <f t="shared" si="11"/>
        <v>8228.042767730667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259.60000000000002</v>
      </c>
      <c r="E29" s="29">
        <f t="shared" si="7"/>
        <v>7.6418121338788975E-2</v>
      </c>
      <c r="F29" s="28">
        <f t="shared" si="8"/>
        <v>32.082621778785871</v>
      </c>
      <c r="G29" s="27" t="str">
        <f t="shared" si="9"/>
        <v>+</v>
      </c>
      <c r="H29" s="26">
        <f t="shared" si="10"/>
        <v>7606.2800000000007</v>
      </c>
      <c r="I29" s="26">
        <f t="shared" si="11"/>
        <v>8328.6486137728134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174</v>
      </c>
      <c r="E30" s="29">
        <f t="shared" si="7"/>
        <v>5.1220158370374733E-2</v>
      </c>
      <c r="F30" s="28">
        <f t="shared" si="8"/>
        <v>32.082621778785871</v>
      </c>
      <c r="G30" s="27" t="str">
        <f t="shared" si="9"/>
        <v>+</v>
      </c>
      <c r="H30" s="26">
        <f t="shared" si="10"/>
        <v>5098.2</v>
      </c>
      <c r="I30" s="26">
        <f t="shared" si="11"/>
        <v>5582.3761895087418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29.8</v>
      </c>
      <c r="D31" s="30">
        <v>52.8</v>
      </c>
      <c r="E31" s="29">
        <f t="shared" si="7"/>
        <v>1.5542668746872332E-2</v>
      </c>
      <c r="F31" s="28">
        <f t="shared" si="8"/>
        <v>32.630106792075736</v>
      </c>
      <c r="G31" s="27" t="str">
        <f t="shared" si="9"/>
        <v>+</v>
      </c>
      <c r="H31" s="26">
        <f t="shared" si="10"/>
        <v>1573.44</v>
      </c>
      <c r="I31" s="26">
        <f t="shared" si="11"/>
        <v>1722.8696386215988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31.368800943800945</v>
      </c>
      <c r="D32" s="22">
        <f>SUM(D26:D31)</f>
        <v>1864.8</v>
      </c>
      <c r="E32" s="21">
        <f t="shared" si="7"/>
        <v>0.54893880074180923</v>
      </c>
      <c r="F32" s="20">
        <f>I32/D32</f>
        <v>34.347896803207746</v>
      </c>
      <c r="G32" s="19">
        <f>F32/C32-1</f>
        <v>9.4970026579722422E-2</v>
      </c>
      <c r="H32" s="18">
        <f>SUM(H26:H31)</f>
        <v>58496.54</v>
      </c>
      <c r="I32" s="18">
        <f>SUM(I26:I31)</f>
        <v>64051.957958621802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321.8+232.6</f>
        <v>554.4</v>
      </c>
      <c r="E34" s="29">
        <f t="shared" ref="E34:E40" si="13">D34/$D$48</f>
        <v>0.16319802184215948</v>
      </c>
      <c r="F34" s="28">
        <f t="shared" ref="F34:F39" si="14">C34-(C34*$E$6)</f>
        <v>19.599963475777034</v>
      </c>
      <c r="G34" s="27" t="str">
        <f t="shared" ref="G34:G39" si="15">IF(C34&gt;=F34,"-","+")</f>
        <v>+</v>
      </c>
      <c r="H34" s="26">
        <f t="shared" ref="H34:H39" si="16">C34*D34</f>
        <v>9923.7599999999984</v>
      </c>
      <c r="I34" s="26">
        <f t="shared" ref="I34:I39" si="17">F34*D34</f>
        <v>10866.219750970788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48.2</v>
      </c>
      <c r="E35" s="29">
        <f t="shared" si="13"/>
        <v>1.4188572606046335E-2</v>
      </c>
      <c r="F35" s="28">
        <f t="shared" si="14"/>
        <v>15.110586366800174</v>
      </c>
      <c r="G35" s="27" t="str">
        <f t="shared" si="15"/>
        <v>+</v>
      </c>
      <c r="H35" s="26">
        <f t="shared" si="16"/>
        <v>665.16000000000008</v>
      </c>
      <c r="I35" s="26">
        <f t="shared" si="17"/>
        <v>728.33026287976838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12.15416729503492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32.082621778785871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32.082621778785871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30.3</v>
      </c>
      <c r="D39" s="30"/>
      <c r="E39" s="29">
        <f t="shared" si="13"/>
        <v>0</v>
      </c>
      <c r="F39" s="28">
        <f t="shared" si="14"/>
        <v>33.177591805365594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17.572054430799863</v>
      </c>
      <c r="D40" s="22">
        <f>SUM(D34:D39)</f>
        <v>602.6</v>
      </c>
      <c r="E40" s="113">
        <f t="shared" si="13"/>
        <v>0.17738659444820584</v>
      </c>
      <c r="F40" s="20">
        <f>I40/D40</f>
        <v>19.24087290715326</v>
      </c>
      <c r="G40" s="19">
        <f>F40/C40-1</f>
        <v>9.4970026579722644E-2</v>
      </c>
      <c r="H40" s="18">
        <f>SUM(H34:H39)</f>
        <v>10588.919999999998</v>
      </c>
      <c r="I40" s="18">
        <f>SUM(I34:I39)</f>
        <v>11594.550013850556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339+41.9+320.4</f>
        <v>701.3</v>
      </c>
      <c r="E42" s="107">
        <f>D42/$D$48</f>
        <v>0.20644078773071148</v>
      </c>
      <c r="F42" s="28">
        <f>C42-(C42*$E$6)</f>
        <v>0.43798801063188908</v>
      </c>
      <c r="G42" s="27" t="str">
        <f>IF(C42&gt;=F42,"-","+")</f>
        <v>+</v>
      </c>
      <c r="H42" s="26">
        <f>C42*D42</f>
        <v>280.52</v>
      </c>
      <c r="I42" s="26">
        <f>F42*D42</f>
        <v>307.16099185614377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20.7</v>
      </c>
      <c r="E43" s="107">
        <f>D43/$D$48</f>
        <v>6.093432633716994E-3</v>
      </c>
      <c r="F43" s="28">
        <f>C43-(C43*$E$6)</f>
        <v>0.43798801063188908</v>
      </c>
      <c r="G43" s="27" t="str">
        <f>IF(C43&gt;=F43,"-","+")</f>
        <v>+</v>
      </c>
      <c r="H43" s="26">
        <f>C43*D43</f>
        <v>8.2799999999999994</v>
      </c>
      <c r="I43" s="26">
        <f>F43*D43</f>
        <v>9.0663518200801043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1.9428335933590415E-3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0.39637661268185553</v>
      </c>
      <c r="D46" s="22">
        <f>SUM(D41:D45)</f>
        <v>728.6</v>
      </c>
      <c r="E46" s="113">
        <f>D46/$D$48</f>
        <v>0.21447705395778754</v>
      </c>
      <c r="F46" s="20">
        <f>I46/D46</f>
        <v>0.4340205101238318</v>
      </c>
      <c r="G46" s="19">
        <f>F46/C46-1</f>
        <v>9.4970026579722644E-2</v>
      </c>
      <c r="H46" s="18">
        <f>SUM(H41:H44)</f>
        <v>288.79999999999995</v>
      </c>
      <c r="I46" s="18">
        <f>SUM(I41:I44)</f>
        <v>316.22734367622388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95.294765552673027</v>
      </c>
      <c r="D48" s="13">
        <f>D24+D32+D40+D46</f>
        <v>3397.1</v>
      </c>
      <c r="E48" s="12">
        <f>SUM(E20:E46)/2</f>
        <v>1.0000000000000002</v>
      </c>
      <c r="F48" s="11">
        <f>I48/D48</f>
        <v>25.339999999999996</v>
      </c>
      <c r="G48" s="10"/>
      <c r="H48" s="9">
        <f>SUM(H20:H46)/2</f>
        <v>78616.320000000007</v>
      </c>
      <c r="I48" s="9">
        <f>SUM(I20:I46)/2</f>
        <v>86082.513999999981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3397.1000000000004</v>
      </c>
      <c r="E50" s="12">
        <f>D50/G2</f>
        <v>1.0000000000000002</v>
      </c>
      <c r="F50" s="11">
        <f>I50/D50</f>
        <v>25.339999999999993</v>
      </c>
      <c r="G50" s="10"/>
      <c r="H50" s="9">
        <f>H48+H19</f>
        <v>78616.320000000007</v>
      </c>
      <c r="I50" s="9">
        <f>I48+I19</f>
        <v>86082.513999999981</v>
      </c>
      <c r="J50" s="106">
        <f>D50-G2</f>
        <v>0</v>
      </c>
      <c r="K50" s="8"/>
    </row>
    <row r="51" spans="1:11" ht="23.25" x14ac:dyDescent="0.35">
      <c r="A51" s="174" t="s">
        <v>462</v>
      </c>
      <c r="B51" s="169"/>
      <c r="C51" s="170"/>
      <c r="G51" s="7"/>
      <c r="H51" s="6"/>
      <c r="I51" s="6">
        <f>+I50/D50</f>
        <v>25.339999999999993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457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457</v>
      </c>
      <c r="D2" s="96" t="s">
        <v>3</v>
      </c>
      <c r="E2" s="95" t="s">
        <v>112</v>
      </c>
      <c r="F2" s="94" t="s">
        <v>5</v>
      </c>
      <c r="G2" s="93">
        <v>2365.6999999999998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32</v>
      </c>
      <c r="F3" s="88" t="s">
        <v>8</v>
      </c>
      <c r="G3" s="87">
        <v>25.42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73.928124999999994</v>
      </c>
      <c r="F4" s="81" t="s">
        <v>12</v>
      </c>
      <c r="G4" s="80">
        <f>G2*G3</f>
        <v>60136.093999999997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-9.8850006368042864E-2</v>
      </c>
      <c r="F6" s="69" t="s">
        <v>16</v>
      </c>
      <c r="G6" s="68">
        <f>(I50-I19)/(D50-(SUM(D42:D44)+D19))</f>
        <v>32.308652017407191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27.910790161748288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26.5</v>
      </c>
      <c r="D11" s="30"/>
      <c r="E11" s="29" t="e">
        <f t="shared" si="1"/>
        <v>#DIV/0!</v>
      </c>
      <c r="F11" s="28">
        <f t="shared" si="2"/>
        <v>29.119525168753135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 t="e">
        <f t="shared" si="1"/>
        <v>#DIV/0!</v>
      </c>
      <c r="F12" s="28">
        <f t="shared" si="2"/>
        <v>26.592170154106636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26.5</v>
      </c>
      <c r="D13" s="30"/>
      <c r="E13" s="29" t="e">
        <f t="shared" si="1"/>
        <v>#DIV/0!</v>
      </c>
      <c r="F13" s="28">
        <f t="shared" si="2"/>
        <v>29.119525168753135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29.6</v>
      </c>
      <c r="D14" s="30"/>
      <c r="E14" s="29" t="e">
        <f t="shared" si="1"/>
        <v>#DIV/0!</v>
      </c>
      <c r="F14" s="28">
        <f t="shared" si="2"/>
        <v>32.525960188494068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26.811940155380245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36.701590212692629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49.2</v>
      </c>
      <c r="D17" s="30"/>
      <c r="E17" s="29" t="e">
        <f t="shared" si="1"/>
        <v>#DIV/0!</v>
      </c>
      <c r="F17" s="28">
        <f t="shared" si="2"/>
        <v>54.063420313307709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43.1</v>
      </c>
      <c r="D18" s="30"/>
      <c r="E18" s="29" t="e">
        <f t="shared" si="1"/>
        <v>#DIV/0!</v>
      </c>
      <c r="F18" s="28">
        <f t="shared" si="2"/>
        <v>47.360435274462645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63.9</v>
      </c>
      <c r="D21" s="30">
        <v>29.1</v>
      </c>
      <c r="E21" s="29">
        <f>D21/$D$48</f>
        <v>1.2300798917867863E-2</v>
      </c>
      <c r="F21" s="28">
        <f>C21-(C21*$E$6)</f>
        <v>70.216515406917935</v>
      </c>
      <c r="G21" s="27" t="str">
        <f>IF(C21&gt;=F21,"-","+")</f>
        <v>+</v>
      </c>
      <c r="H21" s="26">
        <f>C21*D21</f>
        <v>1859.49</v>
      </c>
      <c r="I21" s="26">
        <f>F21*D21</f>
        <v>2043.300598341312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42.9</v>
      </c>
      <c r="D22" s="30">
        <v>58.9</v>
      </c>
      <c r="E22" s="29">
        <f>D22/$D$48</f>
        <v>2.4897493342351102E-2</v>
      </c>
      <c r="F22" s="28">
        <f>C22-(C22*$E$6)</f>
        <v>47.140665273189036</v>
      </c>
      <c r="G22" s="27" t="str">
        <f>IF(C22&gt;=F22,"-","+")</f>
        <v>+</v>
      </c>
      <c r="H22" s="26">
        <f>C22*D22</f>
        <v>2526.81</v>
      </c>
      <c r="I22" s="26">
        <f>F22*D22</f>
        <v>2776.5851845908342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39.1</v>
      </c>
      <c r="D23" s="30">
        <v>49</v>
      </c>
      <c r="E23" s="29">
        <f>D23/$D$48</f>
        <v>2.0712685463076471E-2</v>
      </c>
      <c r="F23" s="28">
        <f>C23-(C23*$E$6)</f>
        <v>42.965035248990475</v>
      </c>
      <c r="G23" s="27" t="str">
        <f>IF(C23&gt;=F23,"-","+")</f>
        <v>+</v>
      </c>
      <c r="H23" s="26">
        <f>C23*D23</f>
        <v>1915.9</v>
      </c>
      <c r="I23" s="26">
        <f>F23*D23</f>
        <v>2105.2867272005333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46.001459854014605</v>
      </c>
      <c r="D24" s="22">
        <f>SUM(D21:D23)</f>
        <v>137</v>
      </c>
      <c r="E24" s="21">
        <f>D24/$D$48</f>
        <v>5.7910977723295433E-2</v>
      </c>
      <c r="F24" s="20">
        <f>I24/D24</f>
        <v>50.548704453523207</v>
      </c>
      <c r="G24" s="19">
        <f>F24/C24-1</f>
        <v>9.8850006368042642E-2</v>
      </c>
      <c r="H24" s="18">
        <f>SUM(H21:H23)</f>
        <v>6302.2000000000007</v>
      </c>
      <c r="I24" s="18">
        <f>SUM(I21:I23)</f>
        <v>6925.1725101326792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v>433</v>
      </c>
      <c r="E26" s="29">
        <f t="shared" ref="E26:E32" si="7">D26/$D$48</f>
        <v>0.18303250623494105</v>
      </c>
      <c r="F26" s="28">
        <f t="shared" ref="F26:F31" si="8">C26-(C26*$E$6)</f>
        <v>37.470785217150265</v>
      </c>
      <c r="G26" s="27" t="str">
        <f t="shared" ref="G26:G31" si="9">IF(C26&gt;=F26,"-","+")</f>
        <v>+</v>
      </c>
      <c r="H26" s="26">
        <f t="shared" ref="H26:H31" si="10">C26*D26</f>
        <v>14765.300000000001</v>
      </c>
      <c r="I26" s="26">
        <f t="shared" ref="I26:I31" si="11">F26*D26</f>
        <v>16224.849999026064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30">
        <v>352.5</v>
      </c>
      <c r="E27" s="29">
        <f t="shared" si="7"/>
        <v>0.14900452297417255</v>
      </c>
      <c r="F27" s="28">
        <f t="shared" si="8"/>
        <v>33.405040193588505</v>
      </c>
      <c r="G27" s="27" t="str">
        <f t="shared" si="9"/>
        <v>+</v>
      </c>
      <c r="H27" s="26">
        <f t="shared" si="10"/>
        <v>10716</v>
      </c>
      <c r="I27" s="26">
        <f t="shared" si="11"/>
        <v>11775.276668239949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30">
        <v>168.7</v>
      </c>
      <c r="E28" s="29">
        <f t="shared" si="7"/>
        <v>7.1310817094306131E-2</v>
      </c>
      <c r="F28" s="28">
        <f t="shared" si="8"/>
        <v>33.405040193588505</v>
      </c>
      <c r="G28" s="27" t="str">
        <f t="shared" si="9"/>
        <v>+</v>
      </c>
      <c r="H28" s="26">
        <f t="shared" si="10"/>
        <v>5128.4799999999996</v>
      </c>
      <c r="I28" s="26">
        <f t="shared" si="11"/>
        <v>5635.4302806583801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29.4</v>
      </c>
      <c r="D29" s="30">
        <v>165.2</v>
      </c>
      <c r="E29" s="29">
        <f t="shared" si="7"/>
        <v>6.9831339561229236E-2</v>
      </c>
      <c r="F29" s="28">
        <f t="shared" si="8"/>
        <v>32.306190187220459</v>
      </c>
      <c r="G29" s="27" t="str">
        <f t="shared" si="9"/>
        <v>+</v>
      </c>
      <c r="H29" s="26">
        <f t="shared" si="10"/>
        <v>4856.8799999999992</v>
      </c>
      <c r="I29" s="26">
        <f t="shared" si="11"/>
        <v>5336.9826189288196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29.4</v>
      </c>
      <c r="D30" s="30">
        <v>148.5</v>
      </c>
      <c r="E30" s="29">
        <f t="shared" si="7"/>
        <v>6.27721181891195E-2</v>
      </c>
      <c r="F30" s="28">
        <f t="shared" si="8"/>
        <v>32.306190187220459</v>
      </c>
      <c r="G30" s="27" t="str">
        <f t="shared" si="9"/>
        <v>+</v>
      </c>
      <c r="H30" s="26">
        <f t="shared" si="10"/>
        <v>4365.8999999999996</v>
      </c>
      <c r="I30" s="26">
        <f t="shared" si="11"/>
        <v>4797.4692428022381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29.9</v>
      </c>
      <c r="D31" s="30">
        <v>38.299999999999997</v>
      </c>
      <c r="E31" s="29">
        <f t="shared" si="7"/>
        <v>1.6189711290527115E-2</v>
      </c>
      <c r="F31" s="28">
        <f t="shared" si="8"/>
        <v>32.855615190404478</v>
      </c>
      <c r="G31" s="27" t="str">
        <f t="shared" si="9"/>
        <v>+</v>
      </c>
      <c r="H31" s="26">
        <f t="shared" si="10"/>
        <v>1145.1699999999998</v>
      </c>
      <c r="I31" s="26">
        <f t="shared" si="11"/>
        <v>1258.3700617924915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31.371711835859749</v>
      </c>
      <c r="D32" s="22">
        <f>SUM(D26:D31)</f>
        <v>1306.2</v>
      </c>
      <c r="E32" s="21">
        <f t="shared" si="7"/>
        <v>0.5521410153442956</v>
      </c>
      <c r="F32" s="20">
        <f>I32/D32</f>
        <v>34.472805750610888</v>
      </c>
      <c r="G32" s="19">
        <f>F32/C32-1</f>
        <v>9.8850006368042864E-2</v>
      </c>
      <c r="H32" s="18">
        <f>SUM(H26:H31)</f>
        <v>40977.730000000003</v>
      </c>
      <c r="I32" s="18">
        <f>SUM(I26:I31)</f>
        <v>45028.378871447945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f>210.7+166.1</f>
        <v>376.79999999999995</v>
      </c>
      <c r="E34" s="29">
        <f t="shared" ref="E34:E40" si="13">D34/$D$48</f>
        <v>0.15927632413239209</v>
      </c>
      <c r="F34" s="28">
        <f t="shared" ref="F34:F39" si="14">C34-(C34*$E$6)</f>
        <v>19.779300114624771</v>
      </c>
      <c r="G34" s="27" t="str">
        <f t="shared" ref="G34:G39" si="15">IF(C34&gt;=F34,"-","+")</f>
        <v>+</v>
      </c>
      <c r="H34" s="26">
        <f t="shared" ref="H34:H39" si="16">C34*D34</f>
        <v>6782.4</v>
      </c>
      <c r="I34" s="26">
        <f t="shared" ref="I34:I39" si="17">F34*D34</f>
        <v>7452.8402831906133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33.5</v>
      </c>
      <c r="E35" s="29">
        <f t="shared" si="13"/>
        <v>1.4160713530878812E-2</v>
      </c>
      <c r="F35" s="28">
        <f t="shared" si="14"/>
        <v>15.164130087878993</v>
      </c>
      <c r="G35" s="27" t="str">
        <f t="shared" si="15"/>
        <v>+</v>
      </c>
      <c r="H35" s="26">
        <f t="shared" si="16"/>
        <v>462.3</v>
      </c>
      <c r="I35" s="26">
        <f t="shared" si="17"/>
        <v>507.99835794394625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12.197235070685275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29.4</v>
      </c>
      <c r="D37" s="30"/>
      <c r="E37" s="29">
        <f t="shared" si="13"/>
        <v>0</v>
      </c>
      <c r="F37" s="28">
        <f t="shared" si="14"/>
        <v>32.306190187220459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29.4</v>
      </c>
      <c r="D38" s="30"/>
      <c r="E38" s="29">
        <f t="shared" si="13"/>
        <v>0</v>
      </c>
      <c r="F38" s="28">
        <f t="shared" si="14"/>
        <v>32.306190187220459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30"/>
      <c r="E39" s="29">
        <f t="shared" si="13"/>
        <v>0</v>
      </c>
      <c r="F39" s="28">
        <f t="shared" si="14"/>
        <v>33.405040193588505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17.657080185230321</v>
      </c>
      <c r="D40" s="22">
        <f>SUM(D34:D39)</f>
        <v>410.29999999999995</v>
      </c>
      <c r="E40" s="113">
        <f t="shared" si="13"/>
        <v>0.1734370376632709</v>
      </c>
      <c r="F40" s="20">
        <f>I40/D40</f>
        <v>19.402482673981378</v>
      </c>
      <c r="G40" s="19">
        <f>F40/C40-1</f>
        <v>9.8850006368042642E-2</v>
      </c>
      <c r="H40" s="18">
        <f>SUM(H34:H39)</f>
        <v>7244.7</v>
      </c>
      <c r="I40" s="18">
        <f>SUM(I34:I39)</f>
        <v>7960.8386411345591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240+28.6+223.2</f>
        <v>491.8</v>
      </c>
      <c r="E42" s="107">
        <f>D42/$D$48</f>
        <v>0.2078877287906328</v>
      </c>
      <c r="F42" s="28">
        <f>C42-(C42*$E$6)</f>
        <v>0.43954000254721715</v>
      </c>
      <c r="G42" s="27" t="str">
        <f>IF(C42&gt;=F42,"-","+")</f>
        <v>+</v>
      </c>
      <c r="H42" s="26">
        <f>C42*D42</f>
        <v>196.72000000000003</v>
      </c>
      <c r="I42" s="26">
        <f>F42*D42</f>
        <v>216.16577325272141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12.6</v>
      </c>
      <c r="E43" s="107">
        <f>D43/$D$48</f>
        <v>5.3261191190768064E-3</v>
      </c>
      <c r="F43" s="28">
        <f>C43-(C43*$E$6)</f>
        <v>0.43954000254721715</v>
      </c>
      <c r="G43" s="27" t="str">
        <f>IF(C43&gt;=F43,"-","+")</f>
        <v>+</v>
      </c>
      <c r="H43" s="26">
        <f>C43*D43</f>
        <v>5.04</v>
      </c>
      <c r="I43" s="26">
        <f>F43*D43</f>
        <v>5.5382040320949359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7.8</v>
      </c>
      <c r="E45" s="107">
        <f>D45/$D$48</f>
        <v>3.2971213594284992E-3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0.39390862944162436</v>
      </c>
      <c r="D46" s="22">
        <f>SUM(D41:D45)</f>
        <v>512.20000000000005</v>
      </c>
      <c r="E46" s="113">
        <f>D46/$D$48</f>
        <v>0.21651096926913813</v>
      </c>
      <c r="F46" s="20">
        <f>I46/D46</f>
        <v>0.43284649997035596</v>
      </c>
      <c r="G46" s="19">
        <f>F46/C46-1</f>
        <v>9.8850006368042864E-2</v>
      </c>
      <c r="H46" s="18">
        <f>SUM(H41:H44)</f>
        <v>201.76000000000002</v>
      </c>
      <c r="I46" s="18">
        <f>SUM(I41:I44)</f>
        <v>221.70397728481635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95.424160504546307</v>
      </c>
      <c r="D48" s="13">
        <f>D24+D32+D40+D46</f>
        <v>2365.6999999999998</v>
      </c>
      <c r="E48" s="12">
        <f>SUM(E20:E46)/2</f>
        <v>1</v>
      </c>
      <c r="F48" s="11">
        <f>I48/D48</f>
        <v>25.420000000000005</v>
      </c>
      <c r="G48" s="10"/>
      <c r="H48" s="9">
        <f>SUM(H20:H46)/2</f>
        <v>54726.39</v>
      </c>
      <c r="I48" s="9">
        <f>SUM(I20:I46)/2</f>
        <v>60136.094000000005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2365.7000000000003</v>
      </c>
      <c r="E50" s="12">
        <f>D50/G2</f>
        <v>1.0000000000000002</v>
      </c>
      <c r="F50" s="11">
        <f>I50/D50</f>
        <v>25.419999999999998</v>
      </c>
      <c r="G50" s="10"/>
      <c r="H50" s="9">
        <f>H48+H19</f>
        <v>54726.39</v>
      </c>
      <c r="I50" s="9">
        <f>I48+I19</f>
        <v>60136.094000000005</v>
      </c>
      <c r="J50" s="106">
        <f>D50-G2</f>
        <v>0</v>
      </c>
      <c r="K50" s="8"/>
    </row>
    <row r="51" spans="1:11" ht="23.25" x14ac:dyDescent="0.35">
      <c r="A51" s="174" t="s">
        <v>463</v>
      </c>
      <c r="B51" s="169"/>
      <c r="C51" s="170"/>
      <c r="G51" s="7"/>
      <c r="H51" s="6"/>
      <c r="I51" s="6">
        <f>+I50/D50</f>
        <v>25.419999999999998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457</v>
      </c>
      <c r="D1" s="100" t="s">
        <v>1</v>
      </c>
      <c r="E1" s="168" t="s">
        <v>464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457</v>
      </c>
      <c r="D2" s="96" t="s">
        <v>3</v>
      </c>
      <c r="E2" s="95" t="s">
        <v>112</v>
      </c>
      <c r="F2" s="94" t="s">
        <v>5</v>
      </c>
      <c r="G2" s="93">
        <v>6652.3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/>
      <c r="D3" s="90" t="s">
        <v>7</v>
      </c>
      <c r="E3" s="89">
        <v>116</v>
      </c>
      <c r="F3" s="88" t="s">
        <v>8</v>
      </c>
      <c r="G3" s="87">
        <v>24.98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57.347413793103449</v>
      </c>
      <c r="F4" s="81" t="s">
        <v>12</v>
      </c>
      <c r="G4" s="80">
        <f>G2*G3</f>
        <v>166174.454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-9.3261042449786391E-2</v>
      </c>
      <c r="F6" s="69" t="s">
        <v>16</v>
      </c>
      <c r="G6" s="68">
        <f>(I50-I19)/(D50-(SUM(D42:D44)+D19))</f>
        <v>32.023752481162425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27.331526061244659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28.424787103694445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26.019612810304917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28.424787103694445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 t="e">
        <f t="shared" si="1"/>
        <v>#DIV/0!</v>
      </c>
      <c r="F14" s="28">
        <f t="shared" si="2"/>
        <v>31.813896335288785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26.238265018794873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32.799999999999997</v>
      </c>
      <c r="D16" s="30"/>
      <c r="E16" s="29" t="e">
        <f t="shared" si="1"/>
        <v>#DIV/0!</v>
      </c>
      <c r="F16" s="28">
        <f t="shared" si="2"/>
        <v>35.85896219235299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/>
      <c r="E17" s="29" t="e">
        <f t="shared" si="1"/>
        <v>#DIV/0!</v>
      </c>
      <c r="F17" s="28">
        <f t="shared" si="2"/>
        <v>52.804508350324681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42.3</v>
      </c>
      <c r="D18" s="30"/>
      <c r="E18" s="29" t="e">
        <f t="shared" si="1"/>
        <v>#DIV/0!</v>
      </c>
      <c r="F18" s="28">
        <f t="shared" si="2"/>
        <v>46.244942095625959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62.8</v>
      </c>
      <c r="D21" s="30">
        <v>87</v>
      </c>
      <c r="E21" s="29">
        <f>D21/$D$48</f>
        <v>1.307818348541106E-2</v>
      </c>
      <c r="F21" s="28">
        <f>C21-(C21*$E$6)</f>
        <v>68.656793465846576</v>
      </c>
      <c r="G21" s="27" t="str">
        <f>IF(C21&gt;=F21,"-","+")</f>
        <v>+</v>
      </c>
      <c r="H21" s="26">
        <f>C21*D21</f>
        <v>5463.5999999999995</v>
      </c>
      <c r="I21" s="26">
        <f>F21*D21</f>
        <v>5973.1410315286521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182.3</v>
      </c>
      <c r="E22" s="29">
        <f>D22/$D$48</f>
        <v>2.7404055740119958E-2</v>
      </c>
      <c r="F22" s="28">
        <f>C22-(C22*$E$6)</f>
        <v>46.135615991380988</v>
      </c>
      <c r="G22" s="27" t="str">
        <f>IF(C22&gt;=F22,"-","+")</f>
        <v>+</v>
      </c>
      <c r="H22" s="26">
        <f>C22*D22</f>
        <v>7693.0600000000013</v>
      </c>
      <c r="I22" s="26">
        <f>F22*D22</f>
        <v>8410.5227952287551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>
        <v>152.4</v>
      </c>
      <c r="E23" s="29">
        <f>D23/$D$48</f>
        <v>2.2909369691685583E-2</v>
      </c>
      <c r="F23" s="28">
        <f>C23-(C23*$E$6)</f>
        <v>42.090550134316778</v>
      </c>
      <c r="G23" s="27" t="str">
        <f>IF(C23&gt;=F23,"-","+")</f>
        <v>+</v>
      </c>
      <c r="H23" s="26">
        <f>C23*D23</f>
        <v>5867.4000000000005</v>
      </c>
      <c r="I23" s="26">
        <f>F23*D23</f>
        <v>6414.5998404698776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45.112781598292621</v>
      </c>
      <c r="D24" s="22">
        <f>SUM(D21:D23)</f>
        <v>421.70000000000005</v>
      </c>
      <c r="E24" s="21">
        <f>D24/$D$48</f>
        <v>6.339160891721661E-2</v>
      </c>
      <c r="F24" s="20">
        <f>I24/D24</f>
        <v>49.320046637958939</v>
      </c>
      <c r="G24" s="19">
        <f>F24/C24-1</f>
        <v>9.3261042449786613E-2</v>
      </c>
      <c r="H24" s="18">
        <f>SUM(H21:H23)</f>
        <v>19024.060000000001</v>
      </c>
      <c r="I24" s="18">
        <f>SUM(I21:I23)</f>
        <v>20798.263667227286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f>202.7+1106.3</f>
        <v>1309</v>
      </c>
      <c r="E26" s="29">
        <f t="shared" ref="E26:E32" si="7">D26/$D$48</f>
        <v>0.19677404807359861</v>
      </c>
      <c r="F26" s="28">
        <f t="shared" ref="F26:F31" si="8">C26-(C26*$E$6)</f>
        <v>36.624244922067845</v>
      </c>
      <c r="G26" s="27" t="str">
        <f t="shared" ref="G26:G31" si="9">IF(C26&gt;=F26,"-","+")</f>
        <v>+</v>
      </c>
      <c r="H26" s="26">
        <f t="shared" ref="H26:H31" si="10">C26*D26</f>
        <v>43851.5</v>
      </c>
      <c r="I26" s="26">
        <f t="shared" ref="I26:I31" si="11">F26*D26</f>
        <v>47941.136602986808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972.6</v>
      </c>
      <c r="E27" s="29">
        <f t="shared" si="7"/>
        <v>0.14620507193000917</v>
      </c>
      <c r="F27" s="28">
        <f t="shared" si="8"/>
        <v>32.688505169248614</v>
      </c>
      <c r="G27" s="27" t="str">
        <f t="shared" si="9"/>
        <v>+</v>
      </c>
      <c r="H27" s="26">
        <f t="shared" si="10"/>
        <v>29080.739999999998</v>
      </c>
      <c r="I27" s="26">
        <f t="shared" si="11"/>
        <v>31792.840127611202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467.8</v>
      </c>
      <c r="E28" s="29">
        <f t="shared" si="7"/>
        <v>7.032154292500338E-2</v>
      </c>
      <c r="F28" s="28">
        <f t="shared" si="8"/>
        <v>32.688505169248614</v>
      </c>
      <c r="G28" s="27" t="str">
        <f t="shared" si="9"/>
        <v>+</v>
      </c>
      <c r="H28" s="26">
        <f t="shared" si="10"/>
        <v>13987.22</v>
      </c>
      <c r="I28" s="26">
        <f t="shared" si="11"/>
        <v>15291.682718174503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500</v>
      </c>
      <c r="E29" s="29">
        <f t="shared" si="7"/>
        <v>7.5161974054086561E-2</v>
      </c>
      <c r="F29" s="28">
        <f t="shared" si="8"/>
        <v>31.595244126798825</v>
      </c>
      <c r="G29" s="27" t="str">
        <f t="shared" si="9"/>
        <v>+</v>
      </c>
      <c r="H29" s="26">
        <f t="shared" si="10"/>
        <v>14450</v>
      </c>
      <c r="I29" s="26">
        <f t="shared" si="11"/>
        <v>15797.622063399413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302</v>
      </c>
      <c r="E30" s="29">
        <f t="shared" si="7"/>
        <v>4.5397832328668279E-2</v>
      </c>
      <c r="F30" s="28">
        <f t="shared" si="8"/>
        <v>31.595244126798825</v>
      </c>
      <c r="G30" s="27" t="str">
        <f t="shared" si="9"/>
        <v>+</v>
      </c>
      <c r="H30" s="26">
        <f t="shared" si="10"/>
        <v>8727.7999999999993</v>
      </c>
      <c r="I30" s="26">
        <f t="shared" si="11"/>
        <v>9541.7637262932458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118.4</v>
      </c>
      <c r="E31" s="29">
        <f t="shared" si="7"/>
        <v>1.7798355456007695E-2</v>
      </c>
      <c r="F31" s="28">
        <f t="shared" si="8"/>
        <v>32.141874648023716</v>
      </c>
      <c r="G31" s="27" t="str">
        <f t="shared" si="9"/>
        <v>+</v>
      </c>
      <c r="H31" s="26">
        <f t="shared" si="10"/>
        <v>3480.96</v>
      </c>
      <c r="I31" s="26">
        <f t="shared" si="11"/>
        <v>3805.5979583260082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30.949430486675023</v>
      </c>
      <c r="D32" s="22">
        <f>SUM(D26:D31)</f>
        <v>3669.8</v>
      </c>
      <c r="E32" s="21">
        <f t="shared" si="7"/>
        <v>0.55165882476737371</v>
      </c>
      <c r="F32" s="20">
        <f>I32/D32</f>
        <v>33.835806637089533</v>
      </c>
      <c r="G32" s="19">
        <f>F32/C32-1</f>
        <v>9.3261042449786391E-2</v>
      </c>
      <c r="H32" s="18">
        <f>SUM(H26:H31)</f>
        <v>113578.22</v>
      </c>
      <c r="I32" s="18">
        <f>SUM(I26:I31)</f>
        <v>124170.64319679116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f>525+471.1</f>
        <v>996.1</v>
      </c>
      <c r="E34" s="29">
        <f t="shared" ref="E34:E40" si="13">D34/$D$48</f>
        <v>0.14973768471055124</v>
      </c>
      <c r="F34" s="28">
        <f t="shared" ref="F34:F39" si="14">C34-(C34*$E$6)</f>
        <v>19.241394347116241</v>
      </c>
      <c r="G34" s="27" t="str">
        <f t="shared" ref="G34:G39" si="15">IF(C34&gt;=F34,"-","+")</f>
        <v>+</v>
      </c>
      <c r="H34" s="26">
        <f t="shared" ref="H34:H39" si="16">C34*D34</f>
        <v>17531.36</v>
      </c>
      <c r="I34" s="26">
        <f t="shared" ref="I34:I39" si="17">F34*D34</f>
        <v>19166.352909162488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94.4</v>
      </c>
      <c r="E35" s="29">
        <f t="shared" si="13"/>
        <v>1.4190580701411543E-2</v>
      </c>
      <c r="F35" s="28">
        <f t="shared" si="14"/>
        <v>14.868350177317094</v>
      </c>
      <c r="G35" s="27" t="str">
        <f t="shared" si="15"/>
        <v>+</v>
      </c>
      <c r="H35" s="26">
        <f t="shared" si="16"/>
        <v>1283.8400000000001</v>
      </c>
      <c r="I35" s="26">
        <f t="shared" si="17"/>
        <v>1403.5722567387338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11.916545362702673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31.595244126798825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31.595244126798825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32.688505169248614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17.253736817973408</v>
      </c>
      <c r="D40" s="22">
        <f>SUM(D34:D39)</f>
        <v>1090.5</v>
      </c>
      <c r="E40" s="113">
        <f t="shared" si="13"/>
        <v>0.16392826541196279</v>
      </c>
      <c r="F40" s="20">
        <f>I40/D40</f>
        <v>18.86283829977187</v>
      </c>
      <c r="G40" s="19">
        <f>F40/C40-1</f>
        <v>9.3261042449786391E-2</v>
      </c>
      <c r="H40" s="18">
        <f>SUM(H34:H39)</f>
        <v>18815.2</v>
      </c>
      <c r="I40" s="18">
        <f>SUM(I34:I39)</f>
        <v>20569.925165901222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679+80.6+645.4</f>
        <v>1405</v>
      </c>
      <c r="E42" s="107">
        <f>D42/$D$48</f>
        <v>0.21120514709198321</v>
      </c>
      <c r="F42" s="28">
        <f>C42-(C42*$E$6)</f>
        <v>0.43730441697991457</v>
      </c>
      <c r="G42" s="27" t="str">
        <f>IF(C42&gt;=F42,"-","+")</f>
        <v>+</v>
      </c>
      <c r="H42" s="26">
        <f>C42*D42</f>
        <v>562</v>
      </c>
      <c r="I42" s="26">
        <f>F42*D42</f>
        <v>614.41270585678001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48.5</v>
      </c>
      <c r="E43" s="107">
        <f>D43/$D$48</f>
        <v>7.2907114832463961E-3</v>
      </c>
      <c r="F43" s="28">
        <f>C43-(C43*$E$6)</f>
        <v>0.43730441697991457</v>
      </c>
      <c r="G43" s="27" t="str">
        <f>IF(C43&gt;=F43,"-","+")</f>
        <v>+</v>
      </c>
      <c r="H43" s="26">
        <f>C43*D43</f>
        <v>19.400000000000002</v>
      </c>
      <c r="I43" s="26">
        <f>F43*D43</f>
        <v>21.209264223525857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9.6999999999999993</v>
      </c>
      <c r="E44" s="107">
        <f>D44/$D$48</f>
        <v>1.4581422966492791E-3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7.1</v>
      </c>
      <c r="E45" s="107">
        <f>D45/$D$48</f>
        <v>1.067300031568029E-3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0.3954295041828198</v>
      </c>
      <c r="D46" s="22">
        <f>SUM(D41:D45)</f>
        <v>1470.3</v>
      </c>
      <c r="E46" s="113">
        <f>D46/$D$48</f>
        <v>0.2210213009034469</v>
      </c>
      <c r="F46" s="20">
        <f>I46/D46</f>
        <v>0.43230767195831188</v>
      </c>
      <c r="G46" s="19">
        <f>F46/C46-1</f>
        <v>9.3261042449786835E-2</v>
      </c>
      <c r="H46" s="18">
        <f>SUM(H41:H44)</f>
        <v>581.4</v>
      </c>
      <c r="I46" s="18">
        <f>SUM(I41:I44)</f>
        <v>635.62197008030591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93.71137840712386</v>
      </c>
      <c r="D48" s="13">
        <f>D24+D32+D40+D46</f>
        <v>6652.3</v>
      </c>
      <c r="E48" s="12">
        <f>SUM(E20:E46)/2</f>
        <v>0.99999999999999989</v>
      </c>
      <c r="F48" s="11">
        <f>I48/D48</f>
        <v>24.979999999999993</v>
      </c>
      <c r="G48" s="10"/>
      <c r="H48" s="9">
        <f>SUM(H20:H46)/2</f>
        <v>151998.88</v>
      </c>
      <c r="I48" s="9">
        <f>SUM(I20:I46)/2</f>
        <v>166174.45399999997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6652.3</v>
      </c>
      <c r="E50" s="12">
        <f>D50/G2</f>
        <v>1</v>
      </c>
      <c r="F50" s="11">
        <f>I50/D50</f>
        <v>24.979999999999993</v>
      </c>
      <c r="G50" s="10"/>
      <c r="H50" s="9">
        <f>H48+H19</f>
        <v>151998.88</v>
      </c>
      <c r="I50" s="9">
        <f>I48+I19</f>
        <v>166174.45399999997</v>
      </c>
      <c r="J50" s="106">
        <f>D50-G2</f>
        <v>0</v>
      </c>
      <c r="K50" s="8"/>
    </row>
    <row r="51" spans="1:11" ht="23.25" x14ac:dyDescent="0.35">
      <c r="A51" s="174" t="s">
        <v>465</v>
      </c>
      <c r="B51" s="169"/>
      <c r="C51" s="170"/>
      <c r="G51" s="7"/>
      <c r="H51" s="6"/>
      <c r="I51" s="6">
        <f>+I50/D50</f>
        <v>24.979999999999993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466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466</v>
      </c>
      <c r="D2" s="96" t="s">
        <v>3</v>
      </c>
      <c r="E2" s="95" t="s">
        <v>362</v>
      </c>
      <c r="F2" s="94" t="s">
        <v>5</v>
      </c>
      <c r="G2" s="93">
        <v>19640.2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268</v>
      </c>
      <c r="F3" s="88" t="s">
        <v>8</v>
      </c>
      <c r="G3" s="87">
        <v>28.75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73.284328358208953</v>
      </c>
      <c r="F4" s="81" t="s">
        <v>12</v>
      </c>
      <c r="G4" s="80">
        <f>G2*G3</f>
        <v>564655.75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-1.1509033759408371E-2</v>
      </c>
      <c r="F6" s="69" t="s">
        <v>16</v>
      </c>
      <c r="G6" s="68">
        <f>(I50-I19)/(D50-(SUM(D42:D44)+D19))</f>
        <v>33.779369842745766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28.8</v>
      </c>
      <c r="D10" s="30"/>
      <c r="E10" s="29">
        <f t="shared" ref="E10:E19" si="1">D10/$D$19</f>
        <v>0</v>
      </c>
      <c r="F10" s="28">
        <f t="shared" ref="F10:F18" si="2">C10-(C10*$E$6)</f>
        <v>29.131460172270963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29.9</v>
      </c>
      <c r="D11" s="30"/>
      <c r="E11" s="29">
        <f t="shared" si="1"/>
        <v>0</v>
      </c>
      <c r="F11" s="28">
        <f t="shared" si="2"/>
        <v>30.24412010940631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27.4</v>
      </c>
      <c r="D12" s="30"/>
      <c r="E12" s="29">
        <f t="shared" si="1"/>
        <v>0</v>
      </c>
      <c r="F12" s="28">
        <f t="shared" si="2"/>
        <v>27.71534752500779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29.9</v>
      </c>
      <c r="D13" s="30"/>
      <c r="E13" s="29">
        <f t="shared" si="1"/>
        <v>0</v>
      </c>
      <c r="F13" s="28">
        <f t="shared" si="2"/>
        <v>30.24412010940631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33.5</v>
      </c>
      <c r="D14" s="30"/>
      <c r="E14" s="29">
        <f t="shared" si="1"/>
        <v>0</v>
      </c>
      <c r="F14" s="28">
        <f t="shared" si="2"/>
        <v>33.885552630940182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27.6</v>
      </c>
      <c r="D15" s="30"/>
      <c r="E15" s="29">
        <f t="shared" si="1"/>
        <v>0</v>
      </c>
      <c r="F15" s="28">
        <f t="shared" si="2"/>
        <v>27.917649331759673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37.799999999999997</v>
      </c>
      <c r="D16" s="30">
        <v>942.3</v>
      </c>
      <c r="E16" s="29">
        <f t="shared" si="1"/>
        <v>1</v>
      </c>
      <c r="F16" s="28">
        <f t="shared" si="2"/>
        <v>38.235041476105636</v>
      </c>
      <c r="G16" s="27" t="str">
        <f t="shared" si="3"/>
        <v>+</v>
      </c>
      <c r="H16" s="34">
        <f t="shared" si="4"/>
        <v>35618.939999999995</v>
      </c>
      <c r="I16" s="34">
        <f t="shared" si="5"/>
        <v>36028.879582934336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55.6</v>
      </c>
      <c r="D17" s="30"/>
      <c r="E17" s="29">
        <f t="shared" si="1"/>
        <v>0</v>
      </c>
      <c r="F17" s="28">
        <f t="shared" si="2"/>
        <v>56.239902277023106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48.7</v>
      </c>
      <c r="D18" s="30"/>
      <c r="E18" s="29">
        <f t="shared" si="1"/>
        <v>0</v>
      </c>
      <c r="F18" s="28">
        <f t="shared" si="2"/>
        <v>49.26048994408319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37.799999999999997</v>
      </c>
      <c r="D19" s="49">
        <f>SUM(D10:D18)</f>
        <v>942.3</v>
      </c>
      <c r="E19" s="48">
        <f t="shared" si="1"/>
        <v>1</v>
      </c>
      <c r="F19" s="47">
        <f>I19/D19</f>
        <v>38.235041476105636</v>
      </c>
      <c r="G19" s="46">
        <f>F19/C19-1</f>
        <v>1.1509033759408371E-2</v>
      </c>
      <c r="H19" s="9">
        <f>SUM(H10:H18)</f>
        <v>35618.939999999995</v>
      </c>
      <c r="I19" s="9">
        <f>SUM(I10:I18)</f>
        <v>36028.879582934336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72.3</v>
      </c>
      <c r="D21" s="30">
        <v>77.900000000000006</v>
      </c>
      <c r="E21" s="29">
        <f>D21/$D$48</f>
        <v>4.1662432679605739E-3</v>
      </c>
      <c r="F21" s="28">
        <f>C21-(C21*$E$6)</f>
        <v>73.132103140805228</v>
      </c>
      <c r="G21" s="27" t="str">
        <f>IF(C21&gt;=F21,"-","+")</f>
        <v>+</v>
      </c>
      <c r="H21" s="26">
        <f>C21*D21</f>
        <v>5632.17</v>
      </c>
      <c r="I21" s="26">
        <f>F21*D21</f>
        <v>5696.990834668728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48.6</v>
      </c>
      <c r="D22" s="30">
        <v>603.4</v>
      </c>
      <c r="E22" s="29">
        <f>D22/$D$48</f>
        <v>3.227100369560218E-2</v>
      </c>
      <c r="F22" s="28">
        <f>C22-(C22*$E$6)</f>
        <v>49.159339040707245</v>
      </c>
      <c r="G22" s="27" t="str">
        <f>IF(C22&gt;=F22,"-","+")</f>
        <v>+</v>
      </c>
      <c r="H22" s="26">
        <f>C22*D22</f>
        <v>29325.239999999998</v>
      </c>
      <c r="I22" s="26">
        <f>F22*D22</f>
        <v>29662.745177162749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44.3</v>
      </c>
      <c r="D23" s="30">
        <v>152.1</v>
      </c>
      <c r="E23" s="29">
        <f>D23/$D$48</f>
        <v>8.1346033511784759E-3</v>
      </c>
      <c r="F23" s="28">
        <f>C23-(C23*$E$6)</f>
        <v>44.809850195541785</v>
      </c>
      <c r="G23" s="27" t="str">
        <f>IF(C23&gt;=F23,"-","+")</f>
        <v>+</v>
      </c>
      <c r="H23" s="26">
        <f>C23*D23</f>
        <v>6738.03</v>
      </c>
      <c r="I23" s="26">
        <f>F23*D23</f>
        <v>6815.578214741905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50.030525557955357</v>
      </c>
      <c r="D24" s="22">
        <f>SUM(D21:D23)</f>
        <v>833.4</v>
      </c>
      <c r="E24" s="21">
        <f>D24/$D$48</f>
        <v>4.4571850314741229E-2</v>
      </c>
      <c r="F24" s="20">
        <f>I24/D24</f>
        <v>50.606328565602809</v>
      </c>
      <c r="G24" s="19">
        <f>F24/C24-1</f>
        <v>1.1509033759408371E-2</v>
      </c>
      <c r="H24" s="18">
        <f>SUM(H21:H23)</f>
        <v>41695.439999999995</v>
      </c>
      <c r="I24" s="18">
        <f>SUM(I21:I23)</f>
        <v>42175.314226573377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38.6</v>
      </c>
      <c r="D26" s="30">
        <f>808+2970.4</f>
        <v>3778.4</v>
      </c>
      <c r="E26" s="29">
        <f t="shared" ref="E26:E32" si="7">D26/$D$48</f>
        <v>0.2020761689815434</v>
      </c>
      <c r="F26" s="28">
        <f t="shared" ref="F26:F31" si="8">C26-(C26*$E$6)</f>
        <v>39.044248703113162</v>
      </c>
      <c r="G26" s="27" t="str">
        <f t="shared" ref="G26:G31" si="9">IF(C26&gt;=F26,"-","+")</f>
        <v>+</v>
      </c>
      <c r="H26" s="26">
        <f t="shared" ref="H26:H31" si="10">C26*D26</f>
        <v>145846.24000000002</v>
      </c>
      <c r="I26" s="26">
        <f t="shared" ref="I26:I31" si="11">F26*D26</f>
        <v>147524.78929984279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34.4</v>
      </c>
      <c r="D27" s="30">
        <v>2778.1</v>
      </c>
      <c r="E27" s="29">
        <f t="shared" si="7"/>
        <v>0.14857818257665301</v>
      </c>
      <c r="F27" s="28">
        <f t="shared" si="8"/>
        <v>34.795910761323647</v>
      </c>
      <c r="G27" s="27" t="str">
        <f t="shared" si="9"/>
        <v>+</v>
      </c>
      <c r="H27" s="26">
        <f t="shared" si="10"/>
        <v>95566.64</v>
      </c>
      <c r="I27" s="26">
        <f t="shared" si="11"/>
        <v>96666.519686033222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34.4</v>
      </c>
      <c r="D28" s="30">
        <v>1830.7</v>
      </c>
      <c r="E28" s="29">
        <f t="shared" si="7"/>
        <v>9.7909390894164602E-2</v>
      </c>
      <c r="F28" s="28">
        <f t="shared" si="8"/>
        <v>34.795910761323647</v>
      </c>
      <c r="G28" s="27" t="str">
        <f t="shared" si="9"/>
        <v>+</v>
      </c>
      <c r="H28" s="26">
        <f t="shared" si="10"/>
        <v>62976.08</v>
      </c>
      <c r="I28" s="26">
        <f t="shared" si="11"/>
        <v>63700.873830755205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33.200000000000003</v>
      </c>
      <c r="D29" s="30">
        <v>1799</v>
      </c>
      <c r="E29" s="29">
        <f t="shared" si="7"/>
        <v>9.6214013338396298E-2</v>
      </c>
      <c r="F29" s="28">
        <f t="shared" si="8"/>
        <v>33.582099920812361</v>
      </c>
      <c r="G29" s="27" t="str">
        <f t="shared" si="9"/>
        <v>+</v>
      </c>
      <c r="H29" s="26">
        <f t="shared" si="10"/>
        <v>59726.8</v>
      </c>
      <c r="I29" s="26">
        <f t="shared" si="11"/>
        <v>60414.197757541435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33.200000000000003</v>
      </c>
      <c r="D30" s="30">
        <v>1385</v>
      </c>
      <c r="E30" s="29">
        <f t="shared" si="7"/>
        <v>7.4072489423946009E-2</v>
      </c>
      <c r="F30" s="28">
        <f t="shared" si="8"/>
        <v>33.582099920812361</v>
      </c>
      <c r="G30" s="27" t="str">
        <f t="shared" si="9"/>
        <v>+</v>
      </c>
      <c r="H30" s="26">
        <f t="shared" si="10"/>
        <v>45982.000000000007</v>
      </c>
      <c r="I30" s="26">
        <f t="shared" si="11"/>
        <v>46511.208390325119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33.799999999999997</v>
      </c>
      <c r="D31" s="30">
        <v>306.3</v>
      </c>
      <c r="E31" s="29">
        <f t="shared" si="7"/>
        <v>1.6381518780183874E-2</v>
      </c>
      <c r="F31" s="28">
        <f t="shared" si="8"/>
        <v>34.189005341067997</v>
      </c>
      <c r="G31" s="27" t="str">
        <f t="shared" si="9"/>
        <v>+</v>
      </c>
      <c r="H31" s="26">
        <f t="shared" si="10"/>
        <v>10352.939999999999</v>
      </c>
      <c r="I31" s="26">
        <f t="shared" si="11"/>
        <v>10472.092335969128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35.3989223321406</v>
      </c>
      <c r="D32" s="22">
        <f>SUM(D26:D31)</f>
        <v>11877.5</v>
      </c>
      <c r="E32" s="21">
        <f t="shared" si="7"/>
        <v>0.63523176399488723</v>
      </c>
      <c r="F32" s="20">
        <f>I32/D32</f>
        <v>35.806329724307886</v>
      </c>
      <c r="G32" s="19">
        <f>F32/C32-1</f>
        <v>1.1509033759408593E-2</v>
      </c>
      <c r="H32" s="18">
        <f>SUM(H26:H31)</f>
        <v>420450.7</v>
      </c>
      <c r="I32" s="18">
        <f>SUM(I26:I31)</f>
        <v>425289.68130046694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</v>
      </c>
      <c r="D34" s="30">
        <v>2804.4</v>
      </c>
      <c r="E34" s="29">
        <f t="shared" ref="E34:E40" si="13">D34/$D$48</f>
        <v>0.14998475764658065</v>
      </c>
      <c r="F34" s="28">
        <f t="shared" ref="F34:F39" si="14">C34-(C34*$E$6)</f>
        <v>20.533633385315991</v>
      </c>
      <c r="G34" s="27" t="str">
        <f t="shared" ref="G34:G39" si="15">IF(C34&gt;=F34,"-","+")</f>
        <v>+</v>
      </c>
      <c r="H34" s="26">
        <f t="shared" ref="H34:H39" si="16">C34*D34</f>
        <v>56929.320000000007</v>
      </c>
      <c r="I34" s="26">
        <f t="shared" ref="I34:I39" si="17">F34*D34</f>
        <v>57584.521465780163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15.6</v>
      </c>
      <c r="D35" s="30">
        <v>129</v>
      </c>
      <c r="E35" s="29">
        <f t="shared" si="13"/>
        <v>6.8991704950823358E-3</v>
      </c>
      <c r="F35" s="28">
        <f t="shared" si="14"/>
        <v>15.779540926646771</v>
      </c>
      <c r="G35" s="27" t="str">
        <f t="shared" si="15"/>
        <v>+</v>
      </c>
      <c r="H35" s="26">
        <f t="shared" si="16"/>
        <v>2012.3999999999999</v>
      </c>
      <c r="I35" s="26">
        <f t="shared" si="17"/>
        <v>2035.5607795374335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12.745013825368545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33.200000000000003</v>
      </c>
      <c r="D37" s="30"/>
      <c r="E37" s="29">
        <f t="shared" si="13"/>
        <v>0</v>
      </c>
      <c r="F37" s="28">
        <f t="shared" si="14"/>
        <v>33.582099920812361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33.200000000000003</v>
      </c>
      <c r="D38" s="30"/>
      <c r="E38" s="29">
        <f t="shared" si="13"/>
        <v>0</v>
      </c>
      <c r="F38" s="28">
        <f t="shared" si="14"/>
        <v>33.582099920812361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34.4</v>
      </c>
      <c r="D39" s="30"/>
      <c r="E39" s="29">
        <f t="shared" si="13"/>
        <v>0</v>
      </c>
      <c r="F39" s="28">
        <f t="shared" si="14"/>
        <v>34.795910761323647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20.093311515647375</v>
      </c>
      <c r="D40" s="22">
        <f>SUM(D34:D39)</f>
        <v>2933.4</v>
      </c>
      <c r="E40" s="113">
        <f t="shared" si="13"/>
        <v>0.15688392814166299</v>
      </c>
      <c r="F40" s="20">
        <f>I40/D40</f>
        <v>20.324566116219266</v>
      </c>
      <c r="G40" s="19">
        <f>F40/C40-1</f>
        <v>1.1509033759408149E-2</v>
      </c>
      <c r="H40" s="18">
        <f>SUM(H34:H39)</f>
        <v>58941.720000000008</v>
      </c>
      <c r="I40" s="18">
        <f>SUM(I34:I39)</f>
        <v>59620.082245317593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2921</v>
      </c>
      <c r="E42" s="107">
        <f>D42/$D$48</f>
        <v>0.15622075206306593</v>
      </c>
      <c r="F42" s="28">
        <f>C42-(C42*$E$6)</f>
        <v>0.50575451687970419</v>
      </c>
      <c r="G42" s="27" t="str">
        <f>IF(C42&gt;=F42,"-","+")</f>
        <v>+</v>
      </c>
      <c r="H42" s="26">
        <f>C42*D42</f>
        <v>1460.5</v>
      </c>
      <c r="I42" s="26">
        <f>F42*D42</f>
        <v>1477.3089438056159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127.5</v>
      </c>
      <c r="E43" s="107">
        <f>D43/$D$48</f>
        <v>6.8189475823488208E-3</v>
      </c>
      <c r="F43" s="28">
        <f>C43-(C43*$E$6)</f>
        <v>0.50575451687970419</v>
      </c>
      <c r="G43" s="27" t="str">
        <f>IF(C43&gt;=F43,"-","+")</f>
        <v>+</v>
      </c>
      <c r="H43" s="26">
        <f>C43*D43</f>
        <v>63.75</v>
      </c>
      <c r="I43" s="26">
        <f>F43*D43</f>
        <v>64.483700902162283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2.7275790329395281E-4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0.4991649200943149</v>
      </c>
      <c r="D46" s="22">
        <f>SUM(D41:D45)</f>
        <v>3053.6</v>
      </c>
      <c r="E46" s="113">
        <f>D46/$D$48</f>
        <v>0.16331245754870868</v>
      </c>
      <c r="F46" s="20">
        <f>I46/D46</f>
        <v>0.50490982601119272</v>
      </c>
      <c r="G46" s="19">
        <f>F46/C46-1</f>
        <v>1.1509033759408371E-2</v>
      </c>
      <c r="H46" s="18">
        <f>SUM(H41:H44)</f>
        <v>1524.25</v>
      </c>
      <c r="I46" s="18">
        <f>SUM(I41:I44)</f>
        <v>1541.7926447077782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106.02192432583765</v>
      </c>
      <c r="D48" s="13">
        <f>D24+D32+D40+D46</f>
        <v>18697.899999999998</v>
      </c>
      <c r="E48" s="12">
        <f>SUM(E20:E46)/2</f>
        <v>1</v>
      </c>
      <c r="F48" s="11">
        <f>I48/D48</f>
        <v>28.271991529373125</v>
      </c>
      <c r="G48" s="10"/>
      <c r="H48" s="9">
        <f>SUM(H20:H46)/2</f>
        <v>522612.11000000004</v>
      </c>
      <c r="I48" s="9">
        <f>SUM(I20:I46)/2</f>
        <v>528626.87041706569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19640.2</v>
      </c>
      <c r="E50" s="12">
        <f>D50/G2</f>
        <v>1</v>
      </c>
      <c r="F50" s="11">
        <f>I50/D50</f>
        <v>28.75</v>
      </c>
      <c r="G50" s="10"/>
      <c r="H50" s="9">
        <f>H48+H19</f>
        <v>558231.05000000005</v>
      </c>
      <c r="I50" s="9">
        <f>I48+I19</f>
        <v>564655.75</v>
      </c>
      <c r="J50" s="106">
        <f>D50-G2</f>
        <v>0</v>
      </c>
      <c r="K50" s="8"/>
    </row>
    <row r="51" spans="1:11" ht="23.25" x14ac:dyDescent="0.35">
      <c r="A51" s="174" t="s">
        <v>467</v>
      </c>
      <c r="B51" s="169"/>
      <c r="C51" s="170"/>
      <c r="G51" s="7"/>
      <c r="H51" s="6"/>
      <c r="I51" s="6">
        <f>+I50/D50</f>
        <v>28.75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466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466</v>
      </c>
      <c r="D2" s="96" t="s">
        <v>3</v>
      </c>
      <c r="E2" s="95" t="s">
        <v>468</v>
      </c>
      <c r="F2" s="94" t="s">
        <v>5</v>
      </c>
      <c r="G2" s="93">
        <v>5746.8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72</v>
      </c>
      <c r="F3" s="88" t="s">
        <v>8</v>
      </c>
      <c r="G3" s="87">
        <v>27.75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79.816666666666663</v>
      </c>
      <c r="F4" s="81" t="s">
        <v>12</v>
      </c>
      <c r="G4" s="80">
        <f>G2*G3</f>
        <v>159473.70000000001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-0.11124482314914474</v>
      </c>
      <c r="F6" s="69" t="s">
        <v>16</v>
      </c>
      <c r="G6" s="68">
        <f>(I50-I19)/(D50-(SUM(D42:D44)+D19))</f>
        <v>34.031946222791298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 t="e">
        <f t="shared" ref="E10:E19" si="1">D10/$D$19</f>
        <v>#DIV/0!</v>
      </c>
      <c r="F10" s="28">
        <f t="shared" ref="F10:F18" si="2">C10-(C10*$E$6)</f>
        <v>30.892606083546227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30"/>
      <c r="E11" s="29" t="e">
        <f t="shared" si="1"/>
        <v>#DIV/0!</v>
      </c>
      <c r="F11" s="28">
        <f t="shared" si="2"/>
        <v>32.114975389010283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/>
      <c r="E12" s="29" t="e">
        <f t="shared" si="1"/>
        <v>#DIV/0!</v>
      </c>
      <c r="F12" s="28">
        <f t="shared" si="2"/>
        <v>29.336863331137419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30"/>
      <c r="E13" s="29" t="e">
        <f t="shared" si="1"/>
        <v>#DIV/0!</v>
      </c>
      <c r="F13" s="28">
        <f t="shared" si="2"/>
        <v>32.114975389010283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30"/>
      <c r="E14" s="29" t="e">
        <f t="shared" si="1"/>
        <v>#DIV/0!</v>
      </c>
      <c r="F14" s="28">
        <f t="shared" si="2"/>
        <v>35.893207787717373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/>
      <c r="E15" s="29" t="e">
        <f t="shared" si="1"/>
        <v>#DIV/0!</v>
      </c>
      <c r="F15" s="28">
        <f t="shared" si="2"/>
        <v>29.559112295767253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 t="e">
        <f t="shared" si="1"/>
        <v>#DIV/0!</v>
      </c>
      <c r="F16" s="28">
        <f t="shared" si="2"/>
        <v>40.560436044943785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53.7</v>
      </c>
      <c r="D17" s="30"/>
      <c r="E17" s="29" t="e">
        <f t="shared" si="1"/>
        <v>#DIV/0!</v>
      </c>
      <c r="F17" s="28">
        <f t="shared" si="2"/>
        <v>59.673847003109074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30"/>
      <c r="E18" s="29" t="e">
        <f t="shared" si="1"/>
        <v>#DIV/0!</v>
      </c>
      <c r="F18" s="28">
        <f t="shared" si="2"/>
        <v>52.228506688009801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69.8</v>
      </c>
      <c r="D21" s="30"/>
      <c r="E21" s="29">
        <f>D21/$D$48</f>
        <v>0</v>
      </c>
      <c r="F21" s="28">
        <f>C21-(C21*$E$6)</f>
        <v>77.564888655810307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46.9</v>
      </c>
      <c r="D22" s="30">
        <v>317.39999999999998</v>
      </c>
      <c r="E22" s="29">
        <f>D22/$D$48</f>
        <v>5.5230737105867608E-2</v>
      </c>
      <c r="F22" s="28">
        <f>C22-(C22*$E$6)</f>
        <v>52.117382205694888</v>
      </c>
      <c r="G22" s="27" t="str">
        <f>IF(C22&gt;=F22,"-","+")</f>
        <v>+</v>
      </c>
      <c r="H22" s="26">
        <f>C22*D22</f>
        <v>14886.059999999998</v>
      </c>
      <c r="I22" s="26">
        <f>F22*D22</f>
        <v>16542.057112087557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/>
      <c r="E23" s="29">
        <f>D23/$D$48</f>
        <v>0</v>
      </c>
      <c r="F23" s="28">
        <f>C23-(C23*$E$6)</f>
        <v>47.450153948468483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46.9</v>
      </c>
      <c r="D24" s="22">
        <f>SUM(D21:D23)</f>
        <v>317.39999999999998</v>
      </c>
      <c r="E24" s="21">
        <f>D24/$D$48</f>
        <v>5.5230737105867608E-2</v>
      </c>
      <c r="F24" s="20">
        <f>I24/D24</f>
        <v>52.117382205694895</v>
      </c>
      <c r="G24" s="19">
        <f>F24/C24-1</f>
        <v>0.11124482314914497</v>
      </c>
      <c r="H24" s="18">
        <f>SUM(H21:H23)</f>
        <v>14886.059999999998</v>
      </c>
      <c r="I24" s="18">
        <f>SUM(I21:I23)</f>
        <v>16542.057112087557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/>
      <c r="E26" s="29">
        <f t="shared" ref="E26:E32" si="7">D26/$D$48</f>
        <v>0</v>
      </c>
      <c r="F26" s="28">
        <f t="shared" ref="F26:F31" si="8">C26-(C26*$E$6)</f>
        <v>41.338307421148187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1486.6</v>
      </c>
      <c r="E27" s="29">
        <f t="shared" si="7"/>
        <v>0.25868309319969374</v>
      </c>
      <c r="F27" s="28">
        <f t="shared" si="8"/>
        <v>36.893328128551609</v>
      </c>
      <c r="G27" s="27" t="str">
        <f t="shared" si="9"/>
        <v>+</v>
      </c>
      <c r="H27" s="26">
        <f t="shared" si="10"/>
        <v>49355.12</v>
      </c>
      <c r="I27" s="26">
        <f t="shared" si="11"/>
        <v>54845.62159590482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961</v>
      </c>
      <c r="E28" s="29">
        <f t="shared" si="7"/>
        <v>0.16722349829470312</v>
      </c>
      <c r="F28" s="28">
        <f t="shared" si="8"/>
        <v>36.893328128551609</v>
      </c>
      <c r="G28" s="27" t="str">
        <f t="shared" si="9"/>
        <v>+</v>
      </c>
      <c r="H28" s="26">
        <f t="shared" si="10"/>
        <v>31905.200000000004</v>
      </c>
      <c r="I28" s="26">
        <f t="shared" si="11"/>
        <v>35454.488331538094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774.9</v>
      </c>
      <c r="E29" s="29">
        <f t="shared" si="7"/>
        <v>0.13484025892670704</v>
      </c>
      <c r="F29" s="28">
        <f t="shared" si="8"/>
        <v>35.670958823087545</v>
      </c>
      <c r="G29" s="27" t="str">
        <f t="shared" si="9"/>
        <v>+</v>
      </c>
      <c r="H29" s="26">
        <f t="shared" si="10"/>
        <v>24874.29</v>
      </c>
      <c r="I29" s="26">
        <f t="shared" si="11"/>
        <v>27641.42599201054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/>
      <c r="E30" s="29">
        <f t="shared" si="7"/>
        <v>0</v>
      </c>
      <c r="F30" s="28">
        <f t="shared" si="8"/>
        <v>35.670958823087545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30"/>
      <c r="E31" s="29">
        <f t="shared" si="7"/>
        <v>0</v>
      </c>
      <c r="F31" s="28">
        <f t="shared" si="8"/>
        <v>36.22658123466212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32.93548797517456</v>
      </c>
      <c r="D32" s="22">
        <f>SUM(D26:D31)</f>
        <v>3222.5</v>
      </c>
      <c r="E32" s="21">
        <f t="shared" si="7"/>
        <v>0.56074685042110395</v>
      </c>
      <c r="F32" s="20">
        <f>I32/D32</f>
        <v>36.599390510303635</v>
      </c>
      <c r="G32" s="19">
        <f>F32/C32-1</f>
        <v>0.11124482314914474</v>
      </c>
      <c r="H32" s="18">
        <f>SUM(H26:H31)</f>
        <v>106134.61000000002</v>
      </c>
      <c r="I32" s="18">
        <f>SUM(I26:I31)</f>
        <v>117941.53591945345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f>480.4+570.8</f>
        <v>1051.1999999999998</v>
      </c>
      <c r="E34" s="29">
        <f t="shared" ref="E34:E40" si="13">D34/$D$48</f>
        <v>0.18291918980998118</v>
      </c>
      <c r="F34" s="28">
        <f t="shared" ref="F34:F39" si="14">C34-(C34*$E$6)</f>
        <v>21.78039853372324</v>
      </c>
      <c r="G34" s="27" t="str">
        <f t="shared" ref="G34:G39" si="15">IF(C34&gt;=F34,"-","+")</f>
        <v>+</v>
      </c>
      <c r="H34" s="26">
        <f t="shared" ref="H34:H39" si="16">C34*D34</f>
        <v>20603.519999999997</v>
      </c>
      <c r="I34" s="26">
        <f t="shared" ref="I34:I39" si="17">F34*D34</f>
        <v>22895.554938649864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>
        <v>89.7</v>
      </c>
      <c r="E35" s="29">
        <f t="shared" si="13"/>
        <v>1.560868657339737E-2</v>
      </c>
      <c r="F35" s="28">
        <f t="shared" si="14"/>
        <v>16.779796829552087</v>
      </c>
      <c r="G35" s="27" t="str">
        <f t="shared" si="15"/>
        <v>+</v>
      </c>
      <c r="H35" s="26">
        <f t="shared" si="16"/>
        <v>1354.47</v>
      </c>
      <c r="I35" s="26">
        <f t="shared" si="17"/>
        <v>1505.1477756108222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13.446062360104651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35.670958823087545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35.670958823087545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36.893328128551609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19.246200368130424</v>
      </c>
      <c r="D40" s="22">
        <f>SUM(D34:D39)</f>
        <v>1140.8999999999999</v>
      </c>
      <c r="E40" s="113">
        <f t="shared" si="13"/>
        <v>0.19852787638337854</v>
      </c>
      <c r="F40" s="20">
        <f>I40/D40</f>
        <v>21.387240524376097</v>
      </c>
      <c r="G40" s="19">
        <f>F40/C40-1</f>
        <v>0.11124482314914474</v>
      </c>
      <c r="H40" s="18">
        <f>SUM(H34:H39)</f>
        <v>21957.989999999998</v>
      </c>
      <c r="I40" s="18">
        <f>SUM(I34:I39)</f>
        <v>24400.702714260686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92.7+582.5+341</f>
        <v>1016.2</v>
      </c>
      <c r="E42" s="107">
        <f>D42/$D$48</f>
        <v>0.17682884387833228</v>
      </c>
      <c r="F42" s="28">
        <f>C42-(C42*$E$6)</f>
        <v>0.55562241157457237</v>
      </c>
      <c r="G42" s="27" t="str">
        <f>IF(C42&gt;=F42,"-","+")</f>
        <v>+</v>
      </c>
      <c r="H42" s="26">
        <f>C42*D42</f>
        <v>508.1</v>
      </c>
      <c r="I42" s="26">
        <f>F42*D42</f>
        <v>564.62349464208046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44.6</v>
      </c>
      <c r="E43" s="107">
        <f>D43/$D$48</f>
        <v>7.7608408157583348E-3</v>
      </c>
      <c r="F43" s="28">
        <f>C43-(C43*$E$6)</f>
        <v>0.55562241157457237</v>
      </c>
      <c r="G43" s="27" t="str">
        <f>IF(C43&gt;=F43,"-","+")</f>
        <v>+</v>
      </c>
      <c r="H43" s="26">
        <f>C43*D43</f>
        <v>22.3</v>
      </c>
      <c r="I43" s="26">
        <f>F43*D43</f>
        <v>24.780759556225927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9.0485139555926777E-4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0.4975609756097561</v>
      </c>
      <c r="D46" s="22">
        <f>SUM(D41:D45)</f>
        <v>1066</v>
      </c>
      <c r="E46" s="113">
        <f>D46/$D$48</f>
        <v>0.18549453608964989</v>
      </c>
      <c r="F46" s="20">
        <f>I46/D46</f>
        <v>0.55291205834737933</v>
      </c>
      <c r="G46" s="19">
        <f>F46/C46-1</f>
        <v>0.11124482314914474</v>
      </c>
      <c r="H46" s="18">
        <f>SUM(H41:H44)</f>
        <v>530.4</v>
      </c>
      <c r="I46" s="18">
        <f>SUM(I41:I44)</f>
        <v>589.40425419830638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99.579249318914748</v>
      </c>
      <c r="D48" s="13">
        <f>D24+D32+D40+D46</f>
        <v>5746.8</v>
      </c>
      <c r="E48" s="12">
        <f>SUM(E20:E46)/2</f>
        <v>0.99999999999999978</v>
      </c>
      <c r="F48" s="11">
        <f>I48/D48</f>
        <v>27.75</v>
      </c>
      <c r="G48" s="10"/>
      <c r="H48" s="9">
        <f>SUM(H20:H46)/2</f>
        <v>143509.06</v>
      </c>
      <c r="I48" s="9">
        <f>SUM(I20:I46)/2</f>
        <v>159473.70000000001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5746.8</v>
      </c>
      <c r="E50" s="12">
        <f>D50/G2</f>
        <v>1</v>
      </c>
      <c r="F50" s="11">
        <f>I50/D50</f>
        <v>27.75</v>
      </c>
      <c r="G50" s="10"/>
      <c r="H50" s="9">
        <f>H48+H19</f>
        <v>143509.06</v>
      </c>
      <c r="I50" s="9">
        <f>I48+I19</f>
        <v>159473.70000000001</v>
      </c>
      <c r="J50" s="106">
        <f>D50-G2</f>
        <v>0</v>
      </c>
      <c r="K50" s="8"/>
    </row>
    <row r="51" spans="1:11" ht="23.25" x14ac:dyDescent="0.35">
      <c r="A51" s="174" t="s">
        <v>469</v>
      </c>
      <c r="B51" s="169"/>
      <c r="C51" s="170"/>
      <c r="G51" s="7"/>
      <c r="H51" s="6"/>
      <c r="I51" s="6">
        <f>+I50/D50</f>
        <v>27.75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457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470</v>
      </c>
      <c r="D2" s="96" t="s">
        <v>3</v>
      </c>
      <c r="E2" s="95" t="s">
        <v>71</v>
      </c>
      <c r="F2" s="94" t="s">
        <v>5</v>
      </c>
      <c r="G2" s="93">
        <v>22031.8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288</v>
      </c>
      <c r="F3" s="88" t="s">
        <v>8</v>
      </c>
      <c r="G3" s="87">
        <v>29.5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76.499305555555551</v>
      </c>
      <c r="F4" s="81" t="s">
        <v>12</v>
      </c>
      <c r="G4" s="80">
        <f>G2*G3</f>
        <v>649938.1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8.1680864108878426E-3</v>
      </c>
      <c r="F6" s="69" t="s">
        <v>16</v>
      </c>
      <c r="G6" s="68">
        <f>(I50-I19)/(D50-(SUM(D42:D44)+D19))</f>
        <v>34.964225468806767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29.5</v>
      </c>
      <c r="D10" s="30"/>
      <c r="E10" s="29">
        <f t="shared" ref="E10:E19" si="1">D10/$D$19</f>
        <v>0</v>
      </c>
      <c r="F10" s="28">
        <f t="shared" ref="F10:F18" si="2">C10-(C10*$E$6)</f>
        <v>29.259041450878808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30.7</v>
      </c>
      <c r="D11" s="30">
        <v>704.7</v>
      </c>
      <c r="E11" s="29">
        <f t="shared" si="1"/>
        <v>0.66493678052462735</v>
      </c>
      <c r="F11" s="28">
        <f t="shared" si="2"/>
        <v>30.449239747185743</v>
      </c>
      <c r="G11" s="27" t="str">
        <f t="shared" si="3"/>
        <v>-</v>
      </c>
      <c r="H11" s="34">
        <f t="shared" si="4"/>
        <v>21634.29</v>
      </c>
      <c r="I11" s="34">
        <f t="shared" si="5"/>
        <v>21457.579249841794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28.1</v>
      </c>
      <c r="D12" s="30">
        <v>159.80000000000001</v>
      </c>
      <c r="E12" s="29">
        <f t="shared" si="1"/>
        <v>0.15078316663521421</v>
      </c>
      <c r="F12" s="28">
        <f t="shared" si="2"/>
        <v>27.870476771854054</v>
      </c>
      <c r="G12" s="27" t="str">
        <f t="shared" si="3"/>
        <v>-</v>
      </c>
      <c r="H12" s="34">
        <f t="shared" si="4"/>
        <v>4490.38</v>
      </c>
      <c r="I12" s="34">
        <f t="shared" si="5"/>
        <v>4453.7021881422779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30.7</v>
      </c>
      <c r="D13" s="30"/>
      <c r="E13" s="29">
        <f t="shared" si="1"/>
        <v>0</v>
      </c>
      <c r="F13" s="28">
        <f t="shared" si="2"/>
        <v>30.449239747185743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34.299999999999997</v>
      </c>
      <c r="D14" s="30"/>
      <c r="E14" s="29">
        <f t="shared" si="1"/>
        <v>0</v>
      </c>
      <c r="F14" s="28">
        <f t="shared" si="2"/>
        <v>34.019834636106545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28.3</v>
      </c>
      <c r="D15" s="30">
        <v>154.30000000000001</v>
      </c>
      <c r="E15" s="29">
        <f t="shared" si="1"/>
        <v>0.14559350820909608</v>
      </c>
      <c r="F15" s="28">
        <f t="shared" si="2"/>
        <v>28.068843154571876</v>
      </c>
      <c r="G15" s="27" t="str">
        <f t="shared" si="3"/>
        <v>-</v>
      </c>
      <c r="H15" s="34">
        <f t="shared" si="4"/>
        <v>4366.6900000000005</v>
      </c>
      <c r="I15" s="34">
        <f t="shared" si="5"/>
        <v>4331.0224987504407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38.799999999999997</v>
      </c>
      <c r="D16" s="30"/>
      <c r="E16" s="29">
        <f t="shared" si="1"/>
        <v>0</v>
      </c>
      <c r="F16" s="28">
        <f t="shared" si="2"/>
        <v>38.483078247257552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57.1</v>
      </c>
      <c r="D17" s="30">
        <v>41</v>
      </c>
      <c r="E17" s="29">
        <f t="shared" si="1"/>
        <v>3.8686544631062469E-2</v>
      </c>
      <c r="F17" s="28">
        <f t="shared" si="2"/>
        <v>56.633602265938308</v>
      </c>
      <c r="G17" s="27" t="str">
        <f t="shared" si="3"/>
        <v>-</v>
      </c>
      <c r="H17" s="34">
        <f t="shared" si="4"/>
        <v>2341.1</v>
      </c>
      <c r="I17" s="34">
        <f t="shared" si="5"/>
        <v>2321.9776929034706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</v>
      </c>
      <c r="D18" s="30"/>
      <c r="E18" s="29">
        <f t="shared" si="1"/>
        <v>0</v>
      </c>
      <c r="F18" s="28">
        <f t="shared" si="2"/>
        <v>49.591595679455608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30.979864125306662</v>
      </c>
      <c r="D19" s="49">
        <f>SUM(D10:D18)</f>
        <v>1059.8</v>
      </c>
      <c r="E19" s="48">
        <f t="shared" si="1"/>
        <v>1</v>
      </c>
      <c r="F19" s="47">
        <f>I19/D19</f>
        <v>30.726817918133595</v>
      </c>
      <c r="G19" s="46">
        <f>F19/C19-1</f>
        <v>-8.1680864108878426E-3</v>
      </c>
      <c r="H19" s="9">
        <f>SUM(H10:H18)</f>
        <v>32832.46</v>
      </c>
      <c r="I19" s="9">
        <f>SUM(I10:I18)</f>
        <v>32564.281629637982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74.2</v>
      </c>
      <c r="D21" s="30">
        <v>263.2</v>
      </c>
      <c r="E21" s="29">
        <f>D21/$D$48</f>
        <v>1.2550066755674232E-2</v>
      </c>
      <c r="F21" s="28">
        <f>C21-(C21*$E$6)</f>
        <v>73.593927988312132</v>
      </c>
      <c r="G21" s="27" t="str">
        <f>IF(C21&gt;=F21,"-","+")</f>
        <v>-</v>
      </c>
      <c r="H21" s="26">
        <f>C21*D21</f>
        <v>19529.439999999999</v>
      </c>
      <c r="I21" s="26">
        <f>F21*D21</f>
        <v>19369.921846523754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49.8</v>
      </c>
      <c r="D22" s="30">
        <v>628.79999999999995</v>
      </c>
      <c r="E22" s="29">
        <f>D22/$D$48</f>
        <v>2.9982834255197405E-2</v>
      </c>
      <c r="F22" s="28">
        <f>C22-(C22*$E$6)</f>
        <v>49.393229296737786</v>
      </c>
      <c r="G22" s="27" t="str">
        <f>IF(C22&gt;=F22,"-","+")</f>
        <v>-</v>
      </c>
      <c r="H22" s="26">
        <f>C22*D22</f>
        <v>31314.239999999994</v>
      </c>
      <c r="I22" s="26">
        <f>F22*D22</f>
        <v>31058.462581788717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45.4</v>
      </c>
      <c r="D23" s="30">
        <v>530.5</v>
      </c>
      <c r="E23" s="29">
        <f>D23/$D$48</f>
        <v>2.529563227160023E-2</v>
      </c>
      <c r="F23" s="28">
        <f>C23-(C23*$E$6)</f>
        <v>45.02916887694569</v>
      </c>
      <c r="G23" s="27" t="str">
        <f>IF(C23&gt;=F23,"-","+")</f>
        <v>-</v>
      </c>
      <c r="H23" s="26">
        <f>C23*D23</f>
        <v>24084.7</v>
      </c>
      <c r="I23" s="26">
        <f>F23*D23</f>
        <v>23887.97408921969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52.673729349736369</v>
      </c>
      <c r="D24" s="22">
        <f>SUM(D21:D23)</f>
        <v>1422.5</v>
      </c>
      <c r="E24" s="21">
        <f>D24/$D$48</f>
        <v>6.7828533282471862E-2</v>
      </c>
      <c r="F24" s="20">
        <f>I24/D24</f>
        <v>52.243485776824016</v>
      </c>
      <c r="G24" s="19">
        <f>F24/C24-1</f>
        <v>-8.1680864108876206E-3</v>
      </c>
      <c r="H24" s="18">
        <f>SUM(H21:H23)</f>
        <v>74928.37999999999</v>
      </c>
      <c r="I24" s="18">
        <f>SUM(I21:I23)</f>
        <v>74316.358517532164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39.6</v>
      </c>
      <c r="D26" s="30">
        <f>333.3+1078.3+3136.2</f>
        <v>4547.7999999999993</v>
      </c>
      <c r="E26" s="29">
        <f t="shared" ref="E26:E32" si="7">D26/$D$48</f>
        <v>0.21685103948121301</v>
      </c>
      <c r="F26" s="28">
        <f t="shared" ref="F26:F31" si="8">C26-(C26*$E$6)</f>
        <v>39.27654377812884</v>
      </c>
      <c r="G26" s="27" t="str">
        <f t="shared" ref="G26:G31" si="9">IF(C26&gt;=F26,"-","+")</f>
        <v>-</v>
      </c>
      <c r="H26" s="26">
        <f t="shared" ref="H26:H31" si="10">C26*D26</f>
        <v>180092.87999999998</v>
      </c>
      <c r="I26" s="26">
        <f t="shared" ref="I26:I31" si="11">F26*D26</f>
        <v>178621.86579417431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35.299999999999997</v>
      </c>
      <c r="D27" s="30">
        <v>2927.5</v>
      </c>
      <c r="E27" s="29">
        <f t="shared" si="7"/>
        <v>0.13959088308220485</v>
      </c>
      <c r="F27" s="28">
        <f t="shared" si="8"/>
        <v>35.011666549695654</v>
      </c>
      <c r="G27" s="27" t="str">
        <f t="shared" si="9"/>
        <v>-</v>
      </c>
      <c r="H27" s="26">
        <f t="shared" si="10"/>
        <v>103340.74999999999</v>
      </c>
      <c r="I27" s="26">
        <f t="shared" si="11"/>
        <v>102496.65382423403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35.299999999999997</v>
      </c>
      <c r="D28" s="30">
        <v>2222.1999999999998</v>
      </c>
      <c r="E28" s="29">
        <f t="shared" si="7"/>
        <v>0.10596032805645622</v>
      </c>
      <c r="F28" s="28">
        <f t="shared" si="8"/>
        <v>35.011666549695654</v>
      </c>
      <c r="G28" s="27" t="str">
        <f t="shared" si="9"/>
        <v>-</v>
      </c>
      <c r="H28" s="26">
        <f t="shared" si="10"/>
        <v>78443.659999999989</v>
      </c>
      <c r="I28" s="26">
        <f t="shared" si="11"/>
        <v>77802.925406733673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34.1</v>
      </c>
      <c r="D29" s="30">
        <v>1814.9</v>
      </c>
      <c r="E29" s="29">
        <f t="shared" si="7"/>
        <v>8.6539195117299267E-2</v>
      </c>
      <c r="F29" s="28">
        <f t="shared" si="8"/>
        <v>33.821468253388723</v>
      </c>
      <c r="G29" s="27" t="str">
        <f t="shared" si="9"/>
        <v>-</v>
      </c>
      <c r="H29" s="26">
        <f t="shared" si="10"/>
        <v>61888.090000000004</v>
      </c>
      <c r="I29" s="26">
        <f t="shared" si="11"/>
        <v>61382.582733075193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34.1</v>
      </c>
      <c r="D30" s="30">
        <v>1537.7</v>
      </c>
      <c r="E30" s="29">
        <f t="shared" si="7"/>
        <v>7.3321571619301931E-2</v>
      </c>
      <c r="F30" s="28">
        <f t="shared" si="8"/>
        <v>33.821468253388723</v>
      </c>
      <c r="G30" s="27" t="str">
        <f t="shared" si="9"/>
        <v>-</v>
      </c>
      <c r="H30" s="26">
        <f t="shared" si="10"/>
        <v>52435.570000000007</v>
      </c>
      <c r="I30" s="26">
        <f t="shared" si="11"/>
        <v>52007.271733235837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34.700000000000003</v>
      </c>
      <c r="D31" s="30">
        <v>298.39999999999998</v>
      </c>
      <c r="E31" s="29">
        <f t="shared" si="7"/>
        <v>1.4228495136372305E-2</v>
      </c>
      <c r="F31" s="28">
        <f t="shared" si="8"/>
        <v>34.416567401542196</v>
      </c>
      <c r="G31" s="27" t="str">
        <f t="shared" si="9"/>
        <v>-</v>
      </c>
      <c r="H31" s="26">
        <f t="shared" si="10"/>
        <v>10354.48</v>
      </c>
      <c r="I31" s="26">
        <f t="shared" si="11"/>
        <v>10269.903712620191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36.450195153013439</v>
      </c>
      <c r="D32" s="22">
        <f>SUM(D26:D31)</f>
        <v>13348.5</v>
      </c>
      <c r="E32" s="21">
        <f t="shared" si="7"/>
        <v>0.63649151249284763</v>
      </c>
      <c r="F32" s="20">
        <f>I32/D32</f>
        <v>36.152466809309907</v>
      </c>
      <c r="G32" s="19">
        <f>F32/C32-1</f>
        <v>-8.1680864108876206E-3</v>
      </c>
      <c r="H32" s="18">
        <f>SUM(H26:H31)</f>
        <v>486555.42999999993</v>
      </c>
      <c r="I32" s="18">
        <f>SUM(I26:I31)</f>
        <v>482581.2032040733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20.8</v>
      </c>
      <c r="D34" s="30">
        <v>2757</v>
      </c>
      <c r="E34" s="29">
        <f t="shared" ref="E34:E40" si="13">D34/$D$48</f>
        <v>0.13146099561319854</v>
      </c>
      <c r="F34" s="28">
        <f t="shared" ref="F34:F39" si="14">C34-(C34*$E$6)</f>
        <v>20.630103802653533</v>
      </c>
      <c r="G34" s="27" t="str">
        <f t="shared" ref="G34:G39" si="15">IF(C34&gt;=F34,"-","+")</f>
        <v>-</v>
      </c>
      <c r="H34" s="26">
        <f t="shared" ref="H34:H39" si="16">C34*D34</f>
        <v>57345.599999999999</v>
      </c>
      <c r="I34" s="26">
        <f t="shared" ref="I34:I39" si="17">F34*D34</f>
        <v>56877.196183915788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>
        <v>124</v>
      </c>
      <c r="E35" s="29">
        <f t="shared" si="13"/>
        <v>5.9126454320045773E-3</v>
      </c>
      <c r="F35" s="28">
        <f t="shared" si="14"/>
        <v>15.869310617425795</v>
      </c>
      <c r="G35" s="27" t="str">
        <f t="shared" si="15"/>
        <v>-</v>
      </c>
      <c r="H35" s="26">
        <f t="shared" si="16"/>
        <v>1984</v>
      </c>
      <c r="I35" s="26">
        <f t="shared" si="17"/>
        <v>1967.7945165607985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12.9</v>
      </c>
      <c r="D36" s="30"/>
      <c r="E36" s="29">
        <f t="shared" si="13"/>
        <v>0</v>
      </c>
      <c r="F36" s="28">
        <f t="shared" si="14"/>
        <v>12.794631685299548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34.1</v>
      </c>
      <c r="D37" s="30"/>
      <c r="E37" s="29">
        <f t="shared" si="13"/>
        <v>0</v>
      </c>
      <c r="F37" s="28">
        <f t="shared" si="14"/>
        <v>33.821468253388723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34.1</v>
      </c>
      <c r="D38" s="30"/>
      <c r="E38" s="29">
        <f t="shared" si="13"/>
        <v>0</v>
      </c>
      <c r="F38" s="28">
        <f t="shared" si="14"/>
        <v>33.821468253388723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35.299999999999997</v>
      </c>
      <c r="D39" s="30"/>
      <c r="E39" s="29">
        <f t="shared" si="13"/>
        <v>0</v>
      </c>
      <c r="F39" s="28">
        <f t="shared" si="14"/>
        <v>35.011666549695654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20.593405067684831</v>
      </c>
      <c r="D40" s="22">
        <f>SUM(D34:D39)</f>
        <v>2881</v>
      </c>
      <c r="E40" s="113">
        <f t="shared" si="13"/>
        <v>0.13737364104520314</v>
      </c>
      <c r="F40" s="20">
        <f>I40/D40</f>
        <v>20.425196355597564</v>
      </c>
      <c r="G40" s="19">
        <f>F40/C40-1</f>
        <v>-8.1680864108879536E-3</v>
      </c>
      <c r="H40" s="18">
        <f>SUM(H34:H39)</f>
        <v>59329.599999999999</v>
      </c>
      <c r="I40" s="18">
        <f>SUM(I34:I39)</f>
        <v>58844.990700476585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3141</v>
      </c>
      <c r="E42" s="107">
        <f>D42/$D$48</f>
        <v>0.14977112340263207</v>
      </c>
      <c r="F42" s="28">
        <f>C42-(C42*$E$6)</f>
        <v>0.49591595679455608</v>
      </c>
      <c r="G42" s="27" t="str">
        <f>IF(C42&gt;=F42,"-","+")</f>
        <v>-</v>
      </c>
      <c r="H42" s="26">
        <f>C42*D42</f>
        <v>1570.5</v>
      </c>
      <c r="I42" s="26">
        <f>F42*D42</f>
        <v>1557.6720202917006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148.4</v>
      </c>
      <c r="E43" s="107">
        <f>D43/$D$48</f>
        <v>7.076101468624833E-3</v>
      </c>
      <c r="F43" s="28">
        <f>C43-(C43*$E$6)</f>
        <v>0.49591595679455608</v>
      </c>
      <c r="G43" s="27" t="str">
        <f>IF(C43&gt;=F43,"-","+")</f>
        <v>-</v>
      </c>
      <c r="H43" s="26">
        <f>C43*D43</f>
        <v>74.2</v>
      </c>
      <c r="I43" s="26">
        <f>F43*D43</f>
        <v>73.593927988312132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25.3</v>
      </c>
      <c r="E44" s="107">
        <f>D44/$D$48</f>
        <v>1.2063703986267404E-3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2.5271790959374403E-4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0.4953915662650602</v>
      </c>
      <c r="D46" s="22">
        <f>SUM(D41:D45)</f>
        <v>3320.0000000000005</v>
      </c>
      <c r="E46" s="113">
        <f>D46/$D$48</f>
        <v>0.15830631317947741</v>
      </c>
      <c r="F46" s="20">
        <f>I46/D46</f>
        <v>0.4913451651445821</v>
      </c>
      <c r="G46" s="19">
        <f>F46/C46-1</f>
        <v>-8.1680864108878426E-3</v>
      </c>
      <c r="H46" s="18">
        <f>SUM(H41:H44)</f>
        <v>1644.7</v>
      </c>
      <c r="I46" s="18">
        <f>SUM(I41:I44)</f>
        <v>1631.2659482800127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110.2127211366997</v>
      </c>
      <c r="D48" s="13">
        <f>D24+D32+D40+D46</f>
        <v>20972</v>
      </c>
      <c r="E48" s="12">
        <f>SUM(E20:E46)/2</f>
        <v>1</v>
      </c>
      <c r="F48" s="11">
        <f>I48/D48</f>
        <v>29.438003927635034</v>
      </c>
      <c r="G48" s="10"/>
      <c r="H48" s="9">
        <f>SUM(H20:H46)/2</f>
        <v>622458.11</v>
      </c>
      <c r="I48" s="9">
        <f>SUM(I20:I46)/2</f>
        <v>617373.81837036193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22031.800000000007</v>
      </c>
      <c r="E50" s="12">
        <f>D50/G2</f>
        <v>1.0000000000000002</v>
      </c>
      <c r="F50" s="11">
        <f>I50/D50</f>
        <v>29.499999999999986</v>
      </c>
      <c r="G50" s="10"/>
      <c r="H50" s="9">
        <f>H48+H19</f>
        <v>655290.56999999995</v>
      </c>
      <c r="I50" s="9">
        <f>I48+I19</f>
        <v>649938.09999999986</v>
      </c>
      <c r="J50" s="106">
        <f>D50-G2</f>
        <v>0</v>
      </c>
      <c r="K50" s="8"/>
    </row>
    <row r="51" spans="1:11" ht="23.25" x14ac:dyDescent="0.35">
      <c r="A51" s="174" t="s">
        <v>471</v>
      </c>
      <c r="B51" s="169"/>
      <c r="C51" s="170"/>
      <c r="G51" s="7"/>
      <c r="H51" s="6"/>
      <c r="I51" s="6">
        <f>+I50/D50</f>
        <v>29.499999999999986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tabColor rgb="FF92D050"/>
  </sheetPr>
  <dimension ref="A1:L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470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470</v>
      </c>
      <c r="D2" s="96" t="s">
        <v>3</v>
      </c>
      <c r="E2" s="95" t="s">
        <v>112</v>
      </c>
      <c r="F2" s="94" t="s">
        <v>5</v>
      </c>
      <c r="G2" s="116">
        <v>12509.5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188</v>
      </c>
      <c r="F3" s="88" t="s">
        <v>8</v>
      </c>
      <c r="G3" s="87">
        <v>25.08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66.539893617021278</v>
      </c>
      <c r="F4" s="81" t="s">
        <v>12</v>
      </c>
      <c r="G4" s="80">
        <f>G2*G3</f>
        <v>313738.25999999995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-8.9184704587473629E-2</v>
      </c>
      <c r="F6" s="69" t="s">
        <v>16</v>
      </c>
      <c r="G6" s="68">
        <f>(I50-I19)/(D50-(SUM(D42:D44)+D19))</f>
        <v>31.688812799224294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25.1</v>
      </c>
      <c r="D10" s="30"/>
      <c r="E10" s="29" t="e">
        <f t="shared" ref="E10:E19" si="1">D10/$D$19</f>
        <v>#DIV/0!</v>
      </c>
      <c r="F10" s="28">
        <f t="shared" ref="F10:F18" si="2">C10-(C10*$E$6)</f>
        <v>27.338536085145591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26.1</v>
      </c>
      <c r="D11" s="30"/>
      <c r="E11" s="29" t="e">
        <f t="shared" si="1"/>
        <v>#DIV/0!</v>
      </c>
      <c r="F11" s="28">
        <f t="shared" si="2"/>
        <v>28.427720789733062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23.9</v>
      </c>
      <c r="D12" s="30"/>
      <c r="E12" s="29" t="e">
        <f t="shared" si="1"/>
        <v>#DIV/0!</v>
      </c>
      <c r="F12" s="28">
        <f t="shared" si="2"/>
        <v>26.031514439640617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26.1</v>
      </c>
      <c r="D13" s="30"/>
      <c r="E13" s="29" t="e">
        <f t="shared" si="1"/>
        <v>#DIV/0!</v>
      </c>
      <c r="F13" s="28">
        <f t="shared" si="2"/>
        <v>28.427720789733062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29.2</v>
      </c>
      <c r="D14" s="30"/>
      <c r="E14" s="29" t="e">
        <f t="shared" si="1"/>
        <v>#DIV/0!</v>
      </c>
      <c r="F14" s="28">
        <f t="shared" si="2"/>
        <v>31.804193373954227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24.1</v>
      </c>
      <c r="D15" s="30"/>
      <c r="E15" s="29" t="e">
        <f t="shared" si="1"/>
        <v>#DIV/0!</v>
      </c>
      <c r="F15" s="28">
        <f t="shared" si="2"/>
        <v>26.249351380558117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33</v>
      </c>
      <c r="D16" s="30"/>
      <c r="E16" s="29" t="e">
        <f t="shared" si="1"/>
        <v>#DIV/0!</v>
      </c>
      <c r="F16" s="28">
        <f t="shared" si="2"/>
        <v>35.94309525138663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48.5</v>
      </c>
      <c r="D17" s="30"/>
      <c r="E17" s="29" t="e">
        <f t="shared" si="1"/>
        <v>#DIV/0!</v>
      </c>
      <c r="F17" s="28">
        <f t="shared" si="2"/>
        <v>52.825458172492475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42.5</v>
      </c>
      <c r="D18" s="30"/>
      <c r="E18" s="29" t="e">
        <f t="shared" si="1"/>
        <v>#DIV/0!</v>
      </c>
      <c r="F18" s="28">
        <f t="shared" si="2"/>
        <v>46.29034994496763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63.1</v>
      </c>
      <c r="D21" s="30">
        <v>138.80000000000001</v>
      </c>
      <c r="E21" s="29">
        <f>D21/$D$48</f>
        <v>1.1095567368799714E-2</v>
      </c>
      <c r="F21" s="28">
        <f>C21-(C21*$E$6)</f>
        <v>68.727554859469592</v>
      </c>
      <c r="G21" s="27" t="str">
        <f>IF(C21&gt;=F21,"-","+")</f>
        <v>+</v>
      </c>
      <c r="H21" s="26">
        <f>C21*D21</f>
        <v>8758.2800000000007</v>
      </c>
      <c r="I21" s="26">
        <f>F21*D21</f>
        <v>9539.38461449438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42.4</v>
      </c>
      <c r="D22" s="30">
        <v>302</v>
      </c>
      <c r="E22" s="29">
        <f>D22/$D$48</f>
        <v>2.4141652344218393E-2</v>
      </c>
      <c r="F22" s="28">
        <f>C22-(C22*$E$6)</f>
        <v>46.181431474508884</v>
      </c>
      <c r="G22" s="27" t="str">
        <f>IF(C22&gt;=F22,"-","+")</f>
        <v>+</v>
      </c>
      <c r="H22" s="26">
        <f>C22*D22</f>
        <v>12804.8</v>
      </c>
      <c r="I22" s="26">
        <f>F22*D22</f>
        <v>13946.792305301682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38.6</v>
      </c>
      <c r="D23" s="30">
        <v>273</v>
      </c>
      <c r="E23" s="29">
        <f>D23/$D$48</f>
        <v>2.1823414205204044E-2</v>
      </c>
      <c r="F23" s="28">
        <f>C23-(C23*$E$6)</f>
        <v>42.042529597076481</v>
      </c>
      <c r="G23" s="27" t="str">
        <f>IF(C23&gt;=F23,"-","+")</f>
        <v>+</v>
      </c>
      <c r="H23" s="26">
        <f>C23*D23</f>
        <v>10537.800000000001</v>
      </c>
      <c r="I23" s="26">
        <f>F23*D23</f>
        <v>11477.610580001879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44.971812832726265</v>
      </c>
      <c r="D24" s="22">
        <f>SUM(D21:D23)</f>
        <v>713.8</v>
      </c>
      <c r="E24" s="21">
        <f>D24/$D$48</f>
        <v>5.7060633918222151E-2</v>
      </c>
      <c r="F24" s="20">
        <f>I24/D24</f>
        <v>48.982610674976101</v>
      </c>
      <c r="G24" s="19">
        <f>F24/C24-1</f>
        <v>8.9184704587473407E-2</v>
      </c>
      <c r="H24" s="18">
        <f>SUM(H21:H23)</f>
        <v>32100.880000000005</v>
      </c>
      <c r="I24" s="18">
        <f>SUM(I21:I23)</f>
        <v>34963.787499797938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33.700000000000003</v>
      </c>
      <c r="D26" s="30">
        <f>134.4+511.5+1595.1</f>
        <v>2241</v>
      </c>
      <c r="E26" s="29">
        <f t="shared" ref="E26:E32" si="7">D26/$D$48</f>
        <v>0.17914385067348815</v>
      </c>
      <c r="F26" s="28">
        <f t="shared" ref="F26:F31" si="8">C26-(C26*$E$6)</f>
        <v>36.705524544597864</v>
      </c>
      <c r="G26" s="27" t="str">
        <f t="shared" ref="G26:G31" si="9">IF(C26&gt;=F26,"-","+")</f>
        <v>+</v>
      </c>
      <c r="H26" s="26">
        <f t="shared" ref="H26:H31" si="10">C26*D26</f>
        <v>75521.700000000012</v>
      </c>
      <c r="I26" s="26">
        <f t="shared" ref="I26:I31" si="11">F26*D26</f>
        <v>82257.080504443817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</v>
      </c>
      <c r="D27" s="30">
        <v>1887.9</v>
      </c>
      <c r="E27" s="29">
        <f t="shared" si="7"/>
        <v>0.15091730284983412</v>
      </c>
      <c r="F27" s="28">
        <f t="shared" si="8"/>
        <v>32.675541137624208</v>
      </c>
      <c r="G27" s="27" t="str">
        <f t="shared" si="9"/>
        <v>+</v>
      </c>
      <c r="H27" s="26">
        <f t="shared" si="10"/>
        <v>56637</v>
      </c>
      <c r="I27" s="26">
        <f t="shared" si="11"/>
        <v>61688.154113720746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</v>
      </c>
      <c r="D28" s="30">
        <v>1034.8</v>
      </c>
      <c r="E28" s="29">
        <f t="shared" si="7"/>
        <v>8.27211319397258E-2</v>
      </c>
      <c r="F28" s="28">
        <f t="shared" si="8"/>
        <v>32.675541137624208</v>
      </c>
      <c r="G28" s="27" t="str">
        <f t="shared" si="9"/>
        <v>+</v>
      </c>
      <c r="H28" s="26">
        <f t="shared" si="10"/>
        <v>31044</v>
      </c>
      <c r="I28" s="26">
        <f t="shared" si="11"/>
        <v>33812.649969213526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</v>
      </c>
      <c r="D29" s="30">
        <v>1022.4</v>
      </c>
      <c r="E29" s="29">
        <f t="shared" si="7"/>
        <v>8.1729885287181739E-2</v>
      </c>
      <c r="F29" s="28">
        <f t="shared" si="8"/>
        <v>31.586356433036734</v>
      </c>
      <c r="G29" s="27" t="str">
        <f t="shared" si="9"/>
        <v>+</v>
      </c>
      <c r="H29" s="26">
        <f t="shared" si="10"/>
        <v>29649.599999999999</v>
      </c>
      <c r="I29" s="26">
        <f t="shared" si="11"/>
        <v>32293.890817136755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</v>
      </c>
      <c r="D30" s="30">
        <v>717</v>
      </c>
      <c r="E30" s="29">
        <f t="shared" si="7"/>
        <v>5.731643950597546E-2</v>
      </c>
      <c r="F30" s="28">
        <f t="shared" si="8"/>
        <v>31.586356433036734</v>
      </c>
      <c r="G30" s="27" t="str">
        <f t="shared" si="9"/>
        <v>+</v>
      </c>
      <c r="H30" s="26">
        <f t="shared" si="10"/>
        <v>20793</v>
      </c>
      <c r="I30" s="26">
        <f t="shared" si="11"/>
        <v>22647.417562487339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29.5</v>
      </c>
      <c r="D31" s="30">
        <v>128.4</v>
      </c>
      <c r="E31" s="29">
        <f t="shared" si="7"/>
        <v>1.0264199208601464E-2</v>
      </c>
      <c r="F31" s="28">
        <f t="shared" si="8"/>
        <v>32.130948785330474</v>
      </c>
      <c r="G31" s="27" t="str">
        <f t="shared" si="9"/>
        <v>+</v>
      </c>
      <c r="H31" s="26">
        <f t="shared" si="10"/>
        <v>3787.8</v>
      </c>
      <c r="I31" s="26">
        <f t="shared" si="11"/>
        <v>4125.6138240364335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30.922719192206504</v>
      </c>
      <c r="D32" s="22">
        <f>SUM(D26:D31)</f>
        <v>7031.4999999999991</v>
      </c>
      <c r="E32" s="21">
        <f t="shared" si="7"/>
        <v>0.56209280946480666</v>
      </c>
      <c r="F32" s="20">
        <f>I32/D32</f>
        <v>33.680552768404844</v>
      </c>
      <c r="G32" s="19">
        <f>F32/C32-1</f>
        <v>8.9184704587473629E-2</v>
      </c>
      <c r="H32" s="18">
        <f>SUM(H26:H31)</f>
        <v>217433.1</v>
      </c>
      <c r="I32" s="18">
        <f>SUM(I26:I31)</f>
        <v>236824.80679103863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1104+904.6</f>
        <v>2008.6</v>
      </c>
      <c r="E34" s="29">
        <f t="shared" ref="E34:E40" si="13">D34/$D$48</f>
        <v>0.1605659698629042</v>
      </c>
      <c r="F34" s="28">
        <f t="shared" ref="F34:F39" si="14">C34-(C34*$E$6)</f>
        <v>19.278569271198283</v>
      </c>
      <c r="G34" s="27" t="str">
        <f t="shared" ref="G34:G39" si="15">IF(C34&gt;=F34,"-","+")</f>
        <v>+</v>
      </c>
      <c r="H34" s="26">
        <f t="shared" ref="H34:H39" si="16">C34*D34</f>
        <v>35552.219999999994</v>
      </c>
      <c r="I34" s="26">
        <f t="shared" ref="I34:I39" si="17">F34*D34</f>
        <v>38722.934238128866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141.1</v>
      </c>
      <c r="E35" s="29">
        <f t="shared" si="13"/>
        <v>1.1279427634997402E-2</v>
      </c>
      <c r="F35" s="28">
        <f t="shared" si="14"/>
        <v>14.812911982389641</v>
      </c>
      <c r="G35" s="27" t="str">
        <f t="shared" si="15"/>
        <v>+</v>
      </c>
      <c r="H35" s="26">
        <f t="shared" si="16"/>
        <v>1918.9599999999998</v>
      </c>
      <c r="I35" s="26">
        <f t="shared" si="17"/>
        <v>2090.1018807151781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11.981031750462209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</v>
      </c>
      <c r="D37" s="30"/>
      <c r="E37" s="29">
        <f t="shared" si="13"/>
        <v>0</v>
      </c>
      <c r="F37" s="28">
        <f t="shared" si="14"/>
        <v>31.586356433036734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</v>
      </c>
      <c r="D38" s="30"/>
      <c r="E38" s="29">
        <f t="shared" si="13"/>
        <v>0</v>
      </c>
      <c r="F38" s="28">
        <f t="shared" si="14"/>
        <v>31.586356433036734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</v>
      </c>
      <c r="D39" s="30"/>
      <c r="E39" s="29">
        <f t="shared" si="13"/>
        <v>0</v>
      </c>
      <c r="F39" s="28">
        <f t="shared" si="14"/>
        <v>32.675541137624208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17.430888030888028</v>
      </c>
      <c r="D40" s="22">
        <f>SUM(D34:D39)</f>
        <v>2149.6999999999998</v>
      </c>
      <c r="E40" s="113">
        <f t="shared" si="13"/>
        <v>0.17184539749790159</v>
      </c>
      <c r="F40" s="20">
        <f>I40/D40</f>
        <v>18.98545663062011</v>
      </c>
      <c r="G40" s="19">
        <f>F40/C40-1</f>
        <v>8.9184704587473851E-2</v>
      </c>
      <c r="H40" s="18">
        <f>SUM(H34:H39)</f>
        <v>37471.179999999993</v>
      </c>
      <c r="I40" s="18">
        <f>SUM(I34:I39)</f>
        <v>40813.036118844044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1226+145.4+1167.3</f>
        <v>2538.6999999999998</v>
      </c>
      <c r="E42" s="107">
        <f>D42/$D$48</f>
        <v>0.20294176425916302</v>
      </c>
      <c r="F42" s="28">
        <f>C42-(C42*$E$6)</f>
        <v>0.43567388183498945</v>
      </c>
      <c r="G42" s="27" t="str">
        <f>IF(C42&gt;=F42,"-","+")</f>
        <v>+</v>
      </c>
      <c r="H42" s="26">
        <f>C42*D42</f>
        <v>1015.48</v>
      </c>
      <c r="I42" s="26">
        <f>F42*D42</f>
        <v>1106.0452838144877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70.2</v>
      </c>
      <c r="E43" s="107">
        <f>D43/$D$48</f>
        <v>5.6117350813381832E-3</v>
      </c>
      <c r="F43" s="28">
        <f>C43-(C43*$E$6)</f>
        <v>0.43567388183498945</v>
      </c>
      <c r="G43" s="27" t="str">
        <f>IF(C43&gt;=F43,"-","+")</f>
        <v>+</v>
      </c>
      <c r="H43" s="26">
        <f>C43*D43</f>
        <v>28.080000000000002</v>
      </c>
      <c r="I43" s="26">
        <f>F43*D43</f>
        <v>30.584306504816261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5.6</v>
      </c>
      <c r="E45" s="107">
        <f>D45/$D$48</f>
        <v>4.4765977856828806E-4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0.3991432396251674</v>
      </c>
      <c r="D46" s="22">
        <f>SUM(D41:D45)</f>
        <v>2614.4999999999995</v>
      </c>
      <c r="E46" s="113">
        <f>D46/$D$48</f>
        <v>0.20900115911906947</v>
      </c>
      <c r="F46" s="20">
        <f>I46/D46</f>
        <v>0.43474071153922517</v>
      </c>
      <c r="G46" s="19">
        <f>F46/C46-1</f>
        <v>8.9184704587473629E-2</v>
      </c>
      <c r="H46" s="18">
        <f>SUM(H41:H44)</f>
        <v>1043.56</v>
      </c>
      <c r="I46" s="18">
        <f>SUM(I41:I44)</f>
        <v>1136.629590319304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93.724563295445961</v>
      </c>
      <c r="D48" s="13">
        <f>D24+D32+D40+D46</f>
        <v>12509.5</v>
      </c>
      <c r="E48" s="12">
        <f>SUM(E20:E46)/2</f>
        <v>1</v>
      </c>
      <c r="F48" s="11">
        <f>I48/D48</f>
        <v>25.080000000000002</v>
      </c>
      <c r="G48" s="10"/>
      <c r="H48" s="9">
        <f>SUM(H20:H46)/2</f>
        <v>288048.72000000003</v>
      </c>
      <c r="I48" s="9">
        <f>SUM(I20:I46)/2</f>
        <v>313738.26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12509.499999999998</v>
      </c>
      <c r="E50" s="12">
        <f>D50/G2</f>
        <v>0.99999999999999989</v>
      </c>
      <c r="F50" s="11">
        <f>I50/D50</f>
        <v>25.080000000000005</v>
      </c>
      <c r="G50" s="10"/>
      <c r="H50" s="9">
        <f>H48+H19</f>
        <v>288048.72000000003</v>
      </c>
      <c r="I50" s="9">
        <f>I48+I19</f>
        <v>313738.26</v>
      </c>
      <c r="J50" s="106">
        <f>D50-G2</f>
        <v>0</v>
      </c>
      <c r="K50" s="8"/>
    </row>
    <row r="51" spans="1:11" ht="23.25" x14ac:dyDescent="0.35">
      <c r="A51" s="174" t="s">
        <v>472</v>
      </c>
      <c r="B51" s="169"/>
      <c r="C51" s="170"/>
      <c r="G51" s="7"/>
      <c r="H51" s="6"/>
      <c r="I51" s="6">
        <f>+I50/D50</f>
        <v>25.080000000000005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470</v>
      </c>
      <c r="D1" s="100" t="s">
        <v>1</v>
      </c>
      <c r="E1" s="168" t="s">
        <v>445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470</v>
      </c>
      <c r="D2" s="96" t="s">
        <v>3</v>
      </c>
      <c r="E2" s="95" t="s">
        <v>112</v>
      </c>
      <c r="F2" s="94" t="s">
        <v>5</v>
      </c>
      <c r="G2" s="93">
        <v>3319.5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52</v>
      </c>
      <c r="F3" s="88" t="s">
        <v>8</v>
      </c>
      <c r="G3" s="87">
        <v>25.43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63.83653846153846</v>
      </c>
      <c r="F4" s="81" t="s">
        <v>12</v>
      </c>
      <c r="G4" s="80">
        <f>G2*G3</f>
        <v>84414.884999999995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-9.3214343343977824E-2</v>
      </c>
      <c r="F6" s="69" t="s">
        <v>16</v>
      </c>
      <c r="G6" s="68">
        <f>(I50-I19)/(D50-(SUM(D42:D44)+D19))</f>
        <v>32.251426988614647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27.767644320937034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26.5</v>
      </c>
      <c r="D11" s="30"/>
      <c r="E11" s="29" t="e">
        <f t="shared" si="1"/>
        <v>#DIV/0!</v>
      </c>
      <c r="F11" s="28">
        <f t="shared" si="2"/>
        <v>28.970180098615412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 t="e">
        <f t="shared" si="1"/>
        <v>#DIV/0!</v>
      </c>
      <c r="F12" s="28">
        <f t="shared" si="2"/>
        <v>26.455787108924262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26.5</v>
      </c>
      <c r="D13" s="30"/>
      <c r="E13" s="29" t="e">
        <f t="shared" si="1"/>
        <v>#DIV/0!</v>
      </c>
      <c r="F13" s="28">
        <f t="shared" si="2"/>
        <v>28.970180098615412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29.6</v>
      </c>
      <c r="D14" s="30"/>
      <c r="E14" s="29" t="e">
        <f t="shared" si="1"/>
        <v>#DIV/0!</v>
      </c>
      <c r="F14" s="28">
        <f t="shared" si="2"/>
        <v>32.359144562981747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26.674429977593057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36.51335906768886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49.2</v>
      </c>
      <c r="D17" s="30"/>
      <c r="E17" s="29" t="e">
        <f t="shared" si="1"/>
        <v>#DIV/0!</v>
      </c>
      <c r="F17" s="28">
        <f t="shared" si="2"/>
        <v>53.786145692523711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43.1</v>
      </c>
      <c r="D18" s="30"/>
      <c r="E18" s="29" t="e">
        <f t="shared" si="1"/>
        <v>#DIV/0!</v>
      </c>
      <c r="F18" s="28">
        <f t="shared" si="2"/>
        <v>47.117538198125445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</v>
      </c>
      <c r="D21" s="30">
        <v>39.799999999999997</v>
      </c>
      <c r="E21" s="29">
        <f>D21/$D$48</f>
        <v>1.1989757493598433E-2</v>
      </c>
      <c r="F21" s="28">
        <f>C21-(C21*$E$6)</f>
        <v>69.965717974014581</v>
      </c>
      <c r="G21" s="27" t="str">
        <f>IF(C21&gt;=F21,"-","+")</f>
        <v>+</v>
      </c>
      <c r="H21" s="26">
        <f>C21*D21</f>
        <v>2547.1999999999998</v>
      </c>
      <c r="I21" s="26">
        <f>F21*D21</f>
        <v>2784.6355753657799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</v>
      </c>
      <c r="D22" s="30">
        <v>83.6</v>
      </c>
      <c r="E22" s="29">
        <f>D22/$D$48</f>
        <v>2.5184515740322336E-2</v>
      </c>
      <c r="F22" s="28">
        <f>C22-(C22*$E$6)</f>
        <v>47.008216763791047</v>
      </c>
      <c r="G22" s="27" t="str">
        <f>IF(C22&gt;=F22,"-","+")</f>
        <v>+</v>
      </c>
      <c r="H22" s="26">
        <f>C22*D22</f>
        <v>3594.7999999999997</v>
      </c>
      <c r="I22" s="26">
        <f>F22*D22</f>
        <v>3929.8869214529313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39.200000000000003</v>
      </c>
      <c r="D23" s="30">
        <v>77.2</v>
      </c>
      <c r="E23" s="29">
        <f>D23/$D$48</f>
        <v>2.3256514535321585E-2</v>
      </c>
      <c r="F23" s="28">
        <f>C23-(C23*$E$6)</f>
        <v>42.854002259083934</v>
      </c>
      <c r="G23" s="27" t="str">
        <f>IF(C23&gt;=F23,"-","+")</f>
        <v>+</v>
      </c>
      <c r="H23" s="26">
        <f>C23*D23</f>
        <v>3026.2400000000002</v>
      </c>
      <c r="I23" s="26">
        <f>F23*D23</f>
        <v>3308.32897440128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45.704087736789631</v>
      </c>
      <c r="D24" s="22">
        <f>SUM(D21:D23)</f>
        <v>200.6</v>
      </c>
      <c r="E24" s="21">
        <f>D24/$D$48</f>
        <v>6.0430787769242357E-2</v>
      </c>
      <c r="F24" s="20">
        <f>I24/D24</f>
        <v>49.964364263310024</v>
      </c>
      <c r="G24" s="19">
        <f>F24/C24-1</f>
        <v>9.3214343343977824E-2</v>
      </c>
      <c r="H24" s="18">
        <f>SUM(H21:H23)</f>
        <v>9168.24</v>
      </c>
      <c r="I24" s="18">
        <f>SUM(I21:I23)</f>
        <v>10022.85147121999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v>632.1</v>
      </c>
      <c r="E26" s="29">
        <f t="shared" ref="E26:E32" si="7">D26/$D$48</f>
        <v>0.19042024401265251</v>
      </c>
      <c r="F26" s="28">
        <f t="shared" ref="F26:F31" si="8">C26-(C26*$E$6)</f>
        <v>37.278609108029642</v>
      </c>
      <c r="G26" s="27" t="str">
        <f t="shared" ref="G26:G31" si="9">IF(C26&gt;=F26,"-","+")</f>
        <v>+</v>
      </c>
      <c r="H26" s="26">
        <f t="shared" ref="H26:H31" si="10">C26*D26</f>
        <v>21554.61</v>
      </c>
      <c r="I26" s="26">
        <f t="shared" ref="I26:I31" si="11">F26*D26</f>
        <v>23563.808817185538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30">
        <v>492</v>
      </c>
      <c r="E27" s="29">
        <f t="shared" si="7"/>
        <v>0.14821509263443289</v>
      </c>
      <c r="F27" s="28">
        <f t="shared" si="8"/>
        <v>33.233716037656926</v>
      </c>
      <c r="G27" s="27" t="str">
        <f t="shared" si="9"/>
        <v>+</v>
      </c>
      <c r="H27" s="26">
        <f t="shared" si="10"/>
        <v>14956.8</v>
      </c>
      <c r="I27" s="26">
        <f t="shared" si="11"/>
        <v>16350.988290527208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30">
        <v>240.4</v>
      </c>
      <c r="E28" s="29">
        <f t="shared" si="7"/>
        <v>7.2420545262840794E-2</v>
      </c>
      <c r="F28" s="28">
        <f t="shared" si="8"/>
        <v>33.233716037656926</v>
      </c>
      <c r="G28" s="27" t="str">
        <f t="shared" si="9"/>
        <v>+</v>
      </c>
      <c r="H28" s="26">
        <f t="shared" si="10"/>
        <v>7308.16</v>
      </c>
      <c r="I28" s="26">
        <f t="shared" si="11"/>
        <v>7989.3853354527255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29.4</v>
      </c>
      <c r="D29" s="30">
        <v>240.5</v>
      </c>
      <c r="E29" s="29">
        <f t="shared" si="7"/>
        <v>7.2450670281668933E-2</v>
      </c>
      <c r="F29" s="28">
        <f t="shared" si="8"/>
        <v>32.140501694312945</v>
      </c>
      <c r="G29" s="27" t="str">
        <f t="shared" si="9"/>
        <v>+</v>
      </c>
      <c r="H29" s="26">
        <f t="shared" si="10"/>
        <v>7070.7</v>
      </c>
      <c r="I29" s="26">
        <f t="shared" si="11"/>
        <v>7729.7906574822637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29.4</v>
      </c>
      <c r="D30" s="30">
        <v>165</v>
      </c>
      <c r="E30" s="29">
        <f t="shared" si="7"/>
        <v>4.9706281066425669E-2</v>
      </c>
      <c r="F30" s="28">
        <f t="shared" si="8"/>
        <v>32.140501694312945</v>
      </c>
      <c r="G30" s="27" t="str">
        <f t="shared" si="9"/>
        <v>+</v>
      </c>
      <c r="H30" s="26">
        <f t="shared" si="10"/>
        <v>4851</v>
      </c>
      <c r="I30" s="26">
        <f t="shared" si="11"/>
        <v>5303.1827795616364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29.9</v>
      </c>
      <c r="D31" s="30">
        <v>57.9</v>
      </c>
      <c r="E31" s="29">
        <f t="shared" si="7"/>
        <v>1.7442385901491188E-2</v>
      </c>
      <c r="F31" s="28">
        <f t="shared" si="8"/>
        <v>32.687108865984939</v>
      </c>
      <c r="G31" s="27" t="str">
        <f t="shared" si="9"/>
        <v>+</v>
      </c>
      <c r="H31" s="26">
        <f t="shared" si="10"/>
        <v>1731.2099999999998</v>
      </c>
      <c r="I31" s="26">
        <f t="shared" si="11"/>
        <v>1892.583603340528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31.441807538705618</v>
      </c>
      <c r="D32" s="22">
        <f>SUM(D26:D31)</f>
        <v>1827.9</v>
      </c>
      <c r="E32" s="21">
        <f t="shared" si="7"/>
        <v>0.55065521915951199</v>
      </c>
      <c r="F32" s="20">
        <f>I32/D32</f>
        <v>34.372634981973789</v>
      </c>
      <c r="G32" s="19">
        <f>F32/C32-1</f>
        <v>9.3214343343977601E-2</v>
      </c>
      <c r="H32" s="18">
        <f>SUM(H26:H31)</f>
        <v>57472.480000000003</v>
      </c>
      <c r="I32" s="18">
        <f>SUM(I26:I31)</f>
        <v>62829.739483549893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f>294.7+238.1</f>
        <v>532.79999999999995</v>
      </c>
      <c r="E34" s="29">
        <f t="shared" ref="E34:E40" si="13">D34/$D$48</f>
        <v>0.16050610031631268</v>
      </c>
      <c r="F34" s="28">
        <f t="shared" ref="F34:F39" si="14">C34-(C34*$E$6)</f>
        <v>19.677858180191599</v>
      </c>
      <c r="G34" s="27" t="str">
        <f t="shared" ref="G34:G39" si="15">IF(C34&gt;=F34,"-","+")</f>
        <v>+</v>
      </c>
      <c r="H34" s="26">
        <f t="shared" ref="H34:H39" si="16">C34*D34</f>
        <v>9590.4</v>
      </c>
      <c r="I34" s="26">
        <f t="shared" ref="I34:I39" si="17">F34*D34</f>
        <v>10484.362838406083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51.1</v>
      </c>
      <c r="E35" s="29">
        <f t="shared" si="13"/>
        <v>1.5393884621177889E-2</v>
      </c>
      <c r="F35" s="28">
        <f t="shared" si="14"/>
        <v>15.086357938146895</v>
      </c>
      <c r="G35" s="27" t="str">
        <f t="shared" si="15"/>
        <v>+</v>
      </c>
      <c r="H35" s="26">
        <f t="shared" si="16"/>
        <v>705.18000000000006</v>
      </c>
      <c r="I35" s="26">
        <f t="shared" si="17"/>
        <v>770.9128906393064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12.134679211118154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29.4</v>
      </c>
      <c r="D37" s="30"/>
      <c r="E37" s="29">
        <f t="shared" si="13"/>
        <v>0</v>
      </c>
      <c r="F37" s="28">
        <f t="shared" si="14"/>
        <v>32.140501694312945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29.4</v>
      </c>
      <c r="D38" s="30"/>
      <c r="E38" s="29">
        <f t="shared" si="13"/>
        <v>0</v>
      </c>
      <c r="F38" s="28">
        <f t="shared" si="14"/>
        <v>32.140501694312945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30"/>
      <c r="E39" s="29">
        <f t="shared" si="13"/>
        <v>0</v>
      </c>
      <c r="F39" s="28">
        <f t="shared" si="14"/>
        <v>33.233716037656926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17.632437061140607</v>
      </c>
      <c r="D40" s="22">
        <f>SUM(D34:D39)</f>
        <v>583.9</v>
      </c>
      <c r="E40" s="113">
        <f t="shared" si="13"/>
        <v>0.17589998493749057</v>
      </c>
      <c r="F40" s="20">
        <f>I40/D40</f>
        <v>19.276033103348844</v>
      </c>
      <c r="G40" s="19">
        <f>F40/C40-1</f>
        <v>9.3214343343977601E-2</v>
      </c>
      <c r="H40" s="18">
        <f>SUM(H34:H39)</f>
        <v>10295.58</v>
      </c>
      <c r="I40" s="18">
        <f>SUM(I34:I39)</f>
        <v>11255.27572904539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320+42.3+318.6</f>
        <v>680.90000000000009</v>
      </c>
      <c r="E42" s="107">
        <f>D42/$D$48</f>
        <v>0.20512125320078328</v>
      </c>
      <c r="F42" s="28">
        <f>C42-(C42*$E$6)</f>
        <v>0.43728573733759113</v>
      </c>
      <c r="G42" s="27" t="str">
        <f>IF(C42&gt;=F42,"-","+")</f>
        <v>+</v>
      </c>
      <c r="H42" s="26">
        <f>C42*D42</f>
        <v>272.36000000000007</v>
      </c>
      <c r="I42" s="26">
        <f>F42*D42</f>
        <v>297.74785855316583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21.2</v>
      </c>
      <c r="E43" s="107">
        <f>D43/$D$48</f>
        <v>6.3865039915649941E-3</v>
      </c>
      <c r="F43" s="28">
        <f>C43-(C43*$E$6)</f>
        <v>0.43728573733759113</v>
      </c>
      <c r="G43" s="27" t="str">
        <f>IF(C43&gt;=F43,"-","+")</f>
        <v>+</v>
      </c>
      <c r="H43" s="26">
        <f>C43*D43</f>
        <v>8.48</v>
      </c>
      <c r="I43" s="26">
        <f>F43*D43</f>
        <v>9.2704576315569316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1.5062509414068383E-3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0.39717154575024755</v>
      </c>
      <c r="D46" s="22">
        <f>SUM(D41:D45)</f>
        <v>707.10000000000014</v>
      </c>
      <c r="E46" s="113">
        <f>D46/$D$48</f>
        <v>0.21301400813375512</v>
      </c>
      <c r="F46" s="20">
        <f>I46/D46</f>
        <v>0.43419363058226945</v>
      </c>
      <c r="G46" s="19">
        <f>F46/C46-1</f>
        <v>9.3214343343977601E-2</v>
      </c>
      <c r="H46" s="18">
        <f>SUM(H41:H44)</f>
        <v>280.84000000000009</v>
      </c>
      <c r="I46" s="18">
        <f>SUM(I41:I44)</f>
        <v>307.01831618472278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95.17550388238611</v>
      </c>
      <c r="D48" s="13">
        <f>D24+D32+D40+D46</f>
        <v>3319.5</v>
      </c>
      <c r="E48" s="12">
        <f>SUM(E20:E46)/2</f>
        <v>0.99999999999999989</v>
      </c>
      <c r="F48" s="11">
        <f>I48/D48</f>
        <v>25.43</v>
      </c>
      <c r="G48" s="10"/>
      <c r="H48" s="9">
        <f>SUM(H20:H46)/2</f>
        <v>77217.139999999985</v>
      </c>
      <c r="I48" s="9">
        <f>SUM(I20:I46)/2</f>
        <v>84414.884999999995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3319.5000000000005</v>
      </c>
      <c r="E50" s="12">
        <f>D50/G2</f>
        <v>1.0000000000000002</v>
      </c>
      <c r="F50" s="11">
        <f>I50/D50</f>
        <v>25.429999999999996</v>
      </c>
      <c r="G50" s="10"/>
      <c r="H50" s="9">
        <f>H48+H19</f>
        <v>77217.139999999985</v>
      </c>
      <c r="I50" s="9">
        <f>I48+I19</f>
        <v>84414.884999999995</v>
      </c>
      <c r="J50" s="106">
        <f>D50-G2</f>
        <v>0</v>
      </c>
      <c r="K50" s="8"/>
    </row>
    <row r="51" spans="1:11" ht="23.25" x14ac:dyDescent="0.35">
      <c r="A51" s="174" t="s">
        <v>473</v>
      </c>
      <c r="B51" s="169"/>
      <c r="C51" s="170"/>
      <c r="G51" s="7"/>
      <c r="H51" s="6"/>
      <c r="I51" s="6">
        <f>+I50/D50</f>
        <v>25.429999999999996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470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470</v>
      </c>
      <c r="D2" s="96" t="s">
        <v>3</v>
      </c>
      <c r="E2" s="95" t="s">
        <v>112</v>
      </c>
      <c r="F2" s="94" t="s">
        <v>5</v>
      </c>
      <c r="G2" s="93">
        <v>5780.1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99</v>
      </c>
      <c r="F3" s="88" t="s">
        <v>8</v>
      </c>
      <c r="G3" s="87">
        <v>25.6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58.38484848484849</v>
      </c>
      <c r="F4" s="81" t="s">
        <v>12</v>
      </c>
      <c r="G4" s="80">
        <f>G2*G3</f>
        <v>147970.56000000003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-6.1664638220686463E-2</v>
      </c>
      <c r="F6" s="69" t="s">
        <v>16</v>
      </c>
      <c r="G6" s="68">
        <f>(I50-I19)/(D50-(SUM(D42:D44)+D19))</f>
        <v>31.894331163512536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25.6</v>
      </c>
      <c r="D10" s="30"/>
      <c r="E10" s="29" t="e">
        <f t="shared" ref="E10:E19" si="1">D10/$D$19</f>
        <v>#DIV/0!</v>
      </c>
      <c r="F10" s="28">
        <f t="shared" ref="F10:F18" si="2">C10-(C10*$E$6)</f>
        <v>27.178614738449575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26.7</v>
      </c>
      <c r="D11" s="30"/>
      <c r="E11" s="29" t="e">
        <f t="shared" si="1"/>
        <v>#DIV/0!</v>
      </c>
      <c r="F11" s="28">
        <f t="shared" si="2"/>
        <v>28.346445840492329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24.4</v>
      </c>
      <c r="D12" s="30"/>
      <c r="E12" s="29" t="e">
        <f t="shared" si="1"/>
        <v>#DIV/0!</v>
      </c>
      <c r="F12" s="28">
        <f t="shared" si="2"/>
        <v>25.90461717258475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26.7</v>
      </c>
      <c r="D13" s="30"/>
      <c r="E13" s="29" t="e">
        <f t="shared" si="1"/>
        <v>#DIV/0!</v>
      </c>
      <c r="F13" s="28">
        <f t="shared" si="2"/>
        <v>28.346445840492329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29.8</v>
      </c>
      <c r="D14" s="30"/>
      <c r="E14" s="29" t="e">
        <f t="shared" si="1"/>
        <v>#DIV/0!</v>
      </c>
      <c r="F14" s="28">
        <f t="shared" si="2"/>
        <v>31.637606218976458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24.6</v>
      </c>
      <c r="D15" s="30"/>
      <c r="E15" s="29" t="e">
        <f t="shared" si="1"/>
        <v>#DIV/0!</v>
      </c>
      <c r="F15" s="28">
        <f t="shared" si="2"/>
        <v>26.116950100228888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33.6</v>
      </c>
      <c r="D16" s="30"/>
      <c r="E16" s="29" t="e">
        <f t="shared" si="1"/>
        <v>#DIV/0!</v>
      </c>
      <c r="F16" s="28">
        <f t="shared" si="2"/>
        <v>35.671931844215067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49.5</v>
      </c>
      <c r="D17" s="30"/>
      <c r="E17" s="29" t="e">
        <f t="shared" si="1"/>
        <v>#DIV/0!</v>
      </c>
      <c r="F17" s="28">
        <f t="shared" si="2"/>
        <v>52.552399591923979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43.4</v>
      </c>
      <c r="D18" s="30"/>
      <c r="E18" s="29" t="e">
        <f t="shared" si="1"/>
        <v>#DIV/0!</v>
      </c>
      <c r="F18" s="28">
        <f t="shared" si="2"/>
        <v>46.076245298777792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64.400000000000006</v>
      </c>
      <c r="D21" s="30">
        <v>69.7</v>
      </c>
      <c r="E21" s="29">
        <f>D21/$D$48</f>
        <v>1.2057780468817577E-2</v>
      </c>
      <c r="F21" s="28">
        <f>C21-(C21*$E$6)</f>
        <v>68.371202701412216</v>
      </c>
      <c r="G21" s="27" t="str">
        <f>IF(C21&gt;=F21,"-","+")</f>
        <v>+</v>
      </c>
      <c r="H21" s="26">
        <f>C21*D21</f>
        <v>4488.68</v>
      </c>
      <c r="I21" s="26">
        <f>F21*D21</f>
        <v>4765.4728282884316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43.2</v>
      </c>
      <c r="D22" s="30">
        <v>156.19999999999999</v>
      </c>
      <c r="E22" s="29">
        <f>D22/$D$48</f>
        <v>2.7021883920076116E-2</v>
      </c>
      <c r="F22" s="28">
        <f>C22-(C22*$E$6)</f>
        <v>45.863912371133658</v>
      </c>
      <c r="G22" s="27" t="str">
        <f>IF(C22&gt;=F22,"-","+")</f>
        <v>+</v>
      </c>
      <c r="H22" s="26">
        <f>C22*D22</f>
        <v>6747.84</v>
      </c>
      <c r="I22" s="26">
        <f>F22*D22</f>
        <v>7163.9431123710765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39.4</v>
      </c>
      <c r="D23" s="30">
        <v>136.9</v>
      </c>
      <c r="E23" s="29">
        <f>D23/$D$48</f>
        <v>2.3683072398581438E-2</v>
      </c>
      <c r="F23" s="28">
        <f>C23-(C23*$E$6)</f>
        <v>41.829586745895043</v>
      </c>
      <c r="G23" s="27" t="str">
        <f>IF(C23&gt;=F23,"-","+")</f>
        <v>+</v>
      </c>
      <c r="H23" s="26">
        <f>C23*D23</f>
        <v>5393.86</v>
      </c>
      <c r="I23" s="26">
        <f>F23*D23</f>
        <v>5726.4704255130318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45.838974641675861</v>
      </c>
      <c r="D24" s="22">
        <f>SUM(D21:D23)</f>
        <v>362.79999999999995</v>
      </c>
      <c r="E24" s="21">
        <f>D24/$D$48</f>
        <v>6.2762736787475126E-2</v>
      </c>
      <c r="F24" s="20">
        <f>I24/D24</f>
        <v>48.665618429362027</v>
      </c>
      <c r="G24" s="19">
        <f>F24/C24-1</f>
        <v>6.1664638220686463E-2</v>
      </c>
      <c r="H24" s="18">
        <f>SUM(H21:H23)</f>
        <v>16630.38</v>
      </c>
      <c r="I24" s="18">
        <f>SUM(I21:I23)</f>
        <v>17655.886366172541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34.4</v>
      </c>
      <c r="D26" s="30">
        <v>1108</v>
      </c>
      <c r="E26" s="29">
        <f t="shared" ref="E26:E32" si="7">D26/$D$48</f>
        <v>0.19167892050860652</v>
      </c>
      <c r="F26" s="28">
        <f t="shared" ref="F26:F31" si="8">C26-(C26*$E$6)</f>
        <v>36.521263554791616</v>
      </c>
      <c r="G26" s="27" t="str">
        <f t="shared" ref="G26:G31" si="9">IF(C26&gt;=F26,"-","+")</f>
        <v>+</v>
      </c>
      <c r="H26" s="26">
        <f t="shared" ref="H26:H31" si="10">C26*D26</f>
        <v>38115.199999999997</v>
      </c>
      <c r="I26" s="26">
        <f t="shared" ref="I26:I31" si="11">F26*D26</f>
        <v>40465.560018709111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30.6</v>
      </c>
      <c r="D27" s="30">
        <v>816</v>
      </c>
      <c r="E27" s="29">
        <f t="shared" si="7"/>
        <v>0.1411642591471326</v>
      </c>
      <c r="F27" s="28">
        <f t="shared" si="8"/>
        <v>32.486937929553008</v>
      </c>
      <c r="G27" s="27" t="str">
        <f t="shared" si="9"/>
        <v>+</v>
      </c>
      <c r="H27" s="26">
        <f t="shared" si="10"/>
        <v>24969.600000000002</v>
      </c>
      <c r="I27" s="26">
        <f t="shared" si="11"/>
        <v>26509.341350515253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30.6</v>
      </c>
      <c r="D28" s="30">
        <v>479.1</v>
      </c>
      <c r="E28" s="29">
        <f t="shared" si="7"/>
        <v>8.2882103624253967E-2</v>
      </c>
      <c r="F28" s="28">
        <f t="shared" si="8"/>
        <v>32.486937929553008</v>
      </c>
      <c r="G28" s="27" t="str">
        <f t="shared" si="9"/>
        <v>+</v>
      </c>
      <c r="H28" s="26">
        <f t="shared" si="10"/>
        <v>14660.460000000001</v>
      </c>
      <c r="I28" s="26">
        <f t="shared" si="11"/>
        <v>15564.491962048847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29.6</v>
      </c>
      <c r="D29" s="30">
        <v>476</v>
      </c>
      <c r="E29" s="29">
        <f t="shared" si="7"/>
        <v>8.2345817835827353E-2</v>
      </c>
      <c r="F29" s="28">
        <f t="shared" si="8"/>
        <v>31.425273291332321</v>
      </c>
      <c r="G29" s="27" t="str">
        <f t="shared" si="9"/>
        <v>+</v>
      </c>
      <c r="H29" s="26">
        <f t="shared" si="10"/>
        <v>14089.6</v>
      </c>
      <c r="I29" s="26">
        <f t="shared" si="11"/>
        <v>14958.430086674185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29.6</v>
      </c>
      <c r="D30" s="30">
        <v>387</v>
      </c>
      <c r="E30" s="29">
        <f t="shared" si="7"/>
        <v>6.694922584551509E-2</v>
      </c>
      <c r="F30" s="28">
        <f t="shared" si="8"/>
        <v>31.425273291332321</v>
      </c>
      <c r="G30" s="27" t="str">
        <f t="shared" si="9"/>
        <v>+</v>
      </c>
      <c r="H30" s="26">
        <f t="shared" si="10"/>
        <v>11455.2</v>
      </c>
      <c r="I30" s="26">
        <f t="shared" si="11"/>
        <v>12161.580763745607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30.1</v>
      </c>
      <c r="D31" s="30">
        <v>96.3</v>
      </c>
      <c r="E31" s="29">
        <f t="shared" si="7"/>
        <v>1.6659458524349104E-2</v>
      </c>
      <c r="F31" s="28">
        <f t="shared" si="8"/>
        <v>31.956105610442663</v>
      </c>
      <c r="G31" s="27" t="str">
        <f t="shared" si="9"/>
        <v>+</v>
      </c>
      <c r="H31" s="26">
        <f t="shared" si="10"/>
        <v>2898.63</v>
      </c>
      <c r="I31" s="26">
        <f t="shared" si="11"/>
        <v>3077.3729702856285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31.581218772305501</v>
      </c>
      <c r="D32" s="22">
        <f>SUM(D26:D31)</f>
        <v>3362.4</v>
      </c>
      <c r="E32" s="21">
        <f t="shared" si="7"/>
        <v>0.58167978548568466</v>
      </c>
      <c r="F32" s="20">
        <f>I32/D32</f>
        <v>33.52866320246806</v>
      </c>
      <c r="G32" s="19">
        <f>F32/C32-1</f>
        <v>6.1664638220686019E-2</v>
      </c>
      <c r="H32" s="18">
        <f>SUM(H26:H31)</f>
        <v>106188.69000000002</v>
      </c>
      <c r="I32" s="18">
        <f>SUM(I26:I31)</f>
        <v>112736.77715197862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18.100000000000001</v>
      </c>
      <c r="D34" s="30">
        <f>398.5+437.1</f>
        <v>835.6</v>
      </c>
      <c r="E34" s="29">
        <f t="shared" ref="E34:E40" si="13">D34/$D$48</f>
        <v>0.14455496929331374</v>
      </c>
      <c r="F34" s="28">
        <f t="shared" ref="F34:F39" si="14">C34-(C34*$E$6)</f>
        <v>19.216129951794425</v>
      </c>
      <c r="G34" s="27" t="str">
        <f t="shared" ref="G34:G39" si="15">IF(C34&gt;=F34,"-","+")</f>
        <v>+</v>
      </c>
      <c r="H34" s="26">
        <f t="shared" ref="H34:H39" si="16">C34*D34</f>
        <v>15124.360000000002</v>
      </c>
      <c r="I34" s="26">
        <f t="shared" ref="I34:I39" si="17">F34*D34</f>
        <v>16056.998187719422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>
        <v>70.8</v>
      </c>
      <c r="E35" s="29">
        <f t="shared" si="13"/>
        <v>1.2248075426001211E-2</v>
      </c>
      <c r="F35" s="28">
        <f t="shared" si="14"/>
        <v>14.757138471267542</v>
      </c>
      <c r="G35" s="27" t="str">
        <f t="shared" si="15"/>
        <v>+</v>
      </c>
      <c r="H35" s="26">
        <f t="shared" si="16"/>
        <v>984.12</v>
      </c>
      <c r="I35" s="26">
        <f t="shared" si="17"/>
        <v>1044.8054037657419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11.890643948071688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29.6</v>
      </c>
      <c r="D37" s="30"/>
      <c r="E37" s="29">
        <f t="shared" si="13"/>
        <v>0</v>
      </c>
      <c r="F37" s="28">
        <f t="shared" si="14"/>
        <v>31.425273291332321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29.6</v>
      </c>
      <c r="D38" s="30"/>
      <c r="E38" s="29">
        <f t="shared" si="13"/>
        <v>0</v>
      </c>
      <c r="F38" s="28">
        <f t="shared" si="14"/>
        <v>31.425273291332321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30.6</v>
      </c>
      <c r="D39" s="30"/>
      <c r="E39" s="29">
        <f t="shared" si="13"/>
        <v>0</v>
      </c>
      <c r="F39" s="28">
        <f t="shared" si="14"/>
        <v>32.486937929553008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17.771932921447487</v>
      </c>
      <c r="D40" s="22">
        <f>SUM(D34:D39)</f>
        <v>906.4</v>
      </c>
      <c r="E40" s="113">
        <f t="shared" si="13"/>
        <v>0.15680304471931494</v>
      </c>
      <c r="F40" s="20">
        <f>I40/D40</f>
        <v>18.867832735530854</v>
      </c>
      <c r="G40" s="19">
        <f>F40/C40-1</f>
        <v>6.1664638220686463E-2</v>
      </c>
      <c r="H40" s="18">
        <f>SUM(H34:H39)</f>
        <v>16108.480000000003</v>
      </c>
      <c r="I40" s="18">
        <f>SUM(I34:I39)</f>
        <v>17101.803591485164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521+79.6+489.8</f>
        <v>1090.4000000000001</v>
      </c>
      <c r="E42" s="107">
        <f>D42/$D$48</f>
        <v>0.18863420119366839</v>
      </c>
      <c r="F42" s="28">
        <f>C42-(C42*$E$6)</f>
        <v>0.42466585528827461</v>
      </c>
      <c r="G42" s="27" t="str">
        <f>IF(C42&gt;=F42,"-","+")</f>
        <v>+</v>
      </c>
      <c r="H42" s="26">
        <f>C42*D42</f>
        <v>436.16000000000008</v>
      </c>
      <c r="I42" s="26">
        <f>F42*D42</f>
        <v>463.05564860633467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30.7</v>
      </c>
      <c r="E43" s="107">
        <f>D43/$D$48</f>
        <v>5.3109592595796213E-3</v>
      </c>
      <c r="F43" s="28">
        <f>C43-(C43*$E$6)</f>
        <v>0.42466585528827461</v>
      </c>
      <c r="G43" s="27" t="str">
        <f>IF(C43&gt;=F43,"-","+")</f>
        <v>+</v>
      </c>
      <c r="H43" s="26">
        <f>C43*D43</f>
        <v>12.280000000000001</v>
      </c>
      <c r="I43" s="26">
        <f>F43*D43</f>
        <v>13.03724175735003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20</v>
      </c>
      <c r="E44" s="107">
        <f>D44/$D$48</f>
        <v>3.4599083124297208E-3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7.8</v>
      </c>
      <c r="E45" s="107">
        <f>D45/$D$48</f>
        <v>1.349364241847591E-3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0.39032117677778749</v>
      </c>
      <c r="D46" s="22">
        <f>SUM(D41:D45)</f>
        <v>1148.9000000000001</v>
      </c>
      <c r="E46" s="113">
        <f>D46/$D$48</f>
        <v>0.19875443300752532</v>
      </c>
      <c r="F46" s="20">
        <f>I46/D46</f>
        <v>0.41439019093366236</v>
      </c>
      <c r="G46" s="19">
        <f>F46/C46-1</f>
        <v>6.1664638220686463E-2</v>
      </c>
      <c r="H46" s="18">
        <f>SUM(H41:H44)</f>
        <v>448.44000000000005</v>
      </c>
      <c r="I46" s="18">
        <f>SUM(I41:I44)</f>
        <v>476.09289036368472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95.582447512206642</v>
      </c>
      <c r="D48" s="13">
        <f>D24+D32+D40+D46</f>
        <v>5780.5</v>
      </c>
      <c r="E48" s="12">
        <f>SUM(E20:E46)/2</f>
        <v>1.0000000000000002</v>
      </c>
      <c r="F48" s="11">
        <f>I48/D48</f>
        <v>25.598228526944041</v>
      </c>
      <c r="G48" s="10"/>
      <c r="H48" s="9">
        <f>SUM(H20:H46)/2</f>
        <v>139375.99000000002</v>
      </c>
      <c r="I48" s="9">
        <f>SUM(I20:I46)/2</f>
        <v>147970.56000000003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5780.4999999999991</v>
      </c>
      <c r="E50" s="12">
        <f>D50/G2</f>
        <v>1.000069202954966</v>
      </c>
      <c r="F50" s="11">
        <f>I50/D50</f>
        <v>25.598228526944045</v>
      </c>
      <c r="G50" s="10"/>
      <c r="H50" s="9">
        <f>H48+H19</f>
        <v>139375.99000000002</v>
      </c>
      <c r="I50" s="9">
        <f>I48+I19</f>
        <v>147970.56000000003</v>
      </c>
      <c r="J50" s="106">
        <f>D50-G2</f>
        <v>0.39999999999872671</v>
      </c>
      <c r="K50" s="8"/>
    </row>
    <row r="51" spans="1:11" ht="23.25" x14ac:dyDescent="0.35">
      <c r="A51" s="174" t="s">
        <v>475</v>
      </c>
      <c r="B51" s="169"/>
      <c r="C51" s="170"/>
      <c r="G51" s="7"/>
      <c r="H51" s="6"/>
      <c r="I51" s="6">
        <f>+I50/D50</f>
        <v>25.598228526944045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470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476</v>
      </c>
      <c r="D2" s="96" t="s">
        <v>3</v>
      </c>
      <c r="E2" s="95" t="s">
        <v>362</v>
      </c>
      <c r="F2" s="94" t="s">
        <v>5</v>
      </c>
      <c r="G2" s="93">
        <v>9662.7999999999993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122</v>
      </c>
      <c r="F3" s="88" t="s">
        <v>8</v>
      </c>
      <c r="G3" s="87">
        <v>28.8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79.203278688524591</v>
      </c>
      <c r="F4" s="81" t="s">
        <v>12</v>
      </c>
      <c r="G4" s="80">
        <f>G2*G3</f>
        <v>278288.64000000001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2.9660409121355147E-2</v>
      </c>
      <c r="F6" s="69" t="s">
        <v>16</v>
      </c>
      <c r="G6" s="68">
        <f>(I50-I19)/(D50-(SUM(D42:D44)+D19))</f>
        <v>33.828315808667107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28.8</v>
      </c>
      <c r="D10" s="30"/>
      <c r="E10" s="29" t="e">
        <f t="shared" ref="E10:E19" si="1">D10/$D$19</f>
        <v>#DIV/0!</v>
      </c>
      <c r="F10" s="28">
        <f t="shared" ref="F10:F18" si="2">C10-(C10*$E$6)</f>
        <v>27.945780217304971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</v>
      </c>
      <c r="D11" s="30"/>
      <c r="E11" s="29" t="e">
        <f t="shared" si="1"/>
        <v>#DIV/0!</v>
      </c>
      <c r="F11" s="28">
        <f t="shared" si="2"/>
        <v>29.110187726359346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27.4</v>
      </c>
      <c r="D12" s="30"/>
      <c r="E12" s="29" t="e">
        <f t="shared" si="1"/>
        <v>#DIV/0!</v>
      </c>
      <c r="F12" s="28">
        <f t="shared" si="2"/>
        <v>26.587304790074867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</v>
      </c>
      <c r="D13" s="30"/>
      <c r="E13" s="29" t="e">
        <f t="shared" si="1"/>
        <v>#DIV/0!</v>
      </c>
      <c r="F13" s="28">
        <f t="shared" si="2"/>
        <v>29.110187726359346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33.5</v>
      </c>
      <c r="D14" s="30"/>
      <c r="E14" s="29" t="e">
        <f t="shared" si="1"/>
        <v>#DIV/0!</v>
      </c>
      <c r="F14" s="28">
        <f t="shared" si="2"/>
        <v>32.506376294434602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27.6</v>
      </c>
      <c r="D15" s="30"/>
      <c r="E15" s="29" t="e">
        <f t="shared" si="1"/>
        <v>#DIV/0!</v>
      </c>
      <c r="F15" s="28">
        <f t="shared" si="2"/>
        <v>26.781372708250601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37.799999999999997</v>
      </c>
      <c r="D16" s="30"/>
      <c r="E16" s="29" t="e">
        <f t="shared" si="1"/>
        <v>#DIV/0!</v>
      </c>
      <c r="F16" s="28">
        <f t="shared" si="2"/>
        <v>36.678836535212774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55.7</v>
      </c>
      <c r="D17" s="30"/>
      <c r="E17" s="29" t="e">
        <f t="shared" si="1"/>
        <v>#DIV/0!</v>
      </c>
      <c r="F17" s="28">
        <f t="shared" si="2"/>
        <v>54.04791521194052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48.8</v>
      </c>
      <c r="D18" s="30"/>
      <c r="E18" s="29" t="e">
        <f t="shared" si="1"/>
        <v>#DIV/0!</v>
      </c>
      <c r="F18" s="28">
        <f t="shared" si="2"/>
        <v>47.352572034877866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72.400000000000006</v>
      </c>
      <c r="D21" s="30">
        <v>123.5</v>
      </c>
      <c r="E21" s="29">
        <f>D21/$D$48</f>
        <v>1.2780974458749015E-2</v>
      </c>
      <c r="F21" s="28">
        <f>C21-(C21*$E$6)</f>
        <v>70.252586379613888</v>
      </c>
      <c r="G21" s="27" t="str">
        <f>IF(C21&gt;=F21,"-","+")</f>
        <v>-</v>
      </c>
      <c r="H21" s="26">
        <f>C21*D21</f>
        <v>8941.4000000000015</v>
      </c>
      <c r="I21" s="26">
        <f>F21*D21</f>
        <v>8676.194417882316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48.6</v>
      </c>
      <c r="D22" s="30">
        <v>277.89999999999998</v>
      </c>
      <c r="E22" s="29">
        <f>D22/$D$48</f>
        <v>2.8759779773978551E-2</v>
      </c>
      <c r="F22" s="28">
        <f>C22-(C22*$E$6)</f>
        <v>47.15850411670214</v>
      </c>
      <c r="G22" s="27" t="str">
        <f>IF(C22&gt;=F22,"-","+")</f>
        <v>-</v>
      </c>
      <c r="H22" s="26">
        <f>C22*D22</f>
        <v>13505.939999999999</v>
      </c>
      <c r="I22" s="26">
        <f>F22*D22</f>
        <v>13105.348294031524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44.4</v>
      </c>
      <c r="D23" s="30">
        <v>264.5</v>
      </c>
      <c r="E23" s="29">
        <f>D23/$D$48</f>
        <v>2.7373018172786354E-2</v>
      </c>
      <c r="F23" s="28">
        <f>C23-(C23*$E$6)</f>
        <v>43.083077835011828</v>
      </c>
      <c r="G23" s="27" t="str">
        <f>IF(C23&gt;=F23,"-","+")</f>
        <v>-</v>
      </c>
      <c r="H23" s="26">
        <f>C23*D23</f>
        <v>11743.8</v>
      </c>
      <c r="I23" s="26">
        <f>F23*D23</f>
        <v>11395.474087360628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51.345757621264454</v>
      </c>
      <c r="D24" s="22">
        <f>SUM(D21:D23)</f>
        <v>665.9</v>
      </c>
      <c r="E24" s="21">
        <f>D24/$D$48</f>
        <v>6.8913772405513926E-2</v>
      </c>
      <c r="F24" s="20">
        <f>I24/D24</f>
        <v>49.822821443571812</v>
      </c>
      <c r="G24" s="19">
        <f>F24/C24-1</f>
        <v>-2.9660409121355147E-2</v>
      </c>
      <c r="H24" s="18">
        <f>SUM(H21:H23)</f>
        <v>34191.14</v>
      </c>
      <c r="I24" s="18">
        <f>SUM(I21:I23)</f>
        <v>33177.016799274468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38.6</v>
      </c>
      <c r="D26" s="30">
        <v>2168</v>
      </c>
      <c r="E26" s="29">
        <f t="shared" ref="E26:E32" si="7">D26/$D$48</f>
        <v>0.22436560831229041</v>
      </c>
      <c r="F26" s="28">
        <f t="shared" ref="F26:F31" si="8">C26-(C26*$E$6)</f>
        <v>37.455108207915693</v>
      </c>
      <c r="G26" s="27" t="str">
        <f t="shared" ref="G26:G31" si="9">IF(C26&gt;=F26,"-","+")</f>
        <v>-</v>
      </c>
      <c r="H26" s="26">
        <f t="shared" ref="H26:H31" si="10">C26*D26</f>
        <v>83684.800000000003</v>
      </c>
      <c r="I26" s="26">
        <f t="shared" ref="I26:I31" si="11">F26*D26</f>
        <v>81202.674594761222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34.4</v>
      </c>
      <c r="D27" s="30">
        <v>1449.3</v>
      </c>
      <c r="E27" s="29">
        <f t="shared" si="7"/>
        <v>0.14998758123939229</v>
      </c>
      <c r="F27" s="28">
        <f t="shared" si="8"/>
        <v>33.379681926225381</v>
      </c>
      <c r="G27" s="27" t="str">
        <f t="shared" si="9"/>
        <v>-</v>
      </c>
      <c r="H27" s="26">
        <f t="shared" si="10"/>
        <v>49855.92</v>
      </c>
      <c r="I27" s="26">
        <f t="shared" si="11"/>
        <v>48377.17301567844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34.4</v>
      </c>
      <c r="D28" s="30">
        <v>902.2</v>
      </c>
      <c r="E28" s="29">
        <f t="shared" si="7"/>
        <v>9.3368381835492814E-2</v>
      </c>
      <c r="F28" s="28">
        <f t="shared" si="8"/>
        <v>33.379681926225381</v>
      </c>
      <c r="G28" s="27" t="str">
        <f t="shared" si="9"/>
        <v>-</v>
      </c>
      <c r="H28" s="26">
        <f t="shared" si="10"/>
        <v>31035.68</v>
      </c>
      <c r="I28" s="26">
        <f t="shared" si="11"/>
        <v>30115.149033840538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33.299999999999997</v>
      </c>
      <c r="D29" s="30">
        <v>1040.3</v>
      </c>
      <c r="E29" s="29">
        <f t="shared" si="7"/>
        <v>0.10766030550151093</v>
      </c>
      <c r="F29" s="28">
        <f t="shared" si="8"/>
        <v>32.312308376258869</v>
      </c>
      <c r="G29" s="27" t="str">
        <f t="shared" si="9"/>
        <v>-</v>
      </c>
      <c r="H29" s="26">
        <f t="shared" si="10"/>
        <v>34641.99</v>
      </c>
      <c r="I29" s="26">
        <f t="shared" si="11"/>
        <v>33614.4944038221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33.299999999999997</v>
      </c>
      <c r="D30" s="30">
        <v>637.29999999999995</v>
      </c>
      <c r="E30" s="29">
        <f t="shared" si="7"/>
        <v>6.5953967794014148E-2</v>
      </c>
      <c r="F30" s="28">
        <f t="shared" si="8"/>
        <v>32.312308376258869</v>
      </c>
      <c r="G30" s="27" t="str">
        <f t="shared" si="9"/>
        <v>-</v>
      </c>
      <c r="H30" s="26">
        <f t="shared" si="10"/>
        <v>21222.089999999997</v>
      </c>
      <c r="I30" s="26">
        <f t="shared" si="11"/>
        <v>20592.634128189777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33.799999999999997</v>
      </c>
      <c r="D31" s="30">
        <v>295.60000000000002</v>
      </c>
      <c r="E31" s="29">
        <f t="shared" si="7"/>
        <v>3.059154696361303E-2</v>
      </c>
      <c r="F31" s="28">
        <f t="shared" si="8"/>
        <v>32.797478171698195</v>
      </c>
      <c r="G31" s="27" t="str">
        <f t="shared" si="9"/>
        <v>-</v>
      </c>
      <c r="H31" s="26">
        <f t="shared" si="10"/>
        <v>9991.2800000000007</v>
      </c>
      <c r="I31" s="26">
        <f t="shared" si="11"/>
        <v>9694.9345475539867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35.490899009656992</v>
      </c>
      <c r="D32" s="22">
        <f>SUM(D26:D31)</f>
        <v>6492.7000000000007</v>
      </c>
      <c r="E32" s="21">
        <f t="shared" si="7"/>
        <v>0.67192739164631365</v>
      </c>
      <c r="F32" s="20">
        <f>I32/D32</f>
        <v>34.438224424945865</v>
      </c>
      <c r="G32" s="19">
        <f>F32/C32-1</f>
        <v>-2.9660409121355258E-2</v>
      </c>
      <c r="H32" s="18">
        <f>SUM(H26:H31)</f>
        <v>230431.75999999998</v>
      </c>
      <c r="I32" s="18">
        <f>SUM(I26:I31)</f>
        <v>223597.05972384606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</v>
      </c>
      <c r="D34" s="30">
        <v>1057</v>
      </c>
      <c r="E34" s="29">
        <f t="shared" ref="E34:E40" si="13">D34/$D$48</f>
        <v>0.10938858301941465</v>
      </c>
      <c r="F34" s="28">
        <f t="shared" ref="F34:F39" si="14">C34-(C34*$E$6)</f>
        <v>19.697893694836491</v>
      </c>
      <c r="G34" s="27" t="str">
        <f t="shared" ref="G34:G39" si="15">IF(C34&gt;=F34,"-","+")</f>
        <v>-</v>
      </c>
      <c r="H34" s="26">
        <f t="shared" ref="H34:H39" si="16">C34*D34</f>
        <v>21457.100000000002</v>
      </c>
      <c r="I34" s="26">
        <f t="shared" ref="I34:I39" si="17">F34*D34</f>
        <v>20820.67363544217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15.7</v>
      </c>
      <c r="D35" s="30"/>
      <c r="E35" s="29">
        <f t="shared" si="13"/>
        <v>0</v>
      </c>
      <c r="F35" s="28">
        <f t="shared" si="14"/>
        <v>15.234331576794723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12.226278845070924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33.299999999999997</v>
      </c>
      <c r="D37" s="30"/>
      <c r="E37" s="29">
        <f t="shared" si="13"/>
        <v>0</v>
      </c>
      <c r="F37" s="28">
        <f t="shared" si="14"/>
        <v>32.312308376258869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33.299999999999997</v>
      </c>
      <c r="D38" s="30"/>
      <c r="E38" s="29">
        <f t="shared" si="13"/>
        <v>0</v>
      </c>
      <c r="F38" s="28">
        <f t="shared" si="14"/>
        <v>32.312308376258869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34.4</v>
      </c>
      <c r="D39" s="30"/>
      <c r="E39" s="29">
        <f t="shared" si="13"/>
        <v>0</v>
      </c>
      <c r="F39" s="28">
        <f t="shared" si="14"/>
        <v>33.379681926225381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</v>
      </c>
      <c r="D40" s="22">
        <f>SUM(D34:D39)</f>
        <v>1057</v>
      </c>
      <c r="E40" s="113">
        <f t="shared" si="13"/>
        <v>0.10938858301941465</v>
      </c>
      <c r="F40" s="20">
        <f>I40/D40</f>
        <v>19.697893694836491</v>
      </c>
      <c r="G40" s="19">
        <f>F40/C40-1</f>
        <v>-2.9660409121355147E-2</v>
      </c>
      <c r="H40" s="18">
        <f>SUM(H34:H39)</f>
        <v>21457.100000000002</v>
      </c>
      <c r="I40" s="18">
        <f>SUM(I34:I39)</f>
        <v>20820.67363544217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1369</v>
      </c>
      <c r="E42" s="107">
        <f>D42/$D$48</f>
        <v>0.14167736059941216</v>
      </c>
      <c r="F42" s="28">
        <f>C42-(C42*$E$6)</f>
        <v>0.48516979543932243</v>
      </c>
      <c r="G42" s="27" t="str">
        <f>IF(C42&gt;=F42,"-","+")</f>
        <v>-</v>
      </c>
      <c r="H42" s="26">
        <f>C42*D42</f>
        <v>684.5</v>
      </c>
      <c r="I42" s="26">
        <f>F42*D42</f>
        <v>664.19744995643237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61.2</v>
      </c>
      <c r="E43" s="107">
        <f>D43/$D$48</f>
        <v>6.3335679099225895E-3</v>
      </c>
      <c r="F43" s="28">
        <f>C43-(C43*$E$6)</f>
        <v>0.48516979543932243</v>
      </c>
      <c r="G43" s="27" t="str">
        <f>IF(C43&gt;=F43,"-","+")</f>
        <v>-</v>
      </c>
      <c r="H43" s="26">
        <f>C43*D43</f>
        <v>30.6</v>
      </c>
      <c r="I43" s="26">
        <f>F43*D43</f>
        <v>29.692391480886535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6.1</v>
      </c>
      <c r="E44" s="107">
        <f>D44/$D$48</f>
        <v>6.3128699755764359E-4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10.9</v>
      </c>
      <c r="E45" s="107">
        <f>D45/$D$48</f>
        <v>1.1280374218652978E-3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0.49412658927584302</v>
      </c>
      <c r="D46" s="22">
        <f>SUM(D41:D45)</f>
        <v>1447.2</v>
      </c>
      <c r="E46" s="113">
        <f>D46/$D$48</f>
        <v>0.1497702529287577</v>
      </c>
      <c r="F46" s="20">
        <f>I46/D46</f>
        <v>0.47947059248018165</v>
      </c>
      <c r="G46" s="19">
        <f>F46/C46-1</f>
        <v>-2.9660409121355258E-2</v>
      </c>
      <c r="H46" s="18">
        <f>SUM(H41:H44)</f>
        <v>715.1</v>
      </c>
      <c r="I46" s="18">
        <f>SUM(I41:I44)</f>
        <v>693.88984143731886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107.63078322019729</v>
      </c>
      <c r="D48" s="13">
        <f>D24+D32+D40+D46</f>
        <v>9662.8000000000011</v>
      </c>
      <c r="E48" s="12">
        <f>SUM(E20:E46)/2</f>
        <v>0.99999999999999978</v>
      </c>
      <c r="F48" s="11">
        <f>I48/D48</f>
        <v>28.799999999999997</v>
      </c>
      <c r="G48" s="10"/>
      <c r="H48" s="9">
        <f>SUM(H20:H46)/2</f>
        <v>286795.09999999998</v>
      </c>
      <c r="I48" s="9">
        <f>SUM(I20:I46)/2</f>
        <v>278288.64000000001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9662.8000000000011</v>
      </c>
      <c r="E50" s="12">
        <f>D50/G2</f>
        <v>1.0000000000000002</v>
      </c>
      <c r="F50" s="11">
        <f>I50/D50</f>
        <v>28.799999999999997</v>
      </c>
      <c r="G50" s="10"/>
      <c r="H50" s="9">
        <f>H48+H19</f>
        <v>286795.09999999998</v>
      </c>
      <c r="I50" s="9">
        <f>I48+I19</f>
        <v>278288.64000000001</v>
      </c>
      <c r="J50" s="106">
        <f>D50-G2</f>
        <v>0</v>
      </c>
      <c r="K50" s="8"/>
    </row>
    <row r="51" spans="1:11" ht="23.25" x14ac:dyDescent="0.35">
      <c r="A51" s="174" t="s">
        <v>477</v>
      </c>
      <c r="B51" s="169"/>
      <c r="C51" s="170"/>
      <c r="G51" s="7"/>
      <c r="H51" s="6"/>
      <c r="I51" s="6">
        <f>+I50/D50</f>
        <v>28.799999999999997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470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476</v>
      </c>
      <c r="D2" s="96" t="s">
        <v>3</v>
      </c>
      <c r="E2" s="95" t="s">
        <v>362</v>
      </c>
      <c r="F2" s="94" t="s">
        <v>5</v>
      </c>
      <c r="G2" s="93">
        <v>13128.4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162</v>
      </c>
      <c r="F3" s="88" t="s">
        <v>8</v>
      </c>
      <c r="G3" s="87">
        <v>28.8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81.039506172839509</v>
      </c>
      <c r="F4" s="81" t="s">
        <v>12</v>
      </c>
      <c r="G4" s="80">
        <f>G2*G3</f>
        <v>378097.91999999998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-2.0657881408718826E-3</v>
      </c>
      <c r="F6" s="69" t="s">
        <v>16</v>
      </c>
      <c r="G6" s="68">
        <f>(I50-I19)/(D50-(SUM(D42:D44)+D19))</f>
        <v>33.803713869344023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28.8</v>
      </c>
      <c r="D10" s="30"/>
      <c r="E10" s="29" t="e">
        <f t="shared" ref="E10:E19" si="1">D10/$D$19</f>
        <v>#DIV/0!</v>
      </c>
      <c r="F10" s="28">
        <f t="shared" ref="F10:F18" si="2">C10-(C10*$E$6)</f>
        <v>28.859494698457112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</v>
      </c>
      <c r="D11" s="30"/>
      <c r="E11" s="29" t="e">
        <f t="shared" si="1"/>
        <v>#DIV/0!</v>
      </c>
      <c r="F11" s="28">
        <f t="shared" si="2"/>
        <v>30.061973644226157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27.4</v>
      </c>
      <c r="D12" s="30"/>
      <c r="E12" s="29" t="e">
        <f t="shared" si="1"/>
        <v>#DIV/0!</v>
      </c>
      <c r="F12" s="28">
        <f t="shared" si="2"/>
        <v>27.456602595059888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</v>
      </c>
      <c r="D13" s="30"/>
      <c r="E13" s="29" t="e">
        <f t="shared" si="1"/>
        <v>#DIV/0!</v>
      </c>
      <c r="F13" s="28">
        <f t="shared" si="2"/>
        <v>30.061973644226157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33.5</v>
      </c>
      <c r="D14" s="30"/>
      <c r="E14" s="29" t="e">
        <f t="shared" si="1"/>
        <v>#DIV/0!</v>
      </c>
      <c r="F14" s="28">
        <f t="shared" si="2"/>
        <v>33.56920390271921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27.6</v>
      </c>
      <c r="D15" s="30"/>
      <c r="E15" s="29" t="e">
        <f t="shared" si="1"/>
        <v>#DIV/0!</v>
      </c>
      <c r="F15" s="28">
        <f t="shared" si="2"/>
        <v>27.657015752688064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37.799999999999997</v>
      </c>
      <c r="D16" s="30"/>
      <c r="E16" s="29" t="e">
        <f t="shared" si="1"/>
        <v>#DIV/0!</v>
      </c>
      <c r="F16" s="28">
        <f t="shared" si="2"/>
        <v>37.878086791724954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55.7</v>
      </c>
      <c r="D17" s="30"/>
      <c r="E17" s="29" t="e">
        <f t="shared" si="1"/>
        <v>#DIV/0!</v>
      </c>
      <c r="F17" s="28">
        <f t="shared" si="2"/>
        <v>55.81506439944657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48.8</v>
      </c>
      <c r="D18" s="30"/>
      <c r="E18" s="29" t="e">
        <f t="shared" si="1"/>
        <v>#DIV/0!</v>
      </c>
      <c r="F18" s="28">
        <f t="shared" si="2"/>
        <v>48.900810461274546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72.400000000000006</v>
      </c>
      <c r="D21" s="30">
        <v>140.1</v>
      </c>
      <c r="E21" s="29">
        <f>D21/$D$48</f>
        <v>1.0671521282105967E-2</v>
      </c>
      <c r="F21" s="28">
        <f>C21-(C21*$E$6)</f>
        <v>72.549563061399127</v>
      </c>
      <c r="G21" s="27" t="str">
        <f>IF(C21&gt;=F21,"-","+")</f>
        <v>+</v>
      </c>
      <c r="H21" s="26">
        <f>C21*D21</f>
        <v>10143.24</v>
      </c>
      <c r="I21" s="26">
        <f>F21*D21</f>
        <v>10164.193784902018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48.6</v>
      </c>
      <c r="D22" s="30">
        <v>391.7</v>
      </c>
      <c r="E22" s="29">
        <f>D22/$D$48</f>
        <v>2.9836080558179209E-2</v>
      </c>
      <c r="F22" s="28">
        <f>C22-(C22*$E$6)</f>
        <v>48.700397303646376</v>
      </c>
      <c r="G22" s="27" t="str">
        <f>IF(C22&gt;=F22,"-","+")</f>
        <v>+</v>
      </c>
      <c r="H22" s="26">
        <f>C22*D22</f>
        <v>19036.62</v>
      </c>
      <c r="I22" s="26">
        <f>F22*D22</f>
        <v>19075.945623838285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44.4</v>
      </c>
      <c r="D23" s="30">
        <v>301.89999999999998</v>
      </c>
      <c r="E23" s="29">
        <f>D23/$D$48</f>
        <v>2.299594771640108E-2</v>
      </c>
      <c r="F23" s="28">
        <f>C23-(C23*$E$6)</f>
        <v>44.491720993454713</v>
      </c>
      <c r="G23" s="27" t="str">
        <f>IF(C23&gt;=F23,"-","+")</f>
        <v>+</v>
      </c>
      <c r="H23" s="26">
        <f>C23*D23</f>
        <v>13404.359999999999</v>
      </c>
      <c r="I23" s="26">
        <f>F23*D23</f>
        <v>13432.050567923978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51.078589420654914</v>
      </c>
      <c r="D24" s="22">
        <f>SUM(D21:D23)</f>
        <v>833.69999999999993</v>
      </c>
      <c r="E24" s="21">
        <f>D24/$D$48</f>
        <v>6.3503549556686259E-2</v>
      </c>
      <c r="F24" s="20">
        <f>I24/D24</f>
        <v>51.184106964932575</v>
      </c>
      <c r="G24" s="19">
        <f>F24/C24-1</f>
        <v>2.0657881408721046E-3</v>
      </c>
      <c r="H24" s="18">
        <f>SUM(H21:H23)</f>
        <v>42584.22</v>
      </c>
      <c r="I24" s="18">
        <f>SUM(I21:I23)</f>
        <v>42672.189976664282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38.6</v>
      </c>
      <c r="D26" s="30">
        <v>2405.9</v>
      </c>
      <c r="E26" s="29">
        <f t="shared" ref="E26:E32" si="7">D26/$D$48</f>
        <v>0.1832591938088419</v>
      </c>
      <c r="F26" s="28">
        <f t="shared" ref="F26:F31" si="8">C26-(C26*$E$6)</f>
        <v>38.67973942223766</v>
      </c>
      <c r="G26" s="27" t="str">
        <f t="shared" ref="G26:G31" si="9">IF(C26&gt;=F26,"-","+")</f>
        <v>+</v>
      </c>
      <c r="H26" s="26">
        <f t="shared" ref="H26:H31" si="10">C26*D26</f>
        <v>92867.74</v>
      </c>
      <c r="I26" s="26">
        <f t="shared" ref="I26:I31" si="11">F26*D26</f>
        <v>93059.585075961586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34.4</v>
      </c>
      <c r="D27" s="30">
        <v>2017.8</v>
      </c>
      <c r="E27" s="29">
        <f t="shared" si="7"/>
        <v>0.15369732793028851</v>
      </c>
      <c r="F27" s="28">
        <f t="shared" si="8"/>
        <v>34.471063112045989</v>
      </c>
      <c r="G27" s="27" t="str">
        <f t="shared" si="9"/>
        <v>+</v>
      </c>
      <c r="H27" s="26">
        <f t="shared" si="10"/>
        <v>69412.319999999992</v>
      </c>
      <c r="I27" s="26">
        <f t="shared" si="11"/>
        <v>69555.711147486392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34.4</v>
      </c>
      <c r="D28" s="30">
        <v>1463.3</v>
      </c>
      <c r="E28" s="29">
        <f t="shared" si="7"/>
        <v>0.11146065019347368</v>
      </c>
      <c r="F28" s="28">
        <f t="shared" si="8"/>
        <v>34.471063112045989</v>
      </c>
      <c r="G28" s="27" t="str">
        <f t="shared" si="9"/>
        <v>+</v>
      </c>
      <c r="H28" s="26">
        <f t="shared" si="10"/>
        <v>50337.52</v>
      </c>
      <c r="I28" s="26">
        <f t="shared" si="11"/>
        <v>50441.506651856893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33.299999999999997</v>
      </c>
      <c r="D29" s="30">
        <v>1443.2</v>
      </c>
      <c r="E29" s="29">
        <f t="shared" si="7"/>
        <v>0.10992961823222935</v>
      </c>
      <c r="F29" s="28">
        <f t="shared" si="8"/>
        <v>33.368790745091033</v>
      </c>
      <c r="G29" s="27" t="str">
        <f t="shared" si="9"/>
        <v>+</v>
      </c>
      <c r="H29" s="26">
        <f t="shared" si="10"/>
        <v>48058.559999999998</v>
      </c>
      <c r="I29" s="26">
        <f t="shared" si="11"/>
        <v>48157.838803315382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33.299999999999997</v>
      </c>
      <c r="D30" s="30">
        <v>830.3</v>
      </c>
      <c r="E30" s="29">
        <f t="shared" si="7"/>
        <v>6.324456902592851E-2</v>
      </c>
      <c r="F30" s="28">
        <f t="shared" si="8"/>
        <v>33.368790745091033</v>
      </c>
      <c r="G30" s="27" t="str">
        <f t="shared" si="9"/>
        <v>+</v>
      </c>
      <c r="H30" s="26">
        <f t="shared" si="10"/>
        <v>27648.989999999994</v>
      </c>
      <c r="I30" s="26">
        <f t="shared" si="11"/>
        <v>27706.106955649084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33.799999999999997</v>
      </c>
      <c r="D31" s="30">
        <v>105.2</v>
      </c>
      <c r="E31" s="29">
        <f t="shared" si="7"/>
        <v>8.0131623046220402E-3</v>
      </c>
      <c r="F31" s="28">
        <f t="shared" si="8"/>
        <v>33.869823639161467</v>
      </c>
      <c r="G31" s="27" t="str">
        <f t="shared" si="9"/>
        <v>+</v>
      </c>
      <c r="H31" s="26">
        <f t="shared" si="10"/>
        <v>3555.7599999999998</v>
      </c>
      <c r="I31" s="26">
        <f t="shared" si="11"/>
        <v>3563.1054468397865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35.312301438474655</v>
      </c>
      <c r="D32" s="22">
        <f>SUM(D26:D31)</f>
        <v>8265.7000000000007</v>
      </c>
      <c r="E32" s="21">
        <f t="shared" si="7"/>
        <v>0.62960452149538404</v>
      </c>
      <c r="F32" s="20">
        <f>I32/D32</f>
        <v>35.385249172013147</v>
      </c>
      <c r="G32" s="19">
        <f>F32/C32-1</f>
        <v>2.0657881408718826E-3</v>
      </c>
      <c r="H32" s="18">
        <f>SUM(H26:H31)</f>
        <v>291880.89</v>
      </c>
      <c r="I32" s="18">
        <f>SUM(I26:I31)</f>
        <v>292483.85408110911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</v>
      </c>
      <c r="D34" s="30">
        <v>2009</v>
      </c>
      <c r="E34" s="29">
        <f t="shared" ref="E34:E40" si="13">D34/$D$48</f>
        <v>0.153027025380092</v>
      </c>
      <c r="F34" s="28">
        <f t="shared" ref="F34:F39" si="14">C34-(C34*$E$6)</f>
        <v>20.341935499259701</v>
      </c>
      <c r="G34" s="27" t="str">
        <f t="shared" ref="G34:G39" si="15">IF(C34&gt;=F34,"-","+")</f>
        <v>+</v>
      </c>
      <c r="H34" s="26">
        <f t="shared" ref="H34:H39" si="16">C34*D34</f>
        <v>40782.700000000004</v>
      </c>
      <c r="I34" s="26">
        <f t="shared" ref="I34:I39" si="17">F34*D34</f>
        <v>40866.94841801274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15.7</v>
      </c>
      <c r="D35" s="30">
        <v>70</v>
      </c>
      <c r="E35" s="29">
        <f t="shared" si="13"/>
        <v>5.3319521038359581E-3</v>
      </c>
      <c r="F35" s="28">
        <f t="shared" si="14"/>
        <v>15.732432873811687</v>
      </c>
      <c r="G35" s="27" t="str">
        <f t="shared" si="15"/>
        <v>+</v>
      </c>
      <c r="H35" s="26">
        <f t="shared" si="16"/>
        <v>1099</v>
      </c>
      <c r="I35" s="26">
        <f t="shared" si="17"/>
        <v>1101.2703011668182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12.626028930574986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33.299999999999997</v>
      </c>
      <c r="D37" s="30"/>
      <c r="E37" s="29">
        <f t="shared" si="13"/>
        <v>0</v>
      </c>
      <c r="F37" s="28">
        <f t="shared" si="14"/>
        <v>33.368790745091033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33.299999999999997</v>
      </c>
      <c r="D38" s="30"/>
      <c r="E38" s="29">
        <f t="shared" si="13"/>
        <v>0</v>
      </c>
      <c r="F38" s="28">
        <f t="shared" si="14"/>
        <v>33.368790745091033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34.4</v>
      </c>
      <c r="D39" s="30"/>
      <c r="E39" s="29">
        <f t="shared" si="13"/>
        <v>0</v>
      </c>
      <c r="F39" s="28">
        <f t="shared" si="14"/>
        <v>34.471063112045989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20.145117845117849</v>
      </c>
      <c r="D40" s="22">
        <f>SUM(D34:D39)</f>
        <v>2079</v>
      </c>
      <c r="E40" s="113">
        <f t="shared" si="13"/>
        <v>0.15835897748392797</v>
      </c>
      <c r="F40" s="20">
        <f>I40/D40</f>
        <v>20.186733390658759</v>
      </c>
      <c r="G40" s="19">
        <f>F40/C40-1</f>
        <v>2.0657881408718826E-3</v>
      </c>
      <c r="H40" s="18">
        <f>SUM(H34:H39)</f>
        <v>41881.700000000004</v>
      </c>
      <c r="I40" s="18">
        <f>SUM(I34:I39)</f>
        <v>41968.21871917956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1864</v>
      </c>
      <c r="E42" s="107">
        <f>D42/$D$48</f>
        <v>0.14198226745071751</v>
      </c>
      <c r="F42" s="28">
        <f>C42-(C42*$E$6)</f>
        <v>0.50103289407043594</v>
      </c>
      <c r="G42" s="27" t="str">
        <f>IF(C42&gt;=F42,"-","+")</f>
        <v>+</v>
      </c>
      <c r="H42" s="26">
        <f>C42*D42</f>
        <v>932</v>
      </c>
      <c r="I42" s="26">
        <f>F42*D42</f>
        <v>933.9253145472926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79.3</v>
      </c>
      <c r="E43" s="107">
        <f>D43/$D$48</f>
        <v>6.0403400262027352E-3</v>
      </c>
      <c r="F43" s="28">
        <f>C43-(C43*$E$6)</f>
        <v>0.50103289407043594</v>
      </c>
      <c r="G43" s="27" t="str">
        <f>IF(C43&gt;=F43,"-","+")</f>
        <v>+</v>
      </c>
      <c r="H43" s="26">
        <f>C43*D43</f>
        <v>39.65</v>
      </c>
      <c r="I43" s="26">
        <f>F43*D43</f>
        <v>39.731908499785568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6.7</v>
      </c>
      <c r="E45" s="107">
        <f>D45/$D$48</f>
        <v>5.1034398708144166E-4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0.49828205128205127</v>
      </c>
      <c r="D46" s="22">
        <f>SUM(D41:D45)</f>
        <v>1950</v>
      </c>
      <c r="E46" s="113">
        <f>D46/$D$48</f>
        <v>0.14853295146400169</v>
      </c>
      <c r="F46" s="20">
        <f>I46/D46</f>
        <v>0.49931139643439909</v>
      </c>
      <c r="G46" s="19">
        <f>F46/C46-1</f>
        <v>2.0657881408718826E-3</v>
      </c>
      <c r="H46" s="18">
        <f>SUM(H41:H44)</f>
        <v>971.65</v>
      </c>
      <c r="I46" s="18">
        <f>SUM(I41:I44)</f>
        <v>973.65722304707822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107.03429075552947</v>
      </c>
      <c r="D48" s="13">
        <f>D24+D32+D40+D46</f>
        <v>13128.400000000001</v>
      </c>
      <c r="E48" s="12">
        <f>SUM(E20:E46)/2</f>
        <v>1</v>
      </c>
      <c r="F48" s="11">
        <f>I48/D48</f>
        <v>28.79999999999999</v>
      </c>
      <c r="G48" s="10"/>
      <c r="H48" s="9">
        <f>SUM(H20:H46)/2</f>
        <v>377318.45999999996</v>
      </c>
      <c r="I48" s="9">
        <f>SUM(I20:I46)/2</f>
        <v>378097.91999999993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13128.400000000001</v>
      </c>
      <c r="E50" s="12">
        <f>D50/G2</f>
        <v>1.0000000000000002</v>
      </c>
      <c r="F50" s="11">
        <f>I50/D50</f>
        <v>28.79999999999999</v>
      </c>
      <c r="G50" s="10"/>
      <c r="H50" s="9">
        <f>H48+H19</f>
        <v>377318.45999999996</v>
      </c>
      <c r="I50" s="9">
        <f>I48+I19</f>
        <v>378097.91999999993</v>
      </c>
      <c r="J50" s="106">
        <f>D50-G2</f>
        <v>0</v>
      </c>
      <c r="K50" s="8"/>
    </row>
    <row r="51" spans="1:11" ht="23.25" x14ac:dyDescent="0.35">
      <c r="A51" s="174" t="s">
        <v>477</v>
      </c>
      <c r="B51" s="169"/>
      <c r="C51" s="170"/>
      <c r="G51" s="7"/>
      <c r="H51" s="6"/>
      <c r="I51" s="6">
        <f>+I50/D50</f>
        <v>28.79999999999999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466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476</v>
      </c>
      <c r="D2" s="96" t="s">
        <v>3</v>
      </c>
      <c r="E2" s="95" t="s">
        <v>71</v>
      </c>
      <c r="F2" s="94" t="s">
        <v>5</v>
      </c>
      <c r="G2" s="93">
        <v>23148.799999999999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300</v>
      </c>
      <c r="F3" s="88" t="s">
        <v>8</v>
      </c>
      <c r="G3" s="87">
        <v>29.5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77.162666666666667</v>
      </c>
      <c r="F4" s="81" t="s">
        <v>12</v>
      </c>
      <c r="G4" s="80">
        <f>G2*G3</f>
        <v>682889.6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-2.4651842263992974E-2</v>
      </c>
      <c r="F6" s="69" t="s">
        <v>16</v>
      </c>
      <c r="G6" s="68">
        <f>(I50-I19)/(D50-(SUM(D42:D44)+D19))</f>
        <v>35.245513961177167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29.5</v>
      </c>
      <c r="D10" s="30"/>
      <c r="E10" s="29">
        <f t="shared" ref="E10:E19" si="1">D10/$D$19</f>
        <v>0</v>
      </c>
      <c r="F10" s="28">
        <f t="shared" ref="F10:F18" si="2">C10-(C10*$E$6)</f>
        <v>30.227229346787794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30.7</v>
      </c>
      <c r="D11" s="30">
        <v>54.8</v>
      </c>
      <c r="E11" s="29">
        <f t="shared" si="1"/>
        <v>0.19963570127504554</v>
      </c>
      <c r="F11" s="28">
        <f t="shared" si="2"/>
        <v>31.456811557504583</v>
      </c>
      <c r="G11" s="27" t="str">
        <f t="shared" si="3"/>
        <v>+</v>
      </c>
      <c r="H11" s="34">
        <f t="shared" si="4"/>
        <v>1682.36</v>
      </c>
      <c r="I11" s="34">
        <f t="shared" si="5"/>
        <v>1723.8332733512511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28.1</v>
      </c>
      <c r="D12" s="30"/>
      <c r="E12" s="29">
        <f t="shared" si="1"/>
        <v>0</v>
      </c>
      <c r="F12" s="28">
        <f t="shared" si="2"/>
        <v>28.792716767618202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30.7</v>
      </c>
      <c r="D13" s="30"/>
      <c r="E13" s="29">
        <f t="shared" si="1"/>
        <v>0</v>
      </c>
      <c r="F13" s="28">
        <f t="shared" si="2"/>
        <v>31.456811557504583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34.299999999999997</v>
      </c>
      <c r="D14" s="30">
        <v>159.69999999999999</v>
      </c>
      <c r="E14" s="29">
        <f t="shared" si="1"/>
        <v>0.58178506375227679</v>
      </c>
      <c r="F14" s="28">
        <f t="shared" si="2"/>
        <v>35.145558189654956</v>
      </c>
      <c r="G14" s="27" t="str">
        <f t="shared" si="3"/>
        <v>+</v>
      </c>
      <c r="H14" s="34">
        <f t="shared" si="4"/>
        <v>5477.7099999999991</v>
      </c>
      <c r="I14" s="34">
        <f t="shared" si="5"/>
        <v>5612.7456428878959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28.3</v>
      </c>
      <c r="D15" s="30">
        <v>60</v>
      </c>
      <c r="E15" s="29">
        <f t="shared" si="1"/>
        <v>0.21857923497267759</v>
      </c>
      <c r="F15" s="28">
        <f t="shared" si="2"/>
        <v>28.997647136071002</v>
      </c>
      <c r="G15" s="27" t="str">
        <f t="shared" si="3"/>
        <v>+</v>
      </c>
      <c r="H15" s="34">
        <f t="shared" si="4"/>
        <v>1698</v>
      </c>
      <c r="I15" s="34">
        <f t="shared" si="5"/>
        <v>1739.8588281642601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38.799999999999997</v>
      </c>
      <c r="D16" s="30"/>
      <c r="E16" s="29">
        <f t="shared" si="1"/>
        <v>0</v>
      </c>
      <c r="F16" s="28">
        <f t="shared" si="2"/>
        <v>39.756491479842921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57.1</v>
      </c>
      <c r="D17" s="30"/>
      <c r="E17" s="29">
        <f t="shared" si="1"/>
        <v>0</v>
      </c>
      <c r="F17" s="28">
        <f t="shared" si="2"/>
        <v>58.507620193274001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50</v>
      </c>
      <c r="D18" s="30"/>
      <c r="E18" s="29">
        <f t="shared" si="1"/>
        <v>0</v>
      </c>
      <c r="F18" s="28">
        <f t="shared" si="2"/>
        <v>51.232592113199651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32.26983606557377</v>
      </c>
      <c r="D19" s="49">
        <f>SUM(D10:D18)</f>
        <v>274.5</v>
      </c>
      <c r="E19" s="48">
        <f t="shared" si="1"/>
        <v>1</v>
      </c>
      <c r="F19" s="47">
        <f>I19/D19</f>
        <v>33.065346974147204</v>
      </c>
      <c r="G19" s="46">
        <f>F19/C19-1</f>
        <v>2.4651842263992974E-2</v>
      </c>
      <c r="H19" s="9">
        <f>SUM(H10:H18)</f>
        <v>8858.07</v>
      </c>
      <c r="I19" s="9">
        <f>SUM(I10:I18)</f>
        <v>9076.4377444034071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74.2</v>
      </c>
      <c r="D21" s="30">
        <v>270.3</v>
      </c>
      <c r="E21" s="29">
        <f>D21/$D$48</f>
        <v>1.1816910028853721E-2</v>
      </c>
      <c r="F21" s="28">
        <f>C21-(C21*$E$6)</f>
        <v>76.02916669598828</v>
      </c>
      <c r="G21" s="27" t="str">
        <f>IF(C21&gt;=F21,"-","+")</f>
        <v>+</v>
      </c>
      <c r="H21" s="26">
        <f>C21*D21</f>
        <v>20056.260000000002</v>
      </c>
      <c r="I21" s="26">
        <f>F21*D21</f>
        <v>20550.683757925632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49.8</v>
      </c>
      <c r="D22" s="30">
        <v>698.8</v>
      </c>
      <c r="E22" s="29">
        <f>D22/$D$48</f>
        <v>3.054996939756929E-2</v>
      </c>
      <c r="F22" s="28">
        <f>C22-(C22*$E$6)</f>
        <v>51.027661744746844</v>
      </c>
      <c r="G22" s="27" t="str">
        <f>IF(C22&gt;=F22,"-","+")</f>
        <v>+</v>
      </c>
      <c r="H22" s="26">
        <f>C22*D22</f>
        <v>34800.239999999998</v>
      </c>
      <c r="I22" s="26">
        <f>F22*D22</f>
        <v>35658.13002722909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45.4</v>
      </c>
      <c r="D23" s="30">
        <v>564.4</v>
      </c>
      <c r="E23" s="29">
        <f>D23/$D$48</f>
        <v>2.4674302701757453E-2</v>
      </c>
      <c r="F23" s="28">
        <f>C23-(C23*$E$6)</f>
        <v>46.519193638785282</v>
      </c>
      <c r="G23" s="27" t="str">
        <f>IF(C23&gt;=F23,"-","+")</f>
        <v>+</v>
      </c>
      <c r="H23" s="26">
        <f>C23*D23</f>
        <v>25623.759999999998</v>
      </c>
      <c r="I23" s="26">
        <f>F23*D23</f>
        <v>26255.432889730411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52.481421584610366</v>
      </c>
      <c r="D24" s="22">
        <f>SUM(D21:D23)</f>
        <v>1533.5</v>
      </c>
      <c r="E24" s="21">
        <f>D24/$D$48</f>
        <v>6.7041182128180471E-2</v>
      </c>
      <c r="F24" s="20">
        <f>I24/D24</f>
        <v>53.775185311304291</v>
      </c>
      <c r="G24" s="19">
        <f>F24/C24-1</f>
        <v>2.4651842263992751E-2</v>
      </c>
      <c r="H24" s="18">
        <f>SUM(H21:H23)</f>
        <v>80480.259999999995</v>
      </c>
      <c r="I24" s="18">
        <f>SUM(I21:I23)</f>
        <v>82464.246674885129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39.6</v>
      </c>
      <c r="D26" s="30">
        <f>1134.5+3140.5</f>
        <v>4275</v>
      </c>
      <c r="E26" s="29">
        <f t="shared" ref="E26:E32" si="7">D26/$D$48</f>
        <v>0.1868934161056221</v>
      </c>
      <c r="F26" s="28">
        <f t="shared" ref="F26:F31" si="8">C26-(C26*$E$6)</f>
        <v>40.576212953654121</v>
      </c>
      <c r="G26" s="27" t="str">
        <f t="shared" ref="G26:G31" si="9">IF(C26&gt;=F26,"-","+")</f>
        <v>+</v>
      </c>
      <c r="H26" s="26">
        <f t="shared" ref="H26:H31" si="10">C26*D26</f>
        <v>169290</v>
      </c>
      <c r="I26" s="26">
        <f t="shared" ref="I26:I31" si="11">F26*D26</f>
        <v>173463.31037687138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35.299999999999997</v>
      </c>
      <c r="D27" s="30">
        <v>3473.6</v>
      </c>
      <c r="E27" s="29">
        <f t="shared" si="7"/>
        <v>0.15185800472151786</v>
      </c>
      <c r="F27" s="28">
        <f t="shared" si="8"/>
        <v>36.170210031918948</v>
      </c>
      <c r="G27" s="27" t="str">
        <f t="shared" si="9"/>
        <v>+</v>
      </c>
      <c r="H27" s="26">
        <f t="shared" si="10"/>
        <v>122618.07999999999</v>
      </c>
      <c r="I27" s="26">
        <f t="shared" si="11"/>
        <v>125640.84156687366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35.299999999999997</v>
      </c>
      <c r="D28" s="30">
        <v>2018.1</v>
      </c>
      <c r="E28" s="29">
        <f t="shared" si="7"/>
        <v>8.8226807729299639E-2</v>
      </c>
      <c r="F28" s="28">
        <f t="shared" si="8"/>
        <v>36.170210031918948</v>
      </c>
      <c r="G28" s="27" t="str">
        <f t="shared" si="9"/>
        <v>+</v>
      </c>
      <c r="H28" s="26">
        <f t="shared" si="10"/>
        <v>71238.929999999993</v>
      </c>
      <c r="I28" s="26">
        <f t="shared" si="11"/>
        <v>72995.100865415632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34.1</v>
      </c>
      <c r="D29" s="30">
        <v>1842.9</v>
      </c>
      <c r="E29" s="29">
        <f t="shared" si="7"/>
        <v>8.0567456500830636E-2</v>
      </c>
      <c r="F29" s="28">
        <f t="shared" si="8"/>
        <v>34.940627821202163</v>
      </c>
      <c r="G29" s="27" t="str">
        <f t="shared" si="9"/>
        <v>+</v>
      </c>
      <c r="H29" s="26">
        <f t="shared" si="10"/>
        <v>62842.890000000007</v>
      </c>
      <c r="I29" s="26">
        <f t="shared" si="11"/>
        <v>64392.083011693467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34.1</v>
      </c>
      <c r="D30" s="30">
        <v>1609.4</v>
      </c>
      <c r="E30" s="29">
        <f t="shared" si="7"/>
        <v>7.0359359972020641E-2</v>
      </c>
      <c r="F30" s="28">
        <f t="shared" si="8"/>
        <v>34.940627821202163</v>
      </c>
      <c r="G30" s="27" t="str">
        <f t="shared" si="9"/>
        <v>+</v>
      </c>
      <c r="H30" s="26">
        <f t="shared" si="10"/>
        <v>54880.540000000008</v>
      </c>
      <c r="I30" s="26">
        <f t="shared" si="11"/>
        <v>56233.446415442762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34.700000000000003</v>
      </c>
      <c r="D31" s="30">
        <v>346.2</v>
      </c>
      <c r="E31" s="29">
        <f t="shared" si="7"/>
        <v>1.5135087872693888E-2</v>
      </c>
      <c r="F31" s="28">
        <f t="shared" si="8"/>
        <v>35.555418926560556</v>
      </c>
      <c r="G31" s="27" t="str">
        <f t="shared" si="9"/>
        <v>+</v>
      </c>
      <c r="H31" s="26">
        <f t="shared" si="10"/>
        <v>12013.140000000001</v>
      </c>
      <c r="I31" s="26">
        <f t="shared" si="11"/>
        <v>12309.286032375265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36.334413056939809</v>
      </c>
      <c r="D32" s="22">
        <f>SUM(D26:D31)</f>
        <v>13565.2</v>
      </c>
      <c r="E32" s="21">
        <f t="shared" si="7"/>
        <v>0.59304013290198487</v>
      </c>
      <c r="F32" s="20">
        <f>I32/D32</f>
        <v>37.230123276374265</v>
      </c>
      <c r="G32" s="19">
        <f>F32/C32-1</f>
        <v>2.4651842263993196E-2</v>
      </c>
      <c r="H32" s="18">
        <f>SUM(H26:H31)</f>
        <v>492883.57999999996</v>
      </c>
      <c r="I32" s="18">
        <f>SUM(I26:I31)</f>
        <v>505034.06826867216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20.8</v>
      </c>
      <c r="D34" s="30">
        <f>2425.8+1366.6</f>
        <v>3792.4</v>
      </c>
      <c r="E34" s="29">
        <f t="shared" ref="E34:E40" si="13">D34/$D$48</f>
        <v>0.16579522602080965</v>
      </c>
      <c r="F34" s="28">
        <f t="shared" ref="F34:F39" si="14">C34-(C34*$E$6)</f>
        <v>21.312758319091053</v>
      </c>
      <c r="G34" s="27" t="str">
        <f t="shared" ref="G34:G39" si="15">IF(C34&gt;=F34,"-","+")</f>
        <v>+</v>
      </c>
      <c r="H34" s="26">
        <f t="shared" ref="H34:H39" si="16">C34*D34</f>
        <v>78881.919999999998</v>
      </c>
      <c r="I34" s="26">
        <f t="shared" ref="I34:I39" si="17">F34*D34</f>
        <v>80826.504649320908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>
        <v>218.9</v>
      </c>
      <c r="E35" s="29">
        <f t="shared" si="13"/>
        <v>9.5698172597709196E-3</v>
      </c>
      <c r="F35" s="28">
        <f t="shared" si="14"/>
        <v>16.394429476223888</v>
      </c>
      <c r="G35" s="27" t="str">
        <f t="shared" si="15"/>
        <v>+</v>
      </c>
      <c r="H35" s="26">
        <f t="shared" si="16"/>
        <v>3502.4</v>
      </c>
      <c r="I35" s="26">
        <f t="shared" si="17"/>
        <v>3588.7406123454089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12.9</v>
      </c>
      <c r="D36" s="30"/>
      <c r="E36" s="29">
        <f t="shared" si="13"/>
        <v>0</v>
      </c>
      <c r="F36" s="28">
        <f t="shared" si="14"/>
        <v>13.218008765205509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34.1</v>
      </c>
      <c r="D37" s="30"/>
      <c r="E37" s="29">
        <f t="shared" si="13"/>
        <v>0</v>
      </c>
      <c r="F37" s="28">
        <f t="shared" si="14"/>
        <v>34.940627821202163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34.1</v>
      </c>
      <c r="D38" s="30"/>
      <c r="E38" s="29">
        <f t="shared" si="13"/>
        <v>0</v>
      </c>
      <c r="F38" s="28">
        <f t="shared" si="14"/>
        <v>34.940627821202163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35.299999999999997</v>
      </c>
      <c r="D39" s="30"/>
      <c r="E39" s="29">
        <f t="shared" si="13"/>
        <v>0</v>
      </c>
      <c r="F39" s="28">
        <f t="shared" si="14"/>
        <v>36.170210031918948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20.53805998055493</v>
      </c>
      <c r="D40" s="22">
        <f>SUM(D34:D39)</f>
        <v>4011.3</v>
      </c>
      <c r="E40" s="113">
        <f t="shared" si="13"/>
        <v>0.17536504328058058</v>
      </c>
      <c r="F40" s="20">
        <f>I40/D40</f>
        <v>21.044360995603999</v>
      </c>
      <c r="G40" s="19">
        <f>F40/C40-1</f>
        <v>2.4651842263992974E-2</v>
      </c>
      <c r="H40" s="18">
        <f>SUM(H34:H39)</f>
        <v>82384.319999999992</v>
      </c>
      <c r="I40" s="18">
        <f>SUM(I34:I39)</f>
        <v>84415.245261666321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202.6+1594.7+1773</f>
        <v>3570.3</v>
      </c>
      <c r="E42" s="107">
        <f>D42/$D$48</f>
        <v>0.15608551193494799</v>
      </c>
      <c r="F42" s="28">
        <f>C42-(C42*$E$6)</f>
        <v>0.51232592113199649</v>
      </c>
      <c r="G42" s="27" t="str">
        <f>IF(C42&gt;=F42,"-","+")</f>
        <v>+</v>
      </c>
      <c r="H42" s="26">
        <f>C42*D42</f>
        <v>1785.15</v>
      </c>
      <c r="I42" s="26">
        <f>F42*D42</f>
        <v>1829.1572362175671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137.5</v>
      </c>
      <c r="E43" s="107">
        <f>D43/$D$48</f>
        <v>6.0111917460872605E-3</v>
      </c>
      <c r="F43" s="28">
        <f>C43-(C43*$E$6)</f>
        <v>0.51232592113199649</v>
      </c>
      <c r="G43" s="27" t="str">
        <f>IF(C43&gt;=F43,"-","+")</f>
        <v>+</v>
      </c>
      <c r="H43" s="26">
        <f>C43*D43</f>
        <v>68.75</v>
      </c>
      <c r="I43" s="26">
        <f>F43*D43</f>
        <v>70.44481415564951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48.5</v>
      </c>
      <c r="E44" s="107">
        <f>D44/$D$48</f>
        <v>2.1203112704380519E-3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7.7</v>
      </c>
      <c r="E45" s="107">
        <f>D45/$D$48</f>
        <v>3.3662673778088659E-4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0.49253453772582362</v>
      </c>
      <c r="D46" s="22">
        <f>SUM(D41:D45)</f>
        <v>3764</v>
      </c>
      <c r="E46" s="113">
        <f>D46/$D$48</f>
        <v>0.16455364168925418</v>
      </c>
      <c r="F46" s="20">
        <f>I46/D46</f>
        <v>0.50467642145940927</v>
      </c>
      <c r="G46" s="19">
        <f>F46/C46-1</f>
        <v>2.4651842263992974E-2</v>
      </c>
      <c r="H46" s="18">
        <f>SUM(H41:H44)</f>
        <v>1853.9</v>
      </c>
      <c r="I46" s="18">
        <f>SUM(I41:I44)</f>
        <v>1899.6020503732166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109.84642915983092</v>
      </c>
      <c r="D48" s="13">
        <f>D24+D32+D40+D46</f>
        <v>22874</v>
      </c>
      <c r="E48" s="12">
        <f>SUM(E20:E46)/2</f>
        <v>1</v>
      </c>
      <c r="F48" s="11">
        <f>I48/D48</f>
        <v>29.457600868042181</v>
      </c>
      <c r="G48" s="10"/>
      <c r="H48" s="9">
        <f>SUM(H20:H46)/2</f>
        <v>657602.05999999982</v>
      </c>
      <c r="I48" s="9">
        <f>SUM(I20:I46)/2</f>
        <v>673813.16225559684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23148.500000000004</v>
      </c>
      <c r="E50" s="12">
        <f>D50/G2</f>
        <v>0.99998704036494346</v>
      </c>
      <c r="F50" s="11">
        <f>I50/D50</f>
        <v>29.50038231418883</v>
      </c>
      <c r="G50" s="10"/>
      <c r="H50" s="9">
        <f>H48+H19</f>
        <v>666460.12999999977</v>
      </c>
      <c r="I50" s="9">
        <f>I48+I19</f>
        <v>682889.60000000021</v>
      </c>
      <c r="J50" s="106">
        <f>D50-G2</f>
        <v>-0.29999999999563443</v>
      </c>
      <c r="K50" s="8"/>
    </row>
    <row r="51" spans="1:11" ht="23.25" x14ac:dyDescent="0.35">
      <c r="A51" s="174" t="s">
        <v>478</v>
      </c>
      <c r="B51" s="169"/>
      <c r="C51" s="170"/>
      <c r="G51" s="7"/>
      <c r="H51" s="6"/>
      <c r="I51" s="6">
        <f>+I50/D50</f>
        <v>29.50038231418883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tabColor rgb="FF92D050"/>
  </sheetPr>
  <dimension ref="A1:K56"/>
  <sheetViews>
    <sheetView topLeftCell="C1"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476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476</v>
      </c>
      <c r="D2" s="96" t="s">
        <v>3</v>
      </c>
      <c r="E2" s="95" t="s">
        <v>71</v>
      </c>
      <c r="F2" s="94" t="s">
        <v>5</v>
      </c>
      <c r="G2" s="93">
        <v>16432.7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216</v>
      </c>
      <c r="F3" s="88" t="s">
        <v>8</v>
      </c>
      <c r="G3" s="87">
        <v>29.3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76.077314814814812</v>
      </c>
      <c r="F4" s="81" t="s">
        <v>12</v>
      </c>
      <c r="G4" s="80">
        <f>G2*G3</f>
        <v>481478.11000000004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-1.6389760869452985E-2</v>
      </c>
      <c r="F6" s="69" t="s">
        <v>16</v>
      </c>
      <c r="G6" s="68">
        <f>(I50-I19)/(D50-(SUM(D42:D44)+D19))</f>
        <v>34.995465282774774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29.780219993474972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30.999887706518315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27.9</v>
      </c>
      <c r="D12" s="30"/>
      <c r="E12" s="29" t="e">
        <f t="shared" si="1"/>
        <v>#DIV/0!</v>
      </c>
      <c r="F12" s="28">
        <f t="shared" si="2"/>
        <v>28.357274328257738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30.999887706518315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34.658890845648351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28.560552280431629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38.5</v>
      </c>
      <c r="D16" s="30"/>
      <c r="E16" s="29" t="e">
        <f t="shared" si="1"/>
        <v>#DIV/0!</v>
      </c>
      <c r="F16" s="28">
        <f t="shared" si="2"/>
        <v>39.131005793473939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56.7</v>
      </c>
      <c r="D17" s="30"/>
      <c r="E17" s="29" t="e">
        <f t="shared" si="1"/>
        <v>#DIV/0!</v>
      </c>
      <c r="F17" s="28">
        <f t="shared" si="2"/>
        <v>57.629299441297988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50.412932139124869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73.7</v>
      </c>
      <c r="D21" s="30">
        <v>197.9</v>
      </c>
      <c r="E21" s="29">
        <f>D21/$D$48</f>
        <v>1.2043060483061214E-2</v>
      </c>
      <c r="F21" s="28">
        <f>C21-(C21*$E$6)</f>
        <v>74.907925376078694</v>
      </c>
      <c r="G21" s="27" t="str">
        <f>IF(C21&gt;=F21,"-","+")</f>
        <v>+</v>
      </c>
      <c r="H21" s="26">
        <f>C21*D21</f>
        <v>14585.230000000001</v>
      </c>
      <c r="I21" s="26">
        <f>F21*D21</f>
        <v>14824.278431925974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49.5</v>
      </c>
      <c r="D22" s="30">
        <v>498.5</v>
      </c>
      <c r="E22" s="29">
        <f>D22/$D$48</f>
        <v>3.0335854728681225E-2</v>
      </c>
      <c r="F22" s="28">
        <f>C22-(C22*$E$6)</f>
        <v>50.311293163037924</v>
      </c>
      <c r="G22" s="27" t="str">
        <f>IF(C22&gt;=F22,"-","+")</f>
        <v>+</v>
      </c>
      <c r="H22" s="26">
        <f>C22*D22</f>
        <v>24675.75</v>
      </c>
      <c r="I22" s="26">
        <f>F22*D22</f>
        <v>25080.179641774404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45.1</v>
      </c>
      <c r="D23" s="30">
        <v>378.4</v>
      </c>
      <c r="E23" s="29">
        <f>D23/$D$48</f>
        <v>2.3027256628551606E-2</v>
      </c>
      <c r="F23" s="28">
        <f>C23-(C23*$E$6)</f>
        <v>45.839178215212328</v>
      </c>
      <c r="G23" s="27" t="str">
        <f>IF(C23&gt;=F23,"-","+")</f>
        <v>+</v>
      </c>
      <c r="H23" s="26">
        <f>C23*D23</f>
        <v>17065.84</v>
      </c>
      <c r="I23" s="26">
        <f>F23*D23</f>
        <v>17345.545036636344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52.406791961295134</v>
      </c>
      <c r="D24" s="22">
        <f>SUM(D21:D23)</f>
        <v>1074.8</v>
      </c>
      <c r="E24" s="21">
        <f>D24/$D$48</f>
        <v>6.5406171840294042E-2</v>
      </c>
      <c r="F24" s="20">
        <f>I24/D24</f>
        <v>53.265726749475924</v>
      </c>
      <c r="G24" s="19">
        <f>F24/C24-1</f>
        <v>1.6389760869452763E-2</v>
      </c>
      <c r="H24" s="18">
        <f>SUM(H21:H23)</f>
        <v>56326.820000000007</v>
      </c>
      <c r="I24" s="18">
        <f>SUM(I21:I23)</f>
        <v>57250.003110336722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3080+30.8</f>
        <v>3110.8</v>
      </c>
      <c r="E26" s="29">
        <f t="shared" ref="E26:E32" si="7">D26/$D$48</f>
        <v>0.18930547019053473</v>
      </c>
      <c r="F26" s="28">
        <f t="shared" ref="F26:F31" si="8">C26-(C26*$E$6)</f>
        <v>39.944117602169499</v>
      </c>
      <c r="G26" s="27" t="str">
        <f t="shared" ref="G26:G31" si="9">IF(C26&gt;=F26,"-","+")</f>
        <v>+</v>
      </c>
      <c r="H26" s="26">
        <f t="shared" ref="H26:H31" si="10">C26*D26</f>
        <v>122254.44</v>
      </c>
      <c r="I26" s="26">
        <f t="shared" ref="I26:I31" si="11">F26*D26</f>
        <v>124258.16103682888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2602.1</v>
      </c>
      <c r="E27" s="29">
        <f t="shared" si="7"/>
        <v>0.15834890188465681</v>
      </c>
      <c r="F27" s="28">
        <f t="shared" si="8"/>
        <v>35.573641630430856</v>
      </c>
      <c r="G27" s="27" t="str">
        <f t="shared" si="9"/>
        <v>+</v>
      </c>
      <c r="H27" s="26">
        <f t="shared" si="10"/>
        <v>91073.5</v>
      </c>
      <c r="I27" s="26">
        <f t="shared" si="11"/>
        <v>92566.172886544126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1538.2</v>
      </c>
      <c r="E28" s="29">
        <f t="shared" si="7"/>
        <v>9.3606041612151386E-2</v>
      </c>
      <c r="F28" s="28">
        <f t="shared" si="8"/>
        <v>35.573641630430856</v>
      </c>
      <c r="G28" s="27" t="str">
        <f t="shared" si="9"/>
        <v>+</v>
      </c>
      <c r="H28" s="26">
        <f t="shared" si="10"/>
        <v>53837</v>
      </c>
      <c r="I28" s="26">
        <f t="shared" si="11"/>
        <v>54719.375555928746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1468.2</v>
      </c>
      <c r="E29" s="29">
        <f t="shared" si="7"/>
        <v>8.9346242552958435E-2</v>
      </c>
      <c r="F29" s="28">
        <f t="shared" si="8"/>
        <v>34.353973917387506</v>
      </c>
      <c r="G29" s="27" t="str">
        <f t="shared" si="9"/>
        <v>+</v>
      </c>
      <c r="H29" s="26">
        <f t="shared" si="10"/>
        <v>49625.159999999996</v>
      </c>
      <c r="I29" s="26">
        <f t="shared" si="11"/>
        <v>50438.504505508339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1081.9000000000001</v>
      </c>
      <c r="E30" s="29">
        <f t="shared" si="7"/>
        <v>6.583823717344077E-2</v>
      </c>
      <c r="F30" s="28">
        <f t="shared" si="8"/>
        <v>34.353973917387506</v>
      </c>
      <c r="G30" s="27" t="str">
        <f t="shared" si="9"/>
        <v>+</v>
      </c>
      <c r="H30" s="26">
        <f t="shared" si="10"/>
        <v>36568.22</v>
      </c>
      <c r="I30" s="26">
        <f t="shared" si="11"/>
        <v>37167.564381221549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278.5</v>
      </c>
      <c r="E31" s="29">
        <f t="shared" si="7"/>
        <v>1.6947914828360524E-2</v>
      </c>
      <c r="F31" s="28">
        <f t="shared" si="8"/>
        <v>34.963807773909181</v>
      </c>
      <c r="G31" s="27" t="str">
        <f t="shared" si="9"/>
        <v>+</v>
      </c>
      <c r="H31" s="26">
        <f t="shared" si="10"/>
        <v>9580.4</v>
      </c>
      <c r="I31" s="26">
        <f t="shared" si="11"/>
        <v>9737.4204650337069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36.006897030665598</v>
      </c>
      <c r="D32" s="22">
        <f>SUM(D26:D31)</f>
        <v>10079.699999999999</v>
      </c>
      <c r="E32" s="21">
        <f t="shared" si="7"/>
        <v>0.61339280824210252</v>
      </c>
      <c r="F32" s="20">
        <f>I32/D32</f>
        <v>36.59704146264923</v>
      </c>
      <c r="G32" s="19">
        <f>F32/C32-1</f>
        <v>1.6389760869453207E-2</v>
      </c>
      <c r="H32" s="18">
        <f>SUM(H26:H31)</f>
        <v>362938.72</v>
      </c>
      <c r="I32" s="18">
        <f>SUM(I26:I31)</f>
        <v>368887.19883106538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2462.3000000000002</v>
      </c>
      <c r="E34" s="29">
        <f t="shared" ref="E34:E40" si="13">D34/$D$48</f>
        <v>0.14984147462072575</v>
      </c>
      <c r="F34" s="28">
        <f t="shared" ref="F34:F39" si="14">C34-(C34*$E$6)</f>
        <v>21.039268049997677</v>
      </c>
      <c r="G34" s="27" t="str">
        <f t="shared" ref="G34:G39" si="15">IF(C34&gt;=F34,"-","+")</f>
        <v>+</v>
      </c>
      <c r="H34" s="26">
        <f t="shared" ref="H34:H39" si="16">C34*D34</f>
        <v>50969.61</v>
      </c>
      <c r="I34" s="26">
        <f t="shared" ref="I34:I39" si="17">F34*D34</f>
        <v>51804.989719509285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135</v>
      </c>
      <c r="E35" s="29">
        <f t="shared" si="13"/>
        <v>8.2153267570149752E-3</v>
      </c>
      <c r="F35" s="28">
        <f t="shared" si="14"/>
        <v>16.160597197824302</v>
      </c>
      <c r="G35" s="27" t="str">
        <f t="shared" si="15"/>
        <v>+</v>
      </c>
      <c r="H35" s="26">
        <f t="shared" si="16"/>
        <v>2146.5</v>
      </c>
      <c r="I35" s="26">
        <f t="shared" si="17"/>
        <v>2181.6806217062808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13.009788939128999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34.353973917387506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34.353973917387506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35.573641630430856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20.450510145150734</v>
      </c>
      <c r="D40" s="22">
        <f>SUM(D34:D39)</f>
        <v>2597.3000000000002</v>
      </c>
      <c r="E40" s="113">
        <f t="shared" si="13"/>
        <v>0.15805680137774072</v>
      </c>
      <c r="F40" s="20">
        <f>I40/D40</f>
        <v>20.785689116088079</v>
      </c>
      <c r="G40" s="19">
        <f>F40/C40-1</f>
        <v>1.6389760869453207E-2</v>
      </c>
      <c r="H40" s="18">
        <f>SUM(H34:H39)</f>
        <v>53116.11</v>
      </c>
      <c r="I40" s="18">
        <f>SUM(I34:I39)</f>
        <v>53986.670341215569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2571</v>
      </c>
      <c r="E42" s="107">
        <f>D42/$D$48</f>
        <v>0.15645633401692965</v>
      </c>
      <c r="F42" s="28">
        <f>C42-(C42*$E$6)</f>
        <v>0.50819488043472649</v>
      </c>
      <c r="G42" s="27" t="str">
        <f>IF(C42&gt;=F42,"-","+")</f>
        <v>+</v>
      </c>
      <c r="H42" s="26">
        <f>C42*D42</f>
        <v>1285.5</v>
      </c>
      <c r="I42" s="26">
        <f>F42*D42</f>
        <v>1306.5690375976817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93.8</v>
      </c>
      <c r="E43" s="107">
        <f>D43/$D$48</f>
        <v>5.7081307393185531E-3</v>
      </c>
      <c r="F43" s="28">
        <f>C43-(C43*$E$6)</f>
        <v>0.50819488043472649</v>
      </c>
      <c r="G43" s="27" t="str">
        <f>IF(C43&gt;=F43,"-","+")</f>
        <v>+</v>
      </c>
      <c r="H43" s="26">
        <f>C43*D43</f>
        <v>46.9</v>
      </c>
      <c r="I43" s="26">
        <f>F43*D43</f>
        <v>47.668679784777346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9.6</v>
      </c>
      <c r="E44" s="107">
        <f>D44/$D$48</f>
        <v>5.8420101383217609E-4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6.5</v>
      </c>
      <c r="E45" s="107">
        <f>D45/$D$48</f>
        <v>3.9555276978220252E-4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0.49699727703383195</v>
      </c>
      <c r="D46" s="22">
        <f>SUM(D41:D45)</f>
        <v>2680.9</v>
      </c>
      <c r="E46" s="113">
        <f>D46/$D$48</f>
        <v>0.16314421853986258</v>
      </c>
      <c r="F46" s="20">
        <f>I46/D46</f>
        <v>0.5051429435571857</v>
      </c>
      <c r="G46" s="19">
        <f>F46/C46-1</f>
        <v>1.6389760869452985E-2</v>
      </c>
      <c r="H46" s="18">
        <f>SUM(H41:H44)</f>
        <v>1332.4</v>
      </c>
      <c r="I46" s="18">
        <f>SUM(I41:I44)</f>
        <v>1354.2377173824591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109.36119641414528</v>
      </c>
      <c r="D48" s="13">
        <f>D24+D32+D40+D46</f>
        <v>16432.7</v>
      </c>
      <c r="E48" s="12">
        <f>SUM(E20:E46)/2</f>
        <v>0.99999999999999989</v>
      </c>
      <c r="F48" s="11">
        <f>I48/D48</f>
        <v>29.300000000000004</v>
      </c>
      <c r="G48" s="10"/>
      <c r="H48" s="9">
        <f>SUM(H20:H46)/2</f>
        <v>473714.05</v>
      </c>
      <c r="I48" s="9">
        <f>SUM(I20:I46)/2</f>
        <v>481478.1100000001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16432.699999999997</v>
      </c>
      <c r="E50" s="12">
        <f>D50/G2</f>
        <v>0.99999999999999978</v>
      </c>
      <c r="F50" s="11">
        <f>I50/D50</f>
        <v>29.300000000000011</v>
      </c>
      <c r="G50" s="10"/>
      <c r="H50" s="9">
        <f>H48+H19</f>
        <v>473714.05</v>
      </c>
      <c r="I50" s="9">
        <f>I48+I19</f>
        <v>481478.1100000001</v>
      </c>
      <c r="J50" s="106">
        <f>D50-G2</f>
        <v>0</v>
      </c>
      <c r="K50" s="8"/>
    </row>
    <row r="51" spans="1:11" ht="23.25" x14ac:dyDescent="0.35">
      <c r="A51" s="174" t="s">
        <v>479</v>
      </c>
      <c r="B51" s="169"/>
      <c r="C51" s="170"/>
      <c r="G51" s="7"/>
      <c r="H51" s="6"/>
      <c r="I51" s="6">
        <f>+I50/D50</f>
        <v>29.300000000000011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470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480</v>
      </c>
      <c r="D2" s="96" t="s">
        <v>3</v>
      </c>
      <c r="E2" s="95" t="s">
        <v>71</v>
      </c>
      <c r="F2" s="94" t="s">
        <v>5</v>
      </c>
      <c r="G2" s="93">
        <v>1841.7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26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70.83461538461539</v>
      </c>
      <c r="F4" s="81" t="s">
        <v>12</v>
      </c>
      <c r="G4" s="80">
        <f>G2*G3</f>
        <v>53409.3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-1.0613377131568846E-2</v>
      </c>
      <c r="F6" s="69" t="s">
        <v>16</v>
      </c>
      <c r="G6" s="68">
        <f>(I50-I19)/(D50-(SUM(D42:D44)+D19))</f>
        <v>34.256494131229552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 t="e">
        <f t="shared" ref="E10:E19" si="1">D10/$D$19</f>
        <v>#DIV/0!</v>
      </c>
      <c r="F10" s="28">
        <f t="shared" ref="F10:F18" si="2">C10-(C10*$E$6)</f>
        <v>29.307787936815497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/>
      <c r="E11" s="29" t="e">
        <f t="shared" si="1"/>
        <v>#DIV/0!</v>
      </c>
      <c r="F11" s="28">
        <f t="shared" si="2"/>
        <v>30.520523989373377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/>
      <c r="E12" s="29" t="e">
        <f t="shared" si="1"/>
        <v>#DIV/0!</v>
      </c>
      <c r="F12" s="28">
        <f t="shared" si="2"/>
        <v>27.892929208831301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 t="e">
        <f t="shared" si="1"/>
        <v>#DIV/0!</v>
      </c>
      <c r="F13" s="28">
        <f t="shared" si="2"/>
        <v>30.520523989373377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 t="e">
        <f t="shared" si="1"/>
        <v>#DIV/0!</v>
      </c>
      <c r="F14" s="28">
        <f t="shared" si="2"/>
        <v>34.158732147047026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 t="e">
        <f t="shared" si="1"/>
        <v>#DIV/0!</v>
      </c>
      <c r="F15" s="28">
        <f t="shared" si="2"/>
        <v>28.095051884257614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 t="e">
        <f t="shared" si="1"/>
        <v>#DIV/0!</v>
      </c>
      <c r="F16" s="28">
        <f t="shared" si="2"/>
        <v>38.504369668712776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 t="e">
        <f t="shared" si="1"/>
        <v>#DIV/0!</v>
      </c>
      <c r="F17" s="28">
        <f t="shared" si="2"/>
        <v>56.69541045708101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 t="e">
        <f t="shared" si="1"/>
        <v>#DIV/0!</v>
      </c>
      <c r="F18" s="28">
        <f t="shared" si="2"/>
        <v>49.621116817160029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22.2</v>
      </c>
      <c r="E21" s="29">
        <f>D21/$D$48</f>
        <v>1.205408046913178E-2</v>
      </c>
      <c r="F21" s="28">
        <f>C21-(C21*$E$6)</f>
        <v>73.673715192891379</v>
      </c>
      <c r="G21" s="27" t="str">
        <f>IF(C21&gt;=F21,"-","+")</f>
        <v>+</v>
      </c>
      <c r="H21" s="26">
        <f>C21*D21</f>
        <v>1618.38</v>
      </c>
      <c r="I21" s="26">
        <f>F21*D21</f>
        <v>1635.5564772821886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59.5</v>
      </c>
      <c r="E22" s="29">
        <f>D22/$D$48</f>
        <v>3.2307107563664006E-2</v>
      </c>
      <c r="F22" s="28">
        <f>C22-(C22*$E$6)</f>
        <v>49.520055479446874</v>
      </c>
      <c r="G22" s="27" t="str">
        <f>IF(C22&gt;=F22,"-","+")</f>
        <v>+</v>
      </c>
      <c r="H22" s="26">
        <f>C22*D22</f>
        <v>2915.5</v>
      </c>
      <c r="I22" s="26">
        <f>F22*D22</f>
        <v>2946.4433010270891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46.1</v>
      </c>
      <c r="E23" s="29">
        <f>D23/$D$48</f>
        <v>2.5031221154368247E-2</v>
      </c>
      <c r="F23" s="28">
        <f>C23-(C23*$E$6)</f>
        <v>45.174417957781131</v>
      </c>
      <c r="G23" s="27" t="str">
        <f>IF(C23&gt;=F23,"-","+")</f>
        <v>+</v>
      </c>
      <c r="H23" s="26">
        <f>C23*D23</f>
        <v>2060.67</v>
      </c>
      <c r="I23" s="26">
        <f>F23*D23</f>
        <v>2082.5406678537101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51.600547730829419</v>
      </c>
      <c r="D24" s="22">
        <f>SUM(D21:D23)</f>
        <v>127.80000000000001</v>
      </c>
      <c r="E24" s="21">
        <f>D24/$D$48</f>
        <v>6.9392409187164036E-2</v>
      </c>
      <c r="F24" s="20">
        <f>I24/D24</f>
        <v>52.148203804092233</v>
      </c>
      <c r="G24" s="19">
        <f>F24/C24-1</f>
        <v>1.0613377131568846E-2</v>
      </c>
      <c r="H24" s="18">
        <f>SUM(H21:H23)</f>
        <v>6594.55</v>
      </c>
      <c r="I24" s="18">
        <f>SUM(I21:I23)</f>
        <v>6664.5404461629878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v>351</v>
      </c>
      <c r="E26" s="29">
        <f t="shared" ref="E26:E32" si="7">D26/$D$48</f>
        <v>0.19058478579573221</v>
      </c>
      <c r="F26" s="28">
        <f t="shared" ref="F26:F31" si="8">C26-(C26*$E$6)</f>
        <v>39.312860370418029</v>
      </c>
      <c r="G26" s="27" t="str">
        <f t="shared" ref="G26:G31" si="9">IF(C26&gt;=F26,"-","+")</f>
        <v>+</v>
      </c>
      <c r="H26" s="26">
        <f t="shared" ref="H26:H31" si="10">C26*D26</f>
        <v>13653.9</v>
      </c>
      <c r="I26" s="26">
        <f t="shared" ref="I26:I31" si="11">F26*D26</f>
        <v>13798.813990016728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273</v>
      </c>
      <c r="E27" s="29">
        <f t="shared" si="7"/>
        <v>0.14823261117445838</v>
      </c>
      <c r="F27" s="28">
        <f t="shared" si="8"/>
        <v>35.068284186465441</v>
      </c>
      <c r="G27" s="27" t="str">
        <f t="shared" si="9"/>
        <v>+</v>
      </c>
      <c r="H27" s="26">
        <f t="shared" si="10"/>
        <v>9473.1</v>
      </c>
      <c r="I27" s="26">
        <f t="shared" si="11"/>
        <v>9573.6415829050657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183</v>
      </c>
      <c r="E28" s="29">
        <f t="shared" si="7"/>
        <v>9.9364717380680895E-2</v>
      </c>
      <c r="F28" s="28">
        <f t="shared" si="8"/>
        <v>35.068284186465441</v>
      </c>
      <c r="G28" s="27" t="str">
        <f t="shared" si="9"/>
        <v>+</v>
      </c>
      <c r="H28" s="26">
        <f t="shared" si="10"/>
        <v>6350.1</v>
      </c>
      <c r="I28" s="26">
        <f t="shared" si="11"/>
        <v>6417.4960061231759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173</v>
      </c>
      <c r="E29" s="29">
        <f t="shared" si="7"/>
        <v>9.3934951403594508E-2</v>
      </c>
      <c r="F29" s="28">
        <f t="shared" si="8"/>
        <v>33.855548133907554</v>
      </c>
      <c r="G29" s="27" t="str">
        <f t="shared" si="9"/>
        <v>+</v>
      </c>
      <c r="H29" s="26">
        <f t="shared" si="10"/>
        <v>5795.5</v>
      </c>
      <c r="I29" s="26">
        <f t="shared" si="11"/>
        <v>5857.0098271660072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105</v>
      </c>
      <c r="E30" s="29">
        <f t="shared" si="7"/>
        <v>5.7012542759407071E-2</v>
      </c>
      <c r="F30" s="28">
        <f t="shared" si="8"/>
        <v>33.855548133907554</v>
      </c>
      <c r="G30" s="27" t="str">
        <f t="shared" si="9"/>
        <v>+</v>
      </c>
      <c r="H30" s="26">
        <f t="shared" si="10"/>
        <v>3517.5</v>
      </c>
      <c r="I30" s="26">
        <f t="shared" si="11"/>
        <v>3554.8325540602932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26</v>
      </c>
      <c r="E31" s="29">
        <f t="shared" si="7"/>
        <v>1.4117391540424608E-2</v>
      </c>
      <c r="F31" s="28">
        <f t="shared" si="8"/>
        <v>34.461916160186497</v>
      </c>
      <c r="G31" s="27" t="str">
        <f t="shared" si="9"/>
        <v>+</v>
      </c>
      <c r="H31" s="26">
        <f t="shared" si="10"/>
        <v>886.6</v>
      </c>
      <c r="I31" s="26">
        <f t="shared" si="11"/>
        <v>896.00982016484897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35.712601260126007</v>
      </c>
      <c r="D32" s="22">
        <f>SUM(D26:D31)</f>
        <v>1111</v>
      </c>
      <c r="E32" s="21">
        <f t="shared" si="7"/>
        <v>0.60324700005429766</v>
      </c>
      <c r="F32" s="20">
        <f>I32/D32</f>
        <v>36.091632565649078</v>
      </c>
      <c r="G32" s="19">
        <f>F32/C32-1</f>
        <v>1.061337713156929E-2</v>
      </c>
      <c r="H32" s="18">
        <f>SUM(H26:H31)</f>
        <v>39676.699999999997</v>
      </c>
      <c r="I32" s="18">
        <f>SUM(I26:I31)</f>
        <v>40097.803780436123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314</v>
      </c>
      <c r="E34" s="29">
        <f t="shared" ref="E34:E40" si="13">D34/$D$48</f>
        <v>0.17049465168051256</v>
      </c>
      <c r="F34" s="28">
        <f t="shared" ref="F34:F39" si="14">C34-(C34*$E$6)</f>
        <v>20.717574231197162</v>
      </c>
      <c r="G34" s="27" t="str">
        <f t="shared" ref="G34:G39" si="15">IF(C34&gt;=F34,"-","+")</f>
        <v>+</v>
      </c>
      <c r="H34" s="26">
        <f t="shared" ref="H34:H39" si="16">C34*D34</f>
        <v>6437</v>
      </c>
      <c r="I34" s="26">
        <f t="shared" ref="I34:I39" si="17">F34*D34</f>
        <v>6505.318308595909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/>
      <c r="E35" s="29">
        <f t="shared" si="13"/>
        <v>0</v>
      </c>
      <c r="F35" s="28">
        <f t="shared" si="14"/>
        <v>15.967691358678788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12.834789889570924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33.855548133907554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33.855548133907554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35.068284186465441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</v>
      </c>
      <c r="D40" s="22">
        <f>SUM(D34:D39)</f>
        <v>314</v>
      </c>
      <c r="E40" s="113">
        <f t="shared" si="13"/>
        <v>0.17049465168051256</v>
      </c>
      <c r="F40" s="20">
        <f>I40/D40</f>
        <v>20.717574231197162</v>
      </c>
      <c r="G40" s="19">
        <f>F40/C40-1</f>
        <v>1.0613377131568846E-2</v>
      </c>
      <c r="H40" s="18">
        <f>SUM(H34:H39)</f>
        <v>6437</v>
      </c>
      <c r="I40" s="18">
        <f>SUM(I34:I39)</f>
        <v>6505.318308595909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271</v>
      </c>
      <c r="E42" s="107">
        <f>D42/$D$48</f>
        <v>0.14714665797904111</v>
      </c>
      <c r="F42" s="28">
        <f>C42-(C42*$E$6)</f>
        <v>0.50530668856578442</v>
      </c>
      <c r="G42" s="27" t="str">
        <f>IF(C42&gt;=F42,"-","+")</f>
        <v>+</v>
      </c>
      <c r="H42" s="26">
        <f>C42*D42</f>
        <v>135.5</v>
      </c>
      <c r="I42" s="26">
        <f>F42*D42</f>
        <v>136.93811260132759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9.3000000000000007</v>
      </c>
      <c r="E43" s="107">
        <f>D43/$D$48</f>
        <v>5.0496823586903411E-3</v>
      </c>
      <c r="F43" s="28">
        <f>C43-(C43*$E$6)</f>
        <v>0.50530668856578442</v>
      </c>
      <c r="G43" s="27" t="str">
        <f>IF(C43&gt;=F43,"-","+")</f>
        <v>+</v>
      </c>
      <c r="H43" s="26">
        <f>C43*D43</f>
        <v>4.6500000000000004</v>
      </c>
      <c r="I43" s="26">
        <f>F43*D43</f>
        <v>4.6993522036617952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2.2999999999999998</v>
      </c>
      <c r="E44" s="107">
        <f>D44/$D$48</f>
        <v>1.2488461747298691E-3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6.3</v>
      </c>
      <c r="E45" s="107">
        <f>D45/$D$48</f>
        <v>3.4207525655644238E-3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0.48511595707857386</v>
      </c>
      <c r="D46" s="22">
        <f>SUM(D41:D45)</f>
        <v>288.90000000000003</v>
      </c>
      <c r="E46" s="113">
        <f>D46/$D$48</f>
        <v>0.15686593907802576</v>
      </c>
      <c r="F46" s="20">
        <f>I46/D46</f>
        <v>0.49026467568359072</v>
      </c>
      <c r="G46" s="19">
        <f>F46/C46-1</f>
        <v>1.0613377131568846E-2</v>
      </c>
      <c r="H46" s="18">
        <f>SUM(H41:H44)</f>
        <v>140.15</v>
      </c>
      <c r="I46" s="18">
        <f>SUM(I41:I44)</f>
        <v>141.63746480498938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108.298264948034</v>
      </c>
      <c r="D48" s="13">
        <f>D24+D32+D40+D46</f>
        <v>1841.7</v>
      </c>
      <c r="E48" s="12">
        <f>SUM(E20:E46)/2</f>
        <v>1</v>
      </c>
      <c r="F48" s="11">
        <f>I48/D48</f>
        <v>29.000000000000004</v>
      </c>
      <c r="G48" s="10"/>
      <c r="H48" s="9">
        <f>SUM(H20:H46)/2</f>
        <v>52848.399999999994</v>
      </c>
      <c r="I48" s="9">
        <f>SUM(I20:I46)/2</f>
        <v>53409.30000000001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1841.7000000000003</v>
      </c>
      <c r="E50" s="12">
        <f>D50/G2</f>
        <v>1.0000000000000002</v>
      </c>
      <c r="F50" s="11">
        <f>I50/D50</f>
        <v>29</v>
      </c>
      <c r="G50" s="10"/>
      <c r="H50" s="9">
        <f>H48+H19</f>
        <v>52848.399999999994</v>
      </c>
      <c r="I50" s="9">
        <f>I48+I19</f>
        <v>53409.30000000001</v>
      </c>
      <c r="J50" s="106">
        <f>D50-G2</f>
        <v>0</v>
      </c>
      <c r="K50" s="8"/>
    </row>
    <row r="51" spans="1:11" ht="23.25" x14ac:dyDescent="0.35">
      <c r="A51" s="174" t="s">
        <v>481</v>
      </c>
      <c r="B51" s="169"/>
      <c r="C51" s="170"/>
      <c r="G51" s="7"/>
      <c r="H51" s="6"/>
      <c r="I51" s="6">
        <f>+I50/D50</f>
        <v>29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476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480</v>
      </c>
      <c r="D2" s="96" t="s">
        <v>3</v>
      </c>
      <c r="E2" s="95" t="s">
        <v>112</v>
      </c>
      <c r="F2" s="94" t="s">
        <v>5</v>
      </c>
      <c r="G2" s="93">
        <v>3075.4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44</v>
      </c>
      <c r="F3" s="88" t="s">
        <v>8</v>
      </c>
      <c r="G3" s="87">
        <v>25.75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69.895454545454541</v>
      </c>
      <c r="F4" s="81" t="s">
        <v>12</v>
      </c>
      <c r="G4" s="80">
        <f>G2*G3</f>
        <v>79191.55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-7.6900680940386712E-2</v>
      </c>
      <c r="F6" s="69" t="s">
        <v>16</v>
      </c>
      <c r="G6" s="68">
        <f>(I50-I19)/(D50-(SUM(D42:D44)+D19))</f>
        <v>32.543580997780872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25.8</v>
      </c>
      <c r="D10" s="30"/>
      <c r="E10" s="29" t="e">
        <f t="shared" ref="E10:E19" si="1">D10/$D$19</f>
        <v>#DIV/0!</v>
      </c>
      <c r="F10" s="28">
        <f t="shared" ref="F10:F18" si="2">C10-(C10*$E$6)</f>
        <v>27.784037568261979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26.8</v>
      </c>
      <c r="D11" s="30"/>
      <c r="E11" s="29" t="e">
        <f t="shared" si="1"/>
        <v>#DIV/0!</v>
      </c>
      <c r="F11" s="28">
        <f t="shared" si="2"/>
        <v>28.860938249202363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/>
      <c r="E12" s="29" t="e">
        <f t="shared" si="1"/>
        <v>#DIV/0!</v>
      </c>
      <c r="F12" s="28">
        <f t="shared" si="2"/>
        <v>26.384066683039475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26.8</v>
      </c>
      <c r="D13" s="30"/>
      <c r="E13" s="29" t="e">
        <f t="shared" si="1"/>
        <v>#DIV/0!</v>
      </c>
      <c r="F13" s="28">
        <f t="shared" si="2"/>
        <v>28.860938249202363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</v>
      </c>
      <c r="D14" s="30"/>
      <c r="E14" s="29" t="e">
        <f t="shared" si="1"/>
        <v>#DIV/0!</v>
      </c>
      <c r="F14" s="28">
        <f t="shared" si="2"/>
        <v>32.307020428211601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24.7</v>
      </c>
      <c r="D15" s="30"/>
      <c r="E15" s="29" t="e">
        <f t="shared" si="1"/>
        <v>#DIV/0!</v>
      </c>
      <c r="F15" s="28">
        <f t="shared" si="2"/>
        <v>26.599446819227552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33.799999999999997</v>
      </c>
      <c r="D16" s="30"/>
      <c r="E16" s="29" t="e">
        <f t="shared" si="1"/>
        <v>#DIV/0!</v>
      </c>
      <c r="F16" s="28">
        <f t="shared" si="2"/>
        <v>36.399243015785068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49.8</v>
      </c>
      <c r="D17" s="30"/>
      <c r="E17" s="29" t="e">
        <f t="shared" si="1"/>
        <v>#DIV/0!</v>
      </c>
      <c r="F17" s="28">
        <f t="shared" si="2"/>
        <v>53.629653910831252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43.6</v>
      </c>
      <c r="D18" s="30"/>
      <c r="E18" s="29" t="e">
        <f t="shared" si="1"/>
        <v>#DIV/0!</v>
      </c>
      <c r="F18" s="28">
        <f t="shared" si="2"/>
        <v>46.952869689000863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64.8</v>
      </c>
      <c r="D21" s="30">
        <v>39.700000000000003</v>
      </c>
      <c r="E21" s="29">
        <f>D21/$D$48</f>
        <v>1.2908889900500748E-2</v>
      </c>
      <c r="F21" s="28">
        <f>C21-(C21*$E$6)</f>
        <v>69.783164124937059</v>
      </c>
      <c r="G21" s="27" t="str">
        <f>IF(C21&gt;=F21,"-","+")</f>
        <v>+</v>
      </c>
      <c r="H21" s="26">
        <f>C21*D21</f>
        <v>2572.56</v>
      </c>
      <c r="I21" s="26">
        <f>F21*D21</f>
        <v>2770.3916157600015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43.5</v>
      </c>
      <c r="D22" s="30">
        <v>81.5</v>
      </c>
      <c r="E22" s="29">
        <f>D22/$D$48</f>
        <v>2.6500617805813878E-2</v>
      </c>
      <c r="F22" s="28">
        <f>C22-(C22*$E$6)</f>
        <v>46.845179620906819</v>
      </c>
      <c r="G22" s="27" t="str">
        <f>IF(C22&gt;=F22,"-","+")</f>
        <v>+</v>
      </c>
      <c r="H22" s="26">
        <f>C22*D22</f>
        <v>3545.25</v>
      </c>
      <c r="I22" s="26">
        <f>F22*D22</f>
        <v>3817.882139103906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39.700000000000003</v>
      </c>
      <c r="D23" s="30">
        <v>69</v>
      </c>
      <c r="E23" s="29">
        <f>D23/$D$48</f>
        <v>2.2436105872406839E-2</v>
      </c>
      <c r="F23" s="28">
        <f>C23-(C23*$E$6)</f>
        <v>42.752957033333352</v>
      </c>
      <c r="G23" s="27" t="str">
        <f>IF(C23&gt;=F23,"-","+")</f>
        <v>+</v>
      </c>
      <c r="H23" s="26">
        <f>C23*D23</f>
        <v>2739.3</v>
      </c>
      <c r="I23" s="26">
        <f>F23*D23</f>
        <v>2949.9540353000011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46.567350157728711</v>
      </c>
      <c r="D24" s="22">
        <f>SUM(D21:D23)</f>
        <v>190.2</v>
      </c>
      <c r="E24" s="21">
        <f>D24/$D$48</f>
        <v>6.184561357872146E-2</v>
      </c>
      <c r="F24" s="20">
        <f>I24/D24</f>
        <v>50.148411094447468</v>
      </c>
      <c r="G24" s="19">
        <f>F24/C24-1</f>
        <v>7.690068094038649E-2</v>
      </c>
      <c r="H24" s="18">
        <f>SUM(H21:H23)</f>
        <v>8857.11</v>
      </c>
      <c r="I24" s="18">
        <f>SUM(I21:I23)</f>
        <v>9538.2277901639081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34.6</v>
      </c>
      <c r="D26" s="30">
        <v>597.6</v>
      </c>
      <c r="E26" s="29">
        <f t="shared" ref="E26:E32" si="7">D26/$D$48</f>
        <v>0.1943161865123236</v>
      </c>
      <c r="F26" s="28">
        <f t="shared" ref="F26:F31" si="8">C26-(C26*$E$6)</f>
        <v>37.260763560537384</v>
      </c>
      <c r="G26" s="27" t="str">
        <f t="shared" ref="G26:G31" si="9">IF(C26&gt;=F26,"-","+")</f>
        <v>+</v>
      </c>
      <c r="H26" s="26">
        <f t="shared" ref="H26:H31" si="10">C26*D26</f>
        <v>20676.960000000003</v>
      </c>
      <c r="I26" s="26">
        <f t="shared" ref="I26:I31" si="11">F26*D26</f>
        <v>22267.032303777141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30.8</v>
      </c>
      <c r="D27" s="30">
        <v>431</v>
      </c>
      <c r="E27" s="29">
        <f t="shared" si="7"/>
        <v>0.14014437146387462</v>
      </c>
      <c r="F27" s="28">
        <f t="shared" si="8"/>
        <v>33.16854097296391</v>
      </c>
      <c r="G27" s="27" t="str">
        <f t="shared" si="9"/>
        <v>+</v>
      </c>
      <c r="H27" s="26">
        <f t="shared" si="10"/>
        <v>13274.800000000001</v>
      </c>
      <c r="I27" s="26">
        <f t="shared" si="11"/>
        <v>14295.641159347446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30.8</v>
      </c>
      <c r="D28" s="30">
        <v>262.89999999999998</v>
      </c>
      <c r="E28" s="29">
        <f t="shared" si="7"/>
        <v>8.5484814983416785E-2</v>
      </c>
      <c r="F28" s="28">
        <f t="shared" si="8"/>
        <v>33.16854097296391</v>
      </c>
      <c r="G28" s="27" t="str">
        <f t="shared" si="9"/>
        <v>+</v>
      </c>
      <c r="H28" s="26">
        <f t="shared" si="10"/>
        <v>8097.32</v>
      </c>
      <c r="I28" s="26">
        <f t="shared" si="11"/>
        <v>8720.0094217922106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29.7</v>
      </c>
      <c r="D29" s="30">
        <v>256</v>
      </c>
      <c r="E29" s="29">
        <f t="shared" si="7"/>
        <v>8.3241204396176105E-2</v>
      </c>
      <c r="F29" s="28">
        <f t="shared" si="8"/>
        <v>31.983950223929483</v>
      </c>
      <c r="G29" s="27" t="str">
        <f t="shared" si="9"/>
        <v>+</v>
      </c>
      <c r="H29" s="26">
        <f t="shared" si="10"/>
        <v>7603.2</v>
      </c>
      <c r="I29" s="26">
        <f t="shared" si="11"/>
        <v>8187.8912573259477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29.7</v>
      </c>
      <c r="D30" s="30">
        <v>145.9</v>
      </c>
      <c r="E30" s="29">
        <f t="shared" si="7"/>
        <v>4.7440983286726933E-2</v>
      </c>
      <c r="F30" s="28">
        <f t="shared" si="8"/>
        <v>31.983950223929483</v>
      </c>
      <c r="G30" s="27" t="str">
        <f t="shared" si="9"/>
        <v>+</v>
      </c>
      <c r="H30" s="26">
        <f t="shared" si="10"/>
        <v>4333.2300000000005</v>
      </c>
      <c r="I30" s="26">
        <f t="shared" si="11"/>
        <v>4666.4583376713117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30.3</v>
      </c>
      <c r="D31" s="30">
        <v>59</v>
      </c>
      <c r="E31" s="29">
        <f t="shared" si="7"/>
        <v>1.918449632568121E-2</v>
      </c>
      <c r="F31" s="28">
        <f t="shared" si="8"/>
        <v>32.630090632493719</v>
      </c>
      <c r="G31" s="27" t="str">
        <f t="shared" si="9"/>
        <v>+</v>
      </c>
      <c r="H31" s="26">
        <f t="shared" si="10"/>
        <v>1787.7</v>
      </c>
      <c r="I31" s="26">
        <f t="shared" si="11"/>
        <v>1925.1753473171293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31.826757589591416</v>
      </c>
      <c r="D32" s="22">
        <f>SUM(D26:D31)</f>
        <v>1752.4</v>
      </c>
      <c r="E32" s="21">
        <f t="shared" si="7"/>
        <v>0.56981205696819925</v>
      </c>
      <c r="F32" s="20">
        <f>I32/D32</f>
        <v>34.274256920355612</v>
      </c>
      <c r="G32" s="19">
        <f>F32/C32-1</f>
        <v>7.690068094038649E-2</v>
      </c>
      <c r="H32" s="18">
        <f>SUM(H26:H31)</f>
        <v>55773.21</v>
      </c>
      <c r="I32" s="18">
        <f>SUM(I26:I31)</f>
        <v>60062.207827231177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f>221+224.1</f>
        <v>445.1</v>
      </c>
      <c r="E34" s="29">
        <f t="shared" ref="E34:E40" si="13">D34/$D$48</f>
        <v>0.14472914092475775</v>
      </c>
      <c r="F34" s="28">
        <f t="shared" ref="F34:F39" si="14">C34-(C34*$E$6)</f>
        <v>19.599592393115039</v>
      </c>
      <c r="G34" s="27" t="str">
        <f t="shared" ref="G34:G39" si="15">IF(C34&gt;=F34,"-","+")</f>
        <v>+</v>
      </c>
      <c r="H34" s="26">
        <f t="shared" ref="H34:H39" si="16">C34*D34</f>
        <v>8100.82</v>
      </c>
      <c r="I34" s="26">
        <f t="shared" ref="I34:I39" si="17">F34*D34</f>
        <v>8723.7785741755033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>
        <v>39.299999999999997</v>
      </c>
      <c r="E35" s="29">
        <f t="shared" si="13"/>
        <v>1.2778825518631722E-2</v>
      </c>
      <c r="F35" s="28">
        <f t="shared" si="14"/>
        <v>15.076609533165414</v>
      </c>
      <c r="G35" s="27" t="str">
        <f t="shared" si="15"/>
        <v>+</v>
      </c>
      <c r="H35" s="26">
        <f t="shared" si="16"/>
        <v>550.19999999999993</v>
      </c>
      <c r="I35" s="26">
        <f t="shared" si="17"/>
        <v>592.51075465340068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12.06128762653233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29.7</v>
      </c>
      <c r="D37" s="30"/>
      <c r="E37" s="29">
        <f t="shared" si="13"/>
        <v>0</v>
      </c>
      <c r="F37" s="28">
        <f t="shared" si="14"/>
        <v>31.983950223929483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29.7</v>
      </c>
      <c r="D38" s="30"/>
      <c r="E38" s="29">
        <f t="shared" si="13"/>
        <v>0</v>
      </c>
      <c r="F38" s="28">
        <f t="shared" si="14"/>
        <v>31.983950223929483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30.8</v>
      </c>
      <c r="D39" s="30"/>
      <c r="E39" s="29">
        <f t="shared" si="13"/>
        <v>0</v>
      </c>
      <c r="F39" s="28">
        <f t="shared" si="14"/>
        <v>33.16854097296391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17.859248554913293</v>
      </c>
      <c r="D40" s="22">
        <f>SUM(D34:D39)</f>
        <v>484.40000000000003</v>
      </c>
      <c r="E40" s="113">
        <f t="shared" si="13"/>
        <v>0.15750796644338949</v>
      </c>
      <c r="F40" s="20">
        <f>I40/D40</f>
        <v>19.232636929869741</v>
      </c>
      <c r="G40" s="19">
        <f>F40/C40-1</f>
        <v>7.6900680940386712E-2</v>
      </c>
      <c r="H40" s="18">
        <f>SUM(H34:H39)</f>
        <v>8651.02</v>
      </c>
      <c r="I40" s="18">
        <f>SUM(I34:I39)</f>
        <v>9316.2893288289033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288+40.7+298.6</f>
        <v>627.29999999999995</v>
      </c>
      <c r="E42" s="107">
        <f>D42/$D$48</f>
        <v>0.20397346686609868</v>
      </c>
      <c r="F42" s="28">
        <f>C42-(C42*$E$6)</f>
        <v>0.43076027237615472</v>
      </c>
      <c r="G42" s="27" t="str">
        <f>IF(C42&gt;=F42,"-","+")</f>
        <v>+</v>
      </c>
      <c r="H42" s="26">
        <f>C42*D42</f>
        <v>250.92</v>
      </c>
      <c r="I42" s="26">
        <f>F42*D42</f>
        <v>270.21591886156182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10.7</v>
      </c>
      <c r="E43" s="107">
        <f>D43/$D$48</f>
        <v>3.4792222149964227E-3</v>
      </c>
      <c r="F43" s="28">
        <f>C43-(C43*$E$6)</f>
        <v>0.43076027237615472</v>
      </c>
      <c r="G43" s="27" t="str">
        <f>IF(C43&gt;=F43,"-","+")</f>
        <v>+</v>
      </c>
      <c r="H43" s="26">
        <f>C43*D43</f>
        <v>4.28</v>
      </c>
      <c r="I43" s="26">
        <f>F43*D43</f>
        <v>4.609134914424855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</v>
      </c>
      <c r="E44" s="107">
        <f>D44/$D$48</f>
        <v>1.3006438186902516E-3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6.4</v>
      </c>
      <c r="E45" s="107">
        <f>D45/$D$48</f>
        <v>2.0810301099044026E-3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0.39358420727945714</v>
      </c>
      <c r="D46" s="22">
        <f>SUM(D41:D45)</f>
        <v>648.4</v>
      </c>
      <c r="E46" s="113">
        <f>D46/$D$48</f>
        <v>0.21083436300968977</v>
      </c>
      <c r="F46" s="20">
        <f>I46/D46</f>
        <v>0.42385110082662963</v>
      </c>
      <c r="G46" s="19">
        <f>F46/C46-1</f>
        <v>7.690068094038649E-2</v>
      </c>
      <c r="H46" s="18">
        <f>SUM(H41:H44)</f>
        <v>255.2</v>
      </c>
      <c r="I46" s="18">
        <f>SUM(I41:I44)</f>
        <v>274.82505377598665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96.646940509512888</v>
      </c>
      <c r="D48" s="13">
        <f>D24+D32+D40+D46</f>
        <v>3075.4</v>
      </c>
      <c r="E48" s="12">
        <f>SUM(E20:E46)/2</f>
        <v>0.99999999999999989</v>
      </c>
      <c r="F48" s="11">
        <f>I48/D48</f>
        <v>25.749999999999986</v>
      </c>
      <c r="G48" s="10"/>
      <c r="H48" s="9">
        <f>SUM(H20:H46)/2</f>
        <v>73536.540000000023</v>
      </c>
      <c r="I48" s="9">
        <f>SUM(I20:I46)/2</f>
        <v>79191.549999999959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3075.3999999999996</v>
      </c>
      <c r="E50" s="12">
        <f>D50/G2</f>
        <v>0.99999999999999989</v>
      </c>
      <c r="F50" s="11">
        <f>I50/D50</f>
        <v>25.749999999999989</v>
      </c>
      <c r="G50" s="10"/>
      <c r="H50" s="9">
        <f>H48+H19</f>
        <v>73536.540000000023</v>
      </c>
      <c r="I50" s="9">
        <f>I48+I19</f>
        <v>79191.549999999959</v>
      </c>
      <c r="J50" s="106">
        <f>D50-G2</f>
        <v>0</v>
      </c>
      <c r="K50" s="8"/>
    </row>
    <row r="51" spans="1:11" ht="23.25" x14ac:dyDescent="0.35">
      <c r="A51" s="174" t="s">
        <v>482</v>
      </c>
      <c r="B51" s="169"/>
      <c r="C51" s="170"/>
      <c r="G51" s="7"/>
      <c r="H51" s="6"/>
      <c r="I51" s="6">
        <f>+I50/D50</f>
        <v>25.749999999999989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476</v>
      </c>
      <c r="D1" s="100" t="s">
        <v>1</v>
      </c>
      <c r="E1" s="168" t="s">
        <v>421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480</v>
      </c>
      <c r="D2" s="96" t="s">
        <v>3</v>
      </c>
      <c r="E2" s="95" t="s">
        <v>362</v>
      </c>
      <c r="F2" s="94" t="s">
        <v>5</v>
      </c>
      <c r="G2" s="93">
        <v>22593.4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423</v>
      </c>
      <c r="D3" s="90" t="s">
        <v>7</v>
      </c>
      <c r="E3" s="89">
        <v>276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81.86014492753624</v>
      </c>
      <c r="F4" s="81" t="s">
        <v>12</v>
      </c>
      <c r="G4" s="80">
        <f>G2*G3</f>
        <v>655208.60000000009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3.0907432956449599E-3</v>
      </c>
      <c r="F6" s="69" t="s">
        <v>16</v>
      </c>
      <c r="G6" s="68">
        <f>(I50-I19)/(D50-(SUM(D42:D44)+D19))</f>
        <v>33.463356693587613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28.910368444426297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>
        <v>384.1</v>
      </c>
      <c r="E11" s="29">
        <f t="shared" si="1"/>
        <v>0.261061646163257</v>
      </c>
      <c r="F11" s="28">
        <f t="shared" si="2"/>
        <v>30.106659552471523</v>
      </c>
      <c r="G11" s="27" t="str">
        <f t="shared" si="3"/>
        <v>-</v>
      </c>
      <c r="H11" s="34">
        <f t="shared" si="4"/>
        <v>11599.82</v>
      </c>
      <c r="I11" s="34">
        <f t="shared" si="5"/>
        <v>11563.967934104312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/>
      <c r="E12" s="29">
        <f t="shared" si="1"/>
        <v>0</v>
      </c>
      <c r="F12" s="28">
        <f t="shared" si="2"/>
        <v>27.5146954850402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>
        <f t="shared" si="1"/>
        <v>0</v>
      </c>
      <c r="F13" s="28">
        <f t="shared" si="2"/>
        <v>30.106659552471523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>
        <v>158.5</v>
      </c>
      <c r="E14" s="29">
        <f t="shared" si="1"/>
        <v>0.1077278597158975</v>
      </c>
      <c r="F14" s="28">
        <f t="shared" si="2"/>
        <v>33.695532876607196</v>
      </c>
      <c r="G14" s="27" t="str">
        <f t="shared" si="3"/>
        <v>-</v>
      </c>
      <c r="H14" s="34">
        <f t="shared" si="4"/>
        <v>5357.2999999999993</v>
      </c>
      <c r="I14" s="34">
        <f t="shared" si="5"/>
        <v>5340.7419609422404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>
        <v>150</v>
      </c>
      <c r="E15" s="29">
        <f t="shared" si="1"/>
        <v>0.10195065588255285</v>
      </c>
      <c r="F15" s="28">
        <f t="shared" si="2"/>
        <v>27.71407733638107</v>
      </c>
      <c r="G15" s="27" t="str">
        <f t="shared" si="3"/>
        <v>-</v>
      </c>
      <c r="H15" s="34">
        <f t="shared" si="4"/>
        <v>4170</v>
      </c>
      <c r="I15" s="34">
        <f t="shared" si="5"/>
        <v>4157.1116004571604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>
        <v>760</v>
      </c>
      <c r="E16" s="29">
        <f t="shared" si="1"/>
        <v>0.51654998980493438</v>
      </c>
      <c r="F16" s="28">
        <f t="shared" si="2"/>
        <v>37.982242680435931</v>
      </c>
      <c r="G16" s="27" t="str">
        <f t="shared" si="3"/>
        <v>-</v>
      </c>
      <c r="H16" s="34">
        <f t="shared" si="4"/>
        <v>28956</v>
      </c>
      <c r="I16" s="34">
        <f t="shared" si="5"/>
        <v>28866.504437131309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>
        <v>18.7</v>
      </c>
      <c r="E17" s="29">
        <f t="shared" si="1"/>
        <v>1.2709848433358255E-2</v>
      </c>
      <c r="F17" s="28">
        <f t="shared" si="2"/>
        <v>55.926609301114318</v>
      </c>
      <c r="G17" s="27" t="str">
        <f t="shared" si="3"/>
        <v>-</v>
      </c>
      <c r="H17" s="34">
        <f t="shared" si="4"/>
        <v>1049.07</v>
      </c>
      <c r="I17" s="34">
        <f t="shared" si="5"/>
        <v>1045.8275939308378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48.948244504183833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34.753068714742064</v>
      </c>
      <c r="D19" s="49">
        <f>SUM(D10:D18)</f>
        <v>1471.3</v>
      </c>
      <c r="E19" s="48">
        <f t="shared" si="1"/>
        <v>1</v>
      </c>
      <c r="F19" s="47">
        <f>I19/D19</f>
        <v>34.645655900608894</v>
      </c>
      <c r="G19" s="46">
        <f>F19/C19-1</f>
        <v>-3.0907432956447378E-3</v>
      </c>
      <c r="H19" s="9">
        <f>SUM(H10:H18)</f>
        <v>51132.189999999995</v>
      </c>
      <c r="I19" s="9">
        <f>SUM(I10:I18)</f>
        <v>50974.15352656586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119.9</v>
      </c>
      <c r="E21" s="29">
        <f>D21/$D$48</f>
        <v>5.6765189067374934E-3</v>
      </c>
      <c r="F21" s="28">
        <f>C21-(C21*$E$6)</f>
        <v>72.67468481374749</v>
      </c>
      <c r="G21" s="27" t="str">
        <f>IF(C21&gt;=F21,"-","+")</f>
        <v>-</v>
      </c>
      <c r="H21" s="26">
        <f>C21*D21</f>
        <v>8740.7100000000009</v>
      </c>
      <c r="I21" s="26">
        <f>F21*D21</f>
        <v>8713.6947091683251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692.4</v>
      </c>
      <c r="E22" s="29">
        <f>D22/$D$48</f>
        <v>3.2780831451418184E-2</v>
      </c>
      <c r="F22" s="28">
        <f>C22-(C22*$E$6)</f>
        <v>48.848553578513396</v>
      </c>
      <c r="G22" s="27" t="str">
        <f>IF(C22&gt;=F22,"-","+")</f>
        <v>-</v>
      </c>
      <c r="H22" s="26">
        <f>C22*D22</f>
        <v>33927.599999999999</v>
      </c>
      <c r="I22" s="26">
        <f>F22*D22</f>
        <v>33822.738497762672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243.5</v>
      </c>
      <c r="E23" s="29">
        <f>D23/$D$48</f>
        <v>1.1528209789746285E-2</v>
      </c>
      <c r="F23" s="28">
        <f>C23-(C23*$E$6)</f>
        <v>44.561843774684675</v>
      </c>
      <c r="G23" s="27" t="str">
        <f>IF(C23&gt;=F23,"-","+")</f>
        <v>-</v>
      </c>
      <c r="H23" s="26">
        <f>C23*D23</f>
        <v>10884.45</v>
      </c>
      <c r="I23" s="26">
        <f>F23*D23</f>
        <v>10850.808959135718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50.722447433225987</v>
      </c>
      <c r="D24" s="22">
        <f>SUM(D21:D23)</f>
        <v>1055.8</v>
      </c>
      <c r="E24" s="21">
        <f>D24/$D$48</f>
        <v>4.998556014790196E-2</v>
      </c>
      <c r="F24" s="20">
        <f>I24/D24</f>
        <v>50.565677368883044</v>
      </c>
      <c r="G24" s="19">
        <f>F24/C24-1</f>
        <v>-3.0907432956448488E-3</v>
      </c>
      <c r="H24" s="18">
        <f>SUM(H21:H23)</f>
        <v>53552.759999999995</v>
      </c>
      <c r="I24" s="18">
        <f>SUM(I21:I23)</f>
        <v>53387.242166066717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f>2848.7+160+1062</f>
        <v>4070.7</v>
      </c>
      <c r="E26" s="29">
        <f t="shared" ref="E26:E32" si="7">D26/$D$48</f>
        <v>0.19272231454258809</v>
      </c>
      <c r="F26" s="28">
        <f t="shared" ref="F26:F31" si="8">C26-(C26*$E$6)</f>
        <v>38.779770085799413</v>
      </c>
      <c r="G26" s="27" t="str">
        <f t="shared" ref="G26:G31" si="9">IF(C26&gt;=F26,"-","+")</f>
        <v>-</v>
      </c>
      <c r="H26" s="26">
        <f t="shared" ref="H26:H31" si="10">C26*D26</f>
        <v>158350.22999999998</v>
      </c>
      <c r="I26" s="26">
        <f t="shared" ref="I26:I31" si="11">F26*D26</f>
        <v>157860.81008826365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3287.4</v>
      </c>
      <c r="E27" s="29">
        <f t="shared" si="7"/>
        <v>0.15563793372818044</v>
      </c>
      <c r="F27" s="28">
        <f t="shared" si="8"/>
        <v>34.592751207641122</v>
      </c>
      <c r="G27" s="27" t="str">
        <f t="shared" si="9"/>
        <v>-</v>
      </c>
      <c r="H27" s="26">
        <f t="shared" si="10"/>
        <v>114072.78000000001</v>
      </c>
      <c r="I27" s="26">
        <f t="shared" si="11"/>
        <v>113720.21031999943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2127.5</v>
      </c>
      <c r="E28" s="29">
        <f t="shared" si="7"/>
        <v>0.1007238863559968</v>
      </c>
      <c r="F28" s="28">
        <f t="shared" si="8"/>
        <v>34.592751207641122</v>
      </c>
      <c r="G28" s="27" t="str">
        <f t="shared" si="9"/>
        <v>-</v>
      </c>
      <c r="H28" s="26">
        <f t="shared" si="10"/>
        <v>73824.25</v>
      </c>
      <c r="I28" s="26">
        <f t="shared" si="11"/>
        <v>73596.078194256494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2055.6999999999998</v>
      </c>
      <c r="E29" s="29">
        <f t="shared" si="7"/>
        <v>9.7324603140786184E-2</v>
      </c>
      <c r="F29" s="28">
        <f t="shared" si="8"/>
        <v>33.396460099595892</v>
      </c>
      <c r="G29" s="27" t="str">
        <f t="shared" si="9"/>
        <v>-</v>
      </c>
      <c r="H29" s="26">
        <f t="shared" si="10"/>
        <v>68865.95</v>
      </c>
      <c r="I29" s="26">
        <f t="shared" si="11"/>
        <v>68653.103026739263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1591.7</v>
      </c>
      <c r="E30" s="29">
        <f t="shared" si="7"/>
        <v>7.5357090440817912E-2</v>
      </c>
      <c r="F30" s="28">
        <f t="shared" si="8"/>
        <v>33.396460099595892</v>
      </c>
      <c r="G30" s="27" t="str">
        <f t="shared" si="9"/>
        <v>-</v>
      </c>
      <c r="H30" s="26">
        <f t="shared" si="10"/>
        <v>53321.950000000004</v>
      </c>
      <c r="I30" s="26">
        <f t="shared" si="11"/>
        <v>53157.145540526784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305.5</v>
      </c>
      <c r="E31" s="29">
        <f t="shared" si="7"/>
        <v>1.4463523986724805E-2</v>
      </c>
      <c r="F31" s="28">
        <f t="shared" si="8"/>
        <v>33.994605653618507</v>
      </c>
      <c r="G31" s="27" t="str">
        <f t="shared" si="9"/>
        <v>-</v>
      </c>
      <c r="H31" s="26">
        <f t="shared" si="10"/>
        <v>10417.550000000001</v>
      </c>
      <c r="I31" s="26">
        <f t="shared" si="11"/>
        <v>10385.352027180454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35.632898761022439</v>
      </c>
      <c r="D32" s="22">
        <f>SUM(D26:D31)</f>
        <v>13438.5</v>
      </c>
      <c r="E32" s="21">
        <f t="shared" si="7"/>
        <v>0.63622935219509424</v>
      </c>
      <c r="F32" s="20">
        <f>I32/D32</f>
        <v>35.52276661807241</v>
      </c>
      <c r="G32" s="19">
        <f>F32/C32-1</f>
        <v>-3.0907432956450709E-3</v>
      </c>
      <c r="H32" s="18">
        <f>SUM(H26:H31)</f>
        <v>478852.71</v>
      </c>
      <c r="I32" s="18">
        <f>SUM(I26:I31)</f>
        <v>477372.69919696607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3406.2</v>
      </c>
      <c r="E34" s="29">
        <f t="shared" ref="E34:E40" si="13">D34/$D$48</f>
        <v>0.16126237447981026</v>
      </c>
      <c r="F34" s="28">
        <f t="shared" ref="F34:F39" si="14">C34-(C34*$E$6)</f>
        <v>20.436639762439277</v>
      </c>
      <c r="G34" s="27" t="str">
        <f t="shared" ref="G34:G39" si="15">IF(C34&gt;=F34,"-","+")</f>
        <v>-</v>
      </c>
      <c r="H34" s="26">
        <f t="shared" ref="H34:H39" si="16">C34*D34</f>
        <v>69827.099999999991</v>
      </c>
      <c r="I34" s="26">
        <f t="shared" ref="I34:I39" si="17">F34*D34</f>
        <v>69611.282358820667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>
        <v>149</v>
      </c>
      <c r="E35" s="29">
        <f t="shared" si="13"/>
        <v>7.0542228282225727E-3</v>
      </c>
      <c r="F35" s="28">
        <f t="shared" si="14"/>
        <v>15.75116625592881</v>
      </c>
      <c r="G35" s="27" t="str">
        <f t="shared" si="15"/>
        <v>-</v>
      </c>
      <c r="H35" s="26">
        <f t="shared" si="16"/>
        <v>2354.2000000000003</v>
      </c>
      <c r="I35" s="26">
        <f t="shared" si="17"/>
        <v>2346.9237721333925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12.660747560145309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33.396460099595892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33.396460099595892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34.592751207641122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20.303020927092707</v>
      </c>
      <c r="D40" s="22">
        <f>SUM(D34:D39)</f>
        <v>3555.2</v>
      </c>
      <c r="E40" s="113">
        <f t="shared" si="13"/>
        <v>0.16831659730803283</v>
      </c>
      <c r="F40" s="20">
        <f>I40/D40</f>
        <v>20.240269501280959</v>
      </c>
      <c r="G40" s="19">
        <f>F40/C40-1</f>
        <v>-3.0907432956447378E-3</v>
      </c>
      <c r="H40" s="18">
        <f>SUM(H34:H39)</f>
        <v>72181.299999999988</v>
      </c>
      <c r="I40" s="18">
        <f>SUM(I34:I39)</f>
        <v>71958.206130954059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2916</v>
      </c>
      <c r="E42" s="107">
        <f>D42/$D$48</f>
        <v>0.13805445481273171</v>
      </c>
      <c r="F42" s="28">
        <f>C42-(C42*$E$6)</f>
        <v>0.49845462835217752</v>
      </c>
      <c r="G42" s="27" t="str">
        <f>IF(C42&gt;=F42,"-","+")</f>
        <v>-</v>
      </c>
      <c r="H42" s="26">
        <f>C42*D42</f>
        <v>1458</v>
      </c>
      <c r="I42" s="26">
        <f>F42*D42</f>
        <v>1453.4936962749496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126</v>
      </c>
      <c r="E43" s="107">
        <f>D43/$D$48</f>
        <v>5.9653159486982837E-3</v>
      </c>
      <c r="F43" s="28">
        <f>C43-(C43*$E$6)</f>
        <v>0.49845462835217752</v>
      </c>
      <c r="G43" s="27" t="str">
        <f>IF(C43&gt;=F43,"-","+")</f>
        <v>-</v>
      </c>
      <c r="H43" s="26">
        <f>C43*D43</f>
        <v>63</v>
      </c>
      <c r="I43" s="26">
        <f>F43*D43</f>
        <v>62.805283172374367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23.5</v>
      </c>
      <c r="E44" s="107">
        <f>D44/$D$48</f>
        <v>1.1125787682096005E-3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7.1</v>
      </c>
      <c r="E45" s="107">
        <f>D45/$D$48</f>
        <v>3.3614081933141117E-4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0.49502050380785007</v>
      </c>
      <c r="D46" s="22">
        <f>SUM(D41:D45)</f>
        <v>3072.6</v>
      </c>
      <c r="E46" s="113">
        <f>D46/$D$48</f>
        <v>0.145468490348971</v>
      </c>
      <c r="F46" s="20">
        <f>I46/D46</f>
        <v>0.49349052250449915</v>
      </c>
      <c r="G46" s="19">
        <f>F46/C46-1</f>
        <v>-3.0907432956449599E-3</v>
      </c>
      <c r="H46" s="18">
        <f>SUM(H41:H44)</f>
        <v>1521</v>
      </c>
      <c r="I46" s="18">
        <f>SUM(I41:I44)</f>
        <v>1516.298979447324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107.15338762514898</v>
      </c>
      <c r="D48" s="13">
        <f>D24+D32+D40+D46</f>
        <v>21122.1</v>
      </c>
      <c r="E48" s="12">
        <f>SUM(E20:E46)/2</f>
        <v>1.0000000000000002</v>
      </c>
      <c r="F48" s="11">
        <f>I48/D48</f>
        <v>28.606741113498853</v>
      </c>
      <c r="G48" s="10"/>
      <c r="H48" s="9">
        <f>SUM(H20:H46)/2</f>
        <v>606107.77000000014</v>
      </c>
      <c r="I48" s="9">
        <f>SUM(I20:I46)/2</f>
        <v>604234.4464734341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22593.399999999998</v>
      </c>
      <c r="E50" s="12">
        <f>D50/G2</f>
        <v>0.99999999999999989</v>
      </c>
      <c r="F50" s="11">
        <f>I50/D50</f>
        <v>29</v>
      </c>
      <c r="G50" s="10"/>
      <c r="H50" s="9">
        <f>H48+H19</f>
        <v>657239.96000000008</v>
      </c>
      <c r="I50" s="9">
        <f>I48+I19</f>
        <v>655208.6</v>
      </c>
      <c r="J50" s="106">
        <f>D50-G2</f>
        <v>0</v>
      </c>
      <c r="K50" s="8"/>
    </row>
    <row r="51" spans="1:11" ht="23.25" x14ac:dyDescent="0.35">
      <c r="A51" s="174" t="s">
        <v>483</v>
      </c>
      <c r="B51" s="169"/>
      <c r="C51" s="170"/>
      <c r="G51" s="7"/>
      <c r="H51" s="6"/>
      <c r="I51" s="6">
        <f>+I50/D50</f>
        <v>29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480</v>
      </c>
      <c r="D1" s="100" t="s">
        <v>1</v>
      </c>
      <c r="E1" s="168" t="s">
        <v>484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480</v>
      </c>
      <c r="D2" s="96" t="s">
        <v>3</v>
      </c>
      <c r="E2" s="95" t="s">
        <v>112</v>
      </c>
      <c r="F2" s="94" t="s">
        <v>5</v>
      </c>
      <c r="G2" s="93">
        <v>16510.7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196</v>
      </c>
      <c r="F3" s="88" t="s">
        <v>8</v>
      </c>
      <c r="G3" s="87">
        <v>25.9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84.238265306122457</v>
      </c>
      <c r="F4" s="81" t="s">
        <v>12</v>
      </c>
      <c r="G4" s="80">
        <f>G2*G3</f>
        <v>427627.13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-5.5452670257890802E-2</v>
      </c>
      <c r="F6" s="69" t="s">
        <v>16</v>
      </c>
      <c r="G6" s="68">
        <f>(I50-I19)/(D50-(SUM(D42:D44)+D19))</f>
        <v>32.027196674655492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27.336224159679372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28.49722209696305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24.6</v>
      </c>
      <c r="D12" s="30"/>
      <c r="E12" s="29" t="e">
        <f t="shared" si="1"/>
        <v>#DIV/0!</v>
      </c>
      <c r="F12" s="28">
        <f t="shared" si="2"/>
        <v>25.964135688344115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28.49722209696305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/>
      <c r="E14" s="29" t="e">
        <f t="shared" si="1"/>
        <v>#DIV/0!</v>
      </c>
      <c r="F14" s="28">
        <f t="shared" si="2"/>
        <v>31.874670641788303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26.280771489421479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</v>
      </c>
      <c r="D16" s="30"/>
      <c r="E16" s="29" t="e">
        <f t="shared" si="1"/>
        <v>#DIV/0!</v>
      </c>
      <c r="F16" s="28">
        <f t="shared" si="2"/>
        <v>35.885390788768291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50.1</v>
      </c>
      <c r="D17" s="30"/>
      <c r="E17" s="29" t="e">
        <f t="shared" si="1"/>
        <v>#DIV/0!</v>
      </c>
      <c r="F17" s="28">
        <f t="shared" si="2"/>
        <v>52.878178779920333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43.9</v>
      </c>
      <c r="D18" s="30"/>
      <c r="E18" s="29" t="e">
        <f t="shared" si="1"/>
        <v>#DIV/0!</v>
      </c>
      <c r="F18" s="28">
        <f t="shared" si="2"/>
        <v>46.334372224321406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65.099999999999994</v>
      </c>
      <c r="D21" s="30">
        <v>190.6</v>
      </c>
      <c r="E21" s="29">
        <f>D21/$D$48</f>
        <v>1.1544029023602876E-2</v>
      </c>
      <c r="F21" s="28">
        <f>C21-(C21*$E$6)</f>
        <v>68.709968833788679</v>
      </c>
      <c r="G21" s="27" t="str">
        <f>IF(C21&gt;=F21,"-","+")</f>
        <v>+</v>
      </c>
      <c r="H21" s="26">
        <f>C21*D21</f>
        <v>12408.059999999998</v>
      </c>
      <c r="I21" s="26">
        <f>F21*D21</f>
        <v>13096.120059720122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43.7</v>
      </c>
      <c r="D22" s="30">
        <v>474.4</v>
      </c>
      <c r="E22" s="29">
        <f>D22/$D$48</f>
        <v>2.8732882312682076E-2</v>
      </c>
      <c r="F22" s="28">
        <f>C22-(C22*$E$6)</f>
        <v>46.123281690269835</v>
      </c>
      <c r="G22" s="27" t="str">
        <f>IF(C22&gt;=F22,"-","+")</f>
        <v>+</v>
      </c>
      <c r="H22" s="26">
        <f>C22*D22</f>
        <v>20731.28</v>
      </c>
      <c r="I22" s="26">
        <f>F22*D22</f>
        <v>21880.884833864009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39.9</v>
      </c>
      <c r="D23" s="30">
        <v>384.6</v>
      </c>
      <c r="E23" s="29">
        <f>D23/$D$48</f>
        <v>2.32939851126845E-2</v>
      </c>
      <c r="F23" s="28">
        <f>C23-(C23*$E$6)</f>
        <v>42.112561543289843</v>
      </c>
      <c r="G23" s="27" t="str">
        <f>IF(C23&gt;=F23,"-","+")</f>
        <v>+</v>
      </c>
      <c r="H23" s="26">
        <f>C23*D23</f>
        <v>15345.54</v>
      </c>
      <c r="I23" s="26">
        <f>F23*D23</f>
        <v>16196.491169549274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46.193673780487806</v>
      </c>
      <c r="D24" s="22">
        <f>SUM(D21:D23)</f>
        <v>1049.5999999999999</v>
      </c>
      <c r="E24" s="21">
        <f>D24/$D$48</f>
        <v>6.3570896448969447E-2</v>
      </c>
      <c r="F24" s="20">
        <f>I24/D24</f>
        <v>48.755236340637779</v>
      </c>
      <c r="G24" s="19">
        <f>F24/C24-1</f>
        <v>5.5452670257891024E-2</v>
      </c>
      <c r="H24" s="18">
        <f>SUM(H21:H23)</f>
        <v>48484.88</v>
      </c>
      <c r="I24" s="18">
        <f>SUM(I21:I23)</f>
        <v>51173.496063133411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34.799999999999997</v>
      </c>
      <c r="D26" s="30">
        <v>3257.9</v>
      </c>
      <c r="E26" s="29">
        <f t="shared" ref="E26:E32" si="7">D26/$D$48</f>
        <v>0.19732052547741766</v>
      </c>
      <c r="F26" s="28">
        <f t="shared" ref="F26:F31" si="8">C26-(C26*$E$6)</f>
        <v>36.729752924974598</v>
      </c>
      <c r="G26" s="27" t="str">
        <f t="shared" ref="G26:G31" si="9">IF(C26&gt;=F26,"-","+")</f>
        <v>+</v>
      </c>
      <c r="H26" s="26">
        <f t="shared" ref="H26:H31" si="10">C26*D26</f>
        <v>113374.92</v>
      </c>
      <c r="I26" s="26">
        <f t="shared" ref="I26:I31" si="11">F26*D26</f>
        <v>119661.86205427475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v>2289.1</v>
      </c>
      <c r="E27" s="29">
        <f t="shared" si="7"/>
        <v>0.13864342517276673</v>
      </c>
      <c r="F27" s="28">
        <f t="shared" si="8"/>
        <v>32.719032777994613</v>
      </c>
      <c r="G27" s="27" t="str">
        <f t="shared" si="9"/>
        <v>+</v>
      </c>
      <c r="H27" s="26">
        <f t="shared" si="10"/>
        <v>70962.099999999991</v>
      </c>
      <c r="I27" s="26">
        <f t="shared" si="11"/>
        <v>74897.137932107464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v>1328.6</v>
      </c>
      <c r="E28" s="29">
        <f t="shared" si="7"/>
        <v>8.0469029175019829E-2</v>
      </c>
      <c r="F28" s="28">
        <f t="shared" si="8"/>
        <v>32.719032777994613</v>
      </c>
      <c r="G28" s="27" t="str">
        <f t="shared" si="9"/>
        <v>+</v>
      </c>
      <c r="H28" s="26">
        <f t="shared" si="10"/>
        <v>41186.6</v>
      </c>
      <c r="I28" s="26">
        <f t="shared" si="11"/>
        <v>43470.506948843642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29.9</v>
      </c>
      <c r="D29" s="30">
        <v>1350.8</v>
      </c>
      <c r="E29" s="29">
        <f t="shared" si="7"/>
        <v>8.1813611779028142E-2</v>
      </c>
      <c r="F29" s="28">
        <f t="shared" si="8"/>
        <v>31.558034840710935</v>
      </c>
      <c r="G29" s="27" t="str">
        <f t="shared" si="9"/>
        <v>+</v>
      </c>
      <c r="H29" s="26">
        <f t="shared" si="10"/>
        <v>40388.92</v>
      </c>
      <c r="I29" s="26">
        <f t="shared" si="11"/>
        <v>42628.59346283233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29.9</v>
      </c>
      <c r="D30" s="30">
        <v>1112.2</v>
      </c>
      <c r="E30" s="29">
        <f t="shared" si="7"/>
        <v>6.7362377125137027E-2</v>
      </c>
      <c r="F30" s="28">
        <f t="shared" si="8"/>
        <v>31.558034840710935</v>
      </c>
      <c r="G30" s="27" t="str">
        <f t="shared" si="9"/>
        <v>+</v>
      </c>
      <c r="H30" s="26">
        <f t="shared" si="10"/>
        <v>33254.78</v>
      </c>
      <c r="I30" s="26">
        <f t="shared" si="11"/>
        <v>35098.846349838706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30.4</v>
      </c>
      <c r="D31" s="30">
        <v>240.4</v>
      </c>
      <c r="E31" s="29">
        <f t="shared" si="7"/>
        <v>1.4560254865026922E-2</v>
      </c>
      <c r="F31" s="28">
        <f t="shared" si="8"/>
        <v>32.085761175839878</v>
      </c>
      <c r="G31" s="27" t="str">
        <f t="shared" si="9"/>
        <v>+</v>
      </c>
      <c r="H31" s="26">
        <f t="shared" si="10"/>
        <v>7308.16</v>
      </c>
      <c r="I31" s="26">
        <f t="shared" si="11"/>
        <v>7713.4169866719067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31.994517172982558</v>
      </c>
      <c r="D32" s="22">
        <f>SUM(D26:D31)</f>
        <v>9579</v>
      </c>
      <c r="E32" s="21">
        <f t="shared" si="7"/>
        <v>0.58016922359439638</v>
      </c>
      <c r="F32" s="20">
        <f>I32/D32</f>
        <v>33.768698583836397</v>
      </c>
      <c r="G32" s="19">
        <f>F32/C32-1</f>
        <v>5.5452670257891246E-2</v>
      </c>
      <c r="H32" s="18">
        <f>SUM(H26:H31)</f>
        <v>306475.47999999992</v>
      </c>
      <c r="I32" s="18">
        <f>SUM(I26:I31)</f>
        <v>323470.36373456882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f>1272.4+1258.7</f>
        <v>2531.1000000000004</v>
      </c>
      <c r="E34" s="29">
        <f t="shared" ref="E34:E40" si="13">D34/$D$48</f>
        <v>0.15330058689213663</v>
      </c>
      <c r="F34" s="28">
        <f t="shared" ref="F34:F39" si="14">C34-(C34*$E$6)</f>
        <v>19.314783865719402</v>
      </c>
      <c r="G34" s="27" t="str">
        <f t="shared" ref="G34:G39" si="15">IF(C34&gt;=F34,"-","+")</f>
        <v>+</v>
      </c>
      <c r="H34" s="26">
        <f t="shared" ref="H34:H39" si="16">C34*D34</f>
        <v>46319.130000000012</v>
      </c>
      <c r="I34" s="26">
        <f t="shared" ref="I34:I39" si="17">F34*D34</f>
        <v>48887.649442522386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185.6</v>
      </c>
      <c r="E35" s="29">
        <f t="shared" si="13"/>
        <v>1.1241195103781184E-2</v>
      </c>
      <c r="F35" s="28">
        <f t="shared" si="14"/>
        <v>14.88188265063626</v>
      </c>
      <c r="G35" s="27" t="str">
        <f t="shared" si="15"/>
        <v>+</v>
      </c>
      <c r="H35" s="26">
        <f t="shared" si="16"/>
        <v>2616.96</v>
      </c>
      <c r="I35" s="26">
        <f t="shared" si="17"/>
        <v>2762.0774199580896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11.926615173914167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29.9</v>
      </c>
      <c r="D37" s="30"/>
      <c r="E37" s="29">
        <f t="shared" si="13"/>
        <v>0</v>
      </c>
      <c r="F37" s="28">
        <f t="shared" si="14"/>
        <v>31.558034840710935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29.9</v>
      </c>
      <c r="D38" s="30"/>
      <c r="E38" s="29">
        <f t="shared" si="13"/>
        <v>0</v>
      </c>
      <c r="F38" s="28">
        <f t="shared" si="14"/>
        <v>31.558034840710935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/>
      <c r="E39" s="29">
        <f t="shared" si="13"/>
        <v>0</v>
      </c>
      <c r="F39" s="28">
        <f t="shared" si="14"/>
        <v>32.719032777994613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18.013063643390883</v>
      </c>
      <c r="D40" s="22">
        <f>SUM(D34:D39)</f>
        <v>2716.7000000000003</v>
      </c>
      <c r="E40" s="113">
        <f t="shared" si="13"/>
        <v>0.16454178199591782</v>
      </c>
      <c r="F40" s="20">
        <f>I40/D40</f>
        <v>19.011936121942234</v>
      </c>
      <c r="G40" s="19">
        <f>F40/C40-1</f>
        <v>5.5452670257890579E-2</v>
      </c>
      <c r="H40" s="18">
        <f>SUM(H34:H39)</f>
        <v>48936.090000000011</v>
      </c>
      <c r="I40" s="18">
        <f>SUM(I34:I39)</f>
        <v>51649.726862480478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1206+186+1698.9</f>
        <v>3090.9</v>
      </c>
      <c r="E42" s="107">
        <f>D42/$D$48</f>
        <v>0.18720587255537319</v>
      </c>
      <c r="F42" s="28">
        <f>C42-(C42*$E$6)</f>
        <v>0.42218106810315637</v>
      </c>
      <c r="G42" s="27" t="str">
        <f>IF(C42&gt;=F42,"-","+")</f>
        <v>+</v>
      </c>
      <c r="H42" s="26">
        <f>C42*D42</f>
        <v>1236.3600000000001</v>
      </c>
      <c r="I42" s="26">
        <f>F42*D42</f>
        <v>1304.919463400046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67.8</v>
      </c>
      <c r="E43" s="107">
        <f>D43/$D$48</f>
        <v>4.1064279527821346E-3</v>
      </c>
      <c r="F43" s="28">
        <f>C43-(C43*$E$6)</f>
        <v>0.42218106810315637</v>
      </c>
      <c r="G43" s="27" t="str">
        <f>IF(C43&gt;=F43,"-","+")</f>
        <v>+</v>
      </c>
      <c r="H43" s="26">
        <f>C43*D43</f>
        <v>27.12</v>
      </c>
      <c r="I43" s="26">
        <f>F43*D43</f>
        <v>28.623876417394001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6.7</v>
      </c>
      <c r="E45" s="107">
        <f>D45/$D$48</f>
        <v>4.0579745256106643E-4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0.39915334554874582</v>
      </c>
      <c r="D46" s="22">
        <f>SUM(D41:D45)</f>
        <v>3165.4</v>
      </c>
      <c r="E46" s="113">
        <f>D46/$D$48</f>
        <v>0.19171809796071637</v>
      </c>
      <c r="F46" s="20">
        <f>I46/D46</f>
        <v>0.42128746440179438</v>
      </c>
      <c r="G46" s="19">
        <f>F46/C46-1</f>
        <v>5.5452670257890802E-2</v>
      </c>
      <c r="H46" s="18">
        <f>SUM(H41:H44)</f>
        <v>1263.48</v>
      </c>
      <c r="I46" s="18">
        <f>SUM(I41:I44)</f>
        <v>1333.54333981744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96.600407942409987</v>
      </c>
      <c r="D48" s="13">
        <f>D24+D32+D40+D46</f>
        <v>16510.7</v>
      </c>
      <c r="E48" s="12">
        <f>SUM(E20:E46)/2</f>
        <v>1</v>
      </c>
      <c r="F48" s="11">
        <f>I48/D48</f>
        <v>25.900000000000009</v>
      </c>
      <c r="G48" s="10"/>
      <c r="H48" s="9">
        <f>SUM(H20:H46)/2</f>
        <v>405159.92999999988</v>
      </c>
      <c r="I48" s="9">
        <f>SUM(I20:I46)/2</f>
        <v>427627.13000000018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16510.7</v>
      </c>
      <c r="E50" s="12">
        <f>D50/G2</f>
        <v>1</v>
      </c>
      <c r="F50" s="11">
        <f>I50/D50</f>
        <v>25.900000000000009</v>
      </c>
      <c r="G50" s="10"/>
      <c r="H50" s="9">
        <f>H48+H19</f>
        <v>405159.92999999988</v>
      </c>
      <c r="I50" s="9">
        <f>I48+I19</f>
        <v>427627.13000000018</v>
      </c>
      <c r="J50" s="106">
        <f>D50-G2</f>
        <v>0</v>
      </c>
      <c r="K50" s="8"/>
    </row>
    <row r="51" spans="1:11" ht="23.25" x14ac:dyDescent="0.35">
      <c r="A51" s="174" t="s">
        <v>485</v>
      </c>
      <c r="B51" s="169"/>
      <c r="C51" s="170"/>
      <c r="G51" s="7"/>
      <c r="H51" s="6"/>
      <c r="I51" s="6">
        <f>+I50/D50</f>
        <v>25.900000000000009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476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486</v>
      </c>
      <c r="D2" s="96" t="s">
        <v>3</v>
      </c>
      <c r="E2" s="95" t="s">
        <v>71</v>
      </c>
      <c r="F2" s="94" t="s">
        <v>5</v>
      </c>
      <c r="G2" s="93">
        <v>14773.7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200</v>
      </c>
      <c r="F3" s="88" t="s">
        <v>8</v>
      </c>
      <c r="G3" s="87">
        <v>29.3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73.868499999999997</v>
      </c>
      <c r="F4" s="81" t="s">
        <v>12</v>
      </c>
      <c r="G4" s="80">
        <f>G2*G3</f>
        <v>432869.41000000003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-2.3392979207719655E-2</v>
      </c>
      <c r="F6" s="69" t="s">
        <v>16</v>
      </c>
      <c r="G6" s="68">
        <f>(I50-I19)/(D50-(SUM(D42:D44)+D19))</f>
        <v>35.239631888824881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29.985414290786185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>
        <v>542.70000000000005</v>
      </c>
      <c r="E11" s="29">
        <f t="shared" si="1"/>
        <v>1</v>
      </c>
      <c r="F11" s="28">
        <f t="shared" si="2"/>
        <v>31.213485865835448</v>
      </c>
      <c r="G11" s="27" t="str">
        <f t="shared" si="3"/>
        <v>+</v>
      </c>
      <c r="H11" s="34">
        <f t="shared" si="4"/>
        <v>16552.350000000002</v>
      </c>
      <c r="I11" s="34">
        <f t="shared" si="5"/>
        <v>16939.558779388899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27.9</v>
      </c>
      <c r="D12" s="30"/>
      <c r="E12" s="29">
        <f t="shared" si="1"/>
        <v>0</v>
      </c>
      <c r="F12" s="28">
        <f t="shared" si="2"/>
        <v>28.552664119895375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31.213485865835448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>
        <f t="shared" si="1"/>
        <v>0</v>
      </c>
      <c r="F14" s="28">
        <f t="shared" si="2"/>
        <v>34.897700590983241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>
        <f t="shared" si="1"/>
        <v>0</v>
      </c>
      <c r="F15" s="28">
        <f t="shared" si="2"/>
        <v>28.757342715736925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38.5</v>
      </c>
      <c r="D16" s="30"/>
      <c r="E16" s="29">
        <f t="shared" si="1"/>
        <v>0</v>
      </c>
      <c r="F16" s="28">
        <f t="shared" si="2"/>
        <v>39.400629699497209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56.7</v>
      </c>
      <c r="D17" s="30"/>
      <c r="E17" s="29">
        <f t="shared" si="1"/>
        <v>0</v>
      </c>
      <c r="F17" s="28">
        <f t="shared" si="2"/>
        <v>58.026381921077707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50.760291768702899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30.5</v>
      </c>
      <c r="D19" s="49">
        <f>SUM(D10:D18)</f>
        <v>542.70000000000005</v>
      </c>
      <c r="E19" s="48">
        <f t="shared" si="1"/>
        <v>1</v>
      </c>
      <c r="F19" s="47">
        <f>I19/D19</f>
        <v>31.213485865835448</v>
      </c>
      <c r="G19" s="46">
        <f>F19/C19-1</f>
        <v>2.3392979207719655E-2</v>
      </c>
      <c r="H19" s="9">
        <f>SUM(H10:H18)</f>
        <v>16552.350000000002</v>
      </c>
      <c r="I19" s="9">
        <f>SUM(I10:I18)</f>
        <v>16939.558779388899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73.7</v>
      </c>
      <c r="D21" s="30">
        <v>176.8</v>
      </c>
      <c r="E21" s="29">
        <f>D21/$D$48</f>
        <v>1.2423582320286697E-2</v>
      </c>
      <c r="F21" s="28">
        <f>C21-(C21*$E$6)</f>
        <v>75.424062567608942</v>
      </c>
      <c r="G21" s="27" t="str">
        <f>IF(C21&gt;=F21,"-","+")</f>
        <v>+</v>
      </c>
      <c r="H21" s="26">
        <f>C21*D21</f>
        <v>13030.160000000002</v>
      </c>
      <c r="I21" s="26">
        <f>F21*D21</f>
        <v>13334.974261953263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49.5</v>
      </c>
      <c r="D22" s="30">
        <v>462.8</v>
      </c>
      <c r="E22" s="29">
        <f>D22/$D$48</f>
        <v>3.2520553720750474E-2</v>
      </c>
      <c r="F22" s="28">
        <f>C22-(C22*$E$6)</f>
        <v>50.657952470782121</v>
      </c>
      <c r="G22" s="27" t="str">
        <f>IF(C22&gt;=F22,"-","+")</f>
        <v>+</v>
      </c>
      <c r="H22" s="26">
        <f>C22*D22</f>
        <v>22908.600000000002</v>
      </c>
      <c r="I22" s="26">
        <f>F22*D22</f>
        <v>23444.500403477967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45.1</v>
      </c>
      <c r="D23" s="30">
        <v>408.5</v>
      </c>
      <c r="E23" s="29">
        <f>D23/$D$48</f>
        <v>2.8704939919893188E-2</v>
      </c>
      <c r="F23" s="28">
        <f>C23-(C23*$E$6)</f>
        <v>46.15502336226816</v>
      </c>
      <c r="G23" s="27" t="str">
        <f>IF(C23&gt;=F23,"-","+")</f>
        <v>+</v>
      </c>
      <c r="H23" s="26">
        <f>C23*D23</f>
        <v>18423.350000000002</v>
      </c>
      <c r="I23" s="26">
        <f>F23*D23</f>
        <v>18854.327043486544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51.867293197214011</v>
      </c>
      <c r="D24" s="22">
        <f>SUM(D21:D23)</f>
        <v>1048.0999999999999</v>
      </c>
      <c r="E24" s="21">
        <f>D24/$D$48</f>
        <v>7.3649075960930344E-2</v>
      </c>
      <c r="F24" s="20">
        <f>I24/D24</f>
        <v>53.080623708537139</v>
      </c>
      <c r="G24" s="19">
        <f>F24/C24-1</f>
        <v>2.3392979207719655E-2</v>
      </c>
      <c r="H24" s="18">
        <f>SUM(H21:H23)</f>
        <v>54362.11</v>
      </c>
      <c r="I24" s="18">
        <f>SUM(I21:I23)</f>
        <v>55633.801708917774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90+2460.2</f>
        <v>2550.1999999999998</v>
      </c>
      <c r="E26" s="29">
        <f t="shared" ref="E26:E32" si="7">D26/$D$48</f>
        <v>0.17920033729182766</v>
      </c>
      <c r="F26" s="28">
        <f t="shared" ref="F26:F31" si="8">C26-(C26*$E$6)</f>
        <v>40.21934408286338</v>
      </c>
      <c r="G26" s="27" t="str">
        <f t="shared" ref="G26:G31" si="9">IF(C26&gt;=F26,"-","+")</f>
        <v>+</v>
      </c>
      <c r="H26" s="26">
        <f t="shared" ref="H26:H31" si="10">C26*D26</f>
        <v>100222.85999999999</v>
      </c>
      <c r="I26" s="26">
        <f t="shared" ref="I26:I31" si="11">F26*D26</f>
        <v>102567.37128011818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2099.6999999999998</v>
      </c>
      <c r="E27" s="29">
        <f t="shared" si="7"/>
        <v>0.14754409387955869</v>
      </c>
      <c r="F27" s="28">
        <f t="shared" si="8"/>
        <v>35.818754272270191</v>
      </c>
      <c r="G27" s="27" t="str">
        <f t="shared" si="9"/>
        <v>+</v>
      </c>
      <c r="H27" s="26">
        <f t="shared" si="10"/>
        <v>73489.5</v>
      </c>
      <c r="I27" s="26">
        <f t="shared" si="11"/>
        <v>75208.638345485713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1161.9000000000001</v>
      </c>
      <c r="E28" s="29">
        <f t="shared" si="7"/>
        <v>8.1645703042653353E-2</v>
      </c>
      <c r="F28" s="28">
        <f t="shared" si="8"/>
        <v>35.818754272270191</v>
      </c>
      <c r="G28" s="27" t="str">
        <f t="shared" si="9"/>
        <v>+</v>
      </c>
      <c r="H28" s="26">
        <f t="shared" si="10"/>
        <v>40666.5</v>
      </c>
      <c r="I28" s="26">
        <f t="shared" si="11"/>
        <v>41617.810588950735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1523</v>
      </c>
      <c r="E29" s="29">
        <f t="shared" si="7"/>
        <v>0.10701988616400814</v>
      </c>
      <c r="F29" s="28">
        <f t="shared" si="8"/>
        <v>34.59068269722092</v>
      </c>
      <c r="G29" s="27" t="str">
        <f t="shared" si="9"/>
        <v>+</v>
      </c>
      <c r="H29" s="26">
        <f t="shared" si="10"/>
        <v>51477.399999999994</v>
      </c>
      <c r="I29" s="26">
        <f t="shared" si="11"/>
        <v>52681.609747867464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923.2</v>
      </c>
      <c r="E30" s="29">
        <f t="shared" si="7"/>
        <v>6.4872461527650901E-2</v>
      </c>
      <c r="F30" s="28">
        <f t="shared" si="8"/>
        <v>34.59068269722092</v>
      </c>
      <c r="G30" s="27" t="str">
        <f t="shared" si="9"/>
        <v>+</v>
      </c>
      <c r="H30" s="26">
        <f t="shared" si="10"/>
        <v>31204.16</v>
      </c>
      <c r="I30" s="26">
        <f t="shared" si="11"/>
        <v>31934.118266074354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186</v>
      </c>
      <c r="E31" s="29">
        <f t="shared" si="7"/>
        <v>1.3070058323378538E-2</v>
      </c>
      <c r="F31" s="28">
        <f t="shared" si="8"/>
        <v>35.204718484745555</v>
      </c>
      <c r="G31" s="27" t="str">
        <f t="shared" si="9"/>
        <v>+</v>
      </c>
      <c r="H31" s="26">
        <f t="shared" si="10"/>
        <v>6398.4</v>
      </c>
      <c r="I31" s="26">
        <f t="shared" si="11"/>
        <v>6548.0776381626729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35.937804358124112</v>
      </c>
      <c r="D32" s="22">
        <f>SUM(D26:D31)</f>
        <v>8444</v>
      </c>
      <c r="E32" s="21">
        <f t="shared" si="7"/>
        <v>0.59335254022907724</v>
      </c>
      <c r="F32" s="20">
        <f>I32/D32</f>
        <v>36.778496668244799</v>
      </c>
      <c r="G32" s="19">
        <f>F32/C32-1</f>
        <v>2.3392979207719433E-2</v>
      </c>
      <c r="H32" s="18">
        <f>SUM(H26:H31)</f>
        <v>303458.82</v>
      </c>
      <c r="I32" s="18">
        <f>SUM(I26:I31)</f>
        <v>310557.6258666591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2240.9</v>
      </c>
      <c r="E34" s="29">
        <f t="shared" ref="E34:E40" si="13">D34/$D$48</f>
        <v>0.15746609514440305</v>
      </c>
      <c r="F34" s="28">
        <f t="shared" ref="F34:F39" si="14">C34-(C34*$E$6)</f>
        <v>21.184234669599796</v>
      </c>
      <c r="G34" s="27" t="str">
        <f t="shared" ref="G34:G39" si="15">IF(C34&gt;=F34,"-","+")</f>
        <v>+</v>
      </c>
      <c r="H34" s="26">
        <f t="shared" ref="H34:H39" si="16">C34*D34</f>
        <v>46386.63</v>
      </c>
      <c r="I34" s="26">
        <f t="shared" ref="I34:I39" si="17">F34*D34</f>
        <v>47471.751471106189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63.4</v>
      </c>
      <c r="E35" s="29">
        <f t="shared" si="13"/>
        <v>4.4550628908720394E-3</v>
      </c>
      <c r="F35" s="28">
        <f t="shared" si="14"/>
        <v>16.271948369402743</v>
      </c>
      <c r="G35" s="27" t="str">
        <f t="shared" si="15"/>
        <v>+</v>
      </c>
      <c r="H35" s="26">
        <f t="shared" si="16"/>
        <v>1008.06</v>
      </c>
      <c r="I35" s="26">
        <f t="shared" si="17"/>
        <v>1031.6415266201338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13.099430133858812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34.59068269722092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34.59068269722092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35.818754272270191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20.567933862778279</v>
      </c>
      <c r="D40" s="22">
        <f>SUM(D34:D39)</f>
        <v>2304.3000000000002</v>
      </c>
      <c r="E40" s="113">
        <f t="shared" si="13"/>
        <v>0.1619211580352751</v>
      </c>
      <c r="F40" s="20">
        <f>I40/D40</f>
        <v>21.04907911197601</v>
      </c>
      <c r="G40" s="19">
        <f>F40/C40-1</f>
        <v>2.3392979207719877E-2</v>
      </c>
      <c r="H40" s="18">
        <f>SUM(H34:H39)</f>
        <v>47394.689999999995</v>
      </c>
      <c r="I40" s="18">
        <f>SUM(I34:I39)</f>
        <v>48503.392997726325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2338</v>
      </c>
      <c r="E42" s="107">
        <f>D42/$D$48</f>
        <v>0.1642892277422528</v>
      </c>
      <c r="F42" s="28">
        <f>C42-(C42*$E$6)</f>
        <v>0.51169648960385983</v>
      </c>
      <c r="G42" s="27" t="str">
        <f>IF(C42&gt;=F42,"-","+")</f>
        <v>+</v>
      </c>
      <c r="H42" s="26">
        <f>C42*D42</f>
        <v>1169</v>
      </c>
      <c r="I42" s="26">
        <f>F42*D42</f>
        <v>1196.3463926938243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75.599999999999994</v>
      </c>
      <c r="E43" s="107">
        <f>D43/$D$48</f>
        <v>5.3123462862764374E-3</v>
      </c>
      <c r="F43" s="28">
        <f>C43-(C43*$E$6)</f>
        <v>0.51169648960385983</v>
      </c>
      <c r="G43" s="27" t="str">
        <f>IF(C43&gt;=F43,"-","+")</f>
        <v>+</v>
      </c>
      <c r="H43" s="26">
        <f>C43*D43</f>
        <v>37.799999999999997</v>
      </c>
      <c r="I43" s="26">
        <f>F43*D43</f>
        <v>38.684254614051802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14.5</v>
      </c>
      <c r="E44" s="107">
        <f>D44/$D$48</f>
        <v>1.0189023961773591E-3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6.5</v>
      </c>
      <c r="E45" s="107">
        <f>D45/$D$48</f>
        <v>4.567493500105403E-4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0.49568717653824035</v>
      </c>
      <c r="D46" s="22">
        <f>SUM(D41:D45)</f>
        <v>2434.6</v>
      </c>
      <c r="E46" s="113">
        <f>D46/$D$48</f>
        <v>0.17107722577471715</v>
      </c>
      <c r="F46" s="20">
        <f>I46/D46</f>
        <v>0.50728277635253272</v>
      </c>
      <c r="G46" s="19">
        <f>F46/C46-1</f>
        <v>2.3392979207719655E-2</v>
      </c>
      <c r="H46" s="18">
        <f>SUM(H41:H44)</f>
        <v>1206.8</v>
      </c>
      <c r="I46" s="18">
        <f>SUM(I41:I44)</f>
        <v>1235.0306473078761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108.86871859465464</v>
      </c>
      <c r="D48" s="13">
        <f>D24+D32+D40+D46</f>
        <v>14231.000000000002</v>
      </c>
      <c r="E48" s="12">
        <f>SUM(E20:E46)/2</f>
        <v>0.99999999999999978</v>
      </c>
      <c r="F48" s="11">
        <f>I48/D48</f>
        <v>29.227029106922284</v>
      </c>
      <c r="G48" s="10"/>
      <c r="H48" s="9">
        <f>SUM(H20:H46)/2</f>
        <v>406422.42000000004</v>
      </c>
      <c r="I48" s="9">
        <f>SUM(I20:I46)/2</f>
        <v>415929.85122061108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14773.699999999999</v>
      </c>
      <c r="E50" s="12">
        <f>D50/G2</f>
        <v>0.99999999999999989</v>
      </c>
      <c r="F50" s="11">
        <f>I50/D50</f>
        <v>29.3</v>
      </c>
      <c r="G50" s="10"/>
      <c r="H50" s="9">
        <f>H48+H19</f>
        <v>422974.77</v>
      </c>
      <c r="I50" s="9">
        <f>I48+I19</f>
        <v>432869.41</v>
      </c>
      <c r="J50" s="106">
        <f>D50-G2</f>
        <v>0</v>
      </c>
      <c r="K50" s="8"/>
    </row>
    <row r="51" spans="1:11" ht="23.25" x14ac:dyDescent="0.35">
      <c r="A51" s="174" t="s">
        <v>487</v>
      </c>
      <c r="B51" s="169"/>
      <c r="C51" s="170"/>
      <c r="G51" s="7"/>
      <c r="H51" s="6"/>
      <c r="I51" s="6">
        <f>+I50/D50</f>
        <v>29.3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488</v>
      </c>
      <c r="D2" s="96" t="s">
        <v>3</v>
      </c>
      <c r="E2" s="95" t="s">
        <v>71</v>
      </c>
      <c r="F2" s="94" t="s">
        <v>5</v>
      </c>
      <c r="G2" s="93">
        <v>8187.8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122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67.113114754098362</v>
      </c>
      <c r="F4" s="81" t="s">
        <v>12</v>
      </c>
      <c r="G4" s="80">
        <f>G2*G3</f>
        <v>239493.15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1.0740239847209176E-2</v>
      </c>
      <c r="F6" s="69" t="s">
        <v>16</v>
      </c>
      <c r="G6" s="68">
        <f>(I50-I19)/(D50-(SUM(D42:D44)+D19))</f>
        <v>35.020786418272749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28.985310972476771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30.17242268466012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27.501421332247585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30.17242268466012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33.733757821210169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27.798199260293423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37.987574789867168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55.99210242464796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49.067284103578423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103.1</v>
      </c>
      <c r="E21" s="29">
        <f>D21/$D$48</f>
        <v>1.2591905029434037E-2</v>
      </c>
      <c r="F21" s="28">
        <f>C21-(C21*$E$6)</f>
        <v>72.809518347245401</v>
      </c>
      <c r="G21" s="27" t="str">
        <f>IF(C21&gt;=F21,"-","+")</f>
        <v>-</v>
      </c>
      <c r="H21" s="26">
        <f>C21*D21</f>
        <v>7588.1599999999989</v>
      </c>
      <c r="I21" s="26">
        <f>F21*D21</f>
        <v>7506.6613416010005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269</v>
      </c>
      <c r="E22" s="29">
        <f>D22/$D$48</f>
        <v>3.285375803024012E-2</v>
      </c>
      <c r="F22" s="28">
        <f>C22-(C22*$E$6)</f>
        <v>48.869432151547862</v>
      </c>
      <c r="G22" s="27" t="str">
        <f>IF(C22&gt;=F22,"-","+")</f>
        <v>-</v>
      </c>
      <c r="H22" s="26">
        <f>C22*D22</f>
        <v>13288.6</v>
      </c>
      <c r="I22" s="26">
        <f>F22*D22</f>
        <v>13145.877248766375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209</v>
      </c>
      <c r="E23" s="29">
        <f>D23/$D$48</f>
        <v>2.5525782261413325E-2</v>
      </c>
      <c r="F23" s="28">
        <f>C23-(C23*$E$6)</f>
        <v>44.51668920687559</v>
      </c>
      <c r="G23" s="27" t="str">
        <f>IF(C23&gt;=F23,"-","+")</f>
        <v>-</v>
      </c>
      <c r="H23" s="26">
        <f>C23*D23</f>
        <v>9405</v>
      </c>
      <c r="I23" s="26">
        <f>F23*D23</f>
        <v>9303.9880442369977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52.111099638616409</v>
      </c>
      <c r="D24" s="22">
        <f>SUM(D21:D23)</f>
        <v>581.1</v>
      </c>
      <c r="E24" s="21">
        <f>D24/$D$48</f>
        <v>7.0971445321087484E-2</v>
      </c>
      <c r="F24" s="20">
        <f>I24/D24</f>
        <v>51.551413929795856</v>
      </c>
      <c r="G24" s="19">
        <f>F24/C24-1</f>
        <v>-1.0740239847209065E-2</v>
      </c>
      <c r="H24" s="18">
        <f>SUM(H21:H23)</f>
        <v>30281.759999999998</v>
      </c>
      <c r="I24" s="18">
        <f>SUM(I21:I23)</f>
        <v>29956.526634604372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v>1571.4</v>
      </c>
      <c r="E26" s="29">
        <f t="shared" ref="E26:E32" si="7">D26/$D$48</f>
        <v>0.19191968538557369</v>
      </c>
      <c r="F26" s="28">
        <f t="shared" ref="F26:F31" si="8">C26-(C26*$E$6)</f>
        <v>38.877908574004678</v>
      </c>
      <c r="G26" s="27" t="str">
        <f t="shared" ref="G26:G31" si="9">IF(C26&gt;=F26,"-","+")</f>
        <v>-</v>
      </c>
      <c r="H26" s="26">
        <f t="shared" ref="H26:H31" si="10">C26*D26</f>
        <v>61756.02</v>
      </c>
      <c r="I26" s="26">
        <f t="shared" ref="I26:I31" si="11">F26*D26</f>
        <v>61092.745533190951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1427.5</v>
      </c>
      <c r="E27" s="29">
        <f t="shared" si="7"/>
        <v>0.17434475683333742</v>
      </c>
      <c r="F27" s="28">
        <f t="shared" si="8"/>
        <v>34.624091605347679</v>
      </c>
      <c r="G27" s="27" t="str">
        <f t="shared" si="9"/>
        <v>-</v>
      </c>
      <c r="H27" s="26">
        <f t="shared" si="10"/>
        <v>49962.5</v>
      </c>
      <c r="I27" s="26">
        <f t="shared" si="11"/>
        <v>49425.890766633813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809.8</v>
      </c>
      <c r="E28" s="29">
        <f t="shared" si="7"/>
        <v>9.8903246293265593E-2</v>
      </c>
      <c r="F28" s="28">
        <f t="shared" si="8"/>
        <v>34.624091605347679</v>
      </c>
      <c r="G28" s="27" t="str">
        <f t="shared" si="9"/>
        <v>-</v>
      </c>
      <c r="H28" s="26">
        <f t="shared" si="10"/>
        <v>28343</v>
      </c>
      <c r="I28" s="26">
        <f t="shared" si="11"/>
        <v>28038.589382010548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838.4</v>
      </c>
      <c r="E29" s="29">
        <f t="shared" si="7"/>
        <v>0.10239624807640636</v>
      </c>
      <c r="F29" s="28">
        <f t="shared" si="8"/>
        <v>33.436979893164327</v>
      </c>
      <c r="G29" s="27" t="str">
        <f t="shared" si="9"/>
        <v>-</v>
      </c>
      <c r="H29" s="26">
        <f t="shared" si="10"/>
        <v>28337.919999999998</v>
      </c>
      <c r="I29" s="26">
        <f t="shared" si="11"/>
        <v>28033.563942428973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480.7</v>
      </c>
      <c r="E30" s="29">
        <f t="shared" si="7"/>
        <v>5.8709299201250648E-2</v>
      </c>
      <c r="F30" s="28">
        <f t="shared" si="8"/>
        <v>33.436979893164327</v>
      </c>
      <c r="G30" s="27" t="str">
        <f t="shared" si="9"/>
        <v>-</v>
      </c>
      <c r="H30" s="26">
        <f t="shared" si="10"/>
        <v>16247.659999999998</v>
      </c>
      <c r="I30" s="26">
        <f t="shared" si="11"/>
        <v>16073.156234644091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234.2</v>
      </c>
      <c r="E31" s="29">
        <f t="shared" si="7"/>
        <v>2.8603532084320576E-2</v>
      </c>
      <c r="F31" s="28">
        <f t="shared" si="8"/>
        <v>34.030535749256003</v>
      </c>
      <c r="G31" s="27" t="str">
        <f t="shared" si="9"/>
        <v>-</v>
      </c>
      <c r="H31" s="26">
        <f t="shared" si="10"/>
        <v>8056.48</v>
      </c>
      <c r="I31" s="26">
        <f t="shared" si="11"/>
        <v>7969.9514724757555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35.938750466243945</v>
      </c>
      <c r="D32" s="22">
        <f>SUM(D26:D31)</f>
        <v>5361.9999999999991</v>
      </c>
      <c r="E32" s="21">
        <f t="shared" si="7"/>
        <v>0.65487676787415416</v>
      </c>
      <c r="F32" s="20">
        <f>I32/D32</f>
        <v>35.552759666427484</v>
      </c>
      <c r="G32" s="19">
        <f>F32/C32-1</f>
        <v>-1.0740239847209176E-2</v>
      </c>
      <c r="H32" s="18">
        <f>SUM(H26:H31)</f>
        <v>192703.58000000002</v>
      </c>
      <c r="I32" s="18">
        <f>SUM(I26:I31)</f>
        <v>190633.89733138413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890.5</v>
      </c>
      <c r="E34" s="29">
        <f t="shared" ref="E34:E40" si="13">D34/$D$48</f>
        <v>0.10875937370233764</v>
      </c>
      <c r="F34" s="28">
        <f t="shared" ref="F34:F39" si="14">C34-(C34*$E$6)</f>
        <v>20.47767703516277</v>
      </c>
      <c r="G34" s="27" t="str">
        <f t="shared" ref="G34:G39" si="15">IF(C34&gt;=F34,"-","+")</f>
        <v>-</v>
      </c>
      <c r="H34" s="26">
        <f t="shared" ref="H34:H39" si="16">C34*D34</f>
        <v>18433.349999999999</v>
      </c>
      <c r="I34" s="26">
        <f t="shared" ref="I34:I39" si="17">F34*D34</f>
        <v>18235.371399812448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/>
      <c r="E35" s="29">
        <f t="shared" si="13"/>
        <v>0</v>
      </c>
      <c r="F35" s="28">
        <f t="shared" si="14"/>
        <v>15.729230186429374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12.662524929955723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33.436979893164327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33.436979893164327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34.624091605347679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</v>
      </c>
      <c r="D40" s="22">
        <f>SUM(D34:D39)</f>
        <v>890.5</v>
      </c>
      <c r="E40" s="113">
        <f t="shared" si="13"/>
        <v>0.10875937370233764</v>
      </c>
      <c r="F40" s="20">
        <f>I40/D40</f>
        <v>20.47767703516277</v>
      </c>
      <c r="G40" s="19">
        <f>F40/C40-1</f>
        <v>-1.0740239847209176E-2</v>
      </c>
      <c r="H40" s="18">
        <f>SUM(H34:H39)</f>
        <v>18433.349999999999</v>
      </c>
      <c r="I40" s="18">
        <f>SUM(I34:I39)</f>
        <v>18235.371399812448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1282</v>
      </c>
      <c r="E42" s="107">
        <f>D42/$D$48</f>
        <v>0.15657441559393245</v>
      </c>
      <c r="F42" s="28">
        <f>C42-(C42*$E$6)</f>
        <v>0.49462988007639541</v>
      </c>
      <c r="G42" s="27" t="str">
        <f>IF(C42&gt;=F42,"-","+")</f>
        <v>-</v>
      </c>
      <c r="H42" s="26">
        <f>C42*D42</f>
        <v>641</v>
      </c>
      <c r="I42" s="26">
        <f>F42*D42</f>
        <v>634.11550625793893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67.2</v>
      </c>
      <c r="E43" s="107">
        <f>D43/$D$48</f>
        <v>8.2073328610860075E-3</v>
      </c>
      <c r="F43" s="28">
        <f>C43-(C43*$E$6)</f>
        <v>0.49462988007639541</v>
      </c>
      <c r="G43" s="27" t="str">
        <f>IF(C43&gt;=F43,"-","+")</f>
        <v>-</v>
      </c>
      <c r="H43" s="26">
        <f>C43*D43</f>
        <v>33.6</v>
      </c>
      <c r="I43" s="26">
        <f>F43*D43</f>
        <v>33.239127941133773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6.1066464740223265E-4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0.49815389159651452</v>
      </c>
      <c r="D46" s="22">
        <f>SUM(D41:D45)</f>
        <v>1354.2</v>
      </c>
      <c r="E46" s="113">
        <f>D46/$D$48</f>
        <v>0.1653924131024207</v>
      </c>
      <c r="F46" s="20">
        <f>I46/D46</f>
        <v>0.49280359931994738</v>
      </c>
      <c r="G46" s="19">
        <f>F46/C46-1</f>
        <v>-1.0740239847209065E-2</v>
      </c>
      <c r="H46" s="18">
        <f>SUM(H41:H44)</f>
        <v>674.6</v>
      </c>
      <c r="I46" s="18">
        <f>SUM(I41:I44)</f>
        <v>667.35463419907273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109.24800399645687</v>
      </c>
      <c r="D48" s="13">
        <f>D24+D32+D40+D46</f>
        <v>8187.7999999999993</v>
      </c>
      <c r="E48" s="12">
        <f>SUM(E20:E46)/2</f>
        <v>1</v>
      </c>
      <c r="F48" s="11">
        <f>I48/D48</f>
        <v>29.250000000000007</v>
      </c>
      <c r="G48" s="10"/>
      <c r="H48" s="9">
        <f>SUM(H20:H46)/2</f>
        <v>242093.28999999995</v>
      </c>
      <c r="I48" s="9">
        <f>SUM(I20:I46)/2</f>
        <v>239493.15000000002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8187.8</v>
      </c>
      <c r="E50" s="12">
        <f>D50/G2</f>
        <v>1</v>
      </c>
      <c r="F50" s="11">
        <f>I50/D50</f>
        <v>29.250000000000004</v>
      </c>
      <c r="G50" s="10"/>
      <c r="H50" s="9">
        <f>H48+H19</f>
        <v>242093.28999999995</v>
      </c>
      <c r="I50" s="9">
        <f>I48+I19</f>
        <v>239493.15000000002</v>
      </c>
      <c r="J50" s="106">
        <f>D50-G2</f>
        <v>0</v>
      </c>
      <c r="K50" s="8"/>
    </row>
    <row r="51" spans="1:11" ht="23.25" x14ac:dyDescent="0.35">
      <c r="A51" s="174" t="s">
        <v>489</v>
      </c>
      <c r="B51" s="169"/>
      <c r="C51" s="170"/>
      <c r="G51" s="7"/>
      <c r="H51" s="6"/>
      <c r="I51" s="6">
        <f>+I50/D50</f>
        <v>29.250000000000004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488</v>
      </c>
      <c r="D2" s="96" t="s">
        <v>3</v>
      </c>
      <c r="E2" s="95" t="s">
        <v>71</v>
      </c>
      <c r="F2" s="94" t="s">
        <v>5</v>
      </c>
      <c r="G2" s="93">
        <v>14133.1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190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74.384736842105269</v>
      </c>
      <c r="F4" s="81" t="s">
        <v>12</v>
      </c>
      <c r="G4" s="80">
        <f>G2*G3</f>
        <v>413393.17499999999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9.6300691624542356E-3</v>
      </c>
      <c r="F6" s="69" t="s">
        <v>16</v>
      </c>
      <c r="G6" s="68">
        <f>(I50-I19)/(D50-(SUM(D42:D44)+D19))</f>
        <v>33.600316498155145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29.017838973540091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>
        <f t="shared" si="1"/>
        <v>0</v>
      </c>
      <c r="F11" s="28">
        <f t="shared" si="2"/>
        <v>30.206282890545147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>
        <f t="shared" si="1"/>
        <v>0</v>
      </c>
      <c r="F12" s="28">
        <f t="shared" si="2"/>
        <v>27.532284077283773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30.206282890545147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>
        <v>285.89999999999998</v>
      </c>
      <c r="E14" s="29">
        <f t="shared" si="1"/>
        <v>0.21975403535741736</v>
      </c>
      <c r="F14" s="28">
        <f t="shared" si="2"/>
        <v>33.771614641560312</v>
      </c>
      <c r="G14" s="27" t="str">
        <f t="shared" si="3"/>
        <v>-</v>
      </c>
      <c r="H14" s="34">
        <f t="shared" si="4"/>
        <v>9749.19</v>
      </c>
      <c r="I14" s="34">
        <f t="shared" si="5"/>
        <v>9655.3046260220926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>
        <f t="shared" si="1"/>
        <v>0</v>
      </c>
      <c r="F15" s="28">
        <f t="shared" si="2"/>
        <v>27.829395056535038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>
        <v>962.6</v>
      </c>
      <c r="E16" s="29">
        <f t="shared" si="1"/>
        <v>0.73989239046887012</v>
      </c>
      <c r="F16" s="28">
        <f t="shared" si="2"/>
        <v>38.030205344161757</v>
      </c>
      <c r="G16" s="27" t="str">
        <f t="shared" si="3"/>
        <v>-</v>
      </c>
      <c r="H16" s="34">
        <f t="shared" si="4"/>
        <v>36963.839999999997</v>
      </c>
      <c r="I16" s="34">
        <f t="shared" si="5"/>
        <v>36607.875664290106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>
        <v>52.5</v>
      </c>
      <c r="E17" s="29">
        <f t="shared" si="1"/>
        <v>4.0353574173712527E-2</v>
      </c>
      <c r="F17" s="28">
        <f t="shared" si="2"/>
        <v>56.054938085405091</v>
      </c>
      <c r="G17" s="27" t="str">
        <f t="shared" si="3"/>
        <v>-</v>
      </c>
      <c r="H17" s="34">
        <f t="shared" si="4"/>
        <v>2971.5</v>
      </c>
      <c r="I17" s="34">
        <f t="shared" si="5"/>
        <v>2942.8842494837672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49.122348569542268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38.18949269792467</v>
      </c>
      <c r="D19" s="49">
        <f>SUM(D10:D18)</f>
        <v>1301</v>
      </c>
      <c r="E19" s="48">
        <f t="shared" si="1"/>
        <v>1</v>
      </c>
      <c r="F19" s="47">
        <f>I19/D19</f>
        <v>37.821725241964614</v>
      </c>
      <c r="G19" s="46">
        <f>F19/C19-1</f>
        <v>-9.6300691624542356E-3</v>
      </c>
      <c r="H19" s="9">
        <f>SUM(H10:H18)</f>
        <v>49684.53</v>
      </c>
      <c r="I19" s="9">
        <f>SUM(I10:I18)</f>
        <v>49206.064539795967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/>
      <c r="E21" s="29">
        <f>D21/$D$48</f>
        <v>0</v>
      </c>
      <c r="F21" s="28">
        <f>C21-(C21*$E$6)</f>
        <v>72.891226909643365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389.3</v>
      </c>
      <c r="E22" s="29">
        <f>D22/$D$48</f>
        <v>3.03379805331941E-2</v>
      </c>
      <c r="F22" s="28">
        <f>C22-(C22*$E$6)</f>
        <v>48.924274583374761</v>
      </c>
      <c r="G22" s="27" t="str">
        <f>IF(C22&gt;=F22,"-","+")</f>
        <v>-</v>
      </c>
      <c r="H22" s="26">
        <f>C22*D22</f>
        <v>19231.419999999998</v>
      </c>
      <c r="I22" s="26">
        <f>F22*D22</f>
        <v>19046.220095307795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/>
      <c r="E23" s="29">
        <f>D23/$D$48</f>
        <v>0</v>
      </c>
      <c r="F23" s="28">
        <f>C23-(C23*$E$6)</f>
        <v>44.566646887689558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49.399999999999991</v>
      </c>
      <c r="D24" s="22">
        <f>SUM(D21:D23)</f>
        <v>389.3</v>
      </c>
      <c r="E24" s="21">
        <f>D24/$D$48</f>
        <v>3.03379805331941E-2</v>
      </c>
      <c r="F24" s="20">
        <f>I24/D24</f>
        <v>48.924274583374761</v>
      </c>
      <c r="G24" s="19">
        <f>F24/C24-1</f>
        <v>-9.6300691624541246E-3</v>
      </c>
      <c r="H24" s="18">
        <f>SUM(H21:H23)</f>
        <v>19231.419999999998</v>
      </c>
      <c r="I24" s="18">
        <f>SUM(I21:I23)</f>
        <v>19046.220095307795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760+227+1505.1</f>
        <v>2492.1</v>
      </c>
      <c r="E26" s="29">
        <f t="shared" ref="E26:E32" si="7">D26/$D$48</f>
        <v>0.19420827456145134</v>
      </c>
      <c r="F26" s="28">
        <f t="shared" ref="F26:F31" si="8">C26-(C26*$E$6)</f>
        <v>38.921538281915545</v>
      </c>
      <c r="G26" s="27" t="str">
        <f t="shared" ref="G26:G31" si="9">IF(C26&gt;=F26,"-","+")</f>
        <v>-</v>
      </c>
      <c r="H26" s="26">
        <f t="shared" ref="H26:H31" si="10">C26*D26</f>
        <v>97939.529999999984</v>
      </c>
      <c r="I26" s="26">
        <f t="shared" ref="I26:I31" si="11">F26*D26</f>
        <v>96996.36555236172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2009.4</v>
      </c>
      <c r="E27" s="29">
        <f t="shared" si="7"/>
        <v>0.1565916724464429</v>
      </c>
      <c r="F27" s="28">
        <f t="shared" si="8"/>
        <v>34.6629475793141</v>
      </c>
      <c r="G27" s="27" t="str">
        <f t="shared" si="9"/>
        <v>-</v>
      </c>
      <c r="H27" s="26">
        <f t="shared" si="10"/>
        <v>70329</v>
      </c>
      <c r="I27" s="26">
        <f t="shared" si="11"/>
        <v>69651.726865873759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1566.5</v>
      </c>
      <c r="E28" s="29">
        <f t="shared" si="7"/>
        <v>0.12207666710826755</v>
      </c>
      <c r="F28" s="28">
        <f t="shared" si="8"/>
        <v>34.6629475793141</v>
      </c>
      <c r="G28" s="27" t="str">
        <f t="shared" si="9"/>
        <v>-</v>
      </c>
      <c r="H28" s="26">
        <f t="shared" si="10"/>
        <v>54827.5</v>
      </c>
      <c r="I28" s="26">
        <f t="shared" si="11"/>
        <v>54299.507382995536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1238.2</v>
      </c>
      <c r="E29" s="29">
        <f t="shared" si="7"/>
        <v>9.6492390177757348E-2</v>
      </c>
      <c r="F29" s="28">
        <f t="shared" si="8"/>
        <v>33.474503662309047</v>
      </c>
      <c r="G29" s="27" t="str">
        <f t="shared" si="9"/>
        <v>-</v>
      </c>
      <c r="H29" s="26">
        <f t="shared" si="10"/>
        <v>41851.159999999996</v>
      </c>
      <c r="I29" s="26">
        <f t="shared" si="11"/>
        <v>41448.13043467106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1071</v>
      </c>
      <c r="E30" s="29">
        <f t="shared" si="7"/>
        <v>8.346256653236804E-2</v>
      </c>
      <c r="F30" s="28">
        <f t="shared" si="8"/>
        <v>33.474503662309047</v>
      </c>
      <c r="G30" s="27" t="str">
        <f t="shared" si="9"/>
        <v>-</v>
      </c>
      <c r="H30" s="26">
        <f t="shared" si="10"/>
        <v>36199.799999999996</v>
      </c>
      <c r="I30" s="26">
        <f t="shared" si="11"/>
        <v>35851.193422332988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289.2</v>
      </c>
      <c r="E31" s="29">
        <f t="shared" si="7"/>
        <v>2.2537230850757085E-2</v>
      </c>
      <c r="F31" s="28">
        <f t="shared" si="8"/>
        <v>34.06872562081157</v>
      </c>
      <c r="G31" s="27" t="str">
        <f t="shared" si="9"/>
        <v>-</v>
      </c>
      <c r="H31" s="26">
        <f t="shared" si="10"/>
        <v>9948.48</v>
      </c>
      <c r="I31" s="26">
        <f t="shared" si="11"/>
        <v>9852.6754495387049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35.896735668789795</v>
      </c>
      <c r="D32" s="22">
        <f>SUM(D26:D31)</f>
        <v>8666.4000000000015</v>
      </c>
      <c r="E32" s="21">
        <f t="shared" si="7"/>
        <v>0.67536880167704438</v>
      </c>
      <c r="F32" s="20">
        <f>I32/D32</f>
        <v>35.551047621593014</v>
      </c>
      <c r="G32" s="19">
        <f>F32/C32-1</f>
        <v>-9.6300691624541246E-3</v>
      </c>
      <c r="H32" s="18">
        <f>SUM(H26:H31)</f>
        <v>311095.46999999991</v>
      </c>
      <c r="I32" s="18">
        <f>SUM(I26:I31)</f>
        <v>308099.59910777374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1696.7</v>
      </c>
      <c r="E34" s="29">
        <f t="shared" ref="E34:E40" si="13">D34/$D$48</f>
        <v>0.13222309676514366</v>
      </c>
      <c r="F34" s="28">
        <f t="shared" ref="F34:F39" si="14">C34-(C34*$E$6)</f>
        <v>20.500657568337196</v>
      </c>
      <c r="G34" s="27" t="str">
        <f t="shared" ref="G34:G39" si="15">IF(C34&gt;=F34,"-","+")</f>
        <v>-</v>
      </c>
      <c r="H34" s="26">
        <f t="shared" ref="H34:H39" si="16">C34*D34</f>
        <v>35121.69</v>
      </c>
      <c r="I34" s="26">
        <f t="shared" ref="I34:I39" si="17">F34*D34</f>
        <v>34783.465696197723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80.7</v>
      </c>
      <c r="E35" s="29">
        <f t="shared" si="13"/>
        <v>6.2889160776490212E-3</v>
      </c>
      <c r="F35" s="28">
        <f t="shared" si="14"/>
        <v>15.746881900316978</v>
      </c>
      <c r="G35" s="27" t="str">
        <f t="shared" si="15"/>
        <v>-</v>
      </c>
      <c r="H35" s="26">
        <f t="shared" si="16"/>
        <v>1283.1300000000001</v>
      </c>
      <c r="I35" s="26">
        <f t="shared" si="17"/>
        <v>1270.7733693555801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12.676735114720586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33.474503662309047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33.474503662309047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34.6629475793141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20.482063688533813</v>
      </c>
      <c r="D40" s="22">
        <f>SUM(D34:D39)</f>
        <v>1777.4</v>
      </c>
      <c r="E40" s="113">
        <f t="shared" si="13"/>
        <v>0.13851201284279269</v>
      </c>
      <c r="F40" s="20">
        <f>I40/D40</f>
        <v>20.284819998623437</v>
      </c>
      <c r="G40" s="19">
        <f>F40/C40-1</f>
        <v>-9.6300691624543466E-3</v>
      </c>
      <c r="H40" s="18">
        <f>SUM(H34:H39)</f>
        <v>36404.82</v>
      </c>
      <c r="I40" s="18">
        <f>SUM(I34:I39)</f>
        <v>36054.239065553302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1912</v>
      </c>
      <c r="E42" s="107">
        <f>D42/$D$48</f>
        <v>0.14900133259560008</v>
      </c>
      <c r="F42" s="28">
        <f>C42-(C42*$E$6)</f>
        <v>0.49518496541877288</v>
      </c>
      <c r="G42" s="27" t="str">
        <f>IF(C42&gt;=F42,"-","+")</f>
        <v>-</v>
      </c>
      <c r="H42" s="26">
        <f>C42*D42</f>
        <v>956</v>
      </c>
      <c r="I42" s="26">
        <f>F42*D42</f>
        <v>946.7936538806938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81.3</v>
      </c>
      <c r="E43" s="107">
        <f>D43/$D$48</f>
        <v>6.3356738180032884E-3</v>
      </c>
      <c r="F43" s="28">
        <f>C43-(C43*$E$6)</f>
        <v>0.49518496541877288</v>
      </c>
      <c r="G43" s="27" t="str">
        <f>IF(C43&gt;=F43,"-","+")</f>
        <v>-</v>
      </c>
      <c r="H43" s="26">
        <f>C43*D43</f>
        <v>40.65</v>
      </c>
      <c r="I43" s="26">
        <f>F43*D43</f>
        <v>40.258537688546234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4.441985333655442E-4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0.49857428714357177</v>
      </c>
      <c r="D46" s="22">
        <f>SUM(D41:D45)</f>
        <v>1999</v>
      </c>
      <c r="E46" s="113">
        <f>D46/$D$48</f>
        <v>0.15578120494696893</v>
      </c>
      <c r="F46" s="20">
        <f>I46/D46</f>
        <v>0.49377298227575789</v>
      </c>
      <c r="G46" s="19">
        <f>F46/C46-1</f>
        <v>-9.6300691624541246E-3</v>
      </c>
      <c r="H46" s="18">
        <f>SUM(H41:H44)</f>
        <v>996.65</v>
      </c>
      <c r="I46" s="18">
        <f>SUM(I41:I44)</f>
        <v>987.05219156923999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106.27737364446716</v>
      </c>
      <c r="D48" s="13">
        <f>D24+D32+D40+D46</f>
        <v>12832.1</v>
      </c>
      <c r="E48" s="12">
        <f>SUM(E20:E46)/2</f>
        <v>1.0000000000000002</v>
      </c>
      <c r="F48" s="11">
        <f>I48/D48</f>
        <v>28.380943918782123</v>
      </c>
      <c r="G48" s="10"/>
      <c r="H48" s="9">
        <f>SUM(H20:H46)/2</f>
        <v>367728.35999999987</v>
      </c>
      <c r="I48" s="9">
        <f>SUM(I20:I46)/2</f>
        <v>364187.11046020407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14133.100000000002</v>
      </c>
      <c r="E50" s="12">
        <f>D50/G2</f>
        <v>1.0000000000000002</v>
      </c>
      <c r="F50" s="11">
        <f>I50/D50</f>
        <v>29.25</v>
      </c>
      <c r="G50" s="10"/>
      <c r="H50" s="9">
        <f>H48+H19</f>
        <v>417412.8899999999</v>
      </c>
      <c r="I50" s="9">
        <f>I48+I19</f>
        <v>413393.17500000005</v>
      </c>
      <c r="J50" s="106">
        <f>D50-G2</f>
        <v>0</v>
      </c>
      <c r="K50" s="8"/>
    </row>
    <row r="51" spans="1:11" ht="23.25" x14ac:dyDescent="0.35">
      <c r="A51" s="174" t="s">
        <v>490</v>
      </c>
      <c r="B51" s="169"/>
      <c r="C51" s="170"/>
      <c r="G51" s="7"/>
      <c r="H51" s="6"/>
      <c r="I51" s="6">
        <f>+I50/D50</f>
        <v>29.25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480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488</v>
      </c>
      <c r="D2" s="96" t="s">
        <v>3</v>
      </c>
      <c r="E2" s="95" t="s">
        <v>112</v>
      </c>
      <c r="F2" s="94" t="s">
        <v>5</v>
      </c>
      <c r="G2" s="93">
        <f>1842.5+213.7+229.6</f>
        <v>2285.7999999999997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40</v>
      </c>
      <c r="F3" s="88" t="s">
        <v>8</v>
      </c>
      <c r="G3" s="87">
        <v>25.41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57.144999999999996</v>
      </c>
      <c r="F4" s="81" t="s">
        <v>12</v>
      </c>
      <c r="G4" s="80">
        <f>G2*G3</f>
        <v>58082.177999999993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-8.6913069302706036E-2</v>
      </c>
      <c r="F6" s="69" t="s">
        <v>16</v>
      </c>
      <c r="G6" s="68">
        <f>(I50-I19)/(D50-(SUM(D42:D44)+D19))</f>
        <v>32.449956980836909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27.607591960288733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26.5</v>
      </c>
      <c r="D11" s="30"/>
      <c r="E11" s="29" t="e">
        <f t="shared" si="1"/>
        <v>#DIV/0!</v>
      </c>
      <c r="F11" s="28">
        <f t="shared" si="2"/>
        <v>28.803196336521708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 t="e">
        <f t="shared" si="1"/>
        <v>#DIV/0!</v>
      </c>
      <c r="F12" s="28">
        <f t="shared" si="2"/>
        <v>26.303296277125487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26.5</v>
      </c>
      <c r="D13" s="30"/>
      <c r="E13" s="29" t="e">
        <f t="shared" si="1"/>
        <v>#DIV/0!</v>
      </c>
      <c r="F13" s="28">
        <f t="shared" si="2"/>
        <v>28.803196336521708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29.6</v>
      </c>
      <c r="D14" s="30"/>
      <c r="E14" s="29" t="e">
        <f t="shared" si="1"/>
        <v>#DIV/0!</v>
      </c>
      <c r="F14" s="28">
        <f t="shared" si="2"/>
        <v>32.1726268513601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26.520678890986026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36.302896514710383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49.1</v>
      </c>
      <c r="D17" s="30"/>
      <c r="E17" s="29" t="e">
        <f t="shared" si="1"/>
        <v>#DIV/0!</v>
      </c>
      <c r="F17" s="28">
        <f t="shared" si="2"/>
        <v>53.367431702762872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</v>
      </c>
      <c r="D18" s="30"/>
      <c r="E18" s="29" t="e">
        <f t="shared" si="1"/>
        <v>#DIV/0!</v>
      </c>
      <c r="F18" s="28">
        <f t="shared" si="2"/>
        <v>46.737261980016356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63.9</v>
      </c>
      <c r="D21" s="30">
        <v>28.9</v>
      </c>
      <c r="E21" s="29">
        <f>D21/$D$48</f>
        <v>1.2643275877154608E-2</v>
      </c>
      <c r="F21" s="28">
        <f>C21-(C21*$E$6)</f>
        <v>69.453745128442918</v>
      </c>
      <c r="G21" s="27" t="str">
        <f>IF(C21&gt;=F21,"-","+")</f>
        <v>+</v>
      </c>
      <c r="H21" s="26">
        <f>C21*D21</f>
        <v>1846.7099999999998</v>
      </c>
      <c r="I21" s="26">
        <f>F21*D21</f>
        <v>2007.2132342120003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42.9</v>
      </c>
      <c r="D22" s="30">
        <v>59.1</v>
      </c>
      <c r="E22" s="29">
        <f>D22/$D$48</f>
        <v>2.5855280426983991E-2</v>
      </c>
      <c r="F22" s="28">
        <f>C22-(C22*$E$6)</f>
        <v>46.628570673086088</v>
      </c>
      <c r="G22" s="27" t="str">
        <f>IF(C22&gt;=F22,"-","+")</f>
        <v>+</v>
      </c>
      <c r="H22" s="26">
        <f>C22*D22</f>
        <v>2535.39</v>
      </c>
      <c r="I22" s="26">
        <f>F22*D22</f>
        <v>2755.7485267793877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39.1</v>
      </c>
      <c r="D23" s="30">
        <v>48</v>
      </c>
      <c r="E23" s="29">
        <f>D23/$D$48</f>
        <v>2.0999212529530145E-2</v>
      </c>
      <c r="F23" s="28">
        <f>C23-(C23*$E$6)</f>
        <v>42.498301009735805</v>
      </c>
      <c r="G23" s="27" t="str">
        <f>IF(C23&gt;=F23,"-","+")</f>
        <v>+</v>
      </c>
      <c r="H23" s="26">
        <f>C23*D23</f>
        <v>1876.8000000000002</v>
      </c>
      <c r="I23" s="26">
        <f>F23*D23</f>
        <v>2039.9184484673187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46.02132352941176</v>
      </c>
      <c r="D24" s="22">
        <f>SUM(D21:D23)</f>
        <v>136</v>
      </c>
      <c r="E24" s="21">
        <f>D24/$D$48</f>
        <v>5.9497768833668745E-2</v>
      </c>
      <c r="F24" s="20">
        <f>I24/D24</f>
        <v>50.021178010725784</v>
      </c>
      <c r="G24" s="19">
        <f>F24/C24-1</f>
        <v>8.6913069302706036E-2</v>
      </c>
      <c r="H24" s="18">
        <f>SUM(H21:H23)</f>
        <v>6258.9</v>
      </c>
      <c r="I24" s="18">
        <f>SUM(I21:I23)</f>
        <v>6802.8802094587063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f>638.3-230</f>
        <v>408.29999999999995</v>
      </c>
      <c r="E26" s="29">
        <f t="shared" ref="E26:E32" si="7">D26/$D$48</f>
        <v>0.17862455157931578</v>
      </c>
      <c r="F26" s="28">
        <f t="shared" ref="F26:F31" si="8">C26-(C26*$E$6)</f>
        <v>37.063735663222275</v>
      </c>
      <c r="G26" s="27" t="str">
        <f t="shared" ref="G26:G31" si="9">IF(C26&gt;=F26,"-","+")</f>
        <v>+</v>
      </c>
      <c r="H26" s="26">
        <f t="shared" ref="H26:H31" si="10">C26*D26</f>
        <v>13923.029999999999</v>
      </c>
      <c r="I26" s="26">
        <f t="shared" ref="I26:I31" si="11">F26*D26</f>
        <v>15133.123271293653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30">
        <v>330.4</v>
      </c>
      <c r="E27" s="29">
        <f t="shared" si="7"/>
        <v>0.14454457957826583</v>
      </c>
      <c r="F27" s="28">
        <f t="shared" si="8"/>
        <v>33.04215730680226</v>
      </c>
      <c r="G27" s="27" t="str">
        <f t="shared" si="9"/>
        <v>+</v>
      </c>
      <c r="H27" s="26">
        <f t="shared" si="10"/>
        <v>10044.159999999998</v>
      </c>
      <c r="I27" s="26">
        <f t="shared" si="11"/>
        <v>10917.128774167466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30">
        <v>198.6</v>
      </c>
      <c r="E28" s="29">
        <f t="shared" si="7"/>
        <v>8.6884241840930979E-2</v>
      </c>
      <c r="F28" s="28">
        <f t="shared" si="8"/>
        <v>33.04215730680226</v>
      </c>
      <c r="G28" s="27" t="str">
        <f t="shared" si="9"/>
        <v>+</v>
      </c>
      <c r="H28" s="26">
        <f t="shared" si="10"/>
        <v>6037.44</v>
      </c>
      <c r="I28" s="26">
        <f t="shared" si="11"/>
        <v>6562.1724411309287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199.7</v>
      </c>
      <c r="E29" s="29">
        <f t="shared" si="7"/>
        <v>8.7365473794732709E-2</v>
      </c>
      <c r="F29" s="28">
        <f t="shared" si="8"/>
        <v>31.846552930569288</v>
      </c>
      <c r="G29" s="27" t="str">
        <f t="shared" si="9"/>
        <v>+</v>
      </c>
      <c r="H29" s="26">
        <f t="shared" si="10"/>
        <v>5851.21</v>
      </c>
      <c r="I29" s="26">
        <f t="shared" si="11"/>
        <v>6359.7566202346861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128.6</v>
      </c>
      <c r="E30" s="29">
        <f t="shared" si="7"/>
        <v>5.6260390235366178E-2</v>
      </c>
      <c r="F30" s="28">
        <f t="shared" si="8"/>
        <v>31.846552930569288</v>
      </c>
      <c r="G30" s="27" t="str">
        <f t="shared" si="9"/>
        <v>+</v>
      </c>
      <c r="H30" s="26">
        <f t="shared" si="10"/>
        <v>3767.98</v>
      </c>
      <c r="I30" s="26">
        <f t="shared" si="11"/>
        <v>4095.4667068712101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29.9</v>
      </c>
      <c r="D31" s="30">
        <v>37.799999999999997</v>
      </c>
      <c r="E31" s="29">
        <f t="shared" si="7"/>
        <v>1.6536879867004989E-2</v>
      </c>
      <c r="F31" s="28">
        <f t="shared" si="8"/>
        <v>32.498700772150912</v>
      </c>
      <c r="G31" s="27" t="str">
        <f t="shared" si="9"/>
        <v>+</v>
      </c>
      <c r="H31" s="26">
        <f t="shared" si="10"/>
        <v>1130.2199999999998</v>
      </c>
      <c r="I31" s="26">
        <f t="shared" si="11"/>
        <v>1228.4508891873043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31.267485039128438</v>
      </c>
      <c r="D32" s="22">
        <f>SUM(D26:D31)</f>
        <v>1303.3999999999999</v>
      </c>
      <c r="E32" s="21">
        <f t="shared" si="7"/>
        <v>0.57021611689561646</v>
      </c>
      <c r="F32" s="20">
        <f>I32/D32</f>
        <v>33.985038133255529</v>
      </c>
      <c r="G32" s="19">
        <f>F32/C32-1</f>
        <v>8.6913069302706036E-2</v>
      </c>
      <c r="H32" s="18">
        <f>SUM(H26:H31)</f>
        <v>40754.04</v>
      </c>
      <c r="I32" s="18">
        <f>SUM(I26:I31)</f>
        <v>44296.098702885247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v>346</v>
      </c>
      <c r="E34" s="29">
        <f t="shared" ref="E34:E40" si="13">D34/$D$48</f>
        <v>0.15136932365036312</v>
      </c>
      <c r="F34" s="28">
        <f t="shared" ref="F34:F39" si="14">C34-(C34*$E$6)</f>
        <v>19.56443524744871</v>
      </c>
      <c r="G34" s="27" t="str">
        <f t="shared" ref="G34:G39" si="15">IF(C34&gt;=F34,"-","+")</f>
        <v>+</v>
      </c>
      <c r="H34" s="26">
        <f t="shared" ref="H34:H39" si="16">C34*D34</f>
        <v>6228</v>
      </c>
      <c r="I34" s="26">
        <f t="shared" ref="I34:I39" si="17">F34*D34</f>
        <v>6769.2945956172534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/>
      <c r="E35" s="29">
        <f t="shared" si="13"/>
        <v>0</v>
      </c>
      <c r="F35" s="28">
        <f t="shared" si="14"/>
        <v>14.999400356377343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12.064735069260037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31.846552930569288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31.846552930569288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30"/>
      <c r="E39" s="29">
        <f t="shared" si="13"/>
        <v>0</v>
      </c>
      <c r="F39" s="28">
        <f t="shared" si="14"/>
        <v>33.04215730680226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</v>
      </c>
      <c r="D40" s="22">
        <f>SUM(D34:D39)</f>
        <v>346</v>
      </c>
      <c r="E40" s="113">
        <f t="shared" si="13"/>
        <v>0.15136932365036312</v>
      </c>
      <c r="F40" s="20">
        <f>I40/D40</f>
        <v>19.56443524744871</v>
      </c>
      <c r="G40" s="19">
        <f>F40/C40-1</f>
        <v>8.6913069302706036E-2</v>
      </c>
      <c r="H40" s="18">
        <f>SUM(H34:H39)</f>
        <v>6228</v>
      </c>
      <c r="I40" s="18">
        <f>SUM(I34:I39)</f>
        <v>6769.2945956172534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465</f>
        <v>465</v>
      </c>
      <c r="E42" s="107">
        <f>D42/$D$48</f>
        <v>0.20342987137982327</v>
      </c>
      <c r="F42" s="28">
        <f>C42-(C42*$E$6)</f>
        <v>0.43476522772108245</v>
      </c>
      <c r="G42" s="27" t="str">
        <f>IF(C42&gt;=F42,"-","+")</f>
        <v>+</v>
      </c>
      <c r="H42" s="26">
        <f>C42*D42</f>
        <v>186</v>
      </c>
      <c r="I42" s="26">
        <f>F42*D42</f>
        <v>202.16583089030334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27</v>
      </c>
      <c r="E43" s="107">
        <f>D43/$D$48</f>
        <v>1.1812057047860706E-2</v>
      </c>
      <c r="F43" s="28">
        <f>C43-(C43*$E$6)</f>
        <v>0.43476522772108245</v>
      </c>
      <c r="G43" s="27" t="str">
        <f>IF(C43&gt;=F43,"-","+")</f>
        <v>+</v>
      </c>
      <c r="H43" s="26">
        <f>C43*D43</f>
        <v>10.8</v>
      </c>
      <c r="I43" s="26">
        <f>F43*D43</f>
        <v>11.738661148469227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3.9</v>
      </c>
      <c r="E44" s="107">
        <f>D44/$D$48</f>
        <v>1.7061860180243242E-3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</v>
      </c>
      <c r="E45" s="107">
        <f>D45/$D$48</f>
        <v>1.9686761746434511E-3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0.39328537170263794</v>
      </c>
      <c r="D46" s="22">
        <f>SUM(D41:D45)</f>
        <v>500.4</v>
      </c>
      <c r="E46" s="113">
        <f>D46/$D$48</f>
        <v>0.21891679062035174</v>
      </c>
      <c r="F46" s="20">
        <f>I46/D46</f>
        <v>0.42746701046916979</v>
      </c>
      <c r="G46" s="19">
        <f>F46/C46-1</f>
        <v>8.6913069302706036E-2</v>
      </c>
      <c r="H46" s="18">
        <f>SUM(H41:H44)</f>
        <v>196.8</v>
      </c>
      <c r="I46" s="18">
        <f>SUM(I41:I44)</f>
        <v>213.90449203877256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95.682093940242822</v>
      </c>
      <c r="D48" s="13">
        <f>D24+D32+D40+D46</f>
        <v>2285.7999999999997</v>
      </c>
      <c r="E48" s="12">
        <f>SUM(E20:E46)/2</f>
        <v>1</v>
      </c>
      <c r="F48" s="11">
        <f>I48/D48</f>
        <v>25.409999999999989</v>
      </c>
      <c r="G48" s="10"/>
      <c r="H48" s="9">
        <f>SUM(H20:H46)/2</f>
        <v>53437.740000000005</v>
      </c>
      <c r="I48" s="9">
        <f>SUM(I20:I46)/2</f>
        <v>58082.177999999971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2285.7999999999997</v>
      </c>
      <c r="E50" s="12">
        <f>D50/G2</f>
        <v>1</v>
      </c>
      <c r="F50" s="11">
        <f>I50/D50</f>
        <v>25.409999999999989</v>
      </c>
      <c r="G50" s="10"/>
      <c r="H50" s="9">
        <f>H48+H19</f>
        <v>53437.740000000005</v>
      </c>
      <c r="I50" s="9">
        <f>I48+I19</f>
        <v>58082.177999999971</v>
      </c>
      <c r="J50" s="106">
        <f>D50-G2</f>
        <v>0</v>
      </c>
      <c r="K50" s="8"/>
    </row>
    <row r="51" spans="1:11" ht="23.25" x14ac:dyDescent="0.35">
      <c r="A51" s="174" t="s">
        <v>491</v>
      </c>
      <c r="B51" s="169"/>
      <c r="C51" s="170"/>
      <c r="G51" s="7"/>
      <c r="H51" s="6"/>
      <c r="I51" s="6">
        <f>+I50/D50</f>
        <v>25.409999999999989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488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488</v>
      </c>
      <c r="D2" s="96" t="s">
        <v>3</v>
      </c>
      <c r="E2" s="95" t="s">
        <v>112</v>
      </c>
      <c r="F2" s="94" t="s">
        <v>5</v>
      </c>
      <c r="G2" s="93">
        <v>5508.8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88</v>
      </c>
      <c r="F3" s="88" t="s">
        <v>8</v>
      </c>
      <c r="G3" s="87">
        <v>25.7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62.6</v>
      </c>
      <c r="F4" s="81" t="s">
        <v>12</v>
      </c>
      <c r="G4" s="80">
        <f>G2*G3</f>
        <v>141576.16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-9.0849215785427706E-2</v>
      </c>
      <c r="F6" s="69" t="s">
        <v>16</v>
      </c>
      <c r="G6" s="68">
        <f>(I50-I19)/(D50-(SUM(D42:D44)+D19))</f>
        <v>32.524560637735767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25.7</v>
      </c>
      <c r="D10" s="30"/>
      <c r="E10" s="29" t="e">
        <f t="shared" ref="E10:E19" si="1">D10/$D$19</f>
        <v>#DIV/0!</v>
      </c>
      <c r="F10" s="28">
        <f t="shared" ref="F10:F18" si="2">C10-(C10*$E$6)</f>
        <v>28.034824845685492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26.8</v>
      </c>
      <c r="D11" s="30"/>
      <c r="E11" s="29" t="e">
        <f t="shared" si="1"/>
        <v>#DIV/0!</v>
      </c>
      <c r="F11" s="28">
        <f t="shared" si="2"/>
        <v>29.234758983049463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/>
      <c r="E12" s="29" t="e">
        <f t="shared" si="1"/>
        <v>#DIV/0!</v>
      </c>
      <c r="F12" s="28">
        <f t="shared" si="2"/>
        <v>26.725805786742978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26.8</v>
      </c>
      <c r="D13" s="30"/>
      <c r="E13" s="29" t="e">
        <f t="shared" si="1"/>
        <v>#DIV/0!</v>
      </c>
      <c r="F13" s="28">
        <f t="shared" si="2"/>
        <v>29.234758983049463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29.9</v>
      </c>
      <c r="D14" s="30"/>
      <c r="E14" s="29" t="e">
        <f t="shared" si="1"/>
        <v>#DIV/0!</v>
      </c>
      <c r="F14" s="28">
        <f t="shared" si="2"/>
        <v>32.616391551984286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24.7</v>
      </c>
      <c r="D15" s="30"/>
      <c r="E15" s="29" t="e">
        <f t="shared" si="1"/>
        <v>#DIV/0!</v>
      </c>
      <c r="F15" s="28">
        <f t="shared" si="2"/>
        <v>26.943975629900063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33.799999999999997</v>
      </c>
      <c r="D16" s="30"/>
      <c r="E16" s="29" t="e">
        <f t="shared" si="1"/>
        <v>#DIV/0!</v>
      </c>
      <c r="F16" s="28">
        <f t="shared" si="2"/>
        <v>36.870703493547452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49.7</v>
      </c>
      <c r="D17" s="30"/>
      <c r="E17" s="29" t="e">
        <f t="shared" si="1"/>
        <v>#DIV/0!</v>
      </c>
      <c r="F17" s="28">
        <f t="shared" si="2"/>
        <v>54.21520602453576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43.5</v>
      </c>
      <c r="D18" s="30"/>
      <c r="E18" s="29" t="e">
        <f t="shared" si="1"/>
        <v>#DIV/0!</v>
      </c>
      <c r="F18" s="28">
        <f t="shared" si="2"/>
        <v>47.451940886666108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64.599999999999994</v>
      </c>
      <c r="D21" s="30">
        <v>68.8</v>
      </c>
      <c r="E21" s="29">
        <f>D21/$D$48</f>
        <v>1.2489108335753705E-2</v>
      </c>
      <c r="F21" s="28">
        <f>C21-(C21*$E$6)</f>
        <v>70.468859339738628</v>
      </c>
      <c r="G21" s="27" t="str">
        <f>IF(C21&gt;=F21,"-","+")</f>
        <v>+</v>
      </c>
      <c r="H21" s="26">
        <f>C21*D21</f>
        <v>4444.4799999999996</v>
      </c>
      <c r="I21" s="26">
        <f>F21*D21</f>
        <v>4848.2575225740175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43.4</v>
      </c>
      <c r="D22" s="30">
        <v>145.80000000000001</v>
      </c>
      <c r="E22" s="29">
        <f>D22/$D$48</f>
        <v>2.6466744118501313E-2</v>
      </c>
      <c r="F22" s="28">
        <f>C22-(C22*$E$6)</f>
        <v>47.342855965087558</v>
      </c>
      <c r="G22" s="27" t="str">
        <f>IF(C22&gt;=F22,"-","+")</f>
        <v>+</v>
      </c>
      <c r="H22" s="26">
        <f>C22*D22</f>
        <v>6327.72</v>
      </c>
      <c r="I22" s="26">
        <f>F22*D22</f>
        <v>6902.5883997097662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39.6</v>
      </c>
      <c r="D23" s="30">
        <v>119.3</v>
      </c>
      <c r="E23" s="29">
        <f>D23/$D$48</f>
        <v>2.1656259076386873E-2</v>
      </c>
      <c r="F23" s="28">
        <f>C23-(C23*$E$6)</f>
        <v>43.197628945102942</v>
      </c>
      <c r="G23" s="27" t="str">
        <f>IF(C23&gt;=F23,"-","+")</f>
        <v>+</v>
      </c>
      <c r="H23" s="26">
        <f>C23*D23</f>
        <v>4724.28</v>
      </c>
      <c r="I23" s="26">
        <f>F23*D23</f>
        <v>5153.4771331507809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46.410542078466598</v>
      </c>
      <c r="D24" s="22">
        <f>SUM(D21:D23)</f>
        <v>333.90000000000003</v>
      </c>
      <c r="E24" s="21">
        <f>D24/$D$48</f>
        <v>6.0612111530641895E-2</v>
      </c>
      <c r="F24" s="20">
        <f>I24/D24</f>
        <v>50.626903430471884</v>
      </c>
      <c r="G24" s="19">
        <f>F24/C24-1</f>
        <v>9.0849215785427706E-2</v>
      </c>
      <c r="H24" s="18">
        <f>SUM(H21:H23)</f>
        <v>15496.48</v>
      </c>
      <c r="I24" s="18">
        <f>SUM(I21:I23)</f>
        <v>16904.323055434565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34.5</v>
      </c>
      <c r="D26" s="30">
        <f>233.9+821.4</f>
        <v>1055.3</v>
      </c>
      <c r="E26" s="29">
        <f t="shared" ref="E26:E32" si="7">D26/$D$48</f>
        <v>0.1915662213186175</v>
      </c>
      <c r="F26" s="28">
        <f t="shared" ref="F26:F31" si="8">C26-(C26*$E$6)</f>
        <v>37.634297944597257</v>
      </c>
      <c r="G26" s="27" t="str">
        <f t="shared" ref="G26:G31" si="9">IF(C26&gt;=F26,"-","+")</f>
        <v>+</v>
      </c>
      <c r="H26" s="26">
        <f t="shared" ref="H26:H31" si="10">C26*D26</f>
        <v>36407.85</v>
      </c>
      <c r="I26" s="26">
        <f t="shared" ref="I26:I31" si="11">F26*D26</f>
        <v>39715.474620933484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30.7</v>
      </c>
      <c r="D27" s="30">
        <v>806</v>
      </c>
      <c r="E27" s="29">
        <f t="shared" si="7"/>
        <v>0.14631135637525416</v>
      </c>
      <c r="F27" s="28">
        <f t="shared" si="8"/>
        <v>33.489070924612633</v>
      </c>
      <c r="G27" s="27" t="str">
        <f t="shared" si="9"/>
        <v>+</v>
      </c>
      <c r="H27" s="26">
        <f t="shared" si="10"/>
        <v>24744.2</v>
      </c>
      <c r="I27" s="26">
        <f t="shared" si="11"/>
        <v>26992.191165237782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30.7</v>
      </c>
      <c r="D28" s="30">
        <v>401.4</v>
      </c>
      <c r="E28" s="29">
        <f t="shared" si="7"/>
        <v>7.2865233807725832E-2</v>
      </c>
      <c r="F28" s="28">
        <f t="shared" si="8"/>
        <v>33.489070924612633</v>
      </c>
      <c r="G28" s="27" t="str">
        <f t="shared" si="9"/>
        <v>+</v>
      </c>
      <c r="H28" s="26">
        <f t="shared" si="10"/>
        <v>12322.98</v>
      </c>
      <c r="I28" s="26">
        <f t="shared" si="11"/>
        <v>13442.51306913951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29.7</v>
      </c>
      <c r="D29" s="30">
        <v>419.3</v>
      </c>
      <c r="E29" s="29">
        <f t="shared" si="7"/>
        <v>7.6114580307871049E-2</v>
      </c>
      <c r="F29" s="28">
        <f t="shared" si="8"/>
        <v>32.398221708827201</v>
      </c>
      <c r="G29" s="27" t="str">
        <f t="shared" si="9"/>
        <v>+</v>
      </c>
      <c r="H29" s="26">
        <f t="shared" si="10"/>
        <v>12453.210000000001</v>
      </c>
      <c r="I29" s="26">
        <f t="shared" si="11"/>
        <v>13584.574362511246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29.7</v>
      </c>
      <c r="D30" s="30">
        <v>254.7</v>
      </c>
      <c r="E30" s="29">
        <f t="shared" si="7"/>
        <v>4.6235114725530067E-2</v>
      </c>
      <c r="F30" s="28">
        <f t="shared" si="8"/>
        <v>32.398221708827201</v>
      </c>
      <c r="G30" s="27" t="str">
        <f t="shared" si="9"/>
        <v>+</v>
      </c>
      <c r="H30" s="26">
        <f t="shared" si="10"/>
        <v>7564.5899999999992</v>
      </c>
      <c r="I30" s="26">
        <f t="shared" si="11"/>
        <v>8251.8270692382885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30.2</v>
      </c>
      <c r="D31" s="30">
        <v>89.6</v>
      </c>
      <c r="E31" s="29">
        <f t="shared" si="7"/>
        <v>1.626488527446994E-2</v>
      </c>
      <c r="F31" s="28">
        <f t="shared" si="8"/>
        <v>32.943646316719914</v>
      </c>
      <c r="G31" s="27" t="str">
        <f t="shared" si="9"/>
        <v>+</v>
      </c>
      <c r="H31" s="26">
        <f t="shared" si="10"/>
        <v>2705.9199999999996</v>
      </c>
      <c r="I31" s="26">
        <f t="shared" si="11"/>
        <v>2951.7507099781042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31.78757889171596</v>
      </c>
      <c r="D32" s="22">
        <f>SUM(D26:D31)</f>
        <v>3026.2999999999997</v>
      </c>
      <c r="E32" s="21">
        <f t="shared" si="7"/>
        <v>0.54935739180946852</v>
      </c>
      <c r="F32" s="20">
        <f>I32/D32</f>
        <v>34.675455505745774</v>
      </c>
      <c r="G32" s="19">
        <f>F32/C32-1</f>
        <v>9.0849215785427928E-2</v>
      </c>
      <c r="H32" s="18">
        <f>SUM(H26:H31)</f>
        <v>96198.75</v>
      </c>
      <c r="I32" s="18">
        <f>SUM(I26:I31)</f>
        <v>104938.33099703843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f>522+389.4</f>
        <v>911.4</v>
      </c>
      <c r="E34" s="29">
        <f t="shared" ref="E34:E40" si="13">D34/$D$48</f>
        <v>0.16544437990124894</v>
      </c>
      <c r="F34" s="28">
        <f t="shared" ref="F34:F39" si="14">C34-(C34*$E$6)</f>
        <v>19.853455727294783</v>
      </c>
      <c r="G34" s="27" t="str">
        <f t="shared" ref="G34:G39" si="15">IF(C34&gt;=F34,"-","+")</f>
        <v>+</v>
      </c>
      <c r="H34" s="26">
        <f t="shared" ref="H34:H39" si="16">C34*D34</f>
        <v>16587.48</v>
      </c>
      <c r="I34" s="26">
        <f t="shared" ref="I34:I39" si="17">F34*D34</f>
        <v>18094.439549856466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>
        <v>74.3</v>
      </c>
      <c r="E35" s="29">
        <f t="shared" si="13"/>
        <v>1.3487510891664247E-2</v>
      </c>
      <c r="F35" s="28">
        <f t="shared" si="14"/>
        <v>15.271889020995989</v>
      </c>
      <c r="G35" s="27" t="str">
        <f t="shared" si="15"/>
        <v>+</v>
      </c>
      <c r="H35" s="26">
        <f t="shared" si="16"/>
        <v>1040.2</v>
      </c>
      <c r="I35" s="26">
        <f t="shared" si="17"/>
        <v>1134.7013542600018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12.21751121679679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29.7</v>
      </c>
      <c r="D37" s="30"/>
      <c r="E37" s="29">
        <f t="shared" si="13"/>
        <v>0</v>
      </c>
      <c r="F37" s="28">
        <f t="shared" si="14"/>
        <v>32.398221708827201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29.7</v>
      </c>
      <c r="D38" s="30"/>
      <c r="E38" s="29">
        <f t="shared" si="13"/>
        <v>0</v>
      </c>
      <c r="F38" s="28">
        <f t="shared" si="14"/>
        <v>32.398221708827201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30.7</v>
      </c>
      <c r="D39" s="30"/>
      <c r="E39" s="29">
        <f t="shared" si="13"/>
        <v>0</v>
      </c>
      <c r="F39" s="28">
        <f t="shared" si="14"/>
        <v>33.489070924612633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17.883412803084106</v>
      </c>
      <c r="D40" s="22">
        <f>SUM(D34:D39)</f>
        <v>985.69999999999993</v>
      </c>
      <c r="E40" s="113">
        <f t="shared" si="13"/>
        <v>0.17893189079291316</v>
      </c>
      <c r="F40" s="20">
        <f>I40/D40</f>
        <v>19.508106831811375</v>
      </c>
      <c r="G40" s="19">
        <f>F40/C40-1</f>
        <v>9.0849215785427706E-2</v>
      </c>
      <c r="H40" s="18">
        <f>SUM(H34:H39)</f>
        <v>17627.68</v>
      </c>
      <c r="I40" s="18">
        <f>SUM(I34:I39)</f>
        <v>19229.14090411647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553+63.5+501.5</f>
        <v>1118</v>
      </c>
      <c r="E42" s="107">
        <f>D42/$D$48</f>
        <v>0.2029480104559977</v>
      </c>
      <c r="F42" s="28">
        <f>C42-(C42*$E$6)</f>
        <v>0.43633968631417108</v>
      </c>
      <c r="G42" s="27" t="str">
        <f>IF(C42&gt;=F42,"-","+")</f>
        <v>+</v>
      </c>
      <c r="H42" s="26">
        <f>C42*D42</f>
        <v>447.20000000000005</v>
      </c>
      <c r="I42" s="26">
        <f>F42*D42</f>
        <v>487.82776929924324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37.9</v>
      </c>
      <c r="E43" s="107">
        <f>D43/$D$48</f>
        <v>6.8799012489108346E-3</v>
      </c>
      <c r="F43" s="28">
        <f>C43-(C43*$E$6)</f>
        <v>0.43633968631417108</v>
      </c>
      <c r="G43" s="27" t="str">
        <f>IF(C43&gt;=F43,"-","+")</f>
        <v>+</v>
      </c>
      <c r="H43" s="26">
        <f>C43*D43</f>
        <v>15.16</v>
      </c>
      <c r="I43" s="26">
        <f>F43*D43</f>
        <v>16.537274111307084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</v>
      </c>
      <c r="E45" s="107">
        <f>D45/$D$48</f>
        <v>1.2706941620679642E-3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0.39759222633072494</v>
      </c>
      <c r="D46" s="22">
        <f>SUM(D41:D45)</f>
        <v>1162.9000000000001</v>
      </c>
      <c r="E46" s="113">
        <f>D46/$D$48</f>
        <v>0.21109860586697651</v>
      </c>
      <c r="F46" s="20">
        <f>I46/D46</f>
        <v>0.43371316829525353</v>
      </c>
      <c r="G46" s="19">
        <f>F46/C46-1</f>
        <v>9.0849215785427484E-2</v>
      </c>
      <c r="H46" s="18">
        <f>SUM(H41:H44)</f>
        <v>462.36000000000007</v>
      </c>
      <c r="I46" s="18">
        <f>SUM(I41:I44)</f>
        <v>504.36504341055036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96.4791259995974</v>
      </c>
      <c r="D48" s="13">
        <f>D24+D32+D40+D46</f>
        <v>5508.7999999999993</v>
      </c>
      <c r="E48" s="12">
        <f>SUM(E20:E46)/2</f>
        <v>1.0000000000000002</v>
      </c>
      <c r="F48" s="11">
        <f>I48/D48</f>
        <v>25.700000000000003</v>
      </c>
      <c r="G48" s="10"/>
      <c r="H48" s="9">
        <f>SUM(H20:H46)/2</f>
        <v>129785.27</v>
      </c>
      <c r="I48" s="9">
        <f>SUM(I20:I46)/2</f>
        <v>141576.16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5508.7999999999993</v>
      </c>
      <c r="E50" s="12">
        <f>D50/G2</f>
        <v>0.99999999999999989</v>
      </c>
      <c r="F50" s="11">
        <f>I50/D50</f>
        <v>25.700000000000003</v>
      </c>
      <c r="G50" s="10"/>
      <c r="H50" s="9">
        <f>H48+H19</f>
        <v>129785.27</v>
      </c>
      <c r="I50" s="9">
        <f>I48+I19</f>
        <v>141576.16</v>
      </c>
      <c r="J50" s="106">
        <f>D50-G2</f>
        <v>0</v>
      </c>
      <c r="K50" s="8"/>
    </row>
    <row r="51" spans="1:11" ht="23.25" x14ac:dyDescent="0.35">
      <c r="A51" s="174" t="s">
        <v>492</v>
      </c>
      <c r="B51" s="169"/>
      <c r="C51" s="170"/>
      <c r="G51" s="7"/>
      <c r="H51" s="6"/>
      <c r="I51" s="6">
        <f>+I50/D50</f>
        <v>25.700000000000003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488</v>
      </c>
      <c r="D1" s="100" t="s">
        <v>1</v>
      </c>
      <c r="E1" s="168" t="s">
        <v>451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488</v>
      </c>
      <c r="D2" s="96" t="s">
        <v>3</v>
      </c>
      <c r="E2" s="95" t="s">
        <v>112</v>
      </c>
      <c r="F2" s="94" t="s">
        <v>5</v>
      </c>
      <c r="G2" s="93">
        <v>7374.4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452</v>
      </c>
      <c r="D3" s="90" t="s">
        <v>7</v>
      </c>
      <c r="E3" s="89">
        <v>100</v>
      </c>
      <c r="F3" s="88" t="s">
        <v>8</v>
      </c>
      <c r="G3" s="87">
        <v>25.89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73.744</v>
      </c>
      <c r="F4" s="81" t="s">
        <v>12</v>
      </c>
      <c r="G4" s="80">
        <f>G2*G3</f>
        <v>190923.21599999999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-9.8748540047794542E-2</v>
      </c>
      <c r="F6" s="69" t="s">
        <v>16</v>
      </c>
      <c r="G6" s="68">
        <f>(I50-I19)/(D50-(SUM(D42:D44)+D19))</f>
        <v>32.539107967618236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28.457587187237877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29.666210581290454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24.6</v>
      </c>
      <c r="D12" s="30"/>
      <c r="E12" s="29" t="e">
        <f t="shared" si="1"/>
        <v>#DIV/0!</v>
      </c>
      <c r="F12" s="28">
        <f t="shared" si="2"/>
        <v>27.029214085175749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29.666210581290454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30.1</v>
      </c>
      <c r="D14" s="30"/>
      <c r="E14" s="29" t="e">
        <f t="shared" si="1"/>
        <v>#DIV/0!</v>
      </c>
      <c r="F14" s="28">
        <f t="shared" si="2"/>
        <v>33.072331055438617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27.358838647190083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</v>
      </c>
      <c r="D16" s="30"/>
      <c r="E16" s="29" t="e">
        <f t="shared" si="1"/>
        <v>#DIV/0!</v>
      </c>
      <c r="F16" s="28">
        <f t="shared" si="2"/>
        <v>37.357450361625013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50.1</v>
      </c>
      <c r="D17" s="30"/>
      <c r="E17" s="29" t="e">
        <f t="shared" si="1"/>
        <v>#DIV/0!</v>
      </c>
      <c r="F17" s="28">
        <f t="shared" si="2"/>
        <v>55.047301856394512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43.9</v>
      </c>
      <c r="D18" s="30"/>
      <c r="E18" s="29" t="e">
        <f t="shared" si="1"/>
        <v>#DIV/0!</v>
      </c>
      <c r="F18" s="28">
        <f t="shared" si="2"/>
        <v>48.235060908098177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65.099999999999994</v>
      </c>
      <c r="D21" s="30">
        <v>77.400000000000006</v>
      </c>
      <c r="E21" s="29">
        <f>D21/$D$48</f>
        <v>1.0495484500854284E-2</v>
      </c>
      <c r="F21" s="28">
        <f>C21-(C21*$E$6)</f>
        <v>71.528529957111417</v>
      </c>
      <c r="G21" s="27" t="str">
        <f>IF(C21&gt;=F21,"-","+")</f>
        <v>+</v>
      </c>
      <c r="H21" s="26">
        <f>C21*D21</f>
        <v>5038.74</v>
      </c>
      <c r="I21" s="26">
        <f>F21*D21</f>
        <v>5536.308218680424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43.7</v>
      </c>
      <c r="D22" s="30">
        <v>187.5</v>
      </c>
      <c r="E22" s="29">
        <f>D22/$D$48</f>
        <v>2.5425107802457082E-2</v>
      </c>
      <c r="F22" s="28">
        <f>C22-(C22*$E$6)</f>
        <v>48.015311200088625</v>
      </c>
      <c r="G22" s="27" t="str">
        <f>IF(C22&gt;=F22,"-","+")</f>
        <v>+</v>
      </c>
      <c r="H22" s="26">
        <f>C22*D22</f>
        <v>8193.75</v>
      </c>
      <c r="I22" s="26">
        <f>F22*D22</f>
        <v>9002.8708500166176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39.9</v>
      </c>
      <c r="D23" s="30">
        <v>148.30000000000001</v>
      </c>
      <c r="E23" s="29">
        <f>D23/$D$48</f>
        <v>2.0109565264556723E-2</v>
      </c>
      <c r="F23" s="28">
        <f>C23-(C23*$E$6)</f>
        <v>43.840066747907002</v>
      </c>
      <c r="G23" s="27" t="str">
        <f>IF(C23&gt;=F23,"-","+")</f>
        <v>+</v>
      </c>
      <c r="H23" s="26">
        <f>C23*D23</f>
        <v>5917.17</v>
      </c>
      <c r="I23" s="26">
        <f>F23*D23</f>
        <v>6501.4818987146091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46.344772507260409</v>
      </c>
      <c r="D24" s="22">
        <f>SUM(D21:D23)</f>
        <v>413.2</v>
      </c>
      <c r="E24" s="21">
        <f>D24/$D$48</f>
        <v>5.6030157567868083E-2</v>
      </c>
      <c r="F24" s="20">
        <f>I24/D24</f>
        <v>50.921251131199547</v>
      </c>
      <c r="G24" s="19">
        <f>F24/C24-1</f>
        <v>9.8748540047794764E-2</v>
      </c>
      <c r="H24" s="18">
        <f>SUM(H21:H23)</f>
        <v>19149.66</v>
      </c>
      <c r="I24" s="18">
        <f>SUM(I21:I23)</f>
        <v>21040.660967411652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34.700000000000003</v>
      </c>
      <c r="D26" s="30">
        <f>1717-418</f>
        <v>1299</v>
      </c>
      <c r="E26" s="29">
        <f t="shared" ref="E26:E32" si="7">D26/$D$48</f>
        <v>0.17614514685542265</v>
      </c>
      <c r="F26" s="28">
        <f t="shared" ref="F26:F31" si="8">C26-(C26*$E$6)</f>
        <v>38.126574339658475</v>
      </c>
      <c r="G26" s="27" t="str">
        <f t="shared" ref="G26:G31" si="9">IF(C26&gt;=F26,"-","+")</f>
        <v>+</v>
      </c>
      <c r="H26" s="26">
        <f t="shared" ref="H26:H31" si="10">C26*D26</f>
        <v>45075.3</v>
      </c>
      <c r="I26" s="26">
        <f t="shared" ref="I26:I31" si="11">F26*D26</f>
        <v>49526.420067216357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30.9</v>
      </c>
      <c r="D27" s="30">
        <v>1101.7</v>
      </c>
      <c r="E27" s="29">
        <f t="shared" si="7"/>
        <v>0.14939115341849049</v>
      </c>
      <c r="F27" s="28">
        <f t="shared" si="8"/>
        <v>33.951329887476852</v>
      </c>
      <c r="G27" s="27" t="str">
        <f t="shared" si="9"/>
        <v>+</v>
      </c>
      <c r="H27" s="26">
        <f t="shared" si="10"/>
        <v>34042.53</v>
      </c>
      <c r="I27" s="26">
        <f t="shared" si="11"/>
        <v>37404.180137033247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30.9</v>
      </c>
      <c r="D28" s="30">
        <v>513</v>
      </c>
      <c r="E28" s="29">
        <f t="shared" si="7"/>
        <v>6.956309494752258E-2</v>
      </c>
      <c r="F28" s="28">
        <f t="shared" si="8"/>
        <v>33.951329887476852</v>
      </c>
      <c r="G28" s="27" t="str">
        <f t="shared" si="9"/>
        <v>+</v>
      </c>
      <c r="H28" s="26">
        <f t="shared" si="10"/>
        <v>15851.699999999999</v>
      </c>
      <c r="I28" s="26">
        <f t="shared" si="11"/>
        <v>17417.032232275626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29.9</v>
      </c>
      <c r="D29" s="30">
        <v>602</v>
      </c>
      <c r="E29" s="29">
        <f t="shared" si="7"/>
        <v>8.1631546117755541E-2</v>
      </c>
      <c r="F29" s="28">
        <f t="shared" si="8"/>
        <v>32.852581347429052</v>
      </c>
      <c r="G29" s="27" t="str">
        <f t="shared" si="9"/>
        <v>+</v>
      </c>
      <c r="H29" s="26">
        <f t="shared" si="10"/>
        <v>17999.8</v>
      </c>
      <c r="I29" s="26">
        <f t="shared" si="11"/>
        <v>19777.253971152288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29.9</v>
      </c>
      <c r="D30" s="30">
        <v>387.6</v>
      </c>
      <c r="E30" s="29">
        <f t="shared" si="7"/>
        <v>5.2558782849239281E-2</v>
      </c>
      <c r="F30" s="28">
        <f t="shared" si="8"/>
        <v>32.852581347429052</v>
      </c>
      <c r="G30" s="27" t="str">
        <f t="shared" si="9"/>
        <v>+</v>
      </c>
      <c r="H30" s="26">
        <f t="shared" si="10"/>
        <v>11589.24</v>
      </c>
      <c r="I30" s="26">
        <f t="shared" si="11"/>
        <v>12733.660530263502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30.4</v>
      </c>
      <c r="D31" s="30">
        <v>126.2</v>
      </c>
      <c r="E31" s="29">
        <f t="shared" si="7"/>
        <v>1.7112792558240445E-2</v>
      </c>
      <c r="F31" s="28">
        <f t="shared" si="8"/>
        <v>33.401955617452955</v>
      </c>
      <c r="G31" s="27" t="str">
        <f t="shared" si="9"/>
        <v>+</v>
      </c>
      <c r="H31" s="26">
        <f t="shared" si="10"/>
        <v>3836.48</v>
      </c>
      <c r="I31" s="26">
        <f t="shared" si="11"/>
        <v>4215.3267989225633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31.863767216776278</v>
      </c>
      <c r="D32" s="22">
        <f>SUM(D26:D31)</f>
        <v>4029.4999999999995</v>
      </c>
      <c r="E32" s="21">
        <f t="shared" si="7"/>
        <v>0.54640251674667095</v>
      </c>
      <c r="F32" s="20">
        <f>I32/D32</f>
        <v>35.010267709855711</v>
      </c>
      <c r="G32" s="19">
        <f>F32/C32-1</f>
        <v>9.8748540047794542E-2</v>
      </c>
      <c r="H32" s="18">
        <f>SUM(H26:H31)</f>
        <v>128395.05</v>
      </c>
      <c r="I32" s="18">
        <f>SUM(I26:I31)</f>
        <v>141073.87373686358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f>798.9+537.2</f>
        <v>1336.1</v>
      </c>
      <c r="E34" s="29">
        <f t="shared" ref="E34:E40" si="13">D34/$D$48</f>
        <v>0.18117592818593548</v>
      </c>
      <c r="F34" s="28">
        <f t="shared" ref="F34:F39" si="14">C34-(C34*$E$6)</f>
        <v>20.107098282874642</v>
      </c>
      <c r="G34" s="27" t="str">
        <f t="shared" ref="G34:G39" si="15">IF(C34&gt;=F34,"-","+")</f>
        <v>+</v>
      </c>
      <c r="H34" s="26">
        <f t="shared" ref="H34:H39" si="16">C34*D34</f>
        <v>24450.63</v>
      </c>
      <c r="I34" s="26">
        <f t="shared" ref="I34:I39" si="17">F34*D34</f>
        <v>26865.094015748808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82.7</v>
      </c>
      <c r="E35" s="29">
        <f t="shared" si="13"/>
        <v>1.1214167548070404E-2</v>
      </c>
      <c r="F35" s="28">
        <f t="shared" si="14"/>
        <v>15.492354414673903</v>
      </c>
      <c r="G35" s="27" t="str">
        <f t="shared" si="15"/>
        <v>+</v>
      </c>
      <c r="H35" s="26">
        <f t="shared" si="16"/>
        <v>1166.07</v>
      </c>
      <c r="I35" s="26">
        <f t="shared" si="17"/>
        <v>1281.2177100935319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12.415858502540079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29.9</v>
      </c>
      <c r="D37" s="30"/>
      <c r="E37" s="29">
        <f t="shared" si="13"/>
        <v>0</v>
      </c>
      <c r="F37" s="28">
        <f t="shared" si="14"/>
        <v>32.852581347429052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29.9</v>
      </c>
      <c r="D38" s="30"/>
      <c r="E38" s="29">
        <f t="shared" si="13"/>
        <v>0</v>
      </c>
      <c r="F38" s="28">
        <f t="shared" si="14"/>
        <v>32.852581347429052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30.9</v>
      </c>
      <c r="D39" s="30"/>
      <c r="E39" s="29">
        <f t="shared" si="13"/>
        <v>0</v>
      </c>
      <c r="F39" s="28">
        <f t="shared" si="14"/>
        <v>33.951329887476852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18.055187482379477</v>
      </c>
      <c r="D40" s="22">
        <f>SUM(D34:D39)</f>
        <v>1418.8</v>
      </c>
      <c r="E40" s="113">
        <f t="shared" si="13"/>
        <v>0.19239009573400589</v>
      </c>
      <c r="F40" s="20">
        <f>I40/D40</f>
        <v>19.838110886553665</v>
      </c>
      <c r="G40" s="19">
        <f>F40/C40-1</f>
        <v>9.8748540047794542E-2</v>
      </c>
      <c r="H40" s="18">
        <f>SUM(H34:H39)</f>
        <v>25616.7</v>
      </c>
      <c r="I40" s="18">
        <f>SUM(I34:I39)</f>
        <v>28146.311725842341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696+87.5+674.1</f>
        <v>1457.6</v>
      </c>
      <c r="E42" s="107">
        <f>D42/$D$48</f>
        <v>0.19765139804192769</v>
      </c>
      <c r="F42" s="28">
        <f>C42-(C42*$E$6)</f>
        <v>0.43949941601911785</v>
      </c>
      <c r="G42" s="27" t="str">
        <f>IF(C42&gt;=F42,"-","+")</f>
        <v>+</v>
      </c>
      <c r="H42" s="26">
        <f>C42*D42</f>
        <v>583.04</v>
      </c>
      <c r="I42" s="26">
        <f>F42*D42</f>
        <v>640.61434878946613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49.5</v>
      </c>
      <c r="E43" s="107">
        <f>D43/$D$48</f>
        <v>6.7122284598486693E-3</v>
      </c>
      <c r="F43" s="28">
        <f>C43-(C43*$E$6)</f>
        <v>0.43949941601911785</v>
      </c>
      <c r="G43" s="27" t="str">
        <f>IF(C43&gt;=F43,"-","+")</f>
        <v>+</v>
      </c>
      <c r="H43" s="26">
        <f>C43*D43</f>
        <v>19.8</v>
      </c>
      <c r="I43" s="26">
        <f>F43*D43</f>
        <v>21.755221092946332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8.1360344967862657E-4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0.39841385235609011</v>
      </c>
      <c r="D46" s="22">
        <f>SUM(D41:D45)</f>
        <v>1513.1</v>
      </c>
      <c r="E46" s="113">
        <f>D46/$D$48</f>
        <v>0.20517722995145496</v>
      </c>
      <c r="F46" s="20">
        <f>I46/D46</f>
        <v>0.43775663861107167</v>
      </c>
      <c r="G46" s="19">
        <f>F46/C46-1</f>
        <v>9.8748540047794764E-2</v>
      </c>
      <c r="H46" s="18">
        <f>SUM(H41:H44)</f>
        <v>602.83999999999992</v>
      </c>
      <c r="I46" s="18">
        <f>SUM(I41:I44)</f>
        <v>662.36956988241252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96.662141058772249</v>
      </c>
      <c r="D48" s="13">
        <f>D24+D32+D40+D46</f>
        <v>7374.6</v>
      </c>
      <c r="E48" s="12">
        <f>SUM(E20:E46)/2</f>
        <v>1</v>
      </c>
      <c r="F48" s="11">
        <f>I48/D48</f>
        <v>25.889297860222928</v>
      </c>
      <c r="G48" s="10"/>
      <c r="H48" s="9">
        <f>SUM(H20:H46)/2</f>
        <v>173764.25</v>
      </c>
      <c r="I48" s="9">
        <f>SUM(I20:I46)/2</f>
        <v>190923.21600000001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7374.6</v>
      </c>
      <c r="E50" s="12">
        <f>D50/G2</f>
        <v>1.00002712085051</v>
      </c>
      <c r="F50" s="11">
        <f>I50/D50</f>
        <v>25.889297860222928</v>
      </c>
      <c r="G50" s="10"/>
      <c r="H50" s="9">
        <f>H48+H19</f>
        <v>173764.25</v>
      </c>
      <c r="I50" s="9">
        <f>I48+I19</f>
        <v>190923.21600000001</v>
      </c>
      <c r="J50" s="106">
        <f>D50-G2</f>
        <v>0.2000000000007276</v>
      </c>
      <c r="K50" s="8"/>
    </row>
    <row r="51" spans="1:11" ht="23.25" x14ac:dyDescent="0.35">
      <c r="A51" s="174" t="s">
        <v>493</v>
      </c>
      <c r="B51" s="169"/>
      <c r="C51" s="170"/>
      <c r="G51" s="7"/>
      <c r="H51" s="6"/>
      <c r="I51" s="6">
        <f>+I50/D50</f>
        <v>25.889297860222928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488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494</v>
      </c>
      <c r="B2" s="98"/>
      <c r="C2" s="101" t="s">
        <v>488</v>
      </c>
      <c r="D2" s="96" t="s">
        <v>3</v>
      </c>
      <c r="E2" s="95" t="s">
        <v>362</v>
      </c>
      <c r="F2" s="94" t="s">
        <v>5</v>
      </c>
      <c r="G2" s="93">
        <v>27633.8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348</v>
      </c>
      <c r="F3" s="88" t="s">
        <v>8</v>
      </c>
      <c r="G3" s="87">
        <v>29.35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79.407471264367814</v>
      </c>
      <c r="F4" s="81" t="s">
        <v>12</v>
      </c>
      <c r="G4" s="80">
        <f>G2*G3</f>
        <v>811052.03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3.2432947801676049E-3</v>
      </c>
      <c r="F6" s="69" t="s">
        <v>16</v>
      </c>
      <c r="G6" s="68">
        <f>(I50-I19)/(D50-(SUM(D42:D44)+D19))</f>
        <v>34.182099135255498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29.4</v>
      </c>
      <c r="D10" s="30"/>
      <c r="E10" s="29">
        <f t="shared" ref="E10:E19" si="1">D10/$D$19</f>
        <v>0</v>
      </c>
      <c r="F10" s="28">
        <f t="shared" ref="F10:F18" si="2">C10-(C10*$E$6)</f>
        <v>29.304647133463071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30.6</v>
      </c>
      <c r="D11" s="30">
        <v>777.4</v>
      </c>
      <c r="E11" s="29">
        <f t="shared" si="1"/>
        <v>0.36862819479349423</v>
      </c>
      <c r="F11" s="28">
        <f t="shared" si="2"/>
        <v>30.500755179726873</v>
      </c>
      <c r="G11" s="27" t="str">
        <f t="shared" si="3"/>
        <v>-</v>
      </c>
      <c r="H11" s="34">
        <f t="shared" si="4"/>
        <v>23788.44</v>
      </c>
      <c r="I11" s="34">
        <f t="shared" si="5"/>
        <v>23711.287076719669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27.9</v>
      </c>
      <c r="D12" s="30">
        <v>161.6</v>
      </c>
      <c r="E12" s="29">
        <f t="shared" si="1"/>
        <v>7.6627625776471142E-2</v>
      </c>
      <c r="F12" s="28">
        <f t="shared" si="2"/>
        <v>27.809512075633322</v>
      </c>
      <c r="G12" s="27" t="str">
        <f t="shared" si="3"/>
        <v>-</v>
      </c>
      <c r="H12" s="34">
        <f t="shared" si="4"/>
        <v>4508.6399999999994</v>
      </c>
      <c r="I12" s="34">
        <f t="shared" si="5"/>
        <v>4494.0171514223448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30.6</v>
      </c>
      <c r="D13" s="30"/>
      <c r="E13" s="29">
        <f t="shared" si="1"/>
        <v>0</v>
      </c>
      <c r="F13" s="28">
        <f t="shared" si="2"/>
        <v>30.500755179726873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34.200000000000003</v>
      </c>
      <c r="D14" s="30">
        <v>250</v>
      </c>
      <c r="E14" s="29">
        <f t="shared" si="1"/>
        <v>0.11854521314429323</v>
      </c>
      <c r="F14" s="28">
        <f t="shared" si="2"/>
        <v>34.089079318518273</v>
      </c>
      <c r="G14" s="27" t="str">
        <f t="shared" si="3"/>
        <v>-</v>
      </c>
      <c r="H14" s="34">
        <f t="shared" si="4"/>
        <v>8550</v>
      </c>
      <c r="I14" s="34">
        <f t="shared" si="5"/>
        <v>8522.2698296295675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28.2</v>
      </c>
      <c r="D15" s="30">
        <f>13+263</f>
        <v>276</v>
      </c>
      <c r="E15" s="29">
        <f t="shared" si="1"/>
        <v>0.13087391531129972</v>
      </c>
      <c r="F15" s="28">
        <f t="shared" si="2"/>
        <v>28.108539087199272</v>
      </c>
      <c r="G15" s="27" t="str">
        <f t="shared" si="3"/>
        <v>-</v>
      </c>
      <c r="H15" s="34">
        <f t="shared" si="4"/>
        <v>7783.2</v>
      </c>
      <c r="I15" s="34">
        <f t="shared" si="5"/>
        <v>7757.9567880669993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38.6</v>
      </c>
      <c r="D16" s="30">
        <v>643.9</v>
      </c>
      <c r="E16" s="29">
        <f t="shared" si="1"/>
        <v>0.30532505097444163</v>
      </c>
      <c r="F16" s="28">
        <f t="shared" si="2"/>
        <v>38.474808821485531</v>
      </c>
      <c r="G16" s="27" t="str">
        <f t="shared" si="3"/>
        <v>-</v>
      </c>
      <c r="H16" s="34">
        <f t="shared" si="4"/>
        <v>24854.54</v>
      </c>
      <c r="I16" s="34">
        <f t="shared" si="5"/>
        <v>24773.929400154531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56.8</v>
      </c>
      <c r="D17" s="30"/>
      <c r="E17" s="29">
        <f t="shared" si="1"/>
        <v>0</v>
      </c>
      <c r="F17" s="28">
        <f t="shared" si="2"/>
        <v>56.615780856486474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49.7</v>
      </c>
      <c r="D18" s="30"/>
      <c r="E18" s="29">
        <f t="shared" si="1"/>
        <v>0</v>
      </c>
      <c r="F18" s="28">
        <f t="shared" si="2"/>
        <v>49.538808249425671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32.948371188771397</v>
      </c>
      <c r="D19" s="49">
        <f>SUM(D10:D18)</f>
        <v>2108.9</v>
      </c>
      <c r="E19" s="48">
        <f t="shared" si="1"/>
        <v>1</v>
      </c>
      <c r="F19" s="47">
        <f>I19/D19</f>
        <v>32.841509908479821</v>
      </c>
      <c r="G19" s="46">
        <f>F19/C19-1</f>
        <v>-3.2432947801678269E-3</v>
      </c>
      <c r="H19" s="9">
        <f>SUM(H10:H18)</f>
        <v>69484.820000000007</v>
      </c>
      <c r="I19" s="9">
        <f>SUM(I10:I18)</f>
        <v>69259.460245993105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73.8</v>
      </c>
      <c r="D21" s="30">
        <v>189.5</v>
      </c>
      <c r="E21" s="29">
        <f>D21/$D$48</f>
        <v>7.424035854763136E-3</v>
      </c>
      <c r="F21" s="28">
        <f>C21-(C21*$E$6)</f>
        <v>73.560644845223635</v>
      </c>
      <c r="G21" s="27" t="str">
        <f>IF(C21&gt;=F21,"-","+")</f>
        <v>-</v>
      </c>
      <c r="H21" s="26">
        <f>C21*D21</f>
        <v>13985.1</v>
      </c>
      <c r="I21" s="26">
        <f>F21*D21</f>
        <v>13939.742198169879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49.6</v>
      </c>
      <c r="D22" s="30">
        <v>869.2</v>
      </c>
      <c r="E22" s="29">
        <f>D22/$D$48</f>
        <v>3.4052622506385848E-2</v>
      </c>
      <c r="F22" s="28">
        <f>C22-(C22*$E$6)</f>
        <v>49.439132578903688</v>
      </c>
      <c r="G22" s="27" t="str">
        <f>IF(C22&gt;=F22,"-","+")</f>
        <v>-</v>
      </c>
      <c r="H22" s="26">
        <f>C22*D22</f>
        <v>43112.320000000007</v>
      </c>
      <c r="I22" s="26">
        <f>F22*D22</f>
        <v>42972.494037583085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45.2</v>
      </c>
      <c r="D23" s="30">
        <v>380.2</v>
      </c>
      <c r="E23" s="29">
        <f>D23/$D$48</f>
        <v>1.489508407377807E-2</v>
      </c>
      <c r="F23" s="28">
        <f>C23-(C23*$E$6)</f>
        <v>45.05340307593643</v>
      </c>
      <c r="G23" s="27" t="str">
        <f>IF(C23&gt;=F23,"-","+")</f>
        <v>-</v>
      </c>
      <c r="H23" s="26">
        <f>C23*D23</f>
        <v>17185.04</v>
      </c>
      <c r="I23" s="26">
        <f>F23*D23</f>
        <v>17129.303849471031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51.624477031065396</v>
      </c>
      <c r="D24" s="22">
        <f>SUM(D21:D23)</f>
        <v>1438.9</v>
      </c>
      <c r="E24" s="21">
        <f>D24/$D$48</f>
        <v>5.6371742434927055E-2</v>
      </c>
      <c r="F24" s="20">
        <f>I24/D24</f>
        <v>51.457043634181659</v>
      </c>
      <c r="G24" s="19">
        <f>F24/C24-1</f>
        <v>-3.2432947801676049E-3</v>
      </c>
      <c r="H24" s="18">
        <f>SUM(H21:H23)</f>
        <v>74282.460000000006</v>
      </c>
      <c r="I24" s="18">
        <f>SUM(I21:I23)</f>
        <v>74041.540085223998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39.4</v>
      </c>
      <c r="D26" s="30">
        <f>1071.9+102.8+3619.2</f>
        <v>4793.8999999999996</v>
      </c>
      <c r="E26" s="29">
        <f t="shared" ref="E26:E32" si="7">D26/$D$48</f>
        <v>0.18781047748891289</v>
      </c>
      <c r="F26" s="28">
        <f t="shared" ref="F26:F31" si="8">C26-(C26*$E$6)</f>
        <v>39.272214185661397</v>
      </c>
      <c r="G26" s="27" t="str">
        <f t="shared" ref="G26:G31" si="9">IF(C26&gt;=F26,"-","+")</f>
        <v>-</v>
      </c>
      <c r="H26" s="26">
        <f t="shared" ref="H26:H31" si="10">C26*D26</f>
        <v>188879.65999999997</v>
      </c>
      <c r="I26" s="26">
        <f t="shared" ref="I26:I31" si="11">F26*D26</f>
        <v>188267.06758464215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35.1</v>
      </c>
      <c r="D27" s="30">
        <v>3924</v>
      </c>
      <c r="E27" s="29">
        <f t="shared" si="7"/>
        <v>0.15373043110338019</v>
      </c>
      <c r="F27" s="28">
        <f t="shared" si="8"/>
        <v>34.986160353216121</v>
      </c>
      <c r="G27" s="27" t="str">
        <f t="shared" si="9"/>
        <v>-</v>
      </c>
      <c r="H27" s="26">
        <f t="shared" si="10"/>
        <v>137732.4</v>
      </c>
      <c r="I27" s="26">
        <f t="shared" si="11"/>
        <v>137285.69322602006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35.1</v>
      </c>
      <c r="D28" s="30">
        <v>2850.2</v>
      </c>
      <c r="E28" s="29">
        <f t="shared" si="7"/>
        <v>0.11166220049206274</v>
      </c>
      <c r="F28" s="28">
        <f t="shared" si="8"/>
        <v>34.986160353216121</v>
      </c>
      <c r="G28" s="27" t="str">
        <f t="shared" si="9"/>
        <v>-</v>
      </c>
      <c r="H28" s="26">
        <f t="shared" si="10"/>
        <v>100042.02</v>
      </c>
      <c r="I28" s="26">
        <f t="shared" si="11"/>
        <v>99717.554238736586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33.9</v>
      </c>
      <c r="D29" s="30">
        <v>2559.4</v>
      </c>
      <c r="E29" s="29">
        <f t="shared" si="7"/>
        <v>0.10026953755504364</v>
      </c>
      <c r="F29" s="28">
        <f t="shared" si="8"/>
        <v>33.790052306952319</v>
      </c>
      <c r="G29" s="27" t="str">
        <f t="shared" si="9"/>
        <v>-</v>
      </c>
      <c r="H29" s="26">
        <f t="shared" si="10"/>
        <v>86763.66</v>
      </c>
      <c r="I29" s="26">
        <f t="shared" si="11"/>
        <v>86482.259874413765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33.9</v>
      </c>
      <c r="D30" s="30">
        <v>1750.8</v>
      </c>
      <c r="E30" s="29">
        <f t="shared" si="7"/>
        <v>6.8591039443373608E-2</v>
      </c>
      <c r="F30" s="28">
        <f t="shared" si="8"/>
        <v>33.790052306952319</v>
      </c>
      <c r="G30" s="27" t="str">
        <f t="shared" si="9"/>
        <v>-</v>
      </c>
      <c r="H30" s="26">
        <f t="shared" si="10"/>
        <v>59352.119999999995</v>
      </c>
      <c r="I30" s="26">
        <f t="shared" si="11"/>
        <v>59159.623579012121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34.5</v>
      </c>
      <c r="D31" s="30">
        <v>397.7</v>
      </c>
      <c r="E31" s="29">
        <f t="shared" si="7"/>
        <v>1.5580681052450127E-2</v>
      </c>
      <c r="F31" s="28">
        <f t="shared" si="8"/>
        <v>34.38810633008422</v>
      </c>
      <c r="G31" s="27" t="str">
        <f t="shared" si="9"/>
        <v>-</v>
      </c>
      <c r="H31" s="26">
        <f t="shared" si="10"/>
        <v>13720.65</v>
      </c>
      <c r="I31" s="26">
        <f t="shared" si="11"/>
        <v>13676.149887474494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36.034069181617113</v>
      </c>
      <c r="D32" s="22">
        <f>SUM(D26:D31)</f>
        <v>16275.999999999998</v>
      </c>
      <c r="E32" s="21">
        <f t="shared" si="7"/>
        <v>0.6376443671352231</v>
      </c>
      <c r="F32" s="20">
        <f>I32/D32</f>
        <v>35.917200073132172</v>
      </c>
      <c r="G32" s="19">
        <f>F32/C32-1</f>
        <v>-3.2432947801677159E-3</v>
      </c>
      <c r="H32" s="18">
        <f>SUM(H26:H31)</f>
        <v>586490.51</v>
      </c>
      <c r="I32" s="18">
        <f>SUM(I26:I31)</f>
        <v>584588.34839029913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3810.4</v>
      </c>
      <c r="E34" s="29">
        <f t="shared" ref="E34:E40" si="13">D34/$D$48</f>
        <v>0.1492799272875433</v>
      </c>
      <c r="F34" s="28">
        <f t="shared" ref="F34:F39" si="14">C34-(C34*$E$6)</f>
        <v>20.632863798050529</v>
      </c>
      <c r="G34" s="27" t="str">
        <f t="shared" ref="G34:G39" si="15">IF(C34&gt;=F34,"-","+")</f>
        <v>-</v>
      </c>
      <c r="H34" s="26">
        <f t="shared" ref="H34:H39" si="16">C34*D34</f>
        <v>78875.28</v>
      </c>
      <c r="I34" s="26">
        <f t="shared" ref="I34:I39" si="17">F34*D34</f>
        <v>78619.464216091743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>
        <v>166.5</v>
      </c>
      <c r="E35" s="29">
        <f t="shared" si="13"/>
        <v>6.5229655399370035E-3</v>
      </c>
      <c r="F35" s="28">
        <f t="shared" si="14"/>
        <v>15.948107283517318</v>
      </c>
      <c r="G35" s="27" t="str">
        <f t="shared" si="15"/>
        <v>-</v>
      </c>
      <c r="H35" s="26">
        <f t="shared" si="16"/>
        <v>2664</v>
      </c>
      <c r="I35" s="26">
        <f t="shared" si="17"/>
        <v>2655.3598627056335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12.758485826813855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33.9</v>
      </c>
      <c r="D37" s="30"/>
      <c r="E37" s="29">
        <f t="shared" si="13"/>
        <v>0</v>
      </c>
      <c r="F37" s="28">
        <f t="shared" si="14"/>
        <v>33.790052306952319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33.9</v>
      </c>
      <c r="D38" s="30"/>
      <c r="E38" s="29">
        <f t="shared" si="13"/>
        <v>0</v>
      </c>
      <c r="F38" s="28">
        <f t="shared" si="14"/>
        <v>33.790052306952319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35.1</v>
      </c>
      <c r="D39" s="30"/>
      <c r="E39" s="29">
        <f t="shared" si="13"/>
        <v>0</v>
      </c>
      <c r="F39" s="28">
        <f t="shared" si="14"/>
        <v>34.986160353216121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20.503226130905983</v>
      </c>
      <c r="D40" s="22">
        <f>SUM(D34:D39)</f>
        <v>3976.9</v>
      </c>
      <c r="E40" s="113">
        <f t="shared" si="13"/>
        <v>0.1558028928274803</v>
      </c>
      <c r="F40" s="20">
        <f>I40/D40</f>
        <v>20.43672812461902</v>
      </c>
      <c r="G40" s="19">
        <f>F40/C40-1</f>
        <v>-3.2432947801676049E-3</v>
      </c>
      <c r="H40" s="18">
        <f>SUM(H34:H39)</f>
        <v>81539.28</v>
      </c>
      <c r="I40" s="18">
        <f>SUM(I34:I39)</f>
        <v>81274.824078797377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3539+72</f>
        <v>3611</v>
      </c>
      <c r="E42" s="107">
        <f>D42/$D$48</f>
        <v>0.14146803942770281</v>
      </c>
      <c r="F42" s="28">
        <f>C42-(C42*$E$6)</f>
        <v>0.4983783526099162</v>
      </c>
      <c r="G42" s="27" t="str">
        <f>IF(C42&gt;=F42,"-","+")</f>
        <v>-</v>
      </c>
      <c r="H42" s="26">
        <f>C42*D42</f>
        <v>1805.5</v>
      </c>
      <c r="I42" s="26">
        <f>F42*D42</f>
        <v>1799.6442312744075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177</v>
      </c>
      <c r="E43" s="107">
        <f>D43/$D$48</f>
        <v>6.9343237271402378E-3</v>
      </c>
      <c r="F43" s="28">
        <f>C43-(C43*$E$6)</f>
        <v>0.4983783526099162</v>
      </c>
      <c r="G43" s="27" t="str">
        <f>IF(C43&gt;=F43,"-","+")</f>
        <v>-</v>
      </c>
      <c r="H43" s="26">
        <f>C43*D43</f>
        <v>88.5</v>
      </c>
      <c r="I43" s="26">
        <f>F43*D43</f>
        <v>88.212968411955174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36</v>
      </c>
      <c r="E44" s="107">
        <f>D44/$D$48</f>
        <v>1.4103709275539466E-3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9.4</v>
      </c>
      <c r="E45" s="107">
        <f>D45/$D$48</f>
        <v>3.6826351997241942E-4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0.49407836385454162</v>
      </c>
      <c r="D46" s="22">
        <f>SUM(D41:D45)</f>
        <v>3833.4</v>
      </c>
      <c r="E46" s="113">
        <f>D46/$D$48</f>
        <v>0.15018099760236941</v>
      </c>
      <c r="F46" s="20">
        <f>I46/D46</f>
        <v>0.4924759220760585</v>
      </c>
      <c r="G46" s="19">
        <f>F46/C46-1</f>
        <v>-3.2432947801674938E-3</v>
      </c>
      <c r="H46" s="18">
        <f>SUM(H41:H44)</f>
        <v>1894</v>
      </c>
      <c r="I46" s="18">
        <f>SUM(I41:I44)</f>
        <v>1887.8571996863627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108.65585070744304</v>
      </c>
      <c r="D48" s="13">
        <f>D24+D32+D40+D46</f>
        <v>25525.200000000001</v>
      </c>
      <c r="E48" s="12">
        <f>SUM(E20:E46)/2</f>
        <v>1</v>
      </c>
      <c r="F48" s="11">
        <f>I48/D48</f>
        <v>29.06118540712734</v>
      </c>
      <c r="G48" s="10"/>
      <c r="H48" s="9">
        <f>SUM(H20:H46)/2</f>
        <v>744206.25</v>
      </c>
      <c r="I48" s="9">
        <f>SUM(I20:I46)/2</f>
        <v>741792.56975400681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27634.100000000002</v>
      </c>
      <c r="E50" s="12">
        <f>D50/G2</f>
        <v>1.0000108562702199</v>
      </c>
      <c r="F50" s="11">
        <f>I50/D50</f>
        <v>29.349681371928156</v>
      </c>
      <c r="G50" s="10"/>
      <c r="H50" s="9">
        <f>H48+H19</f>
        <v>813691.07000000007</v>
      </c>
      <c r="I50" s="9">
        <f>I48+I19</f>
        <v>811052.02999999991</v>
      </c>
      <c r="J50" s="106">
        <f>D50-G2</f>
        <v>0.30000000000291038</v>
      </c>
      <c r="K50" s="8"/>
    </row>
    <row r="51" spans="1:11" ht="23.25" x14ac:dyDescent="0.35">
      <c r="A51" s="174" t="s">
        <v>495</v>
      </c>
      <c r="B51" s="169"/>
      <c r="C51" s="170"/>
      <c r="G51" s="7"/>
      <c r="H51" s="6"/>
      <c r="I51" s="6">
        <f>+I50/D50</f>
        <v>29.349681371928156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496</v>
      </c>
      <c r="D2" s="96" t="s">
        <v>3</v>
      </c>
      <c r="E2" s="95" t="s">
        <v>362</v>
      </c>
      <c r="F2" s="94" t="s">
        <v>5</v>
      </c>
      <c r="G2" s="93">
        <v>4756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64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74.3125</v>
      </c>
      <c r="F4" s="81" t="s">
        <v>12</v>
      </c>
      <c r="G4" s="80">
        <f>G2*G3</f>
        <v>139113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-2.58027594391399E-2</v>
      </c>
      <c r="F6" s="69" t="s">
        <v>16</v>
      </c>
      <c r="G6" s="68">
        <f>(I50-I19)/(D50-(SUM(D42:D44)+D19))</f>
        <v>35.202439394706218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30.056020851566799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31.286984162893766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28.517316712408089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31.286984162893766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34.979874096874674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28.825057540239833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39.390825962462969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58.060436184255323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50.879816868181344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41.1</v>
      </c>
      <c r="E21" s="29">
        <f>D21/$D$48</f>
        <v>8.6417157275021032E-3</v>
      </c>
      <c r="F21" s="28">
        <f>C21-(C21*$E$6)</f>
        <v>75.499083094720689</v>
      </c>
      <c r="G21" s="27" t="str">
        <f>IF(C21&gt;=F21,"-","+")</f>
        <v>+</v>
      </c>
      <c r="H21" s="26">
        <f>C21*D21</f>
        <v>3024.96</v>
      </c>
      <c r="I21" s="26">
        <f>F21*D21</f>
        <v>3103.0123151930206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147.5</v>
      </c>
      <c r="E22" s="29">
        <f>D22/$D$48</f>
        <v>3.1013456686291001E-2</v>
      </c>
      <c r="F22" s="28">
        <f>C22-(C22*$E$6)</f>
        <v>50.674656316293508</v>
      </c>
      <c r="G22" s="27" t="str">
        <f>IF(C22&gt;=F22,"-","+")</f>
        <v>+</v>
      </c>
      <c r="H22" s="26">
        <f>C22*D22</f>
        <v>7286.5</v>
      </c>
      <c r="I22" s="26">
        <f>F22*D22</f>
        <v>7474.5118066532923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71.599999999999994</v>
      </c>
      <c r="E23" s="29">
        <f>D23/$D$48</f>
        <v>1.505466778805719E-2</v>
      </c>
      <c r="F23" s="28">
        <f>C23-(C23*$E$6)</f>
        <v>46.161124174761298</v>
      </c>
      <c r="G23" s="27" t="str">
        <f>IF(C23&gt;=F23,"-","+")</f>
        <v>+</v>
      </c>
      <c r="H23" s="26">
        <f>C23*D23</f>
        <v>3221.9999999999995</v>
      </c>
      <c r="I23" s="26">
        <f>F23*D23</f>
        <v>3305.1364909129088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52.011760184473481</v>
      </c>
      <c r="D24" s="22">
        <f>SUM(D21:D23)</f>
        <v>260.2</v>
      </c>
      <c r="E24" s="21">
        <f>D24/$D$48</f>
        <v>5.4709840201850289E-2</v>
      </c>
      <c r="F24" s="20">
        <f>I24/D24</f>
        <v>53.353807120519683</v>
      </c>
      <c r="G24" s="19">
        <f>F24/C24-1</f>
        <v>2.58027594391399E-2</v>
      </c>
      <c r="H24" s="18">
        <f>SUM(H21:H23)</f>
        <v>13533.46</v>
      </c>
      <c r="I24" s="18">
        <f>SUM(I21:I23)</f>
        <v>13882.66061275922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311.8+68.8+558</f>
        <v>938.6</v>
      </c>
      <c r="E26" s="29">
        <f t="shared" ref="E26:E32" si="7">D26/$D$48</f>
        <v>0.19735071488645922</v>
      </c>
      <c r="F26" s="28">
        <f t="shared" ref="F26:F31" si="8">C26-(C26*$E$6)</f>
        <v>40.314048445958193</v>
      </c>
      <c r="G26" s="27" t="str">
        <f t="shared" ref="G26:G31" si="9">IF(C26&gt;=F26,"-","+")</f>
        <v>+</v>
      </c>
      <c r="H26" s="26">
        <f t="shared" ref="H26:H31" si="10">C26*D26</f>
        <v>36886.979999999996</v>
      </c>
      <c r="I26" s="26">
        <f t="shared" ref="I26:I31" si="11">F26*D26</f>
        <v>37838.765871376359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720.6</v>
      </c>
      <c r="E27" s="29">
        <f t="shared" si="7"/>
        <v>0.1515138772077376</v>
      </c>
      <c r="F27" s="28">
        <f t="shared" si="8"/>
        <v>35.903096580369898</v>
      </c>
      <c r="G27" s="27" t="str">
        <f t="shared" si="9"/>
        <v>+</v>
      </c>
      <c r="H27" s="26">
        <f t="shared" si="10"/>
        <v>25221</v>
      </c>
      <c r="I27" s="26">
        <f t="shared" si="11"/>
        <v>25871.77139581455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544</v>
      </c>
      <c r="E28" s="29">
        <f t="shared" si="7"/>
        <v>0.11438183347350715</v>
      </c>
      <c r="F28" s="28">
        <f t="shared" si="8"/>
        <v>35.903096580369898</v>
      </c>
      <c r="G28" s="27" t="str">
        <f t="shared" si="9"/>
        <v>+</v>
      </c>
      <c r="H28" s="26">
        <f t="shared" si="10"/>
        <v>19040</v>
      </c>
      <c r="I28" s="26">
        <f t="shared" si="11"/>
        <v>19531.284539721226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418.8</v>
      </c>
      <c r="E29" s="29">
        <f t="shared" si="7"/>
        <v>8.8057190916736749E-2</v>
      </c>
      <c r="F29" s="28">
        <f t="shared" si="8"/>
        <v>34.672133269042924</v>
      </c>
      <c r="G29" s="27" t="str">
        <f t="shared" si="9"/>
        <v>+</v>
      </c>
      <c r="H29" s="26">
        <f t="shared" si="10"/>
        <v>14155.439999999999</v>
      </c>
      <c r="I29" s="26">
        <f t="shared" si="11"/>
        <v>14520.689413075177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275</v>
      </c>
      <c r="E30" s="29">
        <f t="shared" si="7"/>
        <v>5.7821698906644237E-2</v>
      </c>
      <c r="F30" s="28">
        <f t="shared" si="8"/>
        <v>34.672133269042924</v>
      </c>
      <c r="G30" s="27" t="str">
        <f t="shared" si="9"/>
        <v>+</v>
      </c>
      <c r="H30" s="26">
        <f t="shared" si="10"/>
        <v>9295</v>
      </c>
      <c r="I30" s="26">
        <f t="shared" si="11"/>
        <v>9534.836648986804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72</v>
      </c>
      <c r="E31" s="29">
        <f t="shared" si="7"/>
        <v>1.5138772077375946E-2</v>
      </c>
      <c r="F31" s="28">
        <f t="shared" si="8"/>
        <v>35.287614924706411</v>
      </c>
      <c r="G31" s="27" t="str">
        <f t="shared" si="9"/>
        <v>+</v>
      </c>
      <c r="H31" s="26">
        <f t="shared" si="10"/>
        <v>2476.7999999999997</v>
      </c>
      <c r="I31" s="26">
        <f t="shared" si="11"/>
        <v>2540.7082745788616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36.064405523745371</v>
      </c>
      <c r="D32" s="22">
        <f>SUM(D26:D31)</f>
        <v>2969</v>
      </c>
      <c r="E32" s="21">
        <f t="shared" si="7"/>
        <v>0.62426408746846085</v>
      </c>
      <c r="F32" s="20">
        <f>I32/D32</f>
        <v>36.994966703790162</v>
      </c>
      <c r="G32" s="19">
        <f>F32/C32-1</f>
        <v>2.58027594391399E-2</v>
      </c>
      <c r="H32" s="18">
        <f>SUM(H26:H31)</f>
        <v>107075.22</v>
      </c>
      <c r="I32" s="18">
        <f>SUM(I26:I31)</f>
        <v>109838.05614355298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670.3</v>
      </c>
      <c r="E34" s="29">
        <f t="shared" ref="E34:E40" si="13">D34/$D$48</f>
        <v>0.14093776282590412</v>
      </c>
      <c r="F34" s="28">
        <f t="shared" ref="F34:F39" si="14">C34-(C34*$E$6)</f>
        <v>21.234117120390195</v>
      </c>
      <c r="G34" s="27" t="str">
        <f t="shared" ref="G34:G39" si="15">IF(C34&gt;=F34,"-","+")</f>
        <v>+</v>
      </c>
      <c r="H34" s="26">
        <f t="shared" ref="H34:H39" si="16">C34*D34</f>
        <v>13875.21</v>
      </c>
      <c r="I34" s="26">
        <f t="shared" ref="I34:I39" si="17">F34*D34</f>
        <v>14233.228705797546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46</v>
      </c>
      <c r="E35" s="29">
        <f t="shared" si="13"/>
        <v>9.6719932716568553E-3</v>
      </c>
      <c r="F35" s="28">
        <f t="shared" si="14"/>
        <v>16.310263875082324</v>
      </c>
      <c r="G35" s="27" t="str">
        <f t="shared" si="15"/>
        <v>+</v>
      </c>
      <c r="H35" s="26">
        <f t="shared" si="16"/>
        <v>731.4</v>
      </c>
      <c r="I35" s="26">
        <f t="shared" si="17"/>
        <v>750.27213825378692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13.130275320820992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34.672133269042924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34.672133269042924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35.903096580369898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20.391749267066871</v>
      </c>
      <c r="D40" s="22">
        <f>SUM(D34:D39)</f>
        <v>716.3</v>
      </c>
      <c r="E40" s="113">
        <f t="shared" si="13"/>
        <v>0.15060975609756097</v>
      </c>
      <c r="F40" s="20">
        <f>I40/D40</f>
        <v>20.917912667948254</v>
      </c>
      <c r="G40" s="19">
        <f>F40/C40-1</f>
        <v>2.58027594391399E-2</v>
      </c>
      <c r="H40" s="18">
        <f>SUM(H34:H39)</f>
        <v>14606.609999999999</v>
      </c>
      <c r="I40" s="18">
        <f>SUM(I34:I39)</f>
        <v>14983.500844051334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758</v>
      </c>
      <c r="E42" s="107">
        <f>D42/$D$48</f>
        <v>0.1593776282590412</v>
      </c>
      <c r="F42" s="28">
        <f>C42-(C42*$E$6)</f>
        <v>0.51290137971956995</v>
      </c>
      <c r="G42" s="27" t="str">
        <f>IF(C42&gt;=F42,"-","+")</f>
        <v>+</v>
      </c>
      <c r="H42" s="26">
        <f>C42*D42</f>
        <v>379</v>
      </c>
      <c r="I42" s="26">
        <f>F42*D42</f>
        <v>388.77924582743401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39</v>
      </c>
      <c r="E43" s="107">
        <f>D43/$D$48</f>
        <v>8.2001682085786377E-3</v>
      </c>
      <c r="F43" s="28">
        <f>C43-(C43*$E$6)</f>
        <v>0.51290137971956995</v>
      </c>
      <c r="G43" s="27" t="str">
        <f>IF(C43&gt;=F43,"-","+")</f>
        <v>+</v>
      </c>
      <c r="H43" s="26">
        <f>C43*D43</f>
        <v>19.5</v>
      </c>
      <c r="I43" s="26">
        <f>F43*D43</f>
        <v>20.003153809063228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7.2</v>
      </c>
      <c r="E44" s="107">
        <f>D44/$D$48</f>
        <v>1.5138772077375945E-3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6.3</v>
      </c>
      <c r="E45" s="107">
        <f>D45/$D$48</f>
        <v>1.3246425567703952E-3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0.49167180752621836</v>
      </c>
      <c r="D46" s="22">
        <f>SUM(D41:D45)</f>
        <v>810.5</v>
      </c>
      <c r="E46" s="113">
        <f>D46/$D$48</f>
        <v>0.17041631623212783</v>
      </c>
      <c r="F46" s="20">
        <f>I46/D46</f>
        <v>0.5043582968988245</v>
      </c>
      <c r="G46" s="19">
        <f>F46/C46-1</f>
        <v>2.58027594391399E-2</v>
      </c>
      <c r="H46" s="18">
        <f>SUM(H41:H44)</f>
        <v>398.5</v>
      </c>
      <c r="I46" s="18">
        <f>SUM(I41:I44)</f>
        <v>408.78239963649725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108.95958678281194</v>
      </c>
      <c r="D48" s="13">
        <f>D24+D32+D40+D46</f>
        <v>4756</v>
      </c>
      <c r="E48" s="12">
        <f>SUM(E20:E46)/2</f>
        <v>1</v>
      </c>
      <c r="F48" s="11">
        <f>I48/D48</f>
        <v>29.250000000000007</v>
      </c>
      <c r="G48" s="10"/>
      <c r="H48" s="9">
        <f>SUM(H20:H46)/2</f>
        <v>135613.78999999998</v>
      </c>
      <c r="I48" s="9">
        <f>SUM(I20:I46)/2</f>
        <v>139113.00000000003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4756</v>
      </c>
      <c r="E50" s="12">
        <f>D50/G2</f>
        <v>1</v>
      </c>
      <c r="F50" s="11">
        <f>I50/D50</f>
        <v>29.250000000000007</v>
      </c>
      <c r="G50" s="10"/>
      <c r="H50" s="9">
        <f>H48+H19</f>
        <v>135613.78999999998</v>
      </c>
      <c r="I50" s="9">
        <f>I48+I19</f>
        <v>139113.00000000003</v>
      </c>
      <c r="J50" s="106">
        <f>D50-G2</f>
        <v>0</v>
      </c>
      <c r="K50" s="8"/>
    </row>
    <row r="51" spans="1:11" ht="23.25" x14ac:dyDescent="0.35">
      <c r="A51" s="174" t="s">
        <v>497</v>
      </c>
      <c r="B51" s="169"/>
      <c r="C51" s="170"/>
      <c r="G51" s="7"/>
      <c r="H51" s="6"/>
      <c r="I51" s="6">
        <f>+I50/D50</f>
        <v>29.250000000000007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496</v>
      </c>
      <c r="D2" s="96" t="s">
        <v>3</v>
      </c>
      <c r="E2" s="95" t="s">
        <v>431</v>
      </c>
      <c r="F2" s="94" t="s">
        <v>5</v>
      </c>
      <c r="G2" s="93">
        <v>2482.1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36</v>
      </c>
      <c r="F3" s="88" t="s">
        <v>8</v>
      </c>
      <c r="G3" s="87">
        <v>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68.947222222222223</v>
      </c>
      <c r="F4" s="81" t="s">
        <v>12</v>
      </c>
      <c r="G4" s="80">
        <f>G2*G3</f>
        <v>64534.6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-6.831868755652204E-2</v>
      </c>
      <c r="F6" s="69" t="s">
        <v>16</v>
      </c>
      <c r="G6" s="68">
        <f>(I50-I19)/(D50-(SUM(D42:D44)+D19))</f>
        <v>32.185227669442931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 t="e">
        <f t="shared" ref="E10:E19" si="1">D10/$D$19</f>
        <v>#DIV/0!</v>
      </c>
      <c r="F10" s="28">
        <f t="shared" ref="F10:F18" si="2">C10-(C10*$E$6)</f>
        <v>27.776285876469572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/>
      <c r="E11" s="29" t="e">
        <f t="shared" si="1"/>
        <v>#DIV/0!</v>
      </c>
      <c r="F11" s="28">
        <f t="shared" si="2"/>
        <v>28.951436432781747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26.387471582646093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 t="e">
        <f t="shared" si="1"/>
        <v>#DIV/0!</v>
      </c>
      <c r="F13" s="28">
        <f t="shared" si="2"/>
        <v>28.951436432781747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 t="e">
        <f t="shared" si="1"/>
        <v>#DIV/0!</v>
      </c>
      <c r="F14" s="28">
        <f t="shared" si="2"/>
        <v>32.370056232962618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 t="e">
        <f t="shared" si="1"/>
        <v>#DIV/0!</v>
      </c>
      <c r="F15" s="28">
        <f t="shared" si="2"/>
        <v>26.707967188913052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/>
      <c r="E16" s="29" t="e">
        <f t="shared" si="1"/>
        <v>#DIV/0!</v>
      </c>
      <c r="F16" s="28">
        <f t="shared" si="2"/>
        <v>36.536499114433056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/>
      <c r="E17" s="29" t="e">
        <f t="shared" si="1"/>
        <v>#DIV/0!</v>
      </c>
      <c r="F17" s="28">
        <f t="shared" si="2"/>
        <v>53.736429984093057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 t="e">
        <f t="shared" si="1"/>
        <v>#DIV/0!</v>
      </c>
      <c r="F18" s="28">
        <f t="shared" si="2"/>
        <v>47.006022252486972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35.700000000000003</v>
      </c>
      <c r="E21" s="29">
        <f>D21/$D$48</f>
        <v>1.4382982152209824E-2</v>
      </c>
      <c r="F21" s="28">
        <f>C21-(C21*$E$6)</f>
        <v>69.868042166196545</v>
      </c>
      <c r="G21" s="27" t="str">
        <f>IF(C21&gt;=F21,"-","+")</f>
        <v>+</v>
      </c>
      <c r="H21" s="26">
        <f>C21*D21</f>
        <v>2334.7800000000002</v>
      </c>
      <c r="I21" s="26">
        <f>F21*D21</f>
        <v>2494.2891053332169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66.8</v>
      </c>
      <c r="E22" s="29">
        <f>D22/$D$48</f>
        <v>2.6912694895451433E-2</v>
      </c>
      <c r="F22" s="28">
        <f>C22-(C22*$E$6)</f>
        <v>46.899190383731316</v>
      </c>
      <c r="G22" s="27" t="str">
        <f>IF(C22&gt;=F22,"-","+")</f>
        <v>+</v>
      </c>
      <c r="H22" s="26">
        <f>C22*D22</f>
        <v>2932.52</v>
      </c>
      <c r="I22" s="26">
        <f>F22*D22</f>
        <v>3132.8659176332517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53.3</v>
      </c>
      <c r="E23" s="29">
        <f>D23/$D$48</f>
        <v>2.1473752064783851E-2</v>
      </c>
      <c r="F23" s="28">
        <f>C23-(C23*$E$6)</f>
        <v>42.732747502260878</v>
      </c>
      <c r="G23" s="27" t="str">
        <f>IF(C23&gt;=F23,"-","+")</f>
        <v>+</v>
      </c>
      <c r="H23" s="26">
        <f>C23*D23</f>
        <v>2132</v>
      </c>
      <c r="I23" s="26">
        <f>F23*D23</f>
        <v>2277.6554418705045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47.49229781771502</v>
      </c>
      <c r="D24" s="22">
        <f>SUM(D21:D23)</f>
        <v>155.80000000000001</v>
      </c>
      <c r="E24" s="21">
        <f>D24/$D$48</f>
        <v>6.276942911244511E-2</v>
      </c>
      <c r="F24" s="20">
        <f>I24/D24</f>
        <v>50.736909273664779</v>
      </c>
      <c r="G24" s="19">
        <f>F24/C24-1</f>
        <v>6.8318687556521818E-2</v>
      </c>
      <c r="H24" s="18">
        <f>SUM(H21:H23)</f>
        <v>7399.3</v>
      </c>
      <c r="I24" s="18">
        <f>SUM(I21:I23)</f>
        <v>7904.8104648369726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v>474.4</v>
      </c>
      <c r="E26" s="29">
        <f t="shared" ref="E26:E32" si="7">D26/$D$48</f>
        <v>0.19112847991619999</v>
      </c>
      <c r="F26" s="28">
        <f t="shared" ref="F26:F31" si="8">C26-(C26*$E$6)</f>
        <v>37.284322195722616</v>
      </c>
      <c r="G26" s="27" t="str">
        <f t="shared" ref="G26:G31" si="9">IF(C26&gt;=F26,"-","+")</f>
        <v>+</v>
      </c>
      <c r="H26" s="26">
        <f t="shared" ref="H26:H31" si="10">C26*D26</f>
        <v>16556.559999999998</v>
      </c>
      <c r="I26" s="26">
        <f t="shared" ref="I26:I31" si="11">F26*D26</f>
        <v>17687.682449650809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360.6</v>
      </c>
      <c r="E27" s="29">
        <f t="shared" si="7"/>
        <v>0.14528020627694294</v>
      </c>
      <c r="F27" s="28">
        <f t="shared" si="8"/>
        <v>33.224711183007834</v>
      </c>
      <c r="G27" s="27" t="str">
        <f t="shared" si="9"/>
        <v>+</v>
      </c>
      <c r="H27" s="26">
        <f t="shared" si="10"/>
        <v>11214.660000000002</v>
      </c>
      <c r="I27" s="26">
        <f t="shared" si="11"/>
        <v>11980.830852592626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180.4</v>
      </c>
      <c r="E28" s="29">
        <f t="shared" si="7"/>
        <v>7.2680391603883815E-2</v>
      </c>
      <c r="F28" s="28">
        <f t="shared" si="8"/>
        <v>33.224711183007834</v>
      </c>
      <c r="G28" s="27" t="str">
        <f t="shared" si="9"/>
        <v>+</v>
      </c>
      <c r="H28" s="26">
        <f t="shared" si="10"/>
        <v>5610.4400000000005</v>
      </c>
      <c r="I28" s="26">
        <f t="shared" si="11"/>
        <v>5993.7378974146131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211.6</v>
      </c>
      <c r="E29" s="29">
        <f t="shared" si="7"/>
        <v>8.5250392812537767E-2</v>
      </c>
      <c r="F29" s="28">
        <f t="shared" si="8"/>
        <v>32.049560626695659</v>
      </c>
      <c r="G29" s="27" t="str">
        <f t="shared" si="9"/>
        <v>+</v>
      </c>
      <c r="H29" s="26">
        <f t="shared" si="10"/>
        <v>6348</v>
      </c>
      <c r="I29" s="26">
        <f t="shared" si="11"/>
        <v>6781.6870286088015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122</v>
      </c>
      <c r="E30" s="29">
        <f t="shared" si="7"/>
        <v>4.9151927803069984E-2</v>
      </c>
      <c r="F30" s="28">
        <f t="shared" si="8"/>
        <v>32.049560626695659</v>
      </c>
      <c r="G30" s="27" t="str">
        <f t="shared" si="9"/>
        <v>+</v>
      </c>
      <c r="H30" s="26">
        <f t="shared" si="10"/>
        <v>3660</v>
      </c>
      <c r="I30" s="26">
        <f t="shared" si="11"/>
        <v>3910.0463964568703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39.4</v>
      </c>
      <c r="E31" s="29">
        <f t="shared" si="7"/>
        <v>1.5873655372466863E-2</v>
      </c>
      <c r="F31" s="28">
        <f t="shared" si="8"/>
        <v>32.690551839229578</v>
      </c>
      <c r="G31" s="27" t="str">
        <f t="shared" si="9"/>
        <v>+</v>
      </c>
      <c r="H31" s="26">
        <f t="shared" si="10"/>
        <v>1205.6400000000001</v>
      </c>
      <c r="I31" s="26">
        <f t="shared" si="11"/>
        <v>1288.0077424656454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32.119922212618839</v>
      </c>
      <c r="D32" s="22">
        <f>SUM(D26:D31)</f>
        <v>1388.4</v>
      </c>
      <c r="E32" s="21">
        <f t="shared" si="7"/>
        <v>0.55936505378510137</v>
      </c>
      <c r="F32" s="20">
        <f>I32/D32</f>
        <v>34.314313142602543</v>
      </c>
      <c r="G32" s="19">
        <f>F32/C32-1</f>
        <v>6.8318687556522262E-2</v>
      </c>
      <c r="H32" s="18">
        <f>SUM(H26:H31)</f>
        <v>44595.3</v>
      </c>
      <c r="I32" s="18">
        <f>SUM(I26:I31)</f>
        <v>47641.99236718937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f>260.1+162.1</f>
        <v>422.20000000000005</v>
      </c>
      <c r="E34" s="29">
        <f t="shared" ref="E34:E40" si="13">D34/$D$48</f>
        <v>0.17009790097095204</v>
      </c>
      <c r="F34" s="28">
        <f t="shared" ref="F34:F39" si="14">C34-(C34*$E$6)</f>
        <v>19.657063851040004</v>
      </c>
      <c r="G34" s="27" t="str">
        <f t="shared" ref="G34:G39" si="15">IF(C34&gt;=F34,"-","+")</f>
        <v>+</v>
      </c>
      <c r="H34" s="26">
        <f t="shared" ref="H34:H39" si="16">C34*D34</f>
        <v>7768.4800000000005</v>
      </c>
      <c r="I34" s="26">
        <f t="shared" ref="I34:I39" si="17">F34*D34</f>
        <v>8299.2123579090912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32.299999999999997</v>
      </c>
      <c r="E35" s="29">
        <f t="shared" si="13"/>
        <v>1.3013174328189839E-2</v>
      </c>
      <c r="F35" s="28">
        <f t="shared" si="14"/>
        <v>15.06329349454696</v>
      </c>
      <c r="G35" s="27" t="str">
        <f t="shared" si="15"/>
        <v>+</v>
      </c>
      <c r="H35" s="26">
        <f t="shared" si="16"/>
        <v>455.42999999999995</v>
      </c>
      <c r="I35" s="26">
        <f t="shared" si="17"/>
        <v>486.54437987386677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12.178833038144351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32.049560626695659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32.049560626695659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33.224711183007834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18.094411441144111</v>
      </c>
      <c r="D40" s="22">
        <f>SUM(D34:D39)</f>
        <v>454.50000000000006</v>
      </c>
      <c r="E40" s="113">
        <f t="shared" si="13"/>
        <v>0.18311107529914189</v>
      </c>
      <c r="F40" s="20">
        <f>I40/D40</f>
        <v>19.330597882910798</v>
      </c>
      <c r="G40" s="19">
        <f>F40/C40-1</f>
        <v>6.8318687556522262E-2</v>
      </c>
      <c r="H40" s="18">
        <f>SUM(H34:H39)</f>
        <v>8223.91</v>
      </c>
      <c r="I40" s="18">
        <f>SUM(I34:I39)</f>
        <v>8785.7567377829582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224+28.5+202.4</f>
        <v>454.9</v>
      </c>
      <c r="E42" s="107">
        <f>D42/$D$48</f>
        <v>0.18327222916079125</v>
      </c>
      <c r="F42" s="28">
        <f>C42-(C42*$E$6)</f>
        <v>0.42732747502260882</v>
      </c>
      <c r="G42" s="27" t="str">
        <f>IF(C42&gt;=F42,"-","+")</f>
        <v>+</v>
      </c>
      <c r="H42" s="26">
        <f>C42*D42</f>
        <v>181.96</v>
      </c>
      <c r="I42" s="26">
        <f>F42*D42</f>
        <v>194.39126838778475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17.899999999999999</v>
      </c>
      <c r="E43" s="107">
        <f>D43/$D$48</f>
        <v>7.211635308811087E-3</v>
      </c>
      <c r="F43" s="28">
        <f>C43-(C43*$E$6)</f>
        <v>0.42732747502260882</v>
      </c>
      <c r="G43" s="27" t="str">
        <f>IF(C43&gt;=F43,"-","+")</f>
        <v>+</v>
      </c>
      <c r="H43" s="26">
        <f>C43*D43</f>
        <v>7.16</v>
      </c>
      <c r="I43" s="26">
        <f>F43*D43</f>
        <v>7.6491618029046968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4.2</v>
      </c>
      <c r="E44" s="107">
        <f>D44/$D$48</f>
        <v>1.6921155473188028E-3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6.4</v>
      </c>
      <c r="E45" s="107">
        <f>D45/$D$48</f>
        <v>2.5784617863905566E-3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0.39122879602813415</v>
      </c>
      <c r="D46" s="22">
        <f>SUM(D41:D45)</f>
        <v>483.39999999999992</v>
      </c>
      <c r="E46" s="113">
        <f>D46/$D$48</f>
        <v>0.1947544418033117</v>
      </c>
      <c r="F46" s="20">
        <f>I46/D46</f>
        <v>0.41795703390709449</v>
      </c>
      <c r="G46" s="19">
        <f>F46/C46-1</f>
        <v>6.8318687556521818E-2</v>
      </c>
      <c r="H46" s="18">
        <f>SUM(H41:H44)</f>
        <v>189.12</v>
      </c>
      <c r="I46" s="18">
        <f>SUM(I41:I44)</f>
        <v>202.04043019068945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98.097860267506107</v>
      </c>
      <c r="D48" s="13">
        <f>D24+D32+D40+D46</f>
        <v>2482.1</v>
      </c>
      <c r="E48" s="12">
        <f>SUM(E20:E46)/2</f>
        <v>1.0000000000000002</v>
      </c>
      <c r="F48" s="11">
        <f>I48/D48</f>
        <v>26</v>
      </c>
      <c r="G48" s="10"/>
      <c r="H48" s="9">
        <f>SUM(H20:H46)/2</f>
        <v>60407.630000000005</v>
      </c>
      <c r="I48" s="9">
        <f>SUM(I20:I46)/2</f>
        <v>64534.6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2482.0999999999995</v>
      </c>
      <c r="E50" s="12">
        <f>D50/G2</f>
        <v>0.99999999999999978</v>
      </c>
      <c r="F50" s="11">
        <f>I50/D50</f>
        <v>26.000000000000004</v>
      </c>
      <c r="G50" s="10"/>
      <c r="H50" s="9">
        <f>H48+H19</f>
        <v>60407.630000000005</v>
      </c>
      <c r="I50" s="9">
        <f>I48+I19</f>
        <v>64534.6</v>
      </c>
      <c r="J50" s="106">
        <f>D50-G2</f>
        <v>0</v>
      </c>
      <c r="K50" s="8"/>
    </row>
    <row r="51" spans="1:11" ht="23.25" x14ac:dyDescent="0.35">
      <c r="A51" s="174" t="s">
        <v>498</v>
      </c>
      <c r="B51" s="169"/>
      <c r="C51" s="170"/>
      <c r="G51" s="7"/>
      <c r="H51" s="6"/>
      <c r="I51" s="6">
        <f>+I50/D50</f>
        <v>26.000000000000004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496</v>
      </c>
      <c r="D2" s="96" t="s">
        <v>3</v>
      </c>
      <c r="E2" s="95" t="s">
        <v>433</v>
      </c>
      <c r="F2" s="94" t="s">
        <v>5</v>
      </c>
      <c r="G2" s="93">
        <v>3160.3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56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56.433928571428574</v>
      </c>
      <c r="F4" s="81" t="s">
        <v>12</v>
      </c>
      <c r="G4" s="80">
        <f>G2*G3</f>
        <v>88488.400000000009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7.110581201454691E-3</v>
      </c>
      <c r="F6" s="69" t="s">
        <v>16</v>
      </c>
      <c r="G6" s="68">
        <f>(I50-I19)/(D50-(SUM(D42:D44)+D19))</f>
        <v>32.512126285289803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27.80090372635927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>
        <f t="shared" si="1"/>
        <v>0</v>
      </c>
      <c r="F11" s="28">
        <f t="shared" si="2"/>
        <v>28.992371028917521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26.410858540041307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28.992371028917521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32.368195052832576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26.708725365680866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>
        <v>232.6</v>
      </c>
      <c r="E16" s="29">
        <f t="shared" si="1"/>
        <v>1</v>
      </c>
      <c r="F16" s="28">
        <f t="shared" si="2"/>
        <v>36.538330611786463</v>
      </c>
      <c r="G16" s="27" t="str">
        <f t="shared" si="3"/>
        <v>-</v>
      </c>
      <c r="H16" s="34">
        <f t="shared" si="4"/>
        <v>8559.6799999999985</v>
      </c>
      <c r="I16" s="34">
        <f t="shared" si="5"/>
        <v>8498.8157003015313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53.814606498881162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47.062958451051045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36.799999999999997</v>
      </c>
      <c r="D19" s="49">
        <f>SUM(D10:D18)</f>
        <v>232.6</v>
      </c>
      <c r="E19" s="48">
        <f t="shared" si="1"/>
        <v>1</v>
      </c>
      <c r="F19" s="47">
        <f>I19/D19</f>
        <v>36.538330611786463</v>
      </c>
      <c r="G19" s="46">
        <f>F19/C19-1</f>
        <v>-7.110581201454691E-3</v>
      </c>
      <c r="H19" s="9">
        <f>SUM(H10:H18)</f>
        <v>8559.6799999999985</v>
      </c>
      <c r="I19" s="9">
        <f>SUM(I10:I18)</f>
        <v>8498.8157003015313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/>
      <c r="E21" s="29">
        <f>D21/$D$48</f>
        <v>0</v>
      </c>
      <c r="F21" s="28">
        <f>C21-(C21*$E$6)</f>
        <v>69.899415083417594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83.5</v>
      </c>
      <c r="E22" s="29">
        <f>D22/$D$48</f>
        <v>2.8520681763841919E-2</v>
      </c>
      <c r="F22" s="28">
        <f>C22-(C22*$E$6)</f>
        <v>46.96366950917119</v>
      </c>
      <c r="G22" s="27" t="str">
        <f>IF(C22&gt;=F22,"-","+")</f>
        <v>-</v>
      </c>
      <c r="H22" s="26">
        <f>C22*D22</f>
        <v>3949.5499999999997</v>
      </c>
      <c r="I22" s="26">
        <f>F22*D22</f>
        <v>3921.4664040157945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/>
      <c r="E23" s="29">
        <f>D23/$D$48</f>
        <v>0</v>
      </c>
      <c r="F23" s="28">
        <f>C23-(C23*$E$6)</f>
        <v>42.793533950217302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</v>
      </c>
      <c r="D24" s="22">
        <f>SUM(D21:D23)</f>
        <v>83.5</v>
      </c>
      <c r="E24" s="21">
        <f>D24/$D$48</f>
        <v>2.8520681763841919E-2</v>
      </c>
      <c r="F24" s="20">
        <f>I24/D24</f>
        <v>46.96366950917119</v>
      </c>
      <c r="G24" s="19">
        <f>F24/C24-1</f>
        <v>-7.110581201454691E-3</v>
      </c>
      <c r="H24" s="18">
        <f>SUM(H21:H23)</f>
        <v>3949.5499999999997</v>
      </c>
      <c r="I24" s="18">
        <f>SUM(I21:I23)</f>
        <v>3921.4664040157945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629.9</v>
      </c>
      <c r="E26" s="29">
        <f t="shared" ref="E26:E32" si="7">D26/$D$48</f>
        <v>0.21515182566519792</v>
      </c>
      <c r="F26" s="28">
        <f t="shared" ref="F26:F31" si="8">C26-(C26*$E$6)</f>
        <v>37.332642146825307</v>
      </c>
      <c r="G26" s="27" t="str">
        <f t="shared" ref="G26:G31" si="9">IF(C26&gt;=F26,"-","+")</f>
        <v>-</v>
      </c>
      <c r="H26" s="26">
        <f t="shared" ref="H26:H31" si="10">C26*D26</f>
        <v>23684.240000000002</v>
      </c>
      <c r="I26" s="26">
        <f t="shared" ref="I26:I31" si="11">F26*D26</f>
        <v>23515.831288285259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499.3</v>
      </c>
      <c r="E27" s="29">
        <f t="shared" si="7"/>
        <v>0.17054342999624278</v>
      </c>
      <c r="F27" s="28">
        <f t="shared" si="8"/>
        <v>33.261795529751268</v>
      </c>
      <c r="G27" s="27" t="str">
        <f t="shared" si="9"/>
        <v>-</v>
      </c>
      <c r="H27" s="26">
        <f t="shared" si="10"/>
        <v>16726.55</v>
      </c>
      <c r="I27" s="26">
        <f t="shared" si="11"/>
        <v>16607.614508004808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335.7</v>
      </c>
      <c r="E28" s="29">
        <f t="shared" si="7"/>
        <v>0.11466338764217644</v>
      </c>
      <c r="F28" s="28">
        <f t="shared" si="8"/>
        <v>33.261795529751268</v>
      </c>
      <c r="G28" s="27" t="str">
        <f t="shared" si="9"/>
        <v>-</v>
      </c>
      <c r="H28" s="26">
        <f t="shared" si="10"/>
        <v>11245.949999999999</v>
      </c>
      <c r="I28" s="26">
        <f t="shared" si="11"/>
        <v>11165.9847593375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249.4</v>
      </c>
      <c r="E29" s="29">
        <f t="shared" si="7"/>
        <v>8.5186323735355396E-2</v>
      </c>
      <c r="F29" s="28">
        <f t="shared" si="8"/>
        <v>32.070328227193009</v>
      </c>
      <c r="G29" s="27" t="str">
        <f t="shared" si="9"/>
        <v>-</v>
      </c>
      <c r="H29" s="26">
        <f t="shared" si="10"/>
        <v>8055.62</v>
      </c>
      <c r="I29" s="26">
        <f t="shared" si="11"/>
        <v>7998.3398598619369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234.8</v>
      </c>
      <c r="E30" s="29">
        <f t="shared" si="7"/>
        <v>8.0199473989821357E-2</v>
      </c>
      <c r="F30" s="28">
        <f t="shared" si="8"/>
        <v>32.070328227193009</v>
      </c>
      <c r="G30" s="27" t="str">
        <f t="shared" si="9"/>
        <v>-</v>
      </c>
      <c r="H30" s="26">
        <f t="shared" si="10"/>
        <v>7584.04</v>
      </c>
      <c r="I30" s="26">
        <f t="shared" si="11"/>
        <v>7530.1130677449191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54.7</v>
      </c>
      <c r="E31" s="29">
        <f t="shared" si="7"/>
        <v>1.8683608293199438E-2</v>
      </c>
      <c r="F31" s="28">
        <f t="shared" si="8"/>
        <v>32.666061878472142</v>
      </c>
      <c r="G31" s="27" t="str">
        <f t="shared" si="9"/>
        <v>-</v>
      </c>
      <c r="H31" s="26">
        <f t="shared" si="10"/>
        <v>1799.63</v>
      </c>
      <c r="I31" s="26">
        <f t="shared" si="11"/>
        <v>1786.8335847524263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34.482498253318688</v>
      </c>
      <c r="D32" s="22">
        <f>SUM(D26:D31)</f>
        <v>2003.8000000000002</v>
      </c>
      <c r="E32" s="21">
        <f t="shared" si="7"/>
        <v>0.68442804932199341</v>
      </c>
      <c r="F32" s="20">
        <f>I32/D32</f>
        <v>34.237307649459453</v>
      </c>
      <c r="G32" s="19">
        <f>F32/C32-1</f>
        <v>-7.1105812014544689E-3</v>
      </c>
      <c r="H32" s="18">
        <f>SUM(H26:H31)</f>
        <v>69096.03</v>
      </c>
      <c r="I32" s="18">
        <f>SUM(I26:I31)</f>
        <v>68604.717067986858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368</v>
      </c>
      <c r="E34" s="29">
        <f t="shared" ref="E34:E40" si="13">D34/$D$48</f>
        <v>0.12569593879154284</v>
      </c>
      <c r="F34" s="28">
        <f t="shared" ref="F34:F39" si="14">C34-(C34*$E$6)</f>
        <v>19.659210492211198</v>
      </c>
      <c r="G34" s="27" t="str">
        <f t="shared" ref="G34:G39" si="15">IF(C34&gt;=F34,"-","+")</f>
        <v>-</v>
      </c>
      <c r="H34" s="26">
        <f t="shared" ref="H34:H39" si="16">C34*D34</f>
        <v>7286.4000000000005</v>
      </c>
      <c r="I34" s="26">
        <f t="shared" ref="I34:I39" si="17">F34*D34</f>
        <v>7234.5894611337208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15.091919165737888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12.113250909342252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32.070328227193009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32.070328227193009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33.261795529751268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368</v>
      </c>
      <c r="E40" s="113">
        <f t="shared" si="13"/>
        <v>0.12569593879154284</v>
      </c>
      <c r="F40" s="20">
        <f>I40/D40</f>
        <v>19.659210492211198</v>
      </c>
      <c r="G40" s="19">
        <f>F40/C40-1</f>
        <v>-7.110581201454691E-3</v>
      </c>
      <c r="H40" s="18">
        <f>SUM(H34:H39)</f>
        <v>7286.4000000000005</v>
      </c>
      <c r="I40" s="18">
        <f>SUM(I34:I39)</f>
        <v>7234.5894611337208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434</v>
      </c>
      <c r="E42" s="107">
        <f>D42/$D$48</f>
        <v>0.14823923216176518</v>
      </c>
      <c r="F42" s="28">
        <f>C42-(C42*$E$6)</f>
        <v>0.49644470939927265</v>
      </c>
      <c r="G42" s="27" t="str">
        <f>IF(C42&gt;=F42,"-","+")</f>
        <v>-</v>
      </c>
      <c r="H42" s="26">
        <f>C42*D42</f>
        <v>217</v>
      </c>
      <c r="I42" s="26">
        <f>F42*D42</f>
        <v>215.45700387928434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26.9</v>
      </c>
      <c r="E43" s="107">
        <f>D43/$D$48</f>
        <v>9.188099873620929E-3</v>
      </c>
      <c r="F43" s="28">
        <f>C43-(C43*$E$6)</f>
        <v>0.49644470939927265</v>
      </c>
      <c r="G43" s="27" t="str">
        <f>IF(C43&gt;=F43,"-","+")</f>
        <v>-</v>
      </c>
      <c r="H43" s="26">
        <f>C43*D43</f>
        <v>13.45</v>
      </c>
      <c r="I43" s="26">
        <f>F43*D43</f>
        <v>13.354362682840433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6.5</v>
      </c>
      <c r="E44" s="107">
        <f>D44/$D$48</f>
        <v>2.2201728319158382E-3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1.7078252553198755E-3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0.48782811176968671</v>
      </c>
      <c r="D46" s="22">
        <f>SUM(D41:D45)</f>
        <v>472.4</v>
      </c>
      <c r="E46" s="113">
        <f>D46/$D$48</f>
        <v>0.16135533012262182</v>
      </c>
      <c r="F46" s="20">
        <f>I46/D46</f>
        <v>0.48435937036859611</v>
      </c>
      <c r="G46" s="19">
        <f>F46/C46-1</f>
        <v>-7.1105812014545799E-3</v>
      </c>
      <c r="H46" s="18">
        <f>SUM(H41:H44)</f>
        <v>230.45</v>
      </c>
      <c r="I46" s="18">
        <f>SUM(I41:I44)</f>
        <v>228.81136656212479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102.07032636508838</v>
      </c>
      <c r="D48" s="13">
        <f>D24+D32+D40+D46</f>
        <v>2927.7000000000003</v>
      </c>
      <c r="E48" s="12">
        <f>SUM(E20:E46)/2</f>
        <v>1</v>
      </c>
      <c r="F48" s="11">
        <f>I48/D48</f>
        <v>27.321646445912659</v>
      </c>
      <c r="G48" s="10"/>
      <c r="H48" s="9">
        <f>SUM(H20:H46)/2</f>
        <v>80562.429999999993</v>
      </c>
      <c r="I48" s="9">
        <f>SUM(I20:I46)/2</f>
        <v>79989.584299698501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3160.2999999999997</v>
      </c>
      <c r="E50" s="12">
        <f>D50/G2</f>
        <v>0.99999999999999989</v>
      </c>
      <c r="F50" s="11">
        <f>I50/D50</f>
        <v>28.000000000000014</v>
      </c>
      <c r="G50" s="10"/>
      <c r="H50" s="9">
        <f>H48+H19</f>
        <v>89122.109999999986</v>
      </c>
      <c r="I50" s="9">
        <f>I48+I19</f>
        <v>88488.400000000038</v>
      </c>
      <c r="J50" s="106">
        <f>D50-G2</f>
        <v>0</v>
      </c>
      <c r="K50" s="8"/>
    </row>
    <row r="51" spans="1:11" ht="23.25" x14ac:dyDescent="0.35">
      <c r="A51" s="174" t="s">
        <v>499</v>
      </c>
      <c r="B51" s="169"/>
      <c r="C51" s="170"/>
      <c r="G51" s="7"/>
      <c r="H51" s="6"/>
      <c r="I51" s="6">
        <f>+I50/D50</f>
        <v>28.000000000000014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488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496</v>
      </c>
      <c r="D2" s="96" t="s">
        <v>3</v>
      </c>
      <c r="E2" s="95" t="s">
        <v>71</v>
      </c>
      <c r="F2" s="94" t="s">
        <v>5</v>
      </c>
      <c r="G2" s="93">
        <v>4720.2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60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78.67</v>
      </c>
      <c r="F4" s="81" t="s">
        <v>12</v>
      </c>
      <c r="G4" s="80">
        <f>G2*G3</f>
        <v>136885.79999999999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2.89962297878682E-2</v>
      </c>
      <c r="F6" s="69" t="s">
        <v>16</v>
      </c>
      <c r="G6" s="68">
        <f>(I50-I19)/(D50-(SUM(D42:D44)+D19))</f>
        <v>33.132194194700013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28.159109336151822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/>
      <c r="E11" s="29">
        <f t="shared" si="1"/>
        <v>0</v>
      </c>
      <c r="F11" s="28">
        <f t="shared" si="2"/>
        <v>29.324313860406381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/>
      <c r="E12" s="29">
        <f t="shared" si="1"/>
        <v>0</v>
      </c>
      <c r="F12" s="28">
        <f t="shared" si="2"/>
        <v>26.799704057854839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>
        <f t="shared" si="1"/>
        <v>0</v>
      </c>
      <c r="F13" s="28">
        <f t="shared" si="2"/>
        <v>29.324313860406381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>
        <f t="shared" si="1"/>
        <v>0</v>
      </c>
      <c r="F14" s="28">
        <f t="shared" si="2"/>
        <v>32.819927433170051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>
        <f t="shared" si="1"/>
        <v>0</v>
      </c>
      <c r="F15" s="28">
        <f t="shared" si="2"/>
        <v>26.993904811897266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>
        <v>263.2</v>
      </c>
      <c r="E16" s="29">
        <f t="shared" si="1"/>
        <v>0.75264512439233633</v>
      </c>
      <c r="F16" s="28">
        <f t="shared" si="2"/>
        <v>36.995243645082226</v>
      </c>
      <c r="G16" s="27" t="str">
        <f t="shared" si="3"/>
        <v>-</v>
      </c>
      <c r="H16" s="34">
        <f t="shared" si="4"/>
        <v>10027.92</v>
      </c>
      <c r="I16" s="34">
        <f t="shared" si="5"/>
        <v>9737.1481273856407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>
        <v>86.5</v>
      </c>
      <c r="E17" s="29">
        <f t="shared" si="1"/>
        <v>0.24735487560766373</v>
      </c>
      <c r="F17" s="28">
        <f t="shared" si="2"/>
        <v>54.473311508900593</v>
      </c>
      <c r="G17" s="27" t="str">
        <f t="shared" si="3"/>
        <v>-</v>
      </c>
      <c r="H17" s="34">
        <f t="shared" si="4"/>
        <v>4852.6500000000005</v>
      </c>
      <c r="I17" s="34">
        <f t="shared" si="5"/>
        <v>4711.9414455199012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47.676285117415674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42.552387760937947</v>
      </c>
      <c r="D19" s="49">
        <f>SUM(D10:D18)</f>
        <v>349.7</v>
      </c>
      <c r="E19" s="48">
        <f t="shared" si="1"/>
        <v>1</v>
      </c>
      <c r="F19" s="47">
        <f>I19/D19</f>
        <v>41.318528947399315</v>
      </c>
      <c r="G19" s="46">
        <f>F19/C19-1</f>
        <v>-2.8996229787868311E-2</v>
      </c>
      <c r="H19" s="9">
        <f>SUM(H10:H18)</f>
        <v>14880.57</v>
      </c>
      <c r="I19" s="9">
        <f>SUM(I10:I18)</f>
        <v>14449.089572905541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/>
      <c r="E21" s="29">
        <f>D21/$D$48</f>
        <v>0</v>
      </c>
      <c r="F21" s="28">
        <f>C21-(C21*$E$6)</f>
        <v>70.786174848464412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103.2</v>
      </c>
      <c r="E22" s="29">
        <f>D22/$D$48</f>
        <v>2.3612858940624645E-2</v>
      </c>
      <c r="F22" s="28">
        <f>C22-(C22*$E$6)</f>
        <v>47.57918474039446</v>
      </c>
      <c r="G22" s="27" t="str">
        <f>IF(C22&gt;=F22,"-","+")</f>
        <v>-</v>
      </c>
      <c r="H22" s="26">
        <f>C22*D22</f>
        <v>5056.8</v>
      </c>
      <c r="I22" s="26">
        <f>F22*D22</f>
        <v>4910.1718652087084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/>
      <c r="E23" s="29">
        <f>D23/$D$48</f>
        <v>0</v>
      </c>
      <c r="F23" s="28">
        <f>C23-(C23*$E$6)</f>
        <v>43.403868528482292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49</v>
      </c>
      <c r="D24" s="22">
        <f>SUM(D21:D23)</f>
        <v>103.2</v>
      </c>
      <c r="E24" s="21">
        <f>D24/$D$48</f>
        <v>2.3612858940624645E-2</v>
      </c>
      <c r="F24" s="20">
        <f>I24/D24</f>
        <v>47.57918474039446</v>
      </c>
      <c r="G24" s="19">
        <f>F24/C24-1</f>
        <v>-2.89962297878682E-2</v>
      </c>
      <c r="H24" s="18">
        <f>SUM(H21:H23)</f>
        <v>5056.8</v>
      </c>
      <c r="I24" s="18">
        <f>SUM(I21:I23)</f>
        <v>4910.1718652087084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f>126.4+795.4</f>
        <v>921.8</v>
      </c>
      <c r="E26" s="29">
        <f t="shared" ref="E26:E32" si="7">D26/$D$48</f>
        <v>0.21091408305685846</v>
      </c>
      <c r="F26" s="28">
        <f t="shared" ref="F26:F31" si="8">C26-(C26*$E$6)</f>
        <v>37.772046661251927</v>
      </c>
      <c r="G26" s="27" t="str">
        <f t="shared" ref="G26:G31" si="9">IF(C26&gt;=F26,"-","+")</f>
        <v>-</v>
      </c>
      <c r="H26" s="26">
        <f t="shared" ref="H26:H31" si="10">C26*D26</f>
        <v>35858.019999999997</v>
      </c>
      <c r="I26" s="26">
        <f t="shared" ref="I26:I31" si="11">F26*D26</f>
        <v>34818.272612342022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701.5</v>
      </c>
      <c r="E27" s="29">
        <f t="shared" si="7"/>
        <v>0.16050795103535065</v>
      </c>
      <c r="F27" s="28">
        <f t="shared" si="8"/>
        <v>33.69383082636098</v>
      </c>
      <c r="G27" s="27" t="str">
        <f t="shared" si="9"/>
        <v>-</v>
      </c>
      <c r="H27" s="26">
        <f t="shared" si="10"/>
        <v>24342.050000000003</v>
      </c>
      <c r="I27" s="26">
        <f t="shared" si="11"/>
        <v>23636.222324692226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559.79999999999995</v>
      </c>
      <c r="E28" s="29">
        <f t="shared" si="7"/>
        <v>0.12808603134652785</v>
      </c>
      <c r="F28" s="28">
        <f t="shared" si="8"/>
        <v>33.69383082636098</v>
      </c>
      <c r="G28" s="27" t="str">
        <f t="shared" si="9"/>
        <v>-</v>
      </c>
      <c r="H28" s="26">
        <f t="shared" si="10"/>
        <v>19425.060000000001</v>
      </c>
      <c r="I28" s="26">
        <f t="shared" si="11"/>
        <v>18861.806496596873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525.5</v>
      </c>
      <c r="E29" s="29">
        <f t="shared" si="7"/>
        <v>0.12023795904358769</v>
      </c>
      <c r="F29" s="28">
        <f t="shared" si="8"/>
        <v>32.528626302106417</v>
      </c>
      <c r="G29" s="27" t="str">
        <f t="shared" si="9"/>
        <v>-</v>
      </c>
      <c r="H29" s="26">
        <f t="shared" si="10"/>
        <v>17604.25</v>
      </c>
      <c r="I29" s="26">
        <f t="shared" si="11"/>
        <v>17093.793121756924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339</v>
      </c>
      <c r="E30" s="29">
        <f t="shared" si="7"/>
        <v>7.7565495938679785E-2</v>
      </c>
      <c r="F30" s="28">
        <f t="shared" si="8"/>
        <v>32.528626302106417</v>
      </c>
      <c r="G30" s="27" t="str">
        <f t="shared" si="9"/>
        <v>-</v>
      </c>
      <c r="H30" s="26">
        <f t="shared" si="10"/>
        <v>11356.5</v>
      </c>
      <c r="I30" s="26">
        <f t="shared" si="11"/>
        <v>11027.204316414076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78</v>
      </c>
      <c r="E31" s="29">
        <f t="shared" si="7"/>
        <v>1.7846928269076766E-2</v>
      </c>
      <c r="F31" s="28">
        <f t="shared" si="8"/>
        <v>33.111228564233699</v>
      </c>
      <c r="G31" s="27" t="str">
        <f t="shared" si="9"/>
        <v>-</v>
      </c>
      <c r="H31" s="26">
        <f t="shared" si="10"/>
        <v>2659.8</v>
      </c>
      <c r="I31" s="26">
        <f t="shared" si="11"/>
        <v>2582.6758280102285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35.591783977476325</v>
      </c>
      <c r="D32" s="22">
        <f>SUM(D26:D31)</f>
        <v>3125.6</v>
      </c>
      <c r="E32" s="21">
        <f t="shared" si="7"/>
        <v>0.71515844869008116</v>
      </c>
      <c r="F32" s="20">
        <f>I32/D32</f>
        <v>34.559756430705264</v>
      </c>
      <c r="G32" s="19">
        <f>F32/C32-1</f>
        <v>-2.8996229787867978E-2</v>
      </c>
      <c r="H32" s="18">
        <f>SUM(H26:H31)</f>
        <v>111245.68000000001</v>
      </c>
      <c r="I32" s="18">
        <f>SUM(I26:I31)</f>
        <v>108019.97469981236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461.2</v>
      </c>
      <c r="E34" s="29">
        <f t="shared" ref="E34:E40" si="13">D34/$D$48</f>
        <v>0.10552568356023338</v>
      </c>
      <c r="F34" s="28">
        <f t="shared" ref="F34:F39" si="14">C34-(C34*$E$6)</f>
        <v>19.905577289348702</v>
      </c>
      <c r="G34" s="27" t="str">
        <f t="shared" ref="G34:G39" si="15">IF(C34&gt;=F34,"-","+")</f>
        <v>-</v>
      </c>
      <c r="H34" s="26">
        <f t="shared" ref="H34:H39" si="16">C34*D34</f>
        <v>9454.6</v>
      </c>
      <c r="I34" s="26">
        <f t="shared" ref="I34:I39" si="17">F34*D34</f>
        <v>9180.4522458476222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/>
      <c r="E35" s="29">
        <f t="shared" si="13"/>
        <v>0</v>
      </c>
      <c r="F35" s="28">
        <f t="shared" si="14"/>
        <v>15.341859569351683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12.331747881694072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32.528626302106417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32.528626302106417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33.69383082636098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</v>
      </c>
      <c r="D40" s="22">
        <f>SUM(D34:D39)</f>
        <v>461.2</v>
      </c>
      <c r="E40" s="21">
        <f t="shared" si="13"/>
        <v>0.10552568356023338</v>
      </c>
      <c r="F40" s="20">
        <f>I40/D40</f>
        <v>19.905577289348706</v>
      </c>
      <c r="G40" s="19">
        <f>F40/C40-1</f>
        <v>-2.8996229787867978E-2</v>
      </c>
      <c r="H40" s="18">
        <f>SUM(H34:H39)</f>
        <v>9454.6</v>
      </c>
      <c r="I40" s="18">
        <f>SUM(I34:I39)</f>
        <v>9180.4522458476222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630</v>
      </c>
      <c r="E42" s="107">
        <f>D42/$D$48</f>
        <v>0.14414826678869694</v>
      </c>
      <c r="F42" s="28">
        <f>C42-(C42*$E$6)</f>
        <v>0.4855018851060659</v>
      </c>
      <c r="G42" s="27" t="str">
        <f>IF(C42&gt;=F42,"-","+")</f>
        <v>-</v>
      </c>
      <c r="H42" s="26">
        <f>C42*D42</f>
        <v>315</v>
      </c>
      <c r="I42" s="26">
        <f>F42*D42</f>
        <v>305.86618761682149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41.7</v>
      </c>
      <c r="E43" s="107">
        <f>D43/$D$48</f>
        <v>9.5412424207756558E-3</v>
      </c>
      <c r="F43" s="28">
        <f>C43-(C43*$E$6)</f>
        <v>0.4855018851060659</v>
      </c>
      <c r="G43" s="27" t="str">
        <f>IF(C43&gt;=F43,"-","+")</f>
        <v>-</v>
      </c>
      <c r="H43" s="26">
        <f>C43*D43</f>
        <v>20.85</v>
      </c>
      <c r="I43" s="26">
        <f>F43*D43</f>
        <v>20.24542860892295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3.4</v>
      </c>
      <c r="E44" s="107">
        <f>D44/$D$48</f>
        <v>7.779430271136025E-4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1.2355565724745453E-3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0.49353416605437184</v>
      </c>
      <c r="D46" s="22">
        <f>SUM(D41:D45)</f>
        <v>680.5</v>
      </c>
      <c r="E46" s="21">
        <f>D46/$D$48</f>
        <v>0.15570300880906074</v>
      </c>
      <c r="F46" s="20">
        <f>I46/D46</f>
        <v>0.47922353596729533</v>
      </c>
      <c r="G46" s="19">
        <f>F46/C46-1</f>
        <v>-2.8996229787868311E-2</v>
      </c>
      <c r="H46" s="18">
        <f>SUM(H41:H44)</f>
        <v>335.85</v>
      </c>
      <c r="I46" s="18">
        <f>SUM(I41:I44)</f>
        <v>326.11161622574446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105.5853181435307</v>
      </c>
      <c r="D48" s="13">
        <f>D24+D32+D40+D46</f>
        <v>4370.5</v>
      </c>
      <c r="E48" s="12">
        <f>SUM(E20:E46)/2</f>
        <v>1</v>
      </c>
      <c r="F48" s="11">
        <f>I48/D48</f>
        <v>28.014348570436891</v>
      </c>
      <c r="G48" s="10"/>
      <c r="H48" s="9">
        <f>SUM(H20:H46)/2</f>
        <v>126092.93000000002</v>
      </c>
      <c r="I48" s="9">
        <f>SUM(I20:I46)/2</f>
        <v>122436.71042709443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4720.2</v>
      </c>
      <c r="E50" s="12">
        <f>D50/G2</f>
        <v>1</v>
      </c>
      <c r="F50" s="11">
        <f>I50/D50</f>
        <v>28.999999999999993</v>
      </c>
      <c r="G50" s="10"/>
      <c r="H50" s="9">
        <f>H48+H19</f>
        <v>140973.50000000003</v>
      </c>
      <c r="I50" s="9">
        <f>I48+I19</f>
        <v>136885.79999999996</v>
      </c>
      <c r="J50" s="106">
        <f>D50-G2</f>
        <v>0</v>
      </c>
      <c r="K50" s="8"/>
    </row>
    <row r="51" spans="1:11" ht="23.25" x14ac:dyDescent="0.35">
      <c r="A51" s="174" t="s">
        <v>500</v>
      </c>
      <c r="B51" s="169"/>
      <c r="C51" s="170"/>
      <c r="G51" s="7"/>
      <c r="H51" s="6"/>
      <c r="I51" s="6">
        <f>+I50/D50</f>
        <v>28.999999999999993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488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496</v>
      </c>
      <c r="D2" s="96" t="s">
        <v>3</v>
      </c>
      <c r="E2" s="95" t="s">
        <v>112</v>
      </c>
      <c r="F2" s="94" t="s">
        <v>5</v>
      </c>
      <c r="G2" s="93">
        <v>3604.1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48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75.08541666666666</v>
      </c>
      <c r="F4" s="81" t="s">
        <v>12</v>
      </c>
      <c r="G4" s="80">
        <f>G2*G3</f>
        <v>94607.625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-5.9879425466177638E-2</v>
      </c>
      <c r="F6" s="69" t="s">
        <v>16</v>
      </c>
      <c r="G6" s="68">
        <f>(I50-I19)/(D50-(SUM(D42:D44)+D19))</f>
        <v>32.463595312475192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>
        <f t="shared" ref="E10:E19" si="1">D10/$D$19</f>
        <v>0</v>
      </c>
      <c r="F10" s="28">
        <f t="shared" ref="F10:F18" si="2">C10-(C10*$E$6)</f>
        <v>27.874828889760472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>
        <f t="shared" si="1"/>
        <v>0</v>
      </c>
      <c r="F11" s="28">
        <f t="shared" si="2"/>
        <v>28.934708315226651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>
        <f t="shared" si="1"/>
        <v>0</v>
      </c>
      <c r="F12" s="28">
        <f t="shared" si="2"/>
        <v>26.49698563665444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>
        <f t="shared" si="1"/>
        <v>0</v>
      </c>
      <c r="F13" s="28">
        <f t="shared" si="2"/>
        <v>28.934708315226651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>
        <f t="shared" si="1"/>
        <v>0</v>
      </c>
      <c r="F14" s="28">
        <f t="shared" si="2"/>
        <v>32.432310419265036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>
        <f t="shared" si="1"/>
        <v>0</v>
      </c>
      <c r="F15" s="28">
        <f t="shared" si="2"/>
        <v>26.708961521747675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>
        <f t="shared" si="1"/>
        <v>0</v>
      </c>
      <c r="F16" s="28">
        <f t="shared" si="2"/>
        <v>36.56584017858313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>
        <v>8</v>
      </c>
      <c r="E17" s="29">
        <f t="shared" si="1"/>
        <v>1</v>
      </c>
      <c r="F17" s="28">
        <f t="shared" si="2"/>
        <v>53.841874813681819</v>
      </c>
      <c r="G17" s="27" t="str">
        <f t="shared" si="3"/>
        <v>+</v>
      </c>
      <c r="H17" s="34">
        <f t="shared" si="4"/>
        <v>406.4</v>
      </c>
      <c r="I17" s="34">
        <f t="shared" si="5"/>
        <v>430.73499850945456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>
        <f t="shared" si="1"/>
        <v>0</v>
      </c>
      <c r="F18" s="28">
        <f t="shared" si="2"/>
        <v>47.164634433244906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50.8</v>
      </c>
      <c r="D19" s="49">
        <f>SUM(D10:D18)</f>
        <v>8</v>
      </c>
      <c r="E19" s="48">
        <f t="shared" si="1"/>
        <v>1</v>
      </c>
      <c r="F19" s="47">
        <f>I19/D19</f>
        <v>53.841874813681819</v>
      </c>
      <c r="G19" s="46">
        <f>F19/C19-1</f>
        <v>5.9879425466177638E-2</v>
      </c>
      <c r="H19" s="9">
        <f>SUM(H10:H18)</f>
        <v>406.4</v>
      </c>
      <c r="I19" s="9">
        <f>SUM(I10:I18)</f>
        <v>430.73499850945456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44</v>
      </c>
      <c r="E21" s="29">
        <f>D21/$D$48</f>
        <v>1.22354773226551E-2</v>
      </c>
      <c r="F21" s="28">
        <f>C21-(C21*$E$6)</f>
        <v>69.952042080767725</v>
      </c>
      <c r="G21" s="27" t="str">
        <f>IF(C21&gt;=F21,"-","+")</f>
        <v>+</v>
      </c>
      <c r="H21" s="26">
        <f>C21*D21</f>
        <v>2904</v>
      </c>
      <c r="I21" s="26">
        <f>F21*D21</f>
        <v>3077.8898515537799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91</v>
      </c>
      <c r="E22" s="29">
        <f>D22/$D$48</f>
        <v>2.5305191735491232E-2</v>
      </c>
      <c r="F22" s="28">
        <f>C22-(C22*$E$6)</f>
        <v>46.952658548151668</v>
      </c>
      <c r="G22" s="27" t="str">
        <f>IF(C22&gt;=F22,"-","+")</f>
        <v>+</v>
      </c>
      <c r="H22" s="26">
        <f>C22*D22</f>
        <v>4031.2999999999997</v>
      </c>
      <c r="I22" s="26">
        <f>F22*D22</f>
        <v>4272.6919278818013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83</v>
      </c>
      <c r="E23" s="29">
        <f>D23/$D$48</f>
        <v>2.3080559495008486E-2</v>
      </c>
      <c r="F23" s="28">
        <f>C23-(C23*$E$6)</f>
        <v>42.819128788833574</v>
      </c>
      <c r="G23" s="27" t="str">
        <f>IF(C23&gt;=F23,"-","+")</f>
        <v>+</v>
      </c>
      <c r="H23" s="26">
        <f>C23*D23</f>
        <v>3353.2</v>
      </c>
      <c r="I23" s="26">
        <f>F23*D23</f>
        <v>3553.9876894731865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47.194954128440365</v>
      </c>
      <c r="D24" s="22">
        <f>SUM(D21:D23)</f>
        <v>218</v>
      </c>
      <c r="E24" s="21">
        <f>D24/$D$48</f>
        <v>6.0621228553154813E-2</v>
      </c>
      <c r="F24" s="20">
        <f>I24/D24</f>
        <v>50.020960866553978</v>
      </c>
      <c r="G24" s="19">
        <f>F24/C24-1</f>
        <v>5.9879425466177638E-2</v>
      </c>
      <c r="H24" s="18">
        <f>SUM(H21:H23)</f>
        <v>10288.5</v>
      </c>
      <c r="I24" s="18">
        <f>SUM(I21:I23)</f>
        <v>10904.569468908767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v>674.9</v>
      </c>
      <c r="E26" s="29">
        <f t="shared" ref="E26:E32" si="7">D26/$D$48</f>
        <v>0.18767553738772561</v>
      </c>
      <c r="F26" s="28">
        <f t="shared" ref="F26:F31" si="8">C26-(C26*$E$6)</f>
        <v>37.307755776409458</v>
      </c>
      <c r="G26" s="27" t="str">
        <f t="shared" ref="G26:G31" si="9">IF(C26&gt;=F26,"-","+")</f>
        <v>+</v>
      </c>
      <c r="H26" s="26">
        <f t="shared" ref="H26:H31" si="10">C26*D26</f>
        <v>23756.48</v>
      </c>
      <c r="I26" s="26">
        <f t="shared" ref="I26:I31" si="11">F26*D26</f>
        <v>25179.004373498741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540.79999999999995</v>
      </c>
      <c r="E27" s="29">
        <f t="shared" si="7"/>
        <v>0.15038513945663359</v>
      </c>
      <c r="F27" s="28">
        <f t="shared" si="8"/>
        <v>33.280213959637976</v>
      </c>
      <c r="G27" s="27" t="str">
        <f t="shared" si="9"/>
        <v>+</v>
      </c>
      <c r="H27" s="26">
        <f t="shared" si="10"/>
        <v>16981.12</v>
      </c>
      <c r="I27" s="26">
        <f t="shared" si="11"/>
        <v>17997.939709372215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296.60000000000002</v>
      </c>
      <c r="E28" s="29">
        <f t="shared" si="7"/>
        <v>8.2478240315897802E-2</v>
      </c>
      <c r="F28" s="28">
        <f t="shared" si="8"/>
        <v>33.280213959637976</v>
      </c>
      <c r="G28" s="27" t="str">
        <f t="shared" si="9"/>
        <v>+</v>
      </c>
      <c r="H28" s="26">
        <f t="shared" si="10"/>
        <v>9313.24</v>
      </c>
      <c r="I28" s="26">
        <f t="shared" si="11"/>
        <v>9870.9114604286242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286</v>
      </c>
      <c r="E29" s="29">
        <f t="shared" si="7"/>
        <v>7.9530602597258152E-2</v>
      </c>
      <c r="F29" s="28">
        <f t="shared" si="8"/>
        <v>32.114346591625186</v>
      </c>
      <c r="G29" s="27" t="str">
        <f t="shared" si="9"/>
        <v>+</v>
      </c>
      <c r="H29" s="26">
        <f t="shared" si="10"/>
        <v>8665.8000000000011</v>
      </c>
      <c r="I29" s="26">
        <f t="shared" si="11"/>
        <v>9184.7031252048037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239.4</v>
      </c>
      <c r="E30" s="29">
        <f t="shared" si="7"/>
        <v>6.6572119796446158E-2</v>
      </c>
      <c r="F30" s="28">
        <f t="shared" si="8"/>
        <v>32.114346591625186</v>
      </c>
      <c r="G30" s="27" t="str">
        <f t="shared" si="9"/>
        <v>+</v>
      </c>
      <c r="H30" s="26">
        <f t="shared" si="10"/>
        <v>7253.8200000000006</v>
      </c>
      <c r="I30" s="26">
        <f t="shared" si="11"/>
        <v>7688.1745740350698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55</v>
      </c>
      <c r="E31" s="29">
        <f t="shared" si="7"/>
        <v>1.5294346653318875E-2</v>
      </c>
      <c r="F31" s="28">
        <f t="shared" si="8"/>
        <v>32.644286304358275</v>
      </c>
      <c r="G31" s="27" t="str">
        <f t="shared" si="9"/>
        <v>+</v>
      </c>
      <c r="H31" s="26">
        <f t="shared" si="10"/>
        <v>1694</v>
      </c>
      <c r="I31" s="26">
        <f t="shared" si="11"/>
        <v>1795.4357467397051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32.333569073445794</v>
      </c>
      <c r="D32" s="22">
        <f>SUM(D26:D31)</f>
        <v>2092.6999999999998</v>
      </c>
      <c r="E32" s="21">
        <f t="shared" si="7"/>
        <v>0.58193598620728015</v>
      </c>
      <c r="F32" s="20">
        <f>I32/D32</f>
        <v>34.269684612834695</v>
      </c>
      <c r="G32" s="19">
        <f>F32/C32-1</f>
        <v>5.9879425466177638E-2</v>
      </c>
      <c r="H32" s="18">
        <f>SUM(H26:H31)</f>
        <v>67664.460000000006</v>
      </c>
      <c r="I32" s="18">
        <f>SUM(I26:I31)</f>
        <v>71716.168989279162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f>295+244.5</f>
        <v>539.5</v>
      </c>
      <c r="E34" s="29">
        <f t="shared" ref="E34:E40" si="13">D34/$D$48</f>
        <v>0.15002363671755514</v>
      </c>
      <c r="F34" s="28">
        <f t="shared" ref="F34:F39" si="14">C34-(C34*$E$6)</f>
        <v>19.607769371124284</v>
      </c>
      <c r="G34" s="27" t="str">
        <f t="shared" ref="G34:G39" si="15">IF(C34&gt;=F34,"-","+")</f>
        <v>+</v>
      </c>
      <c r="H34" s="26">
        <f t="shared" ref="H34:H39" si="16">C34*D34</f>
        <v>9980.75</v>
      </c>
      <c r="I34" s="26">
        <f t="shared" ref="I34:I39" si="17">F34*D34</f>
        <v>10578.391575721551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45.2</v>
      </c>
      <c r="E35" s="29">
        <f t="shared" si="13"/>
        <v>1.2569172158727514E-2</v>
      </c>
      <c r="F35" s="28">
        <f t="shared" si="14"/>
        <v>15.156275784166342</v>
      </c>
      <c r="G35" s="27" t="str">
        <f t="shared" si="15"/>
        <v>+</v>
      </c>
      <c r="H35" s="26">
        <f t="shared" si="16"/>
        <v>646.36000000000013</v>
      </c>
      <c r="I35" s="26">
        <f t="shared" si="17"/>
        <v>685.06366544431864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12.188613392861043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32.114346591625186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32.114346591625186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33.280213959637976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18.175320677270395</v>
      </c>
      <c r="D40" s="22">
        <f>SUM(D34:D39)</f>
        <v>584.70000000000005</v>
      </c>
      <c r="E40" s="21">
        <f t="shared" si="13"/>
        <v>0.16259280887628269</v>
      </c>
      <c r="F40" s="20">
        <f>I40/D40</f>
        <v>19.263648437088882</v>
      </c>
      <c r="G40" s="19">
        <f>F40/C40-1</f>
        <v>5.9879425466177416E-2</v>
      </c>
      <c r="H40" s="18">
        <f>SUM(H34:H39)</f>
        <v>10627.11</v>
      </c>
      <c r="I40" s="18">
        <f>SUM(I34:I39)</f>
        <v>11263.45524116587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324+37.9+308.7</f>
        <v>670.59999999999991</v>
      </c>
      <c r="E42" s="107">
        <f>D42/$D$48</f>
        <v>0.18647979755846611</v>
      </c>
      <c r="F42" s="28">
        <f>C42-(C42*$E$6)</f>
        <v>0.42395177018647107</v>
      </c>
      <c r="G42" s="27" t="str">
        <f>IF(C42&gt;=F42,"-","+")</f>
        <v>+</v>
      </c>
      <c r="H42" s="26">
        <f>C42*D42</f>
        <v>268.23999999999995</v>
      </c>
      <c r="I42" s="26">
        <f>F42*D42</f>
        <v>284.30205708704744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19.8</v>
      </c>
      <c r="E43" s="107">
        <f>D43/$D$48</f>
        <v>5.5059647951947958E-3</v>
      </c>
      <c r="F43" s="28">
        <f>C43-(C43*$E$6)</f>
        <v>0.42395177018647107</v>
      </c>
      <c r="G43" s="27" t="str">
        <f>IF(C43&gt;=F43,"-","+")</f>
        <v>+</v>
      </c>
      <c r="H43" s="26">
        <f>C43*D43</f>
        <v>7.9200000000000008</v>
      </c>
      <c r="I43" s="26">
        <f>F43*D43</f>
        <v>8.3942450496921275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4.7</v>
      </c>
      <c r="E44" s="107">
        <f>D44/$D$48</f>
        <v>1.306971441283613E-3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5.6</v>
      </c>
      <c r="E45" s="107">
        <f>D45/$D$48</f>
        <v>1.5572425683379218E-3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0.39412016554873697</v>
      </c>
      <c r="D46" s="22">
        <f>SUM(D41:D45)</f>
        <v>700.69999999999993</v>
      </c>
      <c r="E46" s="21">
        <f>D46/$D$48</f>
        <v>0.19484997636328247</v>
      </c>
      <c r="F46" s="20">
        <f>I46/D46</f>
        <v>0.41771985462643013</v>
      </c>
      <c r="G46" s="19">
        <f>F46/C46-1</f>
        <v>5.9879425466177638E-2</v>
      </c>
      <c r="H46" s="18">
        <f>SUM(H41:H44)</f>
        <v>276.15999999999997</v>
      </c>
      <c r="I46" s="18">
        <f>SUM(I41:I44)</f>
        <v>292.69630213673958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98.097964044705293</v>
      </c>
      <c r="D48" s="13">
        <f>D24+D32+D40+D46</f>
        <v>3596.0999999999995</v>
      </c>
      <c r="E48" s="12">
        <f>SUM(E20:E46)/2</f>
        <v>1.0000000000000002</v>
      </c>
      <c r="F48" s="11">
        <f>I48/D48</f>
        <v>26.188618225714123</v>
      </c>
      <c r="G48" s="10"/>
      <c r="H48" s="9">
        <f>SUM(H20:H46)/2</f>
        <v>88856.23000000001</v>
      </c>
      <c r="I48" s="9">
        <f>SUM(I20:I46)/2</f>
        <v>94176.890001490538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3604.1</v>
      </c>
      <c r="E50" s="12">
        <f>D50/G2</f>
        <v>1</v>
      </c>
      <c r="F50" s="11">
        <f>I50/D50</f>
        <v>26.249999999999996</v>
      </c>
      <c r="G50" s="10"/>
      <c r="H50" s="9">
        <f>H48+H19</f>
        <v>89262.63</v>
      </c>
      <c r="I50" s="9">
        <f>I48+I19</f>
        <v>94607.624999999985</v>
      </c>
      <c r="J50" s="106">
        <f>D50-G2</f>
        <v>0</v>
      </c>
      <c r="K50" s="8"/>
    </row>
    <row r="51" spans="1:11" ht="23.25" x14ac:dyDescent="0.35">
      <c r="A51" s="174" t="s">
        <v>501</v>
      </c>
      <c r="B51" s="169"/>
      <c r="C51" s="170"/>
      <c r="G51" s="7"/>
      <c r="H51" s="6"/>
      <c r="I51" s="6">
        <f>+I50/D50</f>
        <v>26.249999999999996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tabColor rgb="FF92D050"/>
  </sheetPr>
  <dimension ref="A1:L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496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496</v>
      </c>
      <c r="D2" s="96" t="s">
        <v>3</v>
      </c>
      <c r="E2" s="95" t="s">
        <v>112</v>
      </c>
      <c r="F2" s="94" t="s">
        <v>5</v>
      </c>
      <c r="G2" s="116">
        <v>11601.3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180</v>
      </c>
      <c r="F3" s="88" t="s">
        <v>8</v>
      </c>
      <c r="G3" s="87">
        <v>24.44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64.451666666666668</v>
      </c>
      <c r="F4" s="81" t="s">
        <v>12</v>
      </c>
      <c r="G4" s="80">
        <f>G2*G3</f>
        <v>283535.772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-0.11069150332225242</v>
      </c>
      <c r="F6" s="69" t="s">
        <v>16</v>
      </c>
      <c r="G6" s="68">
        <f>(I50-I19)/(D50-(SUM(D42:D44)+D19))</f>
        <v>31.087062615807987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24.4</v>
      </c>
      <c r="D10" s="30"/>
      <c r="E10" s="29" t="e">
        <f t="shared" ref="E10:E19" si="1">D10/$D$19</f>
        <v>#DIV/0!</v>
      </c>
      <c r="F10" s="28">
        <f t="shared" ref="F10:F18" si="2">C10-(C10*$E$6)</f>
        <v>27.100872681062956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25.5</v>
      </c>
      <c r="D11" s="30"/>
      <c r="E11" s="29" t="e">
        <f t="shared" si="1"/>
        <v>#DIV/0!</v>
      </c>
      <c r="F11" s="28">
        <f t="shared" si="2"/>
        <v>28.322633334717437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23.3</v>
      </c>
      <c r="D12" s="30"/>
      <c r="E12" s="29" t="e">
        <f t="shared" si="1"/>
        <v>#DIV/0!</v>
      </c>
      <c r="F12" s="28">
        <f t="shared" si="2"/>
        <v>25.879112027408482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25.5</v>
      </c>
      <c r="D13" s="30"/>
      <c r="E13" s="29" t="e">
        <f t="shared" si="1"/>
        <v>#DIV/0!</v>
      </c>
      <c r="F13" s="28">
        <f t="shared" si="2"/>
        <v>28.322633334717437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28.5</v>
      </c>
      <c r="D14" s="30"/>
      <c r="E14" s="29" t="e">
        <f t="shared" si="1"/>
        <v>#DIV/0!</v>
      </c>
      <c r="F14" s="28">
        <f t="shared" si="2"/>
        <v>31.654707844684193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23.5</v>
      </c>
      <c r="D15" s="30"/>
      <c r="E15" s="29" t="e">
        <f t="shared" si="1"/>
        <v>#DIV/0!</v>
      </c>
      <c r="F15" s="28">
        <f t="shared" si="2"/>
        <v>26.101250328072933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32.1</v>
      </c>
      <c r="D16" s="30"/>
      <c r="E16" s="29" t="e">
        <f t="shared" si="1"/>
        <v>#DIV/0!</v>
      </c>
      <c r="F16" s="28">
        <f t="shared" si="2"/>
        <v>35.653197256644305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47.3</v>
      </c>
      <c r="D17" s="30"/>
      <c r="E17" s="29" t="e">
        <f t="shared" si="1"/>
        <v>#DIV/0!</v>
      </c>
      <c r="F17" s="28">
        <f t="shared" si="2"/>
        <v>52.53570810714254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41.4</v>
      </c>
      <c r="D18" s="30"/>
      <c r="E18" s="29" t="e">
        <f t="shared" si="1"/>
        <v>#DIV/0!</v>
      </c>
      <c r="F18" s="28">
        <f t="shared" si="2"/>
        <v>45.982628237541249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61.5</v>
      </c>
      <c r="D21" s="30">
        <v>132.4</v>
      </c>
      <c r="E21" s="29">
        <f>D21/$D$48</f>
        <v>1.1412514114797481E-2</v>
      </c>
      <c r="F21" s="28">
        <f>C21-(C21*$E$6)</f>
        <v>68.307527454318517</v>
      </c>
      <c r="G21" s="27" t="str">
        <f>IF(C21&gt;=F21,"-","+")</f>
        <v>+</v>
      </c>
      <c r="H21" s="26">
        <f>C21*D21</f>
        <v>8142.6</v>
      </c>
      <c r="I21" s="26">
        <f>F21*D21</f>
        <v>9043.9166349517727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41.3</v>
      </c>
      <c r="D22" s="30">
        <v>286.5</v>
      </c>
      <c r="E22" s="29">
        <f>D22/$D$48</f>
        <v>2.469550826200512E-2</v>
      </c>
      <c r="F22" s="28">
        <f>C22-(C22*$E$6)</f>
        <v>45.871559087209022</v>
      </c>
      <c r="G22" s="27" t="str">
        <f>IF(C22&gt;=F22,"-","+")</f>
        <v>+</v>
      </c>
      <c r="H22" s="26">
        <f>C22*D22</f>
        <v>11832.449999999999</v>
      </c>
      <c r="I22" s="26">
        <f>F22*D22</f>
        <v>13142.201678485384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37.6</v>
      </c>
      <c r="D23" s="30">
        <v>207.3</v>
      </c>
      <c r="E23" s="29">
        <f>D23/$D$48</f>
        <v>1.7868687129890617E-2</v>
      </c>
      <c r="F23" s="28">
        <f>C23-(C23*$E$6)</f>
        <v>41.762000524916694</v>
      </c>
      <c r="G23" s="27" t="str">
        <f>IF(C23&gt;=F23,"-","+")</f>
        <v>+</v>
      </c>
      <c r="H23" s="26">
        <f>C23*D23</f>
        <v>7794.4800000000005</v>
      </c>
      <c r="I23" s="26">
        <f>F23*D23</f>
        <v>8657.2627088152312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44.346103481315872</v>
      </c>
      <c r="D24" s="22">
        <f>SUM(D21:D23)</f>
        <v>626.20000000000005</v>
      </c>
      <c r="E24" s="21">
        <f>D24/$D$48</f>
        <v>5.397670950669322E-2</v>
      </c>
      <c r="F24" s="20">
        <f>I24/D24</f>
        <v>49.254840342146899</v>
      </c>
      <c r="G24" s="19">
        <f>F24/C24-1</f>
        <v>0.11069150332225242</v>
      </c>
      <c r="H24" s="18">
        <f>SUM(H21:H23)</f>
        <v>27769.53</v>
      </c>
      <c r="I24" s="18">
        <f>SUM(I21:I23)</f>
        <v>30843.38102225239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32.799999999999997</v>
      </c>
      <c r="D26" s="30">
        <v>2064.6999999999998</v>
      </c>
      <c r="E26" s="29">
        <f t="shared" ref="E26:E32" si="7">D26/$D$48</f>
        <v>0.1779714342358184</v>
      </c>
      <c r="F26" s="28">
        <f t="shared" ref="F26:F31" si="8">C26-(C26*$E$6)</f>
        <v>36.430681308969874</v>
      </c>
      <c r="G26" s="27" t="str">
        <f t="shared" ref="G26:G31" si="9">IF(C26&gt;=F26,"-","+")</f>
        <v>+</v>
      </c>
      <c r="H26" s="26">
        <f t="shared" ref="H26:H31" si="10">C26*D26</f>
        <v>67722.159999999989</v>
      </c>
      <c r="I26" s="26">
        <f t="shared" ref="I26:I31" si="11">F26*D26</f>
        <v>75218.427698630097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29.2</v>
      </c>
      <c r="D27" s="30">
        <v>1650.5</v>
      </c>
      <c r="E27" s="29">
        <f t="shared" si="7"/>
        <v>0.14226853887064381</v>
      </c>
      <c r="F27" s="28">
        <f t="shared" si="8"/>
        <v>32.432191897009773</v>
      </c>
      <c r="G27" s="27" t="str">
        <f t="shared" si="9"/>
        <v>+</v>
      </c>
      <c r="H27" s="26">
        <f t="shared" si="10"/>
        <v>48194.6</v>
      </c>
      <c r="I27" s="26">
        <f t="shared" si="11"/>
        <v>53529.332726014632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29.2</v>
      </c>
      <c r="D28" s="30">
        <v>835</v>
      </c>
      <c r="E28" s="29">
        <f t="shared" si="7"/>
        <v>7.1974692491358738E-2</v>
      </c>
      <c r="F28" s="28">
        <f t="shared" si="8"/>
        <v>32.432191897009773</v>
      </c>
      <c r="G28" s="27" t="str">
        <f t="shared" si="9"/>
        <v>+</v>
      </c>
      <c r="H28" s="26">
        <f t="shared" si="10"/>
        <v>24382</v>
      </c>
      <c r="I28" s="26">
        <f t="shared" si="11"/>
        <v>27080.880234003162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28.2</v>
      </c>
      <c r="D29" s="30">
        <v>831.8</v>
      </c>
      <c r="E29" s="29">
        <f t="shared" si="7"/>
        <v>7.169886133450562E-2</v>
      </c>
      <c r="F29" s="28">
        <f t="shared" si="8"/>
        <v>31.321500393687518</v>
      </c>
      <c r="G29" s="27" t="str">
        <f t="shared" si="9"/>
        <v>+</v>
      </c>
      <c r="H29" s="26">
        <f t="shared" si="10"/>
        <v>23456.76</v>
      </c>
      <c r="I29" s="26">
        <f t="shared" si="11"/>
        <v>26053.224027469278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28.2</v>
      </c>
      <c r="D30" s="30">
        <v>648</v>
      </c>
      <c r="E30" s="29">
        <f t="shared" si="7"/>
        <v>5.5855809262755039E-2</v>
      </c>
      <c r="F30" s="28">
        <f t="shared" si="8"/>
        <v>31.321500393687518</v>
      </c>
      <c r="G30" s="27" t="str">
        <f t="shared" si="9"/>
        <v>+</v>
      </c>
      <c r="H30" s="26">
        <f t="shared" si="10"/>
        <v>18273.599999999999</v>
      </c>
      <c r="I30" s="26">
        <f t="shared" si="11"/>
        <v>20296.332255109512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28.7</v>
      </c>
      <c r="D31" s="30">
        <v>225</v>
      </c>
      <c r="E31" s="29">
        <f t="shared" si="7"/>
        <v>1.9394378216234388E-2</v>
      </c>
      <c r="F31" s="28">
        <f t="shared" si="8"/>
        <v>31.876846145348644</v>
      </c>
      <c r="G31" s="27" t="str">
        <f t="shared" si="9"/>
        <v>+</v>
      </c>
      <c r="H31" s="26">
        <f t="shared" si="10"/>
        <v>6457.5</v>
      </c>
      <c r="I31" s="26">
        <f t="shared" si="11"/>
        <v>7172.2903827034452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30.133752198241407</v>
      </c>
      <c r="D32" s="22">
        <f>SUM(D26:D31)</f>
        <v>6255</v>
      </c>
      <c r="E32" s="21">
        <f t="shared" si="7"/>
        <v>0.53916371441131605</v>
      </c>
      <c r="F32" s="20">
        <f>I32/D32</f>
        <v>33.469302529804978</v>
      </c>
      <c r="G32" s="19">
        <f>F32/C32-1</f>
        <v>0.11069150332225242</v>
      </c>
      <c r="H32" s="18">
        <f>SUM(H26:H31)</f>
        <v>188486.62</v>
      </c>
      <c r="I32" s="18">
        <f>SUM(I26:I31)</f>
        <v>209350.48732393014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</v>
      </c>
      <c r="D34" s="30">
        <f>1224.6+855.9</f>
        <v>2080.5</v>
      </c>
      <c r="E34" s="29">
        <f t="shared" ref="E34:E40" si="13">D34/$D$48</f>
        <v>0.17933335057278066</v>
      </c>
      <c r="F34" s="28">
        <f t="shared" ref="F34:F39" si="14">C34-(C34*$E$6)</f>
        <v>19.214963007474967</v>
      </c>
      <c r="G34" s="27" t="str">
        <f t="shared" ref="G34:G39" si="15">IF(C34&gt;=F34,"-","+")</f>
        <v>+</v>
      </c>
      <c r="H34" s="26">
        <f t="shared" ref="H34:H39" si="16">C34*D34</f>
        <v>35992.65</v>
      </c>
      <c r="I34" s="26">
        <f t="shared" ref="I34:I39" si="17">F34*D34</f>
        <v>39976.73053705167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>
        <v>153.19999999999999</v>
      </c>
      <c r="E35" s="29">
        <f t="shared" si="13"/>
        <v>1.3205416634342703E-2</v>
      </c>
      <c r="F35" s="28">
        <f t="shared" si="14"/>
        <v>14.772196994185958</v>
      </c>
      <c r="G35" s="27" t="str">
        <f t="shared" si="15"/>
        <v>+</v>
      </c>
      <c r="H35" s="26">
        <f t="shared" si="16"/>
        <v>2037.56</v>
      </c>
      <c r="I35" s="26">
        <f t="shared" si="17"/>
        <v>2263.1005795092888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11.8843990855481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28.2</v>
      </c>
      <c r="D37" s="30"/>
      <c r="E37" s="29">
        <f t="shared" si="13"/>
        <v>0</v>
      </c>
      <c r="F37" s="28">
        <f t="shared" si="14"/>
        <v>31.321500393687518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28.2</v>
      </c>
      <c r="D38" s="30"/>
      <c r="E38" s="29">
        <f t="shared" si="13"/>
        <v>0</v>
      </c>
      <c r="F38" s="28">
        <f t="shared" si="14"/>
        <v>31.321500393687518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29.2</v>
      </c>
      <c r="D39" s="30"/>
      <c r="E39" s="29">
        <f t="shared" si="13"/>
        <v>0</v>
      </c>
      <c r="F39" s="28">
        <f t="shared" si="14"/>
        <v>32.432191897009773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17.025656981689576</v>
      </c>
      <c r="D40" s="22">
        <f>SUM(D34:D39)</f>
        <v>2233.6999999999998</v>
      </c>
      <c r="E40" s="113">
        <f t="shared" si="13"/>
        <v>0.19253876720712335</v>
      </c>
      <c r="F40" s="20">
        <f>I40/D40</f>
        <v>18.910252548041797</v>
      </c>
      <c r="G40" s="19">
        <f>F40/C40-1</f>
        <v>0.11069150332225242</v>
      </c>
      <c r="H40" s="18">
        <f>SUM(H34:H39)</f>
        <v>38030.21</v>
      </c>
      <c r="I40" s="18">
        <f>SUM(I34:I39)</f>
        <v>42239.831116560956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1127+143.7+1142.8</f>
        <v>2413.5</v>
      </c>
      <c r="E42" s="107">
        <f>D42/$D$48</f>
        <v>0.20803703033280754</v>
      </c>
      <c r="F42" s="28">
        <f>C42-(C42*$E$6)</f>
        <v>0.44427660132890101</v>
      </c>
      <c r="G42" s="27" t="str">
        <f>IF(C42&gt;=F42,"-","+")</f>
        <v>+</v>
      </c>
      <c r="H42" s="26">
        <f>C42*D42</f>
        <v>965.40000000000009</v>
      </c>
      <c r="I42" s="26">
        <f>F42*D42</f>
        <v>1072.2615773073026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67.099999999999994</v>
      </c>
      <c r="E43" s="107">
        <f>D43/$D$48</f>
        <v>5.7838345702636773E-3</v>
      </c>
      <c r="F43" s="28">
        <f>C43-(C43*$E$6)</f>
        <v>0.44427660132890101</v>
      </c>
      <c r="G43" s="27" t="str">
        <f>IF(C43&gt;=F43,"-","+")</f>
        <v>+</v>
      </c>
      <c r="H43" s="26">
        <f>C43*D43</f>
        <v>26.84</v>
      </c>
      <c r="I43" s="26">
        <f>F43*D43</f>
        <v>29.810959949169256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5.8</v>
      </c>
      <c r="E45" s="107">
        <f>D45/$D$48</f>
        <v>4.9994397179626421E-4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0.39906692406692412</v>
      </c>
      <c r="D46" s="22">
        <f>SUM(D41:D45)</f>
        <v>2486.4</v>
      </c>
      <c r="E46" s="113">
        <f>D46/$D$48</f>
        <v>0.21432080887486749</v>
      </c>
      <c r="F46" s="20">
        <f>I46/D46</f>
        <v>0.44324024181807908</v>
      </c>
      <c r="G46" s="19">
        <f>F46/C46-1</f>
        <v>0.11069150332225242</v>
      </c>
      <c r="H46" s="18">
        <f>SUM(H41:H44)</f>
        <v>992.24000000000012</v>
      </c>
      <c r="I46" s="18">
        <f>SUM(I41:I44)</f>
        <v>1102.0725372564718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91.904579585313783</v>
      </c>
      <c r="D48" s="13">
        <f>D24+D32+D40+D46</f>
        <v>11601.3</v>
      </c>
      <c r="E48" s="12">
        <f>SUM(E20:E46)/2</f>
        <v>1</v>
      </c>
      <c r="F48" s="11">
        <f>I48/D48</f>
        <v>24.439999999999998</v>
      </c>
      <c r="G48" s="10"/>
      <c r="H48" s="9">
        <f>SUM(H20:H46)/2</f>
        <v>255278.60000000003</v>
      </c>
      <c r="I48" s="9">
        <f>SUM(I20:I46)/2</f>
        <v>283535.77199999994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11601.300000000001</v>
      </c>
      <c r="E50" s="12">
        <f>D50/G2</f>
        <v>1.0000000000000002</v>
      </c>
      <c r="F50" s="11">
        <f>I50/D50</f>
        <v>24.439999999999994</v>
      </c>
      <c r="G50" s="10"/>
      <c r="H50" s="9">
        <f>H48+H19</f>
        <v>255278.60000000003</v>
      </c>
      <c r="I50" s="9">
        <f>I48+I19</f>
        <v>283535.77199999994</v>
      </c>
      <c r="J50" s="106">
        <f>D50-G2</f>
        <v>0</v>
      </c>
      <c r="K50" s="8"/>
    </row>
    <row r="51" spans="1:11" ht="23.25" x14ac:dyDescent="0.35">
      <c r="A51" s="174" t="s">
        <v>502</v>
      </c>
      <c r="B51" s="169"/>
      <c r="C51" s="170"/>
      <c r="G51" s="7"/>
      <c r="H51" s="6"/>
      <c r="I51" s="6">
        <f>+I50/D50</f>
        <v>24.439999999999994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496</v>
      </c>
      <c r="D1" s="100" t="s">
        <v>1</v>
      </c>
      <c r="E1" s="168" t="s">
        <v>484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496</v>
      </c>
      <c r="D2" s="96" t="s">
        <v>3</v>
      </c>
      <c r="E2" s="95" t="s">
        <v>112</v>
      </c>
      <c r="F2" s="94" t="s">
        <v>5</v>
      </c>
      <c r="G2" s="93">
        <v>17987.7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228</v>
      </c>
      <c r="F3" s="88" t="s">
        <v>8</v>
      </c>
      <c r="G3" s="87">
        <v>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78.893421052631581</v>
      </c>
      <c r="F4" s="81" t="s">
        <v>12</v>
      </c>
      <c r="G4" s="80">
        <f>G2*G3</f>
        <v>467680.2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-7.3304819746578653E-2</v>
      </c>
      <c r="F6" s="69" t="s">
        <v>16</v>
      </c>
      <c r="G6" s="68">
        <f>(I50-I19)/(D50-(SUM(D42:D44)+D19))</f>
        <v>32.428923081190149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 t="e">
        <f t="shared" ref="E10:E19" si="1">D10/$D$19</f>
        <v>#DIV/0!</v>
      </c>
      <c r="F10" s="28">
        <f t="shared" ref="F10:F18" si="2">C10-(C10*$E$6)</f>
        <v>27.905925313411046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/>
      <c r="E11" s="29" t="e">
        <f t="shared" si="1"/>
        <v>#DIV/0!</v>
      </c>
      <c r="F11" s="28">
        <f t="shared" si="2"/>
        <v>29.086560615132282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26.51062904774049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 t="e">
        <f t="shared" si="1"/>
        <v>#DIV/0!</v>
      </c>
      <c r="F13" s="28">
        <f t="shared" si="2"/>
        <v>29.086560615132282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 t="e">
        <f t="shared" si="1"/>
        <v>#DIV/0!</v>
      </c>
      <c r="F14" s="28">
        <f t="shared" si="2"/>
        <v>32.52113603832133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 t="e">
        <f t="shared" si="1"/>
        <v>#DIV/0!</v>
      </c>
      <c r="F15" s="28">
        <f t="shared" si="2"/>
        <v>26.832620493664468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/>
      <c r="E16" s="29" t="e">
        <f t="shared" si="1"/>
        <v>#DIV/0!</v>
      </c>
      <c r="F16" s="28">
        <f t="shared" si="2"/>
        <v>36.707024835332994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/>
      <c r="E17" s="29" t="e">
        <f t="shared" si="1"/>
        <v>#DIV/0!</v>
      </c>
      <c r="F17" s="28">
        <f t="shared" si="2"/>
        <v>53.987232433252906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 t="e">
        <f t="shared" si="1"/>
        <v>#DIV/0!</v>
      </c>
      <c r="F18" s="28">
        <f t="shared" si="2"/>
        <v>47.225412068849458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203.8</v>
      </c>
      <c r="E21" s="29">
        <f>D21/$D$48</f>
        <v>1.132996436453799E-2</v>
      </c>
      <c r="F21" s="28">
        <f>C21-(C21*$E$6)</f>
        <v>70.194135211426243</v>
      </c>
      <c r="G21" s="27" t="str">
        <f>IF(C21&gt;=F21,"-","+")</f>
        <v>+</v>
      </c>
      <c r="H21" s="26">
        <f>C21*D21</f>
        <v>13328.520000000002</v>
      </c>
      <c r="I21" s="26">
        <f>F21*D21</f>
        <v>14305.564756088668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448.5</v>
      </c>
      <c r="E22" s="29">
        <f>D22/$D$48</f>
        <v>2.4933704698210442E-2</v>
      </c>
      <c r="F22" s="28">
        <f>C22-(C22*$E$6)</f>
        <v>47.118081586874801</v>
      </c>
      <c r="G22" s="27" t="str">
        <f>IF(C22&gt;=F22,"-","+")</f>
        <v>+</v>
      </c>
      <c r="H22" s="26">
        <f>C22*D22</f>
        <v>19689.149999999998</v>
      </c>
      <c r="I22" s="26">
        <f>F22*D22</f>
        <v>21132.459591713348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349.5</v>
      </c>
      <c r="E23" s="29">
        <f>D23/$D$48</f>
        <v>1.9429943794926532E-2</v>
      </c>
      <c r="F23" s="28">
        <f>C23-(C23*$E$6)</f>
        <v>42.932192789863144</v>
      </c>
      <c r="G23" s="27" t="str">
        <f>IF(C23&gt;=F23,"-","+")</f>
        <v>+</v>
      </c>
      <c r="H23" s="26">
        <f>C23*D23</f>
        <v>13980</v>
      </c>
      <c r="I23" s="26">
        <f>F23*D23</f>
        <v>15004.80138005717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46.913226192852868</v>
      </c>
      <c r="D24" s="22">
        <f>SUM(D21:D23)</f>
        <v>1001.8</v>
      </c>
      <c r="E24" s="21">
        <f>D24/$D$48</f>
        <v>5.5693612857674962E-2</v>
      </c>
      <c r="F24" s="20">
        <f>I24/D24</f>
        <v>50.352191782650415</v>
      </c>
      <c r="G24" s="19">
        <f>F24/C24-1</f>
        <v>7.3304819746578653E-2</v>
      </c>
      <c r="H24" s="18">
        <f>SUM(H21:H23)</f>
        <v>46997.67</v>
      </c>
      <c r="I24" s="18">
        <f>SUM(I21:I23)</f>
        <v>50442.825727859185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v>3463.1</v>
      </c>
      <c r="E26" s="29">
        <f t="shared" ref="E26:E32" si="7">D26/$D$48</f>
        <v>0.1925260038804294</v>
      </c>
      <c r="F26" s="28">
        <f t="shared" ref="F26:F31" si="8">C26-(C26*$E$6)</f>
        <v>37.458338209155592</v>
      </c>
      <c r="G26" s="27" t="str">
        <f t="shared" ref="G26:G31" si="9">IF(C26&gt;=F26,"-","+")</f>
        <v>+</v>
      </c>
      <c r="H26" s="26">
        <f t="shared" ref="H26:H31" si="10">C26*D26</f>
        <v>120862.18999999999</v>
      </c>
      <c r="I26" s="26">
        <f t="shared" ref="I26:I31" si="11">F26*D26</f>
        <v>129721.97105212673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2584</v>
      </c>
      <c r="E27" s="29">
        <f t="shared" si="7"/>
        <v>0.14365371893015783</v>
      </c>
      <c r="F27" s="28">
        <f t="shared" si="8"/>
        <v>33.379779894118599</v>
      </c>
      <c r="G27" s="27" t="str">
        <f t="shared" si="9"/>
        <v>+</v>
      </c>
      <c r="H27" s="26">
        <f t="shared" si="10"/>
        <v>80362.400000000009</v>
      </c>
      <c r="I27" s="26">
        <f t="shared" si="11"/>
        <v>86253.351246402453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1447.4</v>
      </c>
      <c r="E28" s="29">
        <f t="shared" si="7"/>
        <v>8.0466096276900323E-2</v>
      </c>
      <c r="F28" s="28">
        <f t="shared" si="8"/>
        <v>33.379779894118599</v>
      </c>
      <c r="G28" s="27" t="str">
        <f t="shared" si="9"/>
        <v>+</v>
      </c>
      <c r="H28" s="26">
        <f t="shared" si="10"/>
        <v>45014.140000000007</v>
      </c>
      <c r="I28" s="26">
        <f t="shared" si="11"/>
        <v>48313.893418747262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1433</v>
      </c>
      <c r="E29" s="29">
        <f t="shared" si="7"/>
        <v>7.9665549236422661E-2</v>
      </c>
      <c r="F29" s="28">
        <f t="shared" si="8"/>
        <v>32.19914459239736</v>
      </c>
      <c r="G29" s="27" t="str">
        <f t="shared" si="9"/>
        <v>+</v>
      </c>
      <c r="H29" s="26">
        <f t="shared" si="10"/>
        <v>42990</v>
      </c>
      <c r="I29" s="26">
        <f t="shared" si="11"/>
        <v>46141.374200905419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1156</v>
      </c>
      <c r="E30" s="29">
        <f t="shared" si="7"/>
        <v>6.4266137416123234E-2</v>
      </c>
      <c r="F30" s="28">
        <f t="shared" si="8"/>
        <v>32.19914459239736</v>
      </c>
      <c r="G30" s="27" t="str">
        <f t="shared" si="9"/>
        <v>+</v>
      </c>
      <c r="H30" s="26">
        <f t="shared" si="10"/>
        <v>34680</v>
      </c>
      <c r="I30" s="26">
        <f t="shared" si="11"/>
        <v>37222.211148811351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247.1</v>
      </c>
      <c r="E31" s="29">
        <f t="shared" si="7"/>
        <v>1.3737164840418729E-2</v>
      </c>
      <c r="F31" s="28">
        <f t="shared" si="8"/>
        <v>32.843127484245308</v>
      </c>
      <c r="G31" s="27" t="str">
        <f t="shared" si="9"/>
        <v>+</v>
      </c>
      <c r="H31" s="26">
        <f t="shared" si="10"/>
        <v>7561.26</v>
      </c>
      <c r="I31" s="26">
        <f t="shared" si="11"/>
        <v>8115.5368013570151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32.086228292645153</v>
      </c>
      <c r="D32" s="22">
        <f>SUM(D26:D31)</f>
        <v>10330.6</v>
      </c>
      <c r="E32" s="21">
        <f t="shared" si="7"/>
        <v>0.57431467058045216</v>
      </c>
      <c r="F32" s="20">
        <f>I32/D32</f>
        <v>34.438303473985073</v>
      </c>
      <c r="G32" s="19">
        <f>F32/C32-1</f>
        <v>7.3304819746578431E-2</v>
      </c>
      <c r="H32" s="18">
        <f>SUM(H26:H31)</f>
        <v>331469.99</v>
      </c>
      <c r="I32" s="18">
        <f>SUM(I26:I31)</f>
        <v>355768.33786835021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f>1558+1319.7</f>
        <v>2877.7</v>
      </c>
      <c r="E34" s="29">
        <f t="shared" ref="E34:E40" si="13">D34/$D$48</f>
        <v>0.15998154294323341</v>
      </c>
      <c r="F34" s="28">
        <f t="shared" ref="F34:F39" si="14">C34-(C34*$E$6)</f>
        <v>19.748808683337046</v>
      </c>
      <c r="G34" s="27" t="str">
        <f t="shared" ref="G34:G39" si="15">IF(C34&gt;=F34,"-","+")</f>
        <v>+</v>
      </c>
      <c r="H34" s="26">
        <f t="shared" ref="H34:H39" si="16">C34*D34</f>
        <v>52949.679999999993</v>
      </c>
      <c r="I34" s="26">
        <f t="shared" ref="I34:I39" si="17">F34*D34</f>
        <v>56831.146748039013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205.3</v>
      </c>
      <c r="E35" s="29">
        <f t="shared" si="13"/>
        <v>1.1413354681254413E-2</v>
      </c>
      <c r="F35" s="28">
        <f t="shared" si="14"/>
        <v>15.133597958426758</v>
      </c>
      <c r="G35" s="27" t="str">
        <f t="shared" si="15"/>
        <v>+</v>
      </c>
      <c r="H35" s="26">
        <f t="shared" si="16"/>
        <v>2894.73</v>
      </c>
      <c r="I35" s="26">
        <f t="shared" si="17"/>
        <v>3106.9276608650139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12.235674945110997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32.19914459239736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32.19914459239736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33.379779894118599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18.113658773921504</v>
      </c>
      <c r="D40" s="22">
        <f>SUM(D34:D39)</f>
        <v>3083</v>
      </c>
      <c r="E40" s="113">
        <f t="shared" si="13"/>
        <v>0.17139489762448784</v>
      </c>
      <c r="F40" s="20">
        <f>I40/D40</f>
        <v>19.44147726529485</v>
      </c>
      <c r="G40" s="19">
        <f>F40/C40-1</f>
        <v>7.3304819746578431E-2</v>
      </c>
      <c r="H40" s="18">
        <f>SUM(H34:H39)</f>
        <v>55844.409999999996</v>
      </c>
      <c r="I40" s="18">
        <f>SUM(I34:I39)</f>
        <v>59938.074408904024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1685+194.2+1596.1</f>
        <v>3475.3</v>
      </c>
      <c r="E42" s="107">
        <f>D42/$D$48</f>
        <v>0.19320424512305631</v>
      </c>
      <c r="F42" s="28">
        <f>C42-(C42*$E$6)</f>
        <v>0.42932192789863149</v>
      </c>
      <c r="G42" s="27" t="str">
        <f>IF(C42&gt;=F42,"-","+")</f>
        <v>+</v>
      </c>
      <c r="H42" s="26">
        <f>C42*D42</f>
        <v>1390.1200000000001</v>
      </c>
      <c r="I42" s="26">
        <f>F42*D42</f>
        <v>1492.0224960261141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90.7</v>
      </c>
      <c r="E43" s="107">
        <f>D43/$D$48</f>
        <v>5.0423344841197043E-3</v>
      </c>
      <c r="F43" s="28">
        <f>C43-(C43*$E$6)</f>
        <v>0.42932192789863149</v>
      </c>
      <c r="G43" s="27" t="str">
        <f>IF(C43&gt;=F43,"-","+")</f>
        <v>+</v>
      </c>
      <c r="H43" s="26">
        <f>C43*D43</f>
        <v>36.28</v>
      </c>
      <c r="I43" s="26">
        <f>F43*D43</f>
        <v>38.939498860405877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6.3</v>
      </c>
      <c r="E45" s="107">
        <f>D45/$D$48</f>
        <v>3.5023933020897612E-4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0.39929457212440167</v>
      </c>
      <c r="D46" s="22">
        <f>SUM(D41:D45)</f>
        <v>3572.3</v>
      </c>
      <c r="E46" s="113">
        <f>D46/$D$48</f>
        <v>0.19859681893738498</v>
      </c>
      <c r="F46" s="20">
        <f>I46/D46</f>
        <v>0.42856478875976817</v>
      </c>
      <c r="G46" s="19">
        <f>F46/C46-1</f>
        <v>7.3304819746578653E-2</v>
      </c>
      <c r="H46" s="18">
        <f>SUM(H41:H44)</f>
        <v>1426.4</v>
      </c>
      <c r="I46" s="18">
        <f>SUM(I41:I44)</f>
        <v>1530.96199488652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97.512407831543925</v>
      </c>
      <c r="D48" s="13">
        <f>D24+D32+D40+D46</f>
        <v>17987.7</v>
      </c>
      <c r="E48" s="12">
        <f>SUM(E20:E46)/2</f>
        <v>1</v>
      </c>
      <c r="F48" s="11">
        <f>I48/D48</f>
        <v>25.999999999999996</v>
      </c>
      <c r="G48" s="10"/>
      <c r="H48" s="9">
        <f>SUM(H20:H46)/2</f>
        <v>435738.47000000003</v>
      </c>
      <c r="I48" s="9">
        <f>SUM(I20:I46)/2</f>
        <v>467680.19999999995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17987.7</v>
      </c>
      <c r="E50" s="12">
        <f>D50/G2</f>
        <v>1</v>
      </c>
      <c r="F50" s="11">
        <f>I50/D50</f>
        <v>25.999999999999996</v>
      </c>
      <c r="G50" s="10"/>
      <c r="H50" s="9">
        <f>H48+H19</f>
        <v>435738.47000000003</v>
      </c>
      <c r="I50" s="9">
        <f>I48+I19</f>
        <v>467680.19999999995</v>
      </c>
      <c r="J50" s="106">
        <f>D50-G2</f>
        <v>0</v>
      </c>
      <c r="K50" s="8"/>
    </row>
    <row r="51" spans="1:11" ht="23.25" x14ac:dyDescent="0.35">
      <c r="A51" s="174" t="s">
        <v>503</v>
      </c>
      <c r="B51" s="169"/>
      <c r="C51" s="170"/>
      <c r="G51" s="7"/>
      <c r="H51" s="6"/>
      <c r="I51" s="6">
        <f>+I50/D50</f>
        <v>25.999999999999996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504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504</v>
      </c>
      <c r="D2" s="96" t="s">
        <v>3</v>
      </c>
      <c r="E2" s="95" t="s">
        <v>71</v>
      </c>
      <c r="F2" s="94" t="s">
        <v>5</v>
      </c>
      <c r="G2" s="93">
        <v>11208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148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75.729729729729726</v>
      </c>
      <c r="F4" s="81" t="s">
        <v>12</v>
      </c>
      <c r="G4" s="80">
        <f>G2*G3</f>
        <v>327834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5.5015119784291855E-3</v>
      </c>
      <c r="F6" s="69" t="s">
        <v>16</v>
      </c>
      <c r="G6" s="68">
        <f>(I50-I19)/(D50-(SUM(D42:D44)+D19))</f>
        <v>34.728177966101704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29.138805699032027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30.332203884657911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27.647057966999668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30.332203884657911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33.912398441535565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27.945407513406142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38.188741940028315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56.288614422020906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49.327125005869917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133.30000000000001</v>
      </c>
      <c r="E21" s="29">
        <f>D21/$D$48</f>
        <v>1.1893290506780872E-2</v>
      </c>
      <c r="F21" s="28">
        <f>C21-(C21*$E$6)</f>
        <v>73.195088718387609</v>
      </c>
      <c r="G21" s="27" t="str">
        <f>IF(C21&gt;=F21,"-","+")</f>
        <v>-</v>
      </c>
      <c r="H21" s="26">
        <f>C21*D21</f>
        <v>9810.8799999999992</v>
      </c>
      <c r="I21" s="26">
        <f>F21*D21</f>
        <v>9756.9053261610698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358.4</v>
      </c>
      <c r="E22" s="29">
        <f>D22/$D$48</f>
        <v>3.1977159172019987E-2</v>
      </c>
      <c r="F22" s="28">
        <f>C22-(C22*$E$6)</f>
        <v>49.128225308265598</v>
      </c>
      <c r="G22" s="27" t="str">
        <f>IF(C22&gt;=F22,"-","+")</f>
        <v>-</v>
      </c>
      <c r="H22" s="26">
        <f>C22*D22</f>
        <v>17704.96</v>
      </c>
      <c r="I22" s="26">
        <f>F22*D22</f>
        <v>17607.55595048239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278.5</v>
      </c>
      <c r="E23" s="29">
        <f>D23/$D$48</f>
        <v>2.4848322626695219E-2</v>
      </c>
      <c r="F23" s="28">
        <f>C23-(C23*$E$6)</f>
        <v>44.752431960970689</v>
      </c>
      <c r="G23" s="27" t="str">
        <f>IF(C23&gt;=F23,"-","+")</f>
        <v>-</v>
      </c>
      <c r="H23" s="26">
        <f>C23*D23</f>
        <v>12532.5</v>
      </c>
      <c r="I23" s="26">
        <f>F23*D23</f>
        <v>12463.552301130338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51.997325370033749</v>
      </c>
      <c r="D24" s="22">
        <f>SUM(D21:D23)</f>
        <v>770.2</v>
      </c>
      <c r="E24" s="21">
        <f>D24/$D$48</f>
        <v>6.8718772305496084E-2</v>
      </c>
      <c r="F24" s="20">
        <f>I24/D24</f>
        <v>51.711261461664236</v>
      </c>
      <c r="G24" s="19">
        <f>F24/C24-1</f>
        <v>-5.5015119784290745E-3</v>
      </c>
      <c r="H24" s="18">
        <f>SUM(H21:H23)</f>
        <v>40048.339999999997</v>
      </c>
      <c r="I24" s="18">
        <f>SUM(I21:I23)</f>
        <v>39828.013577773796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v>2109.5</v>
      </c>
      <c r="E26" s="29">
        <f t="shared" ref="E26:E32" si="7">D26/$D$48</f>
        <v>0.18821377587437543</v>
      </c>
      <c r="F26" s="28">
        <f t="shared" ref="F26:F31" si="8">C26-(C26*$E$6)</f>
        <v>39.083790579247733</v>
      </c>
      <c r="G26" s="27" t="str">
        <f t="shared" ref="G26:G31" si="9">IF(C26&gt;=F26,"-","+")</f>
        <v>-</v>
      </c>
      <c r="H26" s="26">
        <f t="shared" ref="H26:H31" si="10">C26*D26</f>
        <v>82903.349999999991</v>
      </c>
      <c r="I26" s="26">
        <f t="shared" ref="I26:I31" si="11">F26*D26</f>
        <v>82447.256226923098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1724.6</v>
      </c>
      <c r="E27" s="29">
        <f t="shared" si="7"/>
        <v>0.1538722341184868</v>
      </c>
      <c r="F27" s="28">
        <f t="shared" si="8"/>
        <v>34.807447080754976</v>
      </c>
      <c r="G27" s="27" t="str">
        <f t="shared" si="9"/>
        <v>-</v>
      </c>
      <c r="H27" s="26">
        <f t="shared" si="10"/>
        <v>60361</v>
      </c>
      <c r="I27" s="26">
        <f t="shared" si="11"/>
        <v>60028.923235470029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1149.8</v>
      </c>
      <c r="E28" s="29">
        <f t="shared" si="7"/>
        <v>0.10258743754461098</v>
      </c>
      <c r="F28" s="28">
        <f t="shared" si="8"/>
        <v>34.807447080754976</v>
      </c>
      <c r="G28" s="27" t="str">
        <f t="shared" si="9"/>
        <v>-</v>
      </c>
      <c r="H28" s="26">
        <f t="shared" si="10"/>
        <v>40243</v>
      </c>
      <c r="I28" s="26">
        <f t="shared" si="11"/>
        <v>40021.602653452072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1141.8</v>
      </c>
      <c r="E29" s="29">
        <f t="shared" si="7"/>
        <v>0.10187366167023554</v>
      </c>
      <c r="F29" s="28">
        <f t="shared" si="8"/>
        <v>33.614048895129088</v>
      </c>
      <c r="G29" s="27" t="str">
        <f t="shared" si="9"/>
        <v>-</v>
      </c>
      <c r="H29" s="26">
        <f t="shared" si="10"/>
        <v>38592.839999999997</v>
      </c>
      <c r="I29" s="26">
        <f t="shared" si="11"/>
        <v>38380.521028458388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754.3</v>
      </c>
      <c r="E30" s="29">
        <f t="shared" si="7"/>
        <v>6.7300142755174874E-2</v>
      </c>
      <c r="F30" s="28">
        <f t="shared" si="8"/>
        <v>33.614048895129088</v>
      </c>
      <c r="G30" s="27" t="str">
        <f t="shared" si="9"/>
        <v>-</v>
      </c>
      <c r="H30" s="26">
        <f t="shared" si="10"/>
        <v>25495.339999999997</v>
      </c>
      <c r="I30" s="26">
        <f t="shared" si="11"/>
        <v>25355.077081595868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305.3</v>
      </c>
      <c r="E31" s="29">
        <f t="shared" si="7"/>
        <v>2.7239471805852962E-2</v>
      </c>
      <c r="F31" s="28">
        <f t="shared" si="8"/>
        <v>34.210747987942035</v>
      </c>
      <c r="G31" s="27" t="str">
        <f t="shared" si="9"/>
        <v>-</v>
      </c>
      <c r="H31" s="26">
        <f t="shared" si="10"/>
        <v>10502.32</v>
      </c>
      <c r="I31" s="26">
        <f t="shared" si="11"/>
        <v>10444.541360718704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35.920260810265397</v>
      </c>
      <c r="D32" s="22">
        <f>SUM(D26:D31)</f>
        <v>7185.3</v>
      </c>
      <c r="E32" s="21">
        <f t="shared" si="7"/>
        <v>0.64108672376873665</v>
      </c>
      <c r="F32" s="20">
        <f>I32/D32</f>
        <v>35.722645065149429</v>
      </c>
      <c r="G32" s="19">
        <f>F32/C32-1</f>
        <v>-5.5015119784289634E-3</v>
      </c>
      <c r="H32" s="18">
        <f>SUM(H26:H31)</f>
        <v>258097.84999999998</v>
      </c>
      <c r="I32" s="18">
        <f>SUM(I26:I31)</f>
        <v>256677.92158661818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1479.1</v>
      </c>
      <c r="E34" s="29">
        <f t="shared" ref="E34:E40" si="13">D34/$D$48</f>
        <v>0.13196823697359028</v>
      </c>
      <c r="F34" s="28">
        <f t="shared" ref="F34:F39" si="14">C34-(C34*$E$6)</f>
        <v>20.586118702046516</v>
      </c>
      <c r="G34" s="27" t="str">
        <f t="shared" ref="G34:G39" si="15">IF(C34&gt;=F34,"-","+")</f>
        <v>-</v>
      </c>
      <c r="H34" s="26">
        <f t="shared" ref="H34:H39" si="16">C34*D34</f>
        <v>30617.369999999995</v>
      </c>
      <c r="I34" s="26">
        <f t="shared" ref="I34:I39" si="17">F34*D34</f>
        <v>30448.928172197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/>
      <c r="E35" s="29">
        <f t="shared" si="13"/>
        <v>0</v>
      </c>
      <c r="F35" s="28">
        <f t="shared" si="14"/>
        <v>15.812525959542976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12.729580646676107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33.614048895129088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33.614048895129088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34.807447080754976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</v>
      </c>
      <c r="D40" s="22">
        <f>SUM(D34:D39)</f>
        <v>1479.1</v>
      </c>
      <c r="E40" s="113">
        <f t="shared" si="13"/>
        <v>0.13196823697359028</v>
      </c>
      <c r="F40" s="20">
        <f>I40/D40</f>
        <v>20.586118702046516</v>
      </c>
      <c r="G40" s="19">
        <f>F40/C40-1</f>
        <v>-5.5015119784291855E-3</v>
      </c>
      <c r="H40" s="18">
        <f>SUM(H34:H39)</f>
        <v>30617.369999999995</v>
      </c>
      <c r="I40" s="18">
        <f>SUM(I34:I39)</f>
        <v>30448.928172197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1676</v>
      </c>
      <c r="E42" s="107">
        <f>D42/$D$48</f>
        <v>0.14953604568165596</v>
      </c>
      <c r="F42" s="28">
        <f>C42-(C42*$E$6)</f>
        <v>0.49724924401078541</v>
      </c>
      <c r="G42" s="27" t="str">
        <f>IF(C42&gt;=F42,"-","+")</f>
        <v>-</v>
      </c>
      <c r="H42" s="26">
        <f>C42*D42</f>
        <v>838</v>
      </c>
      <c r="I42" s="26">
        <f>F42*D42</f>
        <v>833.38973296207632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92</v>
      </c>
      <c r="E43" s="107">
        <f>D43/$D$48</f>
        <v>8.2084225553176304E-3</v>
      </c>
      <c r="F43" s="28">
        <f>C43-(C43*$E$6)</f>
        <v>0.49724924401078541</v>
      </c>
      <c r="G43" s="27" t="str">
        <f>IF(C43&gt;=F43,"-","+")</f>
        <v>-</v>
      </c>
      <c r="H43" s="26">
        <f>C43*D43</f>
        <v>46</v>
      </c>
      <c r="I43" s="26">
        <f>F43*D43</f>
        <v>45.746930448992259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4.8179871520342613E-4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0.49847750084583281</v>
      </c>
      <c r="D46" s="22">
        <f>SUM(D41:D45)</f>
        <v>1773.4</v>
      </c>
      <c r="E46" s="113">
        <f>D46/$D$48</f>
        <v>0.15822626695217704</v>
      </c>
      <c r="F46" s="20">
        <f>I46/D46</f>
        <v>0.49573512090395205</v>
      </c>
      <c r="G46" s="19">
        <f>F46/C46-1</f>
        <v>-5.5015119784290745E-3</v>
      </c>
      <c r="H46" s="18">
        <f>SUM(H41:H44)</f>
        <v>884</v>
      </c>
      <c r="I46" s="18">
        <f>SUM(I41:I44)</f>
        <v>879.13666341106864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109.11606368114498</v>
      </c>
      <c r="D48" s="13">
        <f>D24+D32+D40+D46</f>
        <v>11208</v>
      </c>
      <c r="E48" s="12">
        <f>SUM(E20:E46)/2</f>
        <v>1</v>
      </c>
      <c r="F48" s="11">
        <f>I48/D48</f>
        <v>29.250000000000004</v>
      </c>
      <c r="G48" s="10"/>
      <c r="H48" s="9">
        <f>SUM(H20:H46)/2</f>
        <v>329647.55999999994</v>
      </c>
      <c r="I48" s="9">
        <f>SUM(I20:I46)/2</f>
        <v>327834.00000000006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11208</v>
      </c>
      <c r="E50" s="12">
        <f>D50/G2</f>
        <v>1</v>
      </c>
      <c r="F50" s="11">
        <f>I50/D50</f>
        <v>29.250000000000004</v>
      </c>
      <c r="G50" s="10"/>
      <c r="H50" s="9">
        <f>H48+H19</f>
        <v>329647.55999999994</v>
      </c>
      <c r="I50" s="9">
        <f>I48+I19</f>
        <v>327834.00000000006</v>
      </c>
      <c r="J50" s="106">
        <f>D50-G2</f>
        <v>0</v>
      </c>
      <c r="K50" s="8"/>
    </row>
    <row r="51" spans="1:11" ht="23.25" x14ac:dyDescent="0.35">
      <c r="A51" s="174" t="s">
        <v>505</v>
      </c>
      <c r="B51" s="169"/>
      <c r="C51" s="170"/>
      <c r="G51" s="7"/>
      <c r="H51" s="6"/>
      <c r="I51" s="6">
        <f>+I50/D50</f>
        <v>29.250000000000004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tabColor rgb="FF92D050"/>
  </sheetPr>
  <dimension ref="A1:K56"/>
  <sheetViews>
    <sheetView workbookViewId="0">
      <selection activeCell="A2" sqref="A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504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504</v>
      </c>
      <c r="D2" s="96" t="s">
        <v>3</v>
      </c>
      <c r="E2" s="95" t="s">
        <v>71</v>
      </c>
      <c r="F2" s="94" t="s">
        <v>5</v>
      </c>
      <c r="G2" s="93">
        <v>13454.4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184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73.121739130434776</v>
      </c>
      <c r="F4" s="81" t="s">
        <v>12</v>
      </c>
      <c r="G4" s="80">
        <f>G2*G3</f>
        <v>393541.2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-1.9275985403381934E-3</v>
      </c>
      <c r="F6" s="69" t="s">
        <v>16</v>
      </c>
      <c r="G6" s="68">
        <f>(I50-I19)/(D50-(SUM(D42:D44)+D19))</f>
        <v>34.607068424246172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29.356478637231909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30.558791755480314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27.853587239421401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30.558791755480314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34.165731110225536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28.154165518983504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38.474019783948982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56.709102077383143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49.695608887600777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155.5</v>
      </c>
      <c r="E21" s="29">
        <f>D21/$D$48</f>
        <v>1.1557557378998693E-2</v>
      </c>
      <c r="F21" s="28">
        <f>C21-(C21*$E$6)</f>
        <v>73.741871252568885</v>
      </c>
      <c r="G21" s="27" t="str">
        <f>IF(C21&gt;=F21,"-","+")</f>
        <v>+</v>
      </c>
      <c r="H21" s="26">
        <f>C21*D21</f>
        <v>11444.8</v>
      </c>
      <c r="I21" s="26">
        <f>F21*D21</f>
        <v>11466.860979774461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388.1</v>
      </c>
      <c r="E22" s="29">
        <f>D22/$D$48</f>
        <v>2.8845582114401244E-2</v>
      </c>
      <c r="F22" s="28">
        <f>C22-(C22*$E$6)</f>
        <v>49.495223367892706</v>
      </c>
      <c r="G22" s="27" t="str">
        <f>IF(C22&gt;=F22,"-","+")</f>
        <v>+</v>
      </c>
      <c r="H22" s="26">
        <f>C22*D22</f>
        <v>19172.14</v>
      </c>
      <c r="I22" s="26">
        <f>F22*D22</f>
        <v>19209.096189079159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327.10000000000002</v>
      </c>
      <c r="E23" s="29">
        <f>D23/$D$48</f>
        <v>2.4311749316208831E-2</v>
      </c>
      <c r="F23" s="28">
        <f>C23-(C23*$E$6)</f>
        <v>45.086741934315221</v>
      </c>
      <c r="G23" s="27" t="str">
        <f>IF(C23&gt;=F23,"-","+")</f>
        <v>+</v>
      </c>
      <c r="H23" s="26">
        <f>C23*D23</f>
        <v>14719.500000000002</v>
      </c>
      <c r="I23" s="26">
        <f>F23*D23</f>
        <v>14747.87328671451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52.06895601240381</v>
      </c>
      <c r="D24" s="22">
        <f>SUM(D21:D23)</f>
        <v>870.7</v>
      </c>
      <c r="E24" s="21">
        <f>D24/$D$48</f>
        <v>6.4714888809608767E-2</v>
      </c>
      <c r="F24" s="20">
        <f>I24/D24</f>
        <v>52.169324056010254</v>
      </c>
      <c r="G24" s="19">
        <f>F24/C24-1</f>
        <v>1.9275985403381934E-3</v>
      </c>
      <c r="H24" s="18">
        <f>SUM(H21:H23)</f>
        <v>45336.44</v>
      </c>
      <c r="I24" s="18">
        <f>SUM(I21:I23)</f>
        <v>45423.830455568132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698.7+147.1+1611.6</f>
        <v>2457.4</v>
      </c>
      <c r="E26" s="29">
        <f t="shared" ref="E26:E32" si="7">D26/$D$48</f>
        <v>0.18264656915209898</v>
      </c>
      <c r="F26" s="28">
        <f t="shared" ref="F26:F31" si="8">C26-(C26*$E$6)</f>
        <v>39.375754622635291</v>
      </c>
      <c r="G26" s="27" t="str">
        <f t="shared" ref="G26:G31" si="9">IF(C26&gt;=F26,"-","+")</f>
        <v>+</v>
      </c>
      <c r="H26" s="26">
        <f t="shared" ref="H26:H31" si="10">C26*D26</f>
        <v>96575.819999999992</v>
      </c>
      <c r="I26" s="26">
        <f t="shared" ref="I26:I31" si="11">F26*D26</f>
        <v>96761.979409663967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2016.5</v>
      </c>
      <c r="E27" s="29">
        <f t="shared" si="7"/>
        <v>0.14987662028778692</v>
      </c>
      <c r="F27" s="28">
        <f t="shared" si="8"/>
        <v>35.067465948911838</v>
      </c>
      <c r="G27" s="27" t="str">
        <f t="shared" si="9"/>
        <v>+</v>
      </c>
      <c r="H27" s="26">
        <f t="shared" si="10"/>
        <v>70577.5</v>
      </c>
      <c r="I27" s="26">
        <f t="shared" si="11"/>
        <v>70713.545085980717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1625.7</v>
      </c>
      <c r="E28" s="29">
        <f t="shared" si="7"/>
        <v>0.12083036032821978</v>
      </c>
      <c r="F28" s="28">
        <f t="shared" si="8"/>
        <v>35.067465948911838</v>
      </c>
      <c r="G28" s="27" t="str">
        <f t="shared" si="9"/>
        <v>+</v>
      </c>
      <c r="H28" s="26">
        <f t="shared" si="10"/>
        <v>56899.5</v>
      </c>
      <c r="I28" s="26">
        <f t="shared" si="11"/>
        <v>57009.179393145976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1166.3</v>
      </c>
      <c r="E29" s="29">
        <f t="shared" si="7"/>
        <v>8.6685396598882164E-2</v>
      </c>
      <c r="F29" s="28">
        <f t="shared" si="8"/>
        <v>33.865152830663426</v>
      </c>
      <c r="G29" s="27" t="str">
        <f t="shared" si="9"/>
        <v>+</v>
      </c>
      <c r="H29" s="26">
        <f t="shared" si="10"/>
        <v>39420.939999999995</v>
      </c>
      <c r="I29" s="26">
        <f t="shared" si="11"/>
        <v>39496.927746402755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1012.3</v>
      </c>
      <c r="E30" s="29">
        <f t="shared" si="7"/>
        <v>7.5239326911642299E-2</v>
      </c>
      <c r="F30" s="28">
        <f t="shared" si="8"/>
        <v>33.865152830663426</v>
      </c>
      <c r="G30" s="27" t="str">
        <f t="shared" si="9"/>
        <v>+</v>
      </c>
      <c r="H30" s="26">
        <f t="shared" si="10"/>
        <v>34215.74</v>
      </c>
      <c r="I30" s="26">
        <f t="shared" si="11"/>
        <v>34281.694210480586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206.8</v>
      </c>
      <c r="E31" s="29">
        <f t="shared" si="7"/>
        <v>1.5370436437150675E-2</v>
      </c>
      <c r="F31" s="28">
        <f t="shared" si="8"/>
        <v>34.466309389787632</v>
      </c>
      <c r="G31" s="27" t="str">
        <f t="shared" si="9"/>
        <v>+</v>
      </c>
      <c r="H31" s="26">
        <f t="shared" si="10"/>
        <v>7113.92</v>
      </c>
      <c r="I31" s="26">
        <f t="shared" si="11"/>
        <v>7127.6327818080827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35.922618738951094</v>
      </c>
      <c r="D32" s="22">
        <f>SUM(D26:D31)</f>
        <v>8484.9999999999982</v>
      </c>
      <c r="E32" s="21">
        <f t="shared" si="7"/>
        <v>0.63064870971578069</v>
      </c>
      <c r="F32" s="20">
        <f>I32/D32</f>
        <v>35.991863126397426</v>
      </c>
      <c r="G32" s="19">
        <f>F32/C32-1</f>
        <v>1.9275985403384155E-3</v>
      </c>
      <c r="H32" s="18">
        <f>SUM(H26:H31)</f>
        <v>304803.42</v>
      </c>
      <c r="I32" s="18">
        <f>SUM(I26:I31)</f>
        <v>305390.95862748212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2009.8</v>
      </c>
      <c r="E34" s="29">
        <f t="shared" ref="E34:E40" si="13">D34/$D$48</f>
        <v>0.14937864193126416</v>
      </c>
      <c r="F34" s="28">
        <f t="shared" ref="F34:F39" si="14">C34-(C34*$E$6)</f>
        <v>20.739901289784999</v>
      </c>
      <c r="G34" s="27" t="str">
        <f t="shared" ref="G34:G39" si="15">IF(C34&gt;=F34,"-","+")</f>
        <v>+</v>
      </c>
      <c r="H34" s="26">
        <f t="shared" ref="H34:H39" si="16">C34*D34</f>
        <v>41602.86</v>
      </c>
      <c r="I34" s="26">
        <f t="shared" ref="I34:I39" si="17">F34*D34</f>
        <v>41683.053612209893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/>
      <c r="E35" s="29">
        <f t="shared" si="13"/>
        <v>0</v>
      </c>
      <c r="F35" s="28">
        <f t="shared" si="14"/>
        <v>15.930648816791377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12.824673261316329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33.865152830663426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33.865152830663426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35.067465948911838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</v>
      </c>
      <c r="D40" s="22">
        <f>SUM(D34:D39)</f>
        <v>2009.8</v>
      </c>
      <c r="E40" s="113">
        <f t="shared" si="13"/>
        <v>0.14937864193126416</v>
      </c>
      <c r="F40" s="20">
        <f>I40/D40</f>
        <v>20.739901289784999</v>
      </c>
      <c r="G40" s="19">
        <f>F40/C40-1</f>
        <v>1.9275985403381934E-3</v>
      </c>
      <c r="H40" s="18">
        <f>SUM(H34:H39)</f>
        <v>41602.86</v>
      </c>
      <c r="I40" s="18">
        <f>SUM(I34:I39)</f>
        <v>41683.053612209893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2002</v>
      </c>
      <c r="E42" s="107">
        <f>D42/$D$48</f>
        <v>0.14879890593411824</v>
      </c>
      <c r="F42" s="28">
        <f>C42-(C42*$E$6)</f>
        <v>0.5009637992701691</v>
      </c>
      <c r="G42" s="27" t="str">
        <f>IF(C42&gt;=F42,"-","+")</f>
        <v>+</v>
      </c>
      <c r="H42" s="26">
        <f>C42*D42</f>
        <v>1001</v>
      </c>
      <c r="I42" s="26">
        <f>F42*D42</f>
        <v>1002.9295261388785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80.7</v>
      </c>
      <c r="E43" s="107">
        <f>D43/$D$48</f>
        <v>5.9980378166250457E-3</v>
      </c>
      <c r="F43" s="28">
        <f>C43-(C43*$E$6)</f>
        <v>0.5009637992701691</v>
      </c>
      <c r="G43" s="27" t="str">
        <f>IF(C43&gt;=F43,"-","+")</f>
        <v>+</v>
      </c>
      <c r="H43" s="26">
        <f>C43*D43</f>
        <v>40.35</v>
      </c>
      <c r="I43" s="26">
        <f>F43*D43</f>
        <v>40.427778601102645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6.2</v>
      </c>
      <c r="E45" s="107">
        <f>D45/$D$48</f>
        <v>4.6081579260316338E-4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0.49851596534060993</v>
      </c>
      <c r="D46" s="22">
        <f>SUM(D41:D45)</f>
        <v>2088.8999999999996</v>
      </c>
      <c r="E46" s="113">
        <f>D46/$D$48</f>
        <v>0.15525775954334642</v>
      </c>
      <c r="F46" s="20">
        <f>I46/D46</f>
        <v>0.49947690398773581</v>
      </c>
      <c r="G46" s="19">
        <f>F46/C46-1</f>
        <v>1.9275985403381934E-3</v>
      </c>
      <c r="H46" s="18">
        <f>SUM(H41:H44)</f>
        <v>1041.3499999999999</v>
      </c>
      <c r="I46" s="18">
        <f>SUM(I41:I44)</f>
        <v>1043.3573047399811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109.19009071669552</v>
      </c>
      <c r="D48" s="13">
        <f>D24+D32+D40+D46</f>
        <v>13454.399999999998</v>
      </c>
      <c r="E48" s="12">
        <f>SUM(E20:E46)/2</f>
        <v>1</v>
      </c>
      <c r="F48" s="11">
        <f>I48/D48</f>
        <v>29.250000000000011</v>
      </c>
      <c r="G48" s="10"/>
      <c r="H48" s="9">
        <f>SUM(H20:H46)/2</f>
        <v>392784.06999999995</v>
      </c>
      <c r="I48" s="9">
        <f>SUM(I20:I46)/2</f>
        <v>393541.20000000007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13454.399999999998</v>
      </c>
      <c r="E50" s="12">
        <f>D50/G2</f>
        <v>0.99999999999999989</v>
      </c>
      <c r="F50" s="11">
        <f>I50/D50</f>
        <v>29.250000000000011</v>
      </c>
      <c r="G50" s="10"/>
      <c r="H50" s="9">
        <f>H48+H19</f>
        <v>392784.06999999995</v>
      </c>
      <c r="I50" s="9">
        <f>I48+I19</f>
        <v>393541.20000000007</v>
      </c>
      <c r="J50" s="106">
        <f>D50-G2</f>
        <v>0</v>
      </c>
      <c r="K50" s="8"/>
    </row>
    <row r="51" spans="1:11" ht="23.25" x14ac:dyDescent="0.35">
      <c r="A51" s="174" t="s">
        <v>506</v>
      </c>
      <c r="B51" s="169"/>
      <c r="C51" s="170"/>
      <c r="G51" s="7"/>
      <c r="H51" s="6"/>
      <c r="I51" s="6">
        <f>+I50/D50</f>
        <v>29.250000000000011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tabColor rgb="FF92D050"/>
  </sheetPr>
  <dimension ref="A1:K56"/>
  <sheetViews>
    <sheetView workbookViewId="0">
      <selection activeCell="L15" sqref="L15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504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504</v>
      </c>
      <c r="D2" s="96" t="s">
        <v>3</v>
      </c>
      <c r="E2" s="95" t="s">
        <v>362</v>
      </c>
      <c r="F2" s="94" t="s">
        <v>5</v>
      </c>
      <c r="G2" s="93">
        <v>25140.799999999999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344</v>
      </c>
      <c r="F3" s="88" t="s">
        <v>8</v>
      </c>
      <c r="G3" s="87">
        <v>29.35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73.083720930232559</v>
      </c>
      <c r="F4" s="81" t="s">
        <v>12</v>
      </c>
      <c r="G4" s="80">
        <f>G2*G3</f>
        <v>737882.48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-2.3304989696187661E-2</v>
      </c>
      <c r="F6" s="69" t="s">
        <v>16</v>
      </c>
      <c r="G6" s="68">
        <f>(I50-I19)/(D50-(SUM(D42:D44)+D19))</f>
        <v>35.215237549812684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29.4</v>
      </c>
      <c r="D10" s="30"/>
      <c r="E10" s="29" t="e">
        <f t="shared" ref="E10:E19" si="1">D10/$D$19</f>
        <v>#DIV/0!</v>
      </c>
      <c r="F10" s="28">
        <f t="shared" ref="F10:F18" si="2">C10-(C10*$E$6)</f>
        <v>30.085166697067915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30.6</v>
      </c>
      <c r="D11" s="30"/>
      <c r="E11" s="29" t="e">
        <f t="shared" si="1"/>
        <v>#DIV/0!</v>
      </c>
      <c r="F11" s="28">
        <f t="shared" si="2"/>
        <v>31.313132684703344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27.9</v>
      </c>
      <c r="D12" s="30"/>
      <c r="E12" s="29" t="e">
        <f t="shared" si="1"/>
        <v>#DIV/0!</v>
      </c>
      <c r="F12" s="28">
        <f t="shared" si="2"/>
        <v>28.550209212523633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30.6</v>
      </c>
      <c r="D13" s="30"/>
      <c r="E13" s="29" t="e">
        <f t="shared" si="1"/>
        <v>#DIV/0!</v>
      </c>
      <c r="F13" s="28">
        <f t="shared" si="2"/>
        <v>31.313132684703344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34.200000000000003</v>
      </c>
      <c r="D14" s="30"/>
      <c r="E14" s="29" t="e">
        <f t="shared" si="1"/>
        <v>#DIV/0!</v>
      </c>
      <c r="F14" s="28">
        <f t="shared" si="2"/>
        <v>34.99703064760962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28.2</v>
      </c>
      <c r="D15" s="30"/>
      <c r="E15" s="29" t="e">
        <f t="shared" si="1"/>
        <v>#DIV/0!</v>
      </c>
      <c r="F15" s="28">
        <f t="shared" si="2"/>
        <v>28.85720070943249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38.6</v>
      </c>
      <c r="D16" s="30"/>
      <c r="E16" s="29" t="e">
        <f t="shared" si="1"/>
        <v>#DIV/0!</v>
      </c>
      <c r="F16" s="28">
        <f t="shared" si="2"/>
        <v>39.499572602272842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56.8</v>
      </c>
      <c r="D17" s="30"/>
      <c r="E17" s="29" t="e">
        <f t="shared" si="1"/>
        <v>#DIV/0!</v>
      </c>
      <c r="F17" s="28">
        <f t="shared" si="2"/>
        <v>58.123723414743459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49.7</v>
      </c>
      <c r="D18" s="30"/>
      <c r="E18" s="29" t="e">
        <f t="shared" si="1"/>
        <v>#DIV/0!</v>
      </c>
      <c r="F18" s="28">
        <f t="shared" si="2"/>
        <v>50.858257987900529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73.8</v>
      </c>
      <c r="D21" s="30">
        <v>288.8</v>
      </c>
      <c r="E21" s="29">
        <f>D21/$D$48</f>
        <v>1.1487303506650545E-2</v>
      </c>
      <c r="F21" s="28">
        <f>C21-(C21*$E$6)</f>
        <v>75.519908239578641</v>
      </c>
      <c r="G21" s="27" t="str">
        <f>IF(C21&gt;=F21,"-","+")</f>
        <v>+</v>
      </c>
      <c r="H21" s="26">
        <f>C21*D21</f>
        <v>21313.439999999999</v>
      </c>
      <c r="I21" s="26">
        <f>F21*D21</f>
        <v>21810.149499590312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49.6</v>
      </c>
      <c r="D22" s="30">
        <v>745.8</v>
      </c>
      <c r="E22" s="29">
        <f>D22/$D$48</f>
        <v>2.9664927130401579E-2</v>
      </c>
      <c r="F22" s="28">
        <f>C22-(C22*$E$6)</f>
        <v>50.755927488930908</v>
      </c>
      <c r="G22" s="27" t="str">
        <f>IF(C22&gt;=F22,"-","+")</f>
        <v>+</v>
      </c>
      <c r="H22" s="26">
        <f>C22*D22</f>
        <v>36991.68</v>
      </c>
      <c r="I22" s="26">
        <f>F22*D22</f>
        <v>37853.770721244669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45.2</v>
      </c>
      <c r="D23" s="30">
        <v>585.70000000000005</v>
      </c>
      <c r="E23" s="29">
        <f>D23/$D$48</f>
        <v>2.3296792464838036E-2</v>
      </c>
      <c r="F23" s="28">
        <f>C23-(C23*$E$6)</f>
        <v>46.253385534267686</v>
      </c>
      <c r="G23" s="27" t="str">
        <f>IF(C23&gt;=F23,"-","+")</f>
        <v>+</v>
      </c>
      <c r="H23" s="26">
        <f>C23*D23</f>
        <v>26473.640000000003</v>
      </c>
      <c r="I23" s="26">
        <f>F23*D23</f>
        <v>27090.607907420585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52.322878479293955</v>
      </c>
      <c r="D24" s="22">
        <f>SUM(D21:D23)</f>
        <v>1620.3</v>
      </c>
      <c r="E24" s="21">
        <f>D24/$D$48</f>
        <v>6.4449023101890157E-2</v>
      </c>
      <c r="F24" s="20">
        <f>I24/D24</f>
        <v>53.542262623128785</v>
      </c>
      <c r="G24" s="19">
        <f>F24/C24-1</f>
        <v>2.3304989696187661E-2</v>
      </c>
      <c r="H24" s="18">
        <f>SUM(H21:H23)</f>
        <v>84778.76</v>
      </c>
      <c r="I24" s="18">
        <f>SUM(I21:I23)</f>
        <v>86754.528128255566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39.4</v>
      </c>
      <c r="D26" s="30">
        <f>330.6+4264.6</f>
        <v>4595.2000000000007</v>
      </c>
      <c r="E26" s="29">
        <f t="shared" ref="E26:E32" si="7">D26/$D$48</f>
        <v>0.18277859097562532</v>
      </c>
      <c r="F26" s="28">
        <f t="shared" ref="F26:F31" si="8">C26-(C26*$E$6)</f>
        <v>40.318216594029792</v>
      </c>
      <c r="G26" s="27" t="str">
        <f t="shared" ref="G26:G31" si="9">IF(C26&gt;=F26,"-","+")</f>
        <v>+</v>
      </c>
      <c r="H26" s="26">
        <f t="shared" ref="H26:H31" si="10">C26*D26</f>
        <v>181050.88000000003</v>
      </c>
      <c r="I26" s="26">
        <f t="shared" ref="I26:I31" si="11">F26*D26</f>
        <v>185270.26889288574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35.1</v>
      </c>
      <c r="D27" s="30">
        <v>4303.2</v>
      </c>
      <c r="E27" s="29">
        <f t="shared" si="7"/>
        <v>0.1711640043276268</v>
      </c>
      <c r="F27" s="28">
        <f t="shared" si="8"/>
        <v>35.918005138336191</v>
      </c>
      <c r="G27" s="27" t="str">
        <f t="shared" si="9"/>
        <v>+</v>
      </c>
      <c r="H27" s="26">
        <f t="shared" si="10"/>
        <v>151042.32</v>
      </c>
      <c r="I27" s="26">
        <f t="shared" si="11"/>
        <v>154562.3597112883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35.1</v>
      </c>
      <c r="D28" s="30">
        <v>2340</v>
      </c>
      <c r="E28" s="29">
        <f t="shared" si="7"/>
        <v>9.3075797110672695E-2</v>
      </c>
      <c r="F28" s="28">
        <f t="shared" si="8"/>
        <v>35.918005138336191</v>
      </c>
      <c r="G28" s="27" t="str">
        <f t="shared" si="9"/>
        <v>+</v>
      </c>
      <c r="H28" s="26">
        <f t="shared" si="10"/>
        <v>82134</v>
      </c>
      <c r="I28" s="26">
        <f t="shared" si="11"/>
        <v>84048.132023706683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33.9</v>
      </c>
      <c r="D29" s="30">
        <v>2162.6</v>
      </c>
      <c r="E29" s="29">
        <f t="shared" si="7"/>
        <v>8.6019537962196913E-2</v>
      </c>
      <c r="F29" s="28">
        <f t="shared" si="8"/>
        <v>34.690039150700763</v>
      </c>
      <c r="G29" s="27" t="str">
        <f t="shared" si="9"/>
        <v>+</v>
      </c>
      <c r="H29" s="26">
        <f t="shared" si="10"/>
        <v>73312.14</v>
      </c>
      <c r="I29" s="26">
        <f t="shared" si="11"/>
        <v>75020.678667305459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33.9</v>
      </c>
      <c r="D30" s="30">
        <v>1545.6</v>
      </c>
      <c r="E30" s="29">
        <f t="shared" si="7"/>
        <v>6.1477757271049448E-2</v>
      </c>
      <c r="F30" s="28">
        <f t="shared" si="8"/>
        <v>34.690039150700763</v>
      </c>
      <c r="G30" s="27" t="str">
        <f t="shared" si="9"/>
        <v>+</v>
      </c>
      <c r="H30" s="26">
        <f t="shared" si="10"/>
        <v>52395.839999999997</v>
      </c>
      <c r="I30" s="26">
        <f t="shared" si="11"/>
        <v>53616.924511323094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34.5</v>
      </c>
      <c r="D31" s="30">
        <v>357.3</v>
      </c>
      <c r="E31" s="29">
        <f t="shared" si="7"/>
        <v>1.4211958251129638E-2</v>
      </c>
      <c r="F31" s="28">
        <f t="shared" si="8"/>
        <v>35.304022144518477</v>
      </c>
      <c r="G31" s="27" t="str">
        <f t="shared" si="9"/>
        <v>+</v>
      </c>
      <c r="H31" s="26">
        <f t="shared" si="10"/>
        <v>12326.85</v>
      </c>
      <c r="I31" s="26">
        <f t="shared" si="11"/>
        <v>12614.127112236452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36.086359032664873</v>
      </c>
      <c r="D32" s="22">
        <f>SUM(D26:D31)</f>
        <v>15303.900000000001</v>
      </c>
      <c r="E32" s="21">
        <f t="shared" si="7"/>
        <v>0.60872764589830086</v>
      </c>
      <c r="F32" s="20">
        <f>I32/D32</f>
        <v>36.927351258094056</v>
      </c>
      <c r="G32" s="19">
        <f>F32/C32-1</f>
        <v>2.3304989696187661E-2</v>
      </c>
      <c r="H32" s="18">
        <f>SUM(H26:H31)</f>
        <v>552262.03</v>
      </c>
      <c r="I32" s="18">
        <f>SUM(I26:I31)</f>
        <v>565132.49091874564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f>1435.8+2326.1</f>
        <v>3761.8999999999996</v>
      </c>
      <c r="E34" s="29">
        <f t="shared" ref="E34:E40" si="13">D34/$D$48</f>
        <v>0.14963326544899128</v>
      </c>
      <c r="F34" s="28">
        <f t="shared" ref="F34:F39" si="14">C34-(C34*$E$6)</f>
        <v>21.182413286711085</v>
      </c>
      <c r="G34" s="27" t="str">
        <f t="shared" ref="G34:G39" si="15">IF(C34&gt;=F34,"-","+")</f>
        <v>+</v>
      </c>
      <c r="H34" s="26">
        <f t="shared" ref="H34:H39" si="16">C34*D34</f>
        <v>77871.329999999987</v>
      </c>
      <c r="I34" s="26">
        <f t="shared" ref="I34:I39" si="17">F34*D34</f>
        <v>79686.120543278419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16</v>
      </c>
      <c r="D35" s="30">
        <v>254.5</v>
      </c>
      <c r="E35" s="29">
        <f t="shared" si="13"/>
        <v>1.0122987335327436E-2</v>
      </c>
      <c r="F35" s="28">
        <f t="shared" si="14"/>
        <v>16.372879835139003</v>
      </c>
      <c r="G35" s="27" t="str">
        <f t="shared" si="15"/>
        <v>+</v>
      </c>
      <c r="H35" s="26">
        <f t="shared" si="16"/>
        <v>4072</v>
      </c>
      <c r="I35" s="26">
        <f t="shared" si="17"/>
        <v>4166.897918042876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13.098303868111202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33.9</v>
      </c>
      <c r="D37" s="30"/>
      <c r="E37" s="29">
        <f t="shared" si="13"/>
        <v>0</v>
      </c>
      <c r="F37" s="28">
        <f t="shared" si="14"/>
        <v>34.690039150700763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33.9</v>
      </c>
      <c r="D38" s="30"/>
      <c r="E38" s="29">
        <f t="shared" si="13"/>
        <v>0</v>
      </c>
      <c r="F38" s="28">
        <f t="shared" si="14"/>
        <v>34.690039150700763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35.1</v>
      </c>
      <c r="D39" s="30"/>
      <c r="E39" s="29">
        <f t="shared" si="13"/>
        <v>0</v>
      </c>
      <c r="F39" s="28">
        <f t="shared" si="14"/>
        <v>35.918005138336191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20.402183547455433</v>
      </c>
      <c r="D40" s="22">
        <f>SUM(D34:D39)</f>
        <v>4016.3999999999996</v>
      </c>
      <c r="E40" s="113">
        <f t="shared" si="13"/>
        <v>0.15975625278431871</v>
      </c>
      <c r="F40" s="20">
        <f>I40/D40</f>
        <v>20.877656224808611</v>
      </c>
      <c r="G40" s="19">
        <f>F40/C40-1</f>
        <v>2.3304989696187661E-2</v>
      </c>
      <c r="H40" s="18">
        <f>SUM(H34:H39)</f>
        <v>81943.329999999987</v>
      </c>
      <c r="I40" s="18">
        <f>SUM(I34:I39)</f>
        <v>83853.018461321291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248.5+1847.3+1936</f>
        <v>4031.8</v>
      </c>
      <c r="E42" s="107">
        <f>D42/$D$48</f>
        <v>0.16036880290205563</v>
      </c>
      <c r="F42" s="28">
        <f>C42-(C42*$E$6)</f>
        <v>0.51165249484809383</v>
      </c>
      <c r="G42" s="27" t="str">
        <f>IF(C42&gt;=F42,"-","+")</f>
        <v>+</v>
      </c>
      <c r="H42" s="26">
        <f>C42*D42</f>
        <v>2015.9</v>
      </c>
      <c r="I42" s="26">
        <f>F42*D42</f>
        <v>2062.880528728545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155.5</v>
      </c>
      <c r="E43" s="107">
        <f>D43/$D$48</f>
        <v>6.1851651498758993E-3</v>
      </c>
      <c r="F43" s="28">
        <f>C43-(C43*$E$6)</f>
        <v>0.51165249484809383</v>
      </c>
      <c r="G43" s="27" t="str">
        <f>IF(C43&gt;=F43,"-","+")</f>
        <v>+</v>
      </c>
      <c r="H43" s="26">
        <f>C43*D43</f>
        <v>77.75</v>
      </c>
      <c r="I43" s="26">
        <f>F43*D43</f>
        <v>79.561962948878588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12.9</v>
      </c>
      <c r="E45" s="107">
        <f>D45/$D$48</f>
        <v>5.1311016355883661E-4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0.4984643588400553</v>
      </c>
      <c r="D46" s="22">
        <f>SUM(D41:D45)</f>
        <v>4200.2</v>
      </c>
      <c r="E46" s="113">
        <f>D46/$D$48</f>
        <v>0.16706707821549036</v>
      </c>
      <c r="F46" s="20">
        <f>I46/D46</f>
        <v>0.5100810655867396</v>
      </c>
      <c r="G46" s="19">
        <f>F46/C46-1</f>
        <v>2.3304989696187661E-2</v>
      </c>
      <c r="H46" s="18">
        <f>SUM(H41:H44)</f>
        <v>2093.65</v>
      </c>
      <c r="I46" s="18">
        <f>SUM(I41:I44)</f>
        <v>2142.4424916774237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109.30988541825431</v>
      </c>
      <c r="D48" s="13">
        <f>D24+D32+D40+D46</f>
        <v>25140.799999999999</v>
      </c>
      <c r="E48" s="12">
        <f>SUM(E20:E46)/2</f>
        <v>1.0000000000000002</v>
      </c>
      <c r="F48" s="11">
        <f>I48/D48</f>
        <v>29.350000000000005</v>
      </c>
      <c r="G48" s="10"/>
      <c r="H48" s="9">
        <f>SUM(H20:H46)/2</f>
        <v>721077.77</v>
      </c>
      <c r="I48" s="9">
        <f>SUM(I20:I46)/2</f>
        <v>737882.4800000001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25140.799999999999</v>
      </c>
      <c r="E50" s="12">
        <f>D50/G2</f>
        <v>1</v>
      </c>
      <c r="F50" s="11">
        <f>I50/D50</f>
        <v>29.350000000000005</v>
      </c>
      <c r="G50" s="10"/>
      <c r="H50" s="9">
        <f>H48+H19</f>
        <v>721077.77</v>
      </c>
      <c r="I50" s="9">
        <f>I48+I19</f>
        <v>737882.4800000001</v>
      </c>
      <c r="J50" s="106">
        <f>D50-G2</f>
        <v>0</v>
      </c>
      <c r="K50" s="8"/>
    </row>
    <row r="51" spans="1:11" ht="23.25" x14ac:dyDescent="0.35">
      <c r="A51" s="174" t="s">
        <v>507</v>
      </c>
      <c r="B51" s="169"/>
      <c r="C51" s="170"/>
      <c r="G51" s="7"/>
      <c r="H51" s="6"/>
      <c r="I51" s="6">
        <f>+I50/D50</f>
        <v>29.350000000000005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504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508</v>
      </c>
      <c r="D2" s="96" t="s">
        <v>3</v>
      </c>
      <c r="E2" s="95" t="s">
        <v>362</v>
      </c>
      <c r="F2" s="94" t="s">
        <v>5</v>
      </c>
      <c r="G2" s="93">
        <v>10652.7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168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63.408928571428575</v>
      </c>
      <c r="F4" s="81" t="s">
        <v>12</v>
      </c>
      <c r="G4" s="80">
        <f>G2*G3</f>
        <v>311591.47500000003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-1.4901695319803787E-2</v>
      </c>
      <c r="F6" s="69" t="s">
        <v>16</v>
      </c>
      <c r="G6" s="68">
        <f>(I50-I19)/(D50-(SUM(D42:D44)+D19))</f>
        <v>35.216118140283555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29.736619672870251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>
        <v>811.6</v>
      </c>
      <c r="E11" s="29">
        <f t="shared" si="1"/>
        <v>0.63031997514756144</v>
      </c>
      <c r="F11" s="28">
        <f t="shared" si="2"/>
        <v>30.954501707254014</v>
      </c>
      <c r="G11" s="27" t="str">
        <f t="shared" si="3"/>
        <v>+</v>
      </c>
      <c r="H11" s="34">
        <f t="shared" si="4"/>
        <v>24753.8</v>
      </c>
      <c r="I11" s="34">
        <f t="shared" si="5"/>
        <v>25122.673585607357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>
        <v>420</v>
      </c>
      <c r="E12" s="29">
        <f t="shared" si="1"/>
        <v>0.32618825722274003</v>
      </c>
      <c r="F12" s="28">
        <f t="shared" si="2"/>
        <v>28.214267129890548</v>
      </c>
      <c r="G12" s="27" t="str">
        <f t="shared" si="3"/>
        <v>+</v>
      </c>
      <c r="H12" s="34">
        <f t="shared" si="4"/>
        <v>11676</v>
      </c>
      <c r="I12" s="34">
        <f t="shared" si="5"/>
        <v>11849.99219455403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30.954501707254014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>
        <f t="shared" si="1"/>
        <v>0</v>
      </c>
      <c r="F14" s="28">
        <f t="shared" si="2"/>
        <v>34.608147810405313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>
        <v>56</v>
      </c>
      <c r="E15" s="29">
        <f t="shared" si="1"/>
        <v>4.3491767629698669E-2</v>
      </c>
      <c r="F15" s="28">
        <f t="shared" si="2"/>
        <v>28.518737638486488</v>
      </c>
      <c r="G15" s="27" t="str">
        <f t="shared" si="3"/>
        <v>+</v>
      </c>
      <c r="H15" s="34">
        <f t="shared" si="4"/>
        <v>1573.6000000000001</v>
      </c>
      <c r="I15" s="34">
        <f t="shared" si="5"/>
        <v>1597.0493077552433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>
        <f t="shared" si="1"/>
        <v>0</v>
      </c>
      <c r="F16" s="28">
        <f t="shared" si="2"/>
        <v>38.972225100280461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>
        <f t="shared" si="1"/>
        <v>0</v>
      </c>
      <c r="F17" s="28">
        <f t="shared" si="2"/>
        <v>57.443435955100895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50.339124087862267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29.514911463187328</v>
      </c>
      <c r="D19" s="49">
        <f>SUM(D10:D18)</f>
        <v>1287.5999999999999</v>
      </c>
      <c r="E19" s="48">
        <f t="shared" si="1"/>
        <v>1</v>
      </c>
      <c r="F19" s="47">
        <f>I19/D19</f>
        <v>29.954733681202732</v>
      </c>
      <c r="G19" s="46">
        <f>F19/C19-1</f>
        <v>1.4901695319803787E-2</v>
      </c>
      <c r="H19" s="9">
        <f>SUM(H10:H18)</f>
        <v>38003.4</v>
      </c>
      <c r="I19" s="9">
        <f>SUM(I10:I18)</f>
        <v>38569.715087916637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112.4</v>
      </c>
      <c r="E21" s="29">
        <f>D21/$D$48</f>
        <v>1.2002071531919211E-2</v>
      </c>
      <c r="F21" s="28">
        <f>C21-(C21*$E$6)</f>
        <v>74.696764775537559</v>
      </c>
      <c r="G21" s="27" t="str">
        <f>IF(C21&gt;=F21,"-","+")</f>
        <v>+</v>
      </c>
      <c r="H21" s="26">
        <f>C21*D21</f>
        <v>8272.64</v>
      </c>
      <c r="I21" s="26">
        <f>F21*D21</f>
        <v>8395.9163607704213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298.10000000000002</v>
      </c>
      <c r="E22" s="29">
        <f>D22/$D$48</f>
        <v>3.183111675858645E-2</v>
      </c>
      <c r="F22" s="28">
        <f>C22-(C22*$E$6)</f>
        <v>50.136143748798304</v>
      </c>
      <c r="G22" s="27" t="str">
        <f>IF(C22&gt;=F22,"-","+")</f>
        <v>+</v>
      </c>
      <c r="H22" s="26">
        <f>C22*D22</f>
        <v>14726.140000000001</v>
      </c>
      <c r="I22" s="26">
        <f>F22*D22</f>
        <v>14945.584451516776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213.4</v>
      </c>
      <c r="E23" s="29">
        <f>D23/$D$48</f>
        <v>2.278685111131281E-2</v>
      </c>
      <c r="F23" s="28">
        <f>C23-(C23*$E$6)</f>
        <v>45.670576289391171</v>
      </c>
      <c r="G23" s="27" t="str">
        <f>IF(C23&gt;=F23,"-","+")</f>
        <v>+</v>
      </c>
      <c r="H23" s="26">
        <f>C23*D23</f>
        <v>9603</v>
      </c>
      <c r="I23" s="26">
        <f>F23*D23</f>
        <v>9746.1009801560758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52.254816476999522</v>
      </c>
      <c r="D24" s="22">
        <f>SUM(D21:D23)</f>
        <v>623.9</v>
      </c>
      <c r="E24" s="21">
        <f>D24/$D$48</f>
        <v>6.6620039401818459E-2</v>
      </c>
      <c r="F24" s="20">
        <f>I24/D24</f>
        <v>53.033501831132021</v>
      </c>
      <c r="G24" s="19">
        <f>F24/C24-1</f>
        <v>1.4901695319803565E-2</v>
      </c>
      <c r="H24" s="18">
        <f>SUM(H21:H23)</f>
        <v>32601.78</v>
      </c>
      <c r="I24" s="18">
        <f>SUM(I21:I23)</f>
        <v>33087.601792443267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240.7+238.9+40+1315</f>
        <v>1834.6</v>
      </c>
      <c r="E26" s="29">
        <f t="shared" ref="E26:E32" si="7">D26/$D$48</f>
        <v>0.19589858035995536</v>
      </c>
      <c r="F26" s="28">
        <f t="shared" ref="F26:F31" si="8">C26-(C26*$E$6)</f>
        <v>39.885636626068283</v>
      </c>
      <c r="G26" s="27" t="str">
        <f t="shared" ref="G26:G31" si="9">IF(C26&gt;=F26,"-","+")</f>
        <v>+</v>
      </c>
      <c r="H26" s="26">
        <f t="shared" ref="H26:H31" si="10">C26*D26</f>
        <v>72099.779999999984</v>
      </c>
      <c r="I26" s="26">
        <f t="shared" ref="I26:I31" si="11">F26*D26</f>
        <v>73174.188954184865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1449.1</v>
      </c>
      <c r="E27" s="29">
        <f t="shared" si="7"/>
        <v>0.15473489196533921</v>
      </c>
      <c r="F27" s="28">
        <f t="shared" si="8"/>
        <v>35.521559336193135</v>
      </c>
      <c r="G27" s="27" t="str">
        <f t="shared" si="9"/>
        <v>+</v>
      </c>
      <c r="H27" s="26">
        <f t="shared" si="10"/>
        <v>50718.5</v>
      </c>
      <c r="I27" s="26">
        <f t="shared" si="11"/>
        <v>51474.291634077468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1091.3</v>
      </c>
      <c r="E28" s="29">
        <f t="shared" si="7"/>
        <v>0.11652900945536863</v>
      </c>
      <c r="F28" s="28">
        <f t="shared" si="8"/>
        <v>35.521559336193135</v>
      </c>
      <c r="G28" s="27" t="str">
        <f t="shared" si="9"/>
        <v>+</v>
      </c>
      <c r="H28" s="26">
        <f t="shared" si="10"/>
        <v>38195.5</v>
      </c>
      <c r="I28" s="26">
        <f t="shared" si="11"/>
        <v>38764.677703587564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626.9</v>
      </c>
      <c r="E29" s="29">
        <f t="shared" si="7"/>
        <v>6.6940379389325205E-2</v>
      </c>
      <c r="F29" s="28">
        <f t="shared" si="8"/>
        <v>34.303677301809365</v>
      </c>
      <c r="G29" s="27" t="str">
        <f t="shared" si="9"/>
        <v>+</v>
      </c>
      <c r="H29" s="26">
        <f t="shared" si="10"/>
        <v>21189.219999999998</v>
      </c>
      <c r="I29" s="26">
        <f t="shared" si="11"/>
        <v>21504.975300504291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552.4</v>
      </c>
      <c r="E30" s="29">
        <f t="shared" si="7"/>
        <v>5.8985269699574482E-2</v>
      </c>
      <c r="F30" s="28">
        <f t="shared" si="8"/>
        <v>34.303677301809365</v>
      </c>
      <c r="G30" s="27" t="str">
        <f t="shared" si="9"/>
        <v>+</v>
      </c>
      <c r="H30" s="26">
        <f t="shared" si="10"/>
        <v>18671.12</v>
      </c>
      <c r="I30" s="26">
        <f t="shared" si="11"/>
        <v>18949.351341519494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185.4</v>
      </c>
      <c r="E31" s="29">
        <f t="shared" si="7"/>
        <v>1.9797011227916564E-2</v>
      </c>
      <c r="F31" s="28">
        <f t="shared" si="8"/>
        <v>34.912618319001247</v>
      </c>
      <c r="G31" s="27" t="str">
        <f t="shared" si="9"/>
        <v>+</v>
      </c>
      <c r="H31" s="26">
        <f t="shared" si="10"/>
        <v>6377.76</v>
      </c>
      <c r="I31" s="26">
        <f t="shared" si="11"/>
        <v>6472.7994363428315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36.108486506263397</v>
      </c>
      <c r="D32" s="22">
        <f>SUM(D26:D31)</f>
        <v>5739.6999999999989</v>
      </c>
      <c r="E32" s="21">
        <f t="shared" si="7"/>
        <v>0.61288514209747935</v>
      </c>
      <c r="F32" s="20">
        <f>I32/D32</f>
        <v>36.646564170638982</v>
      </c>
      <c r="G32" s="19">
        <f>F32/C32-1</f>
        <v>1.4901695319803787E-2</v>
      </c>
      <c r="H32" s="18">
        <f>SUM(H26:H31)</f>
        <v>207251.87999999998</v>
      </c>
      <c r="I32" s="18">
        <f>SUM(I26:I31)</f>
        <v>210340.28437021654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1327</v>
      </c>
      <c r="E34" s="29">
        <f t="shared" ref="E34:E40" si="13">D34/$D$48</f>
        <v>0.14169705447381489</v>
      </c>
      <c r="F34" s="28">
        <f t="shared" ref="F34:F39" si="14">C34-(C34*$E$6)</f>
        <v>21.008465093119938</v>
      </c>
      <c r="G34" s="27" t="str">
        <f t="shared" ref="G34:G39" si="15">IF(C34&gt;=F34,"-","+")</f>
        <v>+</v>
      </c>
      <c r="H34" s="26">
        <f t="shared" ref="H34:H39" si="16">C34*D34</f>
        <v>27468.899999999998</v>
      </c>
      <c r="I34" s="26">
        <f t="shared" ref="I34:I39" si="17">F34*D34</f>
        <v>27878.233178570157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56</v>
      </c>
      <c r="E35" s="29">
        <f t="shared" si="13"/>
        <v>5.9796797667924896E-3</v>
      </c>
      <c r="F35" s="28">
        <f t="shared" si="14"/>
        <v>16.136936955584879</v>
      </c>
      <c r="G35" s="27" t="str">
        <f t="shared" si="15"/>
        <v>+</v>
      </c>
      <c r="H35" s="26">
        <f t="shared" si="16"/>
        <v>890.4</v>
      </c>
      <c r="I35" s="26">
        <f t="shared" si="17"/>
        <v>903.66846951275329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12.990741700093489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34.303677301809365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34.303677301809365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35.521559336193135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20.505639913232102</v>
      </c>
      <c r="D40" s="22">
        <f>SUM(D34:D39)</f>
        <v>1383</v>
      </c>
      <c r="E40" s="113">
        <f t="shared" si="13"/>
        <v>0.14767673424060737</v>
      </c>
      <c r="F40" s="20">
        <f>I40/D40</f>
        <v>20.811208711556695</v>
      </c>
      <c r="G40" s="19">
        <f>F40/C40-1</f>
        <v>1.4901695319803787E-2</v>
      </c>
      <c r="H40" s="18">
        <f>SUM(H34:H39)</f>
        <v>28359.3</v>
      </c>
      <c r="I40" s="18">
        <f>SUM(I34:I39)</f>
        <v>28781.901648082909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1521</v>
      </c>
      <c r="E42" s="107">
        <f>D42/$D$48</f>
        <v>0.16241237366591743</v>
      </c>
      <c r="F42" s="28">
        <f>C42-(C42*$E$6)</f>
        <v>0.50745084765990189</v>
      </c>
      <c r="G42" s="27" t="str">
        <f>IF(C42&gt;=F42,"-","+")</f>
        <v>+</v>
      </c>
      <c r="H42" s="26">
        <f>C42*D42</f>
        <v>760.5</v>
      </c>
      <c r="I42" s="26">
        <f>F42*D42</f>
        <v>771.83273929071083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79.099999999999994</v>
      </c>
      <c r="E43" s="107">
        <f>D43/$D$48</f>
        <v>8.446297670594391E-3</v>
      </c>
      <c r="F43" s="28">
        <f>C43-(C43*$E$6)</f>
        <v>0.50745084765990189</v>
      </c>
      <c r="G43" s="27" t="str">
        <f>IF(C43&gt;=F43,"-","+")</f>
        <v>+</v>
      </c>
      <c r="H43" s="26">
        <f>C43*D43</f>
        <v>39.549999999999997</v>
      </c>
      <c r="I43" s="26">
        <f>F43*D43</f>
        <v>40.139362049898239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12.2</v>
      </c>
      <c r="E44" s="107">
        <f>D44/$D$48</f>
        <v>1.302715949194078E-3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6.15</v>
      </c>
      <c r="E45" s="107">
        <f>D45/$D$48</f>
        <v>6.5669697438881813E-4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0.49433099570576783</v>
      </c>
      <c r="D46" s="22">
        <f>SUM(D41:D45)</f>
        <v>1618.45</v>
      </c>
      <c r="E46" s="113">
        <f>D46/$D$48</f>
        <v>0.17281808426009473</v>
      </c>
      <c r="F46" s="20">
        <f>I46/D46</f>
        <v>0.50169736559091038</v>
      </c>
      <c r="G46" s="19">
        <f>F46/C46-1</f>
        <v>1.4901695319803787E-2</v>
      </c>
      <c r="H46" s="18">
        <f>SUM(H41:H44)</f>
        <v>800.05</v>
      </c>
      <c r="I46" s="18">
        <f>SUM(I41:I44)</f>
        <v>811.97210134060902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109.36327389220078</v>
      </c>
      <c r="D48" s="13">
        <f>D24+D32+D40+D46</f>
        <v>9365.0499999999993</v>
      </c>
      <c r="E48" s="12">
        <f>SUM(E20:E46)/2</f>
        <v>1</v>
      </c>
      <c r="F48" s="11">
        <f>I48/D48</f>
        <v>29.153262386435028</v>
      </c>
      <c r="G48" s="10"/>
      <c r="H48" s="9">
        <f>SUM(H20:H46)/2</f>
        <v>269013.01000000007</v>
      </c>
      <c r="I48" s="9">
        <f>SUM(I20:I46)/2</f>
        <v>273021.75991208333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10652.65</v>
      </c>
      <c r="E50" s="12">
        <f>D50/G2</f>
        <v>0.99999530635425748</v>
      </c>
      <c r="F50" s="11">
        <f>I50/D50</f>
        <v>29.250137289782355</v>
      </c>
      <c r="G50" s="10"/>
      <c r="H50" s="9">
        <f>H48+H19</f>
        <v>307016.41000000009</v>
      </c>
      <c r="I50" s="9">
        <f>I48+I19</f>
        <v>311591.47499999998</v>
      </c>
      <c r="J50" s="106">
        <f>D50-G2</f>
        <v>-5.0000000001091394E-2</v>
      </c>
      <c r="K50" s="8"/>
    </row>
    <row r="51" spans="1:11" ht="23.25" x14ac:dyDescent="0.35">
      <c r="A51" s="174" t="s">
        <v>509</v>
      </c>
      <c r="B51" s="169"/>
      <c r="C51" s="170"/>
      <c r="G51" s="7"/>
      <c r="H51" s="6"/>
      <c r="I51" s="6">
        <f>+I50/D50</f>
        <v>29.250137289782355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504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508</v>
      </c>
      <c r="D2" s="96" t="s">
        <v>3</v>
      </c>
      <c r="E2" s="95" t="s">
        <v>431</v>
      </c>
      <c r="F2" s="94" t="s">
        <v>5</v>
      </c>
      <c r="G2" s="93">
        <v>11077.3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152</v>
      </c>
      <c r="F3" s="88" t="s">
        <v>8</v>
      </c>
      <c r="G3" s="87">
        <v>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72.876973684210526</v>
      </c>
      <c r="F4" s="81" t="s">
        <v>12</v>
      </c>
      <c r="G4" s="80">
        <f>G2*G3</f>
        <v>288009.8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-5.4920555281029015E-2</v>
      </c>
      <c r="F6" s="69" t="s">
        <v>16</v>
      </c>
      <c r="G6" s="68">
        <f>(I50-I19)/(D50-(SUM(D42:D44)+D19))</f>
        <v>32.376394775917227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>
        <f t="shared" ref="E10:E19" si="1">D10/$D$19</f>
        <v>0</v>
      </c>
      <c r="F10" s="28">
        <f t="shared" ref="F10:F18" si="2">C10-(C10*$E$6)</f>
        <v>27.427934437306753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>
        <v>152.80000000000001</v>
      </c>
      <c r="E11" s="29">
        <f t="shared" si="1"/>
        <v>0.46914338348173162</v>
      </c>
      <c r="F11" s="28">
        <f t="shared" si="2"/>
        <v>28.588347048115889</v>
      </c>
      <c r="G11" s="27" t="str">
        <f t="shared" si="3"/>
        <v>+</v>
      </c>
      <c r="H11" s="34">
        <f t="shared" si="4"/>
        <v>4140.88</v>
      </c>
      <c r="I11" s="34">
        <f t="shared" si="5"/>
        <v>4368.2994289521084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>
        <v>172.9</v>
      </c>
      <c r="E12" s="29">
        <f t="shared" si="1"/>
        <v>0.53085661651826832</v>
      </c>
      <c r="F12" s="28">
        <f t="shared" si="2"/>
        <v>26.056537715441415</v>
      </c>
      <c r="G12" s="27" t="str">
        <f t="shared" si="3"/>
        <v>+</v>
      </c>
      <c r="H12" s="34">
        <f t="shared" si="4"/>
        <v>4270.63</v>
      </c>
      <c r="I12" s="34">
        <f t="shared" si="5"/>
        <v>4505.1753709998211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>
        <f t="shared" si="1"/>
        <v>0</v>
      </c>
      <c r="F13" s="28">
        <f t="shared" si="2"/>
        <v>28.588347048115889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>
        <f t="shared" si="1"/>
        <v>0</v>
      </c>
      <c r="F14" s="28">
        <f t="shared" si="2"/>
        <v>31.964092825015179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>
        <f t="shared" si="1"/>
        <v>0</v>
      </c>
      <c r="F15" s="28">
        <f t="shared" si="2"/>
        <v>26.373013882025724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/>
      <c r="E16" s="29">
        <f t="shared" si="1"/>
        <v>0</v>
      </c>
      <c r="F16" s="28">
        <f t="shared" si="2"/>
        <v>36.078282990611193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/>
      <c r="E17" s="29">
        <f t="shared" si="1"/>
        <v>0</v>
      </c>
      <c r="F17" s="28">
        <f t="shared" si="2"/>
        <v>53.062503930635756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>
        <f t="shared" si="1"/>
        <v>0</v>
      </c>
      <c r="F18" s="28">
        <f t="shared" si="2"/>
        <v>46.416504432365279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25.825944120356152</v>
      </c>
      <c r="D19" s="49">
        <f>SUM(D10:D18)</f>
        <v>325.70000000000005</v>
      </c>
      <c r="E19" s="48">
        <f t="shared" si="1"/>
        <v>1</v>
      </c>
      <c r="F19" s="47">
        <f>I19/D19</f>
        <v>27.244319312102942</v>
      </c>
      <c r="G19" s="46">
        <f>F19/C19-1</f>
        <v>5.4920555281029237E-2</v>
      </c>
      <c r="H19" s="9">
        <f>SUM(H10:H18)</f>
        <v>8411.51</v>
      </c>
      <c r="I19" s="9">
        <f>SUM(I10:I18)</f>
        <v>8873.4747999519295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139</v>
      </c>
      <c r="E21" s="29">
        <f>D21/$D$48</f>
        <v>1.2928308344804495E-2</v>
      </c>
      <c r="F21" s="28">
        <f>C21-(C21*$E$6)</f>
        <v>68.991804315379298</v>
      </c>
      <c r="G21" s="27" t="str">
        <f>IF(C21&gt;=F21,"-","+")</f>
        <v>+</v>
      </c>
      <c r="H21" s="26">
        <f>C21*D21</f>
        <v>9090.6</v>
      </c>
      <c r="I21" s="26">
        <f>F21*D21</f>
        <v>9589.8607998377229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296.10000000000002</v>
      </c>
      <c r="E22" s="29">
        <f>D22/$D$48</f>
        <v>2.7540087056810155E-2</v>
      </c>
      <c r="F22" s="28">
        <f>C22-(C22*$E$6)</f>
        <v>46.311012376837169</v>
      </c>
      <c r="G22" s="27" t="str">
        <f>IF(C22&gt;=F22,"-","+")</f>
        <v>+</v>
      </c>
      <c r="H22" s="26">
        <f>C22*D22</f>
        <v>12998.79</v>
      </c>
      <c r="I22" s="26">
        <f>F22*D22</f>
        <v>13712.690764781486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258.39999999999998</v>
      </c>
      <c r="E23" s="29">
        <f>D23/$D$48</f>
        <v>2.4033632203579004E-2</v>
      </c>
      <c r="F23" s="28">
        <f>C23-(C23*$E$6)</f>
        <v>42.196822211241162</v>
      </c>
      <c r="G23" s="27" t="str">
        <f>IF(C23&gt;=F23,"-","+")</f>
        <v>+</v>
      </c>
      <c r="H23" s="26">
        <f>C23*D23</f>
        <v>10336</v>
      </c>
      <c r="I23" s="26">
        <f>F23*D23</f>
        <v>10903.658859384715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46.756149963950975</v>
      </c>
      <c r="D24" s="22">
        <f>SUM(D21:D23)</f>
        <v>693.5</v>
      </c>
      <c r="E24" s="21">
        <f>D24/$D$48</f>
        <v>6.4502027605193649E-2</v>
      </c>
      <c r="F24" s="20">
        <f>I24/D24</f>
        <v>49.324023682774218</v>
      </c>
      <c r="G24" s="19">
        <f>F24/C24-1</f>
        <v>5.4920555281028793E-2</v>
      </c>
      <c r="H24" s="18">
        <f>SUM(H21:H23)</f>
        <v>32425.39</v>
      </c>
      <c r="I24" s="18">
        <f>SUM(I21:I23)</f>
        <v>34206.210424003919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f>156+1913.8</f>
        <v>2069.8000000000002</v>
      </c>
      <c r="E26" s="29">
        <f t="shared" ref="E26:E32" si="7">D26/$D$48</f>
        <v>0.19251088210126868</v>
      </c>
      <c r="F26" s="28">
        <f t="shared" ref="F26:F31" si="8">C26-(C26*$E$6)</f>
        <v>36.816727379307913</v>
      </c>
      <c r="G26" s="27" t="str">
        <f t="shared" ref="G26:G31" si="9">IF(C26&gt;=F26,"-","+")</f>
        <v>+</v>
      </c>
      <c r="H26" s="26">
        <f t="shared" ref="H26:H31" si="10">C26*D26</f>
        <v>72236.02</v>
      </c>
      <c r="I26" s="26">
        <f t="shared" ref="I26:I31" si="11">F26*D26</f>
        <v>76203.262329691526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1548.1</v>
      </c>
      <c r="E27" s="29">
        <f t="shared" si="7"/>
        <v>0.14398787157260315</v>
      </c>
      <c r="F27" s="28">
        <f t="shared" si="8"/>
        <v>32.808029269240002</v>
      </c>
      <c r="G27" s="27" t="str">
        <f t="shared" si="9"/>
        <v>+</v>
      </c>
      <c r="H27" s="26">
        <f t="shared" si="10"/>
        <v>48145.909999999996</v>
      </c>
      <c r="I27" s="26">
        <f t="shared" si="11"/>
        <v>50790.110111710441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895.5</v>
      </c>
      <c r="E28" s="29">
        <f t="shared" si="7"/>
        <v>8.3289928940808819E-2</v>
      </c>
      <c r="F28" s="28">
        <f t="shared" si="8"/>
        <v>32.808029269240002</v>
      </c>
      <c r="G28" s="27" t="str">
        <f t="shared" si="9"/>
        <v>+</v>
      </c>
      <c r="H28" s="26">
        <f t="shared" si="10"/>
        <v>27850.050000000003</v>
      </c>
      <c r="I28" s="26">
        <f t="shared" si="11"/>
        <v>29379.590210604423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1042.9000000000001</v>
      </c>
      <c r="E29" s="29">
        <f t="shared" si="7"/>
        <v>9.6999516351054749E-2</v>
      </c>
      <c r="F29" s="28">
        <f t="shared" si="8"/>
        <v>31.64761665843087</v>
      </c>
      <c r="G29" s="27" t="str">
        <f t="shared" si="9"/>
        <v>+</v>
      </c>
      <c r="H29" s="26">
        <f t="shared" si="10"/>
        <v>31287.000000000004</v>
      </c>
      <c r="I29" s="26">
        <f t="shared" si="11"/>
        <v>33005.299413077555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604</v>
      </c>
      <c r="E30" s="29">
        <f t="shared" si="7"/>
        <v>5.6177685181740399E-2</v>
      </c>
      <c r="F30" s="28">
        <f t="shared" si="8"/>
        <v>31.64761665843087</v>
      </c>
      <c r="G30" s="27" t="str">
        <f t="shared" si="9"/>
        <v>+</v>
      </c>
      <c r="H30" s="26">
        <f t="shared" si="10"/>
        <v>18120</v>
      </c>
      <c r="I30" s="26">
        <f t="shared" si="11"/>
        <v>19115.160461692245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151.69999999999999</v>
      </c>
      <c r="E31" s="29">
        <f t="shared" si="7"/>
        <v>1.4109527884221883E-2</v>
      </c>
      <c r="F31" s="28">
        <f t="shared" si="8"/>
        <v>32.280568991599488</v>
      </c>
      <c r="G31" s="27" t="str">
        <f t="shared" si="9"/>
        <v>+</v>
      </c>
      <c r="H31" s="26">
        <f t="shared" si="10"/>
        <v>4642.0199999999995</v>
      </c>
      <c r="I31" s="26">
        <f t="shared" si="11"/>
        <v>4896.9623160256415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32.047053231939167</v>
      </c>
      <c r="D32" s="22">
        <f>SUM(D26:D31)</f>
        <v>6311.9999999999991</v>
      </c>
      <c r="E32" s="21">
        <f t="shared" si="7"/>
        <v>0.58707541203169755</v>
      </c>
      <c r="F32" s="20">
        <f>I32/D32</f>
        <v>33.807095190557966</v>
      </c>
      <c r="G32" s="19">
        <f>F32/C32-1</f>
        <v>5.4920555281029237E-2</v>
      </c>
      <c r="H32" s="18">
        <f>SUM(H26:H31)</f>
        <v>202280.99999999997</v>
      </c>
      <c r="I32" s="18">
        <f>SUM(I26:I31)</f>
        <v>213390.38484280184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f>786.8+689.6</f>
        <v>1476.4</v>
      </c>
      <c r="E34" s="29">
        <f t="shared" ref="E34:E40" si="13">D34/$D$48</f>
        <v>0.13731909669258532</v>
      </c>
      <c r="F34" s="28">
        <f t="shared" ref="F34:F39" si="14">C34-(C34*$E$6)</f>
        <v>19.410538217170931</v>
      </c>
      <c r="G34" s="27" t="str">
        <f t="shared" ref="G34:G39" si="15">IF(C34&gt;=F34,"-","+")</f>
        <v>+</v>
      </c>
      <c r="H34" s="26">
        <f t="shared" ref="H34:H39" si="16">C34*D34</f>
        <v>27165.759999999998</v>
      </c>
      <c r="I34" s="26">
        <f t="shared" ref="I34:I39" si="17">F34*D34</f>
        <v>28657.718623831162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133.69999999999999</v>
      </c>
      <c r="E35" s="29">
        <f t="shared" si="13"/>
        <v>1.2435358458275978E-2</v>
      </c>
      <c r="F35" s="28">
        <f t="shared" si="14"/>
        <v>14.874379829462509</v>
      </c>
      <c r="G35" s="27" t="str">
        <f t="shared" si="15"/>
        <v>+</v>
      </c>
      <c r="H35" s="26">
        <f t="shared" si="16"/>
        <v>1885.1699999999998</v>
      </c>
      <c r="I35" s="26">
        <f t="shared" si="17"/>
        <v>1988.7045831991372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12.026094330203732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31.64761665843087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31.64761665843087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32.808029269240002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18.042935221414815</v>
      </c>
      <c r="D40" s="22">
        <f>SUM(D34:D39)</f>
        <v>1610.1000000000001</v>
      </c>
      <c r="E40" s="113">
        <f t="shared" si="13"/>
        <v>0.1497544551508613</v>
      </c>
      <c r="F40" s="20">
        <f>I40/D40</f>
        <v>19.033863242674553</v>
      </c>
      <c r="G40" s="19">
        <f>F40/C40-1</f>
        <v>5.4920555281029015E-2</v>
      </c>
      <c r="H40" s="18">
        <f>SUM(H34:H39)</f>
        <v>29050.929999999997</v>
      </c>
      <c r="I40" s="18">
        <f>SUM(I34:I39)</f>
        <v>30646.423207030301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994+126.8+919.1</f>
        <v>2039.9</v>
      </c>
      <c r="E42" s="107">
        <f>D42/$D$48</f>
        <v>0.18972990066594742</v>
      </c>
      <c r="F42" s="28">
        <f>C42-(C42*$E$6)</f>
        <v>0.42196822211241164</v>
      </c>
      <c r="G42" s="27" t="str">
        <f>IF(C42&gt;=F42,"-","+")</f>
        <v>+</v>
      </c>
      <c r="H42" s="26">
        <f>C42*D42</f>
        <v>815.96</v>
      </c>
      <c r="I42" s="26">
        <f>F42*D42</f>
        <v>860.77297628710858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77.099999999999994</v>
      </c>
      <c r="E43" s="107">
        <f>D43/$D$48</f>
        <v>7.1710257078016299E-3</v>
      </c>
      <c r="F43" s="28">
        <f>C43-(C43*$E$6)</f>
        <v>0.42196822211241164</v>
      </c>
      <c r="G43" s="27" t="str">
        <f>IF(C43&gt;=F43,"-","+")</f>
        <v>+</v>
      </c>
      <c r="H43" s="26">
        <f>C43*D43</f>
        <v>30.84</v>
      </c>
      <c r="I43" s="26">
        <f>F43*D43</f>
        <v>32.533749924866932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13</v>
      </c>
      <c r="E44" s="107">
        <f>D44/$D$48</f>
        <v>1.2091223631831543E-3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5.5805647531530201E-4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0.39644194756554313</v>
      </c>
      <c r="D46" s="22">
        <f>SUM(D41:D45)</f>
        <v>2136</v>
      </c>
      <c r="E46" s="113">
        <f>D46/$D$48</f>
        <v>0.19866810521224751</v>
      </c>
      <c r="F46" s="20">
        <f>I46/D46</f>
        <v>0.41821475946253533</v>
      </c>
      <c r="G46" s="19">
        <f>F46/C46-1</f>
        <v>5.4920555281029015E-2</v>
      </c>
      <c r="H46" s="18">
        <f>SUM(H41:H44)</f>
        <v>846.80000000000007</v>
      </c>
      <c r="I46" s="18">
        <f>SUM(I41:I44)</f>
        <v>893.3067262119755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97.242580364870506</v>
      </c>
      <c r="D48" s="13">
        <f>D24+D32+D40+D46</f>
        <v>10751.599999999999</v>
      </c>
      <c r="E48" s="12">
        <f>SUM(E20:E46)/2</f>
        <v>1</v>
      </c>
      <c r="F48" s="11">
        <f>I48/D48</f>
        <v>25.962305628934118</v>
      </c>
      <c r="G48" s="10"/>
      <c r="H48" s="9">
        <f>SUM(H20:H46)/2</f>
        <v>264604.12</v>
      </c>
      <c r="I48" s="9">
        <f>SUM(I20:I46)/2</f>
        <v>279136.32520004804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11077.300000000001</v>
      </c>
      <c r="E50" s="12">
        <f>D50/G2</f>
        <v>1.0000000000000002</v>
      </c>
      <c r="F50" s="11">
        <f>I50/D50</f>
        <v>25.999999999999996</v>
      </c>
      <c r="G50" s="10"/>
      <c r="H50" s="9">
        <f>H48+H19</f>
        <v>273015.63</v>
      </c>
      <c r="I50" s="9">
        <f>I48+I19</f>
        <v>288009.8</v>
      </c>
      <c r="J50" s="106">
        <f>D50-G2</f>
        <v>0</v>
      </c>
      <c r="K50" s="8"/>
    </row>
    <row r="51" spans="1:11" ht="23.25" x14ac:dyDescent="0.35">
      <c r="A51" s="174" t="s">
        <v>510</v>
      </c>
      <c r="B51" s="169"/>
      <c r="C51" s="170"/>
      <c r="G51" s="7"/>
      <c r="H51" s="6"/>
      <c r="I51" s="6">
        <f>+I50/D50</f>
        <v>25.999999999999996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504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508</v>
      </c>
      <c r="D2" s="96" t="s">
        <v>3</v>
      </c>
      <c r="E2" s="95" t="s">
        <v>112</v>
      </c>
      <c r="F2" s="94" t="s">
        <v>5</v>
      </c>
      <c r="G2" s="93">
        <v>2925.9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48</v>
      </c>
      <c r="F3" s="88" t="s">
        <v>8</v>
      </c>
      <c r="G3" s="87">
        <v>25.85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60.956250000000004</v>
      </c>
      <c r="F4" s="81" t="s">
        <v>12</v>
      </c>
      <c r="G4" s="80">
        <f>G2*G3</f>
        <v>75634.514999999999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-8.9826815343810873E-2</v>
      </c>
      <c r="F6" s="69" t="s">
        <v>16</v>
      </c>
      <c r="G6" s="68">
        <f>(I50-I19)/(D50-(SUM(D42:D44)+D19))</f>
        <v>32.88743151578398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28.226514517404699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26.9</v>
      </c>
      <c r="D11" s="30"/>
      <c r="E11" s="29" t="e">
        <f t="shared" si="1"/>
        <v>#DIV/0!</v>
      </c>
      <c r="F11" s="28">
        <f t="shared" si="2"/>
        <v>29.316341332748511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24.6</v>
      </c>
      <c r="D12" s="30"/>
      <c r="E12" s="29" t="e">
        <f t="shared" si="1"/>
        <v>#DIV/0!</v>
      </c>
      <c r="F12" s="28">
        <f t="shared" si="2"/>
        <v>26.809739657457747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26.9</v>
      </c>
      <c r="D13" s="30"/>
      <c r="E13" s="29" t="e">
        <f t="shared" si="1"/>
        <v>#DIV/0!</v>
      </c>
      <c r="F13" s="28">
        <f t="shared" si="2"/>
        <v>29.316341332748511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30.1</v>
      </c>
      <c r="D14" s="30"/>
      <c r="E14" s="29" t="e">
        <f t="shared" si="1"/>
        <v>#DIV/0!</v>
      </c>
      <c r="F14" s="28">
        <f t="shared" si="2"/>
        <v>32.803787141848709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24.8</v>
      </c>
      <c r="D15" s="30"/>
      <c r="E15" s="29" t="e">
        <f t="shared" si="1"/>
        <v>#DIV/0!</v>
      </c>
      <c r="F15" s="28">
        <f t="shared" si="2"/>
        <v>27.027705020526511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</v>
      </c>
      <c r="D16" s="30"/>
      <c r="E16" s="29" t="e">
        <f t="shared" si="1"/>
        <v>#DIV/0!</v>
      </c>
      <c r="F16" s="28">
        <f t="shared" si="2"/>
        <v>37.054111721689573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</v>
      </c>
      <c r="D17" s="30"/>
      <c r="E17" s="29" t="e">
        <f t="shared" si="1"/>
        <v>#DIV/0!</v>
      </c>
      <c r="F17" s="28">
        <f t="shared" si="2"/>
        <v>54.491340767190543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43.8</v>
      </c>
      <c r="D18" s="30"/>
      <c r="E18" s="29" t="e">
        <f t="shared" si="1"/>
        <v>#DIV/0!</v>
      </c>
      <c r="F18" s="28">
        <f t="shared" si="2"/>
        <v>47.734414512058912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</v>
      </c>
      <c r="D21" s="30">
        <v>40.6</v>
      </c>
      <c r="E21" s="29">
        <f>D21/$D$48</f>
        <v>1.387607231962815E-2</v>
      </c>
      <c r="F21" s="28">
        <f>C21-(C21*$E$6)</f>
        <v>70.838742997347708</v>
      </c>
      <c r="G21" s="27" t="str">
        <f>IF(C21&gt;=F21,"-","+")</f>
        <v>+</v>
      </c>
      <c r="H21" s="26">
        <f>C21*D21</f>
        <v>2639</v>
      </c>
      <c r="I21" s="26">
        <f>F21*D21</f>
        <v>2876.0529656923172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43.7</v>
      </c>
      <c r="D22" s="30">
        <v>76.2</v>
      </c>
      <c r="E22" s="29">
        <f>D22/$D$48</f>
        <v>2.6043268737824265E-2</v>
      </c>
      <c r="F22" s="28">
        <f>C22-(C22*$E$6)</f>
        <v>47.625431830524541</v>
      </c>
      <c r="G22" s="27" t="str">
        <f>IF(C22&gt;=F22,"-","+")</f>
        <v>+</v>
      </c>
      <c r="H22" s="26">
        <f>C22*D22</f>
        <v>3329.9400000000005</v>
      </c>
      <c r="I22" s="26">
        <f>F22*D22</f>
        <v>3629.05790548597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39.799999999999997</v>
      </c>
      <c r="D23" s="30">
        <v>55.4</v>
      </c>
      <c r="E23" s="29">
        <f>D23/$D$48</f>
        <v>1.8934344987866981E-2</v>
      </c>
      <c r="F23" s="28">
        <f>C23-(C23*$E$6)</f>
        <v>43.375107250683669</v>
      </c>
      <c r="G23" s="27" t="str">
        <f>IF(C23&gt;=F23,"-","+")</f>
        <v>+</v>
      </c>
      <c r="H23" s="26">
        <f>C23*D23</f>
        <v>2204.9199999999996</v>
      </c>
      <c r="I23" s="26">
        <f>F23*D23</f>
        <v>2402.9809416878752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47.467247386759581</v>
      </c>
      <c r="D24" s="22">
        <f>SUM(D21:D23)</f>
        <v>172.20000000000002</v>
      </c>
      <c r="E24" s="21">
        <f>D24/$D$48</f>
        <v>5.8853686045319403E-2</v>
      </c>
      <c r="F24" s="20">
        <f>I24/D24</f>
        <v>51.731079052649015</v>
      </c>
      <c r="G24" s="19">
        <f>F24/C24-1</f>
        <v>8.9826815343810651E-2</v>
      </c>
      <c r="H24" s="18">
        <f>SUM(H21:H23)</f>
        <v>8173.8600000000006</v>
      </c>
      <c r="I24" s="18">
        <f>SUM(I21:I23)</f>
        <v>8908.0918128661615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34.700000000000003</v>
      </c>
      <c r="D26" s="30">
        <v>563</v>
      </c>
      <c r="E26" s="29">
        <f t="shared" ref="E26:E32" si="7">D26/$D$48</f>
        <v>0.19241942650124749</v>
      </c>
      <c r="F26" s="28">
        <f t="shared" ref="F26:F31" si="8">C26-(C26*$E$6)</f>
        <v>37.816990492430243</v>
      </c>
      <c r="G26" s="27" t="str">
        <f t="shared" ref="G26:G31" si="9">IF(C26&gt;=F26,"-","+")</f>
        <v>+</v>
      </c>
      <c r="H26" s="26">
        <f t="shared" ref="H26:H31" si="10">C26*D26</f>
        <v>19536.100000000002</v>
      </c>
      <c r="I26" s="26">
        <f t="shared" ref="I26:I31" si="11">F26*D26</f>
        <v>21290.965647238227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30.9</v>
      </c>
      <c r="D27" s="30">
        <v>440.1</v>
      </c>
      <c r="E27" s="29">
        <f t="shared" si="7"/>
        <v>0.15041525684404802</v>
      </c>
      <c r="F27" s="28">
        <f t="shared" si="8"/>
        <v>33.675648594123757</v>
      </c>
      <c r="G27" s="27" t="str">
        <f t="shared" si="9"/>
        <v>+</v>
      </c>
      <c r="H27" s="26">
        <f t="shared" si="10"/>
        <v>13599.09</v>
      </c>
      <c r="I27" s="26">
        <f t="shared" si="11"/>
        <v>14820.652946273865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30.9</v>
      </c>
      <c r="D28" s="30">
        <v>210</v>
      </c>
      <c r="E28" s="29">
        <f t="shared" si="7"/>
        <v>7.1772787860145612E-2</v>
      </c>
      <c r="F28" s="28">
        <f t="shared" si="8"/>
        <v>33.675648594123757</v>
      </c>
      <c r="G28" s="27" t="str">
        <f t="shared" si="9"/>
        <v>+</v>
      </c>
      <c r="H28" s="26">
        <f t="shared" si="10"/>
        <v>6489</v>
      </c>
      <c r="I28" s="26">
        <f t="shared" si="11"/>
        <v>7071.8862047659886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29.9</v>
      </c>
      <c r="D29" s="30">
        <v>217</v>
      </c>
      <c r="E29" s="29">
        <f t="shared" si="7"/>
        <v>7.4165214122150463E-2</v>
      </c>
      <c r="F29" s="28">
        <f t="shared" si="8"/>
        <v>32.585821778779945</v>
      </c>
      <c r="G29" s="27" t="str">
        <f t="shared" si="9"/>
        <v>+</v>
      </c>
      <c r="H29" s="26">
        <f t="shared" si="10"/>
        <v>6488.2999999999993</v>
      </c>
      <c r="I29" s="26">
        <f t="shared" si="11"/>
        <v>7071.1233259952478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29.9</v>
      </c>
      <c r="D30" s="30">
        <v>159.19999999999999</v>
      </c>
      <c r="E30" s="29">
        <f t="shared" si="7"/>
        <v>5.4410608701596093E-2</v>
      </c>
      <c r="F30" s="28">
        <f t="shared" si="8"/>
        <v>32.585821778779945</v>
      </c>
      <c r="G30" s="27" t="str">
        <f t="shared" si="9"/>
        <v>+</v>
      </c>
      <c r="H30" s="26">
        <f t="shared" si="10"/>
        <v>4760.079999999999</v>
      </c>
      <c r="I30" s="26">
        <f t="shared" si="11"/>
        <v>5187.6628271817672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30.4</v>
      </c>
      <c r="D31" s="30">
        <v>51.2</v>
      </c>
      <c r="E31" s="29">
        <f t="shared" si="7"/>
        <v>1.7498889230664071E-2</v>
      </c>
      <c r="F31" s="28">
        <f t="shared" si="8"/>
        <v>33.130735186451851</v>
      </c>
      <c r="G31" s="27" t="str">
        <f t="shared" si="9"/>
        <v>+</v>
      </c>
      <c r="H31" s="26">
        <f t="shared" si="10"/>
        <v>1556.48</v>
      </c>
      <c r="I31" s="26">
        <f t="shared" si="11"/>
        <v>1696.2936415463348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31.959189271563552</v>
      </c>
      <c r="D32" s="22">
        <f>SUM(D26:D31)</f>
        <v>1640.5</v>
      </c>
      <c r="E32" s="21">
        <f t="shared" si="7"/>
        <v>0.56068218325985175</v>
      </c>
      <c r="F32" s="20">
        <f>I32/D32</f>
        <v>34.829981464798188</v>
      </c>
      <c r="G32" s="19">
        <f>F32/C32-1</f>
        <v>8.9826815343810651E-2</v>
      </c>
      <c r="H32" s="18">
        <f>SUM(H26:H31)</f>
        <v>52429.05000000001</v>
      </c>
      <c r="I32" s="18">
        <f>SUM(I26:I31)</f>
        <v>57138.584593001426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f>235+194.8</f>
        <v>429.8</v>
      </c>
      <c r="E34" s="29">
        <f t="shared" ref="E34:E40" si="13">D34/$D$48</f>
        <v>0.14689497248709801</v>
      </c>
      <c r="F34" s="28">
        <f t="shared" ref="F34:F39" si="14">C34-(C34*$E$6)</f>
        <v>19.943830720791741</v>
      </c>
      <c r="G34" s="27" t="str">
        <f t="shared" ref="G34:G39" si="15">IF(C34&gt;=F34,"-","+")</f>
        <v>+</v>
      </c>
      <c r="H34" s="26">
        <f t="shared" ref="H34:H39" si="16">C34*D34</f>
        <v>7865.34</v>
      </c>
      <c r="I34" s="26">
        <f t="shared" ref="I34:I39" si="17">F34*D34</f>
        <v>8571.8584437962909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>
        <v>48.7</v>
      </c>
      <c r="E35" s="29">
        <f t="shared" si="13"/>
        <v>1.6644451279948052E-2</v>
      </c>
      <c r="F35" s="28">
        <f t="shared" si="14"/>
        <v>15.257575414813353</v>
      </c>
      <c r="G35" s="27" t="str">
        <f t="shared" si="15"/>
        <v>+</v>
      </c>
      <c r="H35" s="26">
        <f t="shared" si="16"/>
        <v>681.80000000000007</v>
      </c>
      <c r="I35" s="26">
        <f t="shared" si="17"/>
        <v>743.04392270141034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12.315043013385063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29.9</v>
      </c>
      <c r="D37" s="30"/>
      <c r="E37" s="29">
        <f t="shared" si="13"/>
        <v>0</v>
      </c>
      <c r="F37" s="28">
        <f t="shared" si="14"/>
        <v>32.585821778779945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29.9</v>
      </c>
      <c r="D38" s="30"/>
      <c r="E38" s="29">
        <f t="shared" si="13"/>
        <v>0</v>
      </c>
      <c r="F38" s="28">
        <f t="shared" si="14"/>
        <v>32.585821778779945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30.9</v>
      </c>
      <c r="D39" s="30"/>
      <c r="E39" s="29">
        <f t="shared" si="13"/>
        <v>0</v>
      </c>
      <c r="F39" s="28">
        <f t="shared" si="14"/>
        <v>33.675648594123757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17.862361546499475</v>
      </c>
      <c r="D40" s="22">
        <f>SUM(D34:D39)</f>
        <v>478.5</v>
      </c>
      <c r="E40" s="113">
        <f t="shared" si="13"/>
        <v>0.16353942376704605</v>
      </c>
      <c r="F40" s="20">
        <f>I40/D40</f>
        <v>19.466880598741277</v>
      </c>
      <c r="G40" s="19">
        <f>F40/C40-1</f>
        <v>8.9826815343811095E-2</v>
      </c>
      <c r="H40" s="18">
        <f>SUM(H34:H39)</f>
        <v>8547.14</v>
      </c>
      <c r="I40" s="18">
        <f>SUM(I34:I39)</f>
        <v>9314.9023664977012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296+39.7+283.4</f>
        <v>619.09999999999991</v>
      </c>
      <c r="E42" s="107">
        <f>D42/$D$48</f>
        <v>0.21159301411531495</v>
      </c>
      <c r="F42" s="28">
        <f>C42-(C42*$E$6)</f>
        <v>0.43593072613752437</v>
      </c>
      <c r="G42" s="27" t="str">
        <f>IF(C42&gt;=F42,"-","+")</f>
        <v>+</v>
      </c>
      <c r="H42" s="26">
        <f>C42*D42</f>
        <v>247.64</v>
      </c>
      <c r="I42" s="26">
        <f>F42*D42</f>
        <v>269.8847125517413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</v>
      </c>
      <c r="E43" s="107">
        <f>D43/$D$48</f>
        <v>2.3924262620048536E-3</v>
      </c>
      <c r="F43" s="28">
        <f>C43-(C43*$E$6)</f>
        <v>0.43593072613752437</v>
      </c>
      <c r="G43" s="27" t="str">
        <f>IF(C43&gt;=F43,"-","+")</f>
        <v>+</v>
      </c>
      <c r="H43" s="26">
        <f>C43*D43</f>
        <v>2.8000000000000003</v>
      </c>
      <c r="I43" s="26">
        <f>F43*D43</f>
        <v>3.0515150829626707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8.6</v>
      </c>
      <c r="E45" s="107">
        <f>D45/$D$48</f>
        <v>2.9392665504631055E-3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0.39458011659051523</v>
      </c>
      <c r="D46" s="22">
        <f>SUM(D41:D45)</f>
        <v>634.69999999999993</v>
      </c>
      <c r="E46" s="113">
        <f>D46/$D$48</f>
        <v>0.2169247069277829</v>
      </c>
      <c r="F46" s="20">
        <f>I46/D46</f>
        <v>0.43002399186183082</v>
      </c>
      <c r="G46" s="19">
        <f>F46/C46-1</f>
        <v>8.9826815343810873E-2</v>
      </c>
      <c r="H46" s="18">
        <f>SUM(H41:H44)</f>
        <v>250.44</v>
      </c>
      <c r="I46" s="18">
        <f>SUM(I41:I44)</f>
        <v>272.93622763470398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97.683378321413116</v>
      </c>
      <c r="D48" s="13">
        <f>D24+D32+D40+D46</f>
        <v>2925.8999999999996</v>
      </c>
      <c r="E48" s="12">
        <f>SUM(E20:E46)/2</f>
        <v>0.99999999999999989</v>
      </c>
      <c r="F48" s="11">
        <f>I48/D48</f>
        <v>25.85</v>
      </c>
      <c r="G48" s="10"/>
      <c r="H48" s="9">
        <f>SUM(H20:H46)/2</f>
        <v>69400.490000000005</v>
      </c>
      <c r="I48" s="9">
        <f>SUM(I20:I46)/2</f>
        <v>75634.514999999999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2925.9</v>
      </c>
      <c r="E50" s="12">
        <f>D50/G2</f>
        <v>1</v>
      </c>
      <c r="F50" s="11">
        <f>I50/D50</f>
        <v>25.849999999999998</v>
      </c>
      <c r="G50" s="10"/>
      <c r="H50" s="9">
        <f>H48+H19</f>
        <v>69400.490000000005</v>
      </c>
      <c r="I50" s="9">
        <f>I48+I19</f>
        <v>75634.514999999999</v>
      </c>
      <c r="J50" s="106">
        <f>D50-G2</f>
        <v>0</v>
      </c>
      <c r="K50" s="8"/>
    </row>
    <row r="51" spans="1:11" ht="23.25" x14ac:dyDescent="0.35">
      <c r="A51" s="174" t="s">
        <v>511</v>
      </c>
      <c r="B51" s="169"/>
      <c r="C51" s="170"/>
      <c r="G51" s="7"/>
      <c r="H51" s="6"/>
      <c r="I51" s="6">
        <f>+I50/D50</f>
        <v>25.849999999999998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508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508</v>
      </c>
      <c r="D2" s="96" t="s">
        <v>3</v>
      </c>
      <c r="E2" s="95" t="s">
        <v>112</v>
      </c>
      <c r="F2" s="94" t="s">
        <v>5</v>
      </c>
      <c r="G2" s="93">
        <v>3577.8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58</v>
      </c>
      <c r="F3" s="88" t="s">
        <v>8</v>
      </c>
      <c r="G3" s="87">
        <v>24.33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61.686206896551724</v>
      </c>
      <c r="F4" s="81" t="s">
        <v>12</v>
      </c>
      <c r="G4" s="80">
        <f>G2*G3</f>
        <v>87047.873999999996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-0.11985384038843461</v>
      </c>
      <c r="F6" s="69" t="s">
        <v>16</v>
      </c>
      <c r="G6" s="68">
        <f>(I50-I19)/(D50-(SUM(D42:D44)+D19))</f>
        <v>31.544799420184816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24.3</v>
      </c>
      <c r="D10" s="30"/>
      <c r="E10" s="29" t="e">
        <f t="shared" ref="E10:E19" si="1">D10/$D$19</f>
        <v>#DIV/0!</v>
      </c>
      <c r="F10" s="28">
        <f t="shared" ref="F10:F18" si="2">C10-(C10*$E$6)</f>
        <v>27.212448321438963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25.3</v>
      </c>
      <c r="D11" s="30"/>
      <c r="E11" s="29" t="e">
        <f t="shared" si="1"/>
        <v>#DIV/0!</v>
      </c>
      <c r="F11" s="28">
        <f t="shared" si="2"/>
        <v>28.332302161827396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23.1</v>
      </c>
      <c r="D12" s="30"/>
      <c r="E12" s="29" t="e">
        <f t="shared" si="1"/>
        <v>#DIV/0!</v>
      </c>
      <c r="F12" s="28">
        <f t="shared" si="2"/>
        <v>25.868623712972841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25.3</v>
      </c>
      <c r="D13" s="30"/>
      <c r="E13" s="29" t="e">
        <f t="shared" si="1"/>
        <v>#DIV/0!</v>
      </c>
      <c r="F13" s="28">
        <f t="shared" si="2"/>
        <v>28.332302161827396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28.3</v>
      </c>
      <c r="D14" s="30"/>
      <c r="E14" s="29" t="e">
        <f t="shared" si="1"/>
        <v>#DIV/0!</v>
      </c>
      <c r="F14" s="28">
        <f t="shared" si="2"/>
        <v>31.6918636829927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23.4</v>
      </c>
      <c r="D15" s="30"/>
      <c r="E15" s="29" t="e">
        <f t="shared" si="1"/>
        <v>#DIV/0!</v>
      </c>
      <c r="F15" s="28">
        <f t="shared" si="2"/>
        <v>26.204579865089368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</v>
      </c>
      <c r="D16" s="30"/>
      <c r="E16" s="29" t="e">
        <f t="shared" si="1"/>
        <v>#DIV/0!</v>
      </c>
      <c r="F16" s="28">
        <f t="shared" si="2"/>
        <v>35.835322892429907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47.1</v>
      </c>
      <c r="D17" s="30"/>
      <c r="E17" s="29" t="e">
        <f t="shared" si="1"/>
        <v>#DIV/0!</v>
      </c>
      <c r="F17" s="28">
        <f t="shared" si="2"/>
        <v>52.745115882295273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41.2</v>
      </c>
      <c r="D18" s="30"/>
      <c r="E18" s="29" t="e">
        <f t="shared" si="1"/>
        <v>#DIV/0!</v>
      </c>
      <c r="F18" s="28">
        <f t="shared" si="2"/>
        <v>46.137978224003511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61.2</v>
      </c>
      <c r="D21" s="30">
        <v>43.6</v>
      </c>
      <c r="E21" s="29">
        <f>D21/$D$48</f>
        <v>1.2186259712672594E-2</v>
      </c>
      <c r="F21" s="28">
        <f>C21-(C21*$E$6)</f>
        <v>68.535055031772202</v>
      </c>
      <c r="G21" s="27" t="str">
        <f>IF(C21&gt;=F21,"-","+")</f>
        <v>+</v>
      </c>
      <c r="H21" s="26">
        <f>C21*D21</f>
        <v>2668.32</v>
      </c>
      <c r="I21" s="26">
        <f>F21*D21</f>
        <v>2988.128399385268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41.1</v>
      </c>
      <c r="D22" s="30">
        <v>84.7</v>
      </c>
      <c r="E22" s="29">
        <f>D22/$D$48</f>
        <v>2.3673766001453409E-2</v>
      </c>
      <c r="F22" s="28">
        <f>C22-(C22*$E$6)</f>
        <v>46.025992839964665</v>
      </c>
      <c r="G22" s="27" t="str">
        <f>IF(C22&gt;=F22,"-","+")</f>
        <v>+</v>
      </c>
      <c r="H22" s="26">
        <f>C22*D22</f>
        <v>3481.17</v>
      </c>
      <c r="I22" s="26">
        <f>F22*D22</f>
        <v>3898.4015935450075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37.5</v>
      </c>
      <c r="D23" s="30">
        <v>65</v>
      </c>
      <c r="E23" s="29">
        <f>D23/$D$48</f>
        <v>1.8167589021186207E-2</v>
      </c>
      <c r="F23" s="28">
        <f>C23-(C23*$E$6)</f>
        <v>41.994519014566301</v>
      </c>
      <c r="G23" s="27" t="str">
        <f>IF(C23&gt;=F23,"-","+")</f>
        <v>+</v>
      </c>
      <c r="H23" s="26">
        <f>C23*D23</f>
        <v>2437.5</v>
      </c>
      <c r="I23" s="26">
        <f>F23*D23</f>
        <v>2729.6437359468096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44.423124676668387</v>
      </c>
      <c r="D24" s="22">
        <f>SUM(D21:D23)</f>
        <v>193.3</v>
      </c>
      <c r="E24" s="21">
        <f>D24/$D$48</f>
        <v>5.4027614735312209E-2</v>
      </c>
      <c r="F24" s="20">
        <f>I24/D24</f>
        <v>49.747406771221343</v>
      </c>
      <c r="G24" s="19">
        <f>F24/C24-1</f>
        <v>0.11985384038843483</v>
      </c>
      <c r="H24" s="18">
        <f>SUM(H21:H23)</f>
        <v>8586.99</v>
      </c>
      <c r="I24" s="18">
        <f>SUM(I21:I23)</f>
        <v>9616.1737288770855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32.700000000000003</v>
      </c>
      <c r="D26" s="30">
        <v>621</v>
      </c>
      <c r="E26" s="29">
        <f t="shared" ref="E26:E32" si="7">D26/$D$48</f>
        <v>0.17357035049471745</v>
      </c>
      <c r="F26" s="28">
        <f t="shared" ref="F26:F31" si="8">C26-(C26*$E$6)</f>
        <v>36.619220580701814</v>
      </c>
      <c r="G26" s="27" t="str">
        <f t="shared" ref="G26:G31" si="9">IF(C26&gt;=F26,"-","+")</f>
        <v>+</v>
      </c>
      <c r="H26" s="26">
        <f t="shared" ref="H26:H31" si="10">C26*D26</f>
        <v>20306.7</v>
      </c>
      <c r="I26" s="26">
        <f t="shared" ref="I26:I31" si="11">F26*D26</f>
        <v>22740.535980615827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29.1</v>
      </c>
      <c r="D27" s="30">
        <v>570.1</v>
      </c>
      <c r="E27" s="29">
        <f t="shared" si="7"/>
        <v>0.15934373078428085</v>
      </c>
      <c r="F27" s="28">
        <f t="shared" si="8"/>
        <v>32.587746755303449</v>
      </c>
      <c r="G27" s="27" t="str">
        <f t="shared" si="9"/>
        <v>+</v>
      </c>
      <c r="H27" s="26">
        <f t="shared" si="10"/>
        <v>16589.91</v>
      </c>
      <c r="I27" s="26">
        <f t="shared" si="11"/>
        <v>18578.274425198499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29.1</v>
      </c>
      <c r="D28" s="30">
        <v>260</v>
      </c>
      <c r="E28" s="29">
        <f t="shared" si="7"/>
        <v>7.2670356084744828E-2</v>
      </c>
      <c r="F28" s="28">
        <f t="shared" si="8"/>
        <v>32.587746755303449</v>
      </c>
      <c r="G28" s="27" t="str">
        <f t="shared" si="9"/>
        <v>+</v>
      </c>
      <c r="H28" s="26">
        <f t="shared" si="10"/>
        <v>7566</v>
      </c>
      <c r="I28" s="26">
        <f t="shared" si="11"/>
        <v>8472.8141563788977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28.1</v>
      </c>
      <c r="D29" s="30">
        <v>259.8</v>
      </c>
      <c r="E29" s="29">
        <f t="shared" si="7"/>
        <v>7.2614455810833478E-2</v>
      </c>
      <c r="F29" s="28">
        <f t="shared" si="8"/>
        <v>31.467892914915012</v>
      </c>
      <c r="G29" s="27" t="str">
        <f t="shared" si="9"/>
        <v>+</v>
      </c>
      <c r="H29" s="26">
        <f t="shared" si="10"/>
        <v>7300.380000000001</v>
      </c>
      <c r="I29" s="26">
        <f t="shared" si="11"/>
        <v>8175.3585792949207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28.1</v>
      </c>
      <c r="D30" s="30">
        <v>182</v>
      </c>
      <c r="E30" s="29">
        <f t="shared" si="7"/>
        <v>5.0869249259321375E-2</v>
      </c>
      <c r="F30" s="28">
        <f t="shared" si="8"/>
        <v>31.467892914915012</v>
      </c>
      <c r="G30" s="27" t="str">
        <f t="shared" si="9"/>
        <v>+</v>
      </c>
      <c r="H30" s="26">
        <f t="shared" si="10"/>
        <v>5114.2</v>
      </c>
      <c r="I30" s="26">
        <f t="shared" si="11"/>
        <v>5727.1565105145319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28.6</v>
      </c>
      <c r="D31" s="30">
        <v>61.6</v>
      </c>
      <c r="E31" s="29">
        <f t="shared" si="7"/>
        <v>1.7217284364693389E-2</v>
      </c>
      <c r="F31" s="28">
        <f t="shared" si="8"/>
        <v>32.027819835109234</v>
      </c>
      <c r="G31" s="27" t="str">
        <f t="shared" si="9"/>
        <v>+</v>
      </c>
      <c r="H31" s="26">
        <f t="shared" si="10"/>
        <v>1761.7600000000002</v>
      </c>
      <c r="I31" s="26">
        <f t="shared" si="11"/>
        <v>1972.9137018427289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30.002020977232036</v>
      </c>
      <c r="D32" s="22">
        <f>SUM(D26:D31)</f>
        <v>1954.4999999999998</v>
      </c>
      <c r="E32" s="21">
        <f t="shared" si="7"/>
        <v>0.54628542679859127</v>
      </c>
      <c r="F32" s="20">
        <f>I32/D32</f>
        <v>33.59787841076767</v>
      </c>
      <c r="G32" s="19">
        <f>F32/C32-1</f>
        <v>0.11985384038843461</v>
      </c>
      <c r="H32" s="18">
        <f>SUM(H26:H31)</f>
        <v>58638.950000000004</v>
      </c>
      <c r="I32" s="18">
        <f>SUM(I26:I31)</f>
        <v>65667.053353845404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17.2</v>
      </c>
      <c r="D34" s="30">
        <f>262.4+287.3</f>
        <v>549.70000000000005</v>
      </c>
      <c r="E34" s="29">
        <f t="shared" ref="E34:E40" si="13">D34/$D$48</f>
        <v>0.15364190284532397</v>
      </c>
      <c r="F34" s="28">
        <f t="shared" ref="F34:F39" si="14">C34-(C34*$E$6)</f>
        <v>19.261486054681075</v>
      </c>
      <c r="G34" s="27" t="str">
        <f t="shared" ref="G34:G39" si="15">IF(C34&gt;=F34,"-","+")</f>
        <v>+</v>
      </c>
      <c r="H34" s="26">
        <f t="shared" ref="H34:H39" si="16">C34*D34</f>
        <v>9454.84</v>
      </c>
      <c r="I34" s="26">
        <f t="shared" ref="I34:I39" si="17">F34*D34</f>
        <v>10588.038884258189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13.2</v>
      </c>
      <c r="D35" s="30">
        <v>54.8</v>
      </c>
      <c r="E35" s="29">
        <f t="shared" si="13"/>
        <v>1.5316675051707754E-2</v>
      </c>
      <c r="F35" s="28">
        <f t="shared" si="14"/>
        <v>14.782070693127336</v>
      </c>
      <c r="G35" s="27" t="str">
        <f t="shared" si="15"/>
        <v>+</v>
      </c>
      <c r="H35" s="26">
        <f t="shared" si="16"/>
        <v>723.3599999999999</v>
      </c>
      <c r="I35" s="26">
        <f t="shared" si="17"/>
        <v>810.05747398337792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11.870450708117406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28.1</v>
      </c>
      <c r="D37" s="30"/>
      <c r="E37" s="29">
        <f t="shared" si="13"/>
        <v>0</v>
      </c>
      <c r="F37" s="28">
        <f t="shared" si="14"/>
        <v>31.467892914915012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28.1</v>
      </c>
      <c r="D38" s="30"/>
      <c r="E38" s="29">
        <f t="shared" si="13"/>
        <v>0</v>
      </c>
      <c r="F38" s="28">
        <f t="shared" si="14"/>
        <v>31.467892914915012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29.1</v>
      </c>
      <c r="D39" s="30"/>
      <c r="E39" s="29">
        <f t="shared" si="13"/>
        <v>0</v>
      </c>
      <c r="F39" s="28">
        <f t="shared" si="14"/>
        <v>32.587746755303449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16.837386269644334</v>
      </c>
      <c r="D40" s="22">
        <f>SUM(D34:D39)</f>
        <v>604.5</v>
      </c>
      <c r="E40" s="113">
        <f t="shared" si="13"/>
        <v>0.1689585778970317</v>
      </c>
      <c r="F40" s="20">
        <f>I40/D40</f>
        <v>18.855411676164707</v>
      </c>
      <c r="G40" s="19">
        <f>F40/C40-1</f>
        <v>0.11985384038843461</v>
      </c>
      <c r="H40" s="18">
        <f>SUM(H34:H39)</f>
        <v>10178.200000000001</v>
      </c>
      <c r="I40" s="18">
        <f>SUM(I34:I39)</f>
        <v>11398.096358241566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379+46.5+373.5</f>
        <v>799</v>
      </c>
      <c r="E42" s="107">
        <f>D42/$D$48</f>
        <v>0.22332159427581197</v>
      </c>
      <c r="F42" s="28">
        <f>C42-(C42*$E$6)</f>
        <v>0.44794153615537385</v>
      </c>
      <c r="G42" s="27" t="str">
        <f>IF(C42&gt;=F42,"-","+")</f>
        <v>+</v>
      </c>
      <c r="H42" s="26">
        <f>C42*D42</f>
        <v>319.60000000000002</v>
      </c>
      <c r="I42" s="26">
        <f>F42*D42</f>
        <v>357.90528738814373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19.3</v>
      </c>
      <c r="E43" s="107">
        <f>D43/$D$48</f>
        <v>5.3943764324445196E-3</v>
      </c>
      <c r="F43" s="28">
        <f>C43-(C43*$E$6)</f>
        <v>0.44794153615537385</v>
      </c>
      <c r="G43" s="27" t="str">
        <f>IF(C43&gt;=F43,"-","+")</f>
        <v>+</v>
      </c>
      <c r="H43" s="26">
        <f>C43*D43</f>
        <v>7.7200000000000006</v>
      </c>
      <c r="I43" s="26">
        <f>F43*D43</f>
        <v>8.6452716477987153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7.2</v>
      </c>
      <c r="E45" s="107">
        <f>D45/$D$48</f>
        <v>2.012409860808318E-3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0.39651120533010303</v>
      </c>
      <c r="D46" s="22">
        <f>SUM(D41:D45)</f>
        <v>825.5</v>
      </c>
      <c r="E46" s="113">
        <f>D46/$D$48</f>
        <v>0.23072838056906481</v>
      </c>
      <c r="F46" s="20">
        <f>I46/D46</f>
        <v>0.44403459604596301</v>
      </c>
      <c r="G46" s="19">
        <f>F46/C46-1</f>
        <v>0.11985384038843461</v>
      </c>
      <c r="H46" s="18">
        <f>SUM(H41:H44)</f>
        <v>327.32000000000005</v>
      </c>
      <c r="I46" s="18">
        <f>SUM(I41:I44)</f>
        <v>366.55055903594246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91.659043128874842</v>
      </c>
      <c r="D48" s="13">
        <f>D24+D32+D40+D46</f>
        <v>3577.7999999999997</v>
      </c>
      <c r="E48" s="12">
        <f>SUM(E20:E46)/2</f>
        <v>1</v>
      </c>
      <c r="F48" s="11">
        <f>I48/D48</f>
        <v>24.330000000000002</v>
      </c>
      <c r="G48" s="10"/>
      <c r="H48" s="9">
        <f>SUM(H20:H46)/2</f>
        <v>77731.460000000006</v>
      </c>
      <c r="I48" s="9">
        <f>SUM(I20:I46)/2</f>
        <v>87047.873999999996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3577.7999999999997</v>
      </c>
      <c r="E50" s="12">
        <f>D50/G2</f>
        <v>0.99999999999999989</v>
      </c>
      <c r="F50" s="11">
        <f>I50/D50</f>
        <v>24.330000000000002</v>
      </c>
      <c r="G50" s="10"/>
      <c r="H50" s="9">
        <f>H48+H19</f>
        <v>77731.460000000006</v>
      </c>
      <c r="I50" s="9">
        <f>I48+I19</f>
        <v>87047.873999999996</v>
      </c>
      <c r="J50" s="106">
        <f>D50-G2</f>
        <v>0</v>
      </c>
      <c r="K50" s="8"/>
    </row>
    <row r="51" spans="1:11" ht="23.25" x14ac:dyDescent="0.35">
      <c r="A51" s="174" t="s">
        <v>512</v>
      </c>
      <c r="B51" s="169"/>
      <c r="C51" s="170"/>
      <c r="G51" s="7"/>
      <c r="H51" s="6"/>
      <c r="I51" s="6">
        <f>+I50/D50</f>
        <v>24.330000000000002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513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513</v>
      </c>
      <c r="D2" s="96" t="s">
        <v>3</v>
      </c>
      <c r="E2" s="95" t="s">
        <v>71</v>
      </c>
      <c r="F2" s="94" t="s">
        <v>5</v>
      </c>
      <c r="G2" s="93">
        <v>12693.1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176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72.119886363636368</v>
      </c>
      <c r="F4" s="81" t="s">
        <v>12</v>
      </c>
      <c r="G4" s="80">
        <f>G2*G3</f>
        <v>371273.17499999999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9.0930224085797873E-3</v>
      </c>
      <c r="F6" s="69" t="s">
        <v>16</v>
      </c>
      <c r="G6" s="68">
        <f>(I50-I19)/(D50-(SUM(D42:D44)+D19))</f>
        <v>34.646296227172193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29.033574443428613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30.222662816538318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27.547213977041483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30.222662816538318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33.789927935867432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27.844486070318908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38.050827939510533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56.085334931674389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49.148986088534443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167.7</v>
      </c>
      <c r="E21" s="29">
        <f>D21/$D$48</f>
        <v>1.3211902529720871E-2</v>
      </c>
      <c r="F21" s="28">
        <f>C21-(C21*$E$6)</f>
        <v>72.930753550728525</v>
      </c>
      <c r="G21" s="27" t="str">
        <f>IF(C21&gt;=F21,"-","+")</f>
        <v>-</v>
      </c>
      <c r="H21" s="26">
        <f>C21*D21</f>
        <v>12342.719999999998</v>
      </c>
      <c r="I21" s="26">
        <f>F21*D21</f>
        <v>12230.487370457173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377.6</v>
      </c>
      <c r="E22" s="29">
        <f>D22/$D$48</f>
        <v>2.9748446006097801E-2</v>
      </c>
      <c r="F22" s="28">
        <f>C22-(C22*$E$6)</f>
        <v>48.95080469301616</v>
      </c>
      <c r="G22" s="27" t="str">
        <f>IF(C22&gt;=F22,"-","+")</f>
        <v>-</v>
      </c>
      <c r="H22" s="26">
        <f>C22*D22</f>
        <v>18653.440000000002</v>
      </c>
      <c r="I22" s="26">
        <f>F22*D22</f>
        <v>18483.823852082904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337.4</v>
      </c>
      <c r="E23" s="29">
        <f>D23/$D$48</f>
        <v>2.6581370981084207E-2</v>
      </c>
      <c r="F23" s="28">
        <f>C23-(C23*$E$6)</f>
        <v>44.590813991613906</v>
      </c>
      <c r="G23" s="27" t="str">
        <f>IF(C23&gt;=F23,"-","+")</f>
        <v>-</v>
      </c>
      <c r="H23" s="26">
        <f>C23*D23</f>
        <v>15182.999999999998</v>
      </c>
      <c r="I23" s="26">
        <f>F23*D23</f>
        <v>15044.94064077053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52.31580378384502</v>
      </c>
      <c r="D24" s="22">
        <f>SUM(D21:D23)</f>
        <v>882.69999999999993</v>
      </c>
      <c r="E24" s="21">
        <f>D24/$D$48</f>
        <v>6.9541719516902883E-2</v>
      </c>
      <c r="F24" s="20">
        <f>I24/D24</f>
        <v>51.840095007715661</v>
      </c>
      <c r="G24" s="19">
        <f>F24/C24-1</f>
        <v>-9.0930224085796763E-3</v>
      </c>
      <c r="H24" s="18">
        <f>SUM(H21:H23)</f>
        <v>46179.159999999996</v>
      </c>
      <c r="I24" s="18">
        <f>SUM(I21:I23)</f>
        <v>45759.251863310608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v>2622</v>
      </c>
      <c r="E26" s="29">
        <f t="shared" ref="E26:E32" si="7">D26/$D$48</f>
        <v>0.20656892327327445</v>
      </c>
      <c r="F26" s="28">
        <f t="shared" ref="F26:F31" si="8">C26-(C26*$E$6)</f>
        <v>38.94264421934281</v>
      </c>
      <c r="G26" s="27" t="str">
        <f t="shared" ref="G26:G31" si="9">IF(C26&gt;=F26,"-","+")</f>
        <v>-</v>
      </c>
      <c r="H26" s="26">
        <f t="shared" ref="H26:H31" si="10">C26*D26</f>
        <v>103044.59999999999</v>
      </c>
      <c r="I26" s="26">
        <f t="shared" ref="I26:I31" si="11">F26*D26</f>
        <v>102107.61314311685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1832.1</v>
      </c>
      <c r="E27" s="29">
        <f t="shared" si="7"/>
        <v>0.14433826252058204</v>
      </c>
      <c r="F27" s="28">
        <f t="shared" si="8"/>
        <v>34.681744215699709</v>
      </c>
      <c r="G27" s="27" t="str">
        <f t="shared" si="9"/>
        <v>-</v>
      </c>
      <c r="H27" s="26">
        <f t="shared" si="10"/>
        <v>64123.5</v>
      </c>
      <c r="I27" s="26">
        <f t="shared" si="11"/>
        <v>63540.423577583431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1153.0999999999999</v>
      </c>
      <c r="E28" s="29">
        <f t="shared" si="7"/>
        <v>9.0844632122964439E-2</v>
      </c>
      <c r="F28" s="28">
        <f t="shared" si="8"/>
        <v>34.681744215699709</v>
      </c>
      <c r="G28" s="27" t="str">
        <f t="shared" si="9"/>
        <v>-</v>
      </c>
      <c r="H28" s="26">
        <f t="shared" si="10"/>
        <v>40358.5</v>
      </c>
      <c r="I28" s="26">
        <f t="shared" si="11"/>
        <v>39991.519255123334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1114.5</v>
      </c>
      <c r="E29" s="29">
        <f t="shared" si="7"/>
        <v>8.780360983526482E-2</v>
      </c>
      <c r="F29" s="28">
        <f t="shared" si="8"/>
        <v>33.492655842589997</v>
      </c>
      <c r="G29" s="27" t="str">
        <f t="shared" si="9"/>
        <v>-</v>
      </c>
      <c r="H29" s="26">
        <f t="shared" si="10"/>
        <v>37670.1</v>
      </c>
      <c r="I29" s="26">
        <f t="shared" si="11"/>
        <v>37327.564936566552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963.2</v>
      </c>
      <c r="E30" s="29">
        <f t="shared" si="7"/>
        <v>7.5883747863012191E-2</v>
      </c>
      <c r="F30" s="28">
        <f t="shared" si="8"/>
        <v>33.492655842589997</v>
      </c>
      <c r="G30" s="27" t="str">
        <f t="shared" si="9"/>
        <v>-</v>
      </c>
      <c r="H30" s="26">
        <f t="shared" si="10"/>
        <v>32556.16</v>
      </c>
      <c r="I30" s="26">
        <f t="shared" si="11"/>
        <v>32260.126107582688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390.5</v>
      </c>
      <c r="E31" s="29">
        <f t="shared" si="7"/>
        <v>3.0764746200691712E-2</v>
      </c>
      <c r="F31" s="28">
        <f t="shared" si="8"/>
        <v>34.087200029144853</v>
      </c>
      <c r="G31" s="27" t="str">
        <f t="shared" si="9"/>
        <v>-</v>
      </c>
      <c r="H31" s="26">
        <f t="shared" si="10"/>
        <v>13433.199999999999</v>
      </c>
      <c r="I31" s="26">
        <f t="shared" si="11"/>
        <v>13311.051611381065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36.058407013894048</v>
      </c>
      <c r="D32" s="22">
        <f>SUM(D26:D31)</f>
        <v>8075.4000000000005</v>
      </c>
      <c r="E32" s="21">
        <f t="shared" si="7"/>
        <v>0.63620392181578966</v>
      </c>
      <c r="F32" s="20">
        <f>I32/D32</f>
        <v>35.730527110899011</v>
      </c>
      <c r="G32" s="19">
        <f>F32/C32-1</f>
        <v>-9.0930224085800093E-3</v>
      </c>
      <c r="H32" s="18">
        <f>SUM(H26:H31)</f>
        <v>291186.06</v>
      </c>
      <c r="I32" s="18">
        <f>SUM(I26:I31)</f>
        <v>288538.29863135389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1754.9</v>
      </c>
      <c r="E34" s="29">
        <f t="shared" ref="E34:E40" si="13">D34/$D$48</f>
        <v>0.13825621794518281</v>
      </c>
      <c r="F34" s="28">
        <f t="shared" ref="F34:F39" si="14">C34-(C34*$E$6)</f>
        <v>20.511774436142396</v>
      </c>
      <c r="G34" s="27" t="str">
        <f t="shared" ref="G34:G39" si="15">IF(C34&gt;=F34,"-","+")</f>
        <v>-</v>
      </c>
      <c r="H34" s="26">
        <f t="shared" ref="H34:H39" si="16">C34*D34</f>
        <v>36326.43</v>
      </c>
      <c r="I34" s="26">
        <f t="shared" ref="I34:I39" si="17">F34*D34</f>
        <v>35996.11295798629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/>
      <c r="E35" s="29">
        <f t="shared" si="13"/>
        <v>0</v>
      </c>
      <c r="F35" s="28">
        <f t="shared" si="14"/>
        <v>15.755420943703582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12.68360931317018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33.492655842589997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33.492655842589997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34.681744215699709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</v>
      </c>
      <c r="D40" s="22">
        <f>SUM(D34:D39)</f>
        <v>1754.9</v>
      </c>
      <c r="E40" s="113">
        <f t="shared" si="13"/>
        <v>0.13825621794518281</v>
      </c>
      <c r="F40" s="20">
        <f>I40/D40</f>
        <v>20.511774436142396</v>
      </c>
      <c r="G40" s="19">
        <f>F40/C40-1</f>
        <v>-9.0930224085798983E-3</v>
      </c>
      <c r="H40" s="18">
        <f>SUM(H34:H39)</f>
        <v>36326.43</v>
      </c>
      <c r="I40" s="18">
        <f>SUM(I34:I39)</f>
        <v>35996.11295798629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1881</v>
      </c>
      <c r="E42" s="107">
        <f>D42/$D$48</f>
        <v>0.14819074930474035</v>
      </c>
      <c r="F42" s="28">
        <f>C42-(C42*$E$6)</f>
        <v>0.49545348879571011</v>
      </c>
      <c r="G42" s="27" t="str">
        <f>IF(C42&gt;=F42,"-","+")</f>
        <v>-</v>
      </c>
      <c r="H42" s="26">
        <f>C42*D42</f>
        <v>940.5</v>
      </c>
      <c r="I42" s="26">
        <f>F42*D42</f>
        <v>931.94801242473068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96</v>
      </c>
      <c r="E43" s="107">
        <f>D43/$D$48</f>
        <v>7.5631642388384237E-3</v>
      </c>
      <c r="F43" s="28">
        <f>C43-(C43*$E$6)</f>
        <v>0.49545348879571011</v>
      </c>
      <c r="G43" s="27" t="str">
        <f>IF(C43&gt;=F43,"-","+")</f>
        <v>-</v>
      </c>
      <c r="H43" s="26">
        <f>C43*D43</f>
        <v>48</v>
      </c>
      <c r="I43" s="26">
        <f>F43*D43</f>
        <v>47.563534924388172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3.1</v>
      </c>
      <c r="E45" s="107">
        <f>D45/$D$48</f>
        <v>2.4422717854582409E-4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0.499217211251957</v>
      </c>
      <c r="D46" s="22">
        <f>SUM(D41:D45)</f>
        <v>1980.1</v>
      </c>
      <c r="E46" s="113">
        <f>D46/$D$48</f>
        <v>0.15599814072212462</v>
      </c>
      <c r="F46" s="20">
        <f>I46/D46</f>
        <v>0.49467781796329419</v>
      </c>
      <c r="G46" s="19">
        <f>F46/C46-1</f>
        <v>-9.0930224085798983E-3</v>
      </c>
      <c r="H46" s="18">
        <f>SUM(H41:H44)</f>
        <v>988.5</v>
      </c>
      <c r="I46" s="18">
        <f>SUM(I41:I44)</f>
        <v>979.51154734911881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109.57342800899103</v>
      </c>
      <c r="D48" s="13">
        <f>D24+D32+D40+D46</f>
        <v>12693.1</v>
      </c>
      <c r="E48" s="12">
        <f>SUM(E20:E46)/2</f>
        <v>1</v>
      </c>
      <c r="F48" s="11">
        <f>I48/D48</f>
        <v>29.25</v>
      </c>
      <c r="G48" s="10"/>
      <c r="H48" s="9">
        <f>SUM(H20:H46)/2</f>
        <v>374680.15</v>
      </c>
      <c r="I48" s="9">
        <f>SUM(I20:I46)/2</f>
        <v>371273.17499999999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12693.1</v>
      </c>
      <c r="E50" s="12">
        <f>D50/G2</f>
        <v>1</v>
      </c>
      <c r="F50" s="11">
        <f>I50/D50</f>
        <v>29.25</v>
      </c>
      <c r="G50" s="10"/>
      <c r="H50" s="9">
        <f>H48+H19</f>
        <v>374680.15</v>
      </c>
      <c r="I50" s="9">
        <f>I48+I19</f>
        <v>371273.17499999999</v>
      </c>
      <c r="J50" s="106">
        <f>D50-G2</f>
        <v>0</v>
      </c>
      <c r="K50" s="8"/>
    </row>
    <row r="51" spans="1:11" ht="23.25" x14ac:dyDescent="0.35">
      <c r="A51" s="174" t="s">
        <v>514</v>
      </c>
      <c r="B51" s="169"/>
      <c r="C51" s="170"/>
      <c r="G51" s="7"/>
      <c r="H51" s="6"/>
      <c r="I51" s="6">
        <f>+I50/D50</f>
        <v>29.25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tabColor rgb="FF92D050"/>
  </sheetPr>
  <dimension ref="A1:K56"/>
  <sheetViews>
    <sheetView workbookViewId="0">
      <selection activeCell="G2" sqref="G2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513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513</v>
      </c>
      <c r="D2" s="96" t="s">
        <v>3</v>
      </c>
      <c r="E2" s="95" t="s">
        <v>71</v>
      </c>
      <c r="F2" s="94" t="s">
        <v>5</v>
      </c>
      <c r="G2" s="93">
        <v>10086.799999999999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128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78.803124999999994</v>
      </c>
      <c r="F4" s="81" t="s">
        <v>12</v>
      </c>
      <c r="G4" s="80">
        <f>G2*G3</f>
        <v>295038.89999999997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4.2449559729297315E-2</v>
      </c>
      <c r="F6" s="69" t="s">
        <v>16</v>
      </c>
      <c r="G6" s="68">
        <f>(I50-I19)/(D50-(SUM(D42:D44)+D19))</f>
        <v>32.17344362509364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28.056227899931589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>
        <f t="shared" si="1"/>
        <v>0</v>
      </c>
      <c r="F11" s="28">
        <f t="shared" si="2"/>
        <v>29.205288428256431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>
        <f t="shared" si="1"/>
        <v>0</v>
      </c>
      <c r="F12" s="28">
        <f t="shared" si="2"/>
        <v>26.619902239525537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29.205288428256431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>
        <f t="shared" si="1"/>
        <v>0</v>
      </c>
      <c r="F14" s="28">
        <f t="shared" si="2"/>
        <v>32.65247001323096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>
        <f t="shared" si="1"/>
        <v>0</v>
      </c>
      <c r="F15" s="28">
        <f t="shared" si="2"/>
        <v>26.907167371606747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>
        <f t="shared" si="1"/>
        <v>0</v>
      </c>
      <c r="F16" s="28">
        <f t="shared" si="2"/>
        <v>36.769936906394982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>
        <v>445</v>
      </c>
      <c r="E17" s="29">
        <f t="shared" si="1"/>
        <v>0.52046783625730997</v>
      </c>
      <c r="F17" s="28">
        <f t="shared" si="2"/>
        <v>54.197354919321775</v>
      </c>
      <c r="G17" s="27" t="str">
        <f t="shared" si="3"/>
        <v>-</v>
      </c>
      <c r="H17" s="34">
        <f t="shared" si="4"/>
        <v>25187</v>
      </c>
      <c r="I17" s="34">
        <f t="shared" si="5"/>
        <v>24117.822939098191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>
        <v>410</v>
      </c>
      <c r="E18" s="29">
        <f t="shared" si="1"/>
        <v>0.47953216374269003</v>
      </c>
      <c r="F18" s="28">
        <f t="shared" si="2"/>
        <v>47.494501837426853</v>
      </c>
      <c r="G18" s="27" t="str">
        <f t="shared" si="3"/>
        <v>-</v>
      </c>
      <c r="H18" s="34">
        <f t="shared" si="4"/>
        <v>20336</v>
      </c>
      <c r="I18" s="34">
        <f t="shared" si="5"/>
        <v>19472.745753345011</v>
      </c>
      <c r="J18" s="52"/>
      <c r="K18" s="52"/>
    </row>
    <row r="19" spans="1:11" x14ac:dyDescent="0.25">
      <c r="A19" s="51" t="s">
        <v>34</v>
      </c>
      <c r="B19" s="50"/>
      <c r="C19" s="47">
        <f>H19/D19</f>
        <v>53.243274853801168</v>
      </c>
      <c r="D19" s="49">
        <f>SUM(D10:D18)</f>
        <v>855</v>
      </c>
      <c r="E19" s="48">
        <f t="shared" si="1"/>
        <v>1</v>
      </c>
      <c r="F19" s="47">
        <f>I19/D19</f>
        <v>50.983121277711348</v>
      </c>
      <c r="G19" s="46">
        <f>F19/C19-1</f>
        <v>-4.2449559729297204E-2</v>
      </c>
      <c r="H19" s="9">
        <f>SUM(H10:H18)</f>
        <v>45523</v>
      </c>
      <c r="I19" s="9">
        <f>SUM(I10:I18)</f>
        <v>43590.568692443201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10</v>
      </c>
      <c r="E21" s="29">
        <f>D21/$D$48</f>
        <v>1.0832123746181675E-3</v>
      </c>
      <c r="F21" s="28">
        <f>C21-(C21*$E$6)</f>
        <v>70.475712403923708</v>
      </c>
      <c r="G21" s="27" t="str">
        <f>IF(C21&gt;=F21,"-","+")</f>
        <v>-</v>
      </c>
      <c r="H21" s="26">
        <f>C21*D21</f>
        <v>736</v>
      </c>
      <c r="I21" s="26">
        <f>F21*D21</f>
        <v>704.75712403923706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145.19999999999999</v>
      </c>
      <c r="E22" s="29">
        <f>D22/$D$48</f>
        <v>1.572824367945579E-2</v>
      </c>
      <c r="F22" s="28">
        <f>C22-(C22*$E$6)</f>
        <v>47.302991749372708</v>
      </c>
      <c r="G22" s="27" t="str">
        <f>IF(C22&gt;=F22,"-","+")</f>
        <v>-</v>
      </c>
      <c r="H22" s="26">
        <f>C22*D22</f>
        <v>7172.8799999999992</v>
      </c>
      <c r="I22" s="26">
        <f>F22*D22</f>
        <v>6868.3944020089166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21.5</v>
      </c>
      <c r="E23" s="29">
        <f>D23/$D$48</f>
        <v>2.3289066054290601E-3</v>
      </c>
      <c r="F23" s="28">
        <f>C23-(C23*$E$6)</f>
        <v>43.089769812181622</v>
      </c>
      <c r="G23" s="27" t="str">
        <f>IF(C23&gt;=F23,"-","+")</f>
        <v>-</v>
      </c>
      <c r="H23" s="26">
        <f>C23*D23</f>
        <v>967.5</v>
      </c>
      <c r="I23" s="26">
        <f>F23*D23</f>
        <v>926.43005096190484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50.234182229767967</v>
      </c>
      <c r="D24" s="22">
        <f>SUM(D21:D23)</f>
        <v>176.7</v>
      </c>
      <c r="E24" s="21">
        <f>D24/$D$48</f>
        <v>1.9140362659503019E-2</v>
      </c>
      <c r="F24" s="20">
        <f>I24/D24</f>
        <v>48.101763310753022</v>
      </c>
      <c r="G24" s="19">
        <f>F24/C24-1</f>
        <v>-4.2449559729297426E-2</v>
      </c>
      <c r="H24" s="18">
        <f>SUM(H21:H23)</f>
        <v>8876.3799999999992</v>
      </c>
      <c r="I24" s="18">
        <f>SUM(I21:I23)</f>
        <v>8499.581577010058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1792.7+60</f>
        <v>1852.7</v>
      </c>
      <c r="E26" s="29">
        <f t="shared" ref="E26:E32" si="7">D26/$D$48</f>
        <v>0.20068675664550789</v>
      </c>
      <c r="F26" s="28">
        <f t="shared" ref="F26:F31" si="8">C26-(C26*$E$6)</f>
        <v>37.631732302638611</v>
      </c>
      <c r="G26" s="27" t="str">
        <f t="shared" ref="G26:G31" si="9">IF(C26&gt;=F26,"-","+")</f>
        <v>-</v>
      </c>
      <c r="H26" s="26">
        <f t="shared" ref="H26:H31" si="10">C26*D26</f>
        <v>72811.11</v>
      </c>
      <c r="I26" s="26">
        <f t="shared" ref="I26:I31" si="11">F26*D26</f>
        <v>69720.310437098553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1553.9</v>
      </c>
      <c r="E27" s="29">
        <f t="shared" si="7"/>
        <v>0.16832037089191706</v>
      </c>
      <c r="F27" s="28">
        <f t="shared" si="8"/>
        <v>33.514265409474596</v>
      </c>
      <c r="G27" s="27" t="str">
        <f t="shared" si="9"/>
        <v>-</v>
      </c>
      <c r="H27" s="26">
        <f t="shared" si="10"/>
        <v>54386.5</v>
      </c>
      <c r="I27" s="26">
        <f t="shared" si="11"/>
        <v>52077.817019782582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1026.0999999999999</v>
      </c>
      <c r="E28" s="29">
        <f t="shared" si="7"/>
        <v>0.11114842175957015</v>
      </c>
      <c r="F28" s="28">
        <f t="shared" si="8"/>
        <v>33.514265409474596</v>
      </c>
      <c r="G28" s="27" t="str">
        <f t="shared" si="9"/>
        <v>-</v>
      </c>
      <c r="H28" s="26">
        <f t="shared" si="10"/>
        <v>35913.5</v>
      </c>
      <c r="I28" s="26">
        <f t="shared" si="11"/>
        <v>34388.987736661882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1002.3</v>
      </c>
      <c r="E29" s="29">
        <f t="shared" si="7"/>
        <v>0.10857037630797893</v>
      </c>
      <c r="F29" s="28">
        <f t="shared" si="8"/>
        <v>32.365204881149751</v>
      </c>
      <c r="G29" s="27" t="str">
        <f t="shared" si="9"/>
        <v>-</v>
      </c>
      <c r="H29" s="26">
        <f t="shared" si="10"/>
        <v>33877.74</v>
      </c>
      <c r="I29" s="26">
        <f t="shared" si="11"/>
        <v>32439.644852376394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687.8</v>
      </c>
      <c r="E30" s="29">
        <f t="shared" si="7"/>
        <v>7.450334712623756E-2</v>
      </c>
      <c r="F30" s="28">
        <f t="shared" si="8"/>
        <v>32.365204881149751</v>
      </c>
      <c r="G30" s="27" t="str">
        <f t="shared" si="9"/>
        <v>-</v>
      </c>
      <c r="H30" s="26">
        <f t="shared" si="10"/>
        <v>23247.639999999996</v>
      </c>
      <c r="I30" s="26">
        <f t="shared" si="11"/>
        <v>22260.787917254798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125</v>
      </c>
      <c r="E31" s="29">
        <f t="shared" si="7"/>
        <v>1.3540154682727094E-2</v>
      </c>
      <c r="F31" s="28">
        <f t="shared" si="8"/>
        <v>32.93973514531217</v>
      </c>
      <c r="G31" s="27" t="str">
        <f t="shared" si="9"/>
        <v>-</v>
      </c>
      <c r="H31" s="26">
        <f t="shared" si="10"/>
        <v>4300</v>
      </c>
      <c r="I31" s="26">
        <f t="shared" si="11"/>
        <v>4117.4668931640208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35.938488748039298</v>
      </c>
      <c r="D32" s="22">
        <f>SUM(D26:D31)</f>
        <v>6247.8000000000011</v>
      </c>
      <c r="E32" s="21">
        <f t="shared" si="7"/>
        <v>0.67676942741393886</v>
      </c>
      <c r="F32" s="20">
        <f>I32/D32</f>
        <v>34.412915723348739</v>
      </c>
      <c r="G32" s="19">
        <f>F32/C32-1</f>
        <v>-4.2449559729296871E-2</v>
      </c>
      <c r="H32" s="18">
        <f>SUM(H26:H31)</f>
        <v>224536.48999999996</v>
      </c>
      <c r="I32" s="18">
        <f>SUM(I26:I31)</f>
        <v>215005.01485633827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1345</v>
      </c>
      <c r="E34" s="29">
        <f t="shared" ref="E34:E40" si="13">D34/$D$48</f>
        <v>0.14569206438614354</v>
      </c>
      <c r="F34" s="28">
        <f t="shared" ref="F34:F39" si="14">C34-(C34*$E$6)</f>
        <v>19.821294113603546</v>
      </c>
      <c r="G34" s="27" t="str">
        <f t="shared" ref="G34:G39" si="15">IF(C34&gt;=F34,"-","+")</f>
        <v>-</v>
      </c>
      <c r="H34" s="26">
        <f t="shared" ref="H34:H39" si="16">C34*D34</f>
        <v>27841.5</v>
      </c>
      <c r="I34" s="26">
        <f t="shared" ref="I34:I39" si="17">F34*D34</f>
        <v>26659.640582796768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39.799999999999997</v>
      </c>
      <c r="E35" s="29">
        <f t="shared" si="13"/>
        <v>4.3111852509803063E-3</v>
      </c>
      <c r="F35" s="28">
        <f t="shared" si="14"/>
        <v>15.225052000304172</v>
      </c>
      <c r="G35" s="27" t="str">
        <f t="shared" si="15"/>
        <v>-</v>
      </c>
      <c r="H35" s="26">
        <f t="shared" si="16"/>
        <v>632.81999999999994</v>
      </c>
      <c r="I35" s="26">
        <f t="shared" si="17"/>
        <v>605.95706961210601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12.256645635464995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32.365204881149751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32.365204881149751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33.514265409474596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20.56204506065858</v>
      </c>
      <c r="D40" s="22">
        <f>SUM(D34:D39)</f>
        <v>1384.8</v>
      </c>
      <c r="E40" s="113">
        <f t="shared" si="13"/>
        <v>0.15000324963712383</v>
      </c>
      <c r="F40" s="20">
        <f>I40/D40</f>
        <v>19.689195300699648</v>
      </c>
      <c r="G40" s="19">
        <f>F40/C40-1</f>
        <v>-4.2449559729297426E-2</v>
      </c>
      <c r="H40" s="18">
        <f>SUM(H34:H39)</f>
        <v>28474.32</v>
      </c>
      <c r="I40" s="18">
        <f>SUM(I34:I39)</f>
        <v>27265.597652408873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1369</v>
      </c>
      <c r="E42" s="107">
        <f>D42/$D$48</f>
        <v>0.14829177408522715</v>
      </c>
      <c r="F42" s="28">
        <f>C42-(C42*$E$6)</f>
        <v>0.47877522013535134</v>
      </c>
      <c r="G42" s="27" t="str">
        <f>IF(C42&gt;=F42,"-","+")</f>
        <v>-</v>
      </c>
      <c r="H42" s="26">
        <f>C42*D42</f>
        <v>684.5</v>
      </c>
      <c r="I42" s="26">
        <f>F42*D42</f>
        <v>655.44327636529601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47.4</v>
      </c>
      <c r="E43" s="107">
        <f>D43/$D$48</f>
        <v>5.1344266556901134E-3</v>
      </c>
      <c r="F43" s="28">
        <f>C43-(C43*$E$6)</f>
        <v>0.47877522013535134</v>
      </c>
      <c r="G43" s="27" t="str">
        <f>IF(C43&gt;=F43,"-","+")</f>
        <v>-</v>
      </c>
      <c r="H43" s="26">
        <f>C43*D43</f>
        <v>23.7</v>
      </c>
      <c r="I43" s="26">
        <f>F43*D43</f>
        <v>22.693945434415653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6.1</v>
      </c>
      <c r="E45" s="107">
        <f>D45/$D$48</f>
        <v>6.6075954851708214E-4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0.49785588752196841</v>
      </c>
      <c r="D46" s="22">
        <f>SUM(D41:D45)</f>
        <v>1422.5</v>
      </c>
      <c r="E46" s="113">
        <f>D46/$D$48</f>
        <v>0.15408696028943433</v>
      </c>
      <c r="F46" s="20">
        <f>I46/D46</f>
        <v>0.4767221242880223</v>
      </c>
      <c r="G46" s="19">
        <f>F46/C46-1</f>
        <v>-4.2449559729297315E-2</v>
      </c>
      <c r="H46" s="18">
        <f>SUM(H41:H44)</f>
        <v>708.2</v>
      </c>
      <c r="I46" s="18">
        <f>SUM(I41:I44)</f>
        <v>678.13722179971171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107.2325719259878</v>
      </c>
      <c r="D48" s="13">
        <f>D24+D32+D40+D46</f>
        <v>9231.8000000000011</v>
      </c>
      <c r="E48" s="12">
        <f>SUM(E20:E46)/2</f>
        <v>0.99999999999999989</v>
      </c>
      <c r="F48" s="11">
        <f>I48/D48</f>
        <v>27.237194404943441</v>
      </c>
      <c r="G48" s="10"/>
      <c r="H48" s="9">
        <f>SUM(H20:H46)/2</f>
        <v>262595.3899999999</v>
      </c>
      <c r="I48" s="9">
        <f>SUM(I20:I46)/2</f>
        <v>251448.33130755689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10086.800000000001</v>
      </c>
      <c r="E50" s="12">
        <f>D50/G2</f>
        <v>1.0000000000000002</v>
      </c>
      <c r="F50" s="11">
        <f>I50/D50</f>
        <v>29.250000000000004</v>
      </c>
      <c r="G50" s="10"/>
      <c r="H50" s="9">
        <f>H48+H19</f>
        <v>308118.3899999999</v>
      </c>
      <c r="I50" s="9">
        <f>I48+I19</f>
        <v>295038.90000000008</v>
      </c>
      <c r="J50" s="106">
        <f>D50-G2</f>
        <v>0</v>
      </c>
      <c r="K50" s="8"/>
    </row>
    <row r="51" spans="1:11" ht="23.25" x14ac:dyDescent="0.35">
      <c r="A51" s="174" t="s">
        <v>515</v>
      </c>
      <c r="B51" s="169"/>
      <c r="C51" s="170"/>
      <c r="G51" s="7"/>
      <c r="H51" s="6"/>
      <c r="I51" s="6">
        <f>+I50/D50</f>
        <v>29.250000000000004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513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513</v>
      </c>
      <c r="D2" s="96" t="s">
        <v>3</v>
      </c>
      <c r="E2" s="95" t="s">
        <v>112</v>
      </c>
      <c r="F2" s="94" t="s">
        <v>5</v>
      </c>
      <c r="G2" s="93">
        <v>3025.1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52</v>
      </c>
      <c r="F3" s="88" t="s">
        <v>8</v>
      </c>
      <c r="G3" s="87">
        <v>25.7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58.174999999999997</v>
      </c>
      <c r="F4" s="81" t="s">
        <v>12</v>
      </c>
      <c r="G4" s="80">
        <f>G2*G3</f>
        <v>77745.069999999992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-3.4196495427896378E-2</v>
      </c>
      <c r="F6" s="69" t="s">
        <v>16</v>
      </c>
      <c r="G6" s="68">
        <f>(I50-I19)/(D50-(SUM(D42:D44)+D19))</f>
        <v>32.620765325389151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25.7</v>
      </c>
      <c r="D10" s="30"/>
      <c r="E10" s="29" t="e">
        <f t="shared" ref="E10:E19" si="1">D10/$D$19</f>
        <v>#DIV/0!</v>
      </c>
      <c r="F10" s="28">
        <f t="shared" ref="F10:F18" si="2">C10-(C10*$E$6)</f>
        <v>26.578849932496937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26.8</v>
      </c>
      <c r="D11" s="30"/>
      <c r="E11" s="29" t="e">
        <f t="shared" si="1"/>
        <v>#DIV/0!</v>
      </c>
      <c r="F11" s="28">
        <f t="shared" si="2"/>
        <v>27.716466077467622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/>
      <c r="E12" s="29" t="e">
        <f t="shared" si="1"/>
        <v>#DIV/0!</v>
      </c>
      <c r="F12" s="28">
        <f t="shared" si="2"/>
        <v>25.337814137983461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26.8</v>
      </c>
      <c r="D13" s="30"/>
      <c r="E13" s="29" t="e">
        <f t="shared" si="1"/>
        <v>#DIV/0!</v>
      </c>
      <c r="F13" s="28">
        <f t="shared" si="2"/>
        <v>27.716466077467622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29.9</v>
      </c>
      <c r="D14" s="30"/>
      <c r="E14" s="29" t="e">
        <f t="shared" si="1"/>
        <v>#DIV/0!</v>
      </c>
      <c r="F14" s="28">
        <f t="shared" si="2"/>
        <v>30.922475213294099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24.7</v>
      </c>
      <c r="D15" s="30"/>
      <c r="E15" s="29" t="e">
        <f t="shared" si="1"/>
        <v>#DIV/0!</v>
      </c>
      <c r="F15" s="28">
        <f t="shared" si="2"/>
        <v>25.544653437069041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33.799999999999997</v>
      </c>
      <c r="D16" s="30"/>
      <c r="E16" s="29" t="e">
        <f t="shared" si="1"/>
        <v>#DIV/0!</v>
      </c>
      <c r="F16" s="28">
        <f t="shared" si="2"/>
        <v>34.955841545462896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49.7</v>
      </c>
      <c r="D17" s="30"/>
      <c r="E17" s="29" t="e">
        <f t="shared" si="1"/>
        <v>#DIV/0!</v>
      </c>
      <c r="F17" s="28">
        <f t="shared" si="2"/>
        <v>51.399565822766455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43.5</v>
      </c>
      <c r="D18" s="30"/>
      <c r="E18" s="29" t="e">
        <f t="shared" si="1"/>
        <v>#DIV/0!</v>
      </c>
      <c r="F18" s="28">
        <f t="shared" si="2"/>
        <v>44.987547551113494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64.599999999999994</v>
      </c>
      <c r="D21" s="30">
        <v>42.8</v>
      </c>
      <c r="E21" s="29">
        <f>D21/$D$48</f>
        <v>1.4148292618425835E-2</v>
      </c>
      <c r="F21" s="28">
        <f>C21-(C21*$E$6)</f>
        <v>66.809093604642101</v>
      </c>
      <c r="G21" s="27" t="str">
        <f>IF(C21&gt;=F21,"-","+")</f>
        <v>+</v>
      </c>
      <c r="H21" s="26">
        <f>C21*D21</f>
        <v>2764.8799999999997</v>
      </c>
      <c r="I21" s="26">
        <f>F21*D21</f>
        <v>2859.4292062786817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43.4</v>
      </c>
      <c r="D22" s="30">
        <v>117.8</v>
      </c>
      <c r="E22" s="29">
        <f>D22/$D$48</f>
        <v>3.8940861459125314E-2</v>
      </c>
      <c r="F22" s="28">
        <f>C22-(C22*$E$6)</f>
        <v>44.8841279015707</v>
      </c>
      <c r="G22" s="27" t="str">
        <f>IF(C22&gt;=F22,"-","+")</f>
        <v>+</v>
      </c>
      <c r="H22" s="26">
        <f>C22*D22</f>
        <v>5112.5199999999995</v>
      </c>
      <c r="I22" s="26">
        <f>F22*D22</f>
        <v>5287.3502668050287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39.6</v>
      </c>
      <c r="D23" s="30">
        <v>68.7</v>
      </c>
      <c r="E23" s="29">
        <f>D23/$D$48</f>
        <v>2.2709993058080722E-2</v>
      </c>
      <c r="F23" s="28">
        <f>C23-(C23*$E$6)</f>
        <v>40.954181218944697</v>
      </c>
      <c r="G23" s="27" t="str">
        <f>IF(C23&gt;=F23,"-","+")</f>
        <v>+</v>
      </c>
      <c r="H23" s="26">
        <f>C23*D23</f>
        <v>2720.5200000000004</v>
      </c>
      <c r="I23" s="26">
        <f>F23*D23</f>
        <v>2813.5522497415009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46.218578281726991</v>
      </c>
      <c r="D24" s="22">
        <f>SUM(D21:D23)</f>
        <v>229.3</v>
      </c>
      <c r="E24" s="21">
        <f>D24/$D$48</f>
        <v>7.5799147135631878E-2</v>
      </c>
      <c r="F24" s="20">
        <f>I24/D24</f>
        <v>47.799091682621935</v>
      </c>
      <c r="G24" s="19">
        <f>F24/C24-1</f>
        <v>3.4196495427896378E-2</v>
      </c>
      <c r="H24" s="18">
        <f>SUM(H21:H23)</f>
        <v>10597.92</v>
      </c>
      <c r="I24" s="18">
        <f>SUM(I21:I23)</f>
        <v>10960.331722825211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34.5</v>
      </c>
      <c r="D26" s="30">
        <v>698.6</v>
      </c>
      <c r="E26" s="29">
        <f t="shared" ref="E26:E32" si="7">D26/$D$48</f>
        <v>0.23093451456150207</v>
      </c>
      <c r="F26" s="28">
        <f t="shared" ref="F26:F31" si="8">C26-(C26*$E$6)</f>
        <v>35.679779092262422</v>
      </c>
      <c r="G26" s="27" t="str">
        <f t="shared" ref="G26:G31" si="9">IF(C26&gt;=F26,"-","+")</f>
        <v>+</v>
      </c>
      <c r="H26" s="26">
        <f t="shared" ref="H26:H31" si="10">C26*D26</f>
        <v>24101.7</v>
      </c>
      <c r="I26" s="26">
        <f t="shared" ref="I26:I31" si="11">F26*D26</f>
        <v>24925.893673854527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30.7</v>
      </c>
      <c r="D27" s="30">
        <v>413.1</v>
      </c>
      <c r="E27" s="29">
        <f t="shared" si="7"/>
        <v>0.13655746917457273</v>
      </c>
      <c r="F27" s="28">
        <f t="shared" si="8"/>
        <v>31.749832409636419</v>
      </c>
      <c r="G27" s="27" t="str">
        <f t="shared" si="9"/>
        <v>+</v>
      </c>
      <c r="H27" s="26">
        <f t="shared" si="10"/>
        <v>12682.17</v>
      </c>
      <c r="I27" s="26">
        <f t="shared" si="11"/>
        <v>13115.855768420804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30.7</v>
      </c>
      <c r="D28" s="30">
        <v>285.10000000000002</v>
      </c>
      <c r="E28" s="29">
        <f t="shared" si="7"/>
        <v>9.4244818353112284E-2</v>
      </c>
      <c r="F28" s="28">
        <f t="shared" si="8"/>
        <v>31.749832409636419</v>
      </c>
      <c r="G28" s="27" t="str">
        <f t="shared" si="9"/>
        <v>+</v>
      </c>
      <c r="H28" s="26">
        <f t="shared" si="10"/>
        <v>8752.57</v>
      </c>
      <c r="I28" s="26">
        <f t="shared" si="11"/>
        <v>9051.8772199873438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29.7</v>
      </c>
      <c r="D29" s="30">
        <v>254.2</v>
      </c>
      <c r="E29" s="29">
        <f t="shared" si="7"/>
        <v>8.4030279990744097E-2</v>
      </c>
      <c r="F29" s="28">
        <f t="shared" si="8"/>
        <v>30.715635914208523</v>
      </c>
      <c r="G29" s="27" t="str">
        <f t="shared" si="9"/>
        <v>+</v>
      </c>
      <c r="H29" s="26">
        <f t="shared" si="10"/>
        <v>7549.74</v>
      </c>
      <c r="I29" s="26">
        <f t="shared" si="11"/>
        <v>7807.9146493918061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29.7</v>
      </c>
      <c r="D30" s="30">
        <v>121.7</v>
      </c>
      <c r="E30" s="29">
        <f t="shared" si="7"/>
        <v>4.0230075038841684E-2</v>
      </c>
      <c r="F30" s="28">
        <f t="shared" si="8"/>
        <v>30.715635914208523</v>
      </c>
      <c r="G30" s="27" t="str">
        <f t="shared" si="9"/>
        <v>+</v>
      </c>
      <c r="H30" s="26">
        <f t="shared" si="10"/>
        <v>3614.49</v>
      </c>
      <c r="I30" s="26">
        <f t="shared" si="11"/>
        <v>3738.0928907591774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30.2</v>
      </c>
      <c r="D31" s="30">
        <v>64.2</v>
      </c>
      <c r="E31" s="29">
        <f t="shared" si="7"/>
        <v>2.1222438927638754E-2</v>
      </c>
      <c r="F31" s="28">
        <f t="shared" si="8"/>
        <v>31.232734161922469</v>
      </c>
      <c r="G31" s="27" t="str">
        <f t="shared" si="9"/>
        <v>+</v>
      </c>
      <c r="H31" s="26">
        <f t="shared" si="10"/>
        <v>1938.8400000000001</v>
      </c>
      <c r="I31" s="26">
        <f t="shared" si="11"/>
        <v>2005.1415331954227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31.923082367031402</v>
      </c>
      <c r="D32" s="22">
        <f>SUM(D26:D31)</f>
        <v>1836.9000000000003</v>
      </c>
      <c r="E32" s="21">
        <f t="shared" si="7"/>
        <v>0.60721959604641174</v>
      </c>
      <c r="F32" s="20">
        <f>I32/D32</f>
        <v>33.014739907239957</v>
      </c>
      <c r="G32" s="19">
        <f>F32/C32-1</f>
        <v>3.41964954278966E-2</v>
      </c>
      <c r="H32" s="18">
        <f>SUM(H26:H31)</f>
        <v>58639.509999999995</v>
      </c>
      <c r="I32" s="18">
        <f>SUM(I26:I31)</f>
        <v>60644.775735609081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v>312.10000000000002</v>
      </c>
      <c r="E34" s="29">
        <f t="shared" ref="E34:E40" si="13">D34/$D$48</f>
        <v>0.1031701431357641</v>
      </c>
      <c r="F34" s="28">
        <f t="shared" ref="F34:F39" si="14">C34-(C34*$E$6)</f>
        <v>18.822376216787713</v>
      </c>
      <c r="G34" s="27" t="str">
        <f t="shared" ref="G34:G39" si="15">IF(C34&gt;=F34,"-","+")</f>
        <v>+</v>
      </c>
      <c r="H34" s="26">
        <f t="shared" ref="H34:H39" si="16">C34*D34</f>
        <v>5680.22</v>
      </c>
      <c r="I34" s="26">
        <f t="shared" ref="I34:I39" si="17">F34*D34</f>
        <v>5874.4636172594455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/>
      <c r="E35" s="29">
        <f t="shared" si="13"/>
        <v>0</v>
      </c>
      <c r="F35" s="28">
        <f t="shared" si="14"/>
        <v>14.478750935990549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11.583000748792438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29.7</v>
      </c>
      <c r="D37" s="30"/>
      <c r="E37" s="29">
        <f t="shared" si="13"/>
        <v>0</v>
      </c>
      <c r="F37" s="28">
        <f t="shared" si="14"/>
        <v>30.715635914208523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29.7</v>
      </c>
      <c r="D38" s="30"/>
      <c r="E38" s="29">
        <f t="shared" si="13"/>
        <v>0</v>
      </c>
      <c r="F38" s="28">
        <f t="shared" si="14"/>
        <v>30.715635914208523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30.7</v>
      </c>
      <c r="D39" s="30"/>
      <c r="E39" s="29">
        <f t="shared" si="13"/>
        <v>0</v>
      </c>
      <c r="F39" s="28">
        <f t="shared" si="14"/>
        <v>31.749832409636419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18.2</v>
      </c>
      <c r="D40" s="22">
        <f>SUM(D34:D39)</f>
        <v>312.10000000000002</v>
      </c>
      <c r="E40" s="113">
        <f t="shared" si="13"/>
        <v>0.1031701431357641</v>
      </c>
      <c r="F40" s="20">
        <f>I40/D40</f>
        <v>18.822376216787713</v>
      </c>
      <c r="G40" s="19">
        <f>F40/C40-1</f>
        <v>3.4196495427896378E-2</v>
      </c>
      <c r="H40" s="18">
        <f>SUM(H34:H39)</f>
        <v>5680.22</v>
      </c>
      <c r="I40" s="18">
        <f>SUM(I34:I39)</f>
        <v>5874.4636172594455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596</v>
      </c>
      <c r="E42" s="107">
        <f>D42/$D$48</f>
        <v>0.19701828038742519</v>
      </c>
      <c r="F42" s="28">
        <f>C42-(C42*$E$6)</f>
        <v>0.4136785981711586</v>
      </c>
      <c r="G42" s="27" t="str">
        <f>IF(C42&gt;=F42,"-","+")</f>
        <v>+</v>
      </c>
      <c r="H42" s="26">
        <f>C42*D42</f>
        <v>238.4</v>
      </c>
      <c r="I42" s="26">
        <f>F42*D42</f>
        <v>246.55244451001053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45.8</v>
      </c>
      <c r="E43" s="107">
        <f>D43/$D$48</f>
        <v>1.5139995372053813E-2</v>
      </c>
      <c r="F43" s="28">
        <f>C43-(C43*$E$6)</f>
        <v>0.4136785981711586</v>
      </c>
      <c r="G43" s="27" t="str">
        <f>IF(C43&gt;=F43,"-","+")</f>
        <v>+</v>
      </c>
      <c r="H43" s="26">
        <f>C43*D43</f>
        <v>18.32</v>
      </c>
      <c r="I43" s="26">
        <f>F43*D43</f>
        <v>18.946479796239064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1.6528379227132984E-3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0.39690785405071127</v>
      </c>
      <c r="D46" s="22">
        <f>SUM(D41:D45)</f>
        <v>646.79999999999995</v>
      </c>
      <c r="E46" s="113">
        <f>D46/$D$48</f>
        <v>0.21381111368219227</v>
      </c>
      <c r="F46" s="20">
        <f>I46/D46</f>
        <v>0.41048071166705258</v>
      </c>
      <c r="G46" s="19">
        <f>F46/C46-1</f>
        <v>3.4196495427896378E-2</v>
      </c>
      <c r="H46" s="18">
        <f>SUM(H41:H44)</f>
        <v>256.72000000000003</v>
      </c>
      <c r="I46" s="18">
        <f>SUM(I41:I44)</f>
        <v>265.49892430624959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96.738568502809102</v>
      </c>
      <c r="D48" s="13">
        <f>D24+D32+D40+D46</f>
        <v>3025.1000000000004</v>
      </c>
      <c r="E48" s="12">
        <f>SUM(E20:E46)/2</f>
        <v>1</v>
      </c>
      <c r="F48" s="11">
        <f>I48/D48</f>
        <v>25.699999999999985</v>
      </c>
      <c r="G48" s="10"/>
      <c r="H48" s="9">
        <f>SUM(H20:H46)/2</f>
        <v>75174.37</v>
      </c>
      <c r="I48" s="9">
        <f>SUM(I20:I46)/2</f>
        <v>77745.069999999963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3025.1000000000004</v>
      </c>
      <c r="E50" s="12">
        <f>D50/G2</f>
        <v>1.0000000000000002</v>
      </c>
      <c r="F50" s="11">
        <f>I50/D50</f>
        <v>25.699999999999985</v>
      </c>
      <c r="G50" s="10"/>
      <c r="H50" s="9">
        <f>H48+H19</f>
        <v>75174.37</v>
      </c>
      <c r="I50" s="9">
        <f>I48+I19</f>
        <v>77745.069999999963</v>
      </c>
      <c r="J50" s="106">
        <f>D50-G2</f>
        <v>0</v>
      </c>
      <c r="K50" s="8"/>
    </row>
    <row r="51" spans="1:11" ht="23.25" x14ac:dyDescent="0.35">
      <c r="A51" s="174" t="s">
        <v>516</v>
      </c>
      <c r="B51" s="169"/>
      <c r="C51" s="170"/>
      <c r="G51" s="7"/>
      <c r="H51" s="6"/>
      <c r="I51" s="6">
        <f>+I50/D50</f>
        <v>25.699999999999985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tabColor rgb="FF92D050"/>
  </sheetPr>
  <dimension ref="A1:K56"/>
  <sheetViews>
    <sheetView workbookViewId="0">
      <selection activeCell="L10" sqref="L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513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513</v>
      </c>
      <c r="D2" s="96" t="s">
        <v>3</v>
      </c>
      <c r="E2" s="95" t="s">
        <v>362</v>
      </c>
      <c r="F2" s="94" t="s">
        <v>5</v>
      </c>
      <c r="G2" s="93">
        <v>23319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324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71.972222222222229</v>
      </c>
      <c r="F4" s="81" t="s">
        <v>12</v>
      </c>
      <c r="G4" s="80">
        <f>G2*G3</f>
        <v>676251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-1.4333162615627115E-2</v>
      </c>
      <c r="F6" s="69" t="s">
        <v>16</v>
      </c>
      <c r="G6" s="68">
        <f>(I50-I19)/(D50-(SUM(D42:D44)+D19))</f>
        <v>34.562969758818319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29.415661715853187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>
        <v>526.9</v>
      </c>
      <c r="E11" s="29">
        <f t="shared" si="1"/>
        <v>0.52774439102564097</v>
      </c>
      <c r="F11" s="28">
        <f t="shared" si="2"/>
        <v>30.632861510991937</v>
      </c>
      <c r="G11" s="27" t="str">
        <f t="shared" si="3"/>
        <v>+</v>
      </c>
      <c r="H11" s="34">
        <f t="shared" si="4"/>
        <v>15912.38</v>
      </c>
      <c r="I11" s="34">
        <f t="shared" si="5"/>
        <v>16140.454730141651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>
        <v>187.9</v>
      </c>
      <c r="E12" s="29">
        <f t="shared" si="1"/>
        <v>0.18820112179487181</v>
      </c>
      <c r="F12" s="28">
        <f t="shared" si="2"/>
        <v>27.995595288191311</v>
      </c>
      <c r="G12" s="27" t="str">
        <f t="shared" si="3"/>
        <v>+</v>
      </c>
      <c r="H12" s="34">
        <f t="shared" si="4"/>
        <v>5186.0400000000009</v>
      </c>
      <c r="I12" s="34">
        <f t="shared" si="5"/>
        <v>5260.3723546511474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>
        <f t="shared" si="1"/>
        <v>0</v>
      </c>
      <c r="F13" s="28">
        <f t="shared" si="2"/>
        <v>30.632861510991937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>
        <v>228.9</v>
      </c>
      <c r="E14" s="29">
        <f t="shared" si="1"/>
        <v>0.22926682692307693</v>
      </c>
      <c r="F14" s="28">
        <f t="shared" si="2"/>
        <v>34.284460896408191</v>
      </c>
      <c r="G14" s="27" t="str">
        <f t="shared" si="3"/>
        <v>+</v>
      </c>
      <c r="H14" s="34">
        <f t="shared" si="4"/>
        <v>7736.82</v>
      </c>
      <c r="I14" s="34">
        <f t="shared" si="5"/>
        <v>7847.7130991878348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>
        <v>54.7</v>
      </c>
      <c r="E15" s="29">
        <f t="shared" si="1"/>
        <v>5.4787660256410263E-2</v>
      </c>
      <c r="F15" s="28">
        <f t="shared" si="2"/>
        <v>28.198461920714436</v>
      </c>
      <c r="G15" s="27" t="str">
        <f t="shared" si="3"/>
        <v>+</v>
      </c>
      <c r="H15" s="34">
        <f t="shared" si="4"/>
        <v>1520.66</v>
      </c>
      <c r="I15" s="34">
        <f t="shared" si="5"/>
        <v>1542.4558670630797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>
        <f t="shared" si="1"/>
        <v>0</v>
      </c>
      <c r="F16" s="28">
        <f t="shared" si="2"/>
        <v>38.646093495655393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>
        <f t="shared" si="1"/>
        <v>0</v>
      </c>
      <c r="F17" s="28">
        <f t="shared" si="2"/>
        <v>56.904090422736679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49.803758284427296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30.404547275641026</v>
      </c>
      <c r="D19" s="49">
        <f>SUM(D10:D18)</f>
        <v>998.4</v>
      </c>
      <c r="E19" s="48">
        <f t="shared" si="1"/>
        <v>1</v>
      </c>
      <c r="F19" s="47">
        <f>I19/D19</f>
        <v>30.840340595997311</v>
      </c>
      <c r="G19" s="46">
        <f>F19/C19-1</f>
        <v>1.4333162615627115E-2</v>
      </c>
      <c r="H19" s="9">
        <f>SUM(H10:H18)</f>
        <v>30355.899999999998</v>
      </c>
      <c r="I19" s="9">
        <f>SUM(I10:I18)</f>
        <v>30790.996051043716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280.10000000000002</v>
      </c>
      <c r="E21" s="29">
        <f>D21/$D$48</f>
        <v>1.2548945816868724E-2</v>
      </c>
      <c r="F21" s="28">
        <f>C21-(C21*$E$6)</f>
        <v>73.944887554679227</v>
      </c>
      <c r="G21" s="27" t="str">
        <f>IF(C21&gt;=F21,"-","+")</f>
        <v>+</v>
      </c>
      <c r="H21" s="26">
        <f>C21*D21</f>
        <v>20419.290000000005</v>
      </c>
      <c r="I21" s="26">
        <f>F21*D21</f>
        <v>20711.963004065652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727.4</v>
      </c>
      <c r="E22" s="29">
        <f>D22/$D$48</f>
        <v>3.2588729693646228E-2</v>
      </c>
      <c r="F22" s="28">
        <f>C22-(C22*$E$6)</f>
        <v>49.702324968165726</v>
      </c>
      <c r="G22" s="27" t="str">
        <f>IF(C22&gt;=F22,"-","+")</f>
        <v>+</v>
      </c>
      <c r="H22" s="26">
        <f>C22*D22</f>
        <v>35642.6</v>
      </c>
      <c r="I22" s="26">
        <f>F22*D22</f>
        <v>36153.47118184375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533.9</v>
      </c>
      <c r="E23" s="29">
        <f>D23/$D$48</f>
        <v>2.3919607895845095E-2</v>
      </c>
      <c r="F23" s="28">
        <f>C23-(C23*$E$6)</f>
        <v>45.340692368918532</v>
      </c>
      <c r="G23" s="27" t="str">
        <f>IF(C23&gt;=F23,"-","+")</f>
        <v>+</v>
      </c>
      <c r="H23" s="26">
        <f>C23*D23</f>
        <v>23865.33</v>
      </c>
      <c r="I23" s="26">
        <f>F23*D23</f>
        <v>24207.395655765602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51.85365252367977</v>
      </c>
      <c r="D24" s="22">
        <f>SUM(D21:D23)</f>
        <v>1541.4</v>
      </c>
      <c r="E24" s="21">
        <f>D24/$D$48</f>
        <v>6.9057283406360054E-2</v>
      </c>
      <c r="F24" s="20">
        <f>I24/D24</f>
        <v>52.596879357515895</v>
      </c>
      <c r="G24" s="19">
        <f>F24/C24-1</f>
        <v>1.4333162615627115E-2</v>
      </c>
      <c r="H24" s="18">
        <f>SUM(H21:H23)</f>
        <v>79927.22</v>
      </c>
      <c r="I24" s="18">
        <f>SUM(I21:I23)</f>
        <v>81072.829841675004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v>4347.8999999999996</v>
      </c>
      <c r="E26" s="29">
        <f t="shared" ref="E26:E32" si="7">D26/$D$48</f>
        <v>0.19479315072175479</v>
      </c>
      <c r="F26" s="28">
        <f t="shared" ref="F26:F31" si="8">C26-(C26*$E$6)</f>
        <v>39.457560025747895</v>
      </c>
      <c r="G26" s="27" t="str">
        <f t="shared" ref="G26:G31" si="9">IF(C26&gt;=F26,"-","+")</f>
        <v>+</v>
      </c>
      <c r="H26" s="26">
        <f t="shared" ref="H26:H31" si="10">C26*D26</f>
        <v>169133.30999999997</v>
      </c>
      <c r="I26" s="26">
        <f t="shared" ref="I26:I31" si="11">F26*D26</f>
        <v>171557.52523594926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3397.2</v>
      </c>
      <c r="E27" s="29">
        <f t="shared" si="7"/>
        <v>0.15220020967178302</v>
      </c>
      <c r="F27" s="28">
        <f t="shared" si="8"/>
        <v>35.197360742762264</v>
      </c>
      <c r="G27" s="27" t="str">
        <f t="shared" si="9"/>
        <v>+</v>
      </c>
      <c r="H27" s="26">
        <f t="shared" si="10"/>
        <v>117882.84</v>
      </c>
      <c r="I27" s="26">
        <f t="shared" si="11"/>
        <v>119572.47391531196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1999.4</v>
      </c>
      <c r="E28" s="29">
        <f t="shared" si="7"/>
        <v>8.9576445077641287E-2</v>
      </c>
      <c r="F28" s="28">
        <f t="shared" si="8"/>
        <v>35.197360742762264</v>
      </c>
      <c r="G28" s="27" t="str">
        <f t="shared" si="9"/>
        <v>+</v>
      </c>
      <c r="H28" s="26">
        <f t="shared" si="10"/>
        <v>69379.180000000008</v>
      </c>
      <c r="I28" s="26">
        <f t="shared" si="11"/>
        <v>70373.603069078876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1994.6</v>
      </c>
      <c r="E29" s="29">
        <f t="shared" si="7"/>
        <v>8.9361397095060177E-2</v>
      </c>
      <c r="F29" s="28">
        <f t="shared" si="8"/>
        <v>33.98016094762351</v>
      </c>
      <c r="G29" s="27" t="str">
        <f t="shared" si="9"/>
        <v>+</v>
      </c>
      <c r="H29" s="26">
        <f t="shared" si="10"/>
        <v>66819.099999999991</v>
      </c>
      <c r="I29" s="26">
        <f t="shared" si="11"/>
        <v>67776.829026129853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1322.8</v>
      </c>
      <c r="E30" s="29">
        <f t="shared" si="7"/>
        <v>5.9263639866311842E-2</v>
      </c>
      <c r="F30" s="28">
        <f t="shared" si="8"/>
        <v>33.98016094762351</v>
      </c>
      <c r="G30" s="27" t="str">
        <f t="shared" si="9"/>
        <v>+</v>
      </c>
      <c r="H30" s="26">
        <f t="shared" si="10"/>
        <v>44313.799999999996</v>
      </c>
      <c r="I30" s="26">
        <f t="shared" si="11"/>
        <v>44948.95690151638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358</v>
      </c>
      <c r="E31" s="29">
        <f t="shared" si="7"/>
        <v>1.6038995367508042E-2</v>
      </c>
      <c r="F31" s="28">
        <f t="shared" si="8"/>
        <v>34.588760845192887</v>
      </c>
      <c r="G31" s="27" t="str">
        <f t="shared" si="9"/>
        <v>+</v>
      </c>
      <c r="H31" s="26">
        <f t="shared" si="10"/>
        <v>12207.800000000001</v>
      </c>
      <c r="I31" s="26">
        <f t="shared" si="11"/>
        <v>12382.776382579053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35.748107661010884</v>
      </c>
      <c r="D32" s="22">
        <f>SUM(D26:D31)</f>
        <v>13419.9</v>
      </c>
      <c r="E32" s="21">
        <f t="shared" si="7"/>
        <v>0.60123383780005912</v>
      </c>
      <c r="F32" s="20">
        <f>I32/D32</f>
        <v>36.260491101317101</v>
      </c>
      <c r="G32" s="19">
        <f>F32/C32-1</f>
        <v>1.4333162615627115E-2</v>
      </c>
      <c r="H32" s="18">
        <f>SUM(H26:H31)</f>
        <v>479736.02999999991</v>
      </c>
      <c r="I32" s="18">
        <f>SUM(I26:I31)</f>
        <v>486612.16453056538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f>2122.2+1343.5</f>
        <v>3465.7</v>
      </c>
      <c r="E34" s="29">
        <f t="shared" ref="E34:E40" si="13">D34/$D$48</f>
        <v>0.15526912358986766</v>
      </c>
      <c r="F34" s="28">
        <f t="shared" ref="F34:F39" si="14">C34-(C34*$E$6)</f>
        <v>20.793829833620357</v>
      </c>
      <c r="G34" s="27" t="str">
        <f t="shared" ref="G34:G39" si="15">IF(C34&gt;=F34,"-","+")</f>
        <v>+</v>
      </c>
      <c r="H34" s="26">
        <f t="shared" ref="H34:H39" si="16">C34*D34</f>
        <v>71046.849999999991</v>
      </c>
      <c r="I34" s="26">
        <f t="shared" ref="I34:I39" si="17">F34*D34</f>
        <v>72065.176054378069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>
        <v>241</v>
      </c>
      <c r="E35" s="29">
        <f t="shared" si="13"/>
        <v>1.0797200792093403E-2</v>
      </c>
      <c r="F35" s="28">
        <f t="shared" si="14"/>
        <v>16.026463969326908</v>
      </c>
      <c r="G35" s="27" t="str">
        <f t="shared" si="15"/>
        <v>+</v>
      </c>
      <c r="H35" s="26">
        <f t="shared" si="16"/>
        <v>3807.8</v>
      </c>
      <c r="I35" s="26">
        <f t="shared" si="17"/>
        <v>3862.377816607785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12.882031165218464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33.98016094762351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33.98016094762351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35.197360742762264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20.194418215663529</v>
      </c>
      <c r="D40" s="22">
        <f>SUM(D34:D39)</f>
        <v>3706.7</v>
      </c>
      <c r="E40" s="113">
        <f t="shared" si="13"/>
        <v>0.16606632438196106</v>
      </c>
      <c r="F40" s="20">
        <f>I40/D40</f>
        <v>20.483868095876616</v>
      </c>
      <c r="G40" s="19">
        <f>F40/C40-1</f>
        <v>1.4333162615627115E-2</v>
      </c>
      <c r="H40" s="18">
        <f>SUM(H34:H39)</f>
        <v>74854.649999999994</v>
      </c>
      <c r="I40" s="18">
        <f>SUM(I34:I39)</f>
        <v>75927.553870985852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1625.3+218.9+1662</f>
        <v>3506.2</v>
      </c>
      <c r="E42" s="107">
        <f>D42/$D$48</f>
        <v>0.15708359094289581</v>
      </c>
      <c r="F42" s="28">
        <f>C42-(C42*$E$6)</f>
        <v>0.50716658130781356</v>
      </c>
      <c r="G42" s="27" t="str">
        <f>IF(C42&gt;=F42,"-","+")</f>
        <v>+</v>
      </c>
      <c r="H42" s="26">
        <f>C42*D42</f>
        <v>1753.1</v>
      </c>
      <c r="I42" s="26">
        <f>F42*D42</f>
        <v>1778.2274673814559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136.5</v>
      </c>
      <c r="E43" s="107">
        <f>D43/$D$48</f>
        <v>6.1154270046504134E-3</v>
      </c>
      <c r="F43" s="28">
        <f>C43-(C43*$E$6)</f>
        <v>0.50716658130781356</v>
      </c>
      <c r="G43" s="27" t="str">
        <f>IF(C43&gt;=F43,"-","+")</f>
        <v>+</v>
      </c>
      <c r="H43" s="26">
        <f>C43*D43</f>
        <v>68.25</v>
      </c>
      <c r="I43" s="26">
        <f>F43*D43</f>
        <v>69.228238348516555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</v>
      </c>
      <c r="E44" s="107">
        <f>D44/$D$48</f>
        <v>1.3440498911319589E-4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6.9</v>
      </c>
      <c r="E45" s="107">
        <f>D45/$D$48</f>
        <v>3.0913147496035054E-4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0.49864480096369707</v>
      </c>
      <c r="D46" s="22">
        <f>SUM(D41:D45)</f>
        <v>3652.6</v>
      </c>
      <c r="E46" s="113">
        <f>D46/$D$48</f>
        <v>0.16364255441161976</v>
      </c>
      <c r="F46" s="20">
        <f>I46/D46</f>
        <v>0.50579195798334675</v>
      </c>
      <c r="G46" s="19">
        <f>F46/C46-1</f>
        <v>1.4333162615627115E-2</v>
      </c>
      <c r="H46" s="18">
        <f>SUM(H41:H44)</f>
        <v>1821.35</v>
      </c>
      <c r="I46" s="18">
        <f>SUM(I41:I44)</f>
        <v>1847.4557057299724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108.29482320131788</v>
      </c>
      <c r="D48" s="13">
        <f>D24+D32+D40+D46</f>
        <v>22320.6</v>
      </c>
      <c r="E48" s="12">
        <f>SUM(E20:E46)/2</f>
        <v>1.0000000000000002</v>
      </c>
      <c r="F48" s="11">
        <f>I48/D48</f>
        <v>28.917681601254277</v>
      </c>
      <c r="G48" s="10"/>
      <c r="H48" s="9">
        <f>SUM(H20:H46)/2</f>
        <v>636339.25000000012</v>
      </c>
      <c r="I48" s="9">
        <f>SUM(I20:I46)/2</f>
        <v>645460.00394895615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23318.999999999996</v>
      </c>
      <c r="E50" s="12">
        <f>D50/G2</f>
        <v>0.99999999999999989</v>
      </c>
      <c r="F50" s="11">
        <f>I50/D50</f>
        <v>29</v>
      </c>
      <c r="G50" s="10"/>
      <c r="H50" s="9">
        <f>H48+H19</f>
        <v>666695.15000000014</v>
      </c>
      <c r="I50" s="9">
        <f>I48+I19</f>
        <v>676250.99999999988</v>
      </c>
      <c r="J50" s="106">
        <f>D50-G2</f>
        <v>0</v>
      </c>
      <c r="K50" s="8"/>
    </row>
    <row r="51" spans="1:11" ht="23.25" x14ac:dyDescent="0.35">
      <c r="A51" s="174" t="s">
        <v>517</v>
      </c>
      <c r="B51" s="169"/>
      <c r="C51" s="170"/>
      <c r="G51" s="7"/>
      <c r="H51" s="6"/>
      <c r="I51" s="6">
        <f>+I50/D50</f>
        <v>29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tabColor rgb="FF92D050"/>
  </sheetPr>
  <dimension ref="A1:K56"/>
  <sheetViews>
    <sheetView workbookViewId="0">
      <selection activeCell="E4" sqref="E4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518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518</v>
      </c>
      <c r="D2" s="96" t="s">
        <v>3</v>
      </c>
      <c r="E2" s="95" t="s">
        <v>71</v>
      </c>
      <c r="F2" s="94" t="s">
        <v>5</v>
      </c>
      <c r="G2" s="93">
        <v>22358.400000000001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304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73.547368421052639</v>
      </c>
      <c r="F4" s="81" t="s">
        <v>12</v>
      </c>
      <c r="G4" s="80">
        <f>G2*G3</f>
        <v>653983.20000000007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-2.0633255529637573E-2</v>
      </c>
      <c r="F6" s="69" t="s">
        <v>16</v>
      </c>
      <c r="G6" s="68">
        <f>(I50-I19)/(D50-(SUM(D42:D44)+D19))</f>
        <v>34.533514737577526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29.904554387018383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>
        <v>664.3</v>
      </c>
      <c r="E11" s="29">
        <f t="shared" si="1"/>
        <v>0.29746552032957191</v>
      </c>
      <c r="F11" s="28">
        <f t="shared" si="2"/>
        <v>31.129314293653945</v>
      </c>
      <c r="G11" s="27" t="str">
        <f t="shared" si="3"/>
        <v>+</v>
      </c>
      <c r="H11" s="34">
        <f t="shared" si="4"/>
        <v>20261.149999999998</v>
      </c>
      <c r="I11" s="34">
        <f t="shared" si="5"/>
        <v>20679.203485274313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>
        <v>597.1</v>
      </c>
      <c r="E12" s="29">
        <f t="shared" si="1"/>
        <v>0.2673741715923339</v>
      </c>
      <c r="F12" s="28">
        <f t="shared" si="2"/>
        <v>28.373604503723925</v>
      </c>
      <c r="G12" s="27" t="str">
        <f t="shared" si="3"/>
        <v>+</v>
      </c>
      <c r="H12" s="34">
        <f t="shared" si="4"/>
        <v>16599.38</v>
      </c>
      <c r="I12" s="34">
        <f t="shared" si="5"/>
        <v>16941.879249173555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31.129314293653945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>
        <v>399.8</v>
      </c>
      <c r="E14" s="29">
        <f t="shared" si="1"/>
        <v>0.17902561346946089</v>
      </c>
      <c r="F14" s="28">
        <f t="shared" si="2"/>
        <v>34.803594013560641</v>
      </c>
      <c r="G14" s="27" t="str">
        <f t="shared" si="3"/>
        <v>+</v>
      </c>
      <c r="H14" s="34">
        <f t="shared" si="4"/>
        <v>13633.18</v>
      </c>
      <c r="I14" s="34">
        <f t="shared" si="5"/>
        <v>13914.476886621545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>
        <f t="shared" si="1"/>
        <v>0</v>
      </c>
      <c r="F15" s="28">
        <f t="shared" si="2"/>
        <v>28.679794480382817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>
        <v>323</v>
      </c>
      <c r="E16" s="29">
        <f t="shared" si="1"/>
        <v>0.14463550062690311</v>
      </c>
      <c r="F16" s="28">
        <f t="shared" si="2"/>
        <v>39.19231701233808</v>
      </c>
      <c r="G16" s="27" t="str">
        <f t="shared" si="3"/>
        <v>+</v>
      </c>
      <c r="H16" s="34">
        <f t="shared" si="4"/>
        <v>12403.199999999999</v>
      </c>
      <c r="I16" s="34">
        <f t="shared" si="5"/>
        <v>12659.1183949852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>
        <v>249</v>
      </c>
      <c r="E17" s="29">
        <f t="shared" si="1"/>
        <v>0.11149919398173026</v>
      </c>
      <c r="F17" s="28">
        <f t="shared" si="2"/>
        <v>57.767842262977489</v>
      </c>
      <c r="G17" s="27" t="str">
        <f t="shared" si="3"/>
        <v>+</v>
      </c>
      <c r="H17" s="34">
        <f t="shared" si="4"/>
        <v>14093.4</v>
      </c>
      <c r="I17" s="34">
        <f t="shared" si="5"/>
        <v>14384.192723481394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50.623409474270026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34.475331363066452</v>
      </c>
      <c r="D19" s="49">
        <f>SUM(D10:D18)</f>
        <v>2233.1999999999998</v>
      </c>
      <c r="E19" s="48">
        <f t="shared" si="1"/>
        <v>1</v>
      </c>
      <c r="F19" s="47">
        <f>I19/D19</f>
        <v>35.186669684549535</v>
      </c>
      <c r="G19" s="46">
        <f>F19/C19-1</f>
        <v>2.0633255529637795E-2</v>
      </c>
      <c r="H19" s="9">
        <f>SUM(H10:H18)</f>
        <v>76990.31</v>
      </c>
      <c r="I19" s="9">
        <f>SUM(I10:I18)</f>
        <v>78578.870739536011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197.6</v>
      </c>
      <c r="E21" s="29">
        <f>D21/$D$48</f>
        <v>9.8185359648599764E-3</v>
      </c>
      <c r="F21" s="28">
        <f>C21-(C21*$E$6)</f>
        <v>75.118607606981314</v>
      </c>
      <c r="G21" s="27" t="str">
        <f>IF(C21&gt;=F21,"-","+")</f>
        <v>+</v>
      </c>
      <c r="H21" s="26">
        <f>C21*D21</f>
        <v>14543.359999999999</v>
      </c>
      <c r="I21" s="26">
        <f>F21*D21</f>
        <v>14843.436863139506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441.3</v>
      </c>
      <c r="E22" s="29">
        <f>D22/$D$48</f>
        <v>2.1927732395206009E-2</v>
      </c>
      <c r="F22" s="28">
        <f>C22-(C22*$E$6)</f>
        <v>50.419282823164096</v>
      </c>
      <c r="G22" s="27" t="str">
        <f>IF(C22&gt;=F22,"-","+")</f>
        <v>+</v>
      </c>
      <c r="H22" s="26">
        <f>C22*D22</f>
        <v>21800.22</v>
      </c>
      <c r="I22" s="26">
        <f>F22*D22</f>
        <v>22250.029509862317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324.39999999999998</v>
      </c>
      <c r="E23" s="29">
        <f>D23/$D$48</f>
        <v>1.6119094468626399E-2</v>
      </c>
      <c r="F23" s="28">
        <f>C23-(C23*$E$6)</f>
        <v>45.928496498833688</v>
      </c>
      <c r="G23" s="27" t="str">
        <f>IF(C23&gt;=F23,"-","+")</f>
        <v>+</v>
      </c>
      <c r="H23" s="26">
        <f>C23*D23</f>
        <v>14597.999999999998</v>
      </c>
      <c r="I23" s="26">
        <f>F23*D23</f>
        <v>14899.204264221647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52.882362711512513</v>
      </c>
      <c r="D24" s="22">
        <f>SUM(D21:D23)</f>
        <v>963.3</v>
      </c>
      <c r="E24" s="21">
        <f>D24/$D$48</f>
        <v>4.786536282869238E-2</v>
      </c>
      <c r="F24" s="20">
        <f>I24/D24</f>
        <v>53.97349801435012</v>
      </c>
      <c r="G24" s="19">
        <f>F24/C24-1</f>
        <v>2.0633255529637351E-2</v>
      </c>
      <c r="H24" s="18">
        <f>SUM(H21:H23)</f>
        <v>50941.58</v>
      </c>
      <c r="I24" s="18">
        <f>SUM(I21:I23)</f>
        <v>51992.670637223469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93+3666</f>
        <v>3759</v>
      </c>
      <c r="E26" s="29">
        <f t="shared" ref="E26:E32" si="7">D26/$D$48</f>
        <v>0.18678075248941625</v>
      </c>
      <c r="F26" s="28">
        <f t="shared" ref="F26:F31" si="8">C26-(C26*$E$6)</f>
        <v>40.110886942314757</v>
      </c>
      <c r="G26" s="27" t="str">
        <f t="shared" ref="G26:G31" si="9">IF(C26&gt;=F26,"-","+")</f>
        <v>+</v>
      </c>
      <c r="H26" s="26">
        <f t="shared" ref="H26:H31" si="10">C26*D26</f>
        <v>147728.69999999998</v>
      </c>
      <c r="I26" s="26">
        <f t="shared" ref="I26:I31" si="11">F26*D26</f>
        <v>150776.82401616118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3191.1</v>
      </c>
      <c r="E27" s="29">
        <f t="shared" si="7"/>
        <v>0.15856239937988192</v>
      </c>
      <c r="F27" s="28">
        <f t="shared" si="8"/>
        <v>35.722163943537318</v>
      </c>
      <c r="G27" s="27" t="str">
        <f t="shared" si="9"/>
        <v>+</v>
      </c>
      <c r="H27" s="26">
        <f t="shared" si="10"/>
        <v>111688.5</v>
      </c>
      <c r="I27" s="26">
        <f t="shared" si="11"/>
        <v>113992.99736022193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1695.8</v>
      </c>
      <c r="E28" s="29">
        <f t="shared" si="7"/>
        <v>8.42625166457973E-2</v>
      </c>
      <c r="F28" s="28">
        <f t="shared" si="8"/>
        <v>35.722163943537318</v>
      </c>
      <c r="G28" s="27" t="str">
        <f t="shared" si="9"/>
        <v>+</v>
      </c>
      <c r="H28" s="26">
        <f t="shared" si="10"/>
        <v>59353</v>
      </c>
      <c r="I28" s="26">
        <f t="shared" si="11"/>
        <v>60577.645615450579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1811</v>
      </c>
      <c r="E29" s="29">
        <f t="shared" si="7"/>
        <v>8.9986683362152917E-2</v>
      </c>
      <c r="F29" s="28">
        <f t="shared" si="8"/>
        <v>34.497404036901749</v>
      </c>
      <c r="G29" s="27" t="str">
        <f t="shared" si="9"/>
        <v>+</v>
      </c>
      <c r="H29" s="26">
        <f t="shared" si="10"/>
        <v>61211.799999999996</v>
      </c>
      <c r="I29" s="26">
        <f t="shared" si="11"/>
        <v>62474.798710829069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1464.2</v>
      </c>
      <c r="E30" s="29">
        <f t="shared" si="7"/>
        <v>7.2754556476457372E-2</v>
      </c>
      <c r="F30" s="28">
        <f t="shared" si="8"/>
        <v>34.497404036901749</v>
      </c>
      <c r="G30" s="27" t="str">
        <f t="shared" si="9"/>
        <v>+</v>
      </c>
      <c r="H30" s="26">
        <f t="shared" si="10"/>
        <v>49489.96</v>
      </c>
      <c r="I30" s="26">
        <f t="shared" si="11"/>
        <v>50511.098990831539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339.1</v>
      </c>
      <c r="E31" s="29">
        <f t="shared" si="7"/>
        <v>1.6849521992328028E-2</v>
      </c>
      <c r="F31" s="28">
        <f t="shared" si="8"/>
        <v>35.109783990219533</v>
      </c>
      <c r="G31" s="27" t="str">
        <f t="shared" si="9"/>
        <v>+</v>
      </c>
      <c r="H31" s="26">
        <f t="shared" si="10"/>
        <v>11665.04</v>
      </c>
      <c r="I31" s="26">
        <f t="shared" si="11"/>
        <v>11905.727751083445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35.981223797327935</v>
      </c>
      <c r="D32" s="22">
        <f>SUM(D26:D31)</f>
        <v>12260.2</v>
      </c>
      <c r="E32" s="21">
        <f t="shared" si="7"/>
        <v>0.60919643034603388</v>
      </c>
      <c r="F32" s="20">
        <f>I32/D32</f>
        <v>36.723633582207277</v>
      </c>
      <c r="G32" s="19">
        <f>F32/C32-1</f>
        <v>2.0633255529637573E-2</v>
      </c>
      <c r="H32" s="18">
        <f>SUM(H26:H31)</f>
        <v>441136.99999999994</v>
      </c>
      <c r="I32" s="18">
        <f>SUM(I26:I31)</f>
        <v>450239.09244457766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f>1147.7+2055.2</f>
        <v>3202.8999999999996</v>
      </c>
      <c r="E34" s="29">
        <f t="shared" ref="E34:E40" si="13">D34/$D$48</f>
        <v>0.15914872895673085</v>
      </c>
      <c r="F34" s="28">
        <f t="shared" ref="F34:F39" si="14">C34-(C34*$E$6)</f>
        <v>21.127108389463498</v>
      </c>
      <c r="G34" s="27" t="str">
        <f t="shared" ref="G34:G39" si="15">IF(C34&gt;=F34,"-","+")</f>
        <v>+</v>
      </c>
      <c r="H34" s="26">
        <f t="shared" ref="H34:H39" si="16">C34*D34</f>
        <v>66300.029999999984</v>
      </c>
      <c r="I34" s="26">
        <f t="shared" ref="I34:I39" si="17">F34*D34</f>
        <v>67668.015460612631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230.3</v>
      </c>
      <c r="E35" s="29">
        <f t="shared" si="13"/>
        <v>1.1443364537992169E-2</v>
      </c>
      <c r="F35" s="28">
        <f t="shared" si="14"/>
        <v>16.228068762921239</v>
      </c>
      <c r="G35" s="27" t="str">
        <f t="shared" si="15"/>
        <v>+</v>
      </c>
      <c r="H35" s="26">
        <f t="shared" si="16"/>
        <v>3661.7700000000004</v>
      </c>
      <c r="I35" s="26">
        <f t="shared" si="17"/>
        <v>3737.3242361007615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13.064105670779362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34.497404036901749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34.497404036901749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35.722163943537318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20.378014680181753</v>
      </c>
      <c r="D40" s="22">
        <f>SUM(D34:D39)</f>
        <v>3433.2</v>
      </c>
      <c r="E40" s="113">
        <f t="shared" si="13"/>
        <v>0.17059209349472301</v>
      </c>
      <c r="F40" s="20">
        <f>I40/D40</f>
        <v>20.798479464264648</v>
      </c>
      <c r="G40" s="19">
        <f>F40/C40-1</f>
        <v>2.0633255529637573E-2</v>
      </c>
      <c r="H40" s="18">
        <f>SUM(H34:H39)</f>
        <v>69961.799999999988</v>
      </c>
      <c r="I40" s="18">
        <f>SUM(I34:I39)</f>
        <v>71405.339696713389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194.9+1493+1636</f>
        <v>3323.9</v>
      </c>
      <c r="E42" s="107">
        <f>D42/$D$48</f>
        <v>0.16516109156679187</v>
      </c>
      <c r="F42" s="28">
        <f>C42-(C42*$E$6)</f>
        <v>0.51031662776481879</v>
      </c>
      <c r="G42" s="27" t="str">
        <f>IF(C42&gt;=F42,"-","+")</f>
        <v>+</v>
      </c>
      <c r="H42" s="26">
        <f>C42*D42</f>
        <v>1661.95</v>
      </c>
      <c r="I42" s="26">
        <f>F42*D42</f>
        <v>1696.2414390274812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139.1</v>
      </c>
      <c r="E43" s="107">
        <f>D43/$D$48</f>
        <v>6.9117325542106412E-3</v>
      </c>
      <c r="F43" s="28">
        <f>C43-(C43*$E$6)</f>
        <v>0.51031662776481879</v>
      </c>
      <c r="G43" s="27" t="str">
        <f>IF(C43&gt;=F43,"-","+")</f>
        <v>+</v>
      </c>
      <c r="H43" s="26">
        <f>C43*D43</f>
        <v>69.55</v>
      </c>
      <c r="I43" s="26">
        <f>F43*D43</f>
        <v>70.985042922086294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5.5</v>
      </c>
      <c r="E45" s="107">
        <f>D45/$D$48</f>
        <v>2.7328920954822807E-4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0.49920715006486954</v>
      </c>
      <c r="D46" s="22">
        <f>SUM(D41:D45)</f>
        <v>3468.5</v>
      </c>
      <c r="E46" s="113">
        <f>D46/$D$48</f>
        <v>0.17234611333055075</v>
      </c>
      <c r="F46" s="20">
        <f>I46/D46</f>
        <v>0.5095074187543801</v>
      </c>
      <c r="G46" s="19">
        <f>F46/C46-1</f>
        <v>2.0633255529637573E-2</v>
      </c>
      <c r="H46" s="18">
        <f>SUM(H41:H44)</f>
        <v>1731.5</v>
      </c>
      <c r="I46" s="18">
        <f>SUM(I41:I44)</f>
        <v>1767.2264819495674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109.74080833908708</v>
      </c>
      <c r="D48" s="13">
        <f>D24+D32+D40+D46</f>
        <v>20125.2</v>
      </c>
      <c r="E48" s="12">
        <f>SUM(E20:E46)/2</f>
        <v>1</v>
      </c>
      <c r="F48" s="11">
        <f>I48/D48</f>
        <v>28.5912353298583</v>
      </c>
      <c r="G48" s="10"/>
      <c r="H48" s="9">
        <f>SUM(H20:H46)/2</f>
        <v>563771.88</v>
      </c>
      <c r="I48" s="9">
        <f>SUM(I20:I46)/2</f>
        <v>575404.32926046429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22358.400000000001</v>
      </c>
      <c r="E50" s="12">
        <f>D50/G2</f>
        <v>1</v>
      </c>
      <c r="F50" s="11">
        <f>I50/D50</f>
        <v>29.250000000000011</v>
      </c>
      <c r="G50" s="10"/>
      <c r="H50" s="9">
        <f>H48+H19</f>
        <v>640762.18999999994</v>
      </c>
      <c r="I50" s="9">
        <f>I48+I19</f>
        <v>653983.2000000003</v>
      </c>
      <c r="J50" s="106">
        <f>D50-G2</f>
        <v>0</v>
      </c>
      <c r="K50" s="8"/>
    </row>
    <row r="51" spans="1:11" ht="23.25" x14ac:dyDescent="0.35">
      <c r="A51" s="174" t="s">
        <v>519</v>
      </c>
      <c r="B51" s="169"/>
      <c r="C51" s="170"/>
      <c r="G51" s="7"/>
      <c r="H51" s="6"/>
      <c r="I51" s="6">
        <f>+I50/D50</f>
        <v>29.250000000000011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518</v>
      </c>
      <c r="D1" s="100" t="s">
        <v>1</v>
      </c>
      <c r="E1" s="168" t="s">
        <v>464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518</v>
      </c>
      <c r="D2" s="96" t="s">
        <v>3</v>
      </c>
      <c r="E2" s="95" t="s">
        <v>112</v>
      </c>
      <c r="F2" s="94" t="s">
        <v>5</v>
      </c>
      <c r="G2" s="93">
        <f>3131+220.2+444.3+525.9</f>
        <v>4321.3999999999996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/>
      <c r="F3" s="88" t="s">
        <v>8</v>
      </c>
      <c r="G3" s="87">
        <v>24.83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 t="e">
        <f>G2/E3</f>
        <v>#DIV/0!</v>
      </c>
      <c r="F4" s="81" t="s">
        <v>12</v>
      </c>
      <c r="G4" s="80">
        <f>G2*G3</f>
        <v>107300.36199999998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-0.11140211863809846</v>
      </c>
      <c r="F6" s="69" t="s">
        <v>16</v>
      </c>
      <c r="G6" s="68">
        <f>(I50-I19)/(D50-(SUM(D42:D44)+D19))</f>
        <v>32.097987376230201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24.8</v>
      </c>
      <c r="D10" s="30"/>
      <c r="E10" s="29" t="e">
        <f t="shared" ref="E10:E19" si="1">D10/$D$19</f>
        <v>#DIV/0!</v>
      </c>
      <c r="F10" s="28">
        <f t="shared" ref="F10:F18" si="2">C10-(C10*$E$6)</f>
        <v>27.562772542224842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25.9</v>
      </c>
      <c r="D11" s="30"/>
      <c r="E11" s="29" t="e">
        <f t="shared" si="1"/>
        <v>#DIV/0!</v>
      </c>
      <c r="F11" s="28">
        <f t="shared" si="2"/>
        <v>28.785314872726747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23.6</v>
      </c>
      <c r="D12" s="30"/>
      <c r="E12" s="29" t="e">
        <f t="shared" si="1"/>
        <v>#DIV/0!</v>
      </c>
      <c r="F12" s="28">
        <f t="shared" si="2"/>
        <v>26.229089999859127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25.9</v>
      </c>
      <c r="D13" s="30"/>
      <c r="E13" s="29" t="e">
        <f t="shared" si="1"/>
        <v>#DIV/0!</v>
      </c>
      <c r="F13" s="28">
        <f t="shared" si="2"/>
        <v>28.785314872726747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28.9</v>
      </c>
      <c r="D14" s="30"/>
      <c r="E14" s="29" t="e">
        <f t="shared" si="1"/>
        <v>#DIV/0!</v>
      </c>
      <c r="F14" s="28">
        <f t="shared" si="2"/>
        <v>32.119521228641041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23.8</v>
      </c>
      <c r="D15" s="30"/>
      <c r="E15" s="29" t="e">
        <f t="shared" si="1"/>
        <v>#DIV/0!</v>
      </c>
      <c r="F15" s="28">
        <f t="shared" si="2"/>
        <v>26.451370423586745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32.6</v>
      </c>
      <c r="D16" s="30"/>
      <c r="E16" s="29" t="e">
        <f t="shared" si="1"/>
        <v>#DIV/0!</v>
      </c>
      <c r="F16" s="28">
        <f t="shared" si="2"/>
        <v>36.231709067602011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</v>
      </c>
      <c r="D17" s="30"/>
      <c r="E17" s="29" t="e">
        <f t="shared" si="1"/>
        <v>#DIV/0!</v>
      </c>
      <c r="F17" s="28">
        <f t="shared" si="2"/>
        <v>53.347301694628726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42.1</v>
      </c>
      <c r="D18" s="30"/>
      <c r="E18" s="29" t="e">
        <f t="shared" si="1"/>
        <v>#DIV/0!</v>
      </c>
      <c r="F18" s="28">
        <f t="shared" si="2"/>
        <v>46.790029194663944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62.4</v>
      </c>
      <c r="D21" s="30">
        <v>51</v>
      </c>
      <c r="E21" s="29">
        <f>D21/$D$48</f>
        <v>1.1801730920535011E-2</v>
      </c>
      <c r="F21" s="28">
        <f>C21-(C21*$E$6)</f>
        <v>69.351492203017344</v>
      </c>
      <c r="G21" s="27" t="str">
        <f>IF(C21&gt;=F21,"-","+")</f>
        <v>+</v>
      </c>
      <c r="H21" s="26">
        <f>C21*D21</f>
        <v>3182.4</v>
      </c>
      <c r="I21" s="26">
        <f>F21*D21</f>
        <v>3536.9261023538847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41.9</v>
      </c>
      <c r="D22" s="30">
        <v>105</v>
      </c>
      <c r="E22" s="29">
        <f>D22/$D$48</f>
        <v>2.4297681306983846E-2</v>
      </c>
      <c r="F22" s="28">
        <f>C22-(C22*$E$6)</f>
        <v>46.567748770936326</v>
      </c>
      <c r="G22" s="27" t="str">
        <f>IF(C22&gt;=F22,"-","+")</f>
        <v>+</v>
      </c>
      <c r="H22" s="26">
        <f>C22*D22</f>
        <v>4399.5</v>
      </c>
      <c r="I22" s="26">
        <f>F22*D22</f>
        <v>4889.6136209483138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38.200000000000003</v>
      </c>
      <c r="D23" s="30">
        <v>86.5</v>
      </c>
      <c r="E23" s="29">
        <f>D23/$D$48</f>
        <v>2.0016661267181931E-2</v>
      </c>
      <c r="F23" s="28">
        <f>C23-(C23*$E$6)</f>
        <v>42.455560931975363</v>
      </c>
      <c r="G23" s="27" t="str">
        <f>IF(C23&gt;=F23,"-","+")</f>
        <v>+</v>
      </c>
      <c r="H23" s="26">
        <f>C23*D23</f>
        <v>3304.3</v>
      </c>
      <c r="I23" s="26">
        <f>F23*D23</f>
        <v>3672.4060206158688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44.891546391752577</v>
      </c>
      <c r="D24" s="22">
        <f>SUM(D21:D23)</f>
        <v>242.5</v>
      </c>
      <c r="E24" s="21">
        <f>D24/$D$48</f>
        <v>5.6116073494700783E-2</v>
      </c>
      <c r="F24" s="20">
        <f>I24/D24</f>
        <v>49.892559768734294</v>
      </c>
      <c r="G24" s="19">
        <f>F24/C24-1</f>
        <v>0.11140211863809846</v>
      </c>
      <c r="H24" s="18">
        <f>SUM(H21:H23)</f>
        <v>10886.2</v>
      </c>
      <c r="I24" s="18">
        <f>SUM(I21:I23)</f>
        <v>12098.945743918066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33.299999999999997</v>
      </c>
      <c r="D26" s="30">
        <v>852.7</v>
      </c>
      <c r="E26" s="29">
        <f t="shared" ref="E26:E32" si="7">D26/$D$48</f>
        <v>0.19732031286157262</v>
      </c>
      <c r="F26" s="28">
        <f t="shared" ref="F26:F31" si="8">C26-(C26*$E$6)</f>
        <v>37.009690550648678</v>
      </c>
      <c r="G26" s="27" t="str">
        <f t="shared" ref="G26:G31" si="9">IF(C26&gt;=F26,"-","+")</f>
        <v>+</v>
      </c>
      <c r="H26" s="26">
        <f t="shared" ref="H26:H31" si="10">C26*D26</f>
        <v>28394.91</v>
      </c>
      <c r="I26" s="26">
        <f t="shared" ref="I26:I31" si="11">F26*D26</f>
        <v>31558.163132538128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29.7</v>
      </c>
      <c r="D27" s="30">
        <v>621</v>
      </c>
      <c r="E27" s="29">
        <f t="shared" si="7"/>
        <v>0.14370342944416159</v>
      </c>
      <c r="F27" s="28">
        <f t="shared" si="8"/>
        <v>33.00864292355152</v>
      </c>
      <c r="G27" s="27" t="str">
        <f t="shared" si="9"/>
        <v>+</v>
      </c>
      <c r="H27" s="26">
        <f t="shared" si="10"/>
        <v>18443.7</v>
      </c>
      <c r="I27" s="26">
        <f t="shared" si="11"/>
        <v>20498.367255525493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29.7</v>
      </c>
      <c r="D28" s="30">
        <v>306.60000000000002</v>
      </c>
      <c r="E28" s="29">
        <f t="shared" si="7"/>
        <v>7.0949229416392826E-2</v>
      </c>
      <c r="F28" s="28">
        <f t="shared" si="8"/>
        <v>33.00864292355152</v>
      </c>
      <c r="G28" s="27" t="str">
        <f t="shared" si="9"/>
        <v>+</v>
      </c>
      <c r="H28" s="26">
        <f t="shared" si="10"/>
        <v>9106.02</v>
      </c>
      <c r="I28" s="26">
        <f t="shared" si="11"/>
        <v>10120.449920360898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28.7</v>
      </c>
      <c r="D29" s="30">
        <v>278.5</v>
      </c>
      <c r="E29" s="29">
        <f t="shared" si="7"/>
        <v>6.4446707085666674E-2</v>
      </c>
      <c r="F29" s="28">
        <f t="shared" si="8"/>
        <v>31.897240804913423</v>
      </c>
      <c r="G29" s="27" t="str">
        <f t="shared" si="9"/>
        <v>+</v>
      </c>
      <c r="H29" s="26">
        <f t="shared" si="10"/>
        <v>7992.95</v>
      </c>
      <c r="I29" s="26">
        <f t="shared" si="11"/>
        <v>8883.3815641683886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28.7</v>
      </c>
      <c r="D30" s="30">
        <v>242.8</v>
      </c>
      <c r="E30" s="29">
        <f t="shared" si="7"/>
        <v>5.6185495441292171E-2</v>
      </c>
      <c r="F30" s="28">
        <f t="shared" si="8"/>
        <v>31.897240804913423</v>
      </c>
      <c r="G30" s="27" t="str">
        <f t="shared" si="9"/>
        <v>+</v>
      </c>
      <c r="H30" s="26">
        <f t="shared" si="10"/>
        <v>6968.3600000000006</v>
      </c>
      <c r="I30" s="26">
        <f t="shared" si="11"/>
        <v>7744.6500674329791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29.2</v>
      </c>
      <c r="D31" s="30">
        <v>62</v>
      </c>
      <c r="E31" s="29">
        <f t="shared" si="7"/>
        <v>1.4347202295552365E-2</v>
      </c>
      <c r="F31" s="28">
        <f t="shared" si="8"/>
        <v>32.452941864232471</v>
      </c>
      <c r="G31" s="27" t="str">
        <f t="shared" si="9"/>
        <v>+</v>
      </c>
      <c r="H31" s="26">
        <f t="shared" si="10"/>
        <v>1810.3999999999999</v>
      </c>
      <c r="I31" s="26">
        <f t="shared" si="11"/>
        <v>2012.0823955824133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30.765078693518355</v>
      </c>
      <c r="D32" s="22">
        <f>SUM(D26:D31)</f>
        <v>2363.6000000000004</v>
      </c>
      <c r="E32" s="21">
        <f t="shared" si="7"/>
        <v>0.54695237654463835</v>
      </c>
      <c r="F32" s="20">
        <f>I32/D32</f>
        <v>34.192373640044124</v>
      </c>
      <c r="G32" s="19">
        <f>F32/C32-1</f>
        <v>0.11140211863809846</v>
      </c>
      <c r="H32" s="18">
        <f>SUM(H26:H31)</f>
        <v>72716.34</v>
      </c>
      <c r="I32" s="18">
        <f>SUM(I26:I31)</f>
        <v>80817.094335608301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17.5</v>
      </c>
      <c r="D34" s="30">
        <f>361.4+310.6</f>
        <v>672</v>
      </c>
      <c r="E34" s="29">
        <f t="shared" ref="E34:E40" si="13">D34/$D$48</f>
        <v>0.15550516036469661</v>
      </c>
      <c r="F34" s="28">
        <f t="shared" ref="F34:F39" si="14">C34-(C34*$E$6)</f>
        <v>19.449537076166724</v>
      </c>
      <c r="G34" s="27" t="str">
        <f t="shared" ref="G34:G39" si="15">IF(C34&gt;=F34,"-","+")</f>
        <v>+</v>
      </c>
      <c r="H34" s="26">
        <f t="shared" ref="H34:H39" si="16">C34*D34</f>
        <v>11760</v>
      </c>
      <c r="I34" s="26">
        <f t="shared" ref="I34:I39" si="17">F34*D34</f>
        <v>13070.088915184038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13.5</v>
      </c>
      <c r="D35" s="30">
        <v>58.6</v>
      </c>
      <c r="E35" s="29">
        <f t="shared" si="13"/>
        <v>1.3560420234183366E-2</v>
      </c>
      <c r="F35" s="28">
        <f t="shared" si="14"/>
        <v>15.00392860161433</v>
      </c>
      <c r="G35" s="27" t="str">
        <f t="shared" si="15"/>
        <v>+</v>
      </c>
      <c r="H35" s="26">
        <f t="shared" si="16"/>
        <v>791.1</v>
      </c>
      <c r="I35" s="26">
        <f t="shared" si="17"/>
        <v>879.23021605459974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12.003142881291463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28.7</v>
      </c>
      <c r="D37" s="30"/>
      <c r="E37" s="29">
        <f t="shared" si="13"/>
        <v>0</v>
      </c>
      <c r="F37" s="28">
        <f t="shared" si="14"/>
        <v>31.897240804913423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28.7</v>
      </c>
      <c r="D38" s="30"/>
      <c r="E38" s="29">
        <f t="shared" si="13"/>
        <v>0</v>
      </c>
      <c r="F38" s="28">
        <f t="shared" si="14"/>
        <v>31.897240804913423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29.7</v>
      </c>
      <c r="D39" s="30"/>
      <c r="E39" s="29">
        <f t="shared" si="13"/>
        <v>0</v>
      </c>
      <c r="F39" s="28">
        <f t="shared" si="14"/>
        <v>33.00864292355152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17.179167807281686</v>
      </c>
      <c r="D40" s="22">
        <f>SUM(D34:D39)</f>
        <v>730.6</v>
      </c>
      <c r="E40" s="113">
        <f t="shared" si="13"/>
        <v>0.16906558059887997</v>
      </c>
      <c r="F40" s="20">
        <f>I40/D40</f>
        <v>19.092963497452285</v>
      </c>
      <c r="G40" s="19">
        <f>F40/C40-1</f>
        <v>0.11140211863809868</v>
      </c>
      <c r="H40" s="18">
        <f>SUM(H34:H39)</f>
        <v>12551.1</v>
      </c>
      <c r="I40" s="18">
        <f>SUM(I34:I39)</f>
        <v>13949.319131238639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461+49.1+429.3</f>
        <v>939.40000000000009</v>
      </c>
      <c r="E42" s="107">
        <f>D42/$D$48</f>
        <v>0.21738325542648215</v>
      </c>
      <c r="F42" s="28">
        <f>C42-(C42*$E$6)</f>
        <v>0.44456084745523938</v>
      </c>
      <c r="G42" s="27" t="str">
        <f>IF(C42&gt;=F42,"-","+")</f>
        <v>+</v>
      </c>
      <c r="H42" s="26">
        <f>C42*D42</f>
        <v>375.76000000000005</v>
      </c>
      <c r="I42" s="26">
        <f>F42*D42</f>
        <v>417.62046009945192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39.1</v>
      </c>
      <c r="E43" s="107">
        <f>D43/$D$48</f>
        <v>9.0479937057435077E-3</v>
      </c>
      <c r="F43" s="28">
        <f>C43-(C43*$E$6)</f>
        <v>0.44456084745523938</v>
      </c>
      <c r="G43" s="27" t="str">
        <f>IF(C43&gt;=F43,"-","+")</f>
        <v>+</v>
      </c>
      <c r="H43" s="26">
        <f>C43*D43</f>
        <v>15.64</v>
      </c>
      <c r="I43" s="26">
        <f>F43*D43</f>
        <v>17.382329135499859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6.2</v>
      </c>
      <c r="E45" s="107">
        <f>D45/$D$48</f>
        <v>1.4347202295552366E-3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0.39748146643647808</v>
      </c>
      <c r="D46" s="22">
        <f>SUM(D41:D45)</f>
        <v>984.70000000000016</v>
      </c>
      <c r="E46" s="113">
        <f>D46/$D$48</f>
        <v>0.22786596936178091</v>
      </c>
      <c r="F46" s="20">
        <f>I46/D46</f>
        <v>0.44176174391687995</v>
      </c>
      <c r="G46" s="19">
        <f>F46/C46-1</f>
        <v>0.11140211863809846</v>
      </c>
      <c r="H46" s="18">
        <f>SUM(H41:H44)</f>
        <v>391.40000000000003</v>
      </c>
      <c r="I46" s="18">
        <f>SUM(I41:I44)</f>
        <v>435.00278923495176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93.233274358989092</v>
      </c>
      <c r="D48" s="13">
        <f>D24+D32+D40+D46</f>
        <v>4321.4000000000005</v>
      </c>
      <c r="E48" s="12">
        <f>SUM(E20:E46)/2</f>
        <v>0.99999999999999989</v>
      </c>
      <c r="F48" s="11">
        <f>I48/D48</f>
        <v>24.829999999999984</v>
      </c>
      <c r="G48" s="10"/>
      <c r="H48" s="9">
        <f>SUM(H20:H46)/2</f>
        <v>96545.040000000008</v>
      </c>
      <c r="I48" s="9">
        <f>SUM(I20:I46)/2</f>
        <v>107300.36199999995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4321.4000000000005</v>
      </c>
      <c r="E50" s="12">
        <f>D50/G2</f>
        <v>1.0000000000000002</v>
      </c>
      <c r="F50" s="11">
        <f>I50/D50</f>
        <v>24.829999999999984</v>
      </c>
      <c r="G50" s="10"/>
      <c r="H50" s="9">
        <f>H48+H19</f>
        <v>96545.040000000008</v>
      </c>
      <c r="I50" s="9">
        <f>I48+I19</f>
        <v>107300.36199999995</v>
      </c>
      <c r="J50" s="106">
        <f>D50-G2</f>
        <v>0</v>
      </c>
      <c r="K50" s="8"/>
    </row>
    <row r="51" spans="1:11" ht="23.25" x14ac:dyDescent="0.35">
      <c r="A51" s="174" t="s">
        <v>520</v>
      </c>
      <c r="B51" s="169"/>
      <c r="C51" s="170"/>
      <c r="G51" s="7"/>
      <c r="H51" s="6"/>
      <c r="I51" s="6">
        <f>+I50/D50</f>
        <v>24.829999999999984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513</v>
      </c>
      <c r="D1" s="100" t="s">
        <v>1</v>
      </c>
      <c r="E1" s="168" t="s">
        <v>451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518</v>
      </c>
      <c r="D2" s="96" t="s">
        <v>3</v>
      </c>
      <c r="E2" s="95" t="s">
        <v>112</v>
      </c>
      <c r="F2" s="94" t="s">
        <v>5</v>
      </c>
      <c r="G2" s="93">
        <v>8951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452</v>
      </c>
      <c r="D3" s="90" t="s">
        <v>7</v>
      </c>
      <c r="E3" s="89"/>
      <c r="F3" s="88" t="s">
        <v>8</v>
      </c>
      <c r="G3" s="87">
        <v>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 t="e">
        <f>G2/E3</f>
        <v>#DIV/0!</v>
      </c>
      <c r="F4" s="81" t="s">
        <v>12</v>
      </c>
      <c r="G4" s="80">
        <f>G2*G3</f>
        <v>232726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-6.2012647353764105E-2</v>
      </c>
      <c r="F6" s="69" t="s">
        <v>16</v>
      </c>
      <c r="G6" s="68">
        <f>(I50-I19)/(D50-(SUM(D42:D44)+D19))</f>
        <v>32.378193412205718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>
        <f t="shared" ref="E10:E19" si="1">D10/$D$19</f>
        <v>0</v>
      </c>
      <c r="F10" s="28">
        <f t="shared" ref="F10:F18" si="2">C10-(C10*$E$6)</f>
        <v>27.612328831197868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/>
      <c r="E11" s="29">
        <f t="shared" si="1"/>
        <v>0</v>
      </c>
      <c r="F11" s="28">
        <f t="shared" si="2"/>
        <v>28.780542743287008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>
        <f t="shared" si="1"/>
        <v>0</v>
      </c>
      <c r="F12" s="28">
        <f t="shared" si="2"/>
        <v>26.231712389637973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>
        <f t="shared" si="1"/>
        <v>0</v>
      </c>
      <c r="F13" s="28">
        <f t="shared" si="2"/>
        <v>28.780542743287008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>
        <f t="shared" si="1"/>
        <v>0</v>
      </c>
      <c r="F14" s="28">
        <f t="shared" si="2"/>
        <v>32.178983214819056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>
        <f t="shared" si="1"/>
        <v>0</v>
      </c>
      <c r="F15" s="28">
        <f t="shared" si="2"/>
        <v>26.550316183844103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>
        <v>25</v>
      </c>
      <c r="E16" s="29">
        <f t="shared" si="1"/>
        <v>0.4098360655737705</v>
      </c>
      <c r="F16" s="28">
        <f t="shared" si="2"/>
        <v>36.320832539498738</v>
      </c>
      <c r="G16" s="27" t="str">
        <f t="shared" si="3"/>
        <v>+</v>
      </c>
      <c r="H16" s="34">
        <f t="shared" si="4"/>
        <v>855.00000000000011</v>
      </c>
      <c r="I16" s="34">
        <f t="shared" si="5"/>
        <v>908.02081348746844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>
        <v>36</v>
      </c>
      <c r="E17" s="29">
        <f t="shared" si="1"/>
        <v>0.5901639344262295</v>
      </c>
      <c r="F17" s="28">
        <f t="shared" si="2"/>
        <v>53.419236161894332</v>
      </c>
      <c r="G17" s="27" t="str">
        <f t="shared" si="3"/>
        <v>+</v>
      </c>
      <c r="H17" s="34">
        <f t="shared" si="4"/>
        <v>1810.8</v>
      </c>
      <c r="I17" s="34">
        <f t="shared" si="5"/>
        <v>1923.092501828196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>
        <f t="shared" si="1"/>
        <v>0</v>
      </c>
      <c r="F18" s="28">
        <f t="shared" si="2"/>
        <v>46.728556483565619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43.701639344262297</v>
      </c>
      <c r="D19" s="49">
        <f>SUM(D10:D18)</f>
        <v>61</v>
      </c>
      <c r="E19" s="48">
        <f t="shared" si="1"/>
        <v>1</v>
      </c>
      <c r="F19" s="47">
        <f>I19/D19</f>
        <v>46.411693693699412</v>
      </c>
      <c r="G19" s="46">
        <f>F19/C19-1</f>
        <v>6.2012647353763883E-2</v>
      </c>
      <c r="H19" s="9">
        <f>SUM(H10:H18)</f>
        <v>2665.8</v>
      </c>
      <c r="I19" s="9">
        <f>SUM(I10:I18)</f>
        <v>2831.1133153156643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102.1</v>
      </c>
      <c r="E21" s="29">
        <f>D21/$D$48</f>
        <v>1.1484814398200224E-2</v>
      </c>
      <c r="F21" s="28">
        <f>C21-(C21*$E$6)</f>
        <v>69.455627136936172</v>
      </c>
      <c r="G21" s="27" t="str">
        <f>IF(C21&gt;=F21,"-","+")</f>
        <v>+</v>
      </c>
      <c r="H21" s="26">
        <f>C21*D21</f>
        <v>6677.34</v>
      </c>
      <c r="I21" s="26">
        <f>F21*D21</f>
        <v>7091.4195306811826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220.5</v>
      </c>
      <c r="E22" s="29">
        <f>D22/$D$48</f>
        <v>2.4803149606299212E-2</v>
      </c>
      <c r="F22" s="28">
        <f>C22-(C22*$E$6)</f>
        <v>46.622355218830243</v>
      </c>
      <c r="G22" s="27" t="str">
        <f>IF(C22&gt;=F22,"-","+")</f>
        <v>+</v>
      </c>
      <c r="H22" s="26">
        <f>C22*D22</f>
        <v>9679.9499999999989</v>
      </c>
      <c r="I22" s="26">
        <f>F22*D22</f>
        <v>10280.229325752069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171</v>
      </c>
      <c r="E23" s="29">
        <f>D23/$D$48</f>
        <v>1.923509561304837E-2</v>
      </c>
      <c r="F23" s="28">
        <f>C23-(C23*$E$6)</f>
        <v>42.480505894150568</v>
      </c>
      <c r="G23" s="27" t="str">
        <f>IF(C23&gt;=F23,"-","+")</f>
        <v>+</v>
      </c>
      <c r="H23" s="26">
        <f>C23*D23</f>
        <v>6840</v>
      </c>
      <c r="I23" s="26">
        <f>F23*D23</f>
        <v>7264.1665078997466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46.996130470016205</v>
      </c>
      <c r="D24" s="22">
        <f>SUM(D21:D23)</f>
        <v>493.6</v>
      </c>
      <c r="E24" s="21">
        <f>D24/$D$48</f>
        <v>5.5523059617547811E-2</v>
      </c>
      <c r="F24" s="20">
        <f>I24/D24</f>
        <v>49.910484935844806</v>
      </c>
      <c r="G24" s="19">
        <f>F24/C24-1</f>
        <v>6.2012647353764105E-2</v>
      </c>
      <c r="H24" s="18">
        <f>SUM(H21:H23)</f>
        <v>23197.29</v>
      </c>
      <c r="I24" s="18">
        <f>SUM(I21:I23)</f>
        <v>24635.815364332997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v>1702</v>
      </c>
      <c r="E26" s="29">
        <f t="shared" ref="E26:E32" si="7">D26/$D$48</f>
        <v>0.19145106861642294</v>
      </c>
      <c r="F26" s="28">
        <f t="shared" ref="F26:F31" si="8">C26-(C26*$E$6)</f>
        <v>37.064241392646366</v>
      </c>
      <c r="G26" s="27" t="str">
        <f t="shared" ref="G26:G31" si="9">IF(C26&gt;=F26,"-","+")</f>
        <v>+</v>
      </c>
      <c r="H26" s="26">
        <f t="shared" ref="H26:H31" si="10">C26*D26</f>
        <v>59399.799999999996</v>
      </c>
      <c r="I26" s="26">
        <f t="shared" ref="I26:I31" si="11">F26*D26</f>
        <v>63083.338850284112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1373</v>
      </c>
      <c r="E27" s="29">
        <f t="shared" si="7"/>
        <v>0.1544431946006749</v>
      </c>
      <c r="F27" s="28">
        <f t="shared" si="8"/>
        <v>33.028593332702066</v>
      </c>
      <c r="G27" s="27" t="str">
        <f t="shared" si="9"/>
        <v>+</v>
      </c>
      <c r="H27" s="26">
        <f t="shared" si="10"/>
        <v>42700.3</v>
      </c>
      <c r="I27" s="26">
        <f t="shared" si="11"/>
        <v>45348.258645799935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711.8</v>
      </c>
      <c r="E28" s="29">
        <f t="shared" si="7"/>
        <v>8.0067491563554555E-2</v>
      </c>
      <c r="F28" s="28">
        <f t="shared" si="8"/>
        <v>33.028593332702066</v>
      </c>
      <c r="G28" s="27" t="str">
        <f t="shared" si="9"/>
        <v>+</v>
      </c>
      <c r="H28" s="26">
        <f t="shared" si="10"/>
        <v>22136.98</v>
      </c>
      <c r="I28" s="26">
        <f t="shared" si="11"/>
        <v>23509.752734217331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794.3</v>
      </c>
      <c r="E29" s="29">
        <f t="shared" si="7"/>
        <v>8.934758155230596E-2</v>
      </c>
      <c r="F29" s="28">
        <f t="shared" si="8"/>
        <v>31.860379420612922</v>
      </c>
      <c r="G29" s="27" t="str">
        <f t="shared" si="9"/>
        <v>+</v>
      </c>
      <c r="H29" s="26">
        <f t="shared" si="10"/>
        <v>23829</v>
      </c>
      <c r="I29" s="26">
        <f t="shared" si="11"/>
        <v>25306.699373792842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524</v>
      </c>
      <c r="E30" s="29">
        <f t="shared" si="7"/>
        <v>5.8942632170978629E-2</v>
      </c>
      <c r="F30" s="28">
        <f t="shared" si="8"/>
        <v>31.860379420612922</v>
      </c>
      <c r="G30" s="27" t="str">
        <f t="shared" si="9"/>
        <v>+</v>
      </c>
      <c r="H30" s="26">
        <f t="shared" si="10"/>
        <v>15720</v>
      </c>
      <c r="I30" s="26">
        <f t="shared" si="11"/>
        <v>16694.83881640117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141.30000000000001</v>
      </c>
      <c r="E31" s="29">
        <f t="shared" si="7"/>
        <v>1.5894263217097863E-2</v>
      </c>
      <c r="F31" s="28">
        <f t="shared" si="8"/>
        <v>32.497587009025182</v>
      </c>
      <c r="G31" s="27" t="str">
        <f t="shared" si="9"/>
        <v>+</v>
      </c>
      <c r="H31" s="26">
        <f t="shared" si="10"/>
        <v>4323.7800000000007</v>
      </c>
      <c r="I31" s="26">
        <f t="shared" si="11"/>
        <v>4591.9090443752584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32.042897987191218</v>
      </c>
      <c r="D32" s="22">
        <f>SUM(D26:D31)</f>
        <v>5246.4000000000005</v>
      </c>
      <c r="E32" s="21">
        <f t="shared" si="7"/>
        <v>0.59014623172103498</v>
      </c>
      <c r="F32" s="20">
        <f>I32/D32</f>
        <v>34.029962920263543</v>
      </c>
      <c r="G32" s="19">
        <f>F32/C32-1</f>
        <v>6.2012647353764105E-2</v>
      </c>
      <c r="H32" s="18">
        <f>SUM(H26:H31)</f>
        <v>168109.86000000002</v>
      </c>
      <c r="I32" s="18">
        <f>SUM(I26:I31)</f>
        <v>178534.79746487067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f>617.5+625.3</f>
        <v>1242.8</v>
      </c>
      <c r="E34" s="29">
        <f t="shared" ref="E34:E40" si="13">D34/$D$48</f>
        <v>0.13979752530933634</v>
      </c>
      <c r="F34" s="28">
        <f t="shared" ref="F34:F39" si="14">C34-(C34*$E$6)</f>
        <v>19.541032711309256</v>
      </c>
      <c r="G34" s="27" t="str">
        <f t="shared" ref="G34:G39" si="15">IF(C34&gt;=F34,"-","+")</f>
        <v>+</v>
      </c>
      <c r="H34" s="26">
        <f t="shared" ref="H34:H39" si="16">C34*D34</f>
        <v>22867.519999999997</v>
      </c>
      <c r="I34" s="26">
        <f t="shared" ref="I34:I39" si="17">F34*D34</f>
        <v>24285.595453615144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112.4</v>
      </c>
      <c r="E35" s="29">
        <f t="shared" si="13"/>
        <v>1.2643419572553431E-2</v>
      </c>
      <c r="F35" s="28">
        <f t="shared" si="14"/>
        <v>14.974378327688074</v>
      </c>
      <c r="G35" s="27" t="str">
        <f t="shared" si="15"/>
        <v>+</v>
      </c>
      <c r="H35" s="26">
        <f t="shared" si="16"/>
        <v>1584.8400000000001</v>
      </c>
      <c r="I35" s="26">
        <f t="shared" si="17"/>
        <v>1683.1201240321395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12.106944179832912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31.860379420612922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31.860379420612922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33.028593332702066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18.043358913813456</v>
      </c>
      <c r="D40" s="22">
        <f>SUM(D34:D39)</f>
        <v>1355.2</v>
      </c>
      <c r="E40" s="113">
        <f t="shared" si="13"/>
        <v>0.15244094488188978</v>
      </c>
      <c r="F40" s="20">
        <f>I40/D40</f>
        <v>19.162275367213166</v>
      </c>
      <c r="G40" s="19">
        <f>F40/C40-1</f>
        <v>6.2012647353764105E-2</v>
      </c>
      <c r="H40" s="18">
        <f>SUM(H34:H39)</f>
        <v>24452.359999999997</v>
      </c>
      <c r="I40" s="18">
        <f>SUM(I34:I39)</f>
        <v>25968.715577647283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828+100.5+796.3</f>
        <v>1724.8</v>
      </c>
      <c r="E42" s="107">
        <f>D42/$D$48</f>
        <v>0.19401574803149607</v>
      </c>
      <c r="F42" s="28">
        <f>C42-(C42*$E$6)</f>
        <v>0.42480505894150566</v>
      </c>
      <c r="G42" s="27" t="str">
        <f>IF(C42&gt;=F42,"-","+")</f>
        <v>+</v>
      </c>
      <c r="H42" s="26">
        <f>C42*D42</f>
        <v>689.92000000000007</v>
      </c>
      <c r="I42" s="26">
        <f>F42*D42</f>
        <v>732.70376566230891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53.8</v>
      </c>
      <c r="E43" s="107">
        <f>D43/$D$48</f>
        <v>6.0517435320584919E-3</v>
      </c>
      <c r="F43" s="28">
        <f>C43-(C43*$E$6)</f>
        <v>0.42480505894150566</v>
      </c>
      <c r="G43" s="27" t="str">
        <f>IF(C43&gt;=F43,"-","+")</f>
        <v>+</v>
      </c>
      <c r="H43" s="26">
        <f>C43*D43</f>
        <v>21.52</v>
      </c>
      <c r="I43" s="26">
        <f>F43*D43</f>
        <v>22.854512171053003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11.1</v>
      </c>
      <c r="E44" s="107">
        <f>D44/$D$48</f>
        <v>1.2485939257592801E-3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5.7367829021372327E-4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0.3963895698685091</v>
      </c>
      <c r="D46" s="22">
        <f>SUM(D41:D45)</f>
        <v>1794.7999999999997</v>
      </c>
      <c r="E46" s="113">
        <f>D46/$D$48</f>
        <v>0.20188976377952753</v>
      </c>
      <c r="F46" s="20">
        <f>I46/D46</f>
        <v>0.42097073647947514</v>
      </c>
      <c r="G46" s="19">
        <f>F46/C46-1</f>
        <v>6.2012647353763883E-2</v>
      </c>
      <c r="H46" s="18">
        <f>SUM(H41:H44)</f>
        <v>711.44</v>
      </c>
      <c r="I46" s="18">
        <f>SUM(I41:I44)</f>
        <v>755.5582778333619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97.478776940889375</v>
      </c>
      <c r="D48" s="13">
        <f>D24+D32+D40+D46</f>
        <v>8890</v>
      </c>
      <c r="E48" s="12">
        <f>SUM(E20:E46)/2</f>
        <v>1</v>
      </c>
      <c r="F48" s="11">
        <f>I48/D48</f>
        <v>25.859942259244576</v>
      </c>
      <c r="G48" s="10"/>
      <c r="H48" s="9">
        <f>SUM(H20:H46)/2</f>
        <v>216470.95000000004</v>
      </c>
      <c r="I48" s="9">
        <f>SUM(I20:I46)/2</f>
        <v>229894.88668468429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8951</v>
      </c>
      <c r="E50" s="12">
        <f>D50/G2</f>
        <v>1</v>
      </c>
      <c r="F50" s="11">
        <f>I50/D50</f>
        <v>25.999999999999993</v>
      </c>
      <c r="G50" s="10"/>
      <c r="H50" s="9">
        <f>H48+H19</f>
        <v>219136.75000000003</v>
      </c>
      <c r="I50" s="9">
        <f>I48+I19</f>
        <v>232725.99999999994</v>
      </c>
      <c r="J50" s="106">
        <f>D50-G2</f>
        <v>0</v>
      </c>
      <c r="K50" s="8"/>
    </row>
    <row r="51" spans="1:11" ht="23.25" x14ac:dyDescent="0.35">
      <c r="A51" s="174" t="s">
        <v>521</v>
      </c>
      <c r="B51" s="169"/>
      <c r="C51" s="170"/>
      <c r="G51" s="7"/>
      <c r="H51" s="6"/>
      <c r="I51" s="6">
        <f>+I50/D50</f>
        <v>25.999999999999993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tabColor rgb="FFFF0000"/>
  </sheetPr>
  <dimension ref="A1:K56"/>
  <sheetViews>
    <sheetView topLeftCell="A39" workbookViewId="0"/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522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BAY30-19042729-S'!G2+'EB30-19042830-S'!G2+'G30-19042930'!G2+'ÖA29-19042829'!G2+'AYG29-19042829-S'!G2+'G29-19042629-1'!G2+'G29-19042629'!G2+'EM26-19042426-S'!G2+'AY26-19042425-S'!G2+'ÖB26-19042425-S'!G2+'ÖB26-19042425'!G2+'ÖA25-19042425'!G2+'G25-19042325-1'!G2+'G25-19042325'!G2+'YI24-19042324-S'!G2+'ÜN24-19042324-S'!G2+'BO24-19042022-S'!G2+'BO24-19042022'!G2+'ÖB24-19042122-D'!G2+'ÖB24-19042122-S'!G2+'ÖB24-19042122'!G2+'ÖA22-19042122'!G2+'BAY22-19042222-S'!G2+'AY22-19042122-S'!G2+'EM22-19041619-S'!G2+'G22-19042022-1'!G2+'G22-19042022'!G2+'BA20-19041718'!G2+'YI19-19041819-S'!G2+'JT19-19041718'!G2+'BA19-19041618-S'!G2+'EMM19-19041617'!G2+'BA18-19041618'!G2+'G18-19041516'!G2+'JT18-19041617.'!G2+'JT18-19041617'!G2+'EMM17-19041617-S'!G2+'ALP17-19041617-S'!G2+'ÜN17-19041617-S'!G2+'G17-19041315'!G2+'ÖB16-19041416-K'!G2+'ÖB16-19041416'!G2+'EB16-19041415-S'!G2+'EM15-19041115-S'!G2+'AY15-19041415-S'!G2+'ÖA15-19041011'!G2+'FA15-19041213-S'!G2+'ÖA15-19041415-1'!G2+'ÖA15-19041415'!G2+'ÖA13-19041112'!G2+'EM12-19040912-S'!G2+'BA12-19041112-S'!G2+'JT12-19040911-S'!G2+'JT12-19040911'!G2+'JT12-19040911-D'!G2+'ALP11-19040910'!G2+'BA11-19040910'!G2+'MOL11-19041011'!G2+'BA11-19040910-S'!G2+'ÜN10-19040910-S'!G2+'ÖA10-19040809'!G2+'BA9-19040709'!G2+'BA9-19040709-S'!G2+'AT9-19040808'!G2+'JT9-19040608-D'!G2+'JT9-19040608-S'!G2+'JT9-19040608-1'!G2+'JT9-19040608'!G2+'ÖA9-19040708-1'!G2+'ÖB8-19040506'!G2+'ÖA8-19040708'!G2+'JT8-19040607'!G2+'ÖB6-19040506-S'!G2+'ÖB6-19040405'!G2+'ÖA5-19040405'!G2+'EM5-19040405-S'!G2+'G5-19040304-1'!G2+'ÖA4-19040304'!G2+'G4-19040304'!G2+'G3-19040203'!G2+'ÜN3-19040203-S'!G2+'G2-19040102'!G2+'ÖA2-19043101'!G2+'BA2-19043101-S'!G2+'AY1-19043101'!G2+'AY1-19043101-S'!G2+'G1-19043001-1'!G2+'G1-19043001'!G2</f>
        <v>995519.6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08">
        <f>'BAY30-19042729-S'!E3+'EB30-19042830-S'!E3+'G30-19042930'!E3+'ÖA29-19042829'!E3+'AYG29-19042829-S'!E3+'G29-19042629-1'!E3+'G29-19042629'!E3+'EM26-19042426-S'!E3+'AY26-19042425-S'!E3+'ÖB26-19042425-S'!E3+'ÖB26-19042425'!E3+'ÖA25-19042425'!E3+'G25-19042325-1'!E3+'G25-19042325'!E3+'YI24-19042324-S'!E3+'ÜN24-19042324-S'!E3+'BO24-19042022-S'!E3+'BO24-19042022'!E3+'ÖB24-19042122-D'!E3+'ÖB24-19042122-S'!E3+'ÖB24-19042122'!E3+'ÖA22-19042122'!E3+'BAY22-19042222-S'!E3+'AY22-19042122-S'!E3+'EM22-19041619-S'!E3+'G22-19042022-1'!E3+'G22-19042022'!E3+'BA20-19041718'!E3+'YI19-19041819-S'!E3+'JT19-19041718'!E3+'BA19-19041618-S'!E3+'EMM19-19041617'!E3+'BA18-19041618'!E3+'G18-19041516'!E3+'JT18-19041617.'!E3+'JT18-19041617'!E3+'EMM17-19041617-S'!E3+'ALP17-19041617-S'!E3+'ÜN17-19041617-S'!E3+'G17-19041315'!E3+'ÖB16-19041416-K'!E3+'ÖB16-19041416'!E3+'EB16-19041415-S'!E3+'EM15-19041115-S'!E3+'AY15-19041415-S'!E3+'ÖA15-19041011'!E3+'FA15-19041213-S'!E3+'ÖA15-19041415-1'!E3+'ÖA15-19041415'!E3+'ÖA13-19041112'!E3+'EM12-19040912-S'!E3+'BA12-19041112-S'!E3+'JT12-19040911-S'!E3+'JT12-19040911'!E3+'JT12-19040911-D'!E3+'ALP11-19040910'!E3+'BA11-19040910'!E3+'MOL11-19041011'!E3+'BA11-19040910-S'!E3+'ÜN10-19040910-S'!E3+'ÖA10-19040809'!E3+'BA9-19040709'!E3+'BA9-19040709-S'!E3+'AT9-19040808'!E3+'JT9-19040608-D'!E3+'JT9-19040608-S'!E3+'JT9-19040608-1'!E3+'JT9-19040608'!E3+'ÖA9-19040708-1'!E3+'ÖB8-19040506'!E3+'ÖA8-19040708'!E3+'JT8-19040607'!E3+'ÖB6-19040506-S'!E3+'ÖB6-19040405'!E3+'ÖA5-19040405'!E3+'EM5-19040405-S'!E3+'G5-19040304-1'!E3+'ÖA4-19040304'!E3+'G4-19040304'!E3+'G3-19040203'!E3+'ÜN3-19040203-S'!E3+'G2-19040102'!E3+'ÖA2-19043101'!E3+'BA2-19043101-S'!E3+'AY1-19043101'!E3+'AY1-19043101-S'!E3+'G1-19043001-1'!E3+'G1-19043001'!E3</f>
        <v>13477</v>
      </c>
      <c r="F3" s="111" t="s">
        <v>8</v>
      </c>
      <c r="G3" s="109">
        <v>28.22</v>
      </c>
      <c r="H3" s="118" t="s">
        <v>523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73.868041849076207</v>
      </c>
      <c r="F4" s="81" t="s">
        <v>12</v>
      </c>
      <c r="G4" s="112">
        <f>G2*G3</f>
        <v>28093563.112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-1.9133207125697549E-2</v>
      </c>
      <c r="F6" s="69" t="s">
        <v>16</v>
      </c>
      <c r="G6" s="68">
        <f>(I50-I19)/(D50-(SUM(D42:D44)+D19))</f>
        <v>33.807736780156212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28.2</v>
      </c>
      <c r="D10" s="117">
        <f>'BAY30-19042729-S'!D10+'EB30-19042830-S'!D10+'G30-19042930'!D10+'ÖA29-19042829'!D10+'AYG29-19042829-S'!D10+'G29-19042629-1'!D10+'G29-19042629'!D10+'EM26-19042426-S'!D10+'AY26-19042425-S'!D10+'ÖB26-19042425-S'!D10+'ÖB26-19042425'!D10+'ÖA25-19042425'!D10+'G25-19042325-1'!D10+'G25-19042325'!D10+'YI24-19042324-S'!D10+'ÜN24-19042324-S'!D10+'BO24-19042022-S'!D10+'BO24-19042022'!D10+'ÖB24-19042122-D'!D10+'ÖB24-19042122-S'!D10+'ÖB24-19042122'!D10+'ÖA22-19042122'!D10+'BAY22-19042222-S'!D10+'AY22-19042122-S'!D10+'EM22-19041619-S'!D10+'G22-19042022-1'!D10+'G22-19042022'!D10+'BA20-19041718'!D10+'YI19-19041819-S'!D10+'JT19-19041718'!D10+'BA19-19041618-S'!D10+'EMM19-19041617'!D10+'BA18-19041618'!D10+'G18-19041516'!D10+'JT18-19041617.'!D10+'JT18-19041617'!D10+'EMM17-19041617-S'!D10+'ALP17-19041617-S'!D10+'ÜN17-19041617-S'!D10+'G17-19041315'!D10+'ÖB16-19041416-K'!D10+'ÖB16-19041416'!D10+'EB16-19041415-S'!D10+'EM15-19041115-S'!D10+'AY15-19041415-S'!D10+'ÖA15-19041011'!D10+'FA15-19041213-S'!D10+'ÖA15-19041415-1'!D10+'ÖA15-19041415'!D10+'ÖA13-19041112'!D10+'EM12-19040912-S'!D10+'BA12-19041112-S'!D10+'JT12-19040911-S'!D10+'JT12-19040911'!D10+'JT12-19040911-D'!D10+'ALP11-19040910'!D10+'BA11-19040910'!D10+'MOL11-19041011'!D10+'BA11-19040910-S'!D10+'ÜN10-19040910-S'!D10+'ÖA10-19040809'!D10+'BA9-19040709'!D10+'BA9-19040709-S'!D10+'AT9-19040808'!D10+'JT9-19040608-D'!D10+'JT9-19040608-S'!D10+'JT9-19040608-1'!D10+'JT9-19040608'!D10+'ÖA9-19040708-1'!D10+'ÖB8-19040506'!D10+'ÖA8-19040708'!D10+'JT8-19040607'!D10+'ÖB6-19040506-S'!D10+'ÖB6-19040405'!D10+'ÖA5-19040405'!D10+'EM5-19040405-S'!D10+'G5-19040304-1'!D10+'ÖA4-19040304'!D10+'G4-19040304'!D10+'G3-19040203'!D10+'ÜN3-19040203-S'!D10+'G2-19040102'!D10+'ÖA2-19043101'!D10+'BA2-19043101-S'!D10+'AY1-19043101'!D10+'AY1-19043101-S'!D10+'G1-19043001-1'!D10+'G1-19043001'!D10</f>
        <v>0</v>
      </c>
      <c r="E10" s="29">
        <f t="shared" ref="E10:E19" si="1">D10/$D$19</f>
        <v>0</v>
      </c>
      <c r="F10" s="28">
        <f t="shared" ref="F10:F18" si="2">C10-(C10*$E$6)</f>
        <v>28.739556440944671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117">
        <f>'BAY30-19042729-S'!D11+'EB30-19042830-S'!D11+'G30-19042930'!D11+'ÖA29-19042829'!D11+'AYG29-19042829-S'!D11+'G29-19042629-1'!D11+'G29-19042629'!D11+'EM26-19042426-S'!D11+'AY26-19042425-S'!D11+'ÖB26-19042425-S'!D11+'ÖB26-19042425'!D11+'ÖA25-19042425'!D11+'G25-19042325-1'!D11+'G25-19042325'!D11+'YI24-19042324-S'!D11+'ÜN24-19042324-S'!D11+'BO24-19042022-S'!D11+'BO24-19042022'!D11+'ÖB24-19042122-D'!D11+'ÖB24-19042122-S'!D11+'ÖB24-19042122'!D11+'ÖA22-19042122'!D11+'BAY22-19042222-S'!D11+'AY22-19042122-S'!D11+'EM22-19041619-S'!D11+'G22-19042022-1'!D11+'G22-19042022'!D11+'BA20-19041718'!D11+'YI19-19041819-S'!D11+'JT19-19041718'!D11+'BA19-19041618-S'!D11+'EMM19-19041617'!D11+'BA18-19041618'!D11+'G18-19041516'!D11+'JT18-19041617.'!D11+'JT18-19041617'!D11+'EMM17-19041617-S'!D11+'ALP17-19041617-S'!D11+'ÜN17-19041617-S'!D11+'G17-19041315'!D11+'ÖB16-19041416-K'!D11+'ÖB16-19041416'!D11+'EB16-19041415-S'!D11+'EM15-19041115-S'!D11+'AY15-19041415-S'!D11+'ÖA15-19041011'!D11+'FA15-19041213-S'!D11+'ÖA15-19041415-1'!D11+'ÖA15-19041415'!D11+'ÖA13-19041112'!D11+'EM12-19040912-S'!D11+'BA12-19041112-S'!D11+'JT12-19040911-S'!D11+'JT12-19040911'!D11+'JT12-19040911-D'!D11+'ALP11-19040910'!D11+'BA11-19040910'!D11+'MOL11-19041011'!D11+'BA11-19040910-S'!D11+'ÜN10-19040910-S'!D11+'ÖA10-19040809'!D11+'BA9-19040709'!D11+'BA9-19040709-S'!D11+'AT9-19040808'!D11+'JT9-19040608-D'!D11+'JT9-19040608-S'!D11+'JT9-19040608-1'!D11+'JT9-19040608'!D11+'ÖA9-19040708-1'!D11+'ÖB8-19040506'!D11+'ÖA8-19040708'!D11+'JT8-19040607'!D11+'ÖB6-19040506-S'!D11+'ÖB6-19040405'!D11+'ÖA5-19040405'!D11+'EM5-19040405-S'!D11+'G5-19040304-1'!D11+'ÖA4-19040304'!D11+'G4-19040304'!D11+'G3-19040203'!D11+'ÜN3-19040203-S'!D11+'G2-19040102'!D11+'ÖA2-19043101'!D11+'BA2-19043101-S'!D11+'AY1-19043101'!D11+'AY1-19043101-S'!D11+'G1-19043001-1'!D11+'G1-19043001'!D11</f>
        <v>33292.299999999996</v>
      </c>
      <c r="E11" s="29">
        <f t="shared" si="1"/>
        <v>0.47888120136361678</v>
      </c>
      <c r="F11" s="28">
        <f t="shared" si="2"/>
        <v>29.962516289495507</v>
      </c>
      <c r="G11" s="27" t="str">
        <f t="shared" si="3"/>
        <v>+</v>
      </c>
      <c r="H11" s="34">
        <f t="shared" si="4"/>
        <v>978793.61999999988</v>
      </c>
      <c r="I11" s="34">
        <f t="shared" si="5"/>
        <v>997521.08106477116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26.8</v>
      </c>
      <c r="D12" s="117">
        <f>'BAY30-19042729-S'!D12+'EB30-19042830-S'!D12+'G30-19042930'!D12+'ÖA29-19042829'!D12+'AYG29-19042829-S'!D12+'G29-19042629-1'!D12+'G29-19042629'!D12+'EM26-19042426-S'!D12+'AY26-19042425-S'!D12+'ÖB26-19042425-S'!D12+'ÖB26-19042425'!D12+'ÖA25-19042425'!D12+'G25-19042325-1'!D12+'G25-19042325'!D12+'YI24-19042324-S'!D12+'ÜN24-19042324-S'!D12+'BO24-19042022-S'!D12+'BO24-19042022'!D12+'ÖB24-19042122-D'!D12+'ÖB24-19042122-S'!D12+'ÖB24-19042122'!D12+'ÖA22-19042122'!D12+'BAY22-19042222-S'!D12+'AY22-19042122-S'!D12+'EM22-19041619-S'!D12+'G22-19042022-1'!D12+'G22-19042022'!D12+'BA20-19041718'!D12+'YI19-19041819-S'!D12+'JT19-19041718'!D12+'BA19-19041618-S'!D12+'EMM19-19041617'!D12+'BA18-19041618'!D12+'G18-19041516'!D12+'JT18-19041617.'!D12+'JT18-19041617'!D12+'EMM17-19041617-S'!D12+'ALP17-19041617-S'!D12+'ÜN17-19041617-S'!D12+'G17-19041315'!D12+'ÖB16-19041416-K'!D12+'ÖB16-19041416'!D12+'EB16-19041415-S'!D12+'EM15-19041115-S'!D12+'AY15-19041415-S'!D12+'ÖA15-19041011'!D12+'FA15-19041213-S'!D12+'ÖA15-19041415-1'!D12+'ÖA15-19041415'!D12+'ÖA13-19041112'!D12+'EM12-19040912-S'!D12+'BA12-19041112-S'!D12+'JT12-19040911-S'!D12+'JT12-19040911'!D12+'JT12-19040911-D'!D12+'ALP11-19040910'!D12+'BA11-19040910'!D12+'MOL11-19041011'!D12+'BA11-19040910-S'!D12+'ÜN10-19040910-S'!D12+'ÖA10-19040809'!D12+'BA9-19040709'!D12+'BA9-19040709-S'!D12+'AT9-19040808'!D12+'JT9-19040608-D'!D12+'JT9-19040608-S'!D12+'JT9-19040608-1'!D12+'JT9-19040608'!D12+'ÖA9-19040708-1'!D12+'ÖB8-19040506'!D12+'ÖA8-19040708'!D12+'JT8-19040607'!D12+'ÖB6-19040506-S'!D12+'ÖB6-19040405'!D12+'ÖA5-19040405'!D12+'EM5-19040405-S'!D12+'G5-19040304-1'!D12+'ÖA4-19040304'!D12+'G4-19040304'!D12+'G3-19040203'!D12+'ÜN3-19040203-S'!D12+'G2-19040102'!D12+'ÖA2-19043101'!D12+'BA2-19043101-S'!D12+'AY1-19043101'!D12+'AY1-19043101-S'!D12+'G1-19043001-1'!D12+'G1-19043001'!D12</f>
        <v>22900.299999999996</v>
      </c>
      <c r="E12" s="29">
        <f t="shared" si="1"/>
        <v>0.32940118813020525</v>
      </c>
      <c r="F12" s="28">
        <f t="shared" si="2"/>
        <v>27.312769950968693</v>
      </c>
      <c r="G12" s="27" t="str">
        <f>IF(C12&gt;=F12,"-","+")</f>
        <v>+</v>
      </c>
      <c r="H12" s="34">
        <f t="shared" si="4"/>
        <v>613728.03999999992</v>
      </c>
      <c r="I12" s="34">
        <f t="shared" si="5"/>
        <v>625470.62570816826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117">
        <f>'BAY30-19042729-S'!D13+'EB30-19042830-S'!D13+'G30-19042930'!D13+'ÖA29-19042829'!D13+'AYG29-19042829-S'!D13+'G29-19042629-1'!D13+'G29-19042629'!D13+'EM26-19042426-S'!D13+'AY26-19042425-S'!D13+'ÖB26-19042425-S'!D13+'ÖB26-19042425'!D13+'ÖA25-19042425'!D13+'G25-19042325-1'!D13+'G25-19042325'!D13+'YI24-19042324-S'!D13+'ÜN24-19042324-S'!D13+'BO24-19042022-S'!D13+'BO24-19042022'!D13+'ÖB24-19042122-D'!D13+'ÖB24-19042122-S'!D13+'ÖB24-19042122'!D13+'ÖA22-19042122'!D13+'BAY22-19042222-S'!D13+'AY22-19042122-S'!D13+'EM22-19041619-S'!D13+'G22-19042022-1'!D13+'G22-19042022'!D13+'BA20-19041718'!D13+'YI19-19041819-S'!D13+'JT19-19041718'!D13+'BA19-19041618-S'!D13+'EMM19-19041617'!D13+'BA18-19041618'!D13+'G18-19041516'!D13+'JT18-19041617.'!D13+'JT18-19041617'!D13+'EMM17-19041617-S'!D13+'ALP17-19041617-S'!D13+'ÜN17-19041617-S'!D13+'G17-19041315'!D13+'ÖB16-19041416-K'!D13+'ÖB16-19041416'!D13+'EB16-19041415-S'!D13+'EM15-19041115-S'!D13+'AY15-19041415-S'!D13+'ÖA15-19041011'!D13+'FA15-19041213-S'!D13+'ÖA15-19041415-1'!D13+'ÖA15-19041415'!D13+'ÖA13-19041112'!D13+'EM12-19040912-S'!D13+'BA12-19041112-S'!D13+'JT12-19040911-S'!D13+'JT12-19040911'!D13+'JT12-19040911-D'!D13+'ALP11-19040910'!D13+'BA11-19040910'!D13+'MOL11-19041011'!D13+'BA11-19040910-S'!D13+'ÜN10-19040910-S'!D13+'ÖA10-19040809'!D13+'BA9-19040709'!D13+'BA9-19040709-S'!D13+'AT9-19040808'!D13+'JT9-19040608-D'!D13+'JT9-19040608-S'!D13+'JT9-19040608-1'!D13+'JT9-19040608'!D13+'ÖA9-19040708-1'!D13+'ÖB8-19040506'!D13+'ÖA8-19040708'!D13+'JT8-19040607'!D13+'ÖB6-19040506-S'!D13+'ÖB6-19040405'!D13+'ÖA5-19040405'!D13+'EM5-19040405-S'!D13+'G5-19040304-1'!D13+'ÖA4-19040304'!D13+'G4-19040304'!D13+'G3-19040203'!D13+'ÜN3-19040203-S'!D13+'G2-19040102'!D13+'ÖA2-19043101'!D13+'BA2-19043101-S'!D13+'AY1-19043101'!D13+'AY1-19043101-S'!D13+'G1-19043001-1'!D13+'G1-19043001'!D13</f>
        <v>49.8</v>
      </c>
      <c r="E13" s="29">
        <f t="shared" si="1"/>
        <v>7.1633031745803441E-4</v>
      </c>
      <c r="F13" s="28">
        <f t="shared" si="2"/>
        <v>29.962516289495507</v>
      </c>
      <c r="G13" s="27" t="str">
        <f t="shared" si="3"/>
        <v>+</v>
      </c>
      <c r="H13" s="34">
        <f t="shared" si="4"/>
        <v>1464.12</v>
      </c>
      <c r="I13" s="34">
        <f t="shared" si="5"/>
        <v>1492.1333112168761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117">
        <f>'BAY30-19042729-S'!D14+'EB30-19042830-S'!D14+'G30-19042930'!D14+'ÖA29-19042829'!D14+'AYG29-19042829-S'!D14+'G29-19042629-1'!D14+'G29-19042629'!D14+'EM26-19042426-S'!D14+'AY26-19042425-S'!D14+'ÖB26-19042425-S'!D14+'ÖB26-19042425'!D14+'ÖA25-19042425'!D14+'G25-19042325-1'!D14+'G25-19042325'!D14+'YI24-19042324-S'!D14+'ÜN24-19042324-S'!D14+'BO24-19042022-S'!D14+'BO24-19042022'!D14+'ÖB24-19042122-D'!D14+'ÖB24-19042122-S'!D14+'ÖB24-19042122'!D14+'ÖA22-19042122'!D14+'BAY22-19042222-S'!D14+'AY22-19042122-S'!D14+'EM22-19041619-S'!D14+'G22-19042022-1'!D14+'G22-19042022'!D14+'BA20-19041718'!D14+'YI19-19041819-S'!D14+'JT19-19041718'!D14+'BA19-19041618-S'!D14+'EMM19-19041617'!D14+'BA18-19041618'!D14+'G18-19041516'!D14+'JT18-19041617.'!D14+'JT18-19041617'!D14+'EMM17-19041617-S'!D14+'ALP17-19041617-S'!D14+'ÜN17-19041617-S'!D14+'G17-19041315'!D14+'ÖB16-19041416-K'!D14+'ÖB16-19041416'!D14+'EB16-19041415-S'!D14+'EM15-19041115-S'!D14+'AY15-19041415-S'!D14+'ÖA15-19041011'!D14+'FA15-19041213-S'!D14+'ÖA15-19041415-1'!D14+'ÖA15-19041415'!D14+'ÖA13-19041112'!D14+'EM12-19040912-S'!D14+'BA12-19041112-S'!D14+'JT12-19040911-S'!D14+'JT12-19040911'!D14+'JT12-19040911-D'!D14+'ALP11-19040910'!D14+'BA11-19040910'!D14+'MOL11-19041011'!D14+'BA11-19040910-S'!D14+'ÜN10-19040910-S'!D14+'ÖA10-19040809'!D14+'BA9-19040709'!D14+'BA9-19040709-S'!D14+'AT9-19040808'!D14+'JT9-19040608-D'!D14+'JT9-19040608-S'!D14+'JT9-19040608-1'!D14+'JT9-19040608'!D14+'ÖA9-19040708-1'!D14+'ÖB8-19040506'!D14+'ÖA8-19040708'!D14+'JT8-19040607'!D14+'ÖB6-19040506-S'!D14+'ÖB6-19040405'!D14+'ÖA5-19040405'!D14+'EM5-19040405-S'!D14+'G5-19040304-1'!D14+'ÖA4-19040304'!D14+'G4-19040304'!D14+'G3-19040203'!D14+'ÜN3-19040203-S'!D14+'G2-19040102'!D14+'ÖA2-19043101'!D14+'BA2-19043101-S'!D14+'AY1-19043101'!D14+'AY1-19043101-S'!D14+'G1-19043001-1'!D14+'G1-19043001'!D14</f>
        <v>2439.6</v>
      </c>
      <c r="E14" s="29">
        <f t="shared" si="1"/>
        <v>3.509155506969118E-2</v>
      </c>
      <c r="F14" s="28">
        <f t="shared" si="2"/>
        <v>33.52948251443545</v>
      </c>
      <c r="G14" s="27" t="str">
        <f t="shared" si="3"/>
        <v>+</v>
      </c>
      <c r="H14" s="34">
        <f t="shared" si="4"/>
        <v>80262.84</v>
      </c>
      <c r="I14" s="34">
        <f t="shared" si="5"/>
        <v>81798.525542216725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117">
        <f>'BAY30-19042729-S'!D15+'EB30-19042830-S'!D15+'G30-19042930'!D15+'ÖA29-19042829'!D15+'AYG29-19042829-S'!D15+'G29-19042629-1'!D15+'G29-19042629'!D15+'EM26-19042426-S'!D15+'AY26-19042425-S'!D15+'ÖB26-19042425-S'!D15+'ÖB26-19042425'!D15+'ÖA25-19042425'!D15+'G25-19042325-1'!D15+'G25-19042325'!D15+'YI24-19042324-S'!D15+'ÜN24-19042324-S'!D15+'BO24-19042022-S'!D15+'BO24-19042022'!D15+'ÖB24-19042122-D'!D15+'ÖB24-19042122-S'!D15+'ÖB24-19042122'!D15+'ÖA22-19042122'!D15+'BAY22-19042222-S'!D15+'AY22-19042122-S'!D15+'EM22-19041619-S'!D15+'G22-19042022-1'!D15+'G22-19042022'!D15+'BA20-19041718'!D15+'YI19-19041819-S'!D15+'JT19-19041718'!D15+'BA19-19041618-S'!D15+'EMM19-19041617'!D15+'BA18-19041618'!D15+'G18-19041516'!D15+'JT18-19041617.'!D15+'JT18-19041617'!D15+'EMM17-19041617-S'!D15+'ALP17-19041617-S'!D15+'ÜN17-19041617-S'!D15+'G17-19041315'!D15+'ÖB16-19041416-K'!D15+'ÖB16-19041416'!D15+'EB16-19041415-S'!D15+'EM15-19041115-S'!D15+'AY15-19041415-S'!D15+'ÖA15-19041011'!D15+'FA15-19041213-S'!D15+'ÖA15-19041415-1'!D15+'ÖA15-19041415'!D15+'ÖA13-19041112'!D15+'EM12-19040912-S'!D15+'BA12-19041112-S'!D15+'JT12-19040911-S'!D15+'JT12-19040911'!D15+'JT12-19040911-D'!D15+'ALP11-19040910'!D15+'BA11-19040910'!D15+'MOL11-19041011'!D15+'BA11-19040910-S'!D15+'ÜN10-19040910-S'!D15+'ÖA10-19040809'!D15+'BA9-19040709'!D15+'BA9-19040709-S'!D15+'AT9-19040808'!D15+'JT9-19040608-D'!D15+'JT9-19040608-S'!D15+'JT9-19040608-1'!D15+'JT9-19040608'!D15+'ÖA9-19040708-1'!D15+'ÖB8-19040506'!D15+'ÖA8-19040708'!D15+'JT8-19040607'!D15+'ÖB6-19040506-S'!D15+'ÖB6-19040405'!D15+'ÖA5-19040405'!D15+'EM5-19040405-S'!D15+'G5-19040304-1'!D15+'ÖA4-19040304'!D15+'G4-19040304'!D15+'G3-19040203'!D15+'ÜN3-19040203-S'!D15+'G2-19040102'!D15+'ÖA2-19043101'!D15+'BA2-19043101-S'!D15+'AY1-19043101'!D15+'AY1-19043101-S'!D15+'G1-19043001-1'!D15+'G1-19043001'!D15</f>
        <v>1723.8</v>
      </c>
      <c r="E15" s="29">
        <f t="shared" si="1"/>
        <v>2.4795385566950996E-2</v>
      </c>
      <c r="F15" s="28">
        <f t="shared" si="2"/>
        <v>27.618509913106404</v>
      </c>
      <c r="G15" s="27" t="str">
        <f t="shared" si="3"/>
        <v>+</v>
      </c>
      <c r="H15" s="34">
        <f t="shared" si="4"/>
        <v>46714.98</v>
      </c>
      <c r="I15" s="34">
        <f t="shared" si="5"/>
        <v>47608.787388212819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117">
        <f>'BAY30-19042729-S'!D16+'EB30-19042830-S'!D16+'G30-19042930'!D16+'ÖA29-19042829'!D16+'AYG29-19042829-S'!D16+'G29-19042629-1'!D16+'G29-19042629'!D16+'EM26-19042426-S'!D16+'AY26-19042425-S'!D16+'ÖB26-19042425-S'!D16+'ÖB26-19042425'!D16+'ÖA25-19042425'!D16+'G25-19042325-1'!D16+'G25-19042325'!D16+'YI24-19042324-S'!D16+'ÜN24-19042324-S'!D16+'BO24-19042022-S'!D16+'BO24-19042022'!D16+'ÖB24-19042122-D'!D16+'ÖB24-19042122-S'!D16+'ÖB24-19042122'!D16+'ÖA22-19042122'!D16+'BAY22-19042222-S'!D16+'AY22-19042122-S'!D16+'EM22-19041619-S'!D16+'G22-19042022-1'!D16+'G22-19042022'!D16+'BA20-19041718'!D16+'YI19-19041819-S'!D16+'JT19-19041718'!D16+'BA19-19041618-S'!D16+'EMM19-19041617'!D16+'BA18-19041618'!D16+'G18-19041516'!D16+'JT18-19041617.'!D16+'JT18-19041617'!D16+'EMM17-19041617-S'!D16+'ALP17-19041617-S'!D16+'ÜN17-19041617-S'!D16+'G17-19041315'!D16+'ÖB16-19041416-K'!D16+'ÖB16-19041416'!D16+'EB16-19041415-S'!D16+'EM15-19041115-S'!D16+'AY15-19041415-S'!D16+'ÖA15-19041011'!D16+'FA15-19041213-S'!D16+'ÖA15-19041415-1'!D16+'ÖA15-19041415'!D16+'ÖA13-19041112'!D16+'EM12-19040912-S'!D16+'BA12-19041112-S'!D16+'JT12-19040911-S'!D16+'JT12-19040911'!D16+'JT12-19040911-D'!D16+'ALP11-19040910'!D16+'BA11-19040910'!D16+'MOL11-19041011'!D16+'BA11-19040910-S'!D16+'ÜN10-19040910-S'!D16+'ÖA10-19040809'!D16+'BA9-19040709'!D16+'BA9-19040709-S'!D16+'AT9-19040808'!D16+'JT9-19040608-D'!D16+'JT9-19040608-S'!D16+'JT9-19040608-1'!D16+'JT9-19040608'!D16+'ÖA9-19040708-1'!D16+'ÖB8-19040506'!D16+'ÖA8-19040708'!D16+'JT8-19040607'!D16+'ÖB6-19040506-S'!D16+'ÖB6-19040405'!D16+'ÖA5-19040405'!D16+'EM5-19040405-S'!D16+'G5-19040304-1'!D16+'ÖA4-19040304'!D16+'G4-19040304'!D16+'G3-19040203'!D16+'ÜN3-19040203-S'!D16+'G2-19040102'!D16+'ÖA2-19043101'!D16+'BA2-19043101-S'!D16+'AY1-19043101'!D16+'AY1-19043101-S'!D16+'G1-19043001-1'!D16+'G1-19043001'!D16</f>
        <v>7275.8000000000011</v>
      </c>
      <c r="E16" s="29">
        <f t="shared" si="1"/>
        <v>0.10465614706347726</v>
      </c>
      <c r="F16" s="28">
        <f t="shared" si="2"/>
        <v>37.809841984363381</v>
      </c>
      <c r="G16" s="27" t="str">
        <f t="shared" si="3"/>
        <v>+</v>
      </c>
      <c r="H16" s="34">
        <f t="shared" si="4"/>
        <v>269932.18000000005</v>
      </c>
      <c r="I16" s="34">
        <f t="shared" si="5"/>
        <v>275096.84830983111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117">
        <f>'BAY30-19042729-S'!D17+'EB30-19042830-S'!D17+'G30-19042930'!D17+'ÖA29-19042829'!D17+'AYG29-19042829-S'!D17+'G29-19042629-1'!D17+'G29-19042629'!D17+'EM26-19042426-S'!D17+'AY26-19042425-S'!D17+'ÖB26-19042425-S'!D17+'ÖB26-19042425'!D17+'ÖA25-19042425'!D17+'G25-19042325-1'!D17+'G25-19042325'!D17+'YI24-19042324-S'!D17+'ÜN24-19042324-S'!D17+'BO24-19042022-S'!D17+'BO24-19042022'!D17+'ÖB24-19042122-D'!D17+'ÖB24-19042122-S'!D17+'ÖB24-19042122'!D17+'ÖA22-19042122'!D17+'BAY22-19042222-S'!D17+'AY22-19042122-S'!D17+'EM22-19041619-S'!D17+'G22-19042022-1'!D17+'G22-19042022'!D17+'BA20-19041718'!D17+'YI19-19041819-S'!D17+'JT19-19041718'!D17+'BA19-19041618-S'!D17+'EMM19-19041617'!D17+'BA18-19041618'!D17+'G18-19041516'!D17+'JT18-19041617.'!D17+'JT18-19041617'!D17+'EMM17-19041617-S'!D17+'ALP17-19041617-S'!D17+'ÜN17-19041617-S'!D17+'G17-19041315'!D17+'ÖB16-19041416-K'!D17+'ÖB16-19041416'!D17+'EB16-19041415-S'!D17+'EM15-19041115-S'!D17+'AY15-19041415-S'!D17+'ÖA15-19041011'!D17+'FA15-19041213-S'!D17+'ÖA15-19041415-1'!D17+'ÖA15-19041415'!D17+'ÖA13-19041112'!D17+'EM12-19040912-S'!D17+'BA12-19041112-S'!D17+'JT12-19040911-S'!D17+'JT12-19040911'!D17+'JT12-19040911-D'!D17+'ALP11-19040910'!D17+'BA11-19040910'!D17+'MOL11-19041011'!D17+'BA11-19040910-S'!D17+'ÜN10-19040910-S'!D17+'ÖA10-19040809'!D17+'BA9-19040709'!D17+'BA9-19040709-S'!D17+'AT9-19040808'!D17+'JT9-19040608-D'!D17+'JT9-19040608-S'!D17+'JT9-19040608-1'!D17+'JT9-19040608'!D17+'ÖA9-19040708-1'!D17+'ÖB8-19040506'!D17+'ÖA8-19040708'!D17+'JT8-19040607'!D17+'ÖB6-19040506-S'!D17+'ÖB6-19040405'!D17+'ÖA5-19040405'!D17+'EM5-19040405-S'!D17+'G5-19040304-1'!D17+'ÖA4-19040304'!D17+'G4-19040304'!D17+'G3-19040203'!D17+'ÜN3-19040203-S'!D17+'G2-19040102'!D17+'ÖA2-19043101'!D17+'BA2-19043101-S'!D17+'AY1-19043101'!D17+'AY1-19043101-S'!D17+'G1-19043001-1'!D17+'G1-19043001'!D17</f>
        <v>1429.4</v>
      </c>
      <c r="E17" s="29">
        <f t="shared" si="1"/>
        <v>2.0560693891054506E-2</v>
      </c>
      <c r="F17" s="28">
        <f t="shared" si="2"/>
        <v>55.644673109063085</v>
      </c>
      <c r="G17" s="27" t="str">
        <f t="shared" si="3"/>
        <v>+</v>
      </c>
      <c r="H17" s="34">
        <f t="shared" si="4"/>
        <v>78045.240000000005</v>
      </c>
      <c r="I17" s="34">
        <f t="shared" si="5"/>
        <v>79538.495742094776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47.8</v>
      </c>
      <c r="D18" s="117">
        <f>'BAY30-19042729-S'!D18+'EB30-19042830-S'!D18+'G30-19042930'!D18+'ÖA29-19042829'!D18+'AYG29-19042829-S'!D18+'G29-19042629-1'!D18+'G29-19042629'!D18+'EM26-19042426-S'!D18+'AY26-19042425-S'!D18+'ÖB26-19042425-S'!D18+'ÖB26-19042425'!D18+'ÖA25-19042425'!D18+'G25-19042325-1'!D18+'G25-19042325'!D18+'YI24-19042324-S'!D18+'ÜN24-19042324-S'!D18+'BO24-19042022-S'!D18+'BO24-19042022'!D18+'ÖB24-19042122-D'!D18+'ÖB24-19042122-S'!D18+'ÖB24-19042122'!D18+'ÖA22-19042122'!D18+'BAY22-19042222-S'!D18+'AY22-19042122-S'!D18+'EM22-19041619-S'!D18+'G22-19042022-1'!D18+'G22-19042022'!D18+'BA20-19041718'!D18+'YI19-19041819-S'!D18+'JT19-19041718'!D18+'BA19-19041618-S'!D18+'EMM19-19041617'!D18+'BA18-19041618'!D18+'G18-19041516'!D18+'JT18-19041617.'!D18+'JT18-19041617'!D18+'EMM17-19041617-S'!D18+'ALP17-19041617-S'!D18+'ÜN17-19041617-S'!D18+'G17-19041315'!D18+'ÖB16-19041416-K'!D18+'ÖB16-19041416'!D18+'EB16-19041415-S'!D18+'EM15-19041115-S'!D18+'AY15-19041415-S'!D18+'ÖA15-19041011'!D18+'FA15-19041213-S'!D18+'ÖA15-19041415-1'!D18+'ÖA15-19041415'!D18+'ÖA13-19041112'!D18+'EM12-19040912-S'!D18+'BA12-19041112-S'!D18+'JT12-19040911-S'!D18+'JT12-19040911'!D18+'JT12-19040911-D'!D18+'ALP11-19040910'!D18+'BA11-19040910'!D18+'MOL11-19041011'!D18+'BA11-19040910-S'!D18+'ÜN10-19040910-S'!D18+'ÖA10-19040809'!D18+'BA9-19040709'!D18+'BA9-19040709-S'!D18+'AT9-19040808'!D18+'JT9-19040608-D'!D18+'JT9-19040608-S'!D18+'JT9-19040608-1'!D18+'JT9-19040608'!D18+'ÖA9-19040708-1'!D18+'ÖB8-19040506'!D18+'ÖA8-19040708'!D18+'JT8-19040607'!D18+'ÖB6-19040506-S'!D18+'ÖB6-19040405'!D18+'ÖA5-19040405'!D18+'EM5-19040405-S'!D18+'G5-19040304-1'!D18+'ÖA4-19040304'!D18+'G4-19040304'!D18+'G3-19040203'!D18+'ÜN3-19040203-S'!D18+'G2-19040102'!D18+'ÖA2-19043101'!D18+'BA2-19043101-S'!D18+'AY1-19043101'!D18+'AY1-19043101-S'!D18+'G1-19043001-1'!D18+'G1-19043001'!D18</f>
        <v>410</v>
      </c>
      <c r="E18" s="29">
        <f t="shared" si="1"/>
        <v>5.8974985975460666E-3</v>
      </c>
      <c r="F18" s="28">
        <f t="shared" si="2"/>
        <v>48.714567300608337</v>
      </c>
      <c r="G18" s="27" t="str">
        <f t="shared" si="3"/>
        <v>+</v>
      </c>
      <c r="H18" s="34">
        <f t="shared" si="4"/>
        <v>19598</v>
      </c>
      <c r="I18" s="34">
        <f t="shared" si="5"/>
        <v>19972.972593249418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30.041843759439598</v>
      </c>
      <c r="D19" s="49">
        <f>SUM(D10:D18)</f>
        <v>69520.999999999985</v>
      </c>
      <c r="E19" s="48">
        <f t="shared" si="1"/>
        <v>1</v>
      </c>
      <c r="F19" s="47">
        <f>I19/D19</f>
        <v>30.616640578526791</v>
      </c>
      <c r="G19" s="46">
        <f>F19/C19-1</f>
        <v>1.9133207125697327E-2</v>
      </c>
      <c r="H19" s="9">
        <f>SUM(H10:H18)</f>
        <v>2088539.0199999998</v>
      </c>
      <c r="I19" s="9">
        <f>SUM(I10:I18)</f>
        <v>2128499.4696597606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117">
        <f>'BAY30-19042729-S'!D21+'EB30-19042830-S'!D21+'G30-19042930'!D21+'ÖA29-19042829'!D21+'AYG29-19042829-S'!D21+'G29-19042629-1'!D21+'G29-19042629'!D21+'EM26-19042426-S'!D21+'AY26-19042425-S'!D21+'ÖB26-19042425-S'!D21+'ÖB26-19042425'!D21+'ÖA25-19042425'!D21+'G25-19042325-1'!D21+'G25-19042325'!D21+'YI24-19042324-S'!D21+'ÜN24-19042324-S'!D21+'BO24-19042022-S'!D21+'BO24-19042022'!D21+'ÖB24-19042122-D'!D21+'ÖB24-19042122-S'!D21+'ÖB24-19042122'!D21+'ÖA22-19042122'!D21+'BAY22-19042222-S'!D21+'AY22-19042122-S'!D21+'EM22-19041619-S'!D21+'G22-19042022-1'!D21+'G22-19042022'!D21+'BA20-19041718'!D21+'YI19-19041819-S'!D21+'JT19-19041718'!D21+'BA19-19041618-S'!D21+'EMM19-19041617'!D21+'BA18-19041618'!D21+'G18-19041516'!D21+'JT18-19041617.'!D21+'JT18-19041617'!D21+'EMM17-19041617-S'!D21+'ALP17-19041617-S'!D21+'ÜN17-19041617-S'!D21+'G17-19041315'!D21+'ÖB16-19041416-K'!D21+'ÖB16-19041416'!D21+'EB16-19041415-S'!D21+'EM15-19041115-S'!D21+'AY15-19041415-S'!D21+'ÖA15-19041011'!D21+'FA15-19041213-S'!D21+'ÖA15-19041415-1'!D21+'ÖA15-19041415'!D21+'ÖA13-19041112'!D21+'EM12-19040912-S'!D21+'BA12-19041112-S'!D21+'JT12-19040911-S'!D21+'JT12-19040911'!D21+'JT12-19040911-D'!D21+'ALP11-19040910'!D21+'BA11-19040910'!D21+'MOL11-19041011'!D21+'BA11-19040910-S'!D21+'ÜN10-19040910-S'!D21+'ÖA10-19040809'!D21+'BA9-19040709'!D21+'BA9-19040709-S'!D21+'AT9-19040808'!D21+'JT9-19040608-D'!D21+'JT9-19040608-S'!D21+'JT9-19040608-1'!D21+'JT9-19040608'!D21+'ÖA9-19040708-1'!D21+'ÖB8-19040506'!D21+'ÖA8-19040708'!D21+'JT8-19040607'!D21+'ÖB6-19040506-S'!D21+'ÖB6-19040405'!D21+'ÖA5-19040405'!D21+'EM5-19040405-S'!D21+'G5-19040304-1'!D21+'ÖA4-19040304'!D21+'G4-19040304'!D21+'G3-19040203'!D21+'ÜN3-19040203-S'!D21+'G2-19040102'!D21+'ÖA2-19043101'!D21+'BA2-19043101-S'!D21+'AY1-19043101'!D21+'AY1-19043101-S'!D21+'G1-19043001-1'!D21+'G1-19043001'!D21</f>
        <v>9566</v>
      </c>
      <c r="E21" s="29">
        <f>D21/$D$48</f>
        <v>1.0330458583916157E-2</v>
      </c>
      <c r="F21" s="28">
        <f>C21-(C21*$E$6)</f>
        <v>72.358457705924522</v>
      </c>
      <c r="G21" s="27" t="str">
        <f>IF(C21&gt;=F21,"-","+")</f>
        <v>+</v>
      </c>
      <c r="H21" s="26">
        <f>C21*D21</f>
        <v>679186</v>
      </c>
      <c r="I21" s="26">
        <f>F21*D21</f>
        <v>692181.00641487399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117">
        <f>'BAY30-19042729-S'!D22+'EB30-19042830-S'!D22+'G30-19042930'!D22+'ÖA29-19042829'!D22+'AYG29-19042829-S'!D22+'G29-19042629-1'!D22+'G29-19042629'!D22+'EM26-19042426-S'!D22+'AY26-19042425-S'!D22+'ÖB26-19042425-S'!D22+'ÖB26-19042425'!D22+'ÖA25-19042425'!D22+'G25-19042325-1'!D22+'G25-19042325'!D22+'YI24-19042324-S'!D22+'ÜN24-19042324-S'!D22+'BO24-19042022-S'!D22+'BO24-19042022'!D22+'ÖB24-19042122-D'!D22+'ÖB24-19042122-S'!D22+'ÖB24-19042122'!D22+'ÖA22-19042122'!D22+'BAY22-19042222-S'!D22+'AY22-19042122-S'!D22+'EM22-19041619-S'!D22+'G22-19042022-1'!D22+'G22-19042022'!D22+'BA20-19041718'!D22+'YI19-19041819-S'!D22+'JT19-19041718'!D22+'BA19-19041618-S'!D22+'EMM19-19041617'!D22+'BA18-19041618'!D22+'G18-19041516'!D22+'JT18-19041617.'!D22+'JT18-19041617'!D22+'EMM17-19041617-S'!D22+'ALP17-19041617-S'!D22+'ÜN17-19041617-S'!D22+'G17-19041315'!D22+'ÖB16-19041416-K'!D22+'ÖB16-19041416'!D22+'EB16-19041415-S'!D22+'EM15-19041115-S'!D22+'AY15-19041415-S'!D22+'ÖA15-19041011'!D22+'FA15-19041213-S'!D22+'ÖA15-19041415-1'!D22+'ÖA15-19041415'!D22+'ÖA13-19041112'!D22+'EM12-19040912-S'!D22+'BA12-19041112-S'!D22+'JT12-19040911-S'!D22+'JT12-19040911'!D22+'JT12-19040911-D'!D22+'ALP11-19040910'!D22+'BA11-19040910'!D22+'MOL11-19041011'!D22+'BA11-19040910-S'!D22+'ÜN10-19040910-S'!D22+'ÖA10-19040809'!D22+'BA9-19040709'!D22+'BA9-19040709-S'!D22+'AT9-19040808'!D22+'JT9-19040608-D'!D22+'JT9-19040608-S'!D22+'JT9-19040608-1'!D22+'JT9-19040608'!D22+'ÖA9-19040708-1'!D22+'ÖB8-19040506'!D22+'ÖA8-19040708'!D22+'JT8-19040607'!D22+'ÖB6-19040506-S'!D22+'ÖB6-19040405'!D22+'ÖA5-19040405'!D22+'EM5-19040405-S'!D22+'G5-19040304-1'!D22+'ÖA4-19040304'!D22+'G4-19040304'!D22+'G3-19040203'!D22+'ÜN3-19040203-S'!D22+'G2-19040102'!D22+'ÖA2-19043101'!D22+'BA2-19043101-S'!D22+'AY1-19043101'!D22+'AY1-19043101-S'!D22+'G1-19043001-1'!D22+'G1-19043001'!D22</f>
        <v>27807.599999999999</v>
      </c>
      <c r="E22" s="29">
        <f>D22/$D$48</f>
        <v>3.0029820208875908E-2</v>
      </c>
      <c r="F22" s="28">
        <f>C22-(C22*$E$6)</f>
        <v>48.612653979895775</v>
      </c>
      <c r="G22" s="27" t="str">
        <f>IF(C22&gt;=F22,"-","+")</f>
        <v>+</v>
      </c>
      <c r="H22" s="26">
        <f>C22*D22</f>
        <v>1326422.52</v>
      </c>
      <c r="I22" s="26">
        <f>F22*D22</f>
        <v>1351801.2368113496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117">
        <f>'BAY30-19042729-S'!D23+'EB30-19042830-S'!D23+'G30-19042930'!D23+'ÖA29-19042829'!D23+'AYG29-19042829-S'!D23+'G29-19042629-1'!D23+'G29-19042629'!D23+'EM26-19042426-S'!D23+'AY26-19042425-S'!D23+'ÖB26-19042425-S'!D23+'ÖB26-19042425'!D23+'ÖA25-19042425'!D23+'G25-19042325-1'!D23+'G25-19042325'!D23+'YI24-19042324-S'!D23+'ÜN24-19042324-S'!D23+'BO24-19042022-S'!D23+'BO24-19042022'!D23+'ÖB24-19042122-D'!D23+'ÖB24-19042122-S'!D23+'ÖB24-19042122'!D23+'ÖA22-19042122'!D23+'BAY22-19042222-S'!D23+'AY22-19042122-S'!D23+'EM22-19041619-S'!D23+'G22-19042022-1'!D23+'G22-19042022'!D23+'BA20-19041718'!D23+'YI19-19041819-S'!D23+'JT19-19041718'!D23+'BA19-19041618-S'!D23+'EMM19-19041617'!D23+'BA18-19041618'!D23+'G18-19041516'!D23+'JT18-19041617.'!D23+'JT18-19041617'!D23+'EMM17-19041617-S'!D23+'ALP17-19041617-S'!D23+'ÜN17-19041617-S'!D23+'G17-19041315'!D23+'ÖB16-19041416-K'!D23+'ÖB16-19041416'!D23+'EB16-19041415-S'!D23+'EM15-19041115-S'!D23+'AY15-19041415-S'!D23+'ÖA15-19041011'!D23+'FA15-19041213-S'!D23+'ÖA15-19041415-1'!D23+'ÖA15-19041415'!D23+'ÖA13-19041112'!D23+'EM12-19040912-S'!D23+'BA12-19041112-S'!D23+'JT12-19040911-S'!D23+'JT12-19040911'!D23+'JT12-19040911-D'!D23+'ALP11-19040910'!D23+'BA11-19040910'!D23+'MOL11-19041011'!D23+'BA11-19040910-S'!D23+'ÜN10-19040910-S'!D23+'ÖA10-19040809'!D23+'BA9-19040709'!D23+'BA9-19040709-S'!D23+'AT9-19040808'!D23+'JT9-19040608-D'!D23+'JT9-19040608-S'!D23+'JT9-19040608-1'!D23+'JT9-19040608'!D23+'ÖA9-19040708-1'!D23+'ÖB8-19040506'!D23+'ÖA8-19040708'!D23+'JT8-19040607'!D23+'ÖB6-19040506-S'!D23+'ÖB6-19040405'!D23+'ÖA5-19040405'!D23+'EM5-19040405-S'!D23+'G5-19040304-1'!D23+'ÖA4-19040304'!D23+'G4-19040304'!D23+'G3-19040203'!D23+'ÜN3-19040203-S'!D23+'G2-19040102'!D23+'ÖA2-19043101'!D23+'BA2-19043101-S'!D23+'AY1-19043101'!D23+'AY1-19043101-S'!D23+'G1-19043001-1'!D23+'G1-19043001'!D23</f>
        <v>18977.899999999998</v>
      </c>
      <c r="E23" s="29">
        <f>D23/$D$48</f>
        <v>2.0494502400136151E-2</v>
      </c>
      <c r="F23" s="28">
        <f>C23-(C23*$E$6)</f>
        <v>44.332294509967845</v>
      </c>
      <c r="G23" s="27" t="str">
        <f>IF(C23&gt;=F23,"-","+")</f>
        <v>+</v>
      </c>
      <c r="H23" s="26">
        <f>C23*D23</f>
        <v>825538.64999999991</v>
      </c>
      <c r="I23" s="26">
        <f>F23*D23</f>
        <v>841333.85198071867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50.240848424620459</v>
      </c>
      <c r="D24" s="22">
        <f>SUM(D21:D23)</f>
        <v>56351.5</v>
      </c>
      <c r="E24" s="21">
        <f>D24/$D$48</f>
        <v>6.0854781192928226E-2</v>
      </c>
      <c r="F24" s="20">
        <f>I24/D24</f>
        <v>51.202116983699497</v>
      </c>
      <c r="G24" s="19">
        <f>F24/C24-1</f>
        <v>1.9133207125697549E-2</v>
      </c>
      <c r="H24" s="18">
        <f>SUM(H21:H23)</f>
        <v>2831147.17</v>
      </c>
      <c r="I24" s="18">
        <f>SUM(I21:I23)</f>
        <v>2885316.0952069424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117">
        <f>'BAY30-19042729-S'!D26+'EB30-19042830-S'!D26+'G30-19042930'!D26+'ÖA29-19042829'!D26+'AYG29-19042829-S'!D26+'G29-19042629-1'!D26+'G29-19042629'!D26+'EM26-19042426-S'!D26+'AY26-19042425-S'!D26+'ÖB26-19042425-S'!D26+'ÖB26-19042425'!D26+'ÖA25-19042425'!D26+'G25-19042325-1'!D26+'G25-19042325'!D26+'YI24-19042324-S'!D26+'ÜN24-19042324-S'!D26+'BO24-19042022-S'!D26+'BO24-19042022'!D26+'ÖB24-19042122-D'!D26+'ÖB24-19042122-S'!D26+'ÖB24-19042122'!D26+'ÖA22-19042122'!D26+'BAY22-19042222-S'!D26+'AY22-19042122-S'!D26+'EM22-19041619-S'!D26+'G22-19042022-1'!D26+'G22-19042022'!D26+'BA20-19041718'!D26+'YI19-19041819-S'!D26+'JT19-19041718'!D26+'BA19-19041618-S'!D26+'EMM19-19041617'!D26+'BA18-19041618'!D26+'G18-19041516'!D26+'JT18-19041617.'!D26+'JT18-19041617'!D26+'EMM17-19041617-S'!D26+'ALP17-19041617-S'!D26+'ÜN17-19041617-S'!D26+'G17-19041315'!D26+'ÖB16-19041416-K'!D26+'ÖB16-19041416'!D26+'EB16-19041415-S'!D26+'EM15-19041115-S'!D26+'AY15-19041415-S'!D26+'ÖA15-19041011'!D26+'FA15-19041213-S'!D26+'ÖA15-19041415-1'!D26+'ÖA15-19041415'!D26+'ÖA13-19041112'!D26+'EM12-19040912-S'!D26+'BA12-19041112-S'!D26+'JT12-19040911-S'!D26+'JT12-19040911'!D26+'JT12-19040911-D'!D26+'ALP11-19040910'!D26+'BA11-19040910'!D26+'MOL11-19041011'!D26+'BA11-19040910-S'!D26+'ÜN10-19040910-S'!D26+'ÖA10-19040809'!D26+'BA9-19040709'!D26+'BA9-19040709-S'!D26+'AT9-19040808'!D26+'JT9-19040608-D'!D26+'JT9-19040608-S'!D26+'JT9-19040608-1'!D26+'JT9-19040608'!D26+'ÖA9-19040708-1'!D26+'ÖB8-19040506'!D26+'ÖA8-19040708'!D26+'JT8-19040607'!D26+'ÖB6-19040506-S'!D26+'ÖB6-19040405'!D26+'ÖA5-19040405'!D26+'EM5-19040405-S'!D26+'G5-19040304-1'!D26+'ÖA4-19040304'!D26+'G4-19040304'!D26+'G3-19040203'!D26+'ÜN3-19040203-S'!D26+'G2-19040102'!D26+'ÖA2-19043101'!D26+'BA2-19043101-S'!D26+'AY1-19043101'!D26+'AY1-19043101-S'!D26+'G1-19043001-1'!D26+'G1-19043001'!D26</f>
        <v>172964.59999999995</v>
      </c>
      <c r="E26" s="29">
        <f t="shared" ref="E26:E32" si="7">D26/$D$48</f>
        <v>0.18678691582517501</v>
      </c>
      <c r="F26" s="28">
        <f t="shared" ref="F26:F31" si="8">C26-(C26*$E$6)</f>
        <v>38.625148550063933</v>
      </c>
      <c r="G26" s="27" t="str">
        <f t="shared" ref="G26:G31" si="9">IF(C26&gt;=F26,"-","+")</f>
        <v>+</v>
      </c>
      <c r="H26" s="26">
        <f t="shared" ref="H26:H31" si="10">C26*D26</f>
        <v>6555358.339999998</v>
      </c>
      <c r="I26" s="26">
        <f t="shared" ref="I26:I31" si="11">F26*D26</f>
        <v>6680783.3689023862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33.700000000000003</v>
      </c>
      <c r="D27" s="117">
        <f>'BAY30-19042729-S'!D27+'EB30-19042830-S'!D27+'G30-19042930'!D27+'ÖA29-19042829'!D27+'AYG29-19042829-S'!D27+'G29-19042629-1'!D27+'G29-19042629'!D27+'EM26-19042426-S'!D27+'AY26-19042425-S'!D27+'ÖB26-19042425-S'!D27+'ÖB26-19042425'!D27+'ÖA25-19042425'!D27+'G25-19042325-1'!D27+'G25-19042325'!D27+'YI24-19042324-S'!D27+'ÜN24-19042324-S'!D27+'BO24-19042022-S'!D27+'BO24-19042022'!D27+'ÖB24-19042122-D'!D27+'ÖB24-19042122-S'!D27+'ÖB24-19042122'!D27+'ÖA22-19042122'!D27+'BAY22-19042222-S'!D27+'AY22-19042122-S'!D27+'EM22-19041619-S'!D27+'G22-19042022-1'!D27+'G22-19042022'!D27+'BA20-19041718'!D27+'YI19-19041819-S'!D27+'JT19-19041718'!D27+'BA19-19041618-S'!D27+'EMM19-19041617'!D27+'BA18-19041618'!D27+'G18-19041516'!D27+'JT18-19041617.'!D27+'JT18-19041617'!D27+'EMM17-19041617-S'!D27+'ALP17-19041617-S'!D27+'ÜN17-19041617-S'!D27+'G17-19041315'!D27+'ÖB16-19041416-K'!D27+'ÖB16-19041416'!D27+'EB16-19041415-S'!D27+'EM15-19041115-S'!D27+'AY15-19041415-S'!D27+'ÖA15-19041011'!D27+'FA15-19041213-S'!D27+'ÖA15-19041415-1'!D27+'ÖA15-19041415'!D27+'ÖA13-19041112'!D27+'EM12-19040912-S'!D27+'BA12-19041112-S'!D27+'JT12-19040911-S'!D27+'JT12-19040911'!D27+'JT12-19040911-D'!D27+'ALP11-19040910'!D27+'BA11-19040910'!D27+'MOL11-19041011'!D27+'BA11-19040910-S'!D27+'ÜN10-19040910-S'!D27+'ÖA10-19040809'!D27+'BA9-19040709'!D27+'BA9-19040709-S'!D27+'AT9-19040808'!D27+'JT9-19040608-D'!D27+'JT9-19040608-S'!D27+'JT9-19040608-1'!D27+'JT9-19040608'!D27+'ÖA9-19040708-1'!D27+'ÖB8-19040506'!D27+'ÖA8-19040708'!D27+'JT8-19040607'!D27+'ÖB6-19040506-S'!D27+'ÖB6-19040405'!D27+'ÖA5-19040405'!D27+'EM5-19040405-S'!D27+'G5-19040304-1'!D27+'ÖA4-19040304'!D27+'G4-19040304'!D27+'G3-19040203'!D27+'ÜN3-19040203-S'!D27+'G2-19040102'!D27+'ÖA2-19043101'!D27+'BA2-19043101-S'!D27+'AY1-19043101'!D27+'AY1-19043101-S'!D27+'G1-19043001-1'!D27+'G1-19043001'!D27</f>
        <v>143458.9</v>
      </c>
      <c r="E27" s="29">
        <f t="shared" si="7"/>
        <v>0.15492329342924624</v>
      </c>
      <c r="F27" s="28">
        <f t="shared" si="8"/>
        <v>34.34478908013601</v>
      </c>
      <c r="G27" s="27" t="str">
        <f t="shared" si="9"/>
        <v>+</v>
      </c>
      <c r="H27" s="26">
        <f t="shared" si="10"/>
        <v>4834564.9300000006</v>
      </c>
      <c r="I27" s="26">
        <f t="shared" si="11"/>
        <v>4927065.662168324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33.700000000000003</v>
      </c>
      <c r="D28" s="117">
        <f>'BAY30-19042729-S'!D28+'EB30-19042830-S'!D28+'G30-19042930'!D28+'ÖA29-19042829'!D28+'AYG29-19042829-S'!D28+'G29-19042629-1'!D28+'G29-19042629'!D28+'EM26-19042426-S'!D28+'AY26-19042425-S'!D28+'ÖB26-19042425-S'!D28+'ÖB26-19042425'!D28+'ÖA25-19042425'!D28+'G25-19042325-1'!D28+'G25-19042325'!D28+'YI24-19042324-S'!D28+'ÜN24-19042324-S'!D28+'BO24-19042022-S'!D28+'BO24-19042022'!D28+'ÖB24-19042122-D'!D28+'ÖB24-19042122-S'!D28+'ÖB24-19042122'!D28+'ÖA22-19042122'!D28+'BAY22-19042222-S'!D28+'AY22-19042122-S'!D28+'EM22-19041619-S'!D28+'G22-19042022-1'!D28+'G22-19042022'!D28+'BA20-19041718'!D28+'YI19-19041819-S'!D28+'JT19-19041718'!D28+'BA19-19041618-S'!D28+'EMM19-19041617'!D28+'BA18-19041618'!D28+'G18-19041516'!D28+'JT18-19041617.'!D28+'JT18-19041617'!D28+'EMM17-19041617-S'!D28+'ALP17-19041617-S'!D28+'ÜN17-19041617-S'!D28+'G17-19041315'!D28+'ÖB16-19041416-K'!D28+'ÖB16-19041416'!D28+'EB16-19041415-S'!D28+'EM15-19041115-S'!D28+'AY15-19041415-S'!D28+'ÖA15-19041011'!D28+'FA15-19041213-S'!D28+'ÖA15-19041415-1'!D28+'ÖA15-19041415'!D28+'ÖA13-19041112'!D28+'EM12-19040912-S'!D28+'BA12-19041112-S'!D28+'JT12-19040911-S'!D28+'JT12-19040911'!D28+'JT12-19040911-D'!D28+'ALP11-19040910'!D28+'BA11-19040910'!D28+'MOL11-19041011'!D28+'BA11-19040910-S'!D28+'ÜN10-19040910-S'!D28+'ÖA10-19040809'!D28+'BA9-19040709'!D28+'BA9-19040709-S'!D28+'AT9-19040808'!D28+'JT9-19040608-D'!D28+'JT9-19040608-S'!D28+'JT9-19040608-1'!D28+'JT9-19040608'!D28+'ÖA9-19040708-1'!D28+'ÖB8-19040506'!D28+'ÖA8-19040708'!D28+'JT8-19040607'!D28+'ÖB6-19040506-S'!D28+'ÖB6-19040405'!D28+'ÖA5-19040405'!D28+'EM5-19040405-S'!D28+'G5-19040304-1'!D28+'ÖA4-19040304'!D28+'G4-19040304'!D28+'G3-19040203'!D28+'ÜN3-19040203-S'!D28+'G2-19040102'!D28+'ÖA2-19043101'!D28+'BA2-19043101-S'!D28+'AY1-19043101'!D28+'AY1-19043101-S'!D28+'G1-19043001-1'!D28+'G1-19043001'!D28</f>
        <v>93202.499999999985</v>
      </c>
      <c r="E28" s="29">
        <f t="shared" si="7"/>
        <v>0.10065069686048982</v>
      </c>
      <c r="F28" s="28">
        <f t="shared" si="8"/>
        <v>34.34478908013601</v>
      </c>
      <c r="G28" s="27" t="str">
        <f t="shared" si="9"/>
        <v>+</v>
      </c>
      <c r="H28" s="26">
        <f t="shared" si="10"/>
        <v>3140924.25</v>
      </c>
      <c r="I28" s="26">
        <f t="shared" si="11"/>
        <v>3201020.2042413759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117">
        <f>'BAY30-19042729-S'!D29+'EB30-19042830-S'!D29+'G30-19042930'!D29+'ÖA29-19042829'!D29+'AYG29-19042829-S'!D29+'G29-19042629-1'!D29+'G29-19042629'!D29+'EM26-19042426-S'!D29+'AY26-19042425-S'!D29+'ÖB26-19042425-S'!D29+'ÖB26-19042425'!D29+'ÖA25-19042425'!D29+'G25-19042325-1'!D29+'G25-19042325'!D29+'YI24-19042324-S'!D29+'ÜN24-19042324-S'!D29+'BO24-19042022-S'!D29+'BO24-19042022'!D29+'ÖB24-19042122-D'!D29+'ÖB24-19042122-S'!D29+'ÖB24-19042122'!D29+'ÖA22-19042122'!D29+'BAY22-19042222-S'!D29+'AY22-19042122-S'!D29+'EM22-19041619-S'!D29+'G22-19042022-1'!D29+'G22-19042022'!D29+'BA20-19041718'!D29+'YI19-19041819-S'!D29+'JT19-19041718'!D29+'BA19-19041618-S'!D29+'EMM19-19041617'!D29+'BA18-19041618'!D29+'G18-19041516'!D29+'JT18-19041617.'!D29+'JT18-19041617'!D29+'EMM17-19041617-S'!D29+'ALP17-19041617-S'!D29+'ÜN17-19041617-S'!D29+'G17-19041315'!D29+'ÖB16-19041416-K'!D29+'ÖB16-19041416'!D29+'EB16-19041415-S'!D29+'EM15-19041115-S'!D29+'AY15-19041415-S'!D29+'ÖA15-19041011'!D29+'FA15-19041213-S'!D29+'ÖA15-19041415-1'!D29+'ÖA15-19041415'!D29+'ÖA13-19041112'!D29+'EM12-19040912-S'!D29+'BA12-19041112-S'!D29+'JT12-19040911-S'!D29+'JT12-19040911'!D29+'JT12-19040911-D'!D29+'ALP11-19040910'!D29+'BA11-19040910'!D29+'MOL11-19041011'!D29+'BA11-19040910-S'!D29+'ÜN10-19040910-S'!D29+'ÖA10-19040809'!D29+'BA9-19040709'!D29+'BA9-19040709-S'!D29+'AT9-19040808'!D29+'JT9-19040608-D'!D29+'JT9-19040608-S'!D29+'JT9-19040608-1'!D29+'JT9-19040608'!D29+'ÖA9-19040708-1'!D29+'ÖB8-19040506'!D29+'ÖA8-19040708'!D29+'JT8-19040607'!D29+'ÖB6-19040506-S'!D29+'ÖB6-19040405'!D29+'ÖA5-19040405'!D29+'EM5-19040405-S'!D29+'G5-19040304-1'!D29+'ÖA4-19040304'!D29+'G4-19040304'!D29+'G3-19040203'!D29+'ÜN3-19040203-S'!D29+'G2-19040102'!D29+'ÖA2-19043101'!D29+'BA2-19043101-S'!D29+'AY1-19043101'!D29+'AY1-19043101-S'!D29+'G1-19043001-1'!D29+'G1-19043001'!D29</f>
        <v>87166.400000000023</v>
      </c>
      <c r="E29" s="29">
        <f t="shared" si="7"/>
        <v>9.4132227170088817E-2</v>
      </c>
      <c r="F29" s="28">
        <f t="shared" si="8"/>
        <v>33.223742552297743</v>
      </c>
      <c r="G29" s="27" t="str">
        <f t="shared" si="9"/>
        <v>+</v>
      </c>
      <c r="H29" s="26">
        <f t="shared" si="10"/>
        <v>2841624.6400000011</v>
      </c>
      <c r="I29" s="26">
        <f t="shared" si="11"/>
        <v>2895994.032810607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117">
        <f>'BAY30-19042729-S'!D30+'EB30-19042830-S'!D30+'G30-19042930'!D30+'ÖA29-19042829'!D30+'AYG29-19042829-S'!D30+'G29-19042629-1'!D30+'G29-19042629'!D30+'EM26-19042426-S'!D30+'AY26-19042425-S'!D30+'ÖB26-19042425-S'!D30+'ÖB26-19042425'!D30+'ÖA25-19042425'!D30+'G25-19042325-1'!D30+'G25-19042325'!D30+'YI24-19042324-S'!D30+'ÜN24-19042324-S'!D30+'BO24-19042022-S'!D30+'BO24-19042022'!D30+'ÖB24-19042122-D'!D30+'ÖB24-19042122-S'!D30+'ÖB24-19042122'!D30+'ÖA22-19042122'!D30+'BAY22-19042222-S'!D30+'AY22-19042122-S'!D30+'EM22-19041619-S'!D30+'G22-19042022-1'!D30+'G22-19042022'!D30+'BA20-19041718'!D30+'YI19-19041819-S'!D30+'JT19-19041718'!D30+'BA19-19041618-S'!D30+'EMM19-19041617'!D30+'BA18-19041618'!D30+'G18-19041516'!D30+'JT18-19041617.'!D30+'JT18-19041617'!D30+'EMM17-19041617-S'!D30+'ALP17-19041617-S'!D30+'ÜN17-19041617-S'!D30+'G17-19041315'!D30+'ÖB16-19041416-K'!D30+'ÖB16-19041416'!D30+'EB16-19041415-S'!D30+'EM15-19041115-S'!D30+'AY15-19041415-S'!D30+'ÖA15-19041011'!D30+'FA15-19041213-S'!D30+'ÖA15-19041415-1'!D30+'ÖA15-19041415'!D30+'ÖA13-19041112'!D30+'EM12-19040912-S'!D30+'BA12-19041112-S'!D30+'JT12-19040911-S'!D30+'JT12-19040911'!D30+'JT12-19040911-D'!D30+'ALP11-19040910'!D30+'BA11-19040910'!D30+'MOL11-19041011'!D30+'BA11-19040910-S'!D30+'ÜN10-19040910-S'!D30+'ÖA10-19040809'!D30+'BA9-19040709'!D30+'BA9-19040709-S'!D30+'AT9-19040808'!D30+'JT9-19040608-D'!D30+'JT9-19040608-S'!D30+'JT9-19040608-1'!D30+'JT9-19040608'!D30+'ÖA9-19040708-1'!D30+'ÖB8-19040506'!D30+'ÖA8-19040708'!D30+'JT8-19040607'!D30+'ÖB6-19040506-S'!D30+'ÖB6-19040405'!D30+'ÖA5-19040405'!D30+'EM5-19040405-S'!D30+'G5-19040304-1'!D30+'ÖA4-19040304'!D30+'G4-19040304'!D30+'G3-19040203'!D30+'ÜN3-19040203-S'!D30+'G2-19040102'!D30+'ÖA2-19043101'!D30+'BA2-19043101-S'!D30+'AY1-19043101'!D30+'AY1-19043101-S'!D30+'G1-19043001-1'!D30+'G1-19043001'!D30</f>
        <v>59231.199999999997</v>
      </c>
      <c r="E30" s="29">
        <f t="shared" si="7"/>
        <v>6.3964609918006968E-2</v>
      </c>
      <c r="F30" s="28">
        <f t="shared" si="8"/>
        <v>33.223742552297743</v>
      </c>
      <c r="G30" s="27" t="str">
        <f t="shared" si="9"/>
        <v>+</v>
      </c>
      <c r="H30" s="26">
        <f t="shared" si="10"/>
        <v>1930937.1199999999</v>
      </c>
      <c r="I30" s="26">
        <f t="shared" si="11"/>
        <v>1967882.139863658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117">
        <f>'BAY30-19042729-S'!D31+'EB30-19042830-S'!D31+'G30-19042930'!D31+'ÖA29-19042829'!D31+'AYG29-19042829-S'!D31+'G29-19042629-1'!D31+'G29-19042629'!D31+'EM26-19042426-S'!D31+'AY26-19042425-S'!D31+'ÖB26-19042425-S'!D31+'ÖB26-19042425'!D31+'ÖA25-19042425'!D31+'G25-19042325-1'!D31+'G25-19042325'!D31+'YI24-19042324-S'!D31+'ÜN24-19042324-S'!D31+'BO24-19042022-S'!D31+'BO24-19042022'!D31+'ÖB24-19042122-D'!D31+'ÖB24-19042122-S'!D31+'ÖB24-19042122'!D31+'ÖA22-19042122'!D31+'BAY22-19042222-S'!D31+'AY22-19042122-S'!D31+'EM22-19041619-S'!D31+'G22-19042022-1'!D31+'G22-19042022'!D31+'BA20-19041718'!D31+'YI19-19041819-S'!D31+'JT19-19041718'!D31+'BA19-19041618-S'!D31+'EMM19-19041617'!D31+'BA18-19041618'!D31+'G18-19041516'!D31+'JT18-19041617.'!D31+'JT18-19041617'!D31+'EMM17-19041617-S'!D31+'ALP17-19041617-S'!D31+'ÜN17-19041617-S'!D31+'G17-19041315'!D31+'ÖB16-19041416-K'!D31+'ÖB16-19041416'!D31+'EB16-19041415-S'!D31+'EM15-19041115-S'!D31+'AY15-19041415-S'!D31+'ÖA15-19041011'!D31+'FA15-19041213-S'!D31+'ÖA15-19041415-1'!D31+'ÖA15-19041415'!D31+'ÖA13-19041112'!D31+'EM12-19040912-S'!D31+'BA12-19041112-S'!D31+'JT12-19040911-S'!D31+'JT12-19040911'!D31+'JT12-19040911-D'!D31+'ALP11-19040910'!D31+'BA11-19040910'!D31+'MOL11-19041011'!D31+'BA11-19040910-S'!D31+'ÜN10-19040910-S'!D31+'ÖA10-19040809'!D31+'BA9-19040709'!D31+'BA9-19040709-S'!D31+'AT9-19040808'!D31+'JT9-19040608-D'!D31+'JT9-19040608-S'!D31+'JT9-19040608-1'!D31+'JT9-19040608'!D31+'ÖA9-19040708-1'!D31+'ÖB8-19040506'!D31+'ÖA8-19040708'!D31+'JT8-19040607'!D31+'ÖB6-19040506-S'!D31+'ÖB6-19040405'!D31+'ÖA5-19040405'!D31+'EM5-19040405-S'!D31+'G5-19040304-1'!D31+'ÖA4-19040304'!D31+'G4-19040304'!D31+'G3-19040203'!D31+'ÜN3-19040203-S'!D31+'G2-19040102'!D31+'ÖA2-19043101'!D31+'BA2-19043101-S'!D31+'AY1-19043101'!D31+'AY1-19043101-S'!D31+'G1-19043001-1'!D31+'G1-19043001'!D31</f>
        <v>15646.899999999998</v>
      </c>
      <c r="E31" s="29">
        <f t="shared" si="7"/>
        <v>1.6897308427417698E-2</v>
      </c>
      <c r="F31" s="28">
        <f t="shared" si="8"/>
        <v>33.835222476573165</v>
      </c>
      <c r="G31" s="27" t="str">
        <f t="shared" si="9"/>
        <v>+</v>
      </c>
      <c r="H31" s="26">
        <f t="shared" si="10"/>
        <v>519477.07999999996</v>
      </c>
      <c r="I31" s="26">
        <f t="shared" si="11"/>
        <v>529416.34256869263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34.675370445037828</v>
      </c>
      <c r="D32" s="22">
        <f>SUM(D26:D31)</f>
        <v>571670.5</v>
      </c>
      <c r="E32" s="21">
        <f t="shared" si="7"/>
        <v>0.61735505163042459</v>
      </c>
      <c r="F32" s="20">
        <f>I32/D32</f>
        <v>35.338821489923028</v>
      </c>
      <c r="G32" s="19">
        <f>F32/C32-1</f>
        <v>1.9133207125697549E-2</v>
      </c>
      <c r="H32" s="18">
        <f>SUM(H26:H31)</f>
        <v>19822886.359999999</v>
      </c>
      <c r="I32" s="18">
        <f>SUM(I26:I31)</f>
        <v>20202161.750555042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117">
        <f>'BAY30-19042729-S'!D34+'EB30-19042830-S'!D34+'G30-19042930'!D34+'ÖA29-19042829'!D34+'AYG29-19042829-S'!D34+'G29-19042629-1'!D34+'G29-19042629'!D34+'EM26-19042426-S'!D34+'AY26-19042425-S'!D34+'ÖB26-19042425-S'!D34+'ÖB26-19042425'!D34+'ÖA25-19042425'!D34+'G25-19042325-1'!D34+'G25-19042325'!D34+'YI24-19042324-S'!D34+'ÜN24-19042324-S'!D34+'BO24-19042022-S'!D34+'BO24-19042022'!D34+'ÖB24-19042122-D'!D34+'ÖB24-19042122-S'!D34+'ÖB24-19042122'!D34+'ÖA22-19042122'!D34+'BAY22-19042222-S'!D34+'AY22-19042122-S'!D34+'EM22-19041619-S'!D34+'G22-19042022-1'!D34+'G22-19042022'!D34+'BA20-19041718'!D34+'YI19-19041819-S'!D34+'JT19-19041718'!D34+'BA19-19041618-S'!D34+'EMM19-19041617'!D34+'BA18-19041618'!D34+'G18-19041516'!D34+'JT18-19041617.'!D34+'JT18-19041617'!D34+'EMM17-19041617-S'!D34+'ALP17-19041617-S'!D34+'ÜN17-19041617-S'!D34+'G17-19041315'!D34+'ÖB16-19041416-K'!D34+'ÖB16-19041416'!D34+'EB16-19041415-S'!D34+'EM15-19041115-S'!D34+'AY15-19041415-S'!D34+'ÖA15-19041011'!D34+'FA15-19041213-S'!D34+'ÖA15-19041415-1'!D34+'ÖA15-19041415'!D34+'ÖA13-19041112'!D34+'EM12-19040912-S'!D34+'BA12-19041112-S'!D34+'JT12-19040911-S'!D34+'JT12-19040911'!D34+'JT12-19040911-D'!D34+'ALP11-19040910'!D34+'BA11-19040910'!D34+'MOL11-19041011'!D34+'BA11-19040910-S'!D34+'ÜN10-19040910-S'!D34+'ÖA10-19040809'!D34+'BA9-19040709'!D34+'BA9-19040709-S'!D34+'AT9-19040808'!D34+'JT9-19040608-D'!D34+'JT9-19040608-S'!D34+'JT9-19040608-1'!D34+'JT9-19040608'!D34+'ÖA9-19040708-1'!D34+'ÖB8-19040506'!D34+'ÖA8-19040708'!D34+'JT8-19040607'!D34+'ÖB6-19040506-S'!D34+'ÖB6-19040405'!D34+'ÖA5-19040405'!D34+'EM5-19040405-S'!D34+'G5-19040304-1'!D34+'ÖA4-19040304'!D34+'G4-19040304'!D34+'G3-19040203'!D34+'ÜN3-19040203-S'!D34+'G2-19040102'!D34+'ÖA2-19043101'!D34+'BA2-19043101-S'!D34+'AY1-19043101'!D34+'AY1-19043101-S'!D34+'G1-19043001-1'!D34+'G1-19043001'!D34</f>
        <v>132856.5</v>
      </c>
      <c r="E34" s="29">
        <f t="shared" ref="E34:E40" si="13">D34/$D$48</f>
        <v>0.14347361183922822</v>
      </c>
      <c r="F34" s="28">
        <f t="shared" ref="F34:F39" si="14">C34-(C34*$E$6)</f>
        <v>20.28075082180138</v>
      </c>
      <c r="G34" s="27" t="str">
        <f t="shared" ref="G34:G39" si="15">IF(C34&gt;=F34,"-","+")</f>
        <v>+</v>
      </c>
      <c r="H34" s="26">
        <f t="shared" ref="H34:H39" si="16">C34*D34</f>
        <v>2643844.3499999996</v>
      </c>
      <c r="I34" s="26">
        <f t="shared" ref="I34:I39" si="17">F34*D34</f>
        <v>2694429.5715566552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117">
        <f>'BAY30-19042729-S'!D35+'EB30-19042830-S'!D35+'G30-19042930'!D35+'ÖA29-19042829'!D35+'AYG29-19042829-S'!D35+'G29-19042629-1'!D35+'G29-19042629'!D35+'EM26-19042426-S'!D35+'AY26-19042425-S'!D35+'ÖB26-19042425-S'!D35+'ÖB26-19042425'!D35+'ÖA25-19042425'!D35+'G25-19042325-1'!D35+'G25-19042325'!D35+'YI24-19042324-S'!D35+'ÜN24-19042324-S'!D35+'BO24-19042022-S'!D35+'BO24-19042022'!D35+'ÖB24-19042122-D'!D35+'ÖB24-19042122-S'!D35+'ÖB24-19042122'!D35+'ÖA22-19042122'!D35+'BAY22-19042222-S'!D35+'AY22-19042122-S'!D35+'EM22-19041619-S'!D35+'G22-19042022-1'!D35+'G22-19042022'!D35+'BA20-19041718'!D35+'YI19-19041819-S'!D35+'JT19-19041718'!D35+'BA19-19041618-S'!D35+'EMM19-19041617'!D35+'BA18-19041618'!D35+'G18-19041516'!D35+'JT18-19041617.'!D35+'JT18-19041617'!D35+'EMM17-19041617-S'!D35+'ALP17-19041617-S'!D35+'ÜN17-19041617-S'!D35+'G17-19041315'!D35+'ÖB16-19041416-K'!D35+'ÖB16-19041416'!D35+'EB16-19041415-S'!D35+'EM15-19041115-S'!D35+'AY15-19041415-S'!D35+'ÖA15-19041011'!D35+'FA15-19041213-S'!D35+'ÖA15-19041415-1'!D35+'ÖA15-19041415'!D35+'ÖA13-19041112'!D35+'EM12-19040912-S'!D35+'BA12-19041112-S'!D35+'JT12-19040911-S'!D35+'JT12-19040911'!D35+'JT12-19040911-D'!D35+'ALP11-19040910'!D35+'BA11-19040910'!D35+'MOL11-19041011'!D35+'BA11-19040910-S'!D35+'ÜN10-19040910-S'!D35+'ÖA10-19040809'!D35+'BA9-19040709'!D35+'BA9-19040709-S'!D35+'AT9-19040808'!D35+'JT9-19040608-D'!D35+'JT9-19040608-S'!D35+'JT9-19040608-1'!D35+'JT9-19040608'!D35+'ÖA9-19040708-1'!D35+'ÖB8-19040506'!D35+'ÖA8-19040708'!D35+'JT8-19040607'!D35+'ÖB6-19040506-S'!D35+'ÖB6-19040405'!D35+'ÖA5-19040405'!D35+'EM5-19040405-S'!D35+'G5-19040304-1'!D35+'ÖA4-19040304'!D35+'G4-19040304'!D35+'G3-19040203'!D35+'ÜN3-19040203-S'!D35+'G2-19040102'!D35+'ÖA2-19043101'!D35+'BA2-19043101-S'!D35+'AY1-19043101'!D35+'AY1-19043101-S'!D35+'G1-19043001-1'!D35+'G1-19043001'!D35</f>
        <v>6606.5000000000018</v>
      </c>
      <c r="E35" s="29">
        <f t="shared" si="13"/>
        <v>7.1344527111271289E-3</v>
      </c>
      <c r="F35" s="28">
        <f t="shared" si="14"/>
        <v>15.592738069023174</v>
      </c>
      <c r="G35" s="27" t="str">
        <f t="shared" si="15"/>
        <v>+</v>
      </c>
      <c r="H35" s="26">
        <f t="shared" si="16"/>
        <v>101079.45000000003</v>
      </c>
      <c r="I35" s="26">
        <f t="shared" si="17"/>
        <v>103013.42405300162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117">
        <f>'BAY30-19042729-S'!D36+'EB30-19042830-S'!D36+'G30-19042930'!D36+'ÖA29-19042829'!D36+'AYG29-19042829-S'!D36+'G29-19042629-1'!D36+'G29-19042629'!D36+'EM26-19042426-S'!D36+'AY26-19042425-S'!D36+'ÖB26-19042425-S'!D36+'ÖB26-19042425'!D36+'ÖA25-19042425'!D36+'G25-19042325-1'!D36+'G25-19042325'!D36+'YI24-19042324-S'!D36+'ÜN24-19042324-S'!D36+'BO24-19042022-S'!D36+'BO24-19042022'!D36+'ÖB24-19042122-D'!D36+'ÖB24-19042122-S'!D36+'ÖB24-19042122'!D36+'ÖA22-19042122'!D36+'BAY22-19042222-S'!D36+'AY22-19042122-S'!D36+'EM22-19041619-S'!D36+'G22-19042022-1'!D36+'G22-19042022'!D36+'BA20-19041718'!D36+'YI19-19041819-S'!D36+'JT19-19041718'!D36+'BA19-19041618-S'!D36+'EMM19-19041617'!D36+'BA18-19041618'!D36+'G18-19041516'!D36+'JT18-19041617.'!D36+'JT18-19041617'!D36+'EMM17-19041617-S'!D36+'ALP17-19041617-S'!D36+'ÜN17-19041617-S'!D36+'G17-19041315'!D36+'ÖB16-19041416-K'!D36+'ÖB16-19041416'!D36+'EB16-19041415-S'!D36+'EM15-19041115-S'!D36+'AY15-19041415-S'!D36+'ÖA15-19041011'!D36+'FA15-19041213-S'!D36+'ÖA15-19041415-1'!D36+'ÖA15-19041415'!D36+'ÖA13-19041112'!D36+'EM12-19040912-S'!D36+'BA12-19041112-S'!D36+'JT12-19040911-S'!D36+'JT12-19040911'!D36+'JT12-19040911-D'!D36+'ALP11-19040910'!D36+'BA11-19040910'!D36+'MOL11-19041011'!D36+'BA11-19040910-S'!D36+'ÜN10-19040910-S'!D36+'ÖA10-19040809'!D36+'BA9-19040709'!D36+'BA9-19040709-S'!D36+'AT9-19040808'!D36+'JT9-19040608-D'!D36+'JT9-19040608-S'!D36+'JT9-19040608-1'!D36+'JT9-19040608'!D36+'ÖA9-19040708-1'!D36+'ÖB8-19040506'!D36+'ÖA8-19040708'!D36+'JT8-19040607'!D36+'ÖB6-19040506-S'!D36+'ÖB6-19040405'!D36+'ÖA5-19040405'!D36+'EM5-19040405-S'!D36+'G5-19040304-1'!D36+'ÖA4-19040304'!D36+'G4-19040304'!D36+'G3-19040203'!D36+'ÜN3-19040203-S'!D36+'G2-19040102'!D36+'ÖA2-19043101'!D36+'BA2-19043101-S'!D36+'AY1-19043101'!D36+'AY1-19043101-S'!D36+'G1-19043001-1'!D36+'G1-19043001'!D36</f>
        <v>0</v>
      </c>
      <c r="E36" s="29">
        <f t="shared" si="13"/>
        <v>0</v>
      </c>
      <c r="F36" s="28">
        <f t="shared" si="14"/>
        <v>12.535338447646081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117">
        <f>'BAY30-19042729-S'!D37+'EB30-19042830-S'!D37+'G30-19042930'!D37+'ÖA29-19042829'!D37+'AYG29-19042829-S'!D37+'G29-19042629-1'!D37+'G29-19042629'!D37+'EM26-19042426-S'!D37+'AY26-19042425-S'!D37+'ÖB26-19042425-S'!D37+'ÖB26-19042425'!D37+'ÖA25-19042425'!D37+'G25-19042325-1'!D37+'G25-19042325'!D37+'YI24-19042324-S'!D37+'ÜN24-19042324-S'!D37+'BO24-19042022-S'!D37+'BO24-19042022'!D37+'ÖB24-19042122-D'!D37+'ÖB24-19042122-S'!D37+'ÖB24-19042122'!D37+'ÖA22-19042122'!D37+'BAY22-19042222-S'!D37+'AY22-19042122-S'!D37+'EM22-19041619-S'!D37+'G22-19042022-1'!D37+'G22-19042022'!D37+'BA20-19041718'!D37+'YI19-19041819-S'!D37+'JT19-19041718'!D37+'BA19-19041618-S'!D37+'EMM19-19041617'!D37+'BA18-19041618'!D37+'G18-19041516'!D37+'JT18-19041617.'!D37+'JT18-19041617'!D37+'EMM17-19041617-S'!D37+'ALP17-19041617-S'!D37+'ÜN17-19041617-S'!D37+'G17-19041315'!D37+'ÖB16-19041416-K'!D37+'ÖB16-19041416'!D37+'EB16-19041415-S'!D37+'EM15-19041115-S'!D37+'AY15-19041415-S'!D37+'ÖA15-19041011'!D37+'FA15-19041213-S'!D37+'ÖA15-19041415-1'!D37+'ÖA15-19041415'!D37+'ÖA13-19041112'!D37+'EM12-19040912-S'!D37+'BA12-19041112-S'!D37+'JT12-19040911-S'!D37+'JT12-19040911'!D37+'JT12-19040911-D'!D37+'ALP11-19040910'!D37+'BA11-19040910'!D37+'MOL11-19041011'!D37+'BA11-19040910-S'!D37+'ÜN10-19040910-S'!D37+'ÖA10-19040809'!D37+'BA9-19040709'!D37+'BA9-19040709-S'!D37+'AT9-19040808'!D37+'JT9-19040608-D'!D37+'JT9-19040608-S'!D37+'JT9-19040608-1'!D37+'JT9-19040608'!D37+'ÖA9-19040708-1'!D37+'ÖB8-19040506'!D37+'ÖA8-19040708'!D37+'JT8-19040607'!D37+'ÖB6-19040506-S'!D37+'ÖB6-19040405'!D37+'ÖA5-19040405'!D37+'EM5-19040405-S'!D37+'G5-19040304-1'!D37+'ÖA4-19040304'!D37+'G4-19040304'!D37+'G3-19040203'!D37+'ÜN3-19040203-S'!D37+'G2-19040102'!D37+'ÖA2-19043101'!D37+'BA2-19043101-S'!D37+'AY1-19043101'!D37+'AY1-19043101-S'!D37+'G1-19043001-1'!D37+'G1-19043001'!D37</f>
        <v>0</v>
      </c>
      <c r="E37" s="29">
        <f t="shared" si="13"/>
        <v>0</v>
      </c>
      <c r="F37" s="28">
        <f t="shared" si="14"/>
        <v>33.223742552297743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117">
        <f>'BAY30-19042729-S'!D38+'EB30-19042830-S'!D38+'G30-19042930'!D38+'ÖA29-19042829'!D38+'AYG29-19042829-S'!D38+'G29-19042629-1'!D38+'G29-19042629'!D38+'EM26-19042426-S'!D38+'AY26-19042425-S'!D38+'ÖB26-19042425-S'!D38+'ÖB26-19042425'!D38+'ÖA25-19042425'!D38+'G25-19042325-1'!D38+'G25-19042325'!D38+'YI24-19042324-S'!D38+'ÜN24-19042324-S'!D38+'BO24-19042022-S'!D38+'BO24-19042022'!D38+'ÖB24-19042122-D'!D38+'ÖB24-19042122-S'!D38+'ÖB24-19042122'!D38+'ÖA22-19042122'!D38+'BAY22-19042222-S'!D38+'AY22-19042122-S'!D38+'EM22-19041619-S'!D38+'G22-19042022-1'!D38+'G22-19042022'!D38+'BA20-19041718'!D38+'YI19-19041819-S'!D38+'JT19-19041718'!D38+'BA19-19041618-S'!D38+'EMM19-19041617'!D38+'BA18-19041618'!D38+'G18-19041516'!D38+'JT18-19041617.'!D38+'JT18-19041617'!D38+'EMM17-19041617-S'!D38+'ALP17-19041617-S'!D38+'ÜN17-19041617-S'!D38+'G17-19041315'!D38+'ÖB16-19041416-K'!D38+'ÖB16-19041416'!D38+'EB16-19041415-S'!D38+'EM15-19041115-S'!D38+'AY15-19041415-S'!D38+'ÖA15-19041011'!D38+'FA15-19041213-S'!D38+'ÖA15-19041415-1'!D38+'ÖA15-19041415'!D38+'ÖA13-19041112'!D38+'EM12-19040912-S'!D38+'BA12-19041112-S'!D38+'JT12-19040911-S'!D38+'JT12-19040911'!D38+'JT12-19040911-D'!D38+'ALP11-19040910'!D38+'BA11-19040910'!D38+'MOL11-19041011'!D38+'BA11-19040910-S'!D38+'ÜN10-19040910-S'!D38+'ÖA10-19040809'!D38+'BA9-19040709'!D38+'BA9-19040709-S'!D38+'AT9-19040808'!D38+'JT9-19040608-D'!D38+'JT9-19040608-S'!D38+'JT9-19040608-1'!D38+'JT9-19040608'!D38+'ÖA9-19040708-1'!D38+'ÖB8-19040506'!D38+'ÖA8-19040708'!D38+'JT8-19040607'!D38+'ÖB6-19040506-S'!D38+'ÖB6-19040405'!D38+'ÖA5-19040405'!D38+'EM5-19040405-S'!D38+'G5-19040304-1'!D38+'ÖA4-19040304'!D38+'G4-19040304'!D38+'G3-19040203'!D38+'ÜN3-19040203-S'!D38+'G2-19040102'!D38+'ÖA2-19043101'!D38+'BA2-19043101-S'!D38+'AY1-19043101'!D38+'AY1-19043101-S'!D38+'G1-19043001-1'!D38+'G1-19043001'!D38</f>
        <v>0</v>
      </c>
      <c r="E38" s="29">
        <f t="shared" si="13"/>
        <v>0</v>
      </c>
      <c r="F38" s="28">
        <f t="shared" si="14"/>
        <v>33.223742552297743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33.700000000000003</v>
      </c>
      <c r="D39" s="117">
        <f>'BAY30-19042729-S'!D39+'EB30-19042830-S'!D39+'G30-19042930'!D39+'ÖA29-19042829'!D39+'AYG29-19042829-S'!D39+'G29-19042629-1'!D39+'G29-19042629'!D39+'EM26-19042426-S'!D39+'AY26-19042425-S'!D39+'ÖB26-19042425-S'!D39+'ÖB26-19042425'!D39+'ÖA25-19042425'!D39+'G25-19042325-1'!D39+'G25-19042325'!D39+'YI24-19042324-S'!D39+'ÜN24-19042324-S'!D39+'BO24-19042022-S'!D39+'BO24-19042022'!D39+'ÖB24-19042122-D'!D39+'ÖB24-19042122-S'!D39+'ÖB24-19042122'!D39+'ÖA22-19042122'!D39+'BAY22-19042222-S'!D39+'AY22-19042122-S'!D39+'EM22-19041619-S'!D39+'G22-19042022-1'!D39+'G22-19042022'!D39+'BA20-19041718'!D39+'YI19-19041819-S'!D39+'JT19-19041718'!D39+'BA19-19041618-S'!D39+'EMM19-19041617'!D39+'BA18-19041618'!D39+'G18-19041516'!D39+'JT18-19041617.'!D39+'JT18-19041617'!D39+'EMM17-19041617-S'!D39+'ALP17-19041617-S'!D39+'ÜN17-19041617-S'!D39+'G17-19041315'!D39+'ÖB16-19041416-K'!D39+'ÖB16-19041416'!D39+'EB16-19041415-S'!D39+'EM15-19041115-S'!D39+'AY15-19041415-S'!D39+'ÖA15-19041011'!D39+'FA15-19041213-S'!D39+'ÖA15-19041415-1'!D39+'ÖA15-19041415'!D39+'ÖA13-19041112'!D39+'EM12-19040912-S'!D39+'BA12-19041112-S'!D39+'JT12-19040911-S'!D39+'JT12-19040911'!D39+'JT12-19040911-D'!D39+'ALP11-19040910'!D39+'BA11-19040910'!D39+'MOL11-19041011'!D39+'BA11-19040910-S'!D39+'ÜN10-19040910-S'!D39+'ÖA10-19040809'!D39+'BA9-19040709'!D39+'BA9-19040709-S'!D39+'AT9-19040808'!D39+'JT9-19040608-D'!D39+'JT9-19040608-S'!D39+'JT9-19040608-1'!D39+'JT9-19040608'!D39+'ÖA9-19040708-1'!D39+'ÖB8-19040506'!D39+'ÖA8-19040708'!D39+'JT8-19040607'!D39+'ÖB6-19040506-S'!D39+'ÖB6-19040405'!D39+'ÖA5-19040405'!D39+'EM5-19040405-S'!D39+'G5-19040304-1'!D39+'ÖA4-19040304'!D39+'G4-19040304'!D39+'G3-19040203'!D39+'ÜN3-19040203-S'!D39+'G2-19040102'!D39+'ÖA2-19043101'!D39+'BA2-19043101-S'!D39+'AY1-19043101'!D39+'AY1-19043101-S'!D39+'G1-19043001-1'!D39+'G1-19043001'!D39</f>
        <v>0</v>
      </c>
      <c r="E39" s="29">
        <f t="shared" si="13"/>
        <v>0</v>
      </c>
      <c r="F39" s="28">
        <f t="shared" si="14"/>
        <v>34.34478908013601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19.682093458480026</v>
      </c>
      <c r="D40" s="22">
        <f>SUM(D34:D39)</f>
        <v>139463</v>
      </c>
      <c r="E40" s="21">
        <f t="shared" si="13"/>
        <v>0.15060806455035533</v>
      </c>
      <c r="F40" s="20">
        <f>I40/D40</f>
        <v>20.058675029288462</v>
      </c>
      <c r="G40" s="19">
        <f>F40/C40-1</f>
        <v>1.9133207125697549E-2</v>
      </c>
      <c r="H40" s="18">
        <f>SUM(H34:H39)</f>
        <v>2744923.8</v>
      </c>
      <c r="I40" s="18">
        <f>SUM(I34:I39)</f>
        <v>2797442.9956096569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117">
        <f>'BAY30-19042729-S'!D42+'EB30-19042830-S'!D42+'G30-19042930'!D42+'ÖA29-19042829'!D42+'AYG29-19042829-S'!D42+'G29-19042629-1'!D42+'G29-19042629'!D42+'EM26-19042426-S'!D42+'AY26-19042425-S'!D42+'ÖB26-19042425-S'!D42+'ÖB26-19042425'!D42+'ÖA25-19042425'!D42+'G25-19042325-1'!D42+'G25-19042325'!D42+'YI24-19042324-S'!D42+'ÜN24-19042324-S'!D42+'BO24-19042022-S'!D42+'BO24-19042022'!D42+'ÖB24-19042122-D'!D42+'ÖB24-19042122-S'!D42+'ÖB24-19042122'!D42+'ÖA22-19042122'!D42+'BAY22-19042222-S'!D42+'AY22-19042122-S'!D42+'EM22-19041619-S'!D42+'G22-19042022-1'!D42+'G22-19042022'!D42+'BA20-19041718'!D42+'YI19-19041819-S'!D42+'JT19-19041718'!D42+'BA19-19041618-S'!D42+'EMM19-19041617'!D42+'BA18-19041618'!D42+'G18-19041516'!D42+'JT18-19041617.'!D42+'JT18-19041617'!D42+'EMM17-19041617-S'!D42+'ALP17-19041617-S'!D42+'ÜN17-19041617-S'!D42+'G17-19041315'!D42+'ÖB16-19041416-K'!D42+'ÖB16-19041416'!D42+'EB16-19041415-S'!D42+'EM15-19041115-S'!D42+'AY15-19041415-S'!D42+'ÖA15-19041011'!D42+'FA15-19041213-S'!D42+'ÖA15-19041415-1'!D42+'ÖA15-19041415'!D42+'ÖA13-19041112'!D42+'EM12-19040912-S'!D42+'BA12-19041112-S'!D42+'JT12-19040911-S'!D42+'JT12-19040911'!D42+'JT12-19040911-D'!D42+'ALP11-19040910'!D42+'BA11-19040910'!D42+'MOL11-19041011'!D42+'BA11-19040910-S'!D42+'ÜN10-19040910-S'!D42+'ÖA10-19040809'!D42+'BA9-19040709'!D42+'BA9-19040709-S'!D42+'AT9-19040808'!D42+'JT9-19040608-D'!D42+'JT9-19040608-S'!D42+'JT9-19040608-1'!D42+'JT9-19040608'!D42+'ÖA9-19040708-1'!D42+'ÖB8-19040506'!D42+'ÖA8-19040708'!D42+'JT8-19040607'!D42+'ÖB6-19040506-S'!D42+'ÖB6-19040405'!D42+'ÖA5-19040405'!D42+'EM5-19040405-S'!D42+'G5-19040304-1'!D42+'ÖA4-19040304'!D42+'G4-19040304'!D42+'G3-19040203'!D42+'ÜN3-19040203-S'!D42+'G2-19040102'!D42+'ÖA2-19043101'!D42+'BA2-19043101-S'!D42+'AY1-19043101'!D42+'AY1-19043101-S'!D42+'G1-19043001-1'!D42+'G1-19043001'!D42</f>
        <v>151324.30000000005</v>
      </c>
      <c r="E42" s="107">
        <f>D42/$D$48</f>
        <v>0.16341725004078031</v>
      </c>
      <c r="F42" s="28">
        <f>C42-(C42*$E$6)</f>
        <v>0.50956660356284877</v>
      </c>
      <c r="G42" s="27" t="str">
        <f>IF(C42&gt;=F42,"-","+")</f>
        <v>+</v>
      </c>
      <c r="H42" s="26">
        <f>C42*D42</f>
        <v>75662.150000000023</v>
      </c>
      <c r="I42" s="26">
        <f>F42*D42</f>
        <v>77109.809587525626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117">
        <f>'BAY30-19042729-S'!D43+'EB30-19042830-S'!D43+'G30-19042930'!D43+'ÖA29-19042829'!D43+'AYG29-19042829-S'!D43+'G29-19042629-1'!D43+'G29-19042629'!D43+'EM26-19042426-S'!D43+'AY26-19042425-S'!D43+'ÖB26-19042425-S'!D43+'ÖB26-19042425'!D43+'ÖA25-19042425'!D43+'G25-19042325-1'!D43+'G25-19042325'!D43+'YI24-19042324-S'!D43+'ÜN24-19042324-S'!D43+'BO24-19042022-S'!D43+'BO24-19042022'!D43+'ÖB24-19042122-D'!D43+'ÖB24-19042122-S'!D43+'ÖB24-19042122'!D43+'ÖA22-19042122'!D43+'BAY22-19042222-S'!D43+'AY22-19042122-S'!D43+'EM22-19041619-S'!D43+'G22-19042022-1'!D43+'G22-19042022'!D43+'BA20-19041718'!D43+'YI19-19041819-S'!D43+'JT19-19041718'!D43+'BA19-19041618-S'!D43+'EMM19-19041617'!D43+'BA18-19041618'!D43+'G18-19041516'!D43+'JT18-19041617.'!D43+'JT18-19041617'!D43+'EMM17-19041617-S'!D43+'ALP17-19041617-S'!D43+'ÜN17-19041617-S'!D43+'G17-19041315'!D43+'ÖB16-19041416-K'!D43+'ÖB16-19041416'!D43+'EB16-19041415-S'!D43+'EM15-19041115-S'!D43+'AY15-19041415-S'!D43+'ÖA15-19041011'!D43+'FA15-19041213-S'!D43+'ÖA15-19041415-1'!D43+'ÖA15-19041415'!D43+'ÖA13-19041112'!D43+'EM12-19040912-S'!D43+'BA12-19041112-S'!D43+'JT12-19040911-S'!D43+'JT12-19040911'!D43+'JT12-19040911-D'!D43+'ALP11-19040910'!D43+'BA11-19040910'!D43+'MOL11-19041011'!D43+'BA11-19040910-S'!D43+'ÜN10-19040910-S'!D43+'ÖA10-19040809'!D43+'BA9-19040709'!D43+'BA9-19040709-S'!D43+'AT9-19040808'!D43+'JT9-19040608-D'!D43+'JT9-19040608-S'!D43+'JT9-19040608-1'!D43+'JT9-19040608'!D43+'ÖA9-19040708-1'!D43+'ÖB8-19040506'!D43+'ÖA8-19040708'!D43+'JT8-19040607'!D43+'ÖB6-19040506-S'!D43+'ÖB6-19040405'!D43+'ÖA5-19040405'!D43+'EM5-19040405-S'!D43+'G5-19040304-1'!D43+'ÖA4-19040304'!D43+'G4-19040304'!D43+'G3-19040203'!D43+'ÜN3-19040203-S'!D43+'G2-19040102'!D43+'ÖA2-19043101'!D43+'BA2-19043101-S'!D43+'AY1-19043101'!D43+'AY1-19043101-S'!D43+'G1-19043001-1'!D43+'G1-19043001'!D43</f>
        <v>5952.1000000000013</v>
      </c>
      <c r="E43" s="107">
        <f>D43/$D$48</f>
        <v>6.4277569033375894E-3</v>
      </c>
      <c r="F43" s="28">
        <f>C43-(C43*$E$6)</f>
        <v>0.50956660356284877</v>
      </c>
      <c r="G43" s="27" t="str">
        <f>IF(C43&gt;=F43,"-","+")</f>
        <v>+</v>
      </c>
      <c r="H43" s="26">
        <f>C43*D43</f>
        <v>2976.0500000000006</v>
      </c>
      <c r="I43" s="26">
        <f>F43*D43</f>
        <v>3032.991381066433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BAY30-19042729-S'!D44+'EB30-19042830-S'!D44+'G30-19042930'!D44+'ÖA29-19042829'!D44+'AYG29-19042829-S'!D44+'G29-19042629-1'!D44+'G29-19042629'!D44+'EM26-19042426-S'!D44+'AY26-19042425-S'!D44+'ÖB26-19042425-S'!D44+'ÖB26-19042425'!D44+'ÖA25-19042425'!D44+'G25-19042325-1'!D44+'G25-19042325'!D44+'YI24-19042324-S'!D44+'ÜN24-19042324-S'!D44+'BO24-19042022-S'!D44+'BO24-19042022'!D44+'ÖB24-19042122-D'!D44+'ÖB24-19042122-S'!D44+'ÖB24-19042122'!D44+'ÖA22-19042122'!D44+'BAY22-19042222-S'!D44+'AY22-19042122-S'!D44+'EM22-19041619-S'!D44+'G22-19042022-1'!D44+'G22-19042022'!D44+'BA20-19041718'!D44+'YI19-19041819-S'!D44+'JT19-19041718'!D44+'BA19-19041618-S'!D44+'EMM19-19041617'!D44+'BA18-19041618'!D44+'G18-19041516'!D44+'JT18-19041617.'!D44+'JT18-19041617'!D44+'EMM17-19041617-S'!D44+'ALP17-19041617-S'!D44+'ÜN17-19041617-S'!D44+'G17-19041315'!D44+'ÖB16-19041416-K'!D44+'ÖB16-19041416'!D44+'EB16-19041415-S'!D44+'EM15-19041115-S'!D44+'AY15-19041415-S'!D44+'ÖA15-19041011'!D44+'FA15-19041213-S'!D44+'ÖA15-19041415-1'!D44+'ÖA15-19041415'!D44+'ÖA13-19041112'!D44+'EM12-19040912-S'!D44+'BA12-19041112-S'!D44+'JT12-19040911-S'!D44+'JT12-19040911'!D44+'JT12-19040911-D'!D44+'ALP11-19040910'!D44+'BA11-19040910'!D44+'MOL11-19041011'!D44+'BA11-19040910-S'!D44+'ÜN10-19040910-S'!D44+'ÖA10-19040809'!D44+'BA9-19040709'!D44+'BA9-19040709-S'!D44+'AT9-19040808'!D44+'JT9-19040608-D'!D44+'JT9-19040608-S'!D44+'JT9-19040608-1'!D44+'JT9-19040608'!D44+'ÖA9-19040708-1'!D44+'ÖB8-19040506'!D44+'ÖA8-19040708'!D44+'JT8-19040607'!D44+'ÖB6-19040506-S'!D44+'ÖB6-19040405'!D44+'ÖA5-19040405'!D44+'EM5-19040405-S'!D44+'G5-19040304-1'!D44+'ÖA4-19040304'!D44+'G4-19040304'!D44+'G3-19040203'!D44+'ÜN3-19040203-S'!D44+'G2-19040102'!D44+'ÖA2-19043101'!D44+'BA2-19043101-S'!D44+'AY1-19043101'!D44+'AY1-19043101-S'!D44+'G1-19043001-1'!D44+'G1-19043001'!D44</f>
        <v>701.80000000000007</v>
      </c>
      <c r="E44" s="107">
        <f>D44/$D$48</f>
        <v>7.578837376324859E-4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BAY30-19042729-S'!D45+'EB30-19042830-S'!D45+'G30-19042930'!D45+'ÖA29-19042829'!D45+'AYG29-19042829-S'!D45+'G29-19042629-1'!D45+'G29-19042629'!D45+'EM26-19042426-S'!D45+'AY26-19042425-S'!D45+'ÖB26-19042425-S'!D45+'ÖB26-19042425'!D45+'ÖA25-19042425'!D45+'G25-19042325-1'!D45+'G25-19042325'!D45+'YI24-19042324-S'!D45+'ÜN24-19042324-S'!D45+'BO24-19042022-S'!D45+'BO24-19042022'!D45+'ÖB24-19042122-D'!D45+'ÖB24-19042122-S'!D45+'ÖB24-19042122'!D45+'ÖA22-19042122'!D45+'BAY22-19042222-S'!D45+'AY22-19042122-S'!D45+'EM22-19041619-S'!D45+'G22-19042022-1'!D45+'G22-19042022'!D45+'BA20-19041718'!D45+'YI19-19041819-S'!D45+'JT19-19041718'!D45+'BA19-19041618-S'!D45+'EMM19-19041617'!D45+'BA18-19041618'!D45+'G18-19041516'!D45+'JT18-19041617.'!D45+'JT18-19041617'!D45+'EMM17-19041617-S'!D45+'ALP17-19041617-S'!D45+'ÜN17-19041617-S'!D45+'G17-19041315'!D45+'ÖB16-19041416-K'!D45+'ÖB16-19041416'!D45+'EB16-19041415-S'!D45+'EM15-19041115-S'!D45+'AY15-19041415-S'!D45+'ÖA15-19041011'!D45+'FA15-19041213-S'!D45+'ÖA15-19041415-1'!D45+'ÖA15-19041415'!D45+'ÖA13-19041112'!D45+'EM12-19040912-S'!D45+'BA12-19041112-S'!D45+'JT12-19040911-S'!D45+'JT12-19040911'!D45+'JT12-19040911-D'!D45+'ALP11-19040910'!D45+'BA11-19040910'!D45+'MOL11-19041011'!D45+'BA11-19040910-S'!D45+'ÜN10-19040910-S'!D45+'ÖA10-19040809'!D45+'BA9-19040709'!D45+'BA9-19040709-S'!D45+'AT9-19040808'!D45+'JT9-19040608-D'!D45+'JT9-19040608-S'!D45+'JT9-19040608-1'!D45+'JT9-19040608'!D45+'ÖA9-19040708-1'!D45+'ÖB8-19040506'!D45+'ÖA8-19040708'!D45+'JT8-19040607'!D45+'ÖB6-19040506-S'!D45+'ÖB6-19040405'!D45+'ÖA5-19040405'!D45+'EM5-19040405-S'!D45+'G5-19040304-1'!D45+'ÖA4-19040304'!D45+'G4-19040304'!D45+'G3-19040203'!D45+'ÜN3-19040203-S'!D45+'G2-19040102'!D45+'ÖA2-19043101'!D45+'BA2-19043101-S'!D45+'AY1-19043101'!D45+'AY1-19043101-S'!D45+'G1-19043001-1'!D45+'G1-19043001'!D45</f>
        <v>536.35</v>
      </c>
      <c r="E45" s="107">
        <f>D45/$D$48</f>
        <v>5.7921194454144175E-4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0.49609452255329245</v>
      </c>
      <c r="D46" s="22">
        <f>SUM(D41:D45)</f>
        <v>158514.55000000005</v>
      </c>
      <c r="E46" s="21">
        <f>D46/$D$48</f>
        <v>0.17118210262629183</v>
      </c>
      <c r="F46" s="20">
        <f>I46/D46</f>
        <v>0.50558640180722858</v>
      </c>
      <c r="G46" s="19">
        <f>F46/C46-1</f>
        <v>1.9133207125697549E-2</v>
      </c>
      <c r="H46" s="18">
        <f>SUM(H41:H44)</f>
        <v>78638.200000000026</v>
      </c>
      <c r="I46" s="18">
        <f>SUM(I41:I44)</f>
        <v>80142.800968592055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105.0944068506916</v>
      </c>
      <c r="D48" s="13">
        <f>D24+D32+D40+D46</f>
        <v>925999.55</v>
      </c>
      <c r="E48" s="12">
        <f>SUM(E20:E46)/2</f>
        <v>0.99999999999999989</v>
      </c>
      <c r="F48" s="11">
        <f>I48/D48</f>
        <v>28.040039158053837</v>
      </c>
      <c r="G48" s="10"/>
      <c r="H48" s="9">
        <f>SUM(H20:H46)/2</f>
        <v>25477595.530000001</v>
      </c>
      <c r="I48" s="9">
        <f>SUM(I20:I46)/2</f>
        <v>25965063.642340232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995520.55000000016</v>
      </c>
      <c r="E50" s="12">
        <f>D50/G2</f>
        <v>1.0000009542755364</v>
      </c>
      <c r="F50" s="11">
        <f>I50/D50</f>
        <v>28.219973070370056</v>
      </c>
      <c r="G50" s="10"/>
      <c r="H50" s="9">
        <f>H48+H19</f>
        <v>27566134.550000001</v>
      </c>
      <c r="I50" s="9">
        <f>I48+I19</f>
        <v>28093563.111999992</v>
      </c>
      <c r="J50" s="106">
        <f>D50-G2</f>
        <v>0.95000000018626451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28.219973070370056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524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525</v>
      </c>
      <c r="D2" s="96" t="s">
        <v>3</v>
      </c>
      <c r="E2" s="95" t="s">
        <v>71</v>
      </c>
      <c r="F2" s="94" t="s">
        <v>5</v>
      </c>
      <c r="G2" s="93">
        <v>9931.5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124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80.092741935483872</v>
      </c>
      <c r="F4" s="81" t="s">
        <v>12</v>
      </c>
      <c r="G4" s="80">
        <f>G2*G3</f>
        <v>288013.5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-2.6829563445345261E-3</v>
      </c>
      <c r="F6" s="69" t="s">
        <v>16</v>
      </c>
      <c r="G6" s="68">
        <f>(I50-I19)/(D50-(SUM(D42:D44)+D19))</f>
        <v>34.084272932590608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29.0778057339915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/>
      <c r="E11" s="29">
        <f t="shared" si="1"/>
        <v>0</v>
      </c>
      <c r="F11" s="28">
        <f t="shared" si="2"/>
        <v>30.281025281604943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/>
      <c r="E12" s="29">
        <f t="shared" si="1"/>
        <v>0</v>
      </c>
      <c r="F12" s="28">
        <f t="shared" si="2"/>
        <v>27.674049595109153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>
        <f t="shared" si="1"/>
        <v>0</v>
      </c>
      <c r="F13" s="28">
        <f t="shared" si="2"/>
        <v>30.281025281604943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>
        <f t="shared" si="1"/>
        <v>0</v>
      </c>
      <c r="F14" s="28">
        <f t="shared" si="2"/>
        <v>33.890683924445263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>
        <v>126.6</v>
      </c>
      <c r="E15" s="29">
        <f t="shared" si="1"/>
        <v>0.73094688221709003</v>
      </c>
      <c r="F15" s="28">
        <f t="shared" si="2"/>
        <v>27.87458618637806</v>
      </c>
      <c r="G15" s="27" t="str">
        <f t="shared" si="3"/>
        <v>+</v>
      </c>
      <c r="H15" s="34">
        <f t="shared" si="4"/>
        <v>3519.48</v>
      </c>
      <c r="I15" s="34">
        <f t="shared" si="5"/>
        <v>3528.9226111954622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>
        <f t="shared" si="1"/>
        <v>0</v>
      </c>
      <c r="F16" s="28">
        <f t="shared" si="2"/>
        <v>38.202220636726764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>
        <v>46.6</v>
      </c>
      <c r="E17" s="29">
        <f t="shared" si="1"/>
        <v>0.26905311778290997</v>
      </c>
      <c r="F17" s="28">
        <f t="shared" si="2"/>
        <v>56.250513850928385</v>
      </c>
      <c r="G17" s="27" t="str">
        <f t="shared" si="3"/>
        <v>+</v>
      </c>
      <c r="H17" s="34">
        <f t="shared" si="4"/>
        <v>2614.2600000000002</v>
      </c>
      <c r="I17" s="34">
        <f t="shared" si="5"/>
        <v>2621.273945453263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49.231733156516647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35.414203233256352</v>
      </c>
      <c r="D19" s="49">
        <f>SUM(D10:D18)</f>
        <v>173.2</v>
      </c>
      <c r="E19" s="48">
        <f t="shared" si="1"/>
        <v>1</v>
      </c>
      <c r="F19" s="47">
        <f>I19/D19</f>
        <v>35.509217994507651</v>
      </c>
      <c r="G19" s="46">
        <f>F19/C19-1</f>
        <v>2.6829563445345261E-3</v>
      </c>
      <c r="H19" s="9">
        <f>SUM(H10:H18)</f>
        <v>6133.74</v>
      </c>
      <c r="I19" s="9">
        <f>SUM(I10:I18)</f>
        <v>6150.1965566487252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119.6</v>
      </c>
      <c r="E21" s="29">
        <f>D21/$D$48</f>
        <v>1.2256233155365177E-2</v>
      </c>
      <c r="F21" s="28">
        <f>C21-(C21*$E$6)</f>
        <v>73.095587517516577</v>
      </c>
      <c r="G21" s="27" t="str">
        <f>IF(C21&gt;=F21,"-","+")</f>
        <v>+</v>
      </c>
      <c r="H21" s="26">
        <f>C21*D21</f>
        <v>8718.84</v>
      </c>
      <c r="I21" s="26">
        <f>F21*D21</f>
        <v>8742.2322670949816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266.7</v>
      </c>
      <c r="E22" s="29">
        <f>D22/$D$48</f>
        <v>2.7330580121537565E-2</v>
      </c>
      <c r="F22" s="28">
        <f>C22-(C22*$E$6)</f>
        <v>49.13146486088219</v>
      </c>
      <c r="G22" s="27" t="str">
        <f>IF(C22&gt;=F22,"-","+")</f>
        <v>+</v>
      </c>
      <c r="H22" s="26">
        <f>C22*D22</f>
        <v>13068.3</v>
      </c>
      <c r="I22" s="26">
        <f>F22*D22</f>
        <v>13103.361678397279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249.3</v>
      </c>
      <c r="E23" s="29">
        <f>D23/$D$48</f>
        <v>2.554748265579046E-2</v>
      </c>
      <c r="F23" s="28">
        <f>C23-(C23*$E$6)</f>
        <v>44.819928148600695</v>
      </c>
      <c r="G23" s="27" t="str">
        <f>IF(C23&gt;=F23,"-","+")</f>
        <v>+</v>
      </c>
      <c r="H23" s="26">
        <f>C23*D23</f>
        <v>11143.710000000001</v>
      </c>
      <c r="I23" s="26">
        <f>F23*D23</f>
        <v>11173.608087446153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51.810651353052236</v>
      </c>
      <c r="D24" s="22">
        <f>SUM(D21:D23)</f>
        <v>635.59999999999991</v>
      </c>
      <c r="E24" s="21">
        <f>D24/$D$48</f>
        <v>6.5134295932693195E-2</v>
      </c>
      <c r="F24" s="20">
        <f>I24/D24</f>
        <v>51.949657068814382</v>
      </c>
      <c r="G24" s="19">
        <f>F24/C24-1</f>
        <v>2.6829563445347482E-3</v>
      </c>
      <c r="H24" s="18">
        <f>SUM(H21:H23)</f>
        <v>32930.85</v>
      </c>
      <c r="I24" s="18">
        <f>SUM(I21:I23)</f>
        <v>33019.202032938418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f>586.5+106.7+1639.5</f>
        <v>2332.6999999999998</v>
      </c>
      <c r="E26" s="29">
        <f t="shared" ref="E26:E32" si="7">D26/$D$48</f>
        <v>0.2390477849625447</v>
      </c>
      <c r="F26" s="28">
        <f t="shared" ref="F26:F31" si="8">C26-(C26*$E$6)</f>
        <v>39.004367001802393</v>
      </c>
      <c r="G26" s="27" t="str">
        <f t="shared" ref="G26:G31" si="9">IF(C26&gt;=F26,"-","+")</f>
        <v>+</v>
      </c>
      <c r="H26" s="26">
        <f t="shared" ref="H26:H31" si="10">C26*D26</f>
        <v>90742.029999999984</v>
      </c>
      <c r="I26" s="26">
        <f t="shared" ref="I26:I31" si="11">F26*D26</f>
        <v>90985.486905104437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1298.5999999999999</v>
      </c>
      <c r="E27" s="29">
        <f t="shared" si="7"/>
        <v>0.13307645798960885</v>
      </c>
      <c r="F27" s="28">
        <f t="shared" si="8"/>
        <v>34.793098585155349</v>
      </c>
      <c r="G27" s="27" t="str">
        <f t="shared" si="9"/>
        <v>+</v>
      </c>
      <c r="H27" s="26">
        <f t="shared" si="10"/>
        <v>45061.42</v>
      </c>
      <c r="I27" s="26">
        <f t="shared" si="11"/>
        <v>45182.317822682729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698.1</v>
      </c>
      <c r="E28" s="29">
        <f t="shared" si="7"/>
        <v>7.1539100048164134E-2</v>
      </c>
      <c r="F28" s="28">
        <f t="shared" si="8"/>
        <v>34.793098585155349</v>
      </c>
      <c r="G28" s="27" t="str">
        <f t="shared" si="9"/>
        <v>+</v>
      </c>
      <c r="H28" s="26">
        <f t="shared" si="10"/>
        <v>24224.070000000003</v>
      </c>
      <c r="I28" s="26">
        <f t="shared" si="11"/>
        <v>24289.062122296949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802.3</v>
      </c>
      <c r="E29" s="29">
        <f t="shared" si="7"/>
        <v>8.2217189469477273E-2</v>
      </c>
      <c r="F29" s="28">
        <f t="shared" si="8"/>
        <v>33.589879037541905</v>
      </c>
      <c r="G29" s="27" t="str">
        <f t="shared" si="9"/>
        <v>+</v>
      </c>
      <c r="H29" s="26">
        <f t="shared" si="10"/>
        <v>26877.05</v>
      </c>
      <c r="I29" s="26">
        <f t="shared" si="11"/>
        <v>26949.159951819871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621.5</v>
      </c>
      <c r="E30" s="29">
        <f t="shared" si="7"/>
        <v>6.3689372124242957E-2</v>
      </c>
      <c r="F30" s="28">
        <f t="shared" si="8"/>
        <v>33.589879037541905</v>
      </c>
      <c r="G30" s="27" t="str">
        <f t="shared" si="9"/>
        <v>+</v>
      </c>
      <c r="H30" s="26">
        <f t="shared" si="10"/>
        <v>20820.25</v>
      </c>
      <c r="I30" s="26">
        <f t="shared" si="11"/>
        <v>20876.109821832295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118.3</v>
      </c>
      <c r="E31" s="29">
        <f t="shared" si="7"/>
        <v>1.2123013229763382E-2</v>
      </c>
      <c r="F31" s="28">
        <f t="shared" si="8"/>
        <v>34.191488811348627</v>
      </c>
      <c r="G31" s="27" t="str">
        <f t="shared" si="9"/>
        <v>+</v>
      </c>
      <c r="H31" s="26">
        <f t="shared" si="10"/>
        <v>4034.03</v>
      </c>
      <c r="I31" s="26">
        <f t="shared" si="11"/>
        <v>4044.8531263825425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36.065545431320785</v>
      </c>
      <c r="D32" s="22">
        <f>SUM(D26:D31)</f>
        <v>5871.5</v>
      </c>
      <c r="E32" s="21">
        <f t="shared" si="7"/>
        <v>0.6016929178238013</v>
      </c>
      <c r="F32" s="20">
        <f>I32/D32</f>
        <v>36.16230771525484</v>
      </c>
      <c r="G32" s="19">
        <f>F32/C32-1</f>
        <v>2.6829563445343041E-3</v>
      </c>
      <c r="H32" s="18">
        <f>SUM(H26:H31)</f>
        <v>211758.84999999998</v>
      </c>
      <c r="I32" s="18">
        <f>SUM(I26:I31)</f>
        <v>212326.98975011881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1685.8</v>
      </c>
      <c r="E34" s="29">
        <f t="shared" ref="E34:E40" si="13">D34/$D$48</f>
        <v>0.17275550044577437</v>
      </c>
      <c r="F34" s="28">
        <f t="shared" ref="F34:F39" si="14">C34-(C34*$E$6)</f>
        <v>20.555000605062958</v>
      </c>
      <c r="G34" s="27" t="str">
        <f t="shared" ref="G34:G39" si="15">IF(C34&gt;=F34,"-","+")</f>
        <v>+</v>
      </c>
      <c r="H34" s="26">
        <f t="shared" ref="H34:H39" si="16">C34*D34</f>
        <v>34558.9</v>
      </c>
      <c r="I34" s="26">
        <f t="shared" ref="I34:I39" si="17">F34*D34</f>
        <v>34651.620020015136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>
        <v>71</v>
      </c>
      <c r="E35" s="29">
        <f t="shared" si="13"/>
        <v>7.2758574751749794E-3</v>
      </c>
      <c r="F35" s="28">
        <f t="shared" si="14"/>
        <v>15.842390710243647</v>
      </c>
      <c r="G35" s="27" t="str">
        <f t="shared" si="15"/>
        <v>+</v>
      </c>
      <c r="H35" s="26">
        <f t="shared" si="16"/>
        <v>1121.8</v>
      </c>
      <c r="I35" s="26">
        <f t="shared" si="17"/>
        <v>1124.8097404272989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12.734073545575587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33.589879037541905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33.589879037541905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34.793098585155349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20.310052367941715</v>
      </c>
      <c r="D40" s="22">
        <f>SUM(D34:D39)</f>
        <v>1756.8</v>
      </c>
      <c r="E40" s="113">
        <f t="shared" si="13"/>
        <v>0.18003135792094935</v>
      </c>
      <c r="F40" s="20">
        <f>I40/D40</f>
        <v>20.364543351800112</v>
      </c>
      <c r="G40" s="19">
        <f>F40/C40-1</f>
        <v>2.6829563445345261E-3</v>
      </c>
      <c r="H40" s="18">
        <f>SUM(H34:H39)</f>
        <v>35680.700000000004</v>
      </c>
      <c r="I40" s="18">
        <f>SUM(I34:I39)</f>
        <v>35776.429760442436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1412</v>
      </c>
      <c r="E42" s="107">
        <f>D42/$D$48</f>
        <v>0.14469733457671932</v>
      </c>
      <c r="F42" s="28">
        <f>C42-(C42*$E$6)</f>
        <v>0.50134147817226726</v>
      </c>
      <c r="G42" s="27" t="str">
        <f>IF(C42&gt;=F42,"-","+")</f>
        <v>+</v>
      </c>
      <c r="H42" s="26">
        <f>C42*D42</f>
        <v>706</v>
      </c>
      <c r="I42" s="26">
        <f>F42*D42</f>
        <v>707.89416717924132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65.400000000000006</v>
      </c>
      <c r="E43" s="107">
        <f>D43/$D$48</f>
        <v>6.7019870264287849E-3</v>
      </c>
      <c r="F43" s="28">
        <f>C43-(C43*$E$6)</f>
        <v>0.50134147817226726</v>
      </c>
      <c r="G43" s="27" t="str">
        <f>IF(C43&gt;=F43,"-","+")</f>
        <v>+</v>
      </c>
      <c r="H43" s="26">
        <f>C43*D43</f>
        <v>32.700000000000003</v>
      </c>
      <c r="I43" s="26">
        <f>F43*D43</f>
        <v>32.787732672466284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11.3</v>
      </c>
      <c r="E44" s="107">
        <f>D44/$D$48</f>
        <v>1.1579885840771447E-3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5.8411813533094914E-4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0.49431209850107066</v>
      </c>
      <c r="D46" s="22">
        <f>SUM(D41:D45)</f>
        <v>1494.4</v>
      </c>
      <c r="E46" s="113">
        <f>D46/$D$48</f>
        <v>0.1531414283225562</v>
      </c>
      <c r="F46" s="20">
        <f>I46/D46</f>
        <v>0.49563831628192423</v>
      </c>
      <c r="G46" s="19">
        <f>F46/C46-1</f>
        <v>2.6829563445343041E-3</v>
      </c>
      <c r="H46" s="18">
        <f>SUM(H41:H44)</f>
        <v>738.7</v>
      </c>
      <c r="I46" s="18">
        <f>SUM(I41:I44)</f>
        <v>740.68189985170761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108.6805612508158</v>
      </c>
      <c r="D48" s="13">
        <f>D24+D32+D40+D46</f>
        <v>9758.2999999999993</v>
      </c>
      <c r="E48" s="12">
        <f>SUM(E20:E46)/2</f>
        <v>1.0000000000000002</v>
      </c>
      <c r="F48" s="11">
        <f>I48/D48</f>
        <v>28.884467934307345</v>
      </c>
      <c r="G48" s="10"/>
      <c r="H48" s="9">
        <f>SUM(H20:H46)/2</f>
        <v>281109.09999999992</v>
      </c>
      <c r="I48" s="9">
        <f>SUM(I20:I46)/2</f>
        <v>281863.30344335135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9931.5000000000018</v>
      </c>
      <c r="E50" s="12">
        <f>D50/G2</f>
        <v>1.0000000000000002</v>
      </c>
      <c r="F50" s="11">
        <f>I50/D50</f>
        <v>29</v>
      </c>
      <c r="G50" s="10"/>
      <c r="H50" s="9">
        <f>H48+H19</f>
        <v>287242.83999999991</v>
      </c>
      <c r="I50" s="9">
        <f>I48+I19</f>
        <v>288013.50000000006</v>
      </c>
      <c r="J50" s="106">
        <f>D50-G2</f>
        <v>0</v>
      </c>
      <c r="K50" s="8"/>
    </row>
    <row r="51" spans="1:11" ht="23.25" x14ac:dyDescent="0.35">
      <c r="A51" s="174" t="s">
        <v>526</v>
      </c>
      <c r="B51" s="169"/>
      <c r="C51" s="170"/>
      <c r="G51" s="7"/>
      <c r="H51" s="6"/>
      <c r="I51" s="6">
        <f>+I50/D50</f>
        <v>29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524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525</v>
      </c>
      <c r="D2" s="96" t="s">
        <v>3</v>
      </c>
      <c r="E2" s="95" t="s">
        <v>112</v>
      </c>
      <c r="F2" s="94" t="s">
        <v>5</v>
      </c>
      <c r="G2" s="116">
        <v>15472.5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240</v>
      </c>
      <c r="F3" s="88" t="s">
        <v>8</v>
      </c>
      <c r="G3" s="87">
        <v>25.1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64.46875</v>
      </c>
      <c r="F4" s="81" t="s">
        <v>12</v>
      </c>
      <c r="G4" s="80">
        <f>G2*G3</f>
        <v>388359.75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-7.9396417010827003E-2</v>
      </c>
      <c r="F6" s="69" t="s">
        <v>16</v>
      </c>
      <c r="G6" s="68">
        <f>(I50-I19)/(D50-(SUM(D42:D44)+D19))</f>
        <v>32.138610051390678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25.1</v>
      </c>
      <c r="D10" s="30"/>
      <c r="E10" s="29" t="e">
        <f t="shared" ref="E10:E19" si="1">D10/$D$19</f>
        <v>#DIV/0!</v>
      </c>
      <c r="F10" s="28">
        <f t="shared" ref="F10:F18" si="2">C10-(C10*$E$6)</f>
        <v>27.09285006697176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26.1</v>
      </c>
      <c r="D11" s="30"/>
      <c r="E11" s="29" t="e">
        <f t="shared" si="1"/>
        <v>#DIV/0!</v>
      </c>
      <c r="F11" s="28">
        <f t="shared" si="2"/>
        <v>28.172246483982587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23.9</v>
      </c>
      <c r="D12" s="30"/>
      <c r="E12" s="29" t="e">
        <f t="shared" si="1"/>
        <v>#DIV/0!</v>
      </c>
      <c r="F12" s="28">
        <f t="shared" si="2"/>
        <v>25.797574366558763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26.1</v>
      </c>
      <c r="D13" s="30"/>
      <c r="E13" s="29" t="e">
        <f t="shared" si="1"/>
        <v>#DIV/0!</v>
      </c>
      <c r="F13" s="28">
        <f t="shared" si="2"/>
        <v>28.172246483982587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29.2</v>
      </c>
      <c r="D14" s="30"/>
      <c r="E14" s="29" t="e">
        <f t="shared" si="1"/>
        <v>#DIV/0!</v>
      </c>
      <c r="F14" s="28">
        <f t="shared" si="2"/>
        <v>31.518375376716147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24.1</v>
      </c>
      <c r="D15" s="30"/>
      <c r="E15" s="29" t="e">
        <f t="shared" si="1"/>
        <v>#DIV/0!</v>
      </c>
      <c r="F15" s="28">
        <f t="shared" si="2"/>
        <v>26.013453649960933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33</v>
      </c>
      <c r="D16" s="30"/>
      <c r="E16" s="29" t="e">
        <f t="shared" si="1"/>
        <v>#DIV/0!</v>
      </c>
      <c r="F16" s="28">
        <f t="shared" si="2"/>
        <v>35.620081761357291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48.5</v>
      </c>
      <c r="D17" s="30"/>
      <c r="E17" s="29" t="e">
        <f t="shared" si="1"/>
        <v>#DIV/0!</v>
      </c>
      <c r="F17" s="28">
        <f t="shared" si="2"/>
        <v>52.350726225025113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42.5</v>
      </c>
      <c r="D18" s="30"/>
      <c r="E18" s="29" t="e">
        <f t="shared" si="1"/>
        <v>#DIV/0!</v>
      </c>
      <c r="F18" s="28">
        <f t="shared" si="2"/>
        <v>45.874347722960145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63.1</v>
      </c>
      <c r="D21" s="30">
        <v>186.2</v>
      </c>
      <c r="E21" s="29">
        <f>D21/$D$48</f>
        <v>1.203425432218452E-2</v>
      </c>
      <c r="F21" s="28">
        <f>C21-(C21*$E$6)</f>
        <v>68.109913913383181</v>
      </c>
      <c r="G21" s="27" t="str">
        <f>IF(C21&gt;=F21,"-","+")</f>
        <v>+</v>
      </c>
      <c r="H21" s="26">
        <f>C21*D21</f>
        <v>11749.22</v>
      </c>
      <c r="I21" s="26">
        <f>F21*D21</f>
        <v>12682.065970671947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42.4</v>
      </c>
      <c r="D22" s="30">
        <v>460.8</v>
      </c>
      <c r="E22" s="29">
        <f>D22/$D$48</f>
        <v>2.9781871061560834E-2</v>
      </c>
      <c r="F22" s="28">
        <f>C22-(C22*$E$6)</f>
        <v>45.766408081259065</v>
      </c>
      <c r="G22" s="27" t="str">
        <f>IF(C22&gt;=F22,"-","+")</f>
        <v>+</v>
      </c>
      <c r="H22" s="26">
        <f>C22*D22</f>
        <v>19537.919999999998</v>
      </c>
      <c r="I22" s="26">
        <f>F22*D22</f>
        <v>21089.160843844176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38.700000000000003</v>
      </c>
      <c r="D23" s="30">
        <v>303.89999999999998</v>
      </c>
      <c r="E23" s="29">
        <f>D23/$D$48</f>
        <v>1.9641299079011146E-2</v>
      </c>
      <c r="F23" s="28">
        <f>C23-(C23*$E$6)</f>
        <v>41.772641338319005</v>
      </c>
      <c r="G23" s="27" t="str">
        <f>IF(C23&gt;=F23,"-","+")</f>
        <v>+</v>
      </c>
      <c r="H23" s="26">
        <f>C23*D23</f>
        <v>11760.93</v>
      </c>
      <c r="I23" s="26">
        <f>F23*D23</f>
        <v>12694.705702715144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45.270869702387216</v>
      </c>
      <c r="D24" s="22">
        <f>SUM(D21:D23)</f>
        <v>950.9</v>
      </c>
      <c r="E24" s="21">
        <f>D24/$D$48</f>
        <v>6.1457424462756503E-2</v>
      </c>
      <c r="F24" s="20">
        <f>I24/D24</f>
        <v>48.865214551720754</v>
      </c>
      <c r="G24" s="19">
        <f>F24/C24-1</f>
        <v>7.9396417010826781E-2</v>
      </c>
      <c r="H24" s="18">
        <f>SUM(H21:H23)</f>
        <v>43048.07</v>
      </c>
      <c r="I24" s="18">
        <f>SUM(I21:I23)</f>
        <v>46465.932517231267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33.700000000000003</v>
      </c>
      <c r="D26" s="30">
        <v>3373.5</v>
      </c>
      <c r="E26" s="29">
        <f t="shared" ref="E26:E32" si="7">D26/$D$48</f>
        <v>0.21803199224430442</v>
      </c>
      <c r="F26" s="28">
        <f t="shared" ref="F26:F31" si="8">C26-(C26*$E$6)</f>
        <v>36.375659253264871</v>
      </c>
      <c r="G26" s="27" t="str">
        <f t="shared" ref="G26:G31" si="9">IF(C26&gt;=F26,"-","+")</f>
        <v>+</v>
      </c>
      <c r="H26" s="26">
        <f t="shared" ref="H26:H31" si="10">C26*D26</f>
        <v>113686.95000000001</v>
      </c>
      <c r="I26" s="26">
        <f t="shared" ref="I26:I31" si="11">F26*D26</f>
        <v>122713.28649088905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</v>
      </c>
      <c r="D27" s="30">
        <v>2168.1</v>
      </c>
      <c r="E27" s="29">
        <f t="shared" si="7"/>
        <v>0.14012603005332039</v>
      </c>
      <c r="F27" s="28">
        <f t="shared" si="8"/>
        <v>32.381892510324811</v>
      </c>
      <c r="G27" s="27" t="str">
        <f t="shared" si="9"/>
        <v>+</v>
      </c>
      <c r="H27" s="26">
        <f t="shared" si="10"/>
        <v>65043</v>
      </c>
      <c r="I27" s="26">
        <f t="shared" si="11"/>
        <v>70207.181151635217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</v>
      </c>
      <c r="D28" s="30">
        <v>1078.5</v>
      </c>
      <c r="E28" s="29">
        <f t="shared" si="7"/>
        <v>6.970431410567135E-2</v>
      </c>
      <c r="F28" s="28">
        <f t="shared" si="8"/>
        <v>32.381892510324811</v>
      </c>
      <c r="G28" s="27" t="str">
        <f t="shared" si="9"/>
        <v>+</v>
      </c>
      <c r="H28" s="26">
        <f t="shared" si="10"/>
        <v>32355</v>
      </c>
      <c r="I28" s="26">
        <f t="shared" si="11"/>
        <v>34923.871072385307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</v>
      </c>
      <c r="D29" s="30">
        <v>1125</v>
      </c>
      <c r="E29" s="29">
        <f t="shared" si="7"/>
        <v>7.2709646146388751E-2</v>
      </c>
      <c r="F29" s="28">
        <f t="shared" si="8"/>
        <v>31.302496093313984</v>
      </c>
      <c r="G29" s="27" t="str">
        <f t="shared" si="9"/>
        <v>+</v>
      </c>
      <c r="H29" s="26">
        <f t="shared" si="10"/>
        <v>32625</v>
      </c>
      <c r="I29" s="26">
        <f t="shared" si="11"/>
        <v>35215.308104978234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</v>
      </c>
      <c r="D30" s="30">
        <v>872</v>
      </c>
      <c r="E30" s="29">
        <f t="shared" si="7"/>
        <v>5.6358054613023102E-2</v>
      </c>
      <c r="F30" s="28">
        <f t="shared" si="8"/>
        <v>31.302496093313984</v>
      </c>
      <c r="G30" s="27" t="str">
        <f t="shared" si="9"/>
        <v>+</v>
      </c>
      <c r="H30" s="26">
        <f t="shared" si="10"/>
        <v>25288</v>
      </c>
      <c r="I30" s="26">
        <f t="shared" si="11"/>
        <v>27295.776593369796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29.5</v>
      </c>
      <c r="D31" s="30">
        <v>231.6</v>
      </c>
      <c r="E31" s="29">
        <f t="shared" si="7"/>
        <v>1.4968492486669897E-2</v>
      </c>
      <c r="F31" s="28">
        <f t="shared" si="8"/>
        <v>31.842194301819397</v>
      </c>
      <c r="G31" s="27" t="str">
        <f t="shared" si="9"/>
        <v>+</v>
      </c>
      <c r="H31" s="26">
        <f t="shared" si="10"/>
        <v>6832.2</v>
      </c>
      <c r="I31" s="26">
        <f t="shared" si="11"/>
        <v>7374.6522003013724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31.17182750008476</v>
      </c>
      <c r="D32" s="22">
        <f>SUM(D26:D31)</f>
        <v>8848.7000000000007</v>
      </c>
      <c r="E32" s="21">
        <f t="shared" si="7"/>
        <v>0.57189852964937793</v>
      </c>
      <c r="F32" s="20">
        <f>I32/D32</f>
        <v>33.646758915271043</v>
      </c>
      <c r="G32" s="19">
        <f>F32/C32-1</f>
        <v>7.9396417010826559E-2</v>
      </c>
      <c r="H32" s="18">
        <f>SUM(H26:H31)</f>
        <v>275830.15000000002</v>
      </c>
      <c r="I32" s="18">
        <f>SUM(I26:I31)</f>
        <v>297730.07561355893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971.8+1122.4</f>
        <v>2094.1999999999998</v>
      </c>
      <c r="E34" s="29">
        <f t="shared" ref="E34:E40" si="13">D34/$D$48</f>
        <v>0.13534981418645983</v>
      </c>
      <c r="F34" s="28">
        <f t="shared" ref="F34:F39" si="14">C34-(C34*$E$6)</f>
        <v>19.105316581091635</v>
      </c>
      <c r="G34" s="27" t="str">
        <f t="shared" ref="G34:G39" si="15">IF(C34&gt;=F34,"-","+")</f>
        <v>+</v>
      </c>
      <c r="H34" s="26">
        <f t="shared" ref="H34:H39" si="16">C34*D34</f>
        <v>37067.339999999997</v>
      </c>
      <c r="I34" s="26">
        <f t="shared" ref="I34:I39" si="17">F34*D34</f>
        <v>40010.353984122099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183.9</v>
      </c>
      <c r="E35" s="29">
        <f t="shared" si="13"/>
        <v>1.1885603490063016E-2</v>
      </c>
      <c r="F35" s="28">
        <f t="shared" si="14"/>
        <v>14.679791271347247</v>
      </c>
      <c r="G35" s="27" t="str">
        <f t="shared" si="15"/>
        <v>+</v>
      </c>
      <c r="H35" s="26">
        <f t="shared" si="16"/>
        <v>2501.04</v>
      </c>
      <c r="I35" s="26">
        <f t="shared" si="17"/>
        <v>2699.6136148007586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11.873360587119096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</v>
      </c>
      <c r="D37" s="30"/>
      <c r="E37" s="29">
        <f t="shared" si="13"/>
        <v>0</v>
      </c>
      <c r="F37" s="28">
        <f t="shared" si="14"/>
        <v>31.302496093313984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</v>
      </c>
      <c r="D38" s="30"/>
      <c r="E38" s="29">
        <f t="shared" si="13"/>
        <v>0</v>
      </c>
      <c r="F38" s="28">
        <f t="shared" si="14"/>
        <v>31.302496093313984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</v>
      </c>
      <c r="D39" s="30"/>
      <c r="E39" s="29">
        <f t="shared" si="13"/>
        <v>0</v>
      </c>
      <c r="F39" s="28">
        <f t="shared" si="14"/>
        <v>32.381892510324811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17.369026820596112</v>
      </c>
      <c r="D40" s="22">
        <f>SUM(D34:D39)</f>
        <v>2278.1</v>
      </c>
      <c r="E40" s="113">
        <f t="shared" si="13"/>
        <v>0.14723541767652285</v>
      </c>
      <c r="F40" s="20">
        <f>I40/D40</f>
        <v>18.748065317116396</v>
      </c>
      <c r="G40" s="19">
        <f>F40/C40-1</f>
        <v>7.9396417010826781E-2</v>
      </c>
      <c r="H40" s="18">
        <f>SUM(H34:H39)</f>
        <v>39568.379999999997</v>
      </c>
      <c r="I40" s="18">
        <f>SUM(I34:I39)</f>
        <v>42709.967598922856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1598+179.7+1519</f>
        <v>3296.7</v>
      </c>
      <c r="E42" s="107">
        <f>D42/$D$48</f>
        <v>0.21306834706737759</v>
      </c>
      <c r="F42" s="28">
        <f>C42-(C42*$E$6)</f>
        <v>0.43175856680433083</v>
      </c>
      <c r="G42" s="27" t="str">
        <f>IF(C42&gt;=F42,"-","+")</f>
        <v>+</v>
      </c>
      <c r="H42" s="26">
        <f>C42*D42</f>
        <v>1318.68</v>
      </c>
      <c r="I42" s="26">
        <f>F42*D42</f>
        <v>1423.3784671838373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70.400000000000006</v>
      </c>
      <c r="E43" s="107">
        <f>D43/$D$48</f>
        <v>4.5500080788495722E-3</v>
      </c>
      <c r="F43" s="28">
        <f>C43-(C43*$E$6)</f>
        <v>0.43175856680433083</v>
      </c>
      <c r="G43" s="27" t="str">
        <f>IF(C43&gt;=F43,"-","+")</f>
        <v>+</v>
      </c>
      <c r="H43" s="26">
        <f>C43*D43</f>
        <v>28.160000000000004</v>
      </c>
      <c r="I43" s="26">
        <f>F43*D43</f>
        <v>30.395803103024893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21.5</v>
      </c>
      <c r="E44" s="107">
        <f>D44/$D$48</f>
        <v>1.3895621263532072E-3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6.2</v>
      </c>
      <c r="E45" s="107">
        <f>D45/$D$48</f>
        <v>4.0071093876232024E-4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0.39673618475315198</v>
      </c>
      <c r="D46" s="22">
        <f>SUM(D41:D45)</f>
        <v>3394.7999999999997</v>
      </c>
      <c r="E46" s="113">
        <f>D46/$D$48</f>
        <v>0.21940862821134269</v>
      </c>
      <c r="F46" s="20">
        <f>I46/D46</f>
        <v>0.42823561632109769</v>
      </c>
      <c r="G46" s="19">
        <f>F46/C46-1</f>
        <v>7.9396417010826781E-2</v>
      </c>
      <c r="H46" s="18">
        <f>SUM(H41:H44)</f>
        <v>1346.8400000000001</v>
      </c>
      <c r="I46" s="18">
        <f>SUM(I41:I44)</f>
        <v>1453.7742702868622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94.208460207821233</v>
      </c>
      <c r="D48" s="13">
        <f>D24+D32+D40+D46</f>
        <v>15472.5</v>
      </c>
      <c r="E48" s="12">
        <f>SUM(E20:E46)/2</f>
        <v>0.99999999999999989</v>
      </c>
      <c r="F48" s="11">
        <f>I48/D48</f>
        <v>25.099999999999991</v>
      </c>
      <c r="G48" s="10"/>
      <c r="H48" s="9">
        <f>SUM(H20:H46)/2</f>
        <v>359793.44000000006</v>
      </c>
      <c r="I48" s="9">
        <f>SUM(I20:I46)/2</f>
        <v>388359.74999999988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15472.500000000002</v>
      </c>
      <c r="E50" s="12">
        <f>D50/G2</f>
        <v>1.0000000000000002</v>
      </c>
      <c r="F50" s="11">
        <f>I50/D50</f>
        <v>25.099999999999991</v>
      </c>
      <c r="G50" s="10"/>
      <c r="H50" s="9">
        <f>H48+H19</f>
        <v>359793.44000000006</v>
      </c>
      <c r="I50" s="9">
        <f>I48+I19</f>
        <v>388359.74999999988</v>
      </c>
      <c r="J50" s="106">
        <f>D50-G2</f>
        <v>0</v>
      </c>
      <c r="K50" s="8"/>
    </row>
    <row r="51" spans="1:11" ht="23.25" x14ac:dyDescent="0.35">
      <c r="A51" s="174" t="s">
        <v>527</v>
      </c>
      <c r="B51" s="169"/>
      <c r="C51" s="170"/>
      <c r="G51" s="7"/>
      <c r="H51" s="6"/>
      <c r="I51" s="6">
        <f>+I50/D50</f>
        <v>25.099999999999991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525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525</v>
      </c>
      <c r="D2" s="96" t="s">
        <v>3</v>
      </c>
      <c r="E2" s="95" t="s">
        <v>71</v>
      </c>
      <c r="F2" s="94" t="s">
        <v>5</v>
      </c>
      <c r="G2" s="93">
        <v>13975.6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193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72.412435233160622</v>
      </c>
      <c r="F4" s="81" t="s">
        <v>12</v>
      </c>
      <c r="G4" s="80">
        <f>G2*G3</f>
        <v>408786.3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-1.0973510839653811E-2</v>
      </c>
      <c r="F6" s="69" t="s">
        <v>16</v>
      </c>
      <c r="G6" s="68">
        <f>(I50-I19)/(D50-(SUM(D42:D44)+D19))</f>
        <v>34.984150484813732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29.621523867601859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30.83469208060944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28.105063601342376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30.83469208060944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34.474196719632197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28.408355654594274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38.821382816242703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57.221100713524407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50.14428613764683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174.7</v>
      </c>
      <c r="E21" s="29">
        <f>D21/$D$48</f>
        <v>1.2500357766392856E-2</v>
      </c>
      <c r="F21" s="28">
        <f>C21-(C21*$E$6)</f>
        <v>74.40765039779852</v>
      </c>
      <c r="G21" s="27" t="str">
        <f>IF(C21&gt;=F21,"-","+")</f>
        <v>+</v>
      </c>
      <c r="H21" s="26">
        <f>C21*D21</f>
        <v>12857.919999999998</v>
      </c>
      <c r="I21" s="26">
        <f>F21*D21</f>
        <v>12999.016524495401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416.8</v>
      </c>
      <c r="E22" s="29">
        <f>D22/$D$48</f>
        <v>2.9823406508486219E-2</v>
      </c>
      <c r="F22" s="28">
        <f>C22-(C22*$E$6)</f>
        <v>49.942091435478893</v>
      </c>
      <c r="G22" s="27" t="str">
        <f>IF(C22&gt;=F22,"-","+")</f>
        <v>+</v>
      </c>
      <c r="H22" s="26">
        <f>C22*D22</f>
        <v>20589.919999999998</v>
      </c>
      <c r="I22" s="26">
        <f>F22*D22</f>
        <v>20815.863710307603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344.4</v>
      </c>
      <c r="E23" s="29">
        <f>D23/$D$48</f>
        <v>2.464294913992959E-2</v>
      </c>
      <c r="F23" s="28">
        <f>C23-(C23*$E$6)</f>
        <v>45.493807987784422</v>
      </c>
      <c r="G23" s="27" t="str">
        <f>IF(C23&gt;=F23,"-","+")</f>
        <v>+</v>
      </c>
      <c r="H23" s="26">
        <f>C23*D23</f>
        <v>15497.999999999998</v>
      </c>
      <c r="I23" s="26">
        <f>F23*D23</f>
        <v>15668.067470992954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52.298151511913666</v>
      </c>
      <c r="D24" s="22">
        <f>SUM(D21:D23)</f>
        <v>935.9</v>
      </c>
      <c r="E24" s="21">
        <f>D24/$D$48</f>
        <v>6.6966713414808657E-2</v>
      </c>
      <c r="F24" s="20">
        <f>I24/D24</f>
        <v>52.872045844423496</v>
      </c>
      <c r="G24" s="19">
        <f>F24/C24-1</f>
        <v>1.0973510839653589E-2</v>
      </c>
      <c r="H24" s="18">
        <f>SUM(H21:H23)</f>
        <v>48945.84</v>
      </c>
      <c r="I24" s="18">
        <f>SUM(I21:I23)</f>
        <v>49482.947705795952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v>2650.7</v>
      </c>
      <c r="E26" s="29">
        <f t="shared" ref="E26:E32" si="7">D26/$D$48</f>
        <v>0.18966627550874379</v>
      </c>
      <c r="F26" s="28">
        <f t="shared" ref="F26:F31" si="8">C26-(C26*$E$6)</f>
        <v>39.731258975998394</v>
      </c>
      <c r="G26" s="27" t="str">
        <f t="shared" ref="G26:G31" si="9">IF(C26&gt;=F26,"-","+")</f>
        <v>+</v>
      </c>
      <c r="H26" s="26">
        <f t="shared" ref="H26:H31" si="10">C26*D26</f>
        <v>104172.50999999998</v>
      </c>
      <c r="I26" s="26">
        <f t="shared" ref="I26:I31" si="11">F26*D26</f>
        <v>105315.64816767894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2062.9</v>
      </c>
      <c r="E27" s="29">
        <f t="shared" si="7"/>
        <v>0.14760725836457828</v>
      </c>
      <c r="F27" s="28">
        <f t="shared" si="8"/>
        <v>35.384072879387887</v>
      </c>
      <c r="G27" s="27" t="str">
        <f t="shared" si="9"/>
        <v>+</v>
      </c>
      <c r="H27" s="26">
        <f t="shared" si="10"/>
        <v>72201.5</v>
      </c>
      <c r="I27" s="26">
        <f t="shared" si="11"/>
        <v>72993.803942889281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1308.2</v>
      </c>
      <c r="E28" s="29">
        <f t="shared" si="7"/>
        <v>9.3605999026875414E-2</v>
      </c>
      <c r="F28" s="28">
        <f t="shared" si="8"/>
        <v>35.384072879387887</v>
      </c>
      <c r="G28" s="27" t="str">
        <f t="shared" si="9"/>
        <v>+</v>
      </c>
      <c r="H28" s="26">
        <f t="shared" si="10"/>
        <v>45787</v>
      </c>
      <c r="I28" s="26">
        <f t="shared" si="11"/>
        <v>46289.444140815234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1233.7</v>
      </c>
      <c r="E29" s="29">
        <f t="shared" si="7"/>
        <v>8.8275279773319212E-2</v>
      </c>
      <c r="F29" s="28">
        <f t="shared" si="8"/>
        <v>34.170904666380295</v>
      </c>
      <c r="G29" s="27" t="str">
        <f t="shared" si="9"/>
        <v>+</v>
      </c>
      <c r="H29" s="26">
        <f t="shared" si="10"/>
        <v>41699.06</v>
      </c>
      <c r="I29" s="26">
        <f t="shared" si="11"/>
        <v>42156.64508691337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989.7</v>
      </c>
      <c r="E30" s="29">
        <f t="shared" si="7"/>
        <v>7.0816279801940524E-2</v>
      </c>
      <c r="F30" s="28">
        <f t="shared" si="8"/>
        <v>34.170904666380295</v>
      </c>
      <c r="G30" s="27" t="str">
        <f t="shared" si="9"/>
        <v>+</v>
      </c>
      <c r="H30" s="26">
        <f t="shared" si="10"/>
        <v>33451.86</v>
      </c>
      <c r="I30" s="26">
        <f t="shared" si="11"/>
        <v>33818.944348316581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382.9</v>
      </c>
      <c r="E31" s="29">
        <f t="shared" si="7"/>
        <v>2.739775036492172E-2</v>
      </c>
      <c r="F31" s="28">
        <f t="shared" si="8"/>
        <v>34.777488772884091</v>
      </c>
      <c r="G31" s="27" t="str">
        <f t="shared" si="9"/>
        <v>+</v>
      </c>
      <c r="H31" s="26">
        <f t="shared" si="10"/>
        <v>13171.759999999998</v>
      </c>
      <c r="I31" s="26">
        <f t="shared" si="11"/>
        <v>13316.300451137318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35.985175183412331</v>
      </c>
      <c r="D32" s="22">
        <f>SUM(D26:D31)</f>
        <v>8628.1</v>
      </c>
      <c r="E32" s="21">
        <f t="shared" si="7"/>
        <v>0.61736884284037896</v>
      </c>
      <c r="F32" s="20">
        <f>I32/D32</f>
        <v>36.380058893354352</v>
      </c>
      <c r="G32" s="19">
        <f>F32/C32-1</f>
        <v>1.0973510839654033E-2</v>
      </c>
      <c r="H32" s="18">
        <f>SUM(H26:H31)</f>
        <v>310483.68999999994</v>
      </c>
      <c r="I32" s="18">
        <f>SUM(I26:I31)</f>
        <v>313890.78613775072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2114.6999999999998</v>
      </c>
      <c r="E34" s="29">
        <f t="shared" ref="E34:E40" si="13">D34/$D$48</f>
        <v>0.15131371819456765</v>
      </c>
      <c r="F34" s="28">
        <f t="shared" ref="F34:F39" si="14">C34-(C34*$E$6)</f>
        <v>20.927151674380834</v>
      </c>
      <c r="G34" s="27" t="str">
        <f t="shared" ref="G34:G39" si="15">IF(C34&gt;=F34,"-","+")</f>
        <v>+</v>
      </c>
      <c r="H34" s="26">
        <f t="shared" ref="H34:H39" si="16">C34*D34</f>
        <v>43774.289999999994</v>
      </c>
      <c r="I34" s="26">
        <f t="shared" ref="I34:I39" si="17">F34*D34</f>
        <v>44254.647645813144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/>
      <c r="E35" s="29">
        <f t="shared" si="13"/>
        <v>0</v>
      </c>
      <c r="F35" s="28">
        <f t="shared" si="14"/>
        <v>16.074478822350496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12.94046093874757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34.170904666380295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34.170904666380295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35.384072879387887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</v>
      </c>
      <c r="D40" s="22">
        <f>SUM(D34:D39)</f>
        <v>2114.6999999999998</v>
      </c>
      <c r="E40" s="113">
        <f t="shared" si="13"/>
        <v>0.15131371819456765</v>
      </c>
      <c r="F40" s="20">
        <f>I40/D40</f>
        <v>20.927151674380834</v>
      </c>
      <c r="G40" s="19">
        <f>F40/C40-1</f>
        <v>1.0973510839653811E-2</v>
      </c>
      <c r="H40" s="18">
        <f>SUM(H34:H39)</f>
        <v>43774.289999999994</v>
      </c>
      <c r="I40" s="18">
        <f>SUM(I34:I39)</f>
        <v>44254.647645813144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2174</v>
      </c>
      <c r="E42" s="107">
        <f>D42/$D$48</f>
        <v>0.15555682761384126</v>
      </c>
      <c r="F42" s="28">
        <f>C42-(C42*$E$6)</f>
        <v>0.50548675541982691</v>
      </c>
      <c r="G42" s="27" t="str">
        <f>IF(C42&gt;=F42,"-","+")</f>
        <v>+</v>
      </c>
      <c r="H42" s="26">
        <f>C42*D42</f>
        <v>1087</v>
      </c>
      <c r="I42" s="26">
        <f>F42*D42</f>
        <v>1098.9282062827037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116.7</v>
      </c>
      <c r="E43" s="107">
        <f>D43/$D$48</f>
        <v>8.350267609261856E-3</v>
      </c>
      <c r="F43" s="28">
        <f>C43-(C43*$E$6)</f>
        <v>0.50548675541982691</v>
      </c>
      <c r="G43" s="27" t="str">
        <f>IF(C43&gt;=F43,"-","+")</f>
        <v>+</v>
      </c>
      <c r="H43" s="26">
        <f>C43*D43</f>
        <v>58.35</v>
      </c>
      <c r="I43" s="26">
        <f>F43*D43</f>
        <v>58.990304357493798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6.2</v>
      </c>
      <c r="E45" s="107">
        <f>D45/$D$48</f>
        <v>4.4363032714158962E-4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0.49865035482606995</v>
      </c>
      <c r="D46" s="22">
        <f>SUM(D41:D45)</f>
        <v>2296.8999999999996</v>
      </c>
      <c r="E46" s="113">
        <f>D46/$D$48</f>
        <v>0.16435072555024469</v>
      </c>
      <c r="F46" s="20">
        <f>I46/D46</f>
        <v>0.50412229989995117</v>
      </c>
      <c r="G46" s="19">
        <f>F46/C46-1</f>
        <v>1.0973510839654033E-2</v>
      </c>
      <c r="H46" s="18">
        <f>SUM(H41:H44)</f>
        <v>1145.3499999999999</v>
      </c>
      <c r="I46" s="18">
        <f>SUM(I41:I44)</f>
        <v>1157.9185106401976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109.48197705015207</v>
      </c>
      <c r="D48" s="13">
        <f>D24+D32+D40+D46</f>
        <v>13975.6</v>
      </c>
      <c r="E48" s="12">
        <f>SUM(E20:E46)/2</f>
        <v>1</v>
      </c>
      <c r="F48" s="11">
        <f>I48/D48</f>
        <v>29.25</v>
      </c>
      <c r="G48" s="10"/>
      <c r="H48" s="9">
        <f>SUM(H20:H46)/2</f>
        <v>404349.16999999993</v>
      </c>
      <c r="I48" s="9">
        <f>SUM(I20:I46)/2</f>
        <v>408786.3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13975.600000000002</v>
      </c>
      <c r="E50" s="12">
        <f>D50/G2</f>
        <v>1.0000000000000002</v>
      </c>
      <c r="F50" s="11">
        <f>I50/D50</f>
        <v>29.249999999999993</v>
      </c>
      <c r="G50" s="10"/>
      <c r="H50" s="9">
        <f>H48+H19</f>
        <v>404349.16999999993</v>
      </c>
      <c r="I50" s="9">
        <f>I48+I19</f>
        <v>408786.3</v>
      </c>
      <c r="J50" s="106">
        <f>D50-G2</f>
        <v>0</v>
      </c>
      <c r="K50" s="8"/>
    </row>
    <row r="51" spans="1:11" ht="23.25" x14ac:dyDescent="0.35">
      <c r="A51" s="174" t="s">
        <v>528</v>
      </c>
      <c r="B51" s="169"/>
      <c r="C51" s="170"/>
      <c r="G51" s="7"/>
      <c r="H51" s="6"/>
      <c r="I51" s="6">
        <f>+I50/D50</f>
        <v>29.249999999999993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tabColor rgb="FF92D050"/>
  </sheetPr>
  <dimension ref="A1:K56"/>
  <sheetViews>
    <sheetView topLeftCell="A27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525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525</v>
      </c>
      <c r="D2" s="96" t="s">
        <v>3</v>
      </c>
      <c r="E2" s="95" t="s">
        <v>71</v>
      </c>
      <c r="F2" s="94" t="s">
        <v>5</v>
      </c>
      <c r="G2" s="93">
        <v>11424.2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163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70.087116564417187</v>
      </c>
      <c r="F4" s="81" t="s">
        <v>12</v>
      </c>
      <c r="G4" s="80">
        <f>G2*G3</f>
        <v>334157.85000000003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-1.2962431571698296E-2</v>
      </c>
      <c r="F6" s="69" t="s">
        <v>16</v>
      </c>
      <c r="G6" s="68">
        <f>(I50-I19)/(D50-(SUM(D42:D44)+D19))</f>
        <v>34.880096821219752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29.679799245050759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>
        <v>92.9</v>
      </c>
      <c r="E11" s="29">
        <f t="shared" si="1"/>
        <v>1</v>
      </c>
      <c r="F11" s="28">
        <f t="shared" si="2"/>
        <v>30.895354162936798</v>
      </c>
      <c r="G11" s="27" t="str">
        <f t="shared" si="3"/>
        <v>+</v>
      </c>
      <c r="H11" s="34">
        <f t="shared" si="4"/>
        <v>2833.4500000000003</v>
      </c>
      <c r="I11" s="34">
        <f t="shared" si="5"/>
        <v>2870.1784017368286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>
        <f t="shared" si="1"/>
        <v>0</v>
      </c>
      <c r="F12" s="28">
        <f t="shared" si="2"/>
        <v>28.160355597693215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30.895354162936798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>
        <f t="shared" si="1"/>
        <v>0</v>
      </c>
      <c r="F14" s="28">
        <f t="shared" si="2"/>
        <v>34.542018916594913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>
        <f t="shared" si="1"/>
        <v>0</v>
      </c>
      <c r="F15" s="28">
        <f t="shared" si="2"/>
        <v>28.464244327164725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>
        <f t="shared" si="1"/>
        <v>0</v>
      </c>
      <c r="F16" s="28">
        <f t="shared" si="2"/>
        <v>38.897757372353212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>
        <f t="shared" si="1"/>
        <v>0</v>
      </c>
      <c r="F17" s="28">
        <f t="shared" si="2"/>
        <v>57.333673626958124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50.242936605956238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30.5</v>
      </c>
      <c r="D19" s="49">
        <f>SUM(D10:D18)</f>
        <v>92.9</v>
      </c>
      <c r="E19" s="48">
        <f t="shared" si="1"/>
        <v>1</v>
      </c>
      <c r="F19" s="47">
        <f>I19/D19</f>
        <v>30.895354162936798</v>
      </c>
      <c r="G19" s="46">
        <f>F19/C19-1</f>
        <v>1.2962431571698296E-2</v>
      </c>
      <c r="H19" s="9">
        <f>SUM(H10:H18)</f>
        <v>2833.4500000000003</v>
      </c>
      <c r="I19" s="9">
        <f>SUM(I10:I18)</f>
        <v>2870.1784017368286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120.6</v>
      </c>
      <c r="E21" s="29">
        <f>D21/$D$48</f>
        <v>1.0643085965423208E-2</v>
      </c>
      <c r="F21" s="28">
        <f>C21-(C21*$E$6)</f>
        <v>74.554034963676983</v>
      </c>
      <c r="G21" s="27" t="str">
        <f>IF(C21&gt;=F21,"-","+")</f>
        <v>+</v>
      </c>
      <c r="H21" s="26">
        <f>C21*D21</f>
        <v>8876.159999999998</v>
      </c>
      <c r="I21" s="26">
        <f>F21*D21</f>
        <v>8991.2166166194438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348.6</v>
      </c>
      <c r="E22" s="29">
        <f>D22/$D$48</f>
        <v>3.0764343014482012E-2</v>
      </c>
      <c r="F22" s="28">
        <f>C22-(C22*$E$6)</f>
        <v>50.040344119641894</v>
      </c>
      <c r="G22" s="27" t="str">
        <f>IF(C22&gt;=F22,"-","+")</f>
        <v>+</v>
      </c>
      <c r="H22" s="26">
        <f>C22*D22</f>
        <v>17220.84</v>
      </c>
      <c r="I22" s="26">
        <f>F22*D22</f>
        <v>17444.063960107167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253.4</v>
      </c>
      <c r="E23" s="29">
        <f>D23/$D$48</f>
        <v>2.2362835685225881E-2</v>
      </c>
      <c r="F23" s="28">
        <f>C23-(C23*$E$6)</f>
        <v>45.583309420726422</v>
      </c>
      <c r="G23" s="27" t="str">
        <f>IF(C23&gt;=F23,"-","+")</f>
        <v>+</v>
      </c>
      <c r="H23" s="26">
        <f>C23*D23</f>
        <v>11403</v>
      </c>
      <c r="I23" s="26">
        <f>F23*D23</f>
        <v>11550.810607212075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51.895931358981457</v>
      </c>
      <c r="D24" s="22">
        <f>SUM(D21:D23)</f>
        <v>722.6</v>
      </c>
      <c r="E24" s="21">
        <f>D24/$D$48</f>
        <v>6.377026466513111E-2</v>
      </c>
      <c r="F24" s="20">
        <f>I24/D24</f>
        <v>52.568628818071801</v>
      </c>
      <c r="G24" s="19">
        <f>F24/C24-1</f>
        <v>1.2962431571698296E-2</v>
      </c>
      <c r="H24" s="18">
        <f>SUM(H21:H23)</f>
        <v>37500</v>
      </c>
      <c r="I24" s="18">
        <f>SUM(I21:I23)</f>
        <v>37986.091183938683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153.4+2084.2</f>
        <v>2237.6</v>
      </c>
      <c r="E26" s="29">
        <f t="shared" ref="E26:E32" si="7">D26/$D$48</f>
        <v>0.19747072268848234</v>
      </c>
      <c r="F26" s="28">
        <f t="shared" ref="F26:F31" si="8">C26-(C26*$E$6)</f>
        <v>39.80942356076774</v>
      </c>
      <c r="G26" s="27" t="str">
        <f t="shared" ref="G26:G31" si="9">IF(C26&gt;=F26,"-","+")</f>
        <v>+</v>
      </c>
      <c r="H26" s="26">
        <f t="shared" ref="H26:H31" si="10">C26*D26</f>
        <v>87937.68</v>
      </c>
      <c r="I26" s="26">
        <f t="shared" ref="I26:I31" si="11">F26*D26</f>
        <v>89077.566159573893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1784.9</v>
      </c>
      <c r="E27" s="29">
        <f t="shared" si="7"/>
        <v>0.15751943731081167</v>
      </c>
      <c r="F27" s="28">
        <f t="shared" si="8"/>
        <v>35.453685105009441</v>
      </c>
      <c r="G27" s="27" t="str">
        <f t="shared" si="9"/>
        <v>+</v>
      </c>
      <c r="H27" s="26">
        <f t="shared" si="10"/>
        <v>62471.5</v>
      </c>
      <c r="I27" s="26">
        <f t="shared" si="11"/>
        <v>63281.282543931353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1060.5</v>
      </c>
      <c r="E28" s="29">
        <f t="shared" si="7"/>
        <v>9.3590320616345882E-2</v>
      </c>
      <c r="F28" s="28">
        <f t="shared" si="8"/>
        <v>35.453685105009441</v>
      </c>
      <c r="G28" s="27" t="str">
        <f t="shared" si="9"/>
        <v>+</v>
      </c>
      <c r="H28" s="26">
        <f t="shared" si="10"/>
        <v>37117.5</v>
      </c>
      <c r="I28" s="26">
        <f t="shared" si="11"/>
        <v>37598.633053862512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1075.3</v>
      </c>
      <c r="E29" s="29">
        <f t="shared" si="7"/>
        <v>9.4896437301986533E-2</v>
      </c>
      <c r="F29" s="28">
        <f t="shared" si="8"/>
        <v>34.238130187123403</v>
      </c>
      <c r="G29" s="27" t="str">
        <f t="shared" si="9"/>
        <v>+</v>
      </c>
      <c r="H29" s="26">
        <f t="shared" si="10"/>
        <v>36345.139999999992</v>
      </c>
      <c r="I29" s="26">
        <f t="shared" si="11"/>
        <v>36816.261390213796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680.5</v>
      </c>
      <c r="E30" s="29">
        <f t="shared" si="7"/>
        <v>6.0054892201247878E-2</v>
      </c>
      <c r="F30" s="28">
        <f t="shared" si="8"/>
        <v>34.238130187123403</v>
      </c>
      <c r="G30" s="27" t="str">
        <f t="shared" si="9"/>
        <v>+</v>
      </c>
      <c r="H30" s="26">
        <f t="shared" si="10"/>
        <v>23000.899999999998</v>
      </c>
      <c r="I30" s="26">
        <f t="shared" si="11"/>
        <v>23299.047592337476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156.4</v>
      </c>
      <c r="E31" s="29">
        <f t="shared" si="7"/>
        <v>1.3802476326635074E-2</v>
      </c>
      <c r="F31" s="28">
        <f t="shared" si="8"/>
        <v>34.845907646066422</v>
      </c>
      <c r="G31" s="27" t="str">
        <f t="shared" si="9"/>
        <v>+</v>
      </c>
      <c r="H31" s="26">
        <f t="shared" si="10"/>
        <v>5380.16</v>
      </c>
      <c r="I31" s="26">
        <f t="shared" si="11"/>
        <v>5449.8999558447886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36.060853156450136</v>
      </c>
      <c r="D32" s="22">
        <f>SUM(D26:D31)</f>
        <v>6995.2</v>
      </c>
      <c r="E32" s="21">
        <f t="shared" si="7"/>
        <v>0.61733428644550936</v>
      </c>
      <c r="F32" s="20">
        <f>I32/D32</f>
        <v>36.528289497907686</v>
      </c>
      <c r="G32" s="19">
        <f>F32/C32-1</f>
        <v>1.2962431571698518E-2</v>
      </c>
      <c r="H32" s="18">
        <f>SUM(H26:H31)</f>
        <v>252252.87999999998</v>
      </c>
      <c r="I32" s="18">
        <f>SUM(I26:I31)</f>
        <v>255522.69069576383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1702.2</v>
      </c>
      <c r="E34" s="29">
        <f t="shared" ref="E34:E40" si="13">D34/$D$48</f>
        <v>0.15022106907415744</v>
      </c>
      <c r="F34" s="28">
        <f t="shared" ref="F34:F39" si="14">C34-(C34*$E$6)</f>
        <v>20.968322333534154</v>
      </c>
      <c r="G34" s="27" t="str">
        <f t="shared" ref="G34:G39" si="15">IF(C34&gt;=F34,"-","+")</f>
        <v>+</v>
      </c>
      <c r="H34" s="26">
        <f t="shared" ref="H34:H39" si="16">C34*D34</f>
        <v>35235.54</v>
      </c>
      <c r="I34" s="26">
        <f t="shared" ref="I34:I39" si="17">F34*D34</f>
        <v>35692.278276141835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71.900000000000006</v>
      </c>
      <c r="E35" s="29">
        <f t="shared" si="13"/>
        <v>6.3452560606461761E-3</v>
      </c>
      <c r="F35" s="28">
        <f t="shared" si="14"/>
        <v>16.106102661990004</v>
      </c>
      <c r="G35" s="27" t="str">
        <f t="shared" si="15"/>
        <v>+</v>
      </c>
      <c r="H35" s="26">
        <f t="shared" si="16"/>
        <v>1143.21</v>
      </c>
      <c r="I35" s="26">
        <f t="shared" si="17"/>
        <v>1158.0287813970813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12.96591912411774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34.238130187123403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34.238130187123403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35.453685105009441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20.505467561016854</v>
      </c>
      <c r="D40" s="22">
        <f>SUM(D34:D39)</f>
        <v>1774.1000000000001</v>
      </c>
      <c r="E40" s="113">
        <f t="shared" si="13"/>
        <v>0.15656632513480362</v>
      </c>
      <c r="F40" s="20">
        <f>I40/D40</f>
        <v>20.771268281122207</v>
      </c>
      <c r="G40" s="19">
        <f>F40/C40-1</f>
        <v>1.2962431571698074E-2</v>
      </c>
      <c r="H40" s="18">
        <f>SUM(H34:H39)</f>
        <v>36378.75</v>
      </c>
      <c r="I40" s="18">
        <f>SUM(I34:I39)</f>
        <v>36850.307057538914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1767</v>
      </c>
      <c r="E42" s="107">
        <f>D42/$D$48</f>
        <v>0.15593974213020573</v>
      </c>
      <c r="F42" s="28">
        <f>C42-(C42*$E$6)</f>
        <v>0.50648121578584915</v>
      </c>
      <c r="G42" s="27" t="str">
        <f>IF(C42&gt;=F42,"-","+")</f>
        <v>+</v>
      </c>
      <c r="H42" s="26">
        <f>C42*D42</f>
        <v>883.5</v>
      </c>
      <c r="I42" s="26">
        <f>F42*D42</f>
        <v>894.95230829359548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66.400000000000006</v>
      </c>
      <c r="E43" s="107">
        <f>D43/$D$48</f>
        <v>5.8598748599013361E-3</v>
      </c>
      <c r="F43" s="28">
        <f>C43-(C43*$E$6)</f>
        <v>0.50648121578584915</v>
      </c>
      <c r="G43" s="27" t="str">
        <f>IF(C43&gt;=F43,"-","+")</f>
        <v>+</v>
      </c>
      <c r="H43" s="26">
        <f>C43*D43</f>
        <v>33.200000000000003</v>
      </c>
      <c r="I43" s="26">
        <f>F43*D43</f>
        <v>33.630352728180384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5.2950676444891585E-4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0.49836903338045013</v>
      </c>
      <c r="D46" s="22">
        <f>SUM(D41:D45)</f>
        <v>1839.4</v>
      </c>
      <c r="E46" s="113">
        <f>D46/$D$48</f>
        <v>0.16232912375455599</v>
      </c>
      <c r="F46" s="20">
        <f>I46/D46</f>
        <v>0.50482910787309765</v>
      </c>
      <c r="G46" s="19">
        <f>F46/C46-1</f>
        <v>1.2962431571698296E-2</v>
      </c>
      <c r="H46" s="18">
        <f>SUM(H41:H44)</f>
        <v>916.7</v>
      </c>
      <c r="I46" s="18">
        <f>SUM(I41:I44)</f>
        <v>928.58266102177583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108.96062110982891</v>
      </c>
      <c r="D48" s="13">
        <f>D24+D32+D40+D46</f>
        <v>11331.3</v>
      </c>
      <c r="E48" s="12">
        <f>SUM(E20:E46)/2</f>
        <v>1</v>
      </c>
      <c r="F48" s="11">
        <f>I48/D48</f>
        <v>29.236510514968554</v>
      </c>
      <c r="G48" s="10"/>
      <c r="H48" s="9">
        <f>SUM(H20:H46)/2</f>
        <v>327048.32999999996</v>
      </c>
      <c r="I48" s="9">
        <f>SUM(I20:I46)/2</f>
        <v>331287.67159826314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11424.2</v>
      </c>
      <c r="E50" s="12">
        <f>D50/G2</f>
        <v>1</v>
      </c>
      <c r="F50" s="11">
        <f>I50/D50</f>
        <v>29.249999999999996</v>
      </c>
      <c r="G50" s="10"/>
      <c r="H50" s="9">
        <f>H48+H19</f>
        <v>329881.77999999997</v>
      </c>
      <c r="I50" s="9">
        <f>I48+I19</f>
        <v>334157.84999999998</v>
      </c>
      <c r="J50" s="106">
        <f>D50-G2</f>
        <v>0</v>
      </c>
      <c r="K50" s="8"/>
    </row>
    <row r="51" spans="1:11" ht="23.25" x14ac:dyDescent="0.35">
      <c r="A51" s="174" t="s">
        <v>529</v>
      </c>
      <c r="B51" s="169"/>
      <c r="C51" s="170"/>
      <c r="G51" s="7"/>
      <c r="H51" s="6"/>
      <c r="I51" s="6">
        <f>+I50/D50</f>
        <v>29.249999999999996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524</v>
      </c>
      <c r="D1" s="100" t="s">
        <v>1</v>
      </c>
      <c r="E1" s="168" t="s">
        <v>484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530</v>
      </c>
      <c r="D2" s="96" t="s">
        <v>3</v>
      </c>
      <c r="E2" s="95" t="s">
        <v>112</v>
      </c>
      <c r="F2" s="94" t="s">
        <v>5</v>
      </c>
      <c r="G2" s="93">
        <v>21395.4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280</v>
      </c>
      <c r="F3" s="88" t="s">
        <v>8</v>
      </c>
      <c r="G3" s="87">
        <v>26.08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76.412142857142868</v>
      </c>
      <c r="F4" s="81" t="s">
        <v>12</v>
      </c>
      <c r="G4" s="80">
        <f>G2*G3</f>
        <v>557992.03200000001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-8.7701963846648523E-2</v>
      </c>
      <c r="F6" s="69" t="s">
        <v>16</v>
      </c>
      <c r="G6" s="68">
        <f>(I50-I19)/(D50-(SUM(D42:D44)+D19))</f>
        <v>32.932252067670071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26.1</v>
      </c>
      <c r="D10" s="30"/>
      <c r="E10" s="29">
        <f t="shared" ref="E10:E19" si="1">D10/$D$19</f>
        <v>0</v>
      </c>
      <c r="F10" s="28">
        <f t="shared" ref="F10:F18" si="2">C10-(C10*$E$6)</f>
        <v>28.389021256397527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27.2</v>
      </c>
      <c r="D11" s="30"/>
      <c r="E11" s="29">
        <f t="shared" si="1"/>
        <v>0</v>
      </c>
      <c r="F11" s="28">
        <f t="shared" si="2"/>
        <v>29.585493416628839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24.8</v>
      </c>
      <c r="D12" s="30"/>
      <c r="E12" s="29">
        <f t="shared" si="1"/>
        <v>0</v>
      </c>
      <c r="F12" s="28">
        <f t="shared" si="2"/>
        <v>26.975008703396885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27.2</v>
      </c>
      <c r="D13" s="30"/>
      <c r="E13" s="29">
        <f t="shared" si="1"/>
        <v>0</v>
      </c>
      <c r="F13" s="28">
        <f t="shared" si="2"/>
        <v>29.585493416628839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30.4</v>
      </c>
      <c r="D14" s="30"/>
      <c r="E14" s="29">
        <f t="shared" si="1"/>
        <v>0</v>
      </c>
      <c r="F14" s="28">
        <f t="shared" si="2"/>
        <v>33.066139700938116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>
        <f t="shared" si="1"/>
        <v>0</v>
      </c>
      <c r="F15" s="28">
        <f t="shared" si="2"/>
        <v>27.192549096166214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34.299999999999997</v>
      </c>
      <c r="D16" s="30"/>
      <c r="E16" s="29">
        <f t="shared" si="1"/>
        <v>0</v>
      </c>
      <c r="F16" s="28">
        <f t="shared" si="2"/>
        <v>37.308177359940039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50.4</v>
      </c>
      <c r="D17" s="30">
        <v>48.8</v>
      </c>
      <c r="E17" s="29">
        <f t="shared" si="1"/>
        <v>1</v>
      </c>
      <c r="F17" s="28">
        <f t="shared" si="2"/>
        <v>54.82017897787108</v>
      </c>
      <c r="G17" s="27" t="str">
        <f t="shared" si="3"/>
        <v>+</v>
      </c>
      <c r="H17" s="34">
        <f t="shared" si="4"/>
        <v>2459.52</v>
      </c>
      <c r="I17" s="34">
        <f t="shared" si="5"/>
        <v>2675.2247341201087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44.2</v>
      </c>
      <c r="D18" s="30"/>
      <c r="E18" s="29">
        <f t="shared" si="1"/>
        <v>0</v>
      </c>
      <c r="F18" s="28">
        <f t="shared" si="2"/>
        <v>48.076426802021871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50.400000000000006</v>
      </c>
      <c r="D19" s="49">
        <f>SUM(D10:D18)</f>
        <v>48.8</v>
      </c>
      <c r="E19" s="48">
        <f t="shared" si="1"/>
        <v>1</v>
      </c>
      <c r="F19" s="47">
        <f>I19/D19</f>
        <v>54.82017897787108</v>
      </c>
      <c r="G19" s="46">
        <f>F19/C19-1</f>
        <v>8.7701963846648301E-2</v>
      </c>
      <c r="H19" s="9">
        <f>SUM(H10:H18)</f>
        <v>2459.52</v>
      </c>
      <c r="I19" s="9">
        <f>SUM(I10:I18)</f>
        <v>2675.2247341201087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65.599999999999994</v>
      </c>
      <c r="D21" s="30">
        <v>254.2</v>
      </c>
      <c r="E21" s="29">
        <f>D21/$D$48</f>
        <v>1.1908219575951206E-2</v>
      </c>
      <c r="F21" s="28">
        <f>C21-(C21*$E$6)</f>
        <v>71.353248828340142</v>
      </c>
      <c r="G21" s="27" t="str">
        <f>IF(C21&gt;=F21,"-","+")</f>
        <v>+</v>
      </c>
      <c r="H21" s="26">
        <f>C21*D21</f>
        <v>16675.519999999997</v>
      </c>
      <c r="I21" s="26">
        <f>F21*D21</f>
        <v>18137.995852164062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</v>
      </c>
      <c r="D22" s="30">
        <v>535.6</v>
      </c>
      <c r="E22" s="29">
        <f>D22/$D$48</f>
        <v>2.5090646754049827E-2</v>
      </c>
      <c r="F22" s="28">
        <f>C22-(C22*$E$6)</f>
        <v>47.858886409252534</v>
      </c>
      <c r="G22" s="27" t="str">
        <f>IF(C22&gt;=F22,"-","+")</f>
        <v>+</v>
      </c>
      <c r="H22" s="26">
        <f>C22*D22</f>
        <v>23566.400000000001</v>
      </c>
      <c r="I22" s="26">
        <f>F22*D22</f>
        <v>25633.21956079566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40.200000000000003</v>
      </c>
      <c r="D23" s="30">
        <v>462.1</v>
      </c>
      <c r="E23" s="29">
        <f>D23/$D$48</f>
        <v>2.1647475476188248E-2</v>
      </c>
      <c r="F23" s="28">
        <f>C23-(C23*$E$6)</f>
        <v>43.725618946635272</v>
      </c>
      <c r="G23" s="27" t="str">
        <f>IF(C23&gt;=F23,"-","+")</f>
        <v>+</v>
      </c>
      <c r="H23" s="26">
        <f>C23*D23</f>
        <v>18576.420000000002</v>
      </c>
      <c r="I23" s="26">
        <f>F23*D23</f>
        <v>20205.608515240161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46.983257448678003</v>
      </c>
      <c r="D24" s="22">
        <f>SUM(D21:D23)</f>
        <v>1251.9000000000001</v>
      </c>
      <c r="E24" s="21">
        <f>D24/$D$48</f>
        <v>5.8646341806189287E-2</v>
      </c>
      <c r="F24" s="20">
        <f>I24/D24</f>
        <v>51.103781394839743</v>
      </c>
      <c r="G24" s="19">
        <f>F24/C24-1</f>
        <v>8.7701963846648523E-2</v>
      </c>
      <c r="H24" s="18">
        <f>SUM(H21:H23)</f>
        <v>58818.34</v>
      </c>
      <c r="I24" s="18">
        <f>SUM(I21:I23)</f>
        <v>63976.823928199883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</v>
      </c>
      <c r="D26" s="30">
        <v>3961.1</v>
      </c>
      <c r="E26" s="29">
        <f t="shared" ref="E26:E32" si="7">D26/$D$48</f>
        <v>0.18556116664948985</v>
      </c>
      <c r="F26" s="28">
        <f t="shared" ref="F26:F31" si="8">C26-(C26*$E$6)</f>
        <v>38.069568734632696</v>
      </c>
      <c r="G26" s="27" t="str">
        <f t="shared" ref="G26:G31" si="9">IF(C26&gt;=F26,"-","+")</f>
        <v>+</v>
      </c>
      <c r="H26" s="26">
        <f t="shared" ref="H26:H31" si="10">C26*D26</f>
        <v>138638.5</v>
      </c>
      <c r="I26" s="26">
        <f t="shared" ref="I26:I31" si="11">F26*D26</f>
        <v>150797.36871475357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31.2</v>
      </c>
      <c r="D27" s="30">
        <v>3286.4</v>
      </c>
      <c r="E27" s="29">
        <f t="shared" si="7"/>
        <v>0.15395425969475235</v>
      </c>
      <c r="F27" s="28">
        <f t="shared" si="8"/>
        <v>33.936301272015434</v>
      </c>
      <c r="G27" s="27" t="str">
        <f t="shared" si="9"/>
        <v>+</v>
      </c>
      <c r="H27" s="26">
        <f t="shared" si="10"/>
        <v>102535.68000000001</v>
      </c>
      <c r="I27" s="26">
        <f t="shared" si="11"/>
        <v>111528.26050035152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31.2</v>
      </c>
      <c r="D28" s="30">
        <v>1599.2</v>
      </c>
      <c r="E28" s="29">
        <f t="shared" si="7"/>
        <v>7.491591166743182E-2</v>
      </c>
      <c r="F28" s="28">
        <f t="shared" si="8"/>
        <v>33.936301272015434</v>
      </c>
      <c r="G28" s="27" t="str">
        <f t="shared" si="9"/>
        <v>+</v>
      </c>
      <c r="H28" s="26">
        <f t="shared" si="10"/>
        <v>49895.040000000001</v>
      </c>
      <c r="I28" s="26">
        <f t="shared" si="11"/>
        <v>54270.932994207084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30.1</v>
      </c>
      <c r="D29" s="30">
        <v>1450.9</v>
      </c>
      <c r="E29" s="29">
        <f t="shared" si="7"/>
        <v>6.7968669483664854E-2</v>
      </c>
      <c r="F29" s="28">
        <f t="shared" si="8"/>
        <v>32.739829111784125</v>
      </c>
      <c r="G29" s="27" t="str">
        <f t="shared" si="9"/>
        <v>+</v>
      </c>
      <c r="H29" s="26">
        <f t="shared" si="10"/>
        <v>43672.090000000004</v>
      </c>
      <c r="I29" s="26">
        <f t="shared" si="11"/>
        <v>47502.218058287588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30.1</v>
      </c>
      <c r="D30" s="30">
        <v>1245</v>
      </c>
      <c r="E30" s="29">
        <f t="shared" si="7"/>
        <v>5.8323105318879825E-2</v>
      </c>
      <c r="F30" s="28">
        <f t="shared" si="8"/>
        <v>32.739829111784125</v>
      </c>
      <c r="G30" s="27" t="str">
        <f t="shared" si="9"/>
        <v>+</v>
      </c>
      <c r="H30" s="26">
        <f t="shared" si="10"/>
        <v>37474.5</v>
      </c>
      <c r="I30" s="26">
        <f t="shared" si="11"/>
        <v>40761.087244171234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340.2</v>
      </c>
      <c r="E31" s="29">
        <f t="shared" si="7"/>
        <v>1.5936964200387885E-2</v>
      </c>
      <c r="F31" s="28">
        <f t="shared" si="8"/>
        <v>33.283680093707446</v>
      </c>
      <c r="G31" s="27" t="str">
        <f t="shared" si="9"/>
        <v>+</v>
      </c>
      <c r="H31" s="26">
        <f t="shared" si="10"/>
        <v>10410.120000000001</v>
      </c>
      <c r="I31" s="26">
        <f t="shared" si="11"/>
        <v>11323.107967879272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32.199980644292587</v>
      </c>
      <c r="D32" s="22">
        <f>SUM(D26:D31)</f>
        <v>11882.800000000001</v>
      </c>
      <c r="E32" s="21">
        <f t="shared" si="7"/>
        <v>0.55666007701460662</v>
      </c>
      <c r="F32" s="20">
        <f>I32/D32</f>
        <v>35.023982182621118</v>
      </c>
      <c r="G32" s="19">
        <f>F32/C32-1</f>
        <v>8.7701963846648523E-2</v>
      </c>
      <c r="H32" s="18">
        <f>SUM(H26:H31)</f>
        <v>382625.93</v>
      </c>
      <c r="I32" s="18">
        <f>SUM(I26:I31)</f>
        <v>416182.97547965025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f>1855.6+1593.2</f>
        <v>3448.8</v>
      </c>
      <c r="E34" s="29">
        <f t="shared" ref="E34:E40" si="13">D34/$D$48</f>
        <v>0.16156202861345603</v>
      </c>
      <c r="F34" s="28">
        <f t="shared" ref="F34:F39" si="14">C34-(C34*$E$6)</f>
        <v>20.013716134778331</v>
      </c>
      <c r="G34" s="27" t="str">
        <f t="shared" ref="G34:G39" si="15">IF(C34&gt;=F34,"-","+")</f>
        <v>+</v>
      </c>
      <c r="H34" s="26">
        <f t="shared" ref="H34:H39" si="16">C34*D34</f>
        <v>63457.919999999998</v>
      </c>
      <c r="I34" s="26">
        <f t="shared" ref="I34:I39" si="17">F34*D34</f>
        <v>69023.304205623514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14.2</v>
      </c>
      <c r="D35" s="30">
        <v>271.5</v>
      </c>
      <c r="E35" s="29">
        <f t="shared" si="13"/>
        <v>1.2718653087611142E-2</v>
      </c>
      <c r="F35" s="28">
        <f t="shared" si="14"/>
        <v>15.445367886622408</v>
      </c>
      <c r="G35" s="27" t="str">
        <f t="shared" si="15"/>
        <v>+</v>
      </c>
      <c r="H35" s="26">
        <f t="shared" si="16"/>
        <v>3855.2999999999997</v>
      </c>
      <c r="I35" s="26">
        <f t="shared" si="17"/>
        <v>4193.4173812179843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12.399802387851793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30.1</v>
      </c>
      <c r="D37" s="30"/>
      <c r="E37" s="29">
        <f t="shared" si="13"/>
        <v>0</v>
      </c>
      <c r="F37" s="28">
        <f t="shared" si="14"/>
        <v>32.739829111784125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30.1</v>
      </c>
      <c r="D38" s="30"/>
      <c r="E38" s="29">
        <f t="shared" si="13"/>
        <v>0</v>
      </c>
      <c r="F38" s="28">
        <f t="shared" si="14"/>
        <v>32.739829111784125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31.2</v>
      </c>
      <c r="D39" s="30"/>
      <c r="E39" s="29">
        <f t="shared" si="13"/>
        <v>0</v>
      </c>
      <c r="F39" s="28">
        <f t="shared" si="14"/>
        <v>33.936301272015434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18.093492460285461</v>
      </c>
      <c r="D40" s="22">
        <f>SUM(D34:D39)</f>
        <v>3720.3</v>
      </c>
      <c r="E40" s="113">
        <f t="shared" si="13"/>
        <v>0.17428068170106717</v>
      </c>
      <c r="F40" s="20">
        <f>I40/D40</f>
        <v>19.680327281897021</v>
      </c>
      <c r="G40" s="19">
        <f>F40/C40-1</f>
        <v>8.7701963846648301E-2</v>
      </c>
      <c r="H40" s="18">
        <f>SUM(H34:H39)</f>
        <v>67313.22</v>
      </c>
      <c r="I40" s="18">
        <f>SUM(I34:I39)</f>
        <v>73216.721586841493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2081+231.2+2027.6</f>
        <v>4339.7999999999993</v>
      </c>
      <c r="E42" s="107">
        <f>D42/$D$48</f>
        <v>0.20330169675732901</v>
      </c>
      <c r="F42" s="28">
        <f>C42-(C42*$E$6)</f>
        <v>0.43508078553865942</v>
      </c>
      <c r="G42" s="27" t="str">
        <f>IF(C42&gt;=F42,"-","+")</f>
        <v>+</v>
      </c>
      <c r="H42" s="26">
        <f>C42*D42</f>
        <v>1735.9199999999998</v>
      </c>
      <c r="I42" s="26">
        <f>F42*D42</f>
        <v>1888.1635930806738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119.8</v>
      </c>
      <c r="E43" s="107">
        <f>D43/$D$48</f>
        <v>5.6121349535757457E-3</v>
      </c>
      <c r="F43" s="28">
        <f>C43-(C43*$E$6)</f>
        <v>0.43508078553865942</v>
      </c>
      <c r="G43" s="27" t="str">
        <f>IF(C43&gt;=F43,"-","+")</f>
        <v>+</v>
      </c>
      <c r="H43" s="26">
        <f>C43*D43</f>
        <v>47.92</v>
      </c>
      <c r="I43" s="26">
        <f>F43*D43</f>
        <v>52.122678107531399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24.6</v>
      </c>
      <c r="E44" s="107">
        <f>D44/$D$48</f>
        <v>1.1524083460597943E-3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7.4</v>
      </c>
      <c r="E45" s="107">
        <f>D45/$D$48</f>
        <v>3.4665942117245843E-4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0.39715023599608162</v>
      </c>
      <c r="D46" s="22">
        <f>SUM(D41:D45)</f>
        <v>4491.5999999999995</v>
      </c>
      <c r="E46" s="113">
        <f>D46/$D$48</f>
        <v>0.21041289947813702</v>
      </c>
      <c r="F46" s="20">
        <f>I46/D46</f>
        <v>0.43198109163509779</v>
      </c>
      <c r="G46" s="19">
        <f>F46/C46-1</f>
        <v>8.7701963846648301E-2</v>
      </c>
      <c r="H46" s="18">
        <f>SUM(H41:H44)</f>
        <v>1783.84</v>
      </c>
      <c r="I46" s="18">
        <f>SUM(I41:I44)</f>
        <v>1940.2862711882051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97.673880789252124</v>
      </c>
      <c r="D48" s="13">
        <f>D24+D32+D40+D46</f>
        <v>21346.6</v>
      </c>
      <c r="E48" s="12">
        <f>SUM(E20:E46)/2</f>
        <v>1.0000000000000002</v>
      </c>
      <c r="F48" s="11">
        <f>I48/D48</f>
        <v>26.01429769920642</v>
      </c>
      <c r="G48" s="10"/>
      <c r="H48" s="9">
        <f>SUM(H20:H46)/2</f>
        <v>510541.33000000007</v>
      </c>
      <c r="I48" s="9">
        <f>SUM(I20:I46)/2</f>
        <v>555316.8072658797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21395.399999999998</v>
      </c>
      <c r="E50" s="12">
        <f>D50/G2</f>
        <v>0.99999999999999978</v>
      </c>
      <c r="F50" s="11">
        <f>I50/D50</f>
        <v>26.079999999999991</v>
      </c>
      <c r="G50" s="10"/>
      <c r="H50" s="9">
        <f>H48+H19</f>
        <v>513000.85000000009</v>
      </c>
      <c r="I50" s="9">
        <f>I48+I19</f>
        <v>557992.03199999977</v>
      </c>
      <c r="J50" s="106">
        <f>D50-G2</f>
        <v>0</v>
      </c>
      <c r="K50" s="8"/>
    </row>
    <row r="51" spans="1:11" ht="23.25" x14ac:dyDescent="0.35">
      <c r="A51" s="174" t="s">
        <v>531</v>
      </c>
      <c r="B51" s="169"/>
      <c r="C51" s="170"/>
      <c r="G51" s="7"/>
      <c r="H51" s="6"/>
      <c r="I51" s="6">
        <f>+I50/D50</f>
        <v>26.079999999999991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525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530</v>
      </c>
      <c r="D2" s="96" t="s">
        <v>3</v>
      </c>
      <c r="E2" s="95" t="s">
        <v>362</v>
      </c>
      <c r="F2" s="94" t="s">
        <v>5</v>
      </c>
      <c r="G2" s="93">
        <v>12012.4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160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75.077500000000001</v>
      </c>
      <c r="F4" s="81" t="s">
        <v>12</v>
      </c>
      <c r="G4" s="80">
        <f>G2*G3</f>
        <v>351362.7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-5.1903826425643285E-3</v>
      </c>
      <c r="F6" s="69" t="s">
        <v>16</v>
      </c>
      <c r="G6" s="68">
        <f>(I50-I19)/(D50-(SUM(D42:D44)+D19))</f>
        <v>34.632027677022542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29.452078211427136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30.658306670598211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27.944292637463288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30.658306670598211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34.276992048111445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28.24584975225606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38.599310693474472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56.893775657569144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49.857442979071195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144.69999999999999</v>
      </c>
      <c r="E21" s="29">
        <f>D21/$D$48</f>
        <v>1.2045885917884854E-2</v>
      </c>
      <c r="F21" s="28">
        <f>C21-(C21*$E$6)</f>
        <v>73.982012162492722</v>
      </c>
      <c r="G21" s="27" t="str">
        <f>IF(C21&gt;=F21,"-","+")</f>
        <v>+</v>
      </c>
      <c r="H21" s="26">
        <f>C21*D21</f>
        <v>10649.919999999998</v>
      </c>
      <c r="I21" s="26">
        <f>F21*D21</f>
        <v>10705.197159912695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367.4</v>
      </c>
      <c r="E22" s="29">
        <f>D22/$D$48</f>
        <v>3.0585062102494093E-2</v>
      </c>
      <c r="F22" s="28">
        <f>C22-(C22*$E$6)</f>
        <v>49.656404902542675</v>
      </c>
      <c r="G22" s="27" t="str">
        <f>IF(C22&gt;=F22,"-","+")</f>
        <v>+</v>
      </c>
      <c r="H22" s="26">
        <f>C22*D22</f>
        <v>18149.559999999998</v>
      </c>
      <c r="I22" s="26">
        <f>F22*D22</f>
        <v>18243.763161194176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296.10000000000002</v>
      </c>
      <c r="E23" s="29">
        <f>D23/$D$48</f>
        <v>2.4649528820219112E-2</v>
      </c>
      <c r="F23" s="28">
        <f>C23-(C23*$E$6)</f>
        <v>45.233567218915397</v>
      </c>
      <c r="G23" s="27" t="str">
        <f>IF(C23&gt;=F23,"-","+")</f>
        <v>+</v>
      </c>
      <c r="H23" s="26">
        <f>C23*D23</f>
        <v>13324.500000000002</v>
      </c>
      <c r="I23" s="26">
        <f>F23*D23</f>
        <v>13393.659253520849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52.120737441227419</v>
      </c>
      <c r="D24" s="22">
        <f>SUM(D21:D23)</f>
        <v>808.19999999999993</v>
      </c>
      <c r="E24" s="21">
        <f>D24/$D$48</f>
        <v>6.7280476840598055E-2</v>
      </c>
      <c r="F24" s="20">
        <f>I24/D24</f>
        <v>52.391264012160015</v>
      </c>
      <c r="G24" s="19">
        <f>F24/C24-1</f>
        <v>5.1903826425643285E-3</v>
      </c>
      <c r="H24" s="18">
        <f>SUM(H21:H23)</f>
        <v>42123.979999999996</v>
      </c>
      <c r="I24" s="18">
        <f>SUM(I21:I23)</f>
        <v>42342.619574627723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37.2+2440</f>
        <v>2477.1999999999998</v>
      </c>
      <c r="E26" s="29">
        <f t="shared" ref="E26:E32" si="7">D26/$D$48</f>
        <v>0.20622023908627754</v>
      </c>
      <c r="F26" s="28">
        <f t="shared" ref="F26:F31" si="8">C26-(C26*$E$6)</f>
        <v>39.503982037852772</v>
      </c>
      <c r="G26" s="27" t="str">
        <f t="shared" ref="G26:G31" si="9">IF(C26&gt;=F26,"-","+")</f>
        <v>+</v>
      </c>
      <c r="H26" s="26">
        <f t="shared" ref="H26:H31" si="10">C26*D26</f>
        <v>97353.959999999992</v>
      </c>
      <c r="I26" s="26">
        <f t="shared" ref="I26:I31" si="11">F26*D26</f>
        <v>97859.264304168886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1837.1</v>
      </c>
      <c r="E27" s="29">
        <f t="shared" si="7"/>
        <v>0.15293363524358164</v>
      </c>
      <c r="F27" s="28">
        <f t="shared" si="8"/>
        <v>35.181663392489753</v>
      </c>
      <c r="G27" s="27" t="str">
        <f t="shared" si="9"/>
        <v>+</v>
      </c>
      <c r="H27" s="26">
        <f t="shared" si="10"/>
        <v>64298.5</v>
      </c>
      <c r="I27" s="26">
        <f t="shared" si="11"/>
        <v>64632.233818342924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1031</v>
      </c>
      <c r="E28" s="29">
        <f t="shared" si="7"/>
        <v>8.582797775631848E-2</v>
      </c>
      <c r="F28" s="28">
        <f t="shared" si="8"/>
        <v>35.181663392489753</v>
      </c>
      <c r="G28" s="27" t="str">
        <f t="shared" si="9"/>
        <v>+</v>
      </c>
      <c r="H28" s="26">
        <f t="shared" si="10"/>
        <v>36085</v>
      </c>
      <c r="I28" s="26">
        <f t="shared" si="11"/>
        <v>36272.294957656937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968.9</v>
      </c>
      <c r="E29" s="29">
        <f t="shared" si="7"/>
        <v>8.0658319736272535E-2</v>
      </c>
      <c r="F29" s="28">
        <f t="shared" si="8"/>
        <v>33.975434933318674</v>
      </c>
      <c r="G29" s="27" t="str">
        <f t="shared" si="9"/>
        <v>+</v>
      </c>
      <c r="H29" s="26">
        <f t="shared" si="10"/>
        <v>32748.819999999996</v>
      </c>
      <c r="I29" s="26">
        <f t="shared" si="11"/>
        <v>32918.798906892465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864.5</v>
      </c>
      <c r="E30" s="29">
        <f t="shared" si="7"/>
        <v>7.1967300456195274E-2</v>
      </c>
      <c r="F30" s="28">
        <f t="shared" si="8"/>
        <v>33.975434933318674</v>
      </c>
      <c r="G30" s="27" t="str">
        <f t="shared" si="9"/>
        <v>+</v>
      </c>
      <c r="H30" s="26">
        <f t="shared" si="10"/>
        <v>29220.1</v>
      </c>
      <c r="I30" s="26">
        <f t="shared" si="11"/>
        <v>29371.763499853994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192.8</v>
      </c>
      <c r="E31" s="29">
        <f t="shared" si="7"/>
        <v>1.6050081582364893E-2</v>
      </c>
      <c r="F31" s="28">
        <f t="shared" si="8"/>
        <v>34.57854916290421</v>
      </c>
      <c r="G31" s="27" t="str">
        <f t="shared" si="9"/>
        <v>+</v>
      </c>
      <c r="H31" s="26">
        <f t="shared" si="10"/>
        <v>6632.32</v>
      </c>
      <c r="I31" s="26">
        <f t="shared" si="11"/>
        <v>6666.7442786079318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36.130868886929399</v>
      </c>
      <c r="D32" s="22">
        <f>SUM(D26:D31)</f>
        <v>7371.4999999999991</v>
      </c>
      <c r="E32" s="21">
        <f t="shared" si="7"/>
        <v>0.61365755386101029</v>
      </c>
      <c r="F32" s="20">
        <f>I32/D32</f>
        <v>36.318401921660872</v>
      </c>
      <c r="G32" s="19">
        <f>F32/C32-1</f>
        <v>5.1903826425638844E-3</v>
      </c>
      <c r="H32" s="18">
        <f>SUM(H26:H31)</f>
        <v>266338.7</v>
      </c>
      <c r="I32" s="18">
        <f>SUM(I26:I31)</f>
        <v>267721.0997655231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1872.9</v>
      </c>
      <c r="E34" s="29">
        <f t="shared" ref="E34:E40" si="13">D34/$D$48</f>
        <v>0.15591388898138595</v>
      </c>
      <c r="F34" s="28">
        <f t="shared" ref="F34:F39" si="14">C34-(C34*$E$6)</f>
        <v>20.80744092070108</v>
      </c>
      <c r="G34" s="27" t="str">
        <f t="shared" ref="G34:G39" si="15">IF(C34&gt;=F34,"-","+")</f>
        <v>+</v>
      </c>
      <c r="H34" s="26">
        <f t="shared" ref="H34:H39" si="16">C34*D34</f>
        <v>38769.03</v>
      </c>
      <c r="I34" s="26">
        <f t="shared" ref="I34:I39" si="17">F34*D34</f>
        <v>38970.256100381055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87</v>
      </c>
      <c r="E35" s="29">
        <f t="shared" si="13"/>
        <v>7.2425160667310461E-3</v>
      </c>
      <c r="F35" s="28">
        <f t="shared" si="14"/>
        <v>15.982527084016773</v>
      </c>
      <c r="G35" s="27" t="str">
        <f t="shared" si="15"/>
        <v>+</v>
      </c>
      <c r="H35" s="26">
        <f t="shared" si="16"/>
        <v>1383.3</v>
      </c>
      <c r="I35" s="26">
        <f t="shared" si="17"/>
        <v>1390.4798563094594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12.866436897824824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33.975434933318674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33.975434933318674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35.181663392489753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20.486927904484922</v>
      </c>
      <c r="D40" s="22">
        <f>SUM(D34:D39)</f>
        <v>1959.9</v>
      </c>
      <c r="E40" s="113">
        <f t="shared" si="13"/>
        <v>0.16315640504811699</v>
      </c>
      <c r="F40" s="20">
        <f>I40/D40</f>
        <v>20.593262899479825</v>
      </c>
      <c r="G40" s="19">
        <f>F40/C40-1</f>
        <v>5.1903826425641064E-3</v>
      </c>
      <c r="H40" s="18">
        <f>SUM(H34:H39)</f>
        <v>40152.33</v>
      </c>
      <c r="I40" s="18">
        <f>SUM(I34:I39)</f>
        <v>40360.735956690514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1776</v>
      </c>
      <c r="E42" s="107">
        <f>D42/$D$48</f>
        <v>0.14784722453464755</v>
      </c>
      <c r="F42" s="28">
        <f>C42-(C42*$E$6)</f>
        <v>0.50259519132128216</v>
      </c>
      <c r="G42" s="27" t="str">
        <f>IF(C42&gt;=F42,"-","+")</f>
        <v>+</v>
      </c>
      <c r="H42" s="26">
        <f>C42*D42</f>
        <v>888</v>
      </c>
      <c r="I42" s="26">
        <f>F42*D42</f>
        <v>892.60905978659707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90.8</v>
      </c>
      <c r="E43" s="107">
        <f>D43/$D$48</f>
        <v>7.5588558489560797E-3</v>
      </c>
      <c r="F43" s="28">
        <f>C43-(C43*$E$6)</f>
        <v>0.50259519132128216</v>
      </c>
      <c r="G43" s="27" t="str">
        <f>IF(C43&gt;=F43,"-","+")</f>
        <v>+</v>
      </c>
      <c r="H43" s="26">
        <f>C43*D43</f>
        <v>45.4</v>
      </c>
      <c r="I43" s="26">
        <f>F43*D43</f>
        <v>45.635643371972421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4.9948386667110663E-4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0.4983981204613413</v>
      </c>
      <c r="D46" s="22">
        <f>SUM(D41:D45)</f>
        <v>1872.8</v>
      </c>
      <c r="E46" s="113">
        <f>D46/$D$48</f>
        <v>0.15590556425027474</v>
      </c>
      <c r="F46" s="20">
        <f>I46/D46</f>
        <v>0.50098499741487046</v>
      </c>
      <c r="G46" s="19">
        <f>F46/C46-1</f>
        <v>5.1903826425641064E-3</v>
      </c>
      <c r="H46" s="18">
        <f>SUM(H41:H44)</f>
        <v>933.4</v>
      </c>
      <c r="I46" s="18">
        <f>SUM(I41:I44)</f>
        <v>938.24470315856945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109.23693235310309</v>
      </c>
      <c r="D48" s="13">
        <f>D24+D32+D40+D46</f>
        <v>12012.399999999998</v>
      </c>
      <c r="E48" s="12">
        <f>SUM(E20:E46)/2</f>
        <v>1.0000000000000002</v>
      </c>
      <c r="F48" s="11">
        <f>I48/D48</f>
        <v>29.249999999999996</v>
      </c>
      <c r="G48" s="10"/>
      <c r="H48" s="9">
        <f>SUM(H20:H46)/2</f>
        <v>349548.41000000003</v>
      </c>
      <c r="I48" s="9">
        <f>SUM(I20:I46)/2</f>
        <v>351362.6999999999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12012.4</v>
      </c>
      <c r="E50" s="12">
        <f>D50/G2</f>
        <v>1</v>
      </c>
      <c r="F50" s="11">
        <f>I50/D50</f>
        <v>29.249999999999993</v>
      </c>
      <c r="G50" s="10"/>
      <c r="H50" s="9">
        <f>H48+H19</f>
        <v>349548.41000000003</v>
      </c>
      <c r="I50" s="9">
        <f>I48+I19</f>
        <v>351362.6999999999</v>
      </c>
      <c r="J50" s="106">
        <f>D50-G2</f>
        <v>0</v>
      </c>
      <c r="K50" s="8"/>
    </row>
    <row r="51" spans="1:11" ht="23.25" x14ac:dyDescent="0.35">
      <c r="A51" s="174" t="s">
        <v>532</v>
      </c>
      <c r="B51" s="169"/>
      <c r="C51" s="170"/>
      <c r="G51" s="7"/>
      <c r="H51" s="6"/>
      <c r="I51" s="6">
        <f>+I50/D50</f>
        <v>29.249999999999993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524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530</v>
      </c>
      <c r="D2" s="96" t="s">
        <v>3</v>
      </c>
      <c r="E2" s="95" t="s">
        <v>112</v>
      </c>
      <c r="F2" s="94" t="s">
        <v>5</v>
      </c>
      <c r="G2" s="93">
        <v>5256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80</v>
      </c>
      <c r="F3" s="88" t="s">
        <v>8</v>
      </c>
      <c r="G3" s="87">
        <v>26.2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65.7</v>
      </c>
      <c r="F4" s="81" t="s">
        <v>12</v>
      </c>
      <c r="G4" s="80">
        <f>G2*G3</f>
        <v>137707.19999999998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-6.7936190542736474E-2</v>
      </c>
      <c r="F6" s="69" t="s">
        <v>16</v>
      </c>
      <c r="G6" s="68">
        <f>(I50-I19)/(D50-(SUM(D42:D44)+D19))</f>
        <v>32.703334283271566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26.2</v>
      </c>
      <c r="D10" s="30"/>
      <c r="E10" s="29" t="e">
        <f t="shared" ref="E10:E19" si="1">D10/$D$19</f>
        <v>#DIV/0!</v>
      </c>
      <c r="F10" s="28">
        <f t="shared" ref="F10:F18" si="2">C10-(C10*$E$6)</f>
        <v>27.979928192219695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 t="e">
        <f t="shared" si="1"/>
        <v>#DIV/0!</v>
      </c>
      <c r="F11" s="28">
        <f t="shared" si="2"/>
        <v>29.154658001816706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24.9</v>
      </c>
      <c r="D12" s="30"/>
      <c r="E12" s="29" t="e">
        <f t="shared" si="1"/>
        <v>#DIV/0!</v>
      </c>
      <c r="F12" s="28">
        <f t="shared" si="2"/>
        <v>26.591611144514136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 t="e">
        <f t="shared" si="1"/>
        <v>#DIV/0!</v>
      </c>
      <c r="F13" s="28">
        <f t="shared" si="2"/>
        <v>29.154658001816706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30.5</v>
      </c>
      <c r="D14" s="30"/>
      <c r="E14" s="29" t="e">
        <f t="shared" si="1"/>
        <v>#DIV/0!</v>
      </c>
      <c r="F14" s="28">
        <f t="shared" si="2"/>
        <v>32.572053811553459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26.911992001676957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34.4</v>
      </c>
      <c r="D16" s="30"/>
      <c r="E16" s="29" t="e">
        <f t="shared" si="1"/>
        <v>#DIV/0!</v>
      </c>
      <c r="F16" s="28">
        <f t="shared" si="2"/>
        <v>36.737004954670134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50.7</v>
      </c>
      <c r="D17" s="30"/>
      <c r="E17" s="29" t="e">
        <f t="shared" si="1"/>
        <v>#DIV/0!</v>
      </c>
      <c r="F17" s="28">
        <f t="shared" si="2"/>
        <v>54.144364860516745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44.4</v>
      </c>
      <c r="D18" s="30"/>
      <c r="E18" s="29" t="e">
        <f t="shared" si="1"/>
        <v>#DIV/0!</v>
      </c>
      <c r="F18" s="28">
        <f t="shared" si="2"/>
        <v>47.416366860097497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65.900000000000006</v>
      </c>
      <c r="D21" s="30">
        <v>67.5</v>
      </c>
      <c r="E21" s="29">
        <f>D21/$D$48</f>
        <v>1.2842465753424657E-2</v>
      </c>
      <c r="F21" s="28">
        <f>C21-(C21*$E$6)</f>
        <v>70.376994956766339</v>
      </c>
      <c r="G21" s="27" t="str">
        <f>IF(C21&gt;=F21,"-","+")</f>
        <v>+</v>
      </c>
      <c r="H21" s="26">
        <f>C21*D21</f>
        <v>4448.25</v>
      </c>
      <c r="I21" s="26">
        <f>F21*D21</f>
        <v>4750.4471595817276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131.80000000000001</v>
      </c>
      <c r="E22" s="29">
        <f>D22/$D$48</f>
        <v>2.5076103500761036E-2</v>
      </c>
      <c r="F22" s="28">
        <f>C22-(C22*$E$6)</f>
        <v>47.309573241043225</v>
      </c>
      <c r="G22" s="27" t="str">
        <f>IF(C22&gt;=F22,"-","+")</f>
        <v>+</v>
      </c>
      <c r="H22" s="26">
        <f>C22*D22</f>
        <v>5838.74</v>
      </c>
      <c r="I22" s="26">
        <f>F22*D22</f>
        <v>6235.4017531694972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40.299999999999997</v>
      </c>
      <c r="D23" s="30">
        <v>112.2</v>
      </c>
      <c r="E23" s="29">
        <f>D23/$D$48</f>
        <v>2.134703196347032E-2</v>
      </c>
      <c r="F23" s="28">
        <f>C23-(C23*$E$6)</f>
        <v>43.037828478872278</v>
      </c>
      <c r="G23" s="27" t="str">
        <f>IF(C23&gt;=F23,"-","+")</f>
        <v>+</v>
      </c>
      <c r="H23" s="26">
        <f>C23*D23</f>
        <v>4521.66</v>
      </c>
      <c r="I23" s="26">
        <f>F23*D23</f>
        <v>4828.8443553294701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47.539807383627604</v>
      </c>
      <c r="D24" s="22">
        <f>SUM(D21:D23)</f>
        <v>311.5</v>
      </c>
      <c r="E24" s="21">
        <f>D24/$D$48</f>
        <v>5.9265601217656012E-2</v>
      </c>
      <c r="F24" s="20">
        <f>I24/D24</f>
        <v>50.769480796406732</v>
      </c>
      <c r="G24" s="19">
        <f>F24/C24-1</f>
        <v>6.7936190542736696E-2</v>
      </c>
      <c r="H24" s="18">
        <f>SUM(H21:H23)</f>
        <v>14808.65</v>
      </c>
      <c r="I24" s="18">
        <f>SUM(I21:I23)</f>
        <v>15814.693268080697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v>1023.5</v>
      </c>
      <c r="E26" s="29">
        <f t="shared" ref="E26:E32" si="7">D26/$D$48</f>
        <v>0.19472983257229834</v>
      </c>
      <c r="F26" s="28">
        <f t="shared" ref="F26:F31" si="8">C26-(C26*$E$6)</f>
        <v>37.591353907104327</v>
      </c>
      <c r="G26" s="27" t="str">
        <f t="shared" ref="G26:G31" si="9">IF(C26&gt;=F26,"-","+")</f>
        <v>+</v>
      </c>
      <c r="H26" s="26">
        <f t="shared" ref="H26:H31" si="10">C26*D26</f>
        <v>36027.200000000004</v>
      </c>
      <c r="I26" s="26">
        <f t="shared" ref="I26:I31" si="11">F26*D26</f>
        <v>38474.750723921279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31.3</v>
      </c>
      <c r="D27" s="30">
        <v>833.7</v>
      </c>
      <c r="E27" s="29">
        <f t="shared" si="7"/>
        <v>0.15861872146118722</v>
      </c>
      <c r="F27" s="28">
        <f t="shared" si="8"/>
        <v>33.426402763987653</v>
      </c>
      <c r="G27" s="27" t="str">
        <f t="shared" si="9"/>
        <v>+</v>
      </c>
      <c r="H27" s="26">
        <f t="shared" si="10"/>
        <v>26094.81</v>
      </c>
      <c r="I27" s="26">
        <f t="shared" si="11"/>
        <v>27867.591984336508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31.3</v>
      </c>
      <c r="D28" s="30">
        <v>428.4</v>
      </c>
      <c r="E28" s="29">
        <f t="shared" si="7"/>
        <v>8.1506849315068491E-2</v>
      </c>
      <c r="F28" s="28">
        <f t="shared" si="8"/>
        <v>33.426402763987653</v>
      </c>
      <c r="G28" s="27" t="str">
        <f t="shared" si="9"/>
        <v>+</v>
      </c>
      <c r="H28" s="26">
        <f t="shared" si="10"/>
        <v>13408.92</v>
      </c>
      <c r="I28" s="26">
        <f t="shared" si="11"/>
        <v>14319.87094409231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398.5</v>
      </c>
      <c r="E29" s="29">
        <f t="shared" si="7"/>
        <v>7.5818112633181126E-2</v>
      </c>
      <c r="F29" s="28">
        <f t="shared" si="8"/>
        <v>32.358466573444915</v>
      </c>
      <c r="G29" s="27" t="str">
        <f t="shared" si="9"/>
        <v>+</v>
      </c>
      <c r="H29" s="26">
        <f t="shared" si="10"/>
        <v>12074.550000000001</v>
      </c>
      <c r="I29" s="26">
        <f t="shared" si="11"/>
        <v>12894.848929517799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289.60000000000002</v>
      </c>
      <c r="E30" s="29">
        <f t="shared" si="7"/>
        <v>5.5098934550989347E-2</v>
      </c>
      <c r="F30" s="28">
        <f t="shared" si="8"/>
        <v>32.358466573444915</v>
      </c>
      <c r="G30" s="27" t="str">
        <f t="shared" si="9"/>
        <v>+</v>
      </c>
      <c r="H30" s="26">
        <f t="shared" si="10"/>
        <v>8774.880000000001</v>
      </c>
      <c r="I30" s="26">
        <f t="shared" si="11"/>
        <v>9371.0119196696487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47.8</v>
      </c>
      <c r="E31" s="29">
        <f t="shared" si="7"/>
        <v>9.0943683409436833E-3</v>
      </c>
      <c r="F31" s="28">
        <f t="shared" si="8"/>
        <v>32.892434668716284</v>
      </c>
      <c r="G31" s="27" t="str">
        <f t="shared" si="9"/>
        <v>+</v>
      </c>
      <c r="H31" s="26">
        <f t="shared" si="10"/>
        <v>1472.24</v>
      </c>
      <c r="I31" s="26">
        <f t="shared" si="11"/>
        <v>1572.2583771646382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32.385437696508362</v>
      </c>
      <c r="D32" s="22">
        <f>SUM(D26:D31)</f>
        <v>3021.5</v>
      </c>
      <c r="E32" s="21">
        <f t="shared" si="7"/>
        <v>0.57486681887366819</v>
      </c>
      <c r="F32" s="20">
        <f>I32/D32</f>
        <v>34.585580962668267</v>
      </c>
      <c r="G32" s="19">
        <f>F32/C32-1</f>
        <v>6.7936190542736252E-2</v>
      </c>
      <c r="H32" s="18">
        <f>SUM(H26:H31)</f>
        <v>97852.60000000002</v>
      </c>
      <c r="I32" s="18">
        <f>SUM(I26:I31)</f>
        <v>104500.33287870217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f>439.5+368.1</f>
        <v>807.6</v>
      </c>
      <c r="E34" s="29">
        <f t="shared" ref="E34:E40" si="13">D34/$D$48</f>
        <v>0.1536529680365297</v>
      </c>
      <c r="F34" s="28">
        <f t="shared" ref="F34:F39" si="14">C34-(C34*$E$6)</f>
        <v>19.756819525040626</v>
      </c>
      <c r="G34" s="27" t="str">
        <f t="shared" ref="G34:G39" si="15">IF(C34&gt;=F34,"-","+")</f>
        <v>+</v>
      </c>
      <c r="H34" s="26">
        <f t="shared" ref="H34:H39" si="16">C34*D34</f>
        <v>14940.6</v>
      </c>
      <c r="I34" s="26">
        <f t="shared" ref="I34:I39" si="17">F34*D34</f>
        <v>15955.60744842281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14.2</v>
      </c>
      <c r="D35" s="30">
        <v>65.5</v>
      </c>
      <c r="E35" s="29">
        <f t="shared" si="13"/>
        <v>1.2461948249619482E-2</v>
      </c>
      <c r="F35" s="28">
        <f t="shared" si="14"/>
        <v>15.164693905706857</v>
      </c>
      <c r="G35" s="27" t="str">
        <f t="shared" si="15"/>
        <v>+</v>
      </c>
      <c r="H35" s="26">
        <f t="shared" si="16"/>
        <v>930.09999999999991</v>
      </c>
      <c r="I35" s="26">
        <f t="shared" si="17"/>
        <v>993.28745082379908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12.174472572187197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32.358466573444915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32.358466573444915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31.3</v>
      </c>
      <c r="D39" s="30"/>
      <c r="E39" s="29">
        <f t="shared" si="13"/>
        <v>0</v>
      </c>
      <c r="F39" s="28">
        <f t="shared" si="14"/>
        <v>33.426402763987653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18.177413812850762</v>
      </c>
      <c r="D40" s="22">
        <f>SUM(D34:D39)</f>
        <v>873.1</v>
      </c>
      <c r="E40" s="113">
        <f t="shared" si="13"/>
        <v>0.16611491628614916</v>
      </c>
      <c r="F40" s="20">
        <f>I40/D40</f>
        <v>19.412318061214762</v>
      </c>
      <c r="G40" s="19">
        <f>F40/C40-1</f>
        <v>6.7936190542736474E-2</v>
      </c>
      <c r="H40" s="18">
        <f>SUM(H34:H39)</f>
        <v>15870.7</v>
      </c>
      <c r="I40" s="18">
        <f>SUM(I34:I39)</f>
        <v>16948.89489924661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448+61.4+507.8</f>
        <v>1017.2</v>
      </c>
      <c r="E42" s="107">
        <f>D42/$D$48</f>
        <v>0.19353120243531202</v>
      </c>
      <c r="F42" s="28">
        <f>C42-(C42*$E$6)</f>
        <v>0.42717447621709459</v>
      </c>
      <c r="G42" s="27" t="str">
        <f>IF(C42&gt;=F42,"-","+")</f>
        <v>+</v>
      </c>
      <c r="H42" s="26">
        <f>C42*D42</f>
        <v>406.88000000000005</v>
      </c>
      <c r="I42" s="26">
        <f>F42*D42</f>
        <v>434.52187720802863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20.5</v>
      </c>
      <c r="E43" s="107">
        <f>D43/$D$48</f>
        <v>3.9003044140030439E-3</v>
      </c>
      <c r="F43" s="28">
        <f>C43-(C43*$E$6)</f>
        <v>0.42717447621709459</v>
      </c>
      <c r="G43" s="27" t="str">
        <f>IF(C43&gt;=F43,"-","+")</f>
        <v>+</v>
      </c>
      <c r="H43" s="26">
        <f>C43*D43</f>
        <v>8.2000000000000011</v>
      </c>
      <c r="I43" s="26">
        <f>F43*D43</f>
        <v>8.7570767624504384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7.5</v>
      </c>
      <c r="E44" s="107">
        <f>D44/$D$48</f>
        <v>1.4269406392694063E-3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8.9421613394216138E-4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0.39535193827983617</v>
      </c>
      <c r="D46" s="22">
        <f>SUM(D41:D45)</f>
        <v>1049.9000000000001</v>
      </c>
      <c r="E46" s="113">
        <f>D46/$D$48</f>
        <v>0.19975266362252667</v>
      </c>
      <c r="F46" s="20">
        <f>I46/D46</f>
        <v>0.42221064289025528</v>
      </c>
      <c r="G46" s="19">
        <f>F46/C46-1</f>
        <v>6.7936190542736474E-2</v>
      </c>
      <c r="H46" s="18">
        <f>SUM(H41:H44)</f>
        <v>415.08000000000004</v>
      </c>
      <c r="I46" s="18">
        <f>SUM(I41:I44)</f>
        <v>443.27895397047905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98.498010831266555</v>
      </c>
      <c r="D48" s="13">
        <f>D24+D32+D40+D46</f>
        <v>5256</v>
      </c>
      <c r="E48" s="12">
        <f>SUM(E20:E46)/2</f>
        <v>1.0000000000000004</v>
      </c>
      <c r="F48" s="11">
        <f>I48/D48</f>
        <v>26.199999999999992</v>
      </c>
      <c r="G48" s="10"/>
      <c r="H48" s="9">
        <f>SUM(H20:H46)/2</f>
        <v>128947.03000000003</v>
      </c>
      <c r="I48" s="9">
        <f>SUM(I20:I46)/2</f>
        <v>137707.19999999995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5256.0000000000009</v>
      </c>
      <c r="E50" s="12">
        <f>D50/G2</f>
        <v>1.0000000000000002</v>
      </c>
      <c r="F50" s="11">
        <f>I50/D50</f>
        <v>26.199999999999985</v>
      </c>
      <c r="G50" s="10"/>
      <c r="H50" s="9">
        <f>H48+H19</f>
        <v>128947.03000000003</v>
      </c>
      <c r="I50" s="9">
        <f>I48+I19</f>
        <v>137707.19999999995</v>
      </c>
      <c r="J50" s="106">
        <f>D50-G2</f>
        <v>0</v>
      </c>
      <c r="K50" s="8"/>
    </row>
    <row r="51" spans="1:11" ht="23.25" x14ac:dyDescent="0.35">
      <c r="A51" s="174" t="s">
        <v>533</v>
      </c>
      <c r="B51" s="169"/>
      <c r="C51" s="170"/>
      <c r="G51" s="7"/>
      <c r="H51" s="6"/>
      <c r="I51" s="6">
        <f>+I50/D50</f>
        <v>26.199999999999985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530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530</v>
      </c>
      <c r="D2" s="96" t="s">
        <v>3</v>
      </c>
      <c r="E2" s="95" t="s">
        <v>362</v>
      </c>
      <c r="F2" s="94" t="s">
        <v>5</v>
      </c>
      <c r="G2" s="93">
        <v>26312.7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356</v>
      </c>
      <c r="F3" s="88" t="s">
        <v>8</v>
      </c>
      <c r="G3" s="87">
        <v>29.2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73.912078651685391</v>
      </c>
      <c r="F4" s="81" t="s">
        <v>12</v>
      </c>
      <c r="G4" s="80">
        <f>G2*G3</f>
        <v>768330.84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-2.4102783749656576E-2</v>
      </c>
      <c r="F6" s="69" t="s">
        <v>16</v>
      </c>
      <c r="G6" s="68">
        <f>(I50-I19)/(D50-(SUM(D42:D44)+D19))</f>
        <v>35.02556557073779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29.2</v>
      </c>
      <c r="D10" s="30"/>
      <c r="E10" s="29">
        <f t="shared" ref="E10:E19" si="1">D10/$D$19</f>
        <v>0</v>
      </c>
      <c r="F10" s="28">
        <f t="shared" ref="F10:F18" si="2">C10-(C10*$E$6)</f>
        <v>29.903801285489973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30.4</v>
      </c>
      <c r="D11" s="30">
        <v>799.9</v>
      </c>
      <c r="E11" s="29">
        <f t="shared" si="1"/>
        <v>0.45578347578347572</v>
      </c>
      <c r="F11" s="28">
        <f t="shared" si="2"/>
        <v>31.13272462598956</v>
      </c>
      <c r="G11" s="27" t="str">
        <f t="shared" si="3"/>
        <v>+</v>
      </c>
      <c r="H11" s="34">
        <f t="shared" si="4"/>
        <v>24316.959999999999</v>
      </c>
      <c r="I11" s="34">
        <f t="shared" si="5"/>
        <v>24903.06642832905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>
        <v>567.5</v>
      </c>
      <c r="E12" s="29">
        <f t="shared" si="1"/>
        <v>0.32336182336182334</v>
      </c>
      <c r="F12" s="28">
        <f t="shared" si="2"/>
        <v>28.470057388240452</v>
      </c>
      <c r="G12" s="27" t="str">
        <f t="shared" si="3"/>
        <v>+</v>
      </c>
      <c r="H12" s="34">
        <f t="shared" si="4"/>
        <v>15776.5</v>
      </c>
      <c r="I12" s="34">
        <f t="shared" si="5"/>
        <v>16156.757567826457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30.4</v>
      </c>
      <c r="D13" s="30"/>
      <c r="E13" s="29">
        <f t="shared" si="1"/>
        <v>0</v>
      </c>
      <c r="F13" s="28">
        <f t="shared" si="2"/>
        <v>31.13272462598956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</v>
      </c>
      <c r="D14" s="30"/>
      <c r="E14" s="29">
        <f t="shared" si="1"/>
        <v>0</v>
      </c>
      <c r="F14" s="28">
        <f t="shared" si="2"/>
        <v>34.819494647488327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</v>
      </c>
      <c r="D15" s="30">
        <v>373.7</v>
      </c>
      <c r="E15" s="29">
        <f t="shared" si="1"/>
        <v>0.2129344729344729</v>
      </c>
      <c r="F15" s="28">
        <f t="shared" si="2"/>
        <v>28.674877944990385</v>
      </c>
      <c r="G15" s="27" t="str">
        <f t="shared" si="3"/>
        <v>+</v>
      </c>
      <c r="H15" s="34">
        <f t="shared" si="4"/>
        <v>10463.6</v>
      </c>
      <c r="I15" s="34">
        <f t="shared" si="5"/>
        <v>10715.801888042906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>
        <f t="shared" si="1"/>
        <v>0</v>
      </c>
      <c r="F16" s="28">
        <f t="shared" si="2"/>
        <v>39.325546895986811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56.5</v>
      </c>
      <c r="D17" s="30">
        <v>13.9</v>
      </c>
      <c r="E17" s="29">
        <f t="shared" si="1"/>
        <v>7.9202279202279201E-3</v>
      </c>
      <c r="F17" s="28">
        <f t="shared" si="2"/>
        <v>57.861807281855597</v>
      </c>
      <c r="G17" s="27" t="str">
        <f t="shared" si="3"/>
        <v>+</v>
      </c>
      <c r="H17" s="34">
        <f t="shared" si="4"/>
        <v>785.35</v>
      </c>
      <c r="I17" s="34">
        <f t="shared" si="5"/>
        <v>804.27912121779286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49.5</v>
      </c>
      <c r="D18" s="30"/>
      <c r="E18" s="29">
        <f t="shared" si="1"/>
        <v>0</v>
      </c>
      <c r="F18" s="28">
        <f t="shared" si="2"/>
        <v>50.693087795608001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29.254934472934465</v>
      </c>
      <c r="D19" s="49">
        <f>SUM(D10:D18)</f>
        <v>1755.0000000000002</v>
      </c>
      <c r="E19" s="48">
        <f t="shared" si="1"/>
        <v>1</v>
      </c>
      <c r="F19" s="47">
        <f>I19/D19</f>
        <v>29.960059832145983</v>
      </c>
      <c r="G19" s="46">
        <f>F19/C19-1</f>
        <v>2.4102783749656798E-2</v>
      </c>
      <c r="H19" s="9">
        <f>SUM(H10:H18)</f>
        <v>51342.409999999996</v>
      </c>
      <c r="I19" s="9">
        <f>SUM(I10:I18)</f>
        <v>52579.905005416207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73.400000000000006</v>
      </c>
      <c r="D21" s="30">
        <v>278.89999999999998</v>
      </c>
      <c r="E21" s="29">
        <f>D21/$D$48</f>
        <v>1.1356926748026078E-2</v>
      </c>
      <c r="F21" s="28">
        <f>C21-(C21*$E$6)</f>
        <v>75.169144327224799</v>
      </c>
      <c r="G21" s="27" t="str">
        <f>IF(C21&gt;=F21,"-","+")</f>
        <v>+</v>
      </c>
      <c r="H21" s="26">
        <f>C21*D21</f>
        <v>20471.259999999998</v>
      </c>
      <c r="I21" s="26">
        <f>F21*D21</f>
        <v>20964.674352862996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49.3</v>
      </c>
      <c r="D22" s="30">
        <v>765.8</v>
      </c>
      <c r="E22" s="29">
        <f>D22/$D$48</f>
        <v>3.1183702056788706E-2</v>
      </c>
      <c r="F22" s="28">
        <f>C22-(C22*$E$6)</f>
        <v>50.488267238858064</v>
      </c>
      <c r="G22" s="27" t="str">
        <f>IF(C22&gt;=F22,"-","+")</f>
        <v>+</v>
      </c>
      <c r="H22" s="26">
        <f>C22*D22</f>
        <v>37753.939999999995</v>
      </c>
      <c r="I22" s="26">
        <f>F22*D22</f>
        <v>38663.915051517506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578.4</v>
      </c>
      <c r="E23" s="29">
        <f>D23/$D$48</f>
        <v>2.3552694266971257E-2</v>
      </c>
      <c r="F23" s="28">
        <f>C23-(C23*$E$6)</f>
        <v>46.084625268734548</v>
      </c>
      <c r="G23" s="27" t="str">
        <f>IF(C23&gt;=F23,"-","+")</f>
        <v>+</v>
      </c>
      <c r="H23" s="26">
        <f>C23*D23</f>
        <v>26028</v>
      </c>
      <c r="I23" s="26">
        <f>F23*D23</f>
        <v>26655.347255436063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51.908816462325184</v>
      </c>
      <c r="D24" s="22">
        <f>SUM(D21:D23)</f>
        <v>1623.1</v>
      </c>
      <c r="E24" s="21">
        <f>D24/$D$48</f>
        <v>6.6093323071786045E-2</v>
      </c>
      <c r="F24" s="20">
        <f>I24/D24</f>
        <v>53.159963440217219</v>
      </c>
      <c r="G24" s="19">
        <f>F24/C24-1</f>
        <v>2.4102783749656576E-2</v>
      </c>
      <c r="H24" s="18">
        <f>SUM(H21:H23)</f>
        <v>84253.2</v>
      </c>
      <c r="I24" s="18">
        <f>SUM(I21:I23)</f>
        <v>86283.936659816565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39.200000000000003</v>
      </c>
      <c r="D26" s="30">
        <f>409.1+4495.3</f>
        <v>4904.4000000000005</v>
      </c>
      <c r="E26" s="29">
        <f t="shared" ref="E26:E32" si="7">D26/$D$48</f>
        <v>0.19970925615998245</v>
      </c>
      <c r="F26" s="28">
        <f t="shared" ref="F26:F31" si="8">C26-(C26*$E$6)</f>
        <v>40.144829122986543</v>
      </c>
      <c r="G26" s="27" t="str">
        <f t="shared" ref="G26:G31" si="9">IF(C26&gt;=F26,"-","+")</f>
        <v>+</v>
      </c>
      <c r="H26" s="26">
        <f t="shared" ref="H26:H31" si="10">C26*D26</f>
        <v>192252.48000000004</v>
      </c>
      <c r="I26" s="26">
        <f t="shared" ref="I26:I31" si="11">F26*D26</f>
        <v>196886.29995077522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34.9</v>
      </c>
      <c r="D27" s="30">
        <v>3743.9</v>
      </c>
      <c r="E27" s="29">
        <f t="shared" si="7"/>
        <v>0.15245320205068066</v>
      </c>
      <c r="F27" s="28">
        <f t="shared" si="8"/>
        <v>35.741187152863013</v>
      </c>
      <c r="G27" s="27" t="str">
        <f t="shared" si="9"/>
        <v>+</v>
      </c>
      <c r="H27" s="26">
        <f t="shared" si="10"/>
        <v>130662.11</v>
      </c>
      <c r="I27" s="26">
        <f t="shared" si="11"/>
        <v>133811.43058160384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34.9</v>
      </c>
      <c r="D28" s="30">
        <v>2011.8</v>
      </c>
      <c r="E28" s="29">
        <f t="shared" si="7"/>
        <v>8.1921352569662473E-2</v>
      </c>
      <c r="F28" s="28">
        <f t="shared" si="8"/>
        <v>35.741187152863013</v>
      </c>
      <c r="G28" s="27" t="str">
        <f t="shared" si="9"/>
        <v>+</v>
      </c>
      <c r="H28" s="26">
        <f t="shared" si="10"/>
        <v>70211.819999999992</v>
      </c>
      <c r="I28" s="26">
        <f t="shared" si="11"/>
        <v>71904.120314129803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33.700000000000003</v>
      </c>
      <c r="D29" s="30">
        <v>1856.6</v>
      </c>
      <c r="E29" s="29">
        <f t="shared" si="7"/>
        <v>7.560154248972828E-2</v>
      </c>
      <c r="F29" s="28">
        <f t="shared" si="8"/>
        <v>34.512263812363429</v>
      </c>
      <c r="G29" s="27" t="str">
        <f t="shared" si="9"/>
        <v>+</v>
      </c>
      <c r="H29" s="26">
        <f t="shared" si="10"/>
        <v>62567.420000000006</v>
      </c>
      <c r="I29" s="26">
        <f t="shared" si="11"/>
        <v>64075.468994033938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33.700000000000003</v>
      </c>
      <c r="D30" s="30">
        <v>1795.8</v>
      </c>
      <c r="E30" s="29">
        <f t="shared" si="7"/>
        <v>7.3125740602743752E-2</v>
      </c>
      <c r="F30" s="28">
        <f t="shared" si="8"/>
        <v>34.512263812363429</v>
      </c>
      <c r="G30" s="27" t="str">
        <f t="shared" si="9"/>
        <v>+</v>
      </c>
      <c r="H30" s="26">
        <f t="shared" si="10"/>
        <v>60518.460000000006</v>
      </c>
      <c r="I30" s="26">
        <f t="shared" si="11"/>
        <v>61977.123354242241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34.299999999999997</v>
      </c>
      <c r="D31" s="30">
        <v>366.4</v>
      </c>
      <c r="E31" s="29">
        <f t="shared" si="7"/>
        <v>1.4919964003143618E-2</v>
      </c>
      <c r="F31" s="28">
        <f t="shared" si="8"/>
        <v>35.126725482613217</v>
      </c>
      <c r="G31" s="27" t="str">
        <f t="shared" si="9"/>
        <v>+</v>
      </c>
      <c r="H31" s="26">
        <f t="shared" si="10"/>
        <v>12567.519999999999</v>
      </c>
      <c r="I31" s="26">
        <f t="shared" si="11"/>
        <v>12870.432216829482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36.023122304804858</v>
      </c>
      <c r="D32" s="22">
        <f>SUM(D26:D31)</f>
        <v>14678.9</v>
      </c>
      <c r="E32" s="21">
        <f t="shared" si="7"/>
        <v>0.59773105787594116</v>
      </c>
      <c r="F32" s="20">
        <f>I32/D32</f>
        <v>36.891379831705002</v>
      </c>
      <c r="G32" s="19">
        <f>F32/C32-1</f>
        <v>2.4102783749656576E-2</v>
      </c>
      <c r="H32" s="18">
        <f>SUM(H26:H31)</f>
        <v>528779.81000000006</v>
      </c>
      <c r="I32" s="18">
        <f>SUM(I26:I31)</f>
        <v>541524.87541161454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20.6</v>
      </c>
      <c r="D34" s="30">
        <f>1476.3+2392.3</f>
        <v>3868.6000000000004</v>
      </c>
      <c r="E34" s="29">
        <f t="shared" ref="E34:E40" si="13">D34/$D$48</f>
        <v>0.15753103914454533</v>
      </c>
      <c r="F34" s="28">
        <f t="shared" ref="F34:F39" si="14">C34-(C34*$E$6)</f>
        <v>21.096517345242926</v>
      </c>
      <c r="G34" s="27" t="str">
        <f t="shared" ref="G34:G39" si="15">IF(C34&gt;=F34,"-","+")</f>
        <v>+</v>
      </c>
      <c r="H34" s="26">
        <f t="shared" ref="H34:H39" si="16">C34*D34</f>
        <v>79693.160000000018</v>
      </c>
      <c r="I34" s="26">
        <f t="shared" ref="I34:I39" si="17">F34*D34</f>
        <v>81613.987001806789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259</v>
      </c>
      <c r="E35" s="29">
        <f t="shared" si="13"/>
        <v>1.0546590275147918E-2</v>
      </c>
      <c r="F35" s="28">
        <f t="shared" si="14"/>
        <v>16.28323426161954</v>
      </c>
      <c r="G35" s="27" t="str">
        <f t="shared" si="15"/>
        <v>+</v>
      </c>
      <c r="H35" s="26">
        <f t="shared" si="16"/>
        <v>4118.1000000000004</v>
      </c>
      <c r="I35" s="26">
        <f t="shared" si="17"/>
        <v>4217.3576737594612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13.108515631995605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33.700000000000003</v>
      </c>
      <c r="D37" s="30"/>
      <c r="E37" s="29">
        <f t="shared" si="13"/>
        <v>0</v>
      </c>
      <c r="F37" s="28">
        <f t="shared" si="14"/>
        <v>34.512263812363429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33.700000000000003</v>
      </c>
      <c r="D38" s="30"/>
      <c r="E38" s="29">
        <f t="shared" si="13"/>
        <v>0</v>
      </c>
      <c r="F38" s="28">
        <f t="shared" si="14"/>
        <v>34.512263812363429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34.9</v>
      </c>
      <c r="D39" s="30"/>
      <c r="E39" s="29">
        <f t="shared" si="13"/>
        <v>0</v>
      </c>
      <c r="F39" s="28">
        <f t="shared" si="14"/>
        <v>35.741187152863013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20.30508285686598</v>
      </c>
      <c r="D40" s="22">
        <f>SUM(D34:D39)</f>
        <v>4127.6000000000004</v>
      </c>
      <c r="E40" s="113">
        <f t="shared" si="13"/>
        <v>0.16807762941969326</v>
      </c>
      <c r="F40" s="20">
        <f>I40/D40</f>
        <v>20.794491877983873</v>
      </c>
      <c r="G40" s="19">
        <f>F40/C40-1</f>
        <v>2.4102783749656354E-2</v>
      </c>
      <c r="H40" s="18">
        <f>SUM(H34:H39)</f>
        <v>83811.260000000024</v>
      </c>
      <c r="I40" s="18">
        <f>SUM(I34:I39)</f>
        <v>85831.344675566244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220.9+1760.5+1997</f>
        <v>3978.4</v>
      </c>
      <c r="E42" s="107">
        <f>D42/$D$48</f>
        <v>0.16200214189439566</v>
      </c>
      <c r="F42" s="28">
        <f>C42-(C42*$E$6)</f>
        <v>0.51205139187482829</v>
      </c>
      <c r="G42" s="27" t="str">
        <f>IF(C42&gt;=F42,"-","+")</f>
        <v>+</v>
      </c>
      <c r="H42" s="26">
        <f>C42*D42</f>
        <v>1989.2</v>
      </c>
      <c r="I42" s="26">
        <f>F42*D42</f>
        <v>2037.1452574348168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143.80000000000001</v>
      </c>
      <c r="E43" s="107">
        <f>D43/$D$48</f>
        <v>5.8555972261245979E-3</v>
      </c>
      <c r="F43" s="28">
        <f>C43-(C43*$E$6)</f>
        <v>0.51205139187482829</v>
      </c>
      <c r="G43" s="27" t="str">
        <f>IF(C43&gt;=F43,"-","+")</f>
        <v>+</v>
      </c>
      <c r="H43" s="26">
        <f>C43*D43</f>
        <v>71.900000000000006</v>
      </c>
      <c r="I43" s="26">
        <f>F43*D43</f>
        <v>73.63299015160031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0.4</v>
      </c>
      <c r="E44" s="107">
        <f>D44/$D$48</f>
        <v>1.6288170309108756E-5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5.5</v>
      </c>
      <c r="E45" s="107">
        <f>D45/$D$48</f>
        <v>2.2396234175024537E-4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0.49928538552845136</v>
      </c>
      <c r="D46" s="22">
        <f>SUM(D41:D45)</f>
        <v>4128.0999999999995</v>
      </c>
      <c r="E46" s="113">
        <f>D46/$D$48</f>
        <v>0.1680979896325796</v>
      </c>
      <c r="F46" s="20">
        <f>I46/D46</f>
        <v>0.5113195532052075</v>
      </c>
      <c r="G46" s="19">
        <f>F46/C46-1</f>
        <v>2.4102783749656576E-2</v>
      </c>
      <c r="H46" s="18">
        <f>SUM(H41:H44)</f>
        <v>2061.1</v>
      </c>
      <c r="I46" s="18">
        <f>SUM(I41:I44)</f>
        <v>2110.7782475864169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108.73630700952448</v>
      </c>
      <c r="D48" s="13">
        <f>D24+D32+D40+D46</f>
        <v>24557.699999999997</v>
      </c>
      <c r="E48" s="12">
        <f>SUM(E20:E46)/2</f>
        <v>1</v>
      </c>
      <c r="F48" s="11">
        <f>I48/D48</f>
        <v>29.145682820239031</v>
      </c>
      <c r="G48" s="10"/>
      <c r="H48" s="9">
        <f>SUM(H20:H46)/2</f>
        <v>698905.37</v>
      </c>
      <c r="I48" s="9">
        <f>SUM(I20:I46)/2</f>
        <v>715750.93499458395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26312.7</v>
      </c>
      <c r="E50" s="12">
        <f>D50/G2</f>
        <v>1</v>
      </c>
      <c r="F50" s="11">
        <f>I50/D50</f>
        <v>29.200000000000006</v>
      </c>
      <c r="G50" s="10"/>
      <c r="H50" s="9">
        <f>H48+H19</f>
        <v>750247.78</v>
      </c>
      <c r="I50" s="9">
        <f>I48+I19</f>
        <v>768330.8400000002</v>
      </c>
      <c r="J50" s="106">
        <f>D50-G2</f>
        <v>0</v>
      </c>
      <c r="K50" s="8"/>
    </row>
    <row r="51" spans="1:11" ht="23.25" x14ac:dyDescent="0.35">
      <c r="A51" s="174" t="s">
        <v>534</v>
      </c>
      <c r="B51" s="169"/>
      <c r="C51" s="170"/>
      <c r="G51" s="7"/>
      <c r="H51" s="6"/>
      <c r="I51" s="6">
        <f>+I50/D50</f>
        <v>29.200000000000006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525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535</v>
      </c>
      <c r="D2" s="96" t="s">
        <v>3</v>
      </c>
      <c r="E2" s="95" t="s">
        <v>112</v>
      </c>
      <c r="F2" s="94" t="s">
        <v>5</v>
      </c>
      <c r="G2" s="93">
        <v>7258.4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116</v>
      </c>
      <c r="F3" s="88" t="s">
        <v>8</v>
      </c>
      <c r="G3" s="87">
        <v>24.71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62.572413793103443</v>
      </c>
      <c r="F4" s="81" t="s">
        <v>12</v>
      </c>
      <c r="G4" s="80">
        <f>G2*G3</f>
        <v>179355.06399999998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-0.14087833256195514</v>
      </c>
      <c r="F6" s="69" t="s">
        <v>16</v>
      </c>
      <c r="G6" s="68">
        <f>(I50-I19)/(D50-(SUM(D42:D44)+D19))</f>
        <v>32.443664122137385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24.7</v>
      </c>
      <c r="D10" s="30"/>
      <c r="E10" s="29" t="e">
        <f t="shared" ref="E10:E19" si="1">D10/$D$19</f>
        <v>#DIV/0!</v>
      </c>
      <c r="F10" s="28">
        <f t="shared" ref="F10:F18" si="2">C10-(C10*$E$6)</f>
        <v>28.179694814280293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25.7</v>
      </c>
      <c r="D11" s="30"/>
      <c r="E11" s="29" t="e">
        <f t="shared" si="1"/>
        <v>#DIV/0!</v>
      </c>
      <c r="F11" s="28">
        <f t="shared" si="2"/>
        <v>29.320573146842246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23.5</v>
      </c>
      <c r="D12" s="30"/>
      <c r="E12" s="29" t="e">
        <f t="shared" si="1"/>
        <v>#DIV/0!</v>
      </c>
      <c r="F12" s="28">
        <f t="shared" si="2"/>
        <v>26.810640815205947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25.7</v>
      </c>
      <c r="D13" s="30"/>
      <c r="E13" s="29" t="e">
        <f t="shared" si="1"/>
        <v>#DIV/0!</v>
      </c>
      <c r="F13" s="28">
        <f t="shared" si="2"/>
        <v>29.320573146842246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28.8</v>
      </c>
      <c r="D14" s="30"/>
      <c r="E14" s="29" t="e">
        <f t="shared" si="1"/>
        <v>#DIV/0!</v>
      </c>
      <c r="F14" s="28">
        <f t="shared" si="2"/>
        <v>32.857295977784311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23.7</v>
      </c>
      <c r="D15" s="30"/>
      <c r="E15" s="29" t="e">
        <f t="shared" si="1"/>
        <v>#DIV/0!</v>
      </c>
      <c r="F15" s="28">
        <f t="shared" si="2"/>
        <v>27.038816481718335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32.5</v>
      </c>
      <c r="D16" s="30"/>
      <c r="E16" s="29" t="e">
        <f t="shared" si="1"/>
        <v>#DIV/0!</v>
      </c>
      <c r="F16" s="28">
        <f t="shared" si="2"/>
        <v>37.078545808263542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47.8</v>
      </c>
      <c r="D17" s="30"/>
      <c r="E17" s="29" t="e">
        <f t="shared" si="1"/>
        <v>#DIV/0!</v>
      </c>
      <c r="F17" s="28">
        <f t="shared" si="2"/>
        <v>54.533984296461455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41.9</v>
      </c>
      <c r="D18" s="30"/>
      <c r="E18" s="29" t="e">
        <f t="shared" si="1"/>
        <v>#DIV/0!</v>
      </c>
      <c r="F18" s="28">
        <f t="shared" si="2"/>
        <v>47.802802134345917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62.1</v>
      </c>
      <c r="D21" s="30">
        <v>96.3</v>
      </c>
      <c r="E21" s="29">
        <f>D21/$D$48</f>
        <v>1.3266838414592145E-2</v>
      </c>
      <c r="F21" s="28">
        <f>C21-(C21*$E$6)</f>
        <v>70.848544452097414</v>
      </c>
      <c r="G21" s="27" t="str">
        <f>IF(C21&gt;=F21,"-","+")</f>
        <v>+</v>
      </c>
      <c r="H21" s="26">
        <f>C21*D21</f>
        <v>5980.23</v>
      </c>
      <c r="I21" s="26">
        <f>F21*D21</f>
        <v>6822.7148307369807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41.7</v>
      </c>
      <c r="D22" s="30">
        <v>184.2</v>
      </c>
      <c r="E22" s="29">
        <f>D22/$D$48</f>
        <v>2.5376444817942607E-2</v>
      </c>
      <c r="F22" s="28">
        <f>C22-(C22*$E$6)</f>
        <v>47.574626467833532</v>
      </c>
      <c r="G22" s="27" t="str">
        <f>IF(C22&gt;=F22,"-","+")</f>
        <v>+</v>
      </c>
      <c r="H22" s="26">
        <f>C22*D22</f>
        <v>7681.14</v>
      </c>
      <c r="I22" s="26">
        <f>F22*D22</f>
        <v>8763.2461953749353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38.1</v>
      </c>
      <c r="D23" s="30">
        <v>153.80000000000001</v>
      </c>
      <c r="E23" s="29">
        <f>D23/$D$48</f>
        <v>2.118836706297271E-2</v>
      </c>
      <c r="F23" s="28">
        <f>C23-(C23*$E$6)</f>
        <v>43.467464470610494</v>
      </c>
      <c r="G23" s="27" t="str">
        <f>IF(C23&gt;=F23,"-","+")</f>
        <v>+</v>
      </c>
      <c r="H23" s="26">
        <f>C23*D23</f>
        <v>5859.7800000000007</v>
      </c>
      <c r="I23" s="26">
        <f>F23*D23</f>
        <v>6685.2960355798941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44.94853787704352</v>
      </c>
      <c r="D24" s="22">
        <f>SUM(D21:D23)</f>
        <v>434.3</v>
      </c>
      <c r="E24" s="21">
        <f>D24/$D$48</f>
        <v>5.9831650295507466E-2</v>
      </c>
      <c r="F24" s="20">
        <f>I24/D24</f>
        <v>51.280812944259289</v>
      </c>
      <c r="G24" s="19">
        <f>F24/C24-1</f>
        <v>0.14087833256195492</v>
      </c>
      <c r="H24" s="18">
        <f>SUM(H21:H23)</f>
        <v>19521.150000000001</v>
      </c>
      <c r="I24" s="18">
        <f>SUM(I21:I23)</f>
        <v>22271.257061691809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33.200000000000003</v>
      </c>
      <c r="D26" s="30">
        <v>1010.1</v>
      </c>
      <c r="E26" s="29">
        <f t="shared" ref="E26:E32" si="7">D26/$D$48</f>
        <v>0.13915714935181231</v>
      </c>
      <c r="F26" s="28">
        <f t="shared" ref="F26:F31" si="8">C26-(C26*$E$6)</f>
        <v>37.877160641056918</v>
      </c>
      <c r="G26" s="27" t="str">
        <f t="shared" ref="G26:G31" si="9">IF(C26&gt;=F26,"-","+")</f>
        <v>+</v>
      </c>
      <c r="H26" s="26">
        <f t="shared" ref="H26:H31" si="10">C26*D26</f>
        <v>33535.320000000007</v>
      </c>
      <c r="I26" s="26">
        <f t="shared" ref="I26:I31" si="11">F26*D26</f>
        <v>38259.719963531592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29.5</v>
      </c>
      <c r="D27" s="30">
        <f>1567.5-324</f>
        <v>1243.5</v>
      </c>
      <c r="E27" s="29">
        <f t="shared" si="7"/>
        <v>0.17131166737845621</v>
      </c>
      <c r="F27" s="28">
        <f t="shared" si="8"/>
        <v>33.65591081057768</v>
      </c>
      <c r="G27" s="27" t="str">
        <f t="shared" si="9"/>
        <v>+</v>
      </c>
      <c r="H27" s="26">
        <f t="shared" si="10"/>
        <v>36683.25</v>
      </c>
      <c r="I27" s="26">
        <f t="shared" si="11"/>
        <v>41851.125092953342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29.5</v>
      </c>
      <c r="D28" s="30">
        <v>585.20000000000005</v>
      </c>
      <c r="E28" s="29">
        <f t="shared" si="7"/>
        <v>8.0620496783170542E-2</v>
      </c>
      <c r="F28" s="28">
        <f t="shared" si="8"/>
        <v>33.65591081057768</v>
      </c>
      <c r="G28" s="27" t="str">
        <f t="shared" si="9"/>
        <v>+</v>
      </c>
      <c r="H28" s="26">
        <f t="shared" si="10"/>
        <v>17263.400000000001</v>
      </c>
      <c r="I28" s="26">
        <f t="shared" si="11"/>
        <v>19695.439006350061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28.5</v>
      </c>
      <c r="D29" s="30">
        <v>434.7</v>
      </c>
      <c r="E29" s="29">
        <f t="shared" si="7"/>
        <v>5.9886756581757065E-2</v>
      </c>
      <c r="F29" s="28">
        <f t="shared" si="8"/>
        <v>32.515032478015719</v>
      </c>
      <c r="G29" s="27" t="str">
        <f t="shared" si="9"/>
        <v>+</v>
      </c>
      <c r="H29" s="26">
        <f t="shared" si="10"/>
        <v>12388.949999999999</v>
      </c>
      <c r="I29" s="26">
        <f t="shared" si="11"/>
        <v>14134.284618193433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28.5</v>
      </c>
      <c r="D30" s="30">
        <v>398.8</v>
      </c>
      <c r="E30" s="29">
        <f t="shared" si="7"/>
        <v>5.4940967390855112E-2</v>
      </c>
      <c r="F30" s="28">
        <f t="shared" si="8"/>
        <v>32.515032478015719</v>
      </c>
      <c r="G30" s="27" t="str">
        <f t="shared" si="9"/>
        <v>+</v>
      </c>
      <c r="H30" s="26">
        <f t="shared" si="10"/>
        <v>11365.800000000001</v>
      </c>
      <c r="I30" s="26">
        <f t="shared" si="11"/>
        <v>12966.99495223267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</v>
      </c>
      <c r="D31" s="30">
        <v>125.4</v>
      </c>
      <c r="E31" s="29">
        <f t="shared" si="7"/>
        <v>1.7275820739250831E-2</v>
      </c>
      <c r="F31" s="28">
        <f t="shared" si="8"/>
        <v>33.085471644296703</v>
      </c>
      <c r="G31" s="27" t="str">
        <f t="shared" si="9"/>
        <v>+</v>
      </c>
      <c r="H31" s="26">
        <f t="shared" si="10"/>
        <v>3636.6000000000004</v>
      </c>
      <c r="I31" s="26">
        <f t="shared" si="11"/>
        <v>4148.9181441948067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30.248129130789689</v>
      </c>
      <c r="D32" s="22">
        <f>SUM(D26:D31)</f>
        <v>3797.7000000000003</v>
      </c>
      <c r="E32" s="21">
        <f t="shared" si="7"/>
        <v>0.52319285822530215</v>
      </c>
      <c r="F32" s="20">
        <f>I32/D32</f>
        <v>34.50943512585404</v>
      </c>
      <c r="G32" s="19">
        <f>F32/C32-1</f>
        <v>0.14087833256195514</v>
      </c>
      <c r="H32" s="18">
        <f>SUM(H26:H31)</f>
        <v>114873.32</v>
      </c>
      <c r="I32" s="18">
        <f>SUM(I26:I31)</f>
        <v>131056.48177745589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17.5</v>
      </c>
      <c r="D34" s="30">
        <f>636.6+543.1</f>
        <v>1179.7</v>
      </c>
      <c r="E34" s="29">
        <f t="shared" ref="E34:E40" si="13">D34/$D$48</f>
        <v>0.16252221472164438</v>
      </c>
      <c r="F34" s="28">
        <f t="shared" ref="F34:F39" si="14">C34-(C34*$E$6)</f>
        <v>19.965370819834213</v>
      </c>
      <c r="G34" s="27" t="str">
        <f t="shared" ref="G34:G39" si="15">IF(C34&gt;=F34,"-","+")</f>
        <v>+</v>
      </c>
      <c r="H34" s="26">
        <f t="shared" ref="H34:H39" si="16">C34*D34</f>
        <v>20644.75</v>
      </c>
      <c r="I34" s="26">
        <f t="shared" ref="I34:I39" si="17">F34*D34</f>
        <v>23553.147956158424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>
        <v>110.5</v>
      </c>
      <c r="E35" s="29">
        <f t="shared" si="13"/>
        <v>1.5223111576453084E-2</v>
      </c>
      <c r="F35" s="28">
        <f t="shared" si="14"/>
        <v>15.2877696563302</v>
      </c>
      <c r="G35" s="27" t="str">
        <f t="shared" si="15"/>
        <v>+</v>
      </c>
      <c r="H35" s="26">
        <f t="shared" si="16"/>
        <v>1480.7</v>
      </c>
      <c r="I35" s="26">
        <f t="shared" si="17"/>
        <v>1689.2985470244871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12.321485991669116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28.5</v>
      </c>
      <c r="D37" s="30"/>
      <c r="E37" s="29">
        <f t="shared" si="13"/>
        <v>0</v>
      </c>
      <c r="F37" s="28">
        <f t="shared" si="14"/>
        <v>32.515032478015719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28.5</v>
      </c>
      <c r="D38" s="30"/>
      <c r="E38" s="29">
        <f t="shared" si="13"/>
        <v>0</v>
      </c>
      <c r="F38" s="28">
        <f t="shared" si="14"/>
        <v>32.515032478015719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29.5</v>
      </c>
      <c r="D39" s="30"/>
      <c r="E39" s="29">
        <f t="shared" si="13"/>
        <v>0</v>
      </c>
      <c r="F39" s="28">
        <f t="shared" si="14"/>
        <v>33.65591081057768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17.148852891024646</v>
      </c>
      <c r="D40" s="22">
        <f>SUM(D34:D39)</f>
        <v>1290.2</v>
      </c>
      <c r="E40" s="113">
        <f t="shared" si="13"/>
        <v>0.17774532629809747</v>
      </c>
      <c r="F40" s="20">
        <f>I40/D40</f>
        <v>19.564754691662461</v>
      </c>
      <c r="G40" s="19">
        <f>F40/C40-1</f>
        <v>0.14087833256195514</v>
      </c>
      <c r="H40" s="18">
        <f>SUM(H34:H39)</f>
        <v>22125.45</v>
      </c>
      <c r="I40" s="18">
        <f>SUM(I34:I39)</f>
        <v>25242.44650318291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825+91+763</f>
        <v>1679</v>
      </c>
      <c r="E42" s="107">
        <f>D42/$D$48</f>
        <v>0.23130863653271247</v>
      </c>
      <c r="F42" s="28">
        <f>C42-(C42*$E$6)</f>
        <v>0.45635133302478209</v>
      </c>
      <c r="G42" s="27" t="str">
        <f>IF(C42&gt;=F42,"-","+")</f>
        <v>+</v>
      </c>
      <c r="H42" s="26">
        <f>C42*D42</f>
        <v>671.6</v>
      </c>
      <c r="I42" s="26">
        <f>F42*D42</f>
        <v>766.21388814860916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40.9</v>
      </c>
      <c r="E43" s="107">
        <f>D43/$D$48</f>
        <v>5.6346177690220012E-3</v>
      </c>
      <c r="F43" s="28">
        <f>C43-(C43*$E$6)</f>
        <v>0.45635133302478209</v>
      </c>
      <c r="G43" s="27" t="str">
        <f>IF(C43&gt;=F43,"-","+")</f>
        <v>+</v>
      </c>
      <c r="H43" s="26">
        <f>C43*D43</f>
        <v>16.36</v>
      </c>
      <c r="I43" s="26">
        <f>F43*D43</f>
        <v>18.664769520713588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10.6</v>
      </c>
      <c r="E44" s="107">
        <f>D44/$D$48</f>
        <v>1.4603165856145041E-3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8.2659429374405886E-4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0.39617621652749785</v>
      </c>
      <c r="D46" s="22">
        <f>SUM(D41:D45)</f>
        <v>1736.5</v>
      </c>
      <c r="E46" s="113">
        <f>D46/$D$48</f>
        <v>0.23923016518109305</v>
      </c>
      <c r="F46" s="20">
        <f>I46/D46</f>
        <v>0.45198886131259586</v>
      </c>
      <c r="G46" s="19">
        <f>F46/C46-1</f>
        <v>0.14087833256195514</v>
      </c>
      <c r="H46" s="18">
        <f>SUM(H41:H44)</f>
        <v>687.96</v>
      </c>
      <c r="I46" s="18">
        <f>SUM(I41:I44)</f>
        <v>784.87865766932271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92.741696115385352</v>
      </c>
      <c r="D48" s="13">
        <f>D24+D32+D40+D46</f>
        <v>7258.7</v>
      </c>
      <c r="E48" s="12">
        <f>SUM(E20:E46)/2</f>
        <v>1</v>
      </c>
      <c r="F48" s="11">
        <f>I48/D48</f>
        <v>24.70897874275007</v>
      </c>
      <c r="G48" s="10"/>
      <c r="H48" s="9">
        <f>SUM(H20:H46)/2</f>
        <v>157207.88000000003</v>
      </c>
      <c r="I48" s="9">
        <f>SUM(I20:I46)/2</f>
        <v>179355.06399999993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7258.7000000000007</v>
      </c>
      <c r="E50" s="12">
        <f>D50/G2</f>
        <v>1.0000413314229033</v>
      </c>
      <c r="F50" s="11">
        <f>I50/D50</f>
        <v>24.708978742750066</v>
      </c>
      <c r="G50" s="10"/>
      <c r="H50" s="9">
        <f>H48+H19</f>
        <v>157207.88000000003</v>
      </c>
      <c r="I50" s="9">
        <f>I48+I19</f>
        <v>179355.06399999993</v>
      </c>
      <c r="J50" s="106">
        <f>D50-G2</f>
        <v>0.30000000000109139</v>
      </c>
      <c r="K50" s="8"/>
    </row>
    <row r="51" spans="1:11" ht="23.25" x14ac:dyDescent="0.35">
      <c r="A51" s="174" t="s">
        <v>536</v>
      </c>
      <c r="B51" s="169"/>
      <c r="C51" s="170"/>
      <c r="G51" s="7"/>
      <c r="H51" s="6"/>
      <c r="I51" s="6">
        <f>+I50/D50</f>
        <v>24.708978742750066</v>
      </c>
    </row>
    <row r="52" spans="1:11" ht="18.75" x14ac:dyDescent="0.3">
      <c r="A52" s="171" t="s">
        <v>537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tabColor rgb="FF92D050"/>
  </sheetPr>
  <dimension ref="A1:K56"/>
  <sheetViews>
    <sheetView topLeftCell="A6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530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535</v>
      </c>
      <c r="D2" s="96" t="s">
        <v>3</v>
      </c>
      <c r="E2" s="95" t="s">
        <v>71</v>
      </c>
      <c r="F2" s="94" t="s">
        <v>5</v>
      </c>
      <c r="G2" s="93">
        <v>22548.2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284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79.395070422535213</v>
      </c>
      <c r="F4" s="81" t="s">
        <v>12</v>
      </c>
      <c r="G4" s="80">
        <f>G2*G3</f>
        <v>659534.85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-6.659728779079277E-4</v>
      </c>
      <c r="F6" s="69" t="s">
        <v>16</v>
      </c>
      <c r="G6" s="68">
        <f>(I50-I19)/(D50-(SUM(D42:D44)+D19))</f>
        <v>34.640644563399775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29.319513005322705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>
        <v>1989.9</v>
      </c>
      <c r="E11" s="29">
        <f t="shared" si="1"/>
        <v>0.62874024455749</v>
      </c>
      <c r="F11" s="28">
        <f t="shared" si="2"/>
        <v>30.52031217277619</v>
      </c>
      <c r="G11" s="27" t="str">
        <f t="shared" si="3"/>
        <v>+</v>
      </c>
      <c r="H11" s="34">
        <f t="shared" si="4"/>
        <v>60691.950000000004</v>
      </c>
      <c r="I11" s="34">
        <f t="shared" si="5"/>
        <v>60732.369192607344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>
        <v>1060</v>
      </c>
      <c r="E12" s="29">
        <f t="shared" si="1"/>
        <v>0.33492369427154095</v>
      </c>
      <c r="F12" s="28">
        <f t="shared" si="2"/>
        <v>27.818514046005841</v>
      </c>
      <c r="G12" s="27" t="str">
        <f t="shared" si="3"/>
        <v>+</v>
      </c>
      <c r="H12" s="34">
        <f t="shared" si="4"/>
        <v>29468</v>
      </c>
      <c r="I12" s="34">
        <f t="shared" si="5"/>
        <v>29487.624888766193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30.52031217277619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>
        <v>115</v>
      </c>
      <c r="E14" s="29">
        <f t="shared" si="1"/>
        <v>3.6336061170969068E-2</v>
      </c>
      <c r="F14" s="28">
        <f t="shared" si="2"/>
        <v>34.122709675136662</v>
      </c>
      <c r="G14" s="27" t="str">
        <f t="shared" si="3"/>
        <v>+</v>
      </c>
      <c r="H14" s="34">
        <f t="shared" si="4"/>
        <v>3921.5</v>
      </c>
      <c r="I14" s="34">
        <f t="shared" si="5"/>
        <v>3924.111612640716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>
        <f t="shared" si="1"/>
        <v>0</v>
      </c>
      <c r="F15" s="28">
        <f t="shared" si="2"/>
        <v>28.118713837869215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>
        <f t="shared" si="1"/>
        <v>0</v>
      </c>
      <c r="F16" s="28">
        <f t="shared" si="2"/>
        <v>38.425573358511663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>
        <f t="shared" si="1"/>
        <v>0</v>
      </c>
      <c r="F17" s="28">
        <f t="shared" si="2"/>
        <v>56.637694064889587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49.633032254744236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29.726515845682332</v>
      </c>
      <c r="D19" s="49">
        <f>SUM(D10:D18)</f>
        <v>3164.9</v>
      </c>
      <c r="E19" s="48">
        <f t="shared" si="1"/>
        <v>1</v>
      </c>
      <c r="F19" s="47">
        <f>I19/D19</f>
        <v>29.746312898990251</v>
      </c>
      <c r="G19" s="46">
        <f>F19/C19-1</f>
        <v>6.6597287790770565E-4</v>
      </c>
      <c r="H19" s="9">
        <f>SUM(H10:H18)</f>
        <v>94081.450000000012</v>
      </c>
      <c r="I19" s="9">
        <f>SUM(I10:I18)</f>
        <v>94144.105694014244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213.9</v>
      </c>
      <c r="E21" s="29">
        <f>D21/$D$48</f>
        <v>1.1035500363722665E-2</v>
      </c>
      <c r="F21" s="28">
        <f>C21-(C21*$E$6)</f>
        <v>73.649015603814021</v>
      </c>
      <c r="G21" s="27" t="str">
        <f>IF(C21&gt;=F21,"-","+")</f>
        <v>+</v>
      </c>
      <c r="H21" s="26">
        <f>C21*D21</f>
        <v>15743.039999999999</v>
      </c>
      <c r="I21" s="26">
        <f>F21*D21</f>
        <v>15753.52443765582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584.20000000000005</v>
      </c>
      <c r="E22" s="29">
        <f>D22/$D$48</f>
        <v>3.0139968735328568E-2</v>
      </c>
      <c r="F22" s="28">
        <f>C22-(C22*$E$6)</f>
        <v>49.432899060168651</v>
      </c>
      <c r="G22" s="27" t="str">
        <f>IF(C22&gt;=F22,"-","+")</f>
        <v>+</v>
      </c>
      <c r="H22" s="26">
        <f>C22*D22</f>
        <v>28859.480000000003</v>
      </c>
      <c r="I22" s="26">
        <f>F22*D22</f>
        <v>28878.699630950527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456.4</v>
      </c>
      <c r="E23" s="29">
        <f>D23/$D$48</f>
        <v>2.3546528125306328E-2</v>
      </c>
      <c r="F23" s="28">
        <f>C23-(C23*$E$6)</f>
        <v>45.029968779505857</v>
      </c>
      <c r="G23" s="27" t="str">
        <f>IF(C23&gt;=F23,"-","+")</f>
        <v>+</v>
      </c>
      <c r="H23" s="26">
        <f>C23*D23</f>
        <v>20538</v>
      </c>
      <c r="I23" s="26">
        <f>F23*D23</f>
        <v>20551.677750966472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51.925484256675972</v>
      </c>
      <c r="D24" s="22">
        <f>SUM(D21:D23)</f>
        <v>1254.5</v>
      </c>
      <c r="E24" s="21">
        <f>D24/$D$48</f>
        <v>6.4721997224357564E-2</v>
      </c>
      <c r="F24" s="20">
        <f>I24/D24</f>
        <v>51.960065220863143</v>
      </c>
      <c r="G24" s="19">
        <f>F24/C24-1</f>
        <v>6.6597287790770565E-4</v>
      </c>
      <c r="H24" s="18">
        <f>SUM(H21:H23)</f>
        <v>65140.520000000004</v>
      </c>
      <c r="I24" s="18">
        <f>SUM(I21:I23)</f>
        <v>65183.901819572813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1178+51+2766.4</f>
        <v>3995.4</v>
      </c>
      <c r="E26" s="29">
        <f t="shared" ref="E26:E32" si="7">D26/$D$48</f>
        <v>0.20613014564384075</v>
      </c>
      <c r="F26" s="28">
        <f t="shared" ref="F26:F31" si="8">C26-(C26*$E$6)</f>
        <v>39.326172734101782</v>
      </c>
      <c r="G26" s="27" t="str">
        <f t="shared" ref="G26:G31" si="9">IF(C26&gt;=F26,"-","+")</f>
        <v>+</v>
      </c>
      <c r="H26" s="26">
        <f t="shared" ref="H26:H31" si="10">C26*D26</f>
        <v>157019.22</v>
      </c>
      <c r="I26" s="26">
        <f t="shared" ref="I26:I31" si="11">F26*D26</f>
        <v>157123.79054183027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f>3079.1-291</f>
        <v>2788.1</v>
      </c>
      <c r="E27" s="29">
        <f t="shared" si="7"/>
        <v>0.14384328454462439</v>
      </c>
      <c r="F27" s="28">
        <f t="shared" si="8"/>
        <v>35.02330905072678</v>
      </c>
      <c r="G27" s="27" t="str">
        <f t="shared" si="9"/>
        <v>+</v>
      </c>
      <c r="H27" s="26">
        <f t="shared" si="10"/>
        <v>97583.5</v>
      </c>
      <c r="I27" s="26">
        <f t="shared" si="11"/>
        <v>97648.487964331332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1852.4</v>
      </c>
      <c r="E28" s="29">
        <f t="shared" si="7"/>
        <v>9.5568774538381779E-2</v>
      </c>
      <c r="F28" s="28">
        <f t="shared" si="8"/>
        <v>35.02330905072678</v>
      </c>
      <c r="G28" s="27" t="str">
        <f t="shared" si="9"/>
        <v>+</v>
      </c>
      <c r="H28" s="26">
        <f t="shared" si="10"/>
        <v>64834</v>
      </c>
      <c r="I28" s="26">
        <f t="shared" si="11"/>
        <v>64877.17768556629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1849.5</v>
      </c>
      <c r="E29" s="29">
        <f t="shared" si="7"/>
        <v>9.5419158123913356E-2</v>
      </c>
      <c r="F29" s="28">
        <f t="shared" si="8"/>
        <v>33.822509883273284</v>
      </c>
      <c r="G29" s="27" t="str">
        <f t="shared" si="9"/>
        <v>+</v>
      </c>
      <c r="H29" s="26">
        <f t="shared" si="10"/>
        <v>62513.099999999991</v>
      </c>
      <c r="I29" s="26">
        <f t="shared" si="11"/>
        <v>62554.73202911394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1386.8</v>
      </c>
      <c r="E30" s="29">
        <f t="shared" si="7"/>
        <v>7.1547601236141137E-2</v>
      </c>
      <c r="F30" s="28">
        <f t="shared" si="8"/>
        <v>33.822509883273284</v>
      </c>
      <c r="G30" s="27" t="str">
        <f t="shared" si="9"/>
        <v>+</v>
      </c>
      <c r="H30" s="26">
        <f t="shared" si="10"/>
        <v>46873.84</v>
      </c>
      <c r="I30" s="26">
        <f t="shared" si="11"/>
        <v>46905.056706123389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296.2</v>
      </c>
      <c r="E31" s="29">
        <f t="shared" si="7"/>
        <v>1.5281511022602398E-2</v>
      </c>
      <c r="F31" s="28">
        <f t="shared" si="8"/>
        <v>34.422909467000032</v>
      </c>
      <c r="G31" s="27" t="str">
        <f t="shared" si="9"/>
        <v>+</v>
      </c>
      <c r="H31" s="26">
        <f t="shared" si="10"/>
        <v>10189.279999999999</v>
      </c>
      <c r="I31" s="26">
        <f t="shared" si="11"/>
        <v>10196.065784125409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36.078115446566514</v>
      </c>
      <c r="D32" s="22">
        <f>SUM(D26:D31)</f>
        <v>12168.4</v>
      </c>
      <c r="E32" s="21">
        <f t="shared" si="7"/>
        <v>0.62779047510950381</v>
      </c>
      <c r="F32" s="20">
        <f>I32/D32</f>
        <v>36.102142492939961</v>
      </c>
      <c r="G32" s="19">
        <f>F32/C32-1</f>
        <v>6.659728779079277E-4</v>
      </c>
      <c r="H32" s="18">
        <f>SUM(H26:H31)</f>
        <v>439012.93999999994</v>
      </c>
      <c r="I32" s="18">
        <f>SUM(I26:I31)</f>
        <v>439305.31071109063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f>3136.8-350</f>
        <v>2786.8</v>
      </c>
      <c r="E34" s="29">
        <f t="shared" ref="E34:E40" si="13">D34/$D$48</f>
        <v>0.14377621511744892</v>
      </c>
      <c r="F34" s="28">
        <f t="shared" ref="F34:F39" si="14">C34-(C34*$E$6)</f>
        <v>20.713785638572695</v>
      </c>
      <c r="G34" s="27" t="str">
        <f t="shared" ref="G34:G39" si="15">IF(C34&gt;=F34,"-","+")</f>
        <v>+</v>
      </c>
      <c r="H34" s="26">
        <f t="shared" ref="H34:H39" si="16">C34*D34</f>
        <v>57686.76</v>
      </c>
      <c r="I34" s="26">
        <f t="shared" ref="I34:I39" si="17">F34*D34</f>
        <v>57725.177817574389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104.1</v>
      </c>
      <c r="E35" s="29">
        <f t="shared" si="13"/>
        <v>5.3707133607458126E-3</v>
      </c>
      <c r="F35" s="28">
        <f t="shared" si="14"/>
        <v>15.910588968758736</v>
      </c>
      <c r="G35" s="27" t="str">
        <f t="shared" si="15"/>
        <v>+</v>
      </c>
      <c r="H35" s="26">
        <f t="shared" si="16"/>
        <v>1655.19</v>
      </c>
      <c r="I35" s="26">
        <f t="shared" si="17"/>
        <v>1656.2923116477843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12.808524452837222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33.822509883273284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33.822509883273284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35.02330905072678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20.527154173440799</v>
      </c>
      <c r="D40" s="22">
        <f>SUM(D34:D39)</f>
        <v>2890.9</v>
      </c>
      <c r="E40" s="113">
        <f t="shared" si="13"/>
        <v>0.14914692847819472</v>
      </c>
      <c r="F40" s="20">
        <f>I40/D40</f>
        <v>20.540824701380945</v>
      </c>
      <c r="G40" s="19">
        <f>F40/C40-1</f>
        <v>6.659728779079277E-4</v>
      </c>
      <c r="H40" s="18">
        <f>SUM(H34:H39)</f>
        <v>59341.950000000004</v>
      </c>
      <c r="I40" s="18">
        <f>SUM(I34:I39)</f>
        <v>59381.470129222173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2903</v>
      </c>
      <c r="E42" s="107">
        <f>D42/$D$48</f>
        <v>0.14977119006959744</v>
      </c>
      <c r="F42" s="28">
        <f>C42-(C42*$E$6)</f>
        <v>0.50033298643895396</v>
      </c>
      <c r="G42" s="27" t="str">
        <f>IF(C42&gt;=F42,"-","+")</f>
        <v>+</v>
      </c>
      <c r="H42" s="26">
        <f>C42*D42</f>
        <v>1451.5</v>
      </c>
      <c r="I42" s="26">
        <f>F42*D42</f>
        <v>1452.4666596322834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135.1</v>
      </c>
      <c r="E43" s="107">
        <f>D43/$D$48</f>
        <v>6.9700612395461985E-3</v>
      </c>
      <c r="F43" s="28">
        <f>C43-(C43*$E$6)</f>
        <v>0.50033298643895396</v>
      </c>
      <c r="G43" s="27" t="str">
        <f>IF(C43&gt;=F43,"-","+")</f>
        <v>+</v>
      </c>
      <c r="H43" s="26">
        <f>C43*D43</f>
        <v>67.55</v>
      </c>
      <c r="I43" s="26">
        <f>F43*D43</f>
        <v>67.594986467902672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23.2</v>
      </c>
      <c r="E44" s="107">
        <f>D44/$D$48</f>
        <v>1.1969313157473857E-3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7.8</v>
      </c>
      <c r="E45" s="107">
        <f>D45/$D$48</f>
        <v>4.0241656305300039E-4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0.49494965950930242</v>
      </c>
      <c r="D46" s="22">
        <f>SUM(D41:D45)</f>
        <v>3069.1</v>
      </c>
      <c r="E46" s="113">
        <f>D46/$D$48</f>
        <v>0.15834059918794402</v>
      </c>
      <c r="F46" s="20">
        <f>I46/D46</f>
        <v>0.49527928255846537</v>
      </c>
      <c r="G46" s="19">
        <f>F46/C46-1</f>
        <v>6.659728779079277E-4</v>
      </c>
      <c r="H46" s="18">
        <f>SUM(H41:H44)</f>
        <v>1519.05</v>
      </c>
      <c r="I46" s="18">
        <f>SUM(I41:I44)</f>
        <v>1520.061646100186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109.02570353619259</v>
      </c>
      <c r="D48" s="13">
        <f>D24+D32+D40+D46</f>
        <v>19382.899999999998</v>
      </c>
      <c r="E48" s="12">
        <f>SUM(E20:E46)/2</f>
        <v>1.0000000000000002</v>
      </c>
      <c r="F48" s="11">
        <f>I48/D48</f>
        <v>29.169564116101604</v>
      </c>
      <c r="G48" s="10"/>
      <c r="H48" s="9">
        <f>SUM(H20:H46)/2</f>
        <v>565014.46</v>
      </c>
      <c r="I48" s="9">
        <f>SUM(I20:I46)/2</f>
        <v>565390.74430598575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22547.8</v>
      </c>
      <c r="E50" s="12">
        <f>D50/G2</f>
        <v>0.99998226022476289</v>
      </c>
      <c r="F50" s="11">
        <f>I50/D50</f>
        <v>29.250518897630812</v>
      </c>
      <c r="G50" s="10"/>
      <c r="H50" s="9">
        <f>H48+H19</f>
        <v>659095.90999999992</v>
      </c>
      <c r="I50" s="9">
        <f>I48+I19</f>
        <v>659534.85</v>
      </c>
      <c r="J50" s="106">
        <f>D50-G2</f>
        <v>-0.40000000000145519</v>
      </c>
      <c r="K50" s="8"/>
    </row>
    <row r="51" spans="1:11" ht="23.25" x14ac:dyDescent="0.35">
      <c r="A51" s="174" t="s">
        <v>538</v>
      </c>
      <c r="B51" s="169"/>
      <c r="C51" s="170"/>
      <c r="G51" s="7"/>
      <c r="H51" s="6"/>
      <c r="I51" s="6">
        <f>+I50/D50</f>
        <v>29.250518897630812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525</v>
      </c>
      <c r="D1" s="100" t="s">
        <v>1</v>
      </c>
      <c r="E1" s="168" t="s">
        <v>539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535</v>
      </c>
      <c r="D2" s="96" t="s">
        <v>3</v>
      </c>
      <c r="E2" s="95" t="s">
        <v>112</v>
      </c>
      <c r="F2" s="94" t="s">
        <v>5</v>
      </c>
      <c r="G2" s="93">
        <v>9924.2000000000007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148</v>
      </c>
      <c r="F3" s="88" t="s">
        <v>8</v>
      </c>
      <c r="G3" s="87">
        <v>25.79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67.055405405405409</v>
      </c>
      <c r="F4" s="81" t="s">
        <v>12</v>
      </c>
      <c r="G4" s="80">
        <f>G2*G3</f>
        <v>255945.11800000002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-5.6454758314286257E-2</v>
      </c>
      <c r="F6" s="69" t="s">
        <v>16</v>
      </c>
      <c r="G6" s="68">
        <f>(I50-I19)/(D50-(SUM(D42:D44)+D19))</f>
        <v>32.216642708792243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25.8</v>
      </c>
      <c r="D10" s="30"/>
      <c r="E10" s="29" t="e">
        <f t="shared" ref="E10:E19" si="1">D10/$D$19</f>
        <v>#DIV/0!</v>
      </c>
      <c r="F10" s="28">
        <f t="shared" ref="F10:F18" si="2">C10-(C10*$E$6)</f>
        <v>27.256532764508584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26.9</v>
      </c>
      <c r="D11" s="30"/>
      <c r="E11" s="29" t="e">
        <f t="shared" si="1"/>
        <v>#DIV/0!</v>
      </c>
      <c r="F11" s="28">
        <f t="shared" si="2"/>
        <v>28.418632998654299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/>
      <c r="E12" s="29" t="e">
        <f t="shared" si="1"/>
        <v>#DIV/0!</v>
      </c>
      <c r="F12" s="28">
        <f t="shared" si="2"/>
        <v>25.883141578700013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26.9</v>
      </c>
      <c r="D13" s="30"/>
      <c r="E13" s="29" t="e">
        <f t="shared" si="1"/>
        <v>#DIV/0!</v>
      </c>
      <c r="F13" s="28">
        <f t="shared" si="2"/>
        <v>28.418632998654299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</v>
      </c>
      <c r="D14" s="30"/>
      <c r="E14" s="29" t="e">
        <f t="shared" si="1"/>
        <v>#DIV/0!</v>
      </c>
      <c r="F14" s="28">
        <f t="shared" si="2"/>
        <v>31.693642749428587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24.8</v>
      </c>
      <c r="D15" s="30"/>
      <c r="E15" s="29" t="e">
        <f t="shared" si="1"/>
        <v>#DIV/0!</v>
      </c>
      <c r="F15" s="28">
        <f t="shared" si="2"/>
        <v>26.2000780061943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33.9</v>
      </c>
      <c r="D16" s="30"/>
      <c r="E16" s="29" t="e">
        <f t="shared" si="1"/>
        <v>#DIV/0!</v>
      </c>
      <c r="F16" s="28">
        <f t="shared" si="2"/>
        <v>35.813816306854299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49.9</v>
      </c>
      <c r="D17" s="30"/>
      <c r="E17" s="29" t="e">
        <f t="shared" si="1"/>
        <v>#DIV/0!</v>
      </c>
      <c r="F17" s="28">
        <f t="shared" si="2"/>
        <v>52.717092439882883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43.7</v>
      </c>
      <c r="D18" s="30"/>
      <c r="E18" s="29" t="e">
        <f t="shared" si="1"/>
        <v>#DIV/0!</v>
      </c>
      <c r="F18" s="28">
        <f t="shared" si="2"/>
        <v>46.167072938334314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64.900000000000006</v>
      </c>
      <c r="D21" s="30">
        <v>124</v>
      </c>
      <c r="E21" s="29">
        <f>D21/$D$48</f>
        <v>1.2494709901049958E-2</v>
      </c>
      <c r="F21" s="28">
        <f>C21-(C21*$E$6)</f>
        <v>68.563913814597186</v>
      </c>
      <c r="G21" s="27" t="str">
        <f>IF(C21&gt;=F21,"-","+")</f>
        <v>+</v>
      </c>
      <c r="H21" s="26">
        <f>C21*D21</f>
        <v>8047.6</v>
      </c>
      <c r="I21" s="26">
        <f>F21*D21</f>
        <v>8501.9253130100515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43.6</v>
      </c>
      <c r="D22" s="30">
        <v>260</v>
      </c>
      <c r="E22" s="29">
        <f>D22/$D$48</f>
        <v>2.6198585276395073E-2</v>
      </c>
      <c r="F22" s="28">
        <f>C22-(C22*$E$6)</f>
        <v>46.061427462502884</v>
      </c>
      <c r="G22" s="27" t="str">
        <f>IF(C22&gt;=F22,"-","+")</f>
        <v>+</v>
      </c>
      <c r="H22" s="26">
        <f>C22*D22</f>
        <v>11336</v>
      </c>
      <c r="I22" s="26">
        <f>F22*D22</f>
        <v>11975.971140250749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39.700000000000003</v>
      </c>
      <c r="D23" s="30">
        <v>235</v>
      </c>
      <c r="E23" s="29">
        <f>D23/$D$48</f>
        <v>2.3679490538280161E-2</v>
      </c>
      <c r="F23" s="28">
        <f>C23-(C23*$E$6)</f>
        <v>41.941253905077168</v>
      </c>
      <c r="G23" s="27" t="str">
        <f>IF(C23&gt;=F23,"-","+")</f>
        <v>+</v>
      </c>
      <c r="H23" s="26">
        <f>C23*D23</f>
        <v>9329.5</v>
      </c>
      <c r="I23" s="26">
        <f>F23*D23</f>
        <v>9856.1946676931348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46.386268174474957</v>
      </c>
      <c r="D24" s="22">
        <f>SUM(D21:D23)</f>
        <v>619</v>
      </c>
      <c r="E24" s="21">
        <f>D24/$D$48</f>
        <v>6.2372785715725194E-2</v>
      </c>
      <c r="F24" s="20">
        <f>I24/D24</f>
        <v>49.004993733366611</v>
      </c>
      <c r="G24" s="19">
        <f>F24/C24-1</f>
        <v>5.6454758314286257E-2</v>
      </c>
      <c r="H24" s="18">
        <f>SUM(H21:H23)</f>
        <v>28713.1</v>
      </c>
      <c r="I24" s="18">
        <f>SUM(I21:I23)</f>
        <v>30334.091120953934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34.6</v>
      </c>
      <c r="D26" s="30">
        <v>1895.2</v>
      </c>
      <c r="E26" s="29">
        <f t="shared" ref="E26:E32" si="7">D26/$D$48</f>
        <v>0.19096753390701515</v>
      </c>
      <c r="F26" s="28">
        <f t="shared" ref="F26:F31" si="8">C26-(C26*$E$6)</f>
        <v>36.553334637674304</v>
      </c>
      <c r="G26" s="27" t="str">
        <f t="shared" ref="G26:G31" si="9">IF(C26&gt;=F26,"-","+")</f>
        <v>+</v>
      </c>
      <c r="H26" s="26">
        <f t="shared" ref="H26:H31" si="10">C26*D26</f>
        <v>65573.919999999998</v>
      </c>
      <c r="I26" s="26">
        <f t="shared" ref="I26:I31" si="11">F26*D26</f>
        <v>69275.879805320335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30.8</v>
      </c>
      <c r="D27" s="30">
        <v>1431.5</v>
      </c>
      <c r="E27" s="29">
        <f t="shared" si="7"/>
        <v>0.14424336470445978</v>
      </c>
      <c r="F27" s="28">
        <f t="shared" si="8"/>
        <v>32.538806556080019</v>
      </c>
      <c r="G27" s="27" t="str">
        <f t="shared" si="9"/>
        <v>+</v>
      </c>
      <c r="H27" s="26">
        <f t="shared" si="10"/>
        <v>44090.200000000004</v>
      </c>
      <c r="I27" s="26">
        <f t="shared" si="11"/>
        <v>46579.301585028545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30.8</v>
      </c>
      <c r="D28" s="30">
        <v>850</v>
      </c>
      <c r="E28" s="29">
        <f t="shared" si="7"/>
        <v>8.5649221095906974E-2</v>
      </c>
      <c r="F28" s="28">
        <f t="shared" si="8"/>
        <v>32.538806556080019</v>
      </c>
      <c r="G28" s="27" t="str">
        <f t="shared" si="9"/>
        <v>+</v>
      </c>
      <c r="H28" s="26">
        <f t="shared" si="10"/>
        <v>26180</v>
      </c>
      <c r="I28" s="26">
        <f t="shared" si="11"/>
        <v>27657.985572668014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29.8</v>
      </c>
      <c r="D29" s="30">
        <v>935</v>
      </c>
      <c r="E29" s="29">
        <f t="shared" si="7"/>
        <v>9.4214143205497661E-2</v>
      </c>
      <c r="F29" s="28">
        <f t="shared" si="8"/>
        <v>31.48235179776573</v>
      </c>
      <c r="G29" s="27" t="str">
        <f t="shared" si="9"/>
        <v>+</v>
      </c>
      <c r="H29" s="26">
        <f t="shared" si="10"/>
        <v>27863</v>
      </c>
      <c r="I29" s="26">
        <f t="shared" si="11"/>
        <v>29435.998930910959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29.8</v>
      </c>
      <c r="D30" s="30">
        <v>620</v>
      </c>
      <c r="E30" s="29">
        <f t="shared" si="7"/>
        <v>6.247354950524979E-2</v>
      </c>
      <c r="F30" s="28">
        <f t="shared" si="8"/>
        <v>31.48235179776573</v>
      </c>
      <c r="G30" s="27" t="str">
        <f t="shared" si="9"/>
        <v>+</v>
      </c>
      <c r="H30" s="26">
        <f t="shared" si="10"/>
        <v>18476</v>
      </c>
      <c r="I30" s="26">
        <f t="shared" si="11"/>
        <v>19519.058114614752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30.3</v>
      </c>
      <c r="D31" s="30">
        <v>150</v>
      </c>
      <c r="E31" s="29">
        <f t="shared" si="7"/>
        <v>1.5114568428689464E-2</v>
      </c>
      <c r="F31" s="28">
        <f t="shared" si="8"/>
        <v>32.010579176922874</v>
      </c>
      <c r="G31" s="27" t="str">
        <f t="shared" si="9"/>
        <v>+</v>
      </c>
      <c r="H31" s="26">
        <f t="shared" si="10"/>
        <v>4545</v>
      </c>
      <c r="I31" s="26">
        <f t="shared" si="11"/>
        <v>4801.5868765384312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31.747304350782937</v>
      </c>
      <c r="D32" s="22">
        <f>SUM(D26:D31)</f>
        <v>5881.7</v>
      </c>
      <c r="E32" s="21">
        <f t="shared" si="7"/>
        <v>0.59266238084681877</v>
      </c>
      <c r="F32" s="20">
        <f>I32/D32</f>
        <v>33.539590745036477</v>
      </c>
      <c r="G32" s="19">
        <f>F32/C32-1</f>
        <v>5.6454758314286257E-2</v>
      </c>
      <c r="H32" s="18">
        <f>SUM(H26:H31)</f>
        <v>186728.12</v>
      </c>
      <c r="I32" s="18">
        <f>SUM(I26:I31)</f>
        <v>197269.81088508104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v>1400</v>
      </c>
      <c r="E34" s="29">
        <f t="shared" ref="E34:E40" si="13">D34/$D$48</f>
        <v>0.14106930533443501</v>
      </c>
      <c r="F34" s="28">
        <f t="shared" ref="F34:F39" si="14">C34-(C34*$E$6)</f>
        <v>19.22747660132001</v>
      </c>
      <c r="G34" s="27" t="str">
        <f t="shared" ref="G34:G39" si="15">IF(C34&gt;=F34,"-","+")</f>
        <v>+</v>
      </c>
      <c r="H34" s="26">
        <f t="shared" ref="H34:H39" si="16">C34*D34</f>
        <v>25480</v>
      </c>
      <c r="I34" s="26">
        <f t="shared" ref="I34:I39" si="17">F34*D34</f>
        <v>26918.467241848015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>
        <v>40</v>
      </c>
      <c r="E35" s="29">
        <f t="shared" si="13"/>
        <v>4.0305515809838576E-3</v>
      </c>
      <c r="F35" s="28">
        <f t="shared" si="14"/>
        <v>14.790366616400007</v>
      </c>
      <c r="G35" s="27" t="str">
        <f t="shared" si="15"/>
        <v>+</v>
      </c>
      <c r="H35" s="26">
        <f t="shared" si="16"/>
        <v>560</v>
      </c>
      <c r="I35" s="26">
        <f t="shared" si="17"/>
        <v>591.61466465600029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11.937938768951435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29.8</v>
      </c>
      <c r="D37" s="30"/>
      <c r="E37" s="29">
        <f t="shared" si="13"/>
        <v>0</v>
      </c>
      <c r="F37" s="28">
        <f t="shared" si="14"/>
        <v>31.48235179776573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29.8</v>
      </c>
      <c r="D38" s="30"/>
      <c r="E38" s="29">
        <f t="shared" si="13"/>
        <v>0</v>
      </c>
      <c r="F38" s="28">
        <f t="shared" si="14"/>
        <v>31.48235179776573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30.8</v>
      </c>
      <c r="D39" s="30"/>
      <c r="E39" s="29">
        <f t="shared" si="13"/>
        <v>0</v>
      </c>
      <c r="F39" s="28">
        <f t="shared" si="14"/>
        <v>32.538806556080019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18.083333333333332</v>
      </c>
      <c r="D40" s="22">
        <f>SUM(D34:D39)</f>
        <v>1440</v>
      </c>
      <c r="E40" s="113">
        <f t="shared" si="13"/>
        <v>0.14509985691541885</v>
      </c>
      <c r="F40" s="20">
        <f>I40/D40</f>
        <v>19.104223546183345</v>
      </c>
      <c r="G40" s="19">
        <f>F40/C40-1</f>
        <v>5.645475831428648E-2</v>
      </c>
      <c r="H40" s="18">
        <f>SUM(H34:H39)</f>
        <v>26040</v>
      </c>
      <c r="I40" s="18">
        <f>SUM(I34:I39)</f>
        <v>27510.081906504016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1936</v>
      </c>
      <c r="E42" s="107">
        <f>D42/$D$48</f>
        <v>0.19507869651961871</v>
      </c>
      <c r="F42" s="28">
        <f>C42-(C42*$E$6)</f>
        <v>0.42258190332571455</v>
      </c>
      <c r="G42" s="27" t="str">
        <f>IF(C42&gt;=F42,"-","+")</f>
        <v>+</v>
      </c>
      <c r="H42" s="26">
        <f>C42*D42</f>
        <v>774.40000000000009</v>
      </c>
      <c r="I42" s="26">
        <f>F42*D42</f>
        <v>818.11856483858332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30.8</v>
      </c>
      <c r="E43" s="107">
        <f>D43/$D$48</f>
        <v>3.1035247173575703E-3</v>
      </c>
      <c r="F43" s="28">
        <f>C43-(C43*$E$6)</f>
        <v>0.42258190332571455</v>
      </c>
      <c r="G43" s="27" t="str">
        <f>IF(C43&gt;=F43,"-","+")</f>
        <v>+</v>
      </c>
      <c r="H43" s="26">
        <f>C43*D43</f>
        <v>12.32</v>
      </c>
      <c r="I43" s="26">
        <f>F43*D43</f>
        <v>13.015522622432009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12.9</v>
      </c>
      <c r="E44" s="107">
        <f>D44/$D$48</f>
        <v>1.299852884867294E-3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3.8</v>
      </c>
      <c r="E45" s="107">
        <f>D45/$D$48</f>
        <v>3.8290240019346643E-4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0.39663221578018659</v>
      </c>
      <c r="D46" s="22">
        <f>SUM(D41:D45)</f>
        <v>1983.5</v>
      </c>
      <c r="E46" s="113">
        <f>D46/$D$48</f>
        <v>0.19986497652203702</v>
      </c>
      <c r="F46" s="20">
        <f>I46/D46</f>
        <v>0.41902399166171683</v>
      </c>
      <c r="G46" s="19">
        <f>F46/C46-1</f>
        <v>5.6454758314286257E-2</v>
      </c>
      <c r="H46" s="18">
        <f>SUM(H41:H44)</f>
        <v>786.72000000000014</v>
      </c>
      <c r="I46" s="18">
        <f>SUM(I41:I44)</f>
        <v>831.13408746101538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96.613538074371405</v>
      </c>
      <c r="D48" s="13">
        <f>D24+D32+D40+D46</f>
        <v>9924.2000000000007</v>
      </c>
      <c r="E48" s="12">
        <f>SUM(E20:E46)/2</f>
        <v>1</v>
      </c>
      <c r="F48" s="11">
        <f>I48/D48</f>
        <v>25.789999999999996</v>
      </c>
      <c r="G48" s="10"/>
      <c r="H48" s="9">
        <f>SUM(H20:H46)/2</f>
        <v>242267.94</v>
      </c>
      <c r="I48" s="9">
        <f>SUM(I20:I46)/2</f>
        <v>255945.11799999999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9924.2000000000007</v>
      </c>
      <c r="E50" s="12">
        <f>D50/G2</f>
        <v>1</v>
      </c>
      <c r="F50" s="11">
        <f>I50/D50</f>
        <v>25.789999999999996</v>
      </c>
      <c r="G50" s="10"/>
      <c r="H50" s="9">
        <f>H48+H19</f>
        <v>242267.94</v>
      </c>
      <c r="I50" s="9">
        <f>I48+I19</f>
        <v>255945.11799999999</v>
      </c>
      <c r="J50" s="106">
        <f>D50-G2</f>
        <v>0</v>
      </c>
      <c r="K50" s="8"/>
    </row>
    <row r="51" spans="1:11" ht="23.25" x14ac:dyDescent="0.35">
      <c r="A51" s="174" t="s">
        <v>540</v>
      </c>
      <c r="B51" s="169"/>
      <c r="C51" s="170"/>
      <c r="G51" s="7"/>
      <c r="H51" s="6"/>
      <c r="I51" s="6">
        <f>+I50/D50</f>
        <v>25.789999999999996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525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541</v>
      </c>
      <c r="D2" s="96" t="s">
        <v>3</v>
      </c>
      <c r="E2" s="95" t="s">
        <v>107</v>
      </c>
      <c r="F2" s="94" t="s">
        <v>5</v>
      </c>
      <c r="G2" s="93">
        <v>1650.7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24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68.779166666666669</v>
      </c>
      <c r="F4" s="81" t="s">
        <v>12</v>
      </c>
      <c r="G4" s="80">
        <f>G2*G3</f>
        <v>46219.6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-2.3317539154632971E-2</v>
      </c>
      <c r="F6" s="69" t="s">
        <v>16</v>
      </c>
      <c r="G6" s="68">
        <f>(I50-I19)/(D50-(SUM(D42:D44)+D19))</f>
        <v>33.232384239286752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28.652891096329725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29.880872143315283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27.220246541513237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29.880872143315283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33.360151776441036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27.527241803259624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37.658085440890488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55.463810622181107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48.505251355929602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17.2</v>
      </c>
      <c r="E21" s="29">
        <f>D21/$D$48</f>
        <v>1.0419821893742047E-2</v>
      </c>
      <c r="F21" s="28">
        <f>C21-(C21*$E$6)</f>
        <v>72.041554756486164</v>
      </c>
      <c r="G21" s="27" t="str">
        <f>IF(C21&gt;=F21,"-","+")</f>
        <v>+</v>
      </c>
      <c r="H21" s="26">
        <f>C21*D21</f>
        <v>1210.8800000000001</v>
      </c>
      <c r="I21" s="26">
        <f>F21*D21</f>
        <v>1239.114741811562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45</v>
      </c>
      <c r="E22" s="29">
        <f>D22/$D$48</f>
        <v>2.7261161931301868E-2</v>
      </c>
      <c r="F22" s="28">
        <f>C22-(C22*$E$6)</f>
        <v>48.402919602014137</v>
      </c>
      <c r="G22" s="27" t="str">
        <f>IF(C22&gt;=F22,"-","+")</f>
        <v>+</v>
      </c>
      <c r="H22" s="26">
        <f>C22*D22</f>
        <v>2128.5</v>
      </c>
      <c r="I22" s="26">
        <f>F22*D22</f>
        <v>2178.1313820906362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31.2</v>
      </c>
      <c r="E23" s="29">
        <f>D23/$D$48</f>
        <v>1.8901072272369295E-2</v>
      </c>
      <c r="F23" s="28">
        <f>C23-(C23*$E$6)</f>
        <v>44.104985937564685</v>
      </c>
      <c r="G23" s="27" t="str">
        <f>IF(C23&gt;=F23,"-","+")</f>
        <v>+</v>
      </c>
      <c r="H23" s="26">
        <f>C23*D23</f>
        <v>1344.72</v>
      </c>
      <c r="I23" s="26">
        <f>F23*D23</f>
        <v>1376.0755612520181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50.150963597430405</v>
      </c>
      <c r="D24" s="22">
        <f>SUM(D21:D23)</f>
        <v>93.4</v>
      </c>
      <c r="E24" s="21">
        <f>D24/$D$48</f>
        <v>5.6582056097413215E-2</v>
      </c>
      <c r="F24" s="20">
        <f>I24/D24</f>
        <v>51.320360654756065</v>
      </c>
      <c r="G24" s="19">
        <f>F24/C24-1</f>
        <v>2.3317539154632971E-2</v>
      </c>
      <c r="H24" s="18">
        <f>SUM(H21:H23)</f>
        <v>4684.1000000000004</v>
      </c>
      <c r="I24" s="18">
        <f>SUM(I21:I23)</f>
        <v>4793.3216851542165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297.3</v>
      </c>
      <c r="E26" s="29">
        <f t="shared" ref="E26:E32" si="7">D26/$D$48</f>
        <v>0.18010540982613435</v>
      </c>
      <c r="F26" s="28">
        <f t="shared" ref="F26:F31" si="8">C26-(C26*$E$6)</f>
        <v>38.476739472214199</v>
      </c>
      <c r="G26" s="27" t="str">
        <f t="shared" ref="G26:G31" si="9">IF(C26&gt;=F26,"-","+")</f>
        <v>+</v>
      </c>
      <c r="H26" s="26">
        <f t="shared" ref="H26:H31" si="10">C26*D26</f>
        <v>11178.480000000001</v>
      </c>
      <c r="I26" s="26">
        <f t="shared" ref="I26:I31" si="11">F26*D26</f>
        <v>11439.134645089282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253.9</v>
      </c>
      <c r="E27" s="29">
        <f t="shared" si="7"/>
        <v>0.15381353365238987</v>
      </c>
      <c r="F27" s="28">
        <f t="shared" si="8"/>
        <v>34.281137561680204</v>
      </c>
      <c r="G27" s="27" t="str">
        <f t="shared" si="9"/>
        <v>+</v>
      </c>
      <c r="H27" s="26">
        <f t="shared" si="10"/>
        <v>8505.65</v>
      </c>
      <c r="I27" s="26">
        <f t="shared" si="11"/>
        <v>8703.9808269106034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166.8</v>
      </c>
      <c r="E28" s="29">
        <f t="shared" si="7"/>
        <v>0.10104804022535893</v>
      </c>
      <c r="F28" s="28">
        <f t="shared" si="8"/>
        <v>34.281137561680204</v>
      </c>
      <c r="G28" s="27" t="str">
        <f t="shared" si="9"/>
        <v>+</v>
      </c>
      <c r="H28" s="26">
        <f t="shared" si="10"/>
        <v>5587.8</v>
      </c>
      <c r="I28" s="26">
        <f t="shared" si="11"/>
        <v>5718.0937452882581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168.8</v>
      </c>
      <c r="E29" s="29">
        <f t="shared" si="7"/>
        <v>0.10225964742230567</v>
      </c>
      <c r="F29" s="28">
        <f t="shared" si="8"/>
        <v>33.053156514694642</v>
      </c>
      <c r="G29" s="27" t="str">
        <f t="shared" si="9"/>
        <v>+</v>
      </c>
      <c r="H29" s="26">
        <f t="shared" si="10"/>
        <v>5452.24</v>
      </c>
      <c r="I29" s="26">
        <f t="shared" si="11"/>
        <v>5579.3728196804559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97.2</v>
      </c>
      <c r="E30" s="29">
        <f t="shared" si="7"/>
        <v>5.8884109771612035E-2</v>
      </c>
      <c r="F30" s="28">
        <f t="shared" si="8"/>
        <v>33.053156514694642</v>
      </c>
      <c r="G30" s="27" t="str">
        <f t="shared" si="9"/>
        <v>+</v>
      </c>
      <c r="H30" s="26">
        <f t="shared" si="10"/>
        <v>3139.56</v>
      </c>
      <c r="I30" s="26">
        <f t="shared" si="11"/>
        <v>3212.7668132283193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32.799999999999997</v>
      </c>
      <c r="E31" s="29">
        <f t="shared" si="7"/>
        <v>1.9870358029926694E-2</v>
      </c>
      <c r="F31" s="28">
        <f t="shared" si="8"/>
        <v>33.667147038187423</v>
      </c>
      <c r="G31" s="27" t="str">
        <f t="shared" si="9"/>
        <v>+</v>
      </c>
      <c r="H31" s="26">
        <f t="shared" si="10"/>
        <v>1079.1199999999999</v>
      </c>
      <c r="I31" s="26">
        <f t="shared" si="11"/>
        <v>1104.2824228525474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34.365509441384738</v>
      </c>
      <c r="D32" s="22">
        <f>SUM(D26:D31)</f>
        <v>1016.8</v>
      </c>
      <c r="E32" s="21">
        <f t="shared" si="7"/>
        <v>0.61598109892772746</v>
      </c>
      <c r="F32" s="20">
        <f>I32/D32</f>
        <v>35.166828553353135</v>
      </c>
      <c r="G32" s="19">
        <f>F32/C32-1</f>
        <v>2.3317539154632971E-2</v>
      </c>
      <c r="H32" s="18">
        <f>SUM(H26:H31)</f>
        <v>34942.85</v>
      </c>
      <c r="I32" s="18">
        <f>SUM(I26:I31)</f>
        <v>35757.631273049468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265.60000000000002</v>
      </c>
      <c r="E34" s="29">
        <f t="shared" ref="E34:E40" si="13">D34/$D$48</f>
        <v>0.16090143575452837</v>
      </c>
      <c r="F34" s="28">
        <f t="shared" ref="F34:F39" si="14">C34-(C34*$E$6)</f>
        <v>20.261687275261732</v>
      </c>
      <c r="G34" s="27" t="str">
        <f t="shared" ref="G34:G39" si="15">IF(C34&gt;=F34,"-","+")</f>
        <v>+</v>
      </c>
      <c r="H34" s="26">
        <f t="shared" ref="H34:H39" si="16">C34*D34</f>
        <v>5258.880000000001</v>
      </c>
      <c r="I34" s="26">
        <f t="shared" ref="I34:I39" si="17">F34*D34</f>
        <v>5381.5041403095165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10</v>
      </c>
      <c r="E35" s="29">
        <f t="shared" si="13"/>
        <v>6.0580359847337483E-3</v>
      </c>
      <c r="F35" s="28">
        <f t="shared" si="14"/>
        <v>15.554426595150421</v>
      </c>
      <c r="G35" s="27" t="str">
        <f t="shared" si="15"/>
        <v>+</v>
      </c>
      <c r="H35" s="26">
        <f t="shared" si="16"/>
        <v>152</v>
      </c>
      <c r="I35" s="26">
        <f t="shared" si="17"/>
        <v>155.5442659515042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12.484473977686521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33.053156514694642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33.053156514694642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34.281137561680204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19.633091436865023</v>
      </c>
      <c r="D40" s="22">
        <f>SUM(D34:D39)</f>
        <v>275.60000000000002</v>
      </c>
      <c r="E40" s="113">
        <f t="shared" si="13"/>
        <v>0.16695947173926212</v>
      </c>
      <c r="F40" s="20">
        <f>I40/D40</f>
        <v>20.090886815170609</v>
      </c>
      <c r="G40" s="19">
        <f>F40/C40-1</f>
        <v>2.3317539154632749E-2</v>
      </c>
      <c r="H40" s="18">
        <f>SUM(H34:H39)</f>
        <v>5410.880000000001</v>
      </c>
      <c r="I40" s="18">
        <f>SUM(I34:I39)</f>
        <v>5537.0484062610203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253</v>
      </c>
      <c r="E42" s="107">
        <f>D42/$D$48</f>
        <v>0.15326831041376382</v>
      </c>
      <c r="F42" s="28">
        <f>C42-(C42*$E$6)</f>
        <v>0.51165876957731649</v>
      </c>
      <c r="G42" s="27" t="str">
        <f>IF(C42&gt;=F42,"-","+")</f>
        <v>+</v>
      </c>
      <c r="H42" s="26">
        <f>C42*D42</f>
        <v>126.5</v>
      </c>
      <c r="I42" s="26">
        <f>F42*D42</f>
        <v>129.44966870306106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4.2</v>
      </c>
      <c r="E43" s="107">
        <f>D43/$D$48</f>
        <v>2.5443751135881742E-3</v>
      </c>
      <c r="F43" s="28">
        <f>C43-(C43*$E$6)</f>
        <v>0.51165876957731649</v>
      </c>
      <c r="G43" s="27" t="str">
        <f>IF(C43&gt;=F43,"-","+")</f>
        <v>+</v>
      </c>
      <c r="H43" s="26">
        <f>C43*D43</f>
        <v>2.1</v>
      </c>
      <c r="I43" s="26">
        <f>F43*D43</f>
        <v>2.1489668322247293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2.7</v>
      </c>
      <c r="E44" s="107">
        <f>D44/$D$48</f>
        <v>1.6356697158781122E-3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3.0290179923668742E-3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0.48546621366553416</v>
      </c>
      <c r="D46" s="22">
        <f>SUM(D41:D45)</f>
        <v>264.89999999999998</v>
      </c>
      <c r="E46" s="113">
        <f>D46/$D$48</f>
        <v>0.16047737323559699</v>
      </c>
      <c r="F46" s="20">
        <f>I46/D46</f>
        <v>0.49678609111093164</v>
      </c>
      <c r="G46" s="19">
        <f>F46/C46-1</f>
        <v>2.3317539154632971E-2</v>
      </c>
      <c r="H46" s="18">
        <f>SUM(H41:H44)</f>
        <v>128.6</v>
      </c>
      <c r="I46" s="18">
        <f>SUM(I41:I44)</f>
        <v>131.59863553528578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104.6350306893457</v>
      </c>
      <c r="D48" s="13">
        <f>D24+D32+D40+D46</f>
        <v>1650.7000000000003</v>
      </c>
      <c r="E48" s="12">
        <f>SUM(E20:E46)/2</f>
        <v>0.99999999999999989</v>
      </c>
      <c r="F48" s="11">
        <f>I48/D48</f>
        <v>28</v>
      </c>
      <c r="G48" s="10"/>
      <c r="H48" s="9">
        <f>SUM(H20:H46)/2</f>
        <v>45166.430000000008</v>
      </c>
      <c r="I48" s="9">
        <f>SUM(I20:I46)/2</f>
        <v>46219.600000000006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1650.6999999999996</v>
      </c>
      <c r="E50" s="12">
        <f>D50/G2</f>
        <v>0.99999999999999978</v>
      </c>
      <c r="F50" s="11">
        <f>I50/D50</f>
        <v>28.000000000000011</v>
      </c>
      <c r="G50" s="10"/>
      <c r="H50" s="9">
        <f>H48+H19</f>
        <v>45166.430000000008</v>
      </c>
      <c r="I50" s="9">
        <f>I48+I19</f>
        <v>46219.600000000006</v>
      </c>
      <c r="J50" s="106">
        <f>D50-G2</f>
        <v>0</v>
      </c>
      <c r="K50" s="8"/>
    </row>
    <row r="51" spans="1:11" ht="23.25" x14ac:dyDescent="0.35">
      <c r="A51" s="174" t="s">
        <v>542</v>
      </c>
      <c r="B51" s="169"/>
      <c r="C51" s="170"/>
      <c r="G51" s="7"/>
      <c r="H51" s="6"/>
      <c r="I51" s="6">
        <f>+I50/D50</f>
        <v>28.000000000000011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>
    <tabColor rgb="FF92D050"/>
  </sheetPr>
  <dimension ref="A1:K56"/>
  <sheetViews>
    <sheetView topLeftCell="A3" workbookViewId="0">
      <selection activeCell="A3"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541</v>
      </c>
      <c r="D1" s="100" t="s">
        <v>1</v>
      </c>
      <c r="E1" s="168" t="s">
        <v>97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541</v>
      </c>
      <c r="D2" s="96" t="s">
        <v>3</v>
      </c>
      <c r="E2" s="95" t="s">
        <v>362</v>
      </c>
      <c r="F2" s="94" t="s">
        <v>5</v>
      </c>
      <c r="G2" s="93">
        <v>17109.8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197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86.851776649746185</v>
      </c>
      <c r="F4" s="81" t="s">
        <v>12</v>
      </c>
      <c r="G4" s="80">
        <f>G2*G3</f>
        <v>500461.64999999997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2.2736885007621499E-2</v>
      </c>
      <c r="F6" s="69" t="s">
        <v>16</v>
      </c>
      <c r="G6" s="68">
        <f>(I50-I19)/(D50-(SUM(D42:D44)+D19))</f>
        <v>34.412072308707849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28.633809269276689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29.806525007267545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27.167914596788123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29.806525007267545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33.324672221240107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27.461093531285837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37.526903615707333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55.313092308568628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48.472250503621979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222.1</v>
      </c>
      <c r="E21" s="29">
        <f>D21/$D$48</f>
        <v>1.2980864767560113E-2</v>
      </c>
      <c r="F21" s="28">
        <f>C21-(C21*$E$6)</f>
        <v>71.926565263439059</v>
      </c>
      <c r="G21" s="27" t="str">
        <f>IF(C21&gt;=F21,"-","+")</f>
        <v>-</v>
      </c>
      <c r="H21" s="26">
        <f>C21*D21</f>
        <v>16346.559999999998</v>
      </c>
      <c r="I21" s="26">
        <f>F21*D21</f>
        <v>15974.890145009815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583.5</v>
      </c>
      <c r="E22" s="29">
        <f>D22/$D$48</f>
        <v>3.4103262457772739E-2</v>
      </c>
      <c r="F22" s="28">
        <f>C22-(C22*$E$6)</f>
        <v>48.276797880623498</v>
      </c>
      <c r="G22" s="27" t="str">
        <f>IF(C22&gt;=F22,"-","+")</f>
        <v>-</v>
      </c>
      <c r="H22" s="26">
        <f>C22*D22</f>
        <v>28824.899999999998</v>
      </c>
      <c r="I22" s="26">
        <f>F22*D22</f>
        <v>28169.511563343811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438</v>
      </c>
      <c r="E23" s="29">
        <f>D23/$D$48</f>
        <v>2.5599364107119896E-2</v>
      </c>
      <c r="F23" s="28">
        <f>C23-(C23*$E$6)</f>
        <v>43.976840174657035</v>
      </c>
      <c r="G23" s="27" t="str">
        <f>IF(C23&gt;=F23,"-","+")</f>
        <v>-</v>
      </c>
      <c r="H23" s="26">
        <f>C23*D23</f>
        <v>19710</v>
      </c>
      <c r="I23" s="26">
        <f>F23*D23</f>
        <v>19261.85599649978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52.17229012544226</v>
      </c>
      <c r="D24" s="22">
        <f>SUM(D21:D23)</f>
        <v>1243.5999999999999</v>
      </c>
      <c r="E24" s="21">
        <f>D24/$D$48</f>
        <v>7.2683491332452749E-2</v>
      </c>
      <c r="F24" s="20">
        <f>I24/D24</f>
        <v>50.986054764275814</v>
      </c>
      <c r="G24" s="19">
        <f>F24/C24-1</f>
        <v>-2.2736885007621499E-2</v>
      </c>
      <c r="H24" s="18">
        <f>SUM(H21:H23)</f>
        <v>64881.459999999992</v>
      </c>
      <c r="I24" s="18">
        <f>SUM(I21:I23)</f>
        <v>63406.2577048534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v>3420.2</v>
      </c>
      <c r="E26" s="29">
        <f t="shared" ref="E26:E32" si="7">D26/$D$48</f>
        <v>0.19989713497527734</v>
      </c>
      <c r="F26" s="28">
        <f t="shared" ref="F26:F31" si="8">C26-(C26*$E$6)</f>
        <v>38.406440419200472</v>
      </c>
      <c r="G26" s="27" t="str">
        <f t="shared" ref="G26:G31" si="9">IF(C26&gt;=F26,"-","+")</f>
        <v>-</v>
      </c>
      <c r="H26" s="26">
        <f t="shared" ref="H26:H31" si="10">C26*D26</f>
        <v>134413.85999999999</v>
      </c>
      <c r="I26" s="26">
        <f t="shared" ref="I26:I31" si="11">F26*D26</f>
        <v>131357.70752174946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2858.6</v>
      </c>
      <c r="E27" s="29">
        <f t="shared" si="7"/>
        <v>0.16707384072286058</v>
      </c>
      <c r="F27" s="28">
        <f t="shared" si="8"/>
        <v>34.204209024733245</v>
      </c>
      <c r="G27" s="27" t="str">
        <f t="shared" si="9"/>
        <v>-</v>
      </c>
      <c r="H27" s="26">
        <f t="shared" si="10"/>
        <v>100051</v>
      </c>
      <c r="I27" s="26">
        <f t="shared" si="11"/>
        <v>97776.151918102449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1751.3</v>
      </c>
      <c r="E28" s="29">
        <f t="shared" si="7"/>
        <v>0.10235654420273761</v>
      </c>
      <c r="F28" s="28">
        <f t="shared" si="8"/>
        <v>34.204209024733245</v>
      </c>
      <c r="G28" s="27" t="str">
        <f t="shared" si="9"/>
        <v>-</v>
      </c>
      <c r="H28" s="26">
        <f t="shared" si="10"/>
        <v>61295.5</v>
      </c>
      <c r="I28" s="26">
        <f t="shared" si="11"/>
        <v>59901.831265015331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1500.7</v>
      </c>
      <c r="E29" s="29">
        <f t="shared" si="7"/>
        <v>8.7709967387111482E-2</v>
      </c>
      <c r="F29" s="28">
        <f t="shared" si="8"/>
        <v>33.031493286742389</v>
      </c>
      <c r="G29" s="27" t="str">
        <f t="shared" si="9"/>
        <v>-</v>
      </c>
      <c r="H29" s="26">
        <f t="shared" si="10"/>
        <v>50723.659999999996</v>
      </c>
      <c r="I29" s="26">
        <f t="shared" si="11"/>
        <v>49570.361975414307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1143</v>
      </c>
      <c r="E30" s="29">
        <f t="shared" si="7"/>
        <v>6.6803820032963562E-2</v>
      </c>
      <c r="F30" s="28">
        <f t="shared" si="8"/>
        <v>33.031493286742389</v>
      </c>
      <c r="G30" s="27" t="str">
        <f t="shared" si="9"/>
        <v>-</v>
      </c>
      <c r="H30" s="26">
        <f t="shared" si="10"/>
        <v>38633.399999999994</v>
      </c>
      <c r="I30" s="26">
        <f t="shared" si="11"/>
        <v>37754.996826746552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479.6</v>
      </c>
      <c r="E31" s="29">
        <f t="shared" si="7"/>
        <v>2.8030719236928545E-2</v>
      </c>
      <c r="F31" s="28">
        <f t="shared" si="8"/>
        <v>33.617851155737817</v>
      </c>
      <c r="G31" s="27" t="str">
        <f t="shared" si="9"/>
        <v>-</v>
      </c>
      <c r="H31" s="26">
        <f t="shared" si="10"/>
        <v>16498.240000000002</v>
      </c>
      <c r="I31" s="26">
        <f t="shared" si="11"/>
        <v>16123.121414291858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36.008361575842336</v>
      </c>
      <c r="D32" s="22">
        <f>SUM(D26:D31)</f>
        <v>11153.4</v>
      </c>
      <c r="E32" s="21">
        <f t="shared" si="7"/>
        <v>0.65187202655787913</v>
      </c>
      <c r="F32" s="20">
        <f>I32/D32</f>
        <v>35.189643599379558</v>
      </c>
      <c r="G32" s="19">
        <f>F32/C32-1</f>
        <v>-2.2736885007621388E-2</v>
      </c>
      <c r="H32" s="18">
        <f>SUM(H26:H31)</f>
        <v>401615.65999999992</v>
      </c>
      <c r="I32" s="18">
        <f>SUM(I26:I31)</f>
        <v>392484.17092131998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2141.3000000000002</v>
      </c>
      <c r="E34" s="29">
        <f t="shared" ref="E34:E40" si="13">D34/$D$48</f>
        <v>0.12515049854469371</v>
      </c>
      <c r="F34" s="28">
        <f t="shared" ref="F34:F39" si="14">C34-(C34*$E$6)</f>
        <v>20.229346480342233</v>
      </c>
      <c r="G34" s="27" t="str">
        <f t="shared" ref="G34:G39" si="15">IF(C34&gt;=F34,"-","+")</f>
        <v>-</v>
      </c>
      <c r="H34" s="26">
        <f t="shared" ref="H34:H39" si="16">C34*D34</f>
        <v>44324.91</v>
      </c>
      <c r="I34" s="26">
        <f t="shared" ref="I34:I39" si="17">F34*D34</f>
        <v>43317.099618356828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/>
      <c r="E35" s="29">
        <f t="shared" si="13"/>
        <v>0</v>
      </c>
      <c r="F35" s="28">
        <f t="shared" si="14"/>
        <v>15.538483528378819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12.508967871902446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33.031493286742389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33.031493286742389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34.204209024733245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</v>
      </c>
      <c r="D40" s="22">
        <f>SUM(D34:D39)</f>
        <v>2141.3000000000002</v>
      </c>
      <c r="E40" s="113">
        <f t="shared" si="13"/>
        <v>0.12515049854469371</v>
      </c>
      <c r="F40" s="20">
        <f>I40/D40</f>
        <v>20.229346480342233</v>
      </c>
      <c r="G40" s="19">
        <f>F40/C40-1</f>
        <v>-2.2736885007621499E-2</v>
      </c>
      <c r="H40" s="18">
        <f>SUM(H34:H39)</f>
        <v>44324.91</v>
      </c>
      <c r="I40" s="18">
        <f>SUM(I34:I39)</f>
        <v>43317.099618356828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2454</v>
      </c>
      <c r="E42" s="107">
        <f>D42/$D$48</f>
        <v>0.14342657424400052</v>
      </c>
      <c r="F42" s="28">
        <f>C42-(C42*$E$6)</f>
        <v>0.48863155749618925</v>
      </c>
      <c r="G42" s="27" t="str">
        <f>IF(C42&gt;=F42,"-","+")</f>
        <v>-</v>
      </c>
      <c r="H42" s="26">
        <f>C42*D42</f>
        <v>1227</v>
      </c>
      <c r="I42" s="26">
        <f>F42*D42</f>
        <v>1199.1018420956484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112.6</v>
      </c>
      <c r="E43" s="107">
        <f>D43/$D$48</f>
        <v>6.5810237407801378E-3</v>
      </c>
      <c r="F43" s="28">
        <f>C43-(C43*$E$6)</f>
        <v>0.48863155749618925</v>
      </c>
      <c r="G43" s="27" t="str">
        <f>IF(C43&gt;=F43,"-","+")</f>
        <v>-</v>
      </c>
      <c r="H43" s="26">
        <f>C43*D43</f>
        <v>56.3</v>
      </c>
      <c r="I43" s="26">
        <f>F43*D43</f>
        <v>55.01991337407091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4.9000000000000004</v>
      </c>
      <c r="E45" s="107">
        <f>D45/$D$48</f>
        <v>2.8638558019380706E-4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0.49904724868753642</v>
      </c>
      <c r="D46" s="22">
        <f>SUM(D41:D45)</f>
        <v>2571.5</v>
      </c>
      <c r="E46" s="113">
        <f>D46/$D$48</f>
        <v>0.15029398356497448</v>
      </c>
      <c r="F46" s="20">
        <f>I46/D46</f>
        <v>0.48770046878075807</v>
      </c>
      <c r="G46" s="19">
        <f>F46/C46-1</f>
        <v>-2.2736885007621388E-2</v>
      </c>
      <c r="H46" s="18">
        <f>SUM(H41:H44)</f>
        <v>1283.3</v>
      </c>
      <c r="I46" s="18">
        <f>SUM(I41:I44)</f>
        <v>1254.1217554697193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109.37969894997214</v>
      </c>
      <c r="D48" s="13">
        <f>D24+D32+D40+D46</f>
        <v>17109.8</v>
      </c>
      <c r="E48" s="12">
        <f>SUM(E20:E46)/2</f>
        <v>1</v>
      </c>
      <c r="F48" s="11">
        <f>I48/D48</f>
        <v>29.249999999999996</v>
      </c>
      <c r="G48" s="10"/>
      <c r="H48" s="9">
        <f>SUM(H20:H46)/2</f>
        <v>512105.33</v>
      </c>
      <c r="I48" s="9">
        <f>SUM(I20:I46)/2</f>
        <v>500461.64999999991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17109.8</v>
      </c>
      <c r="E50" s="12">
        <f>D50/G2</f>
        <v>1</v>
      </c>
      <c r="F50" s="11">
        <f>I50/D50</f>
        <v>29.249999999999996</v>
      </c>
      <c r="G50" s="10"/>
      <c r="H50" s="9">
        <f>H48+H19</f>
        <v>512105.33</v>
      </c>
      <c r="I50" s="9">
        <f>I48+I19</f>
        <v>500461.64999999991</v>
      </c>
      <c r="J50" s="106">
        <f>D50-G2</f>
        <v>0</v>
      </c>
      <c r="K50" s="8"/>
    </row>
    <row r="51" spans="1:11" ht="23.25" x14ac:dyDescent="0.35">
      <c r="A51" s="174" t="s">
        <v>543</v>
      </c>
      <c r="B51" s="169"/>
      <c r="C51" s="170"/>
      <c r="G51" s="7"/>
      <c r="H51" s="6"/>
      <c r="I51" s="6">
        <f>+I50/D50</f>
        <v>29.249999999999996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535</v>
      </c>
      <c r="D1" s="100" t="s">
        <v>1</v>
      </c>
      <c r="E1" s="168" t="s">
        <v>544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541</v>
      </c>
      <c r="D2" s="96" t="s">
        <v>3</v>
      </c>
      <c r="E2" s="95" t="s">
        <v>112</v>
      </c>
      <c r="F2" s="94" t="s">
        <v>5</v>
      </c>
      <c r="G2" s="93">
        <v>6355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112</v>
      </c>
      <c r="F3" s="88" t="s">
        <v>8</v>
      </c>
      <c r="G3" s="87">
        <v>24.72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56.741071428571431</v>
      </c>
      <c r="F4" s="81" t="s">
        <v>12</v>
      </c>
      <c r="G4" s="80">
        <f>G2*G3</f>
        <v>157095.6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-0.13728072255183688</v>
      </c>
      <c r="F6" s="69" t="s">
        <v>16</v>
      </c>
      <c r="G6" s="68">
        <f>(I50-I19)/(D50-(SUM(D42:D44)+D19))</f>
        <v>31.85311546904996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24.7</v>
      </c>
      <c r="D10" s="30"/>
      <c r="E10" s="29">
        <f t="shared" ref="E10:E19" si="1">D10/$D$19</f>
        <v>0</v>
      </c>
      <c r="F10" s="28">
        <f t="shared" ref="F10:F18" si="2">C10-(C10*$E$6)</f>
        <v>28.090833847030371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25.7</v>
      </c>
      <c r="D11" s="30"/>
      <c r="E11" s="29">
        <f t="shared" si="1"/>
        <v>0</v>
      </c>
      <c r="F11" s="28">
        <f t="shared" si="2"/>
        <v>29.228114569582207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23.5</v>
      </c>
      <c r="D12" s="30"/>
      <c r="E12" s="29">
        <f t="shared" si="1"/>
        <v>0</v>
      </c>
      <c r="F12" s="28">
        <f t="shared" si="2"/>
        <v>26.726096979968165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25.7</v>
      </c>
      <c r="D13" s="30"/>
      <c r="E13" s="29">
        <f t="shared" si="1"/>
        <v>0</v>
      </c>
      <c r="F13" s="28">
        <f t="shared" si="2"/>
        <v>29.228114569582207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28.8</v>
      </c>
      <c r="D14" s="30"/>
      <c r="E14" s="29">
        <f t="shared" si="1"/>
        <v>0</v>
      </c>
      <c r="F14" s="28">
        <f t="shared" si="2"/>
        <v>32.753684809492903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23.7</v>
      </c>
      <c r="D15" s="30"/>
      <c r="E15" s="29">
        <f t="shared" si="1"/>
        <v>0</v>
      </c>
      <c r="F15" s="28">
        <f t="shared" si="2"/>
        <v>26.953553124478532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32.5</v>
      </c>
      <c r="D16" s="30">
        <v>11</v>
      </c>
      <c r="E16" s="29">
        <f t="shared" si="1"/>
        <v>9.9547511312217188E-2</v>
      </c>
      <c r="F16" s="28">
        <f t="shared" si="2"/>
        <v>36.961623482934698</v>
      </c>
      <c r="G16" s="27" t="str">
        <f t="shared" si="3"/>
        <v>+</v>
      </c>
      <c r="H16" s="34">
        <f t="shared" si="4"/>
        <v>357.5</v>
      </c>
      <c r="I16" s="34">
        <f t="shared" si="5"/>
        <v>406.57785831228171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47.8</v>
      </c>
      <c r="D17" s="30">
        <v>99.5</v>
      </c>
      <c r="E17" s="29">
        <f t="shared" si="1"/>
        <v>0.90045248868778283</v>
      </c>
      <c r="F17" s="28">
        <f t="shared" si="2"/>
        <v>54.362018537977796</v>
      </c>
      <c r="G17" s="27" t="str">
        <f t="shared" si="3"/>
        <v>+</v>
      </c>
      <c r="H17" s="34">
        <f t="shared" si="4"/>
        <v>4756.0999999999995</v>
      </c>
      <c r="I17" s="34">
        <f t="shared" si="5"/>
        <v>5409.0208445287908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41.9</v>
      </c>
      <c r="D18" s="30"/>
      <c r="E18" s="29">
        <f t="shared" si="1"/>
        <v>0</v>
      </c>
      <c r="F18" s="28">
        <f t="shared" si="2"/>
        <v>47.65206227492196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46.276923076923069</v>
      </c>
      <c r="D19" s="49">
        <f>SUM(D10:D18)</f>
        <v>110.5</v>
      </c>
      <c r="E19" s="48">
        <f t="shared" si="1"/>
        <v>1</v>
      </c>
      <c r="F19" s="47">
        <f>I19/D19</f>
        <v>52.629852514398848</v>
      </c>
      <c r="G19" s="46">
        <f>F19/C19-1</f>
        <v>0.1372807225518371</v>
      </c>
      <c r="H19" s="9">
        <f>SUM(H10:H18)</f>
        <v>5113.5999999999995</v>
      </c>
      <c r="I19" s="9">
        <f>SUM(I10:I18)</f>
        <v>5815.5987028410727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62.2</v>
      </c>
      <c r="D21" s="30">
        <v>33.6</v>
      </c>
      <c r="E21" s="29">
        <f>D21/$D$48</f>
        <v>5.380648880632867E-3</v>
      </c>
      <c r="F21" s="28">
        <f>C21-(C21*$E$6)</f>
        <v>70.738860942724259</v>
      </c>
      <c r="G21" s="27" t="str">
        <f>IF(C21&gt;=F21,"-","+")</f>
        <v>+</v>
      </c>
      <c r="H21" s="26">
        <f>C21*D21</f>
        <v>2089.92</v>
      </c>
      <c r="I21" s="26">
        <f>F21*D21</f>
        <v>2376.8257276755353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41.8</v>
      </c>
      <c r="D22" s="30">
        <v>95.8</v>
      </c>
      <c r="E22" s="29">
        <f>D22/$D$48</f>
        <v>1.5341254844185375E-2</v>
      </c>
      <c r="F22" s="28">
        <f>C22-(C22*$E$6)</f>
        <v>47.538334202666775</v>
      </c>
      <c r="G22" s="27" t="str">
        <f>IF(C22&gt;=F22,"-","+")</f>
        <v>+</v>
      </c>
      <c r="H22" s="26">
        <f>C22*D22</f>
        <v>4004.4399999999996</v>
      </c>
      <c r="I22" s="26">
        <f>F22*D22</f>
        <v>4554.1724166154772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38.1</v>
      </c>
      <c r="D23" s="30">
        <v>44.1</v>
      </c>
      <c r="E23" s="29">
        <f>D23/$D$48</f>
        <v>7.0621016558306375E-3</v>
      </c>
      <c r="F23" s="28">
        <f>C23-(C23*$E$6)</f>
        <v>43.330395529224987</v>
      </c>
      <c r="G23" s="27" t="str">
        <f>IF(C23&gt;=F23,"-","+")</f>
        <v>+</v>
      </c>
      <c r="H23" s="26">
        <f>C23*D23</f>
        <v>1680.21</v>
      </c>
      <c r="I23" s="26">
        <f>F23*D23</f>
        <v>1910.8704428388219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44.810201729106623</v>
      </c>
      <c r="D24" s="22">
        <f>SUM(D21:D23)</f>
        <v>173.5</v>
      </c>
      <c r="E24" s="21">
        <f>D24/$D$48</f>
        <v>2.7784005380648878E-2</v>
      </c>
      <c r="F24" s="20">
        <f>I24/D24</f>
        <v>50.961778600171947</v>
      </c>
      <c r="G24" s="19">
        <f>F24/C24-1</f>
        <v>0.13728072255183688</v>
      </c>
      <c r="H24" s="18">
        <f>SUM(H21:H23)</f>
        <v>7774.57</v>
      </c>
      <c r="I24" s="18">
        <f>SUM(I21:I23)</f>
        <v>8841.868587129833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33.200000000000003</v>
      </c>
      <c r="D26" s="30">
        <v>1169.4000000000001</v>
      </c>
      <c r="E26" s="29">
        <f t="shared" ref="E26:E32" si="7">D26/$D$48</f>
        <v>0.1872657976491689</v>
      </c>
      <c r="F26" s="28">
        <f t="shared" ref="F26:F31" si="8">C26-(C26*$E$6)</f>
        <v>37.757719988720986</v>
      </c>
      <c r="G26" s="27" t="str">
        <f t="shared" ref="G26:G31" si="9">IF(C26&gt;=F26,"-","+")</f>
        <v>+</v>
      </c>
      <c r="H26" s="26">
        <f t="shared" ref="H26:H31" si="10">C26*D26</f>
        <v>38824.080000000009</v>
      </c>
      <c r="I26" s="26">
        <f t="shared" ref="I26:I31" si="11">F26*D26</f>
        <v>44153.877754810324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29.5</v>
      </c>
      <c r="D27" s="30">
        <v>887.1</v>
      </c>
      <c r="E27" s="29">
        <f t="shared" si="7"/>
        <v>0.14205873875028024</v>
      </c>
      <c r="F27" s="28">
        <f t="shared" si="8"/>
        <v>33.549781315279191</v>
      </c>
      <c r="G27" s="27" t="str">
        <f t="shared" si="9"/>
        <v>+</v>
      </c>
      <c r="H27" s="26">
        <f t="shared" si="10"/>
        <v>26169.45</v>
      </c>
      <c r="I27" s="26">
        <f t="shared" si="11"/>
        <v>29762.01100478417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29.5</v>
      </c>
      <c r="D28" s="30">
        <v>501.8</v>
      </c>
      <c r="E28" s="29">
        <f t="shared" si="7"/>
        <v>8.035742881849918E-2</v>
      </c>
      <c r="F28" s="28">
        <f t="shared" si="8"/>
        <v>33.549781315279191</v>
      </c>
      <c r="G28" s="27" t="str">
        <f t="shared" si="9"/>
        <v>+</v>
      </c>
      <c r="H28" s="26">
        <f t="shared" si="10"/>
        <v>14803.1</v>
      </c>
      <c r="I28" s="26">
        <f t="shared" si="11"/>
        <v>16835.280264007099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28.6</v>
      </c>
      <c r="D29" s="30">
        <v>490.1</v>
      </c>
      <c r="E29" s="29">
        <f t="shared" si="7"/>
        <v>7.8483810011850244E-2</v>
      </c>
      <c r="F29" s="28">
        <f t="shared" si="8"/>
        <v>32.52622866498254</v>
      </c>
      <c r="G29" s="27" t="str">
        <f t="shared" si="9"/>
        <v>+</v>
      </c>
      <c r="H29" s="26">
        <f t="shared" si="10"/>
        <v>14016.86</v>
      </c>
      <c r="I29" s="26">
        <f t="shared" si="11"/>
        <v>15941.104668707943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28.6</v>
      </c>
      <c r="D30" s="30">
        <v>363.6</v>
      </c>
      <c r="E30" s="29">
        <f t="shared" si="7"/>
        <v>5.8226307529705666E-2</v>
      </c>
      <c r="F30" s="28">
        <f t="shared" si="8"/>
        <v>32.52622866498254</v>
      </c>
      <c r="G30" s="27" t="str">
        <f t="shared" si="9"/>
        <v>+</v>
      </c>
      <c r="H30" s="26">
        <f t="shared" si="10"/>
        <v>10398.960000000001</v>
      </c>
      <c r="I30" s="26">
        <f t="shared" si="11"/>
        <v>11826.536742587652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</v>
      </c>
      <c r="D31" s="30">
        <v>51.3</v>
      </c>
      <c r="E31" s="29">
        <f t="shared" si="7"/>
        <v>8.2150978445376804E-3</v>
      </c>
      <c r="F31" s="28">
        <f t="shared" si="8"/>
        <v>32.981140954003266</v>
      </c>
      <c r="G31" s="27" t="str">
        <f t="shared" si="9"/>
        <v>+</v>
      </c>
      <c r="H31" s="26">
        <f t="shared" si="10"/>
        <v>1487.6999999999998</v>
      </c>
      <c r="I31" s="26">
        <f t="shared" si="11"/>
        <v>1691.9325309403675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30.520067565616614</v>
      </c>
      <c r="D32" s="22">
        <f>SUM(D26:D31)</f>
        <v>3463.3</v>
      </c>
      <c r="E32" s="21">
        <f t="shared" si="7"/>
        <v>0.5546071806040419</v>
      </c>
      <c r="F32" s="20">
        <f>I32/D32</f>
        <v>34.709884493355339</v>
      </c>
      <c r="G32" s="19">
        <f>F32/C32-1</f>
        <v>0.13728072255183665</v>
      </c>
      <c r="H32" s="18">
        <f>SUM(H26:H31)</f>
        <v>105700.15000000002</v>
      </c>
      <c r="I32" s="18">
        <f>SUM(I26:I31)</f>
        <v>120210.74296583755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17.5</v>
      </c>
      <c r="D34" s="30">
        <f>516.5+489.8</f>
        <v>1006.3</v>
      </c>
      <c r="E34" s="29">
        <f t="shared" ref="E34:E40" si="13">D34/$D$48</f>
        <v>0.1611472312077635</v>
      </c>
      <c r="F34" s="28">
        <f t="shared" ref="F34:F39" si="14">C34-(C34*$E$6)</f>
        <v>19.902412644657147</v>
      </c>
      <c r="G34" s="27" t="str">
        <f t="shared" ref="G34:G39" si="15">IF(C34&gt;=F34,"-","+")</f>
        <v>+</v>
      </c>
      <c r="H34" s="26">
        <f t="shared" ref="H34:H39" si="16">C34*D34</f>
        <v>17610.25</v>
      </c>
      <c r="I34" s="26">
        <f t="shared" ref="I34:I39" si="17">F34*D34</f>
        <v>20027.797844318487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>
        <v>100</v>
      </c>
      <c r="E35" s="29">
        <f t="shared" si="13"/>
        <v>1.6013835954264484E-2</v>
      </c>
      <c r="F35" s="28">
        <f t="shared" si="14"/>
        <v>15.239561682194614</v>
      </c>
      <c r="G35" s="27" t="str">
        <f t="shared" si="15"/>
        <v>+</v>
      </c>
      <c r="H35" s="26">
        <f t="shared" si="16"/>
        <v>1340</v>
      </c>
      <c r="I35" s="26">
        <f t="shared" si="17"/>
        <v>1523.9561682194615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12.282631803559839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28.6</v>
      </c>
      <c r="D37" s="30"/>
      <c r="E37" s="29">
        <f t="shared" si="13"/>
        <v>0</v>
      </c>
      <c r="F37" s="28">
        <f t="shared" si="14"/>
        <v>32.52622866498254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28.6</v>
      </c>
      <c r="D38" s="30"/>
      <c r="E38" s="29">
        <f t="shared" si="13"/>
        <v>0</v>
      </c>
      <c r="F38" s="28">
        <f t="shared" si="14"/>
        <v>32.52622866498254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29.5</v>
      </c>
      <c r="D39" s="30"/>
      <c r="E39" s="29">
        <f t="shared" si="13"/>
        <v>0</v>
      </c>
      <c r="F39" s="28">
        <f t="shared" si="14"/>
        <v>33.549781315279191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17.129395281569195</v>
      </c>
      <c r="D40" s="22">
        <f>SUM(D34:D39)</f>
        <v>1106.3</v>
      </c>
      <c r="E40" s="113">
        <f t="shared" si="13"/>
        <v>0.17716106716202798</v>
      </c>
      <c r="F40" s="20">
        <f>I40/D40</f>
        <v>19.480931042699041</v>
      </c>
      <c r="G40" s="19">
        <f>F40/C40-1</f>
        <v>0.13728072255183688</v>
      </c>
      <c r="H40" s="18">
        <f>SUM(H34:H39)</f>
        <v>18950.25</v>
      </c>
      <c r="I40" s="18">
        <f>SUM(I34:I39)</f>
        <v>21551.754012537949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684+86.1+695.3</f>
        <v>1465.4</v>
      </c>
      <c r="E42" s="107">
        <f>D42/$D$48</f>
        <v>0.23466675207379176</v>
      </c>
      <c r="F42" s="28">
        <f>C42-(C42*$E$6)</f>
        <v>0.45491228902073477</v>
      </c>
      <c r="G42" s="27" t="str">
        <f>IF(C42&gt;=F42,"-","+")</f>
        <v>+</v>
      </c>
      <c r="H42" s="26">
        <f>C42*D42</f>
        <v>586.16000000000008</v>
      </c>
      <c r="I42" s="26">
        <f>F42*D42</f>
        <v>666.62846833098479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19.8</v>
      </c>
      <c r="E43" s="107">
        <f>D43/$D$48</f>
        <v>3.1707395189443681E-3</v>
      </c>
      <c r="F43" s="28">
        <f>C43-(C43*$E$6)</f>
        <v>0.45491228902073477</v>
      </c>
      <c r="G43" s="27" t="str">
        <f>IF(C43&gt;=F43,"-","+")</f>
        <v>+</v>
      </c>
      <c r="H43" s="26">
        <f>C43*D43</f>
        <v>7.9200000000000008</v>
      </c>
      <c r="I43" s="26">
        <f>F43*D43</f>
        <v>9.0072633226105481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10.1</v>
      </c>
      <c r="E44" s="107">
        <f>D44/$D$48</f>
        <v>1.6173974313807129E-3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6.2</v>
      </c>
      <c r="E45" s="107">
        <f>D45/$D$48</f>
        <v>9.9285782916439793E-4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0.39565767565767568</v>
      </c>
      <c r="D46" s="22">
        <f>SUM(D41:D45)</f>
        <v>1501.5</v>
      </c>
      <c r="E46" s="113">
        <f>D46/$D$48</f>
        <v>0.24044774685328121</v>
      </c>
      <c r="F46" s="20">
        <f>I46/D46</f>
        <v>0.44997384725514178</v>
      </c>
      <c r="G46" s="19">
        <f>F46/C46-1</f>
        <v>0.1372807225518371</v>
      </c>
      <c r="H46" s="18">
        <f>SUM(H41:H44)</f>
        <v>594.08000000000004</v>
      </c>
      <c r="I46" s="18">
        <f>SUM(I41:I44)</f>
        <v>675.63573165359537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92.855322251950099</v>
      </c>
      <c r="D48" s="13">
        <f>D24+D32+D40+D46</f>
        <v>6244.6</v>
      </c>
      <c r="E48" s="12">
        <f>SUM(E20:E46)/2</f>
        <v>1.0000000000000002</v>
      </c>
      <c r="F48" s="11">
        <f>I48/D48</f>
        <v>24.225731239336216</v>
      </c>
      <c r="G48" s="10"/>
      <c r="H48" s="9">
        <f>SUM(H20:H46)/2</f>
        <v>133019.05000000002</v>
      </c>
      <c r="I48" s="9">
        <f>SUM(I20:I46)/2</f>
        <v>151280.00129715895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6355.0999999999995</v>
      </c>
      <c r="E50" s="12">
        <f>D50/G2</f>
        <v>1.0000157356412274</v>
      </c>
      <c r="F50" s="11">
        <f>I50/D50</f>
        <v>24.719611021069696</v>
      </c>
      <c r="G50" s="10"/>
      <c r="H50" s="9">
        <f>H48+H19</f>
        <v>138132.65000000002</v>
      </c>
      <c r="I50" s="9">
        <f>I48+I19</f>
        <v>157095.6</v>
      </c>
      <c r="J50" s="106">
        <f>D50-G2</f>
        <v>9.9999999999454303E-2</v>
      </c>
      <c r="K50" s="8"/>
    </row>
    <row r="51" spans="1:11" ht="23.25" x14ac:dyDescent="0.35">
      <c r="A51" s="174" t="s">
        <v>545</v>
      </c>
      <c r="B51" s="169"/>
      <c r="C51" s="170"/>
      <c r="G51" s="7"/>
      <c r="H51" s="6"/>
      <c r="I51" s="6">
        <f>+I50/D50</f>
        <v>24.719611021069696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535</v>
      </c>
      <c r="D1" s="100" t="s">
        <v>1</v>
      </c>
      <c r="E1" s="168" t="s">
        <v>544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541</v>
      </c>
      <c r="D2" s="96" t="s">
        <v>3</v>
      </c>
      <c r="E2" s="95" t="s">
        <v>107</v>
      </c>
      <c r="F2" s="94" t="s">
        <v>5</v>
      </c>
      <c r="G2" s="93">
        <v>3097.1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40</v>
      </c>
      <c r="F3" s="88" t="s">
        <v>8</v>
      </c>
      <c r="G3" s="87">
        <v>27.25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77.427499999999995</v>
      </c>
      <c r="F4" s="81" t="s">
        <v>12</v>
      </c>
      <c r="G4" s="80">
        <f>G2*G3</f>
        <v>84395.974999999991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-5.0105942576622375E-2</v>
      </c>
      <c r="F6" s="69" t="s">
        <v>16</v>
      </c>
      <c r="G6" s="68">
        <f>(I50-I19)/(D50-(SUM(D42:D44)+D19))</f>
        <v>33.179735414373333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27.3</v>
      </c>
      <c r="D10" s="30"/>
      <c r="E10" s="29" t="e">
        <f t="shared" ref="E10:E19" si="1">D10/$D$19</f>
        <v>#DIV/0!</v>
      </c>
      <c r="F10" s="28">
        <f t="shared" ref="F10:F18" si="2">C10-(C10*$E$6)</f>
        <v>28.667892232341792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28.4</v>
      </c>
      <c r="D11" s="30"/>
      <c r="E11" s="29" t="e">
        <f t="shared" si="1"/>
        <v>#DIV/0!</v>
      </c>
      <c r="F11" s="28">
        <f t="shared" si="2"/>
        <v>29.823008769176074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25.9</v>
      </c>
      <c r="D12" s="30"/>
      <c r="E12" s="29" t="e">
        <f t="shared" si="1"/>
        <v>#DIV/0!</v>
      </c>
      <c r="F12" s="28">
        <f t="shared" si="2"/>
        <v>27.197743912734516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28.4</v>
      </c>
      <c r="D13" s="30"/>
      <c r="E13" s="29" t="e">
        <f t="shared" si="1"/>
        <v>#DIV/0!</v>
      </c>
      <c r="F13" s="28">
        <f t="shared" si="2"/>
        <v>29.823008769176074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31.7</v>
      </c>
      <c r="D14" s="30"/>
      <c r="E14" s="29" t="e">
        <f t="shared" si="1"/>
        <v>#DIV/0!</v>
      </c>
      <c r="F14" s="28">
        <f t="shared" si="2"/>
        <v>33.288358379678925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26.2</v>
      </c>
      <c r="D15" s="30"/>
      <c r="E15" s="29" t="e">
        <f t="shared" si="1"/>
        <v>#DIV/0!</v>
      </c>
      <c r="F15" s="28">
        <f t="shared" si="2"/>
        <v>27.512775695507507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35.799999999999997</v>
      </c>
      <c r="D16" s="30"/>
      <c r="E16" s="29" t="e">
        <f t="shared" si="1"/>
        <v>#DIV/0!</v>
      </c>
      <c r="F16" s="28">
        <f t="shared" si="2"/>
        <v>37.593792744243075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52.7</v>
      </c>
      <c r="D17" s="30"/>
      <c r="E17" s="29" t="e">
        <f t="shared" si="1"/>
        <v>#DIV/0!</v>
      </c>
      <c r="F17" s="28">
        <f t="shared" si="2"/>
        <v>55.340583173788005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46.2</v>
      </c>
      <c r="D18" s="30"/>
      <c r="E18" s="29" t="e">
        <f t="shared" si="1"/>
        <v>#DIV/0!</v>
      </c>
      <c r="F18" s="28">
        <f t="shared" si="2"/>
        <v>48.514894547039958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68.5</v>
      </c>
      <c r="D21" s="30">
        <v>28</v>
      </c>
      <c r="E21" s="29">
        <f>D21/$D$48</f>
        <v>9.0407155080559232E-3</v>
      </c>
      <c r="F21" s="28">
        <f>C21-(C21*$E$6)</f>
        <v>71.932257066498636</v>
      </c>
      <c r="G21" s="27" t="str">
        <f>IF(C21&gt;=F21,"-","+")</f>
        <v>+</v>
      </c>
      <c r="H21" s="26">
        <f>C21*D21</f>
        <v>1918</v>
      </c>
      <c r="I21" s="26">
        <f>F21*D21</f>
        <v>2014.1031978619617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</v>
      </c>
      <c r="D22" s="30">
        <v>66.400000000000006</v>
      </c>
      <c r="E22" s="29">
        <f>D22/$D$48</f>
        <v>2.1439411061961192E-2</v>
      </c>
      <c r="F22" s="28">
        <f>C22-(C22*$E$6)</f>
        <v>48.304873358524631</v>
      </c>
      <c r="G22" s="27" t="str">
        <f>IF(C22&gt;=F22,"-","+")</f>
        <v>+</v>
      </c>
      <c r="H22" s="26">
        <f>C22*D22</f>
        <v>3054.4</v>
      </c>
      <c r="I22" s="26">
        <f>F22*D22</f>
        <v>3207.4435910060356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</v>
      </c>
      <c r="D23" s="30">
        <v>58</v>
      </c>
      <c r="E23" s="29">
        <f>D23/$D$48</f>
        <v>1.8727196409544414E-2</v>
      </c>
      <c r="F23" s="28">
        <f>C23-(C23*$E$6)</f>
        <v>44.104449588218138</v>
      </c>
      <c r="G23" s="27" t="str">
        <f>IF(C23&gt;=F23,"-","+")</f>
        <v>+</v>
      </c>
      <c r="H23" s="26">
        <f>C23*D23</f>
        <v>2436</v>
      </c>
      <c r="I23" s="26">
        <f>F23*D23</f>
        <v>2558.058076116652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48.611548556430442</v>
      </c>
      <c r="D24" s="22">
        <f>SUM(D21:D23)</f>
        <v>152.4</v>
      </c>
      <c r="E24" s="21">
        <f>D24/$D$48</f>
        <v>4.9207322979561527E-2</v>
      </c>
      <c r="F24" s="20">
        <f>I24/D24</f>
        <v>51.047276016959643</v>
      </c>
      <c r="G24" s="19">
        <f>F24/C24-1</f>
        <v>5.0105942576622597E-2</v>
      </c>
      <c r="H24" s="18">
        <f>SUM(H21:H23)</f>
        <v>7408.4</v>
      </c>
      <c r="I24" s="18">
        <f>SUM(I21:I23)</f>
        <v>7779.6048649846498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36.6</v>
      </c>
      <c r="D26" s="30">
        <v>635.20000000000005</v>
      </c>
      <c r="E26" s="29">
        <f t="shared" ref="E26:E32" si="7">D26/$D$48</f>
        <v>0.20509508895418296</v>
      </c>
      <c r="F26" s="28">
        <f t="shared" ref="F26:F31" si="8">C26-(C26*$E$6)</f>
        <v>38.433877498304383</v>
      </c>
      <c r="G26" s="27" t="str">
        <f t="shared" ref="G26:G31" si="9">IF(C26&gt;=F26,"-","+")</f>
        <v>+</v>
      </c>
      <c r="H26" s="26">
        <f t="shared" ref="H26:H31" si="10">C26*D26</f>
        <v>23248.320000000003</v>
      </c>
      <c r="I26" s="26">
        <f t="shared" ref="I26:I31" si="11">F26*D26</f>
        <v>24413.198986922947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32.6</v>
      </c>
      <c r="D27" s="30">
        <v>500.2</v>
      </c>
      <c r="E27" s="29">
        <f t="shared" si="7"/>
        <v>0.16150592489748475</v>
      </c>
      <c r="F27" s="28">
        <f t="shared" si="8"/>
        <v>34.23345372799789</v>
      </c>
      <c r="G27" s="27" t="str">
        <f t="shared" si="9"/>
        <v>+</v>
      </c>
      <c r="H27" s="26">
        <f t="shared" si="10"/>
        <v>16306.52</v>
      </c>
      <c r="I27" s="26">
        <f t="shared" si="11"/>
        <v>17123.573554744544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32.6</v>
      </c>
      <c r="D28" s="30">
        <v>262.60000000000002</v>
      </c>
      <c r="E28" s="29">
        <f t="shared" si="7"/>
        <v>8.4788996157695917E-2</v>
      </c>
      <c r="F28" s="28">
        <f t="shared" si="8"/>
        <v>34.23345372799789</v>
      </c>
      <c r="G28" s="27" t="str">
        <f t="shared" si="9"/>
        <v>+</v>
      </c>
      <c r="H28" s="26">
        <f t="shared" si="10"/>
        <v>8560.76</v>
      </c>
      <c r="I28" s="26">
        <f t="shared" si="11"/>
        <v>8989.7049489722467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31.5</v>
      </c>
      <c r="D29" s="30">
        <v>248.4</v>
      </c>
      <c r="E29" s="29">
        <f t="shared" si="7"/>
        <v>8.0204061864324688E-2</v>
      </c>
      <c r="F29" s="28">
        <f t="shared" si="8"/>
        <v>33.078337191163605</v>
      </c>
      <c r="G29" s="27" t="str">
        <f t="shared" si="9"/>
        <v>+</v>
      </c>
      <c r="H29" s="26">
        <f t="shared" si="10"/>
        <v>7824.6</v>
      </c>
      <c r="I29" s="26">
        <f t="shared" si="11"/>
        <v>8216.6589582850393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31.5</v>
      </c>
      <c r="D30" s="30">
        <v>174.1</v>
      </c>
      <c r="E30" s="29">
        <f t="shared" si="7"/>
        <v>5.6213877498304865E-2</v>
      </c>
      <c r="F30" s="28">
        <f t="shared" si="8"/>
        <v>33.078337191163605</v>
      </c>
      <c r="G30" s="27" t="str">
        <f t="shared" si="9"/>
        <v>+</v>
      </c>
      <c r="H30" s="26">
        <f t="shared" si="10"/>
        <v>5484.15</v>
      </c>
      <c r="I30" s="26">
        <f t="shared" si="11"/>
        <v>5758.9385049815837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</v>
      </c>
      <c r="D31" s="30">
        <v>40.799999999999997</v>
      </c>
      <c r="E31" s="29">
        <f t="shared" si="7"/>
        <v>1.3173614026024344E-2</v>
      </c>
      <c r="F31" s="28">
        <f t="shared" si="8"/>
        <v>33.603390162451916</v>
      </c>
      <c r="G31" s="27" t="str">
        <f t="shared" si="9"/>
        <v>+</v>
      </c>
      <c r="H31" s="26">
        <f t="shared" si="10"/>
        <v>1305.5999999999999</v>
      </c>
      <c r="I31" s="26">
        <f t="shared" si="11"/>
        <v>1371.0183186280381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33.70222425186698</v>
      </c>
      <c r="D32" s="22">
        <f>SUM(D26:D31)</f>
        <v>1861.3</v>
      </c>
      <c r="E32" s="21">
        <f t="shared" si="7"/>
        <v>0.60098156339801745</v>
      </c>
      <c r="F32" s="20">
        <f>I32/D32</f>
        <v>35.390905964935477</v>
      </c>
      <c r="G32" s="19">
        <f>F32/C32-1</f>
        <v>5.0105942576622375E-2</v>
      </c>
      <c r="H32" s="18">
        <f>SUM(H26:H31)</f>
        <v>62729.950000000004</v>
      </c>
      <c r="I32" s="18">
        <f>SUM(I26:I31)</f>
        <v>65873.093272534403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</v>
      </c>
      <c r="D34" s="30">
        <f>323+172</f>
        <v>495</v>
      </c>
      <c r="E34" s="29">
        <f t="shared" ref="E34:E40" si="13">D34/$D$48</f>
        <v>0.15982693487456007</v>
      </c>
      <c r="F34" s="28">
        <f t="shared" ref="F34:F39" si="14">C34-(C34*$E$6)</f>
        <v>20.267044691728813</v>
      </c>
      <c r="G34" s="27" t="str">
        <f t="shared" ref="G34:G39" si="15">IF(C34&gt;=F34,"-","+")</f>
        <v>+</v>
      </c>
      <c r="H34" s="26">
        <f t="shared" ref="H34:H39" si="16">C34*D34</f>
        <v>9553.5</v>
      </c>
      <c r="I34" s="26">
        <f t="shared" ref="I34:I39" si="17">F34*D34</f>
        <v>10032.187122405763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>
        <v>30.9</v>
      </c>
      <c r="E35" s="29">
        <f t="shared" si="13"/>
        <v>9.9770753285331436E-3</v>
      </c>
      <c r="F35" s="28">
        <f t="shared" si="14"/>
        <v>15.541567950134011</v>
      </c>
      <c r="G35" s="27" t="str">
        <f t="shared" si="15"/>
        <v>+</v>
      </c>
      <c r="H35" s="26">
        <f t="shared" si="16"/>
        <v>457.32</v>
      </c>
      <c r="I35" s="26">
        <f t="shared" si="17"/>
        <v>480.23444965914092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12.496260716661807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31.5</v>
      </c>
      <c r="D37" s="30"/>
      <c r="E37" s="29">
        <f t="shared" si="13"/>
        <v>0</v>
      </c>
      <c r="F37" s="28">
        <f t="shared" si="14"/>
        <v>33.078337191163605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31.5</v>
      </c>
      <c r="D38" s="30"/>
      <c r="E38" s="29">
        <f t="shared" si="13"/>
        <v>0</v>
      </c>
      <c r="F38" s="28">
        <f t="shared" si="14"/>
        <v>33.078337191163605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32.6</v>
      </c>
      <c r="D39" s="30"/>
      <c r="E39" s="29">
        <f t="shared" si="13"/>
        <v>0</v>
      </c>
      <c r="F39" s="28">
        <f t="shared" si="14"/>
        <v>34.23345372799789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19.035596120935541</v>
      </c>
      <c r="D40" s="22">
        <f>SUM(D34:D39)</f>
        <v>525.9</v>
      </c>
      <c r="E40" s="113">
        <f t="shared" si="13"/>
        <v>0.16980401020309321</v>
      </c>
      <c r="F40" s="20">
        <f>I40/D40</f>
        <v>19.989392607082916</v>
      </c>
      <c r="G40" s="19">
        <f>F40/C40-1</f>
        <v>5.0105942576622597E-2</v>
      </c>
      <c r="H40" s="18">
        <f>SUM(H34:H39)</f>
        <v>10010.82</v>
      </c>
      <c r="I40" s="18">
        <f>SUM(I34:I39)</f>
        <v>10512.421572064904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270+29.8+236</f>
        <v>535.79999999999995</v>
      </c>
      <c r="E42" s="107">
        <f>D42/$D$48</f>
        <v>0.17300054890058442</v>
      </c>
      <c r="F42" s="28">
        <f>C42-(C42*$E$6)</f>
        <v>0.42004237703064895</v>
      </c>
      <c r="G42" s="27" t="str">
        <f>IF(C42&gt;=F42,"-","+")</f>
        <v>+</v>
      </c>
      <c r="H42" s="26">
        <f>C42*D42</f>
        <v>214.32</v>
      </c>
      <c r="I42" s="26">
        <f>F42*D42</f>
        <v>225.05870561302169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13.8</v>
      </c>
      <c r="E43" s="107">
        <f>D43/$D$48</f>
        <v>4.4557812146847056E-3</v>
      </c>
      <c r="F43" s="28">
        <f>C43-(C43*$E$6)</f>
        <v>0.42004237703064895</v>
      </c>
      <c r="G43" s="27" t="str">
        <f>IF(C43&gt;=F43,"-","+")</f>
        <v>+</v>
      </c>
      <c r="H43" s="26">
        <f>C43*D43</f>
        <v>5.5200000000000005</v>
      </c>
      <c r="I43" s="26">
        <f>F43*D43</f>
        <v>5.7965848030229559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3.9</v>
      </c>
      <c r="E44" s="107">
        <f>D44/$D$48</f>
        <v>1.2592425171935036E-3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1.291530786865132E-3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0.39433183856502252</v>
      </c>
      <c r="D46" s="22">
        <f>SUM(D41:D45)</f>
        <v>557.49999999999989</v>
      </c>
      <c r="E46" s="113">
        <f>D46/$D$48</f>
        <v>0.18000710341932771</v>
      </c>
      <c r="F46" s="20">
        <f>I46/D46</f>
        <v>0.41409020702429544</v>
      </c>
      <c r="G46" s="19">
        <f>F46/C46-1</f>
        <v>5.0105942576622375E-2</v>
      </c>
      <c r="H46" s="18">
        <f>SUM(H41:H44)</f>
        <v>219.84</v>
      </c>
      <c r="I46" s="18">
        <f>SUM(I41:I44)</f>
        <v>230.85529041604465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101.74370076779798</v>
      </c>
      <c r="D48" s="13">
        <f>D24+D32+D40+D46</f>
        <v>3097.1</v>
      </c>
      <c r="E48" s="12">
        <f>SUM(E20:E46)/2</f>
        <v>0.99999999999999989</v>
      </c>
      <c r="F48" s="11">
        <f>I48/D48</f>
        <v>27.250000000000004</v>
      </c>
      <c r="G48" s="10"/>
      <c r="H48" s="9">
        <f>SUM(H20:H46)/2</f>
        <v>80369.010000000009</v>
      </c>
      <c r="I48" s="9">
        <f>SUM(I20:I46)/2</f>
        <v>84395.975000000006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3097.1</v>
      </c>
      <c r="E50" s="12">
        <f>D50/G2</f>
        <v>1</v>
      </c>
      <c r="F50" s="11">
        <f>I50/D50</f>
        <v>27.250000000000004</v>
      </c>
      <c r="G50" s="10"/>
      <c r="H50" s="9">
        <f>H48+H19</f>
        <v>80369.010000000009</v>
      </c>
      <c r="I50" s="9">
        <f>I48+I19</f>
        <v>84395.975000000006</v>
      </c>
      <c r="J50" s="106">
        <f>D50-G2</f>
        <v>0</v>
      </c>
      <c r="K50" s="8"/>
    </row>
    <row r="51" spans="1:11" ht="23.25" x14ac:dyDescent="0.35">
      <c r="A51" s="174" t="s">
        <v>546</v>
      </c>
      <c r="B51" s="169"/>
      <c r="C51" s="170"/>
      <c r="G51" s="7"/>
      <c r="H51" s="6"/>
      <c r="I51" s="6">
        <f>+I50/D50</f>
        <v>27.250000000000004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541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541</v>
      </c>
      <c r="D2" s="96" t="s">
        <v>3</v>
      </c>
      <c r="E2" s="95" t="s">
        <v>71</v>
      </c>
      <c r="F2" s="94" t="s">
        <v>5</v>
      </c>
      <c r="G2" s="93">
        <v>21277.3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280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75.990357142857135</v>
      </c>
      <c r="F4" s="81" t="s">
        <v>12</v>
      </c>
      <c r="G4" s="80">
        <f>G2*G3</f>
        <v>622361.02500000002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-1.8090269234997125E-2</v>
      </c>
      <c r="F6" s="69" t="s">
        <v>16</v>
      </c>
      <c r="G6" s="68">
        <f>(I50-I19)/(D50-(SUM(D42:D44)+D19))</f>
        <v>34.89140970143599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29.830044888585416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>
        <v>402.3</v>
      </c>
      <c r="E11" s="29">
        <f t="shared" si="1"/>
        <v>0.72135556750941365</v>
      </c>
      <c r="F11" s="28">
        <f t="shared" si="2"/>
        <v>31.051753211667414</v>
      </c>
      <c r="G11" s="27" t="str">
        <f t="shared" si="3"/>
        <v>+</v>
      </c>
      <c r="H11" s="34">
        <f t="shared" si="4"/>
        <v>12270.15</v>
      </c>
      <c r="I11" s="34">
        <f t="shared" si="5"/>
        <v>12492.120317053801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>
        <v>155.4</v>
      </c>
      <c r="E12" s="29">
        <f t="shared" si="1"/>
        <v>0.27864443249058635</v>
      </c>
      <c r="F12" s="28">
        <f t="shared" si="2"/>
        <v>28.302909484732922</v>
      </c>
      <c r="G12" s="27" t="str">
        <f t="shared" si="3"/>
        <v>+</v>
      </c>
      <c r="H12" s="34">
        <f t="shared" si="4"/>
        <v>4320.12</v>
      </c>
      <c r="I12" s="34">
        <f t="shared" si="5"/>
        <v>4398.2721339274958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31.051753211667414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>
        <f t="shared" si="1"/>
        <v>0</v>
      </c>
      <c r="F14" s="28">
        <f t="shared" si="2"/>
        <v>34.716878180913405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>
        <f t="shared" si="1"/>
        <v>0</v>
      </c>
      <c r="F15" s="28">
        <f t="shared" si="2"/>
        <v>28.608336565503421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>
        <f t="shared" si="1"/>
        <v>0</v>
      </c>
      <c r="F16" s="28">
        <f t="shared" si="2"/>
        <v>39.094666338623888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>
        <f t="shared" si="1"/>
        <v>0</v>
      </c>
      <c r="F17" s="28">
        <f t="shared" si="2"/>
        <v>57.62390923870084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50.497277354055861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29.747660032275416</v>
      </c>
      <c r="D19" s="49">
        <f>SUM(D10:D18)</f>
        <v>557.70000000000005</v>
      </c>
      <c r="E19" s="48">
        <f t="shared" si="1"/>
        <v>1</v>
      </c>
      <c r="F19" s="47">
        <f>I19/D19</f>
        <v>30.285803211370443</v>
      </c>
      <c r="G19" s="46">
        <f>F19/C19-1</f>
        <v>1.8090269234997125E-2</v>
      </c>
      <c r="H19" s="9">
        <f>SUM(H10:H18)</f>
        <v>16590.27</v>
      </c>
      <c r="I19" s="9">
        <f>SUM(I10:I18)</f>
        <v>16890.392450981297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237.9</v>
      </c>
      <c r="E21" s="29">
        <f>D21/$D$48</f>
        <v>1.1481881889611769E-2</v>
      </c>
      <c r="F21" s="28">
        <f>C21-(C21*$E$6)</f>
        <v>74.931443815695786</v>
      </c>
      <c r="G21" s="27" t="str">
        <f>IF(C21&gt;=F21,"-","+")</f>
        <v>+</v>
      </c>
      <c r="H21" s="26">
        <f>C21*D21</f>
        <v>17509.439999999999</v>
      </c>
      <c r="I21" s="26">
        <f>F21*D21</f>
        <v>17826.190483754028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651.6</v>
      </c>
      <c r="E22" s="29">
        <f>D22/$D$48</f>
        <v>3.1448483561458719E-2</v>
      </c>
      <c r="F22" s="28">
        <f>C22-(C22*$E$6)</f>
        <v>50.293659300208859</v>
      </c>
      <c r="G22" s="27" t="str">
        <f>IF(C22&gt;=F22,"-","+")</f>
        <v>+</v>
      </c>
      <c r="H22" s="26">
        <f>C22*D22</f>
        <v>32189.040000000001</v>
      </c>
      <c r="I22" s="26">
        <f>F22*D22</f>
        <v>32771.348400016097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500.6</v>
      </c>
      <c r="E23" s="29">
        <f>D23/$D$48</f>
        <v>2.4160698082974576E-2</v>
      </c>
      <c r="F23" s="28">
        <f>C23-(C23*$E$6)</f>
        <v>45.81406211557487</v>
      </c>
      <c r="G23" s="27" t="str">
        <f>IF(C23&gt;=F23,"-","+")</f>
        <v>+</v>
      </c>
      <c r="H23" s="26">
        <f>C23*D23</f>
        <v>22527</v>
      </c>
      <c r="I23" s="26">
        <f>F23*D23</f>
        <v>22934.519495056782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51.957039061937991</v>
      </c>
      <c r="D24" s="22">
        <f>SUM(D21:D23)</f>
        <v>1390.1</v>
      </c>
      <c r="E24" s="21">
        <f>D24/$D$48</f>
        <v>6.7091063534045065E-2</v>
      </c>
      <c r="F24" s="20">
        <f>I24/D24</f>
        <v>52.896955887221722</v>
      </c>
      <c r="G24" s="19">
        <f>F24/C24-1</f>
        <v>1.8090269234997347E-2</v>
      </c>
      <c r="H24" s="18">
        <f>SUM(H21:H23)</f>
        <v>72225.48</v>
      </c>
      <c r="I24" s="18">
        <f>SUM(I21:I23)</f>
        <v>73532.058378826914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514.2+136.2+3311.8</f>
        <v>3962.2000000000003</v>
      </c>
      <c r="E26" s="29">
        <f t="shared" ref="E26:E32" si="7">D26/$D$48</f>
        <v>0.19122956041622427</v>
      </c>
      <c r="F26" s="28">
        <f t="shared" ref="F26:F31" si="8">C26-(C26*$E$6)</f>
        <v>40.010947580935387</v>
      </c>
      <c r="G26" s="27" t="str">
        <f t="shared" ref="G26:G31" si="9">IF(C26&gt;=F26,"-","+")</f>
        <v>+</v>
      </c>
      <c r="H26" s="26">
        <f t="shared" ref="H26:H31" si="10">C26*D26</f>
        <v>155714.46</v>
      </c>
      <c r="I26" s="26">
        <f t="shared" ref="I26:I31" si="11">F26*D26</f>
        <v>158531.37650518221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3040.3</v>
      </c>
      <c r="E27" s="29">
        <f t="shared" si="7"/>
        <v>0.14673545821347905</v>
      </c>
      <c r="F27" s="28">
        <f t="shared" si="8"/>
        <v>35.633159423224896</v>
      </c>
      <c r="G27" s="27" t="str">
        <f t="shared" si="9"/>
        <v>+</v>
      </c>
      <c r="H27" s="26">
        <f t="shared" si="10"/>
        <v>106410.5</v>
      </c>
      <c r="I27" s="26">
        <f t="shared" si="11"/>
        <v>108335.49459443065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1775</v>
      </c>
      <c r="E28" s="29">
        <f t="shared" si="7"/>
        <v>8.5667676982181126E-2</v>
      </c>
      <c r="F28" s="28">
        <f t="shared" si="8"/>
        <v>35.633159423224896</v>
      </c>
      <c r="G28" s="27" t="str">
        <f t="shared" si="9"/>
        <v>+</v>
      </c>
      <c r="H28" s="26">
        <f t="shared" si="10"/>
        <v>62125</v>
      </c>
      <c r="I28" s="26">
        <f t="shared" si="11"/>
        <v>63248.857976224193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1754.5</v>
      </c>
      <c r="E29" s="29">
        <f t="shared" si="7"/>
        <v>8.4678275642386919E-2</v>
      </c>
      <c r="F29" s="28">
        <f t="shared" si="8"/>
        <v>34.411451100142898</v>
      </c>
      <c r="G29" s="27" t="str">
        <f t="shared" si="9"/>
        <v>+</v>
      </c>
      <c r="H29" s="26">
        <f t="shared" si="10"/>
        <v>59302.1</v>
      </c>
      <c r="I29" s="26">
        <f t="shared" si="11"/>
        <v>60374.890955200717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1620.1</v>
      </c>
      <c r="E30" s="29">
        <f t="shared" si="7"/>
        <v>7.8191663931736141E-2</v>
      </c>
      <c r="F30" s="28">
        <f t="shared" si="8"/>
        <v>34.411451100142898</v>
      </c>
      <c r="G30" s="27" t="str">
        <f t="shared" si="9"/>
        <v>+</v>
      </c>
      <c r="H30" s="26">
        <f t="shared" si="10"/>
        <v>54759.37999999999</v>
      </c>
      <c r="I30" s="26">
        <f t="shared" si="11"/>
        <v>55749.991927341507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350.6</v>
      </c>
      <c r="E31" s="29">
        <f t="shared" si="7"/>
        <v>1.6921176084480398E-2</v>
      </c>
      <c r="F31" s="28">
        <f t="shared" si="8"/>
        <v>35.022305261683897</v>
      </c>
      <c r="G31" s="27" t="str">
        <f t="shared" si="9"/>
        <v>+</v>
      </c>
      <c r="H31" s="26">
        <f t="shared" si="10"/>
        <v>12060.64</v>
      </c>
      <c r="I31" s="26">
        <f t="shared" si="11"/>
        <v>12278.820224746376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36.021985651099357</v>
      </c>
      <c r="D32" s="22">
        <f>SUM(D26:D31)</f>
        <v>12502.7</v>
      </c>
      <c r="E32" s="21">
        <f t="shared" si="7"/>
        <v>0.60342381127048794</v>
      </c>
      <c r="F32" s="20">
        <f>I32/D32</f>
        <v>36.673633069906948</v>
      </c>
      <c r="G32" s="19">
        <f>F32/C32-1</f>
        <v>1.8090269234997125E-2</v>
      </c>
      <c r="H32" s="18">
        <f>SUM(H26:H31)</f>
        <v>450372.07999999996</v>
      </c>
      <c r="I32" s="18">
        <f>SUM(I26:I31)</f>
        <v>458519.43218312564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f>1224.1+2008.7</f>
        <v>3232.8</v>
      </c>
      <c r="E34" s="29">
        <f t="shared" ref="E34:E40" si="13">D34/$D$48</f>
        <v>0.15602617811154657</v>
      </c>
      <c r="F34" s="28">
        <f t="shared" ref="F34:F39" si="14">C34-(C34*$E$6)</f>
        <v>21.074468573164438</v>
      </c>
      <c r="G34" s="27" t="str">
        <f t="shared" ref="G34:G39" si="15">IF(C34&gt;=F34,"-","+")</f>
        <v>+</v>
      </c>
      <c r="H34" s="26">
        <f t="shared" ref="H34:H39" si="16">C34*D34</f>
        <v>66918.960000000006</v>
      </c>
      <c r="I34" s="26">
        <f t="shared" ref="I34:I39" si="17">F34*D34</f>
        <v>68129.542003326002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220.9</v>
      </c>
      <c r="E35" s="29">
        <f t="shared" si="13"/>
        <v>1.0661402729782429E-2</v>
      </c>
      <c r="F35" s="28">
        <f t="shared" si="14"/>
        <v>16.187635280836453</v>
      </c>
      <c r="G35" s="27" t="str">
        <f t="shared" si="15"/>
        <v>+</v>
      </c>
      <c r="H35" s="26">
        <f t="shared" si="16"/>
        <v>3512.31</v>
      </c>
      <c r="I35" s="26">
        <f t="shared" si="17"/>
        <v>3575.8486335367725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13.031555446207964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34.411451100142898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34.411451100142898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35.633159423224896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20.392990126530968</v>
      </c>
      <c r="D40" s="22">
        <f>SUM(D34:D39)</f>
        <v>3453.7000000000003</v>
      </c>
      <c r="E40" s="113">
        <f t="shared" si="13"/>
        <v>0.16668758084132901</v>
      </c>
      <c r="F40" s="20">
        <f>I40/D40</f>
        <v>20.76190480842655</v>
      </c>
      <c r="G40" s="19">
        <f>F40/C40-1</f>
        <v>1.8090269234997125E-2</v>
      </c>
      <c r="H40" s="18">
        <f>SUM(H34:H39)</f>
        <v>70431.27</v>
      </c>
      <c r="I40" s="18">
        <f>SUM(I34:I39)</f>
        <v>71705.39063686278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182.9+1489+1561</f>
        <v>3232.9</v>
      </c>
      <c r="E42" s="107">
        <f>D42/$D$48</f>
        <v>0.15603100445954557</v>
      </c>
      <c r="F42" s="28">
        <f>C42-(C42*$E$6)</f>
        <v>0.50904513461749856</v>
      </c>
      <c r="G42" s="27" t="str">
        <f>IF(C42&gt;=F42,"-","+")</f>
        <v>+</v>
      </c>
      <c r="H42" s="26">
        <f>C42*D42</f>
        <v>1616.45</v>
      </c>
      <c r="I42" s="26">
        <f>F42*D42</f>
        <v>1645.6920157049112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133.69999999999999</v>
      </c>
      <c r="E43" s="107">
        <f>D43/$D$48</f>
        <v>6.4528272746578116E-3</v>
      </c>
      <c r="F43" s="28">
        <f>C43-(C43*$E$6)</f>
        <v>0.50904513461749856</v>
      </c>
      <c r="G43" s="27" t="str">
        <f>IF(C43&gt;=F43,"-","+")</f>
        <v>+</v>
      </c>
      <c r="H43" s="26">
        <f>C43*D43</f>
        <v>66.849999999999994</v>
      </c>
      <c r="I43" s="26">
        <f>F43*D43</f>
        <v>68.059334498359547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6.5</v>
      </c>
      <c r="E45" s="107">
        <f>D45/$D$48</f>
        <v>3.137126199347478E-4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0.49903649461919303</v>
      </c>
      <c r="D46" s="22">
        <f>SUM(D41:D45)</f>
        <v>3373.1</v>
      </c>
      <c r="E46" s="113">
        <f>D46/$D$48</f>
        <v>0.16279754435413812</v>
      </c>
      <c r="F46" s="20">
        <f>I46/D46</f>
        <v>0.5080641991649435</v>
      </c>
      <c r="G46" s="19">
        <f>F46/C46-1</f>
        <v>1.8090269234997347E-2</v>
      </c>
      <c r="H46" s="18">
        <f>SUM(H41:H44)</f>
        <v>1683.3</v>
      </c>
      <c r="I46" s="18">
        <f>SUM(I41:I44)</f>
        <v>1713.7513502032707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108.87105133418751</v>
      </c>
      <c r="D48" s="13">
        <f>D24+D32+D40+D46</f>
        <v>20719.599999999999</v>
      </c>
      <c r="E48" s="12">
        <f>SUM(E20:E46)/2</f>
        <v>1.0000000000000002</v>
      </c>
      <c r="F48" s="11">
        <f>I48/D48</f>
        <v>29.222119758538714</v>
      </c>
      <c r="G48" s="10"/>
      <c r="H48" s="9">
        <f>SUM(H20:H46)/2</f>
        <v>594712.13000000012</v>
      </c>
      <c r="I48" s="9">
        <f>SUM(I20:I46)/2</f>
        <v>605470.63254901872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21277.3</v>
      </c>
      <c r="E50" s="12">
        <f>D50/G2</f>
        <v>1</v>
      </c>
      <c r="F50" s="11">
        <f>I50/D50</f>
        <v>29.250000000000004</v>
      </c>
      <c r="G50" s="10"/>
      <c r="H50" s="9">
        <f>H48+H19</f>
        <v>611302.40000000014</v>
      </c>
      <c r="I50" s="9">
        <f>I48+I19</f>
        <v>622361.02500000002</v>
      </c>
      <c r="J50" s="106">
        <f>D50-G2</f>
        <v>0</v>
      </c>
      <c r="K50" s="8"/>
    </row>
    <row r="51" spans="1:11" ht="23.25" x14ac:dyDescent="0.35">
      <c r="A51" s="174" t="s">
        <v>547</v>
      </c>
      <c r="B51" s="169"/>
      <c r="C51" s="170"/>
      <c r="G51" s="7"/>
      <c r="H51" s="6"/>
      <c r="I51" s="6">
        <f>+I50/D50</f>
        <v>29.250000000000004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541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548</v>
      </c>
      <c r="D2" s="96" t="s">
        <v>3</v>
      </c>
      <c r="E2" s="95" t="s">
        <v>71</v>
      </c>
      <c r="F2" s="94" t="s">
        <v>5</v>
      </c>
      <c r="G2" s="93">
        <v>9477.7000000000007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124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76.433064516129036</v>
      </c>
      <c r="F4" s="81" t="s">
        <v>12</v>
      </c>
      <c r="G4" s="80">
        <f>G2*G3</f>
        <v>277222.72500000003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-1.1460177749919254E-2</v>
      </c>
      <c r="F6" s="69" t="s">
        <v>16</v>
      </c>
      <c r="G6" s="68">
        <f>(I50-I19)/(D50-(SUM(D42:D44)+D19))</f>
        <v>33.999732816864473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29.635783208072635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>
        <v>599.6</v>
      </c>
      <c r="E11" s="29">
        <f t="shared" si="1"/>
        <v>0.31776988711643434</v>
      </c>
      <c r="F11" s="28">
        <f t="shared" si="2"/>
        <v>30.849535421372536</v>
      </c>
      <c r="G11" s="27" t="str">
        <f t="shared" si="3"/>
        <v>+</v>
      </c>
      <c r="H11" s="34">
        <f t="shared" si="4"/>
        <v>18287.8</v>
      </c>
      <c r="I11" s="34">
        <f t="shared" si="5"/>
        <v>18497.381438654975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>
        <v>721.9</v>
      </c>
      <c r="E12" s="29">
        <f t="shared" si="1"/>
        <v>0.38258519264401925</v>
      </c>
      <c r="F12" s="28">
        <f t="shared" si="2"/>
        <v>28.118592941447755</v>
      </c>
      <c r="G12" s="27" t="str">
        <f t="shared" si="3"/>
        <v>+</v>
      </c>
      <c r="H12" s="34">
        <f t="shared" si="4"/>
        <v>20068.82</v>
      </c>
      <c r="I12" s="34">
        <f t="shared" si="5"/>
        <v>20298.812244431134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30.849535421372536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>
        <f t="shared" si="1"/>
        <v>0</v>
      </c>
      <c r="F14" s="28">
        <f t="shared" si="2"/>
        <v>34.490792061272245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>
        <v>30</v>
      </c>
      <c r="E15" s="29">
        <f t="shared" si="1"/>
        <v>1.5899093751656154E-2</v>
      </c>
      <c r="F15" s="28">
        <f t="shared" si="2"/>
        <v>28.422030994772733</v>
      </c>
      <c r="G15" s="27" t="str">
        <f t="shared" si="3"/>
        <v>+</v>
      </c>
      <c r="H15" s="34">
        <f t="shared" si="4"/>
        <v>843</v>
      </c>
      <c r="I15" s="34">
        <f t="shared" si="5"/>
        <v>852.66092984318198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>
        <v>535.4</v>
      </c>
      <c r="E16" s="29">
        <f t="shared" si="1"/>
        <v>0.28374582648789015</v>
      </c>
      <c r="F16" s="28">
        <f t="shared" si="2"/>
        <v>38.840070825596896</v>
      </c>
      <c r="G16" s="27" t="str">
        <f t="shared" si="3"/>
        <v>+</v>
      </c>
      <c r="H16" s="34">
        <f t="shared" si="4"/>
        <v>20559.359999999997</v>
      </c>
      <c r="I16" s="34">
        <f t="shared" si="5"/>
        <v>20794.973920024579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>
        <f t="shared" si="1"/>
        <v>0</v>
      </c>
      <c r="F17" s="28">
        <f t="shared" si="2"/>
        <v>57.248646060645434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50.168424816395998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31.670454184111502</v>
      </c>
      <c r="D19" s="49">
        <f>SUM(D10:D18)</f>
        <v>1886.9</v>
      </c>
      <c r="E19" s="48">
        <f t="shared" si="1"/>
        <v>1</v>
      </c>
      <c r="F19" s="47">
        <f>I19/D19</f>
        <v>32.033403218482093</v>
      </c>
      <c r="G19" s="46">
        <f>F19/C19-1</f>
        <v>1.1460177749919254E-2</v>
      </c>
      <c r="H19" s="9">
        <f>SUM(H10:H18)</f>
        <v>59758.979999999996</v>
      </c>
      <c r="I19" s="9">
        <f>SUM(I10:I18)</f>
        <v>60443.828532953863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1.6</v>
      </c>
      <c r="E21" s="29">
        <f>D21/$D$48</f>
        <v>2.1078980304327778E-4</v>
      </c>
      <c r="F21" s="28">
        <f>C21-(C21*$E$6)</f>
        <v>74.443469082394046</v>
      </c>
      <c r="G21" s="27" t="str">
        <f>IF(C21&gt;=F21,"-","+")</f>
        <v>+</v>
      </c>
      <c r="H21" s="26">
        <f>C21*D21</f>
        <v>117.75999999999999</v>
      </c>
      <c r="I21" s="26">
        <f>F21*D21</f>
        <v>119.10955053183048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228.4</v>
      </c>
      <c r="E22" s="29">
        <f>D22/$D$48</f>
        <v>3.0090244384427905E-2</v>
      </c>
      <c r="F22" s="28">
        <f>C22-(C22*$E$6)</f>
        <v>49.96613278084601</v>
      </c>
      <c r="G22" s="27" t="str">
        <f>IF(C22&gt;=F22,"-","+")</f>
        <v>+</v>
      </c>
      <c r="H22" s="26">
        <f>C22*D22</f>
        <v>11282.96</v>
      </c>
      <c r="I22" s="26">
        <f>F22*D22</f>
        <v>11412.26472714523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3</v>
      </c>
      <c r="E23" s="29">
        <f>D23/$D$48</f>
        <v>3.9523088070614587E-4</v>
      </c>
      <c r="F23" s="28">
        <f>C23-(C23*$E$6)</f>
        <v>45.515707998746365</v>
      </c>
      <c r="G23" s="27" t="str">
        <f>IF(C23&gt;=F23,"-","+")</f>
        <v>+</v>
      </c>
      <c r="H23" s="26">
        <f>C23*D23</f>
        <v>135</v>
      </c>
      <c r="I23" s="26">
        <f>F23*D23</f>
        <v>136.54712399623909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49.509527896995706</v>
      </c>
      <c r="D24" s="22">
        <f>SUM(D21:D23)</f>
        <v>233</v>
      </c>
      <c r="E24" s="21">
        <f>D24/$D$48</f>
        <v>3.0696265068177325E-2</v>
      </c>
      <c r="F24" s="20">
        <f>I24/D24</f>
        <v>50.076915887009868</v>
      </c>
      <c r="G24" s="19">
        <f>F24/C24-1</f>
        <v>1.1460177749919254E-2</v>
      </c>
      <c r="H24" s="18">
        <f>SUM(H21:H23)</f>
        <v>11535.72</v>
      </c>
      <c r="I24" s="18">
        <f>SUM(I21:I23)</f>
        <v>11667.921401673299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304.9+350.5+104.8+925</f>
        <v>1685.1999999999998</v>
      </c>
      <c r="E26" s="29">
        <f t="shared" ref="E26:E32" si="7">D26/$D$48</f>
        <v>0.22201436005533229</v>
      </c>
      <c r="F26" s="28">
        <f t="shared" ref="F26:F31" si="8">C26-(C26*$E$6)</f>
        <v>39.750384985571827</v>
      </c>
      <c r="G26" s="27" t="str">
        <f t="shared" ref="G26:G31" si="9">IF(C26&gt;=F26,"-","+")</f>
        <v>+</v>
      </c>
      <c r="H26" s="26">
        <f t="shared" ref="H26:H31" si="10">C26*D26</f>
        <v>66228.359999999986</v>
      </c>
      <c r="I26" s="26">
        <f t="shared" ref="I26:I31" si="11">F26*D26</f>
        <v>66987.348777685635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1184</v>
      </c>
      <c r="E27" s="29">
        <f t="shared" si="7"/>
        <v>0.15598445425202556</v>
      </c>
      <c r="F27" s="28">
        <f t="shared" si="8"/>
        <v>35.401106221247176</v>
      </c>
      <c r="G27" s="27" t="str">
        <f t="shared" si="9"/>
        <v>+</v>
      </c>
      <c r="H27" s="26">
        <f t="shared" si="10"/>
        <v>41440</v>
      </c>
      <c r="I27" s="26">
        <f t="shared" si="11"/>
        <v>41914.909765956654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670</v>
      </c>
      <c r="E28" s="29">
        <f t="shared" si="7"/>
        <v>8.8268230024372576E-2</v>
      </c>
      <c r="F28" s="28">
        <f t="shared" si="8"/>
        <v>35.401106221247176</v>
      </c>
      <c r="G28" s="27" t="str">
        <f t="shared" si="9"/>
        <v>+</v>
      </c>
      <c r="H28" s="26">
        <f t="shared" si="10"/>
        <v>23450</v>
      </c>
      <c r="I28" s="26">
        <f t="shared" si="11"/>
        <v>23718.741168235607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675</v>
      </c>
      <c r="E29" s="29">
        <f t="shared" si="7"/>
        <v>8.8926948158882815E-2</v>
      </c>
      <c r="F29" s="28">
        <f t="shared" si="8"/>
        <v>34.18735400794727</v>
      </c>
      <c r="G29" s="27" t="str">
        <f t="shared" si="9"/>
        <v>+</v>
      </c>
      <c r="H29" s="26">
        <f t="shared" si="10"/>
        <v>22814.999999999996</v>
      </c>
      <c r="I29" s="26">
        <f t="shared" si="11"/>
        <v>23076.463955364408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607.1</v>
      </c>
      <c r="E30" s="29">
        <f t="shared" si="7"/>
        <v>7.9981555892233713E-2</v>
      </c>
      <c r="F30" s="28">
        <f t="shared" si="8"/>
        <v>34.18735400794727</v>
      </c>
      <c r="G30" s="27" t="str">
        <f t="shared" si="9"/>
        <v>+</v>
      </c>
      <c r="H30" s="26">
        <f t="shared" si="10"/>
        <v>20519.98</v>
      </c>
      <c r="I30" s="26">
        <f t="shared" si="11"/>
        <v>20755.142618224789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61.2</v>
      </c>
      <c r="E31" s="29">
        <f t="shared" si="7"/>
        <v>8.0627099664053754E-3</v>
      </c>
      <c r="F31" s="28">
        <f t="shared" si="8"/>
        <v>34.794230114597219</v>
      </c>
      <c r="G31" s="27" t="str">
        <f t="shared" si="9"/>
        <v>+</v>
      </c>
      <c r="H31" s="26">
        <f t="shared" si="10"/>
        <v>2105.2800000000002</v>
      </c>
      <c r="I31" s="26">
        <f t="shared" si="11"/>
        <v>2129.4068830133501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36.161519713261647</v>
      </c>
      <c r="D32" s="22">
        <f>SUM(D26:D31)</f>
        <v>4882.5</v>
      </c>
      <c r="E32" s="21">
        <f t="shared" si="7"/>
        <v>0.6432382583492523</v>
      </c>
      <c r="F32" s="20">
        <f>I32/D32</f>
        <v>36.575937156882837</v>
      </c>
      <c r="G32" s="19">
        <f>F32/C32-1</f>
        <v>1.1460177749919254E-2</v>
      </c>
      <c r="H32" s="18">
        <f>SUM(H26:H31)</f>
        <v>176558.62</v>
      </c>
      <c r="I32" s="18">
        <f>SUM(I26:I31)</f>
        <v>178582.01316848045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1184.4000000000001</v>
      </c>
      <c r="E34" s="29">
        <f t="shared" ref="E34:E40" si="13">D34/$D$48</f>
        <v>0.1560371517027864</v>
      </c>
      <c r="F34" s="28">
        <f t="shared" ref="F34:F39" si="14">C34-(C34*$E$6)</f>
        <v>20.937225679423328</v>
      </c>
      <c r="G34" s="27" t="str">
        <f t="shared" ref="G34:G39" si="15">IF(C34&gt;=F34,"-","+")</f>
        <v>+</v>
      </c>
      <c r="H34" s="26">
        <f t="shared" ref="H34:H39" si="16">C34*D34</f>
        <v>24517.08</v>
      </c>
      <c r="I34" s="26">
        <f t="shared" ref="I34:I39" si="17">F34*D34</f>
        <v>24798.050094708993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70</v>
      </c>
      <c r="E35" s="29">
        <f t="shared" si="13"/>
        <v>9.222053883143403E-3</v>
      </c>
      <c r="F35" s="28">
        <f t="shared" si="14"/>
        <v>16.082216826223718</v>
      </c>
      <c r="G35" s="27" t="str">
        <f t="shared" si="15"/>
        <v>+</v>
      </c>
      <c r="H35" s="26">
        <f t="shared" si="16"/>
        <v>1113</v>
      </c>
      <c r="I35" s="26">
        <f t="shared" si="17"/>
        <v>1125.7551778356603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12.946690275198968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34.18735400794727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34.18735400794727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35.401106221247176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20.432142857142857</v>
      </c>
      <c r="D40" s="22">
        <f>SUM(D34:D39)</f>
        <v>1254.4000000000001</v>
      </c>
      <c r="E40" s="21">
        <f t="shared" si="13"/>
        <v>0.1652592055859298</v>
      </c>
      <c r="F40" s="20">
        <f>I40/D40</f>
        <v>20.666298846097458</v>
      </c>
      <c r="G40" s="19">
        <f>F40/C40-1</f>
        <v>1.1460177749919254E-2</v>
      </c>
      <c r="H40" s="18">
        <f>SUM(H34:H39)</f>
        <v>25630.080000000002</v>
      </c>
      <c r="I40" s="18">
        <f>SUM(I34:I39)</f>
        <v>25923.805272544654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1147</v>
      </c>
      <c r="E42" s="107">
        <f>D42/$D$48</f>
        <v>0.15110994005664977</v>
      </c>
      <c r="F42" s="28">
        <f>C42-(C42*$E$6)</f>
        <v>0.50573008887495963</v>
      </c>
      <c r="G42" s="27" t="str">
        <f>IF(C42&gt;=F42,"-","+")</f>
        <v>+</v>
      </c>
      <c r="H42" s="26">
        <f>C42*D42</f>
        <v>573.5</v>
      </c>
      <c r="I42" s="26">
        <f>F42*D42</f>
        <v>580.07241193957873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49.6</v>
      </c>
      <c r="E43" s="107">
        <f>D43/$D$48</f>
        <v>6.5344838943416118E-3</v>
      </c>
      <c r="F43" s="28">
        <f>C43-(C43*$E$6)</f>
        <v>0.50573008887495963</v>
      </c>
      <c r="G43" s="27" t="str">
        <f>IF(C43&gt;=F43,"-","+")</f>
        <v>+</v>
      </c>
      <c r="H43" s="26">
        <f>C43*D43</f>
        <v>24.8</v>
      </c>
      <c r="I43" s="26">
        <f>F43*D43</f>
        <v>25.084212408197999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18</v>
      </c>
      <c r="E44" s="107">
        <f>D44/$D$48</f>
        <v>2.3713852842368751E-3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7.9046176141229173E-4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0.49016876945764376</v>
      </c>
      <c r="D46" s="22">
        <f>SUM(D41:D45)</f>
        <v>1220.5999999999999</v>
      </c>
      <c r="E46" s="21">
        <f>D46/$D$48</f>
        <v>0.16080627099664052</v>
      </c>
      <c r="F46" s="20">
        <f>I46/D46</f>
        <v>0.49578619068308766</v>
      </c>
      <c r="G46" s="19">
        <f>F46/C46-1</f>
        <v>1.1460177749919476E-2</v>
      </c>
      <c r="H46" s="18">
        <f>SUM(H41:H44)</f>
        <v>598.29999999999995</v>
      </c>
      <c r="I46" s="18">
        <f>SUM(I41:I44)</f>
        <v>605.15662434777676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106.59335923685784</v>
      </c>
      <c r="D48" s="13">
        <f>D24+D32+D40+D46</f>
        <v>7590.5</v>
      </c>
      <c r="E48" s="12">
        <f>SUM(E20:E46)/2</f>
        <v>0.99999999999999989</v>
      </c>
      <c r="F48" s="11">
        <f>I48/D48</f>
        <v>28.559238056392356</v>
      </c>
      <c r="G48" s="10"/>
      <c r="H48" s="9">
        <f>SUM(H20:H46)/2</f>
        <v>214322.72</v>
      </c>
      <c r="I48" s="9">
        <f>SUM(I20:I46)/2</f>
        <v>216778.89646704617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9477.4</v>
      </c>
      <c r="E50" s="12">
        <f>D50/G2</f>
        <v>0.99996834675079382</v>
      </c>
      <c r="F50" s="11">
        <f>I50/D50</f>
        <v>29.250925886846609</v>
      </c>
      <c r="G50" s="10"/>
      <c r="H50" s="9">
        <f>H48+H19</f>
        <v>274081.7</v>
      </c>
      <c r="I50" s="9">
        <f>I48+I19</f>
        <v>277222.72500000003</v>
      </c>
      <c r="J50" s="106">
        <f>D50-G2</f>
        <v>-0.30000000000109139</v>
      </c>
      <c r="K50" s="8"/>
    </row>
    <row r="51" spans="1:11" ht="23.25" x14ac:dyDescent="0.35">
      <c r="A51" s="174" t="s">
        <v>549</v>
      </c>
      <c r="B51" s="169"/>
      <c r="C51" s="170"/>
      <c r="G51" s="7"/>
      <c r="H51" s="6"/>
      <c r="I51" s="6">
        <f>+I50/D50</f>
        <v>29.250925886846609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541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548</v>
      </c>
      <c r="D2" s="96" t="s">
        <v>3</v>
      </c>
      <c r="E2" s="95" t="s">
        <v>112</v>
      </c>
      <c r="F2" s="94" t="s">
        <v>5</v>
      </c>
      <c r="G2" s="93">
        <v>1013.7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16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63.356250000000003</v>
      </c>
      <c r="F4" s="81" t="s">
        <v>12</v>
      </c>
      <c r="G4" s="80">
        <f>G2*G3</f>
        <v>26609.625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-3.6055915880885747E-2</v>
      </c>
      <c r="F6" s="69" t="s">
        <v>16</v>
      </c>
      <c r="G6" s="68">
        <f>(I50-I19)/(D50-(SUM(D42:D44)+D19))</f>
        <v>32.738219734251956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 t="e">
        <f t="shared" ref="E10:E19" si="1">D10/$D$19</f>
        <v>#DIV/0!</v>
      </c>
      <c r="F10" s="28">
        <f t="shared" ref="F10:F18" si="2">C10-(C10*$E$6)</f>
        <v>27.248270587667296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 t="e">
        <f t="shared" si="1"/>
        <v>#DIV/0!</v>
      </c>
      <c r="F11" s="28">
        <f t="shared" si="2"/>
        <v>28.284326503548183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 t="e">
        <f t="shared" si="1"/>
        <v>#DIV/0!</v>
      </c>
      <c r="F12" s="28">
        <f t="shared" si="2"/>
        <v>25.901397897022143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 t="e">
        <f t="shared" si="1"/>
        <v>#DIV/0!</v>
      </c>
      <c r="F13" s="28">
        <f t="shared" si="2"/>
        <v>28.284326503548183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 t="e">
        <f t="shared" si="1"/>
        <v>#DIV/0!</v>
      </c>
      <c r="F14" s="28">
        <f t="shared" si="2"/>
        <v>31.703311025955106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26.10860908019832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 t="e">
        <f t="shared" si="1"/>
        <v>#DIV/0!</v>
      </c>
      <c r="F16" s="28">
        <f t="shared" si="2"/>
        <v>35.743929097890558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 t="e">
        <f t="shared" si="1"/>
        <v>#DIV/0!</v>
      </c>
      <c r="F17" s="28">
        <f t="shared" si="2"/>
        <v>52.631640526748996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 t="e">
        <f t="shared" si="1"/>
        <v>#DIV/0!</v>
      </c>
      <c r="F18" s="28">
        <f t="shared" si="2"/>
        <v>46.104488256699419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12.2</v>
      </c>
      <c r="E21" s="29">
        <f>D21/$D$48</f>
        <v>1.2035118871460984E-2</v>
      </c>
      <c r="F21" s="28">
        <f>C21-(C21*$E$6)</f>
        <v>68.379690448138462</v>
      </c>
      <c r="G21" s="27" t="str">
        <f>IF(C21&gt;=F21,"-","+")</f>
        <v>+</v>
      </c>
      <c r="H21" s="26">
        <f>C21*D21</f>
        <v>805.19999999999993</v>
      </c>
      <c r="I21" s="26">
        <f>F21*D21</f>
        <v>834.23222346728915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25.4</v>
      </c>
      <c r="E22" s="29">
        <f>D22/$D$48</f>
        <v>2.5056722896320407E-2</v>
      </c>
      <c r="F22" s="28">
        <f>C22-(C22*$E$6)</f>
        <v>45.897277073523234</v>
      </c>
      <c r="G22" s="27" t="str">
        <f>IF(C22&gt;=F22,"-","+")</f>
        <v>+</v>
      </c>
      <c r="H22" s="26">
        <f>C22*D22</f>
        <v>1125.2199999999998</v>
      </c>
      <c r="I22" s="26">
        <f>F22*D22</f>
        <v>1165.79083766749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23.8</v>
      </c>
      <c r="E23" s="29">
        <f>D23/$D$48</f>
        <v>2.3478346650882904E-2</v>
      </c>
      <c r="F23" s="28">
        <f>C23-(C23*$E$6)</f>
        <v>41.856659001587779</v>
      </c>
      <c r="G23" s="27" t="str">
        <f>IF(C23&gt;=F23,"-","+")</f>
        <v>+</v>
      </c>
      <c r="H23" s="26">
        <f>C23*D23</f>
        <v>961.52</v>
      </c>
      <c r="I23" s="26">
        <f>F23*D23</f>
        <v>996.18848423778923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47.1</v>
      </c>
      <c r="D24" s="22">
        <f>SUM(D21:D23)</f>
        <v>61.399999999999991</v>
      </c>
      <c r="E24" s="21">
        <f>D24/$D$48</f>
        <v>6.0570188418664288E-2</v>
      </c>
      <c r="F24" s="20">
        <f>I24/D24</f>
        <v>48.798233637989718</v>
      </c>
      <c r="G24" s="19">
        <f>F24/C24-1</f>
        <v>3.6055915880885747E-2</v>
      </c>
      <c r="H24" s="18">
        <f>SUM(H21:H23)</f>
        <v>2891.9399999999996</v>
      </c>
      <c r="I24" s="18">
        <f>SUM(I21:I23)</f>
        <v>2996.2115453725683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v>221</v>
      </c>
      <c r="E26" s="29">
        <f t="shared" ref="E26:E32" si="7">D26/$D$48</f>
        <v>0.21801321890105552</v>
      </c>
      <c r="F26" s="28">
        <f t="shared" ref="F26:F31" si="8">C26-(C26*$E$6)</f>
        <v>36.469168239007182</v>
      </c>
      <c r="G26" s="27" t="str">
        <f t="shared" ref="G26:G31" si="9">IF(C26&gt;=F26,"-","+")</f>
        <v>+</v>
      </c>
      <c r="H26" s="26">
        <f t="shared" ref="H26:H31" si="10">C26*D26</f>
        <v>7779.2000000000007</v>
      </c>
      <c r="I26" s="26">
        <f t="shared" ref="I26:I31" si="11">F26*D26</f>
        <v>8059.6861808205867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140.1</v>
      </c>
      <c r="E27" s="29">
        <f t="shared" si="7"/>
        <v>0.13820656999112163</v>
      </c>
      <c r="F27" s="28">
        <f t="shared" si="8"/>
        <v>32.532155758659812</v>
      </c>
      <c r="G27" s="27" t="str">
        <f t="shared" si="9"/>
        <v>+</v>
      </c>
      <c r="H27" s="26">
        <f t="shared" si="10"/>
        <v>4399.1399999999994</v>
      </c>
      <c r="I27" s="26">
        <f t="shared" si="11"/>
        <v>4557.7550217882399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104.6</v>
      </c>
      <c r="E28" s="29">
        <f t="shared" si="7"/>
        <v>0.10318634704547695</v>
      </c>
      <c r="F28" s="28">
        <f t="shared" si="8"/>
        <v>32.532155758659812</v>
      </c>
      <c r="G28" s="27" t="str">
        <f t="shared" si="9"/>
        <v>+</v>
      </c>
      <c r="H28" s="26">
        <f t="shared" si="10"/>
        <v>3284.4399999999996</v>
      </c>
      <c r="I28" s="26">
        <f t="shared" si="11"/>
        <v>3402.8634923558161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98.6</v>
      </c>
      <c r="E29" s="29">
        <f t="shared" si="7"/>
        <v>9.7267436125086301E-2</v>
      </c>
      <c r="F29" s="28">
        <f t="shared" si="8"/>
        <v>31.39249425119084</v>
      </c>
      <c r="G29" s="27" t="str">
        <f t="shared" si="9"/>
        <v>+</v>
      </c>
      <c r="H29" s="26">
        <f t="shared" si="10"/>
        <v>2987.58</v>
      </c>
      <c r="I29" s="26">
        <f t="shared" si="11"/>
        <v>3095.2999331674168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61</v>
      </c>
      <c r="E30" s="29">
        <f t="shared" si="7"/>
        <v>6.0175594357304921E-2</v>
      </c>
      <c r="F30" s="28">
        <f t="shared" si="8"/>
        <v>31.39249425119084</v>
      </c>
      <c r="G30" s="27" t="str">
        <f t="shared" si="9"/>
        <v>+</v>
      </c>
      <c r="H30" s="26">
        <f t="shared" si="10"/>
        <v>1848.3</v>
      </c>
      <c r="I30" s="26">
        <f t="shared" si="11"/>
        <v>1914.9421493226412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12.4</v>
      </c>
      <c r="E31" s="29">
        <f t="shared" si="7"/>
        <v>1.2232415902140673E-2</v>
      </c>
      <c r="F31" s="28">
        <f t="shared" si="8"/>
        <v>31.910522209131283</v>
      </c>
      <c r="G31" s="27" t="str">
        <f t="shared" si="9"/>
        <v>+</v>
      </c>
      <c r="H31" s="26">
        <f t="shared" si="10"/>
        <v>381.92</v>
      </c>
      <c r="I31" s="26">
        <f t="shared" si="11"/>
        <v>395.69047539322793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32.429951387799903</v>
      </c>
      <c r="D32" s="22">
        <f>SUM(D26:D31)</f>
        <v>637.70000000000005</v>
      </c>
      <c r="E32" s="21">
        <f t="shared" si="7"/>
        <v>0.62908158232218603</v>
      </c>
      <c r="F32" s="20">
        <f>I32/D32</f>
        <v>33.599242987059633</v>
      </c>
      <c r="G32" s="19">
        <f>F32/C32-1</f>
        <v>3.6055915880885747E-2</v>
      </c>
      <c r="H32" s="18">
        <f>SUM(H26:H31)</f>
        <v>20680.579999999998</v>
      </c>
      <c r="I32" s="18">
        <f>SUM(I26:I31)</f>
        <v>21426.237252847928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109.8</v>
      </c>
      <c r="E34" s="29">
        <f t="shared" ref="E34:E40" si="13">D34/$D$48</f>
        <v>0.10831606984314886</v>
      </c>
      <c r="F34" s="28">
        <f t="shared" ref="F34:F39" si="14">C34-(C34*$E$6)</f>
        <v>19.167034443796386</v>
      </c>
      <c r="G34" s="27" t="str">
        <f t="shared" ref="G34:G39" si="15">IF(C34&gt;=F34,"-","+")</f>
        <v>+</v>
      </c>
      <c r="H34" s="26">
        <f t="shared" ref="H34:H39" si="16">C34*D34</f>
        <v>2031.3</v>
      </c>
      <c r="I34" s="26">
        <f t="shared" ref="I34:I39" si="17">F34*D34</f>
        <v>2104.5403819288431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14.815599597096668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11.914643032630186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31.39249425119084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31.39249425119084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32.532155758659812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</v>
      </c>
      <c r="D40" s="22">
        <f>SUM(D34:D39)</f>
        <v>109.8</v>
      </c>
      <c r="E40" s="21">
        <f t="shared" si="13"/>
        <v>0.10831606984314886</v>
      </c>
      <c r="F40" s="20">
        <f>I40/D40</f>
        <v>19.167034443796386</v>
      </c>
      <c r="G40" s="19">
        <f>F40/C40-1</f>
        <v>3.6055915880885747E-2</v>
      </c>
      <c r="H40" s="18">
        <f>SUM(H34:H39)</f>
        <v>2031.3</v>
      </c>
      <c r="I40" s="18">
        <f>SUM(I34:I39)</f>
        <v>2104.5403819288431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197</v>
      </c>
      <c r="E42" s="107">
        <f>D42/$D$48</f>
        <v>0.19433757521949294</v>
      </c>
      <c r="F42" s="28">
        <f>C42-(C42*$E$6)</f>
        <v>0.4144223663523543</v>
      </c>
      <c r="G42" s="27" t="str">
        <f>IF(C42&gt;=F42,"-","+")</f>
        <v>+</v>
      </c>
      <c r="H42" s="26">
        <f>C42*D42</f>
        <v>78.800000000000011</v>
      </c>
      <c r="I42" s="26">
        <f>F42*D42</f>
        <v>81.641206171413799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2.4</v>
      </c>
      <c r="E43" s="107">
        <f>D43/$D$48</f>
        <v>2.3675643681562589E-3</v>
      </c>
      <c r="F43" s="28">
        <f>C43-(C43*$E$6)</f>
        <v>0.4144223663523543</v>
      </c>
      <c r="G43" s="27" t="str">
        <f>IF(C43&gt;=F43,"-","+")</f>
        <v>+</v>
      </c>
      <c r="H43" s="26">
        <f>C43*D43</f>
        <v>0.96</v>
      </c>
      <c r="I43" s="26">
        <f>F43*D43</f>
        <v>0.99461367924565025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1.5</v>
      </c>
      <c r="E44" s="107">
        <f>D44/$D$48</f>
        <v>1.4797277300976619E-3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3.9</v>
      </c>
      <c r="E45" s="107">
        <f>D45/$D$48</f>
        <v>3.847292098253921E-3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0.38945312500000001</v>
      </c>
      <c r="D46" s="22">
        <f>SUM(D41:D45)</f>
        <v>204.8</v>
      </c>
      <c r="E46" s="21">
        <f>D46/$D$48</f>
        <v>0.20203215941600078</v>
      </c>
      <c r="F46" s="20">
        <f>I46/D46</f>
        <v>0.40349521411454803</v>
      </c>
      <c r="G46" s="19">
        <f>F46/C46-1</f>
        <v>3.6055915880885525E-2</v>
      </c>
      <c r="H46" s="18">
        <f>SUM(H41:H44)</f>
        <v>79.760000000000005</v>
      </c>
      <c r="I46" s="18">
        <f>SUM(I41:I44)</f>
        <v>82.635819850659445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98.419404512799915</v>
      </c>
      <c r="D48" s="13">
        <f>D24+D32+D40+D46</f>
        <v>1013.7</v>
      </c>
      <c r="E48" s="12">
        <f>SUM(E20:E46)/2</f>
        <v>1</v>
      </c>
      <c r="F48" s="11">
        <f>I48/D48</f>
        <v>26.249999999999993</v>
      </c>
      <c r="G48" s="10"/>
      <c r="H48" s="9">
        <f>SUM(H20:H46)/2</f>
        <v>25683.58</v>
      </c>
      <c r="I48" s="9">
        <f>SUM(I20:I46)/2</f>
        <v>26609.624999999993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1013.7</v>
      </c>
      <c r="E50" s="12">
        <f>D50/G2</f>
        <v>1</v>
      </c>
      <c r="F50" s="11">
        <f>I50/D50</f>
        <v>26.249999999999993</v>
      </c>
      <c r="G50" s="10"/>
      <c r="H50" s="9">
        <f>H48+H19</f>
        <v>25683.58</v>
      </c>
      <c r="I50" s="9">
        <f>I48+I19</f>
        <v>26609.624999999993</v>
      </c>
      <c r="J50" s="106">
        <f>D50-G2</f>
        <v>0</v>
      </c>
      <c r="K50" s="8"/>
    </row>
    <row r="51" spans="1:11" ht="23.25" x14ac:dyDescent="0.35">
      <c r="A51" s="174" t="s">
        <v>550</v>
      </c>
      <c r="B51" s="169"/>
      <c r="C51" s="170"/>
      <c r="G51" s="7"/>
      <c r="H51" s="6"/>
      <c r="I51" s="6">
        <f>+I50/D50</f>
        <v>26.249999999999993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541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548</v>
      </c>
      <c r="D2" s="96" t="s">
        <v>3</v>
      </c>
      <c r="E2" s="95" t="s">
        <v>112</v>
      </c>
      <c r="F2" s="94" t="s">
        <v>5</v>
      </c>
      <c r="G2" s="93">
        <v>2880.2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52</v>
      </c>
      <c r="F3" s="88" t="s">
        <v>8</v>
      </c>
      <c r="G3" s="87">
        <v>24.83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55.388461538461534</v>
      </c>
      <c r="F4" s="81" t="s">
        <v>12</v>
      </c>
      <c r="G4" s="80">
        <f>G2*G3</f>
        <v>71515.365999999995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-0.1122135712844925</v>
      </c>
      <c r="F6" s="69" t="s">
        <v>16</v>
      </c>
      <c r="G6" s="68">
        <f>(I50-I19)/(D50-(SUM(D42:D44)+D19))</f>
        <v>32.371612348361424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24.8</v>
      </c>
      <c r="D10" s="30"/>
      <c r="E10" s="29" t="e">
        <f t="shared" ref="E10:E19" si="1">D10/$D$19</f>
        <v>#DIV/0!</v>
      </c>
      <c r="F10" s="28">
        <f t="shared" ref="F10:F18" si="2">C10-(C10*$E$6)</f>
        <v>27.582896567855414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25.9</v>
      </c>
      <c r="D11" s="30"/>
      <c r="E11" s="29" t="e">
        <f t="shared" si="1"/>
        <v>#DIV/0!</v>
      </c>
      <c r="F11" s="28">
        <f t="shared" si="2"/>
        <v>28.806331496268353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23.6</v>
      </c>
      <c r="D12" s="30"/>
      <c r="E12" s="29" t="e">
        <f t="shared" si="1"/>
        <v>#DIV/0!</v>
      </c>
      <c r="F12" s="28">
        <f t="shared" si="2"/>
        <v>26.248240282314026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25.9</v>
      </c>
      <c r="D13" s="30"/>
      <c r="E13" s="29" t="e">
        <f t="shared" si="1"/>
        <v>#DIV/0!</v>
      </c>
      <c r="F13" s="28">
        <f t="shared" si="2"/>
        <v>28.806331496268353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28.9</v>
      </c>
      <c r="D14" s="30"/>
      <c r="E14" s="29" t="e">
        <f t="shared" si="1"/>
        <v>#DIV/0!</v>
      </c>
      <c r="F14" s="28">
        <f t="shared" si="2"/>
        <v>32.142972210121833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23.8</v>
      </c>
      <c r="D15" s="30"/>
      <c r="E15" s="29" t="e">
        <f t="shared" si="1"/>
        <v>#DIV/0!</v>
      </c>
      <c r="F15" s="28">
        <f t="shared" si="2"/>
        <v>26.470682996570922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32.6</v>
      </c>
      <c r="D16" s="30"/>
      <c r="E16" s="29" t="e">
        <f t="shared" si="1"/>
        <v>#DIV/0!</v>
      </c>
      <c r="F16" s="28">
        <f t="shared" si="2"/>
        <v>36.25816242387446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</v>
      </c>
      <c r="D17" s="30"/>
      <c r="E17" s="29" t="e">
        <f t="shared" si="1"/>
        <v>#DIV/0!</v>
      </c>
      <c r="F17" s="28">
        <f t="shared" si="2"/>
        <v>53.386251421655643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42.1</v>
      </c>
      <c r="D18" s="30"/>
      <c r="E18" s="29" t="e">
        <f t="shared" si="1"/>
        <v>#DIV/0!</v>
      </c>
      <c r="F18" s="28">
        <f t="shared" si="2"/>
        <v>46.824191351077133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62.4</v>
      </c>
      <c r="D21" s="30">
        <v>36.6</v>
      </c>
      <c r="E21" s="29">
        <f>D21/$D$48</f>
        <v>1.270745087146726E-2</v>
      </c>
      <c r="F21" s="28">
        <f>C21-(C21*$E$6)</f>
        <v>69.402126848152335</v>
      </c>
      <c r="G21" s="27" t="str">
        <f>IF(C21&gt;=F21,"-","+")</f>
        <v>+</v>
      </c>
      <c r="H21" s="26">
        <f>C21*D21</f>
        <v>2283.84</v>
      </c>
      <c r="I21" s="26">
        <f>F21*D21</f>
        <v>2540.1178426423758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41.9</v>
      </c>
      <c r="D22" s="30">
        <v>72.599999999999994</v>
      </c>
      <c r="E22" s="29">
        <f>D22/$D$48</f>
        <v>2.5206582876189154E-2</v>
      </c>
      <c r="F22" s="28">
        <f>C22-(C22*$E$6)</f>
        <v>46.601748636820233</v>
      </c>
      <c r="G22" s="27" t="str">
        <f>IF(C22&gt;=F22,"-","+")</f>
        <v>+</v>
      </c>
      <c r="H22" s="26">
        <f>C22*D22</f>
        <v>3041.9399999999996</v>
      </c>
      <c r="I22" s="26">
        <f>F22*D22</f>
        <v>3383.2869510331489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38.200000000000003</v>
      </c>
      <c r="D23" s="30">
        <v>53.8</v>
      </c>
      <c r="E23" s="29">
        <f>D23/$D$48</f>
        <v>1.8679258384834387E-2</v>
      </c>
      <c r="F23" s="28">
        <f>C23-(C23*$E$6)</f>
        <v>42.486558423067621</v>
      </c>
      <c r="G23" s="27" t="str">
        <f>IF(C23&gt;=F23,"-","+")</f>
        <v>+</v>
      </c>
      <c r="H23" s="26">
        <f>C23*D23</f>
        <v>2055.16</v>
      </c>
      <c r="I23" s="26">
        <f>F23*D23</f>
        <v>2285.776843161038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45.281840490797542</v>
      </c>
      <c r="D24" s="22">
        <f>SUM(D21:D23)</f>
        <v>163</v>
      </c>
      <c r="E24" s="21">
        <f>D24/$D$48</f>
        <v>5.6593292132490799E-2</v>
      </c>
      <c r="F24" s="20">
        <f>I24/D24</f>
        <v>50.363077526604684</v>
      </c>
      <c r="G24" s="19">
        <f>F24/C24-1</f>
        <v>0.11221357128449272</v>
      </c>
      <c r="H24" s="18">
        <f>SUM(H21:H23)</f>
        <v>7380.94</v>
      </c>
      <c r="I24" s="18">
        <f>SUM(I21:I23)</f>
        <v>8209.1816368365635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33.299999999999997</v>
      </c>
      <c r="D26" s="30">
        <v>549.9</v>
      </c>
      <c r="E26" s="29">
        <f t="shared" ref="E26:E32" si="7">D26/$D$48</f>
        <v>0.19092424137212693</v>
      </c>
      <c r="F26" s="28">
        <f t="shared" ref="F26:F31" si="8">C26-(C26*$E$6)</f>
        <v>37.036711923773595</v>
      </c>
      <c r="G26" s="27" t="str">
        <f t="shared" ref="G26:G31" si="9">IF(C26&gt;=F26,"-","+")</f>
        <v>+</v>
      </c>
      <c r="H26" s="26">
        <f t="shared" ref="H26:H31" si="10">C26*D26</f>
        <v>18311.669999999998</v>
      </c>
      <c r="I26" s="26">
        <f t="shared" ref="I26:I31" si="11">F26*D26</f>
        <v>20366.4878868831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29.7</v>
      </c>
      <c r="D27" s="30">
        <v>436</v>
      </c>
      <c r="E27" s="29">
        <f t="shared" si="7"/>
        <v>0.15137837650163183</v>
      </c>
      <c r="F27" s="28">
        <f t="shared" si="8"/>
        <v>33.032743067149426</v>
      </c>
      <c r="G27" s="27" t="str">
        <f t="shared" si="9"/>
        <v>+</v>
      </c>
      <c r="H27" s="26">
        <f t="shared" si="10"/>
        <v>12949.199999999999</v>
      </c>
      <c r="I27" s="26">
        <f t="shared" si="11"/>
        <v>14402.27597727715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29.7</v>
      </c>
      <c r="D28" s="30">
        <v>219.1</v>
      </c>
      <c r="E28" s="29">
        <f t="shared" si="7"/>
        <v>7.6071106173182426E-2</v>
      </c>
      <c r="F28" s="28">
        <f t="shared" si="8"/>
        <v>33.032743067149426</v>
      </c>
      <c r="G28" s="27" t="str">
        <f t="shared" si="9"/>
        <v>+</v>
      </c>
      <c r="H28" s="26">
        <f t="shared" si="10"/>
        <v>6507.2699999999995</v>
      </c>
      <c r="I28" s="26">
        <f t="shared" si="11"/>
        <v>7237.4740060124386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28.7</v>
      </c>
      <c r="D29" s="30">
        <v>199.7</v>
      </c>
      <c r="E29" s="29">
        <f t="shared" si="7"/>
        <v>6.933546281508228E-2</v>
      </c>
      <c r="F29" s="28">
        <f t="shared" si="8"/>
        <v>31.920529495864933</v>
      </c>
      <c r="G29" s="27" t="str">
        <f t="shared" si="9"/>
        <v>+</v>
      </c>
      <c r="H29" s="26">
        <f t="shared" si="10"/>
        <v>5731.3899999999994</v>
      </c>
      <c r="I29" s="26">
        <f t="shared" si="11"/>
        <v>6374.5297403242266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28.7</v>
      </c>
      <c r="D30" s="30">
        <v>129.5</v>
      </c>
      <c r="E30" s="29">
        <f t="shared" si="7"/>
        <v>4.4962155405874595E-2</v>
      </c>
      <c r="F30" s="28">
        <f t="shared" si="8"/>
        <v>31.920529495864933</v>
      </c>
      <c r="G30" s="27" t="str">
        <f t="shared" si="9"/>
        <v>+</v>
      </c>
      <c r="H30" s="26">
        <f t="shared" si="10"/>
        <v>3716.65</v>
      </c>
      <c r="I30" s="26">
        <f t="shared" si="11"/>
        <v>4133.7085697145085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29.2</v>
      </c>
      <c r="D31" s="30">
        <v>61.3</v>
      </c>
      <c r="E31" s="29">
        <f t="shared" si="7"/>
        <v>2.1283244219151447E-2</v>
      </c>
      <c r="F31" s="28">
        <f t="shared" si="8"/>
        <v>32.476636281507183</v>
      </c>
      <c r="G31" s="27" t="str">
        <f t="shared" si="9"/>
        <v>+</v>
      </c>
      <c r="H31" s="26">
        <f t="shared" si="10"/>
        <v>1789.9599999999998</v>
      </c>
      <c r="I31" s="26">
        <f t="shared" si="11"/>
        <v>1990.8178040563903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30.715224067690375</v>
      </c>
      <c r="D32" s="22">
        <f>SUM(D26:D31)</f>
        <v>1595.5</v>
      </c>
      <c r="E32" s="21">
        <f t="shared" si="7"/>
        <v>0.55395458648704954</v>
      </c>
      <c r="F32" s="20">
        <f>I32/D32</f>
        <v>34.161889053129315</v>
      </c>
      <c r="G32" s="19">
        <f>F32/C32-1</f>
        <v>0.11221357128449272</v>
      </c>
      <c r="H32" s="18">
        <f>SUM(H26:H31)</f>
        <v>49006.139999999992</v>
      </c>
      <c r="I32" s="18">
        <f>SUM(I26:I31)</f>
        <v>54505.293984267817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17.5</v>
      </c>
      <c r="D34" s="30">
        <f>200.8+207.9</f>
        <v>408.70000000000005</v>
      </c>
      <c r="E34" s="29">
        <f t="shared" ref="E34:E40" si="13">D34/$D$48</f>
        <v>0.14189986806471774</v>
      </c>
      <c r="F34" s="28">
        <f t="shared" ref="F34:F39" si="14">C34-(C34*$E$6)</f>
        <v>19.463737497478618</v>
      </c>
      <c r="G34" s="27" t="str">
        <f t="shared" ref="G34:G39" si="15">IF(C34&gt;=F34,"-","+")</f>
        <v>+</v>
      </c>
      <c r="H34" s="26">
        <f t="shared" ref="H34:H39" si="16">C34*D34</f>
        <v>7152.2500000000009</v>
      </c>
      <c r="I34" s="26">
        <f t="shared" ref="I34:I39" si="17">F34*D34</f>
        <v>7954.8295152195124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13.5</v>
      </c>
      <c r="D35" s="30">
        <v>36.6</v>
      </c>
      <c r="E35" s="29">
        <f t="shared" si="13"/>
        <v>1.270745087146726E-2</v>
      </c>
      <c r="F35" s="28">
        <f t="shared" si="14"/>
        <v>15.014883212340649</v>
      </c>
      <c r="G35" s="27" t="str">
        <f t="shared" si="15"/>
        <v>+</v>
      </c>
      <c r="H35" s="26">
        <f t="shared" si="16"/>
        <v>494.1</v>
      </c>
      <c r="I35" s="26">
        <f t="shared" si="17"/>
        <v>549.54472557166775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12.01190656987252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28.7</v>
      </c>
      <c r="D37" s="30"/>
      <c r="E37" s="29">
        <f t="shared" si="13"/>
        <v>0</v>
      </c>
      <c r="F37" s="28">
        <f t="shared" si="14"/>
        <v>31.920529495864933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28.7</v>
      </c>
      <c r="D38" s="30"/>
      <c r="E38" s="29">
        <f t="shared" si="13"/>
        <v>0</v>
      </c>
      <c r="F38" s="28">
        <f t="shared" si="14"/>
        <v>31.920529495864933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29.7</v>
      </c>
      <c r="D39" s="30"/>
      <c r="E39" s="29">
        <f t="shared" si="13"/>
        <v>0</v>
      </c>
      <c r="F39" s="28">
        <f t="shared" si="14"/>
        <v>33.032743067149426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17.171232876712327</v>
      </c>
      <c r="D40" s="22">
        <f>SUM(D34:D39)</f>
        <v>445.30000000000007</v>
      </c>
      <c r="E40" s="113">
        <f t="shared" si="13"/>
        <v>0.15460731893618501</v>
      </c>
      <c r="F40" s="20">
        <f>I40/D40</f>
        <v>19.098078241165908</v>
      </c>
      <c r="G40" s="19">
        <f>F40/C40-1</f>
        <v>0.1122135712844925</v>
      </c>
      <c r="H40" s="18">
        <f>SUM(H34:H39)</f>
        <v>7646.3500000000013</v>
      </c>
      <c r="I40" s="18">
        <f>SUM(I34:I39)</f>
        <v>8504.3742407911795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346+35.4+271.2</f>
        <v>652.59999999999991</v>
      </c>
      <c r="E42" s="107">
        <f>D42/$D$48</f>
        <v>0.22658148739670855</v>
      </c>
      <c r="F42" s="28">
        <f>C42-(C42*$E$6)</f>
        <v>0.44488542851379703</v>
      </c>
      <c r="G42" s="27" t="str">
        <f>IF(C42&gt;=F42,"-","+")</f>
        <v>+</v>
      </c>
      <c r="H42" s="26">
        <f>C42*D42</f>
        <v>261.03999999999996</v>
      </c>
      <c r="I42" s="26">
        <f>F42*D42</f>
        <v>290.33223064810392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13.9</v>
      </c>
      <c r="E43" s="107">
        <f>D43/$D$48</f>
        <v>4.8260537462676209E-3</v>
      </c>
      <c r="F43" s="28">
        <f>C43-(C43*$E$6)</f>
        <v>0.44488542851379703</v>
      </c>
      <c r="G43" s="27" t="str">
        <f>IF(C43&gt;=F43,"-","+")</f>
        <v>+</v>
      </c>
      <c r="H43" s="26">
        <f>C43*D43</f>
        <v>5.5600000000000005</v>
      </c>
      <c r="I43" s="26">
        <f>F43*D43</f>
        <v>6.1839074563417791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4.5</v>
      </c>
      <c r="E44" s="107">
        <f>D44/$D$48</f>
        <v>1.5623915005902368E-3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1.8748698007082843E-3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0.39414547604967476</v>
      </c>
      <c r="D46" s="22">
        <f>SUM(D41:D45)</f>
        <v>676.39999999999986</v>
      </c>
      <c r="E46" s="113">
        <f>D46/$D$48</f>
        <v>0.23484480244427466</v>
      </c>
      <c r="F46" s="20">
        <f>I46/D46</f>
        <v>0.43837394752283526</v>
      </c>
      <c r="G46" s="19">
        <f>F46/C46-1</f>
        <v>0.11221357128449272</v>
      </c>
      <c r="H46" s="18">
        <f>SUM(H41:H44)</f>
        <v>266.59999999999997</v>
      </c>
      <c r="I46" s="18">
        <f>SUM(I41:I44)</f>
        <v>296.5161381044457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93.562442911249917</v>
      </c>
      <c r="D48" s="13">
        <f>D24+D32+D40+D46</f>
        <v>2880.2</v>
      </c>
      <c r="E48" s="12">
        <f>SUM(E20:E46)/2</f>
        <v>0.99999999999999989</v>
      </c>
      <c r="F48" s="11">
        <f>I48/D48</f>
        <v>24.830000000000009</v>
      </c>
      <c r="G48" s="10"/>
      <c r="H48" s="9">
        <f>SUM(H20:H46)/2</f>
        <v>64300.029999999992</v>
      </c>
      <c r="I48" s="9">
        <f>SUM(I20:I46)/2</f>
        <v>71515.366000000024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2880.1999999999989</v>
      </c>
      <c r="E50" s="12">
        <f>D50/G2</f>
        <v>0.99999999999999967</v>
      </c>
      <c r="F50" s="11">
        <f>I50/D50</f>
        <v>24.830000000000016</v>
      </c>
      <c r="G50" s="10"/>
      <c r="H50" s="9">
        <f>H48+H19</f>
        <v>64300.029999999992</v>
      </c>
      <c r="I50" s="9">
        <f>I48+I19</f>
        <v>71515.366000000024</v>
      </c>
      <c r="J50" s="106">
        <f>D50-G2</f>
        <v>0</v>
      </c>
      <c r="K50" s="8"/>
    </row>
    <row r="51" spans="1:11" ht="23.25" x14ac:dyDescent="0.35">
      <c r="A51" s="174" t="s">
        <v>551</v>
      </c>
      <c r="B51" s="169"/>
      <c r="C51" s="170"/>
      <c r="G51" s="7"/>
      <c r="H51" s="6"/>
      <c r="I51" s="6">
        <f>+I50/D50</f>
        <v>24.830000000000016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541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548</v>
      </c>
      <c r="D2" s="96" t="s">
        <v>3</v>
      </c>
      <c r="E2" s="95" t="s">
        <v>112</v>
      </c>
      <c r="F2" s="94" t="s">
        <v>5</v>
      </c>
      <c r="G2" s="93">
        <v>2491.1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40</v>
      </c>
      <c r="F3" s="88" t="s">
        <v>8</v>
      </c>
      <c r="G3" s="87">
        <v>25.31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62.277499999999996</v>
      </c>
      <c r="F4" s="81" t="s">
        <v>12</v>
      </c>
      <c r="G4" s="80">
        <f>G2*G3</f>
        <v>63049.740999999995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-6.7053024375788306E-2</v>
      </c>
      <c r="F6" s="69" t="s">
        <v>16</v>
      </c>
      <c r="G6" s="68">
        <f>(I50-I19)/(D50-(SUM(D42:D44)+D19))</f>
        <v>31.734316992148187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26.996441516707446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26.4</v>
      </c>
      <c r="D11" s="30"/>
      <c r="E11" s="29" t="e">
        <f t="shared" si="1"/>
        <v>#DIV/0!</v>
      </c>
      <c r="F11" s="28">
        <f t="shared" si="2"/>
        <v>28.170199843520809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 t="e">
        <f t="shared" si="1"/>
        <v>#DIV/0!</v>
      </c>
      <c r="F12" s="28">
        <f t="shared" si="2"/>
        <v>25.7159778874565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26.4</v>
      </c>
      <c r="D13" s="30"/>
      <c r="E13" s="29" t="e">
        <f t="shared" si="1"/>
        <v>#DIV/0!</v>
      </c>
      <c r="F13" s="28">
        <f t="shared" si="2"/>
        <v>28.170199843520809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29.5</v>
      </c>
      <c r="D14" s="30"/>
      <c r="E14" s="29" t="e">
        <f t="shared" si="1"/>
        <v>#DIV/0!</v>
      </c>
      <c r="F14" s="28">
        <f t="shared" si="2"/>
        <v>31.478064219085756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24.3</v>
      </c>
      <c r="D15" s="30"/>
      <c r="E15" s="29" t="e">
        <f t="shared" si="1"/>
        <v>#DIV/0!</v>
      </c>
      <c r="F15" s="28">
        <f t="shared" si="2"/>
        <v>25.929388492331658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33.299999999999997</v>
      </c>
      <c r="D16" s="30"/>
      <c r="E16" s="29" t="e">
        <f t="shared" si="1"/>
        <v>#DIV/0!</v>
      </c>
      <c r="F16" s="28">
        <f t="shared" si="2"/>
        <v>35.532865711713747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</v>
      </c>
      <c r="D17" s="30"/>
      <c r="E17" s="29" t="e">
        <f t="shared" si="1"/>
        <v>#DIV/0!</v>
      </c>
      <c r="F17" s="28">
        <f t="shared" si="2"/>
        <v>52.285598194413623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42.9</v>
      </c>
      <c r="D18" s="30"/>
      <c r="E18" s="29" t="e">
        <f t="shared" si="1"/>
        <v>#DIV/0!</v>
      </c>
      <c r="F18" s="28">
        <f t="shared" si="2"/>
        <v>45.776574745721319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63.7</v>
      </c>
      <c r="D21" s="30">
        <v>31.2</v>
      </c>
      <c r="E21" s="29">
        <f>D21/$D$48</f>
        <v>1.2524587531612541E-2</v>
      </c>
      <c r="F21" s="28">
        <f>C21-(C21*$E$6)</f>
        <v>67.971277652737712</v>
      </c>
      <c r="G21" s="27" t="str">
        <f>IF(C21&gt;=F21,"-","+")</f>
        <v>+</v>
      </c>
      <c r="H21" s="26">
        <f>C21*D21</f>
        <v>1987.44</v>
      </c>
      <c r="I21" s="26">
        <f>F21*D21</f>
        <v>2120.7038627654165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42.7</v>
      </c>
      <c r="D22" s="30">
        <v>57.6</v>
      </c>
      <c r="E22" s="29">
        <f>D22/$D$48</f>
        <v>2.3122315442977E-2</v>
      </c>
      <c r="F22" s="28">
        <f>C22-(C22*$E$6)</f>
        <v>45.563164140846162</v>
      </c>
      <c r="G22" s="27" t="str">
        <f>IF(C22&gt;=F22,"-","+")</f>
        <v>+</v>
      </c>
      <c r="H22" s="26">
        <f>C22*D22</f>
        <v>2459.5200000000004</v>
      </c>
      <c r="I22" s="26">
        <f>F22*D22</f>
        <v>2624.4382545127391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</v>
      </c>
      <c r="D23" s="30">
        <v>50.4</v>
      </c>
      <c r="E23" s="29">
        <f>D23/$D$48</f>
        <v>2.0232026012604872E-2</v>
      </c>
      <c r="F23" s="28">
        <f>C23-(C23*$E$6)</f>
        <v>41.615067950655742</v>
      </c>
      <c r="G23" s="27" t="str">
        <f>IF(C23&gt;=F23,"-","+")</f>
        <v>+</v>
      </c>
      <c r="H23" s="26">
        <f>C23*D23</f>
        <v>1965.6</v>
      </c>
      <c r="I23" s="26">
        <f>F23*D23</f>
        <v>2097.3994247130495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46.06724137931036</v>
      </c>
      <c r="D24" s="22">
        <f>SUM(D21:D23)</f>
        <v>139.19999999999999</v>
      </c>
      <c r="E24" s="21">
        <f>D24/$D$48</f>
        <v>5.5878928987194411E-2</v>
      </c>
      <c r="F24" s="20">
        <f>I24/D24</f>
        <v>49.156189238442572</v>
      </c>
      <c r="G24" s="19">
        <f>F24/C24-1</f>
        <v>6.7053024375788084E-2</v>
      </c>
      <c r="H24" s="18">
        <f>SUM(H21:H23)</f>
        <v>6412.5600000000013</v>
      </c>
      <c r="I24" s="18">
        <f>SUM(I21:I23)</f>
        <v>6842.5415419912051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</v>
      </c>
      <c r="D26" s="30">
        <v>546.4</v>
      </c>
      <c r="E26" s="29">
        <f t="shared" ref="E26:E32" si="7">D26/$D$48</f>
        <v>0.21934085343824014</v>
      </c>
      <c r="F26" s="28">
        <f t="shared" ref="F26:F31" si="8">C26-(C26*$E$6)</f>
        <v>36.279802828776802</v>
      </c>
      <c r="G26" s="27" t="str">
        <f t="shared" ref="G26:G31" si="9">IF(C26&gt;=F26,"-","+")</f>
        <v>+</v>
      </c>
      <c r="H26" s="26">
        <f t="shared" ref="H26:H31" si="10">C26*D26</f>
        <v>18577.599999999999</v>
      </c>
      <c r="I26" s="26">
        <f t="shared" ref="I26:I31" si="11">F26*D26</f>
        <v>19823.284265643644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333</v>
      </c>
      <c r="E27" s="29">
        <f t="shared" si="7"/>
        <v>0.13367588615471077</v>
      </c>
      <c r="F27" s="28">
        <f t="shared" si="8"/>
        <v>32.225001336148807</v>
      </c>
      <c r="G27" s="27" t="str">
        <f t="shared" si="9"/>
        <v>+</v>
      </c>
      <c r="H27" s="26">
        <f t="shared" si="10"/>
        <v>10056.6</v>
      </c>
      <c r="I27" s="26">
        <f t="shared" si="11"/>
        <v>10730.925444937553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195.2</v>
      </c>
      <c r="E28" s="29">
        <f t="shared" si="7"/>
        <v>7.8358957890088718E-2</v>
      </c>
      <c r="F28" s="28">
        <f t="shared" si="8"/>
        <v>32.225001336148807</v>
      </c>
      <c r="G28" s="27" t="str">
        <f t="shared" si="9"/>
        <v>+</v>
      </c>
      <c r="H28" s="26">
        <f t="shared" si="10"/>
        <v>5895.04</v>
      </c>
      <c r="I28" s="26">
        <f t="shared" si="11"/>
        <v>6290.3202608162464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185.5</v>
      </c>
      <c r="E29" s="29">
        <f t="shared" si="7"/>
        <v>7.4465095740837386E-2</v>
      </c>
      <c r="F29" s="28">
        <f t="shared" si="8"/>
        <v>31.157948311773019</v>
      </c>
      <c r="G29" s="27" t="str">
        <f t="shared" si="9"/>
        <v>+</v>
      </c>
      <c r="H29" s="26">
        <f t="shared" si="10"/>
        <v>5416.5999999999995</v>
      </c>
      <c r="I29" s="26">
        <f t="shared" si="11"/>
        <v>5779.7994118338947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170.9</v>
      </c>
      <c r="E30" s="29">
        <f t="shared" si="7"/>
        <v>6.8604231062582802E-2</v>
      </c>
      <c r="F30" s="28">
        <f t="shared" si="8"/>
        <v>31.157948311773019</v>
      </c>
      <c r="G30" s="27" t="str">
        <f t="shared" si="9"/>
        <v>+</v>
      </c>
      <c r="H30" s="26">
        <f t="shared" si="10"/>
        <v>4990.28</v>
      </c>
      <c r="I30" s="26">
        <f t="shared" si="11"/>
        <v>5324.8933664820088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25.1</v>
      </c>
      <c r="E31" s="29">
        <f t="shared" si="7"/>
        <v>1.007587009754727E-2</v>
      </c>
      <c r="F31" s="28">
        <f t="shared" si="8"/>
        <v>31.691474823960913</v>
      </c>
      <c r="G31" s="27" t="str">
        <f t="shared" si="9"/>
        <v>+</v>
      </c>
      <c r="H31" s="26">
        <f t="shared" si="10"/>
        <v>745.47</v>
      </c>
      <c r="I31" s="26">
        <f t="shared" si="11"/>
        <v>795.45601808141896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31.372563697548244</v>
      </c>
      <c r="D32" s="22">
        <f>SUM(D26:D31)</f>
        <v>1456.1</v>
      </c>
      <c r="E32" s="21">
        <f t="shared" si="7"/>
        <v>0.58452089438400701</v>
      </c>
      <c r="F32" s="20">
        <f>I32/D32</f>
        <v>33.476188975890928</v>
      </c>
      <c r="G32" s="19">
        <f>F32/C32-1</f>
        <v>6.7053024375788528E-2</v>
      </c>
      <c r="H32" s="18">
        <f>SUM(H26:H31)</f>
        <v>45681.59</v>
      </c>
      <c r="I32" s="18">
        <f>SUM(I26:I31)</f>
        <v>48744.678767794772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161.4+191.6</f>
        <v>353</v>
      </c>
      <c r="E34" s="29">
        <f t="shared" ref="E34:E40" si="13">D34/$D$48</f>
        <v>0.14170446790574445</v>
      </c>
      <c r="F34" s="28">
        <f t="shared" ref="F34:F39" si="14">C34-(C34*$E$6)</f>
        <v>19.10024913632661</v>
      </c>
      <c r="G34" s="27" t="str">
        <f t="shared" ref="G34:G39" si="15">IF(C34&gt;=F34,"-","+")</f>
        <v>+</v>
      </c>
      <c r="H34" s="26">
        <f t="shared" ref="H34:H39" si="16">C34*D34</f>
        <v>6318.7</v>
      </c>
      <c r="I34" s="26">
        <f t="shared" ref="I34:I39" si="17">F34*D34</f>
        <v>6742.3879451232933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34.4</v>
      </c>
      <c r="E35" s="29">
        <f t="shared" si="13"/>
        <v>1.380916061177793E-2</v>
      </c>
      <c r="F35" s="28">
        <f t="shared" si="14"/>
        <v>14.725331736385879</v>
      </c>
      <c r="G35" s="27" t="str">
        <f t="shared" si="15"/>
        <v>+</v>
      </c>
      <c r="H35" s="26">
        <f t="shared" si="16"/>
        <v>474.72</v>
      </c>
      <c r="I35" s="26">
        <f t="shared" si="17"/>
        <v>506.55141173167419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11.84428857057125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31.157948311773019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31.157948311773019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32.225001336148807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17.53593185338152</v>
      </c>
      <c r="D40" s="22">
        <f>SUM(D34:D39)</f>
        <v>387.4</v>
      </c>
      <c r="E40" s="113">
        <f t="shared" si="13"/>
        <v>0.15551362851752237</v>
      </c>
      <c r="F40" s="20">
        <f>I40/D40</f>
        <v>18.711769119398472</v>
      </c>
      <c r="G40" s="19">
        <f>F40/C40-1</f>
        <v>6.7053024375788306E-2</v>
      </c>
      <c r="H40" s="18">
        <f>SUM(H34:H39)</f>
        <v>6793.42</v>
      </c>
      <c r="I40" s="18">
        <f>SUM(I34:I39)</f>
        <v>7248.9393568549676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235+30.3+224.2</f>
        <v>489.5</v>
      </c>
      <c r="E42" s="107">
        <f>D42/$D$48</f>
        <v>0.19649953835654932</v>
      </c>
      <c r="F42" s="28">
        <f>C42-(C42*$E$6)</f>
        <v>0.42682120975031534</v>
      </c>
      <c r="G42" s="27" t="str">
        <f>IF(C42&gt;=F42,"-","+")</f>
        <v>+</v>
      </c>
      <c r="H42" s="26">
        <f>C42*D42</f>
        <v>195.8</v>
      </c>
      <c r="I42" s="26">
        <f>F42*D42</f>
        <v>208.92898217277937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10.9</v>
      </c>
      <c r="E43" s="107">
        <f>D43/$D$48</f>
        <v>4.3755770543133562E-3</v>
      </c>
      <c r="F43" s="28">
        <f>C43-(C43*$E$6)</f>
        <v>0.42682120975031534</v>
      </c>
      <c r="G43" s="27" t="str">
        <f>IF(C43&gt;=F43,"-","+")</f>
        <v>+</v>
      </c>
      <c r="H43" s="26">
        <f>C43*D43</f>
        <v>4.3600000000000003</v>
      </c>
      <c r="I43" s="26">
        <f>F43*D43</f>
        <v>4.6523511862784375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3.9</v>
      </c>
      <c r="E44" s="107">
        <f>D44/$D$48</f>
        <v>1.5655734414515676E-3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1.6458592589619044E-3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0.39370574350904808</v>
      </c>
      <c r="D46" s="22">
        <f>SUM(D41:D45)</f>
        <v>508.4</v>
      </c>
      <c r="E46" s="113">
        <f>D46/$D$48</f>
        <v>0.20408654811127613</v>
      </c>
      <c r="F46" s="20">
        <f>I46/D46</f>
        <v>0.42010490432544806</v>
      </c>
      <c r="G46" s="19">
        <f>F46/C46-1</f>
        <v>6.7053024375788084E-2</v>
      </c>
      <c r="H46" s="18">
        <f>SUM(H41:H44)</f>
        <v>200.16000000000003</v>
      </c>
      <c r="I46" s="18">
        <f>SUM(I41:I44)</f>
        <v>213.58133335905779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95.369442673749163</v>
      </c>
      <c r="D48" s="13">
        <f>D24+D32+D40+D46</f>
        <v>2491.1</v>
      </c>
      <c r="E48" s="12">
        <f>SUM(E20:E46)/2</f>
        <v>1</v>
      </c>
      <c r="F48" s="11">
        <f>I48/D48</f>
        <v>25.310000000000002</v>
      </c>
      <c r="G48" s="10"/>
      <c r="H48" s="9">
        <f>SUM(H20:H46)/2</f>
        <v>59087.729999999996</v>
      </c>
      <c r="I48" s="9">
        <f>SUM(I20:I46)/2</f>
        <v>63049.741000000002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2491.0999999999995</v>
      </c>
      <c r="E50" s="12">
        <f>D50/G2</f>
        <v>0.99999999999999978</v>
      </c>
      <c r="F50" s="11">
        <f>I50/D50</f>
        <v>25.310000000000006</v>
      </c>
      <c r="G50" s="10"/>
      <c r="H50" s="9">
        <f>H48+H19</f>
        <v>59087.729999999996</v>
      </c>
      <c r="I50" s="9">
        <f>I48+I19</f>
        <v>63049.741000000002</v>
      </c>
      <c r="J50" s="106">
        <f>D50-G2</f>
        <v>0</v>
      </c>
      <c r="K50" s="8"/>
    </row>
    <row r="51" spans="1:11" ht="23.25" x14ac:dyDescent="0.35">
      <c r="A51" s="174" t="s">
        <v>552</v>
      </c>
      <c r="B51" s="169"/>
      <c r="C51" s="170"/>
      <c r="G51" s="7"/>
      <c r="H51" s="6"/>
      <c r="I51" s="6">
        <f>+I50/D50</f>
        <v>25.310000000000006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535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548</v>
      </c>
      <c r="D2" s="96" t="s">
        <v>3</v>
      </c>
      <c r="E2" s="95" t="s">
        <v>112</v>
      </c>
      <c r="F2" s="94" t="s">
        <v>5</v>
      </c>
      <c r="G2" s="93">
        <v>4823.2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64</v>
      </c>
      <c r="F3" s="88" t="s">
        <v>8</v>
      </c>
      <c r="G3" s="87">
        <v>25.94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75.362499999999997</v>
      </c>
      <c r="F4" s="81" t="s">
        <v>12</v>
      </c>
      <c r="G4" s="80">
        <f>G2*G3</f>
        <v>125113.808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-3.8977433509046033E-2</v>
      </c>
      <c r="F6" s="69" t="s">
        <v>16</v>
      </c>
      <c r="G6" s="68">
        <f>(I50-I19)/(D50-(SUM(D42:D44)+D19))</f>
        <v>31.83638464083057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26.909515527884292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28.052390704744244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25.662742607673437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28.052390704744244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/>
      <c r="E14" s="29" t="e">
        <f t="shared" si="1"/>
        <v>#DIV/0!</v>
      </c>
      <c r="F14" s="28">
        <f t="shared" si="2"/>
        <v>31.377118491973189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25.870538094375245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34.1</v>
      </c>
      <c r="D16" s="30"/>
      <c r="E16" s="29" t="e">
        <f t="shared" si="1"/>
        <v>#DIV/0!</v>
      </c>
      <c r="F16" s="28">
        <f t="shared" si="2"/>
        <v>35.429130482658472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50.2</v>
      </c>
      <c r="D17" s="30"/>
      <c r="E17" s="29" t="e">
        <f t="shared" si="1"/>
        <v>#DIV/0!</v>
      </c>
      <c r="F17" s="28">
        <f t="shared" si="2"/>
        <v>52.156667162154115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43.9</v>
      </c>
      <c r="D18" s="30"/>
      <c r="E18" s="29" t="e">
        <f t="shared" si="1"/>
        <v>#DIV/0!</v>
      </c>
      <c r="F18" s="28">
        <f t="shared" si="2"/>
        <v>45.611109331047118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65.2</v>
      </c>
      <c r="D21" s="30">
        <v>61.4</v>
      </c>
      <c r="E21" s="29">
        <f>D21/$D$48</f>
        <v>1.2730137667938299E-2</v>
      </c>
      <c r="F21" s="28">
        <f>C21-(C21*$E$6)</f>
        <v>67.741328664789805</v>
      </c>
      <c r="G21" s="27" t="str">
        <f>IF(C21&gt;=F21,"-","+")</f>
        <v>+</v>
      </c>
      <c r="H21" s="26">
        <f>C21*D21</f>
        <v>4003.28</v>
      </c>
      <c r="I21" s="26">
        <f>F21*D21</f>
        <v>4159.3175800180943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43.8</v>
      </c>
      <c r="D22" s="30">
        <v>133.6</v>
      </c>
      <c r="E22" s="29">
        <f>D22/$D$48</f>
        <v>2.7699452645546525E-2</v>
      </c>
      <c r="F22" s="28">
        <f>C22-(C22*$E$6)</f>
        <v>45.507211587696212</v>
      </c>
      <c r="G22" s="27" t="str">
        <f>IF(C22&gt;=F22,"-","+")</f>
        <v>+</v>
      </c>
      <c r="H22" s="26">
        <f>C22*D22</f>
        <v>5851.6799999999994</v>
      </c>
      <c r="I22" s="26">
        <f>F22*D22</f>
        <v>6079.7634681162135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39.9</v>
      </c>
      <c r="D23" s="30">
        <v>113.4</v>
      </c>
      <c r="E23" s="29">
        <f>D23/$D$48</f>
        <v>2.3511361751534253E-2</v>
      </c>
      <c r="F23" s="28">
        <f>C23-(C23*$E$6)</f>
        <v>41.455199597010932</v>
      </c>
      <c r="G23" s="27" t="str">
        <f>IF(C23&gt;=F23,"-","+")</f>
        <v>+</v>
      </c>
      <c r="H23" s="26">
        <f>C23*D23</f>
        <v>4524.66</v>
      </c>
      <c r="I23" s="26">
        <f>F23*D23</f>
        <v>4701.0196343010402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46.626523994811933</v>
      </c>
      <c r="D24" s="22">
        <f>SUM(D21:D23)</f>
        <v>308.39999999999998</v>
      </c>
      <c r="E24" s="21">
        <f>D24/$D$48</f>
        <v>6.3940952065019069E-2</v>
      </c>
      <c r="F24" s="20">
        <f>I24/D24</f>
        <v>48.44390623357765</v>
      </c>
      <c r="G24" s="19">
        <f>F24/C24-1</f>
        <v>3.8977433509046033E-2</v>
      </c>
      <c r="H24" s="18">
        <f>SUM(H21:H23)</f>
        <v>14379.619999999999</v>
      </c>
      <c r="I24" s="18">
        <f>SUM(I21:I23)</f>
        <v>14940.100682435346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34.799999999999997</v>
      </c>
      <c r="D26" s="30">
        <v>995.4</v>
      </c>
      <c r="E26" s="29">
        <f t="shared" ref="E26:E32" si="7">D26/$D$48</f>
        <v>0.20637750870791177</v>
      </c>
      <c r="F26" s="28">
        <f t="shared" ref="F26:F31" si="8">C26-(C26*$E$6)</f>
        <v>36.1564146861148</v>
      </c>
      <c r="G26" s="27" t="str">
        <f t="shared" ref="G26:G31" si="9">IF(C26&gt;=F26,"-","+")</f>
        <v>+</v>
      </c>
      <c r="H26" s="26">
        <f t="shared" ref="H26:H31" si="10">C26*D26</f>
        <v>34639.919999999998</v>
      </c>
      <c r="I26" s="26">
        <f t="shared" ref="I26:I31" si="11">F26*D26</f>
        <v>35990.095178558673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v>679</v>
      </c>
      <c r="E27" s="29">
        <f t="shared" si="7"/>
        <v>0.14077790678387792</v>
      </c>
      <c r="F27" s="28">
        <f t="shared" si="8"/>
        <v>32.208300438780427</v>
      </c>
      <c r="G27" s="27" t="str">
        <f t="shared" si="9"/>
        <v>+</v>
      </c>
      <c r="H27" s="26">
        <f t="shared" si="10"/>
        <v>21049</v>
      </c>
      <c r="I27" s="26">
        <f t="shared" si="11"/>
        <v>21869.435997931909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v>371.1</v>
      </c>
      <c r="E28" s="29">
        <f t="shared" si="7"/>
        <v>7.6940620335047283E-2</v>
      </c>
      <c r="F28" s="28">
        <f t="shared" si="8"/>
        <v>32.208300438780427</v>
      </c>
      <c r="G28" s="27" t="str">
        <f t="shared" si="9"/>
        <v>+</v>
      </c>
      <c r="H28" s="26">
        <f t="shared" si="10"/>
        <v>11504.1</v>
      </c>
      <c r="I28" s="26">
        <f t="shared" si="11"/>
        <v>11952.500292831417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438.7</v>
      </c>
      <c r="E29" s="29">
        <f t="shared" si="7"/>
        <v>9.0956211643722015E-2</v>
      </c>
      <c r="F29" s="28">
        <f t="shared" si="8"/>
        <v>31.16932300527138</v>
      </c>
      <c r="G29" s="27" t="str">
        <f t="shared" si="9"/>
        <v>+</v>
      </c>
      <c r="H29" s="26">
        <f t="shared" si="10"/>
        <v>13161</v>
      </c>
      <c r="I29" s="26">
        <f t="shared" si="11"/>
        <v>13673.982002412555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313.39999999999998</v>
      </c>
      <c r="E30" s="29">
        <f t="shared" si="7"/>
        <v>6.4977608226903294E-2</v>
      </c>
      <c r="F30" s="28">
        <f t="shared" si="8"/>
        <v>31.16932300527138</v>
      </c>
      <c r="G30" s="27" t="str">
        <f t="shared" si="9"/>
        <v>+</v>
      </c>
      <c r="H30" s="26">
        <f t="shared" si="10"/>
        <v>9402</v>
      </c>
      <c r="I30" s="26">
        <f t="shared" si="11"/>
        <v>9768.4658298520499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30.5</v>
      </c>
      <c r="D31" s="30">
        <v>76.599999999999994</v>
      </c>
      <c r="E31" s="29">
        <f t="shared" si="7"/>
        <v>1.5881572400066345E-2</v>
      </c>
      <c r="F31" s="28">
        <f t="shared" si="8"/>
        <v>31.688811722025903</v>
      </c>
      <c r="G31" s="27" t="str">
        <f t="shared" si="9"/>
        <v>+</v>
      </c>
      <c r="H31" s="26">
        <f t="shared" si="10"/>
        <v>2336.2999999999997</v>
      </c>
      <c r="I31" s="26">
        <f t="shared" si="11"/>
        <v>2427.3629779071839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32.041027068401647</v>
      </c>
      <c r="D32" s="22">
        <f>SUM(D26:D31)</f>
        <v>2874.2</v>
      </c>
      <c r="E32" s="21">
        <f t="shared" si="7"/>
        <v>0.59591142809752862</v>
      </c>
      <c r="F32" s="20">
        <f>I32/D32</f>
        <v>33.289904070521807</v>
      </c>
      <c r="G32" s="19">
        <f>F32/C32-1</f>
        <v>3.8977433509045811E-2</v>
      </c>
      <c r="H32" s="18">
        <f>SUM(H26:H31)</f>
        <v>92092.32</v>
      </c>
      <c r="I32" s="18">
        <f>SUM(I26:I31)</f>
        <v>95681.84227949378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v>742.8</v>
      </c>
      <c r="E34" s="29">
        <f t="shared" ref="E34:E40" si="13">D34/$D$48</f>
        <v>0.15400563940952064</v>
      </c>
      <c r="F34" s="28">
        <f t="shared" ref="F34:F39" si="14">C34-(C34*$E$6)</f>
        <v>19.013287033215544</v>
      </c>
      <c r="G34" s="27" t="str">
        <f t="shared" ref="G34:G39" si="15">IF(C34&gt;=F34,"-","+")</f>
        <v>+</v>
      </c>
      <c r="H34" s="26">
        <f t="shared" ref="H34:H39" si="16">C34*D34</f>
        <v>13593.24</v>
      </c>
      <c r="I34" s="26">
        <f t="shared" ref="I34:I39" si="17">F34*D34</f>
        <v>14123.069608272506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14.649581812477548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11.740444998652221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31.16932300527138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31.16932300527138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/>
      <c r="E39" s="29">
        <f t="shared" si="13"/>
        <v>0</v>
      </c>
      <c r="F39" s="28">
        <f t="shared" si="14"/>
        <v>32.208300438780427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</v>
      </c>
      <c r="D40" s="22">
        <f>SUM(D34:D39)</f>
        <v>742.8</v>
      </c>
      <c r="E40" s="113">
        <f t="shared" si="13"/>
        <v>0.15400563940952064</v>
      </c>
      <c r="F40" s="20">
        <f>I40/D40</f>
        <v>19.013287033215544</v>
      </c>
      <c r="G40" s="19">
        <f>F40/C40-1</f>
        <v>3.8977433509046033E-2</v>
      </c>
      <c r="H40" s="18">
        <f>SUM(H34:H39)</f>
        <v>13593.24</v>
      </c>
      <c r="I40" s="18">
        <f>SUM(I34:I39)</f>
        <v>14123.069608272506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841</v>
      </c>
      <c r="E42" s="107">
        <f>D42/$D$48</f>
        <v>0.17436556642892687</v>
      </c>
      <c r="F42" s="28">
        <f>C42-(C42*$E$6)</f>
        <v>0.41559097340361845</v>
      </c>
      <c r="G42" s="27" t="str">
        <f>IF(C42&gt;=F42,"-","+")</f>
        <v>+</v>
      </c>
      <c r="H42" s="26">
        <f>C42*D42</f>
        <v>336.40000000000003</v>
      </c>
      <c r="I42" s="26">
        <f>F42*D42</f>
        <v>349.5120086324431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46.4</v>
      </c>
      <c r="E43" s="107">
        <f>D43/$D$48</f>
        <v>9.6201691822856202E-3</v>
      </c>
      <c r="F43" s="28">
        <f>C43-(C43*$E$6)</f>
        <v>0.41559097340361845</v>
      </c>
      <c r="G43" s="27" t="str">
        <f>IF(C43&gt;=F43,"-","+")</f>
        <v>+</v>
      </c>
      <c r="H43" s="26">
        <f>C43*D43</f>
        <v>18.559999999999999</v>
      </c>
      <c r="I43" s="26">
        <f>F43*D43</f>
        <v>19.283421165927894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5.9</v>
      </c>
      <c r="E44" s="107">
        <f>D44/$D$48</f>
        <v>1.2232542710233871E-3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</v>
      </c>
      <c r="E45" s="107">
        <f>D45/$D$48</f>
        <v>9.3299054569580362E-4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0.39536645132546228</v>
      </c>
      <c r="D46" s="22">
        <f>SUM(D41:D45)</f>
        <v>897.8</v>
      </c>
      <c r="E46" s="113">
        <f>D46/$D$48</f>
        <v>0.18614198042793167</v>
      </c>
      <c r="F46" s="20">
        <f>I46/D46</f>
        <v>0.41077682089370798</v>
      </c>
      <c r="G46" s="19">
        <f>F46/C46-1</f>
        <v>3.8977433509046033E-2</v>
      </c>
      <c r="H46" s="18">
        <f>SUM(H41:H44)</f>
        <v>354.96000000000004</v>
      </c>
      <c r="I46" s="18">
        <f>SUM(I41:I44)</f>
        <v>368.795429798371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97.362917514539035</v>
      </c>
      <c r="D48" s="13">
        <f>D24+D32+D40+D46</f>
        <v>4823.2</v>
      </c>
      <c r="E48" s="12">
        <f>SUM(E20:E46)/2</f>
        <v>1</v>
      </c>
      <c r="F48" s="11">
        <f>I48/D48</f>
        <v>25.940000000000005</v>
      </c>
      <c r="G48" s="10"/>
      <c r="H48" s="9">
        <f>SUM(H20:H46)/2</f>
        <v>120420.13999999998</v>
      </c>
      <c r="I48" s="9">
        <f>SUM(I20:I46)/2</f>
        <v>125113.80800000002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4823.1999999999989</v>
      </c>
      <c r="E50" s="12">
        <f>D50/G2</f>
        <v>0.99999999999999978</v>
      </c>
      <c r="F50" s="11">
        <f>I50/D50</f>
        <v>25.940000000000008</v>
      </c>
      <c r="G50" s="10"/>
      <c r="H50" s="9">
        <f>H48+H19</f>
        <v>120420.13999999998</v>
      </c>
      <c r="I50" s="9">
        <f>I48+I19</f>
        <v>125113.80800000002</v>
      </c>
      <c r="J50" s="106">
        <f>D50-G2</f>
        <v>0</v>
      </c>
      <c r="K50" s="8"/>
    </row>
    <row r="51" spans="1:11" ht="23.25" x14ac:dyDescent="0.35">
      <c r="A51" s="174" t="s">
        <v>554</v>
      </c>
      <c r="B51" s="169"/>
      <c r="C51" s="170"/>
      <c r="G51" s="7"/>
      <c r="H51" s="6"/>
      <c r="I51" s="6">
        <f>+I50/D50</f>
        <v>25.940000000000008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548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548</v>
      </c>
      <c r="D2" s="96" t="s">
        <v>3</v>
      </c>
      <c r="E2" s="95" t="s">
        <v>71</v>
      </c>
      <c r="F2" s="94" t="s">
        <v>5</v>
      </c>
      <c r="G2" s="93">
        <v>11512.8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160</v>
      </c>
      <c r="F3" s="88" t="s">
        <v>8</v>
      </c>
      <c r="G3" s="87">
        <v>29.09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71.954999999999998</v>
      </c>
      <c r="F4" s="81" t="s">
        <v>12</v>
      </c>
      <c r="G4" s="80">
        <f>G2*G3</f>
        <v>334907.35199999996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-3.0025084994287354E-3</v>
      </c>
      <c r="F6" s="69" t="s">
        <v>16</v>
      </c>
      <c r="G6" s="68">
        <f>(I50-I19)/(D50-(SUM(D42:D44)+D19))</f>
        <v>34.380851999515258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29.1</v>
      </c>
      <c r="D10" s="30"/>
      <c r="E10" s="29">
        <f t="shared" ref="E10:E19" si="1">D10/$D$19</f>
        <v>0</v>
      </c>
      <c r="F10" s="28">
        <f t="shared" ref="F10:F18" si="2">C10-(C10*$E$6)</f>
        <v>29.187372997333377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30.3</v>
      </c>
      <c r="D11" s="30"/>
      <c r="E11" s="29">
        <f t="shared" si="1"/>
        <v>0</v>
      </c>
      <c r="F11" s="28">
        <f t="shared" si="2"/>
        <v>30.390976007532693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27.7</v>
      </c>
      <c r="D12" s="30"/>
      <c r="E12" s="29">
        <f t="shared" si="1"/>
        <v>0</v>
      </c>
      <c r="F12" s="28">
        <f t="shared" si="2"/>
        <v>27.783169485434176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30.3</v>
      </c>
      <c r="D13" s="30"/>
      <c r="E13" s="29">
        <f t="shared" si="1"/>
        <v>0</v>
      </c>
      <c r="F13" s="28">
        <f t="shared" si="2"/>
        <v>30.390976007532693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33.9</v>
      </c>
      <c r="D14" s="30"/>
      <c r="E14" s="29">
        <f t="shared" si="1"/>
        <v>0</v>
      </c>
      <c r="F14" s="28">
        <f t="shared" si="2"/>
        <v>34.001785038130635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27.9</v>
      </c>
      <c r="D15" s="30">
        <v>70.400000000000006</v>
      </c>
      <c r="E15" s="29">
        <f t="shared" si="1"/>
        <v>1</v>
      </c>
      <c r="F15" s="28">
        <f t="shared" si="2"/>
        <v>27.98376998713406</v>
      </c>
      <c r="G15" s="27" t="str">
        <f t="shared" si="3"/>
        <v>+</v>
      </c>
      <c r="H15" s="34">
        <f t="shared" si="4"/>
        <v>1964.16</v>
      </c>
      <c r="I15" s="34">
        <f t="shared" si="5"/>
        <v>1970.057407094238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38.200000000000003</v>
      </c>
      <c r="D16" s="30"/>
      <c r="E16" s="29">
        <f t="shared" si="1"/>
        <v>0</v>
      </c>
      <c r="F16" s="28">
        <f t="shared" si="2"/>
        <v>38.314695824678182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56.3</v>
      </c>
      <c r="D17" s="30"/>
      <c r="E17" s="29">
        <f t="shared" si="1"/>
        <v>0</v>
      </c>
      <c r="F17" s="28">
        <f t="shared" si="2"/>
        <v>56.469041228517838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49.3</v>
      </c>
      <c r="D18" s="30"/>
      <c r="E18" s="29">
        <f t="shared" si="1"/>
        <v>0</v>
      </c>
      <c r="F18" s="28">
        <f t="shared" si="2"/>
        <v>49.448023669021836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27.9</v>
      </c>
      <c r="D19" s="49">
        <f>SUM(D10:D18)</f>
        <v>70.400000000000006</v>
      </c>
      <c r="E19" s="48">
        <f t="shared" si="1"/>
        <v>1</v>
      </c>
      <c r="F19" s="47">
        <f>I19/D19</f>
        <v>27.98376998713406</v>
      </c>
      <c r="G19" s="46">
        <f>F19/C19-1</f>
        <v>3.0025084994287354E-3</v>
      </c>
      <c r="H19" s="9">
        <f>SUM(H10:H18)</f>
        <v>1964.16</v>
      </c>
      <c r="I19" s="9">
        <f>SUM(I10:I18)</f>
        <v>1970.057407094238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73.2</v>
      </c>
      <c r="D21" s="30">
        <v>118.2</v>
      </c>
      <c r="E21" s="29">
        <f>D21/$D$48</f>
        <v>1.0330000699154022E-2</v>
      </c>
      <c r="F21" s="28">
        <f>C21-(C21*$E$6)</f>
        <v>73.419783622158192</v>
      </c>
      <c r="G21" s="27" t="str">
        <f>IF(C21&gt;=F21,"-","+")</f>
        <v>+</v>
      </c>
      <c r="H21" s="26">
        <f>C21*D21</f>
        <v>8652.24</v>
      </c>
      <c r="I21" s="26">
        <f>F21*D21</f>
        <v>8678.2184241390987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49.1</v>
      </c>
      <c r="D22" s="30">
        <v>308.7</v>
      </c>
      <c r="E22" s="29">
        <f>D22/$D$48</f>
        <v>2.6978605886876873E-2</v>
      </c>
      <c r="F22" s="28">
        <f>C22-(C22*$E$6)</f>
        <v>49.247423167321955</v>
      </c>
      <c r="G22" s="27" t="str">
        <f>IF(C22&gt;=F22,"-","+")</f>
        <v>+</v>
      </c>
      <c r="H22" s="26">
        <f>C22*D22</f>
        <v>15157.17</v>
      </c>
      <c r="I22" s="26">
        <f>F22*D22</f>
        <v>15202.679531752286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44.8</v>
      </c>
      <c r="D23" s="30">
        <v>235.4</v>
      </c>
      <c r="E23" s="29">
        <f>D23/$D$48</f>
        <v>2.0572607145354121E-2</v>
      </c>
      <c r="F23" s="28">
        <f>C23-(C23*$E$6)</f>
        <v>44.934512380774407</v>
      </c>
      <c r="G23" s="27" t="str">
        <f>IF(C23&gt;=F23,"-","+")</f>
        <v>+</v>
      </c>
      <c r="H23" s="26">
        <f>C23*D23</f>
        <v>10545.92</v>
      </c>
      <c r="I23" s="26">
        <f>F23*D23</f>
        <v>10577.584214434295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51.872761588404053</v>
      </c>
      <c r="D24" s="22">
        <f>SUM(D21:D23)</f>
        <v>662.3</v>
      </c>
      <c r="E24" s="21">
        <f>D24/$D$48</f>
        <v>5.7881213731385016E-2</v>
      </c>
      <c r="F24" s="20">
        <f>I24/D24</f>
        <v>52.028509995962075</v>
      </c>
      <c r="G24" s="19">
        <f>F24/C24-1</f>
        <v>3.0025084994287354E-3</v>
      </c>
      <c r="H24" s="18">
        <f>SUM(H21:H23)</f>
        <v>34355.33</v>
      </c>
      <c r="I24" s="18">
        <f>SUM(I21:I23)</f>
        <v>34458.482170325682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</v>
      </c>
      <c r="D26" s="30">
        <f>1805.6+554.4</f>
        <v>2360</v>
      </c>
      <c r="E26" s="29">
        <f t="shared" ref="E26:E32" si="7">D26/$D$48</f>
        <v>0.20625043697126474</v>
      </c>
      <c r="F26" s="28">
        <f t="shared" ref="F26:F31" si="8">C26-(C26*$E$6)</f>
        <v>39.117097831477722</v>
      </c>
      <c r="G26" s="27" t="str">
        <f t="shared" ref="G26:G31" si="9">IF(C26&gt;=F26,"-","+")</f>
        <v>+</v>
      </c>
      <c r="H26" s="26">
        <f t="shared" ref="H26:H31" si="10">C26*D26</f>
        <v>92040</v>
      </c>
      <c r="I26" s="26">
        <f t="shared" ref="I26:I31" si="11">F26*D26</f>
        <v>92316.350882287428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34.799999999999997</v>
      </c>
      <c r="D27" s="30">
        <v>1811.1</v>
      </c>
      <c r="E27" s="29">
        <f t="shared" si="7"/>
        <v>0.15827973152485489</v>
      </c>
      <c r="F27" s="28">
        <f t="shared" si="8"/>
        <v>34.904487295780115</v>
      </c>
      <c r="G27" s="27" t="str">
        <f t="shared" si="9"/>
        <v>+</v>
      </c>
      <c r="H27" s="26">
        <f t="shared" si="10"/>
        <v>63026.279999999992</v>
      </c>
      <c r="I27" s="26">
        <f t="shared" si="11"/>
        <v>63215.516941387359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34.799999999999997</v>
      </c>
      <c r="D28" s="30">
        <v>1199.4000000000001</v>
      </c>
      <c r="E28" s="29">
        <f t="shared" si="7"/>
        <v>0.10482066699293854</v>
      </c>
      <c r="F28" s="28">
        <f t="shared" si="8"/>
        <v>34.904487295780115</v>
      </c>
      <c r="G28" s="27" t="str">
        <f t="shared" si="9"/>
        <v>+</v>
      </c>
      <c r="H28" s="26">
        <f t="shared" si="10"/>
        <v>41739.120000000003</v>
      </c>
      <c r="I28" s="26">
        <f t="shared" si="11"/>
        <v>41864.442062558672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33.6</v>
      </c>
      <c r="D29" s="30">
        <v>1066.3</v>
      </c>
      <c r="E29" s="29">
        <f t="shared" si="7"/>
        <v>9.3188491924771008E-2</v>
      </c>
      <c r="F29" s="28">
        <f t="shared" si="8"/>
        <v>33.700884285580806</v>
      </c>
      <c r="G29" s="27" t="str">
        <f t="shared" si="9"/>
        <v>+</v>
      </c>
      <c r="H29" s="26">
        <f t="shared" si="10"/>
        <v>35827.68</v>
      </c>
      <c r="I29" s="26">
        <f t="shared" si="11"/>
        <v>35935.252913714809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33.6</v>
      </c>
      <c r="D30" s="30">
        <v>715</v>
      </c>
      <c r="E30" s="29">
        <f t="shared" si="7"/>
        <v>6.2486890862056901E-2</v>
      </c>
      <c r="F30" s="28">
        <f t="shared" si="8"/>
        <v>33.700884285580806</v>
      </c>
      <c r="G30" s="27" t="str">
        <f t="shared" si="9"/>
        <v>+</v>
      </c>
      <c r="H30" s="26">
        <f t="shared" si="10"/>
        <v>24024</v>
      </c>
      <c r="I30" s="26">
        <f t="shared" si="11"/>
        <v>24096.132264190277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34.200000000000003</v>
      </c>
      <c r="D31" s="30">
        <v>140.19999999999999</v>
      </c>
      <c r="E31" s="29">
        <f t="shared" si="7"/>
        <v>1.2252674264140388E-2</v>
      </c>
      <c r="F31" s="28">
        <f t="shared" si="8"/>
        <v>34.302685790680464</v>
      </c>
      <c r="G31" s="27" t="str">
        <f t="shared" si="9"/>
        <v>+</v>
      </c>
      <c r="H31" s="26">
        <f t="shared" si="10"/>
        <v>4794.84</v>
      </c>
      <c r="I31" s="26">
        <f t="shared" si="11"/>
        <v>4809.2365478534002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35.854624245748766</v>
      </c>
      <c r="D32" s="22">
        <f>SUM(D26:D31)</f>
        <v>7292</v>
      </c>
      <c r="E32" s="21">
        <f t="shared" si="7"/>
        <v>0.63727889254002645</v>
      </c>
      <c r="F32" s="20">
        <f>I32/D32</f>
        <v>35.962278059790449</v>
      </c>
      <c r="G32" s="19">
        <f>F32/C32-1</f>
        <v>3.0025084994287354E-3</v>
      </c>
      <c r="H32" s="18">
        <f>SUM(H26:H31)</f>
        <v>261451.91999999998</v>
      </c>
      <c r="I32" s="18">
        <f>SUM(I26:I31)</f>
        <v>262236.93161199195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20.6</v>
      </c>
      <c r="D34" s="30">
        <v>1662</v>
      </c>
      <c r="E34" s="29">
        <f t="shared" ref="E34:E40" si="13">D34/$D$48</f>
        <v>0.14524924840942458</v>
      </c>
      <c r="F34" s="28">
        <f t="shared" ref="F34:F39" si="14">C34-(C34*$E$6)</f>
        <v>20.661851675088233</v>
      </c>
      <c r="G34" s="27" t="str">
        <f t="shared" ref="G34:G39" si="15">IF(C34&gt;=F34,"-","+")</f>
        <v>+</v>
      </c>
      <c r="H34" s="26">
        <f t="shared" ref="H34:H39" si="16">C34*D34</f>
        <v>34237.200000000004</v>
      </c>
      <c r="I34" s="26">
        <f t="shared" ref="I34:I39" si="17">F34*D34</f>
        <v>34339.997483996645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>
        <v>64.8</v>
      </c>
      <c r="E35" s="29">
        <f t="shared" si="13"/>
        <v>5.6631475914143874E-3</v>
      </c>
      <c r="F35" s="28">
        <f t="shared" si="14"/>
        <v>15.847439634290975</v>
      </c>
      <c r="G35" s="27" t="str">
        <f t="shared" si="15"/>
        <v>+</v>
      </c>
      <c r="H35" s="26">
        <f t="shared" si="16"/>
        <v>1023.84</v>
      </c>
      <c r="I35" s="26">
        <f t="shared" si="17"/>
        <v>1026.9140883020552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12.738131857942744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33.6</v>
      </c>
      <c r="D37" s="30"/>
      <c r="E37" s="29">
        <f t="shared" si="13"/>
        <v>0</v>
      </c>
      <c r="F37" s="28">
        <f t="shared" si="14"/>
        <v>33.700884285580806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33.6</v>
      </c>
      <c r="D38" s="30"/>
      <c r="E38" s="29">
        <f t="shared" si="13"/>
        <v>0</v>
      </c>
      <c r="F38" s="28">
        <f t="shared" si="14"/>
        <v>33.700884285580806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34.799999999999997</v>
      </c>
      <c r="D39" s="30"/>
      <c r="E39" s="29">
        <f t="shared" si="13"/>
        <v>0</v>
      </c>
      <c r="F39" s="28">
        <f t="shared" si="14"/>
        <v>34.904487295780115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20.419874913134123</v>
      </c>
      <c r="D40" s="22">
        <f>SUM(D34:D39)</f>
        <v>1726.8</v>
      </c>
      <c r="E40" s="113">
        <f t="shared" si="13"/>
        <v>0.15091239600083897</v>
      </c>
      <c r="F40" s="20">
        <f>I40/D40</f>
        <v>20.481185761118077</v>
      </c>
      <c r="G40" s="19">
        <f>F40/C40-1</f>
        <v>3.0025084994285134E-3</v>
      </c>
      <c r="H40" s="18">
        <f>SUM(H34:H39)</f>
        <v>35261.040000000001</v>
      </c>
      <c r="I40" s="18">
        <f>SUM(I34:I39)</f>
        <v>35366.911572298697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1694</v>
      </c>
      <c r="E42" s="107">
        <f>D42/$D$48</f>
        <v>0.14804586450395021</v>
      </c>
      <c r="F42" s="28">
        <f>C42-(C42*$E$6)</f>
        <v>0.50150125424971437</v>
      </c>
      <c r="G42" s="27" t="str">
        <f>IF(C42&gt;=F42,"-","+")</f>
        <v>+</v>
      </c>
      <c r="H42" s="26">
        <f>C42*D42</f>
        <v>847</v>
      </c>
      <c r="I42" s="26">
        <f>F42*D42</f>
        <v>849.54312469901618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50.7</v>
      </c>
      <c r="E43" s="107">
        <f>D43/$D$48</f>
        <v>4.4308886247640348E-3</v>
      </c>
      <c r="F43" s="28">
        <f>C43-(C43*$E$6)</f>
        <v>0.50150125424971437</v>
      </c>
      <c r="G43" s="27" t="str">
        <f>IF(C43&gt;=F43,"-","+")</f>
        <v>+</v>
      </c>
      <c r="H43" s="26">
        <f>C43*D43</f>
        <v>25.35</v>
      </c>
      <c r="I43" s="26">
        <f>F43*D43</f>
        <v>25.42611359046052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13.9</v>
      </c>
      <c r="E44" s="107">
        <f>D44/$D$48</f>
        <v>1.2147801160595677E-3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2.7</v>
      </c>
      <c r="E45" s="107">
        <f>D45/$D$48</f>
        <v>2.359644829755995E-4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0.49528757168000903</v>
      </c>
      <c r="D46" s="22">
        <f>SUM(D41:D45)</f>
        <v>1761.3000000000002</v>
      </c>
      <c r="E46" s="113">
        <f>D46/$D$48</f>
        <v>0.15392749772774941</v>
      </c>
      <c r="F46" s="20">
        <f>I46/D46</f>
        <v>0.49677467682363974</v>
      </c>
      <c r="G46" s="19">
        <f>F46/C46-1</f>
        <v>3.0025084994289575E-3</v>
      </c>
      <c r="H46" s="18">
        <f>SUM(H41:H44)</f>
        <v>872.35</v>
      </c>
      <c r="I46" s="18">
        <f>SUM(I41:I44)</f>
        <v>874.96923828947672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108.64254831896694</v>
      </c>
      <c r="D48" s="13">
        <f>D24+D32+D40+D46</f>
        <v>11442.400000000001</v>
      </c>
      <c r="E48" s="12">
        <f>SUM(E20:E46)/2</f>
        <v>0.99999999999999978</v>
      </c>
      <c r="F48" s="11">
        <f>I48/D48</f>
        <v>29.096806141448109</v>
      </c>
      <c r="G48" s="10"/>
      <c r="H48" s="9">
        <f>SUM(H20:H46)/2</f>
        <v>331940.63999999996</v>
      </c>
      <c r="I48" s="9">
        <f>SUM(I20:I46)/2</f>
        <v>332937.29459290591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11512.800000000001</v>
      </c>
      <c r="E50" s="12">
        <f>D50/G2</f>
        <v>1.0000000000000002</v>
      </c>
      <c r="F50" s="11">
        <f>I50/D50</f>
        <v>29.090000000000007</v>
      </c>
      <c r="G50" s="10"/>
      <c r="H50" s="9">
        <f>H48+H19</f>
        <v>333904.79999999993</v>
      </c>
      <c r="I50" s="9">
        <f>I48+I19</f>
        <v>334907.35200000013</v>
      </c>
      <c r="J50" s="106">
        <f>D50-G2</f>
        <v>0</v>
      </c>
      <c r="K50" s="8"/>
    </row>
    <row r="51" spans="1:11" ht="23.25" x14ac:dyDescent="0.35">
      <c r="A51" s="174" t="s">
        <v>555</v>
      </c>
      <c r="B51" s="169"/>
      <c r="C51" s="170"/>
      <c r="G51" s="7"/>
      <c r="H51" s="6"/>
      <c r="I51" s="6">
        <f>+I50/D50</f>
        <v>29.090000000000007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548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548</v>
      </c>
      <c r="D2" s="96" t="s">
        <v>3</v>
      </c>
      <c r="E2" s="95" t="s">
        <v>112</v>
      </c>
      <c r="F2" s="94" t="s">
        <v>5</v>
      </c>
      <c r="G2" s="93">
        <v>10900.1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143</v>
      </c>
      <c r="F3" s="88" t="s">
        <v>8</v>
      </c>
      <c r="G3" s="87">
        <v>25.58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76.224475524475523</v>
      </c>
      <c r="F4" s="81" t="s">
        <v>12</v>
      </c>
      <c r="G4" s="80">
        <f>G2*G3</f>
        <v>278824.55800000002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-6.9816769343532092E-2</v>
      </c>
      <c r="F6" s="69" t="s">
        <v>16</v>
      </c>
      <c r="G6" s="68">
        <f>(I50-I19)/(D50-(SUM(D42:D44)+D19))</f>
        <v>31.510585025607366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25.6</v>
      </c>
      <c r="D10" s="30"/>
      <c r="E10" s="29">
        <f t="shared" ref="E10:E19" si="1">D10/$D$19</f>
        <v>0</v>
      </c>
      <c r="F10" s="28">
        <f t="shared" ref="F10:F18" si="2">C10-(C10*$E$6)</f>
        <v>27.387309295194424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26.6</v>
      </c>
      <c r="D11" s="30"/>
      <c r="E11" s="29">
        <f t="shared" si="1"/>
        <v>0</v>
      </c>
      <c r="F11" s="28">
        <f t="shared" si="2"/>
        <v>28.457126064537956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24.3</v>
      </c>
      <c r="D12" s="30"/>
      <c r="E12" s="29">
        <f t="shared" si="1"/>
        <v>0</v>
      </c>
      <c r="F12" s="28">
        <f t="shared" si="2"/>
        <v>25.996547495047832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26.6</v>
      </c>
      <c r="D13" s="30"/>
      <c r="E13" s="29">
        <f t="shared" si="1"/>
        <v>0</v>
      </c>
      <c r="F13" s="28">
        <f t="shared" si="2"/>
        <v>28.457126064537956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29.8</v>
      </c>
      <c r="D14" s="30"/>
      <c r="E14" s="29">
        <f t="shared" si="1"/>
        <v>0</v>
      </c>
      <c r="F14" s="28">
        <f t="shared" si="2"/>
        <v>31.880539726437256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24.6</v>
      </c>
      <c r="D15" s="30"/>
      <c r="E15" s="29">
        <f t="shared" si="1"/>
        <v>0</v>
      </c>
      <c r="F15" s="28">
        <f t="shared" si="2"/>
        <v>26.317492525850891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33.6</v>
      </c>
      <c r="D16" s="30">
        <v>32</v>
      </c>
      <c r="E16" s="29">
        <f t="shared" si="1"/>
        <v>0.34042553191489361</v>
      </c>
      <c r="F16" s="28">
        <f t="shared" si="2"/>
        <v>35.945843449942679</v>
      </c>
      <c r="G16" s="27" t="str">
        <f t="shared" si="3"/>
        <v>+</v>
      </c>
      <c r="H16" s="34">
        <f t="shared" si="4"/>
        <v>1075.2</v>
      </c>
      <c r="I16" s="34">
        <f t="shared" si="5"/>
        <v>1150.2669903981657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49.5</v>
      </c>
      <c r="D17" s="30">
        <v>62</v>
      </c>
      <c r="E17" s="29">
        <f t="shared" si="1"/>
        <v>0.65957446808510634</v>
      </c>
      <c r="F17" s="28">
        <f t="shared" si="2"/>
        <v>52.955930082504835</v>
      </c>
      <c r="G17" s="27" t="str">
        <f t="shared" si="3"/>
        <v>+</v>
      </c>
      <c r="H17" s="34">
        <f t="shared" si="4"/>
        <v>3069</v>
      </c>
      <c r="I17" s="34">
        <f t="shared" si="5"/>
        <v>3283.2676651152997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43.3</v>
      </c>
      <c r="D18" s="30"/>
      <c r="E18" s="29">
        <f t="shared" si="1"/>
        <v>0</v>
      </c>
      <c r="F18" s="28">
        <f t="shared" si="2"/>
        <v>46.323066112574935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44.087234042553192</v>
      </c>
      <c r="D19" s="49">
        <f>SUM(D10:D18)</f>
        <v>94</v>
      </c>
      <c r="E19" s="48">
        <f t="shared" si="1"/>
        <v>1</v>
      </c>
      <c r="F19" s="47">
        <f>I19/D19</f>
        <v>47.16526229269644</v>
      </c>
      <c r="G19" s="46">
        <f>F19/C19-1</f>
        <v>6.9816769343532092E-2</v>
      </c>
      <c r="H19" s="9">
        <f>SUM(H10:H18)</f>
        <v>4144.2</v>
      </c>
      <c r="I19" s="9">
        <f>SUM(I10:I18)</f>
        <v>4433.5346555134656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64.3</v>
      </c>
      <c r="D21" s="30">
        <v>118.6</v>
      </c>
      <c r="E21" s="29">
        <f>D21/$D$48</f>
        <v>1.0975282479340372E-2</v>
      </c>
      <c r="F21" s="28">
        <f>C21-(C21*$E$6)</f>
        <v>68.789218268789114</v>
      </c>
      <c r="G21" s="27" t="str">
        <f>IF(C21&gt;=F21,"-","+")</f>
        <v>+</v>
      </c>
      <c r="H21" s="26">
        <f>C21*D21</f>
        <v>7625.98</v>
      </c>
      <c r="I21" s="26">
        <f>F21*D21</f>
        <v>8158.4012866783887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43.2</v>
      </c>
      <c r="D22" s="30">
        <v>236</v>
      </c>
      <c r="E22" s="29">
        <f>D22/$D$48</f>
        <v>2.1839516569345092E-2</v>
      </c>
      <c r="F22" s="28">
        <f>C22-(C22*$E$6)</f>
        <v>46.216084435640589</v>
      </c>
      <c r="G22" s="27" t="str">
        <f>IF(C22&gt;=F22,"-","+")</f>
        <v>+</v>
      </c>
      <c r="H22" s="26">
        <f>C22*D22</f>
        <v>10195.200000000001</v>
      </c>
      <c r="I22" s="26">
        <f>F22*D22</f>
        <v>10906.99592681118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39.4</v>
      </c>
      <c r="D23" s="30">
        <v>161.9</v>
      </c>
      <c r="E23" s="29">
        <f>D23/$D$48</f>
        <v>1.4982278527868518E-2</v>
      </c>
      <c r="F23" s="28">
        <f>C23-(C23*$E$6)</f>
        <v>42.150780712135166</v>
      </c>
      <c r="G23" s="27" t="str">
        <f>IF(C23&gt;=F23,"-","+")</f>
        <v>+</v>
      </c>
      <c r="H23" s="26">
        <f>C23*D23</f>
        <v>6378.86</v>
      </c>
      <c r="I23" s="26">
        <f>F23*D23</f>
        <v>6824.2113972946836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46.853901258470479</v>
      </c>
      <c r="D24" s="22">
        <f>SUM(D21:D23)</f>
        <v>516.5</v>
      </c>
      <c r="E24" s="21">
        <f>D24/$D$48</f>
        <v>4.7797077576553978E-2</v>
      </c>
      <c r="F24" s="20">
        <f>I24/D24</f>
        <v>50.125089275477734</v>
      </c>
      <c r="G24" s="19">
        <f>F24/C24-1</f>
        <v>6.981676934353187E-2</v>
      </c>
      <c r="H24" s="18">
        <f>SUM(H21:H23)</f>
        <v>24200.04</v>
      </c>
      <c r="I24" s="18">
        <f>SUM(I21:I23)</f>
        <v>25889.608610784249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34.299999999999997</v>
      </c>
      <c r="D26" s="30">
        <v>1983.2</v>
      </c>
      <c r="E26" s="29">
        <f t="shared" ref="E26:E32" si="7">D26/$D$48</f>
        <v>0.18352597144205587</v>
      </c>
      <c r="F26" s="28">
        <f t="shared" ref="F26:F31" si="8">C26-(C26*$E$6)</f>
        <v>36.694715188483144</v>
      </c>
      <c r="G26" s="27" t="str">
        <f t="shared" ref="G26:G31" si="9">IF(C26&gt;=F26,"-","+")</f>
        <v>+</v>
      </c>
      <c r="H26" s="26">
        <f t="shared" ref="H26:H31" si="10">C26*D26</f>
        <v>68023.759999999995</v>
      </c>
      <c r="I26" s="26">
        <f t="shared" ref="I26:I31" si="11">F26*D26</f>
        <v>72772.959161799779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30.6</v>
      </c>
      <c r="D27" s="30">
        <v>1600.4</v>
      </c>
      <c r="E27" s="29">
        <f t="shared" si="7"/>
        <v>0.14810153524398256</v>
      </c>
      <c r="F27" s="28">
        <f t="shared" si="8"/>
        <v>32.736393141912082</v>
      </c>
      <c r="G27" s="27" t="str">
        <f t="shared" si="9"/>
        <v>+</v>
      </c>
      <c r="H27" s="26">
        <f t="shared" si="10"/>
        <v>48972.240000000005</v>
      </c>
      <c r="I27" s="26">
        <f t="shared" si="11"/>
        <v>52391.323584316102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30.6</v>
      </c>
      <c r="D28" s="30">
        <v>921.9</v>
      </c>
      <c r="E28" s="29">
        <f t="shared" si="7"/>
        <v>8.5312925107115425E-2</v>
      </c>
      <c r="F28" s="28">
        <f t="shared" si="8"/>
        <v>32.736393141912082</v>
      </c>
      <c r="G28" s="27" t="str">
        <f t="shared" si="9"/>
        <v>+</v>
      </c>
      <c r="H28" s="26">
        <f t="shared" si="10"/>
        <v>28210.14</v>
      </c>
      <c r="I28" s="26">
        <f t="shared" si="11"/>
        <v>30179.680837528747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29.5</v>
      </c>
      <c r="D29" s="30">
        <v>937.6</v>
      </c>
      <c r="E29" s="29">
        <f t="shared" si="7"/>
        <v>8.6765808200923555E-2</v>
      </c>
      <c r="F29" s="28">
        <f t="shared" si="8"/>
        <v>31.559594695634196</v>
      </c>
      <c r="G29" s="27" t="str">
        <f t="shared" si="9"/>
        <v>+</v>
      </c>
      <c r="H29" s="26">
        <f t="shared" si="10"/>
        <v>27659.200000000001</v>
      </c>
      <c r="I29" s="26">
        <f t="shared" si="11"/>
        <v>29590.275986626624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29.5</v>
      </c>
      <c r="D30" s="30">
        <v>667</v>
      </c>
      <c r="E30" s="29">
        <f t="shared" si="7"/>
        <v>6.1724396405733795E-2</v>
      </c>
      <c r="F30" s="28">
        <f t="shared" si="8"/>
        <v>31.559594695634196</v>
      </c>
      <c r="G30" s="27" t="str">
        <f t="shared" si="9"/>
        <v>+</v>
      </c>
      <c r="H30" s="26">
        <f t="shared" si="10"/>
        <v>19676.5</v>
      </c>
      <c r="I30" s="26">
        <f t="shared" si="11"/>
        <v>21050.249661988008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30.1</v>
      </c>
      <c r="D31" s="30">
        <v>155.4</v>
      </c>
      <c r="E31" s="29">
        <f t="shared" si="7"/>
        <v>1.4380766418967066E-2</v>
      </c>
      <c r="F31" s="28">
        <f t="shared" si="8"/>
        <v>32.201484757240316</v>
      </c>
      <c r="G31" s="27" t="str">
        <f t="shared" si="9"/>
        <v>+</v>
      </c>
      <c r="H31" s="26">
        <f t="shared" si="10"/>
        <v>4677.54</v>
      </c>
      <c r="I31" s="26">
        <f t="shared" si="11"/>
        <v>5004.1107312751456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31.477037746388962</v>
      </c>
      <c r="D32" s="22">
        <f>SUM(D26:D31)</f>
        <v>6265.5</v>
      </c>
      <c r="E32" s="21">
        <f t="shared" si="7"/>
        <v>0.5798114028187783</v>
      </c>
      <c r="F32" s="20">
        <f>I32/D32</f>
        <v>33.674662830346243</v>
      </c>
      <c r="G32" s="19">
        <f>F32/C32-1</f>
        <v>6.9816769343531648E-2</v>
      </c>
      <c r="H32" s="18">
        <f>SUM(H26:H31)</f>
        <v>197219.38000000003</v>
      </c>
      <c r="I32" s="18">
        <f>SUM(I26:I31)</f>
        <v>210988.59996353439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18.100000000000001</v>
      </c>
      <c r="D34" s="30">
        <f>995.8+799.2</f>
        <v>1795</v>
      </c>
      <c r="E34" s="29">
        <f t="shared" ref="E34:E40" si="13">D34/$D$48</f>
        <v>0.16610988238124763</v>
      </c>
      <c r="F34" s="28">
        <f t="shared" ref="F34:F39" si="14">C34-(C34*$E$6)</f>
        <v>19.363683525117931</v>
      </c>
      <c r="G34" s="27" t="str">
        <f t="shared" ref="G34:G39" si="15">IF(C34&gt;=F34,"-","+")</f>
        <v>+</v>
      </c>
      <c r="H34" s="26">
        <f t="shared" ref="H34:H39" si="16">C34*D34</f>
        <v>32489.500000000004</v>
      </c>
      <c r="I34" s="26">
        <f t="shared" ref="I34:I39" si="17">F34*D34</f>
        <v>34757.811927586685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>
        <v>125.1</v>
      </c>
      <c r="E35" s="29">
        <f t="shared" si="13"/>
        <v>1.1576794588241825E-2</v>
      </c>
      <c r="F35" s="28">
        <f t="shared" si="14"/>
        <v>14.870453093875096</v>
      </c>
      <c r="G35" s="27" t="str">
        <f t="shared" si="15"/>
        <v>+</v>
      </c>
      <c r="H35" s="26">
        <f t="shared" si="16"/>
        <v>1738.8899999999999</v>
      </c>
      <c r="I35" s="26">
        <f t="shared" si="17"/>
        <v>1860.2936820437744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11.981947816647558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29.5</v>
      </c>
      <c r="D37" s="30"/>
      <c r="E37" s="29">
        <f t="shared" si="13"/>
        <v>0</v>
      </c>
      <c r="F37" s="28">
        <f t="shared" si="14"/>
        <v>31.559594695634196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29.5</v>
      </c>
      <c r="D38" s="30"/>
      <c r="E38" s="29">
        <f t="shared" si="13"/>
        <v>0</v>
      </c>
      <c r="F38" s="28">
        <f t="shared" si="14"/>
        <v>31.559594695634196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30.6</v>
      </c>
      <c r="D39" s="30"/>
      <c r="E39" s="29">
        <f t="shared" si="13"/>
        <v>0</v>
      </c>
      <c r="F39" s="28">
        <f t="shared" si="14"/>
        <v>32.736393141912082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17.826358002187391</v>
      </c>
      <c r="D40" s="22">
        <f>SUM(D34:D39)</f>
        <v>1920.1</v>
      </c>
      <c r="E40" s="113">
        <f t="shared" si="13"/>
        <v>0.17768667696948945</v>
      </c>
      <c r="F40" s="20">
        <f>I40/D40</f>
        <v>19.07093672706133</v>
      </c>
      <c r="G40" s="19">
        <f>F40/C40-1</f>
        <v>6.981676934353187E-2</v>
      </c>
      <c r="H40" s="18">
        <f>SUM(H34:H39)</f>
        <v>34228.390000000007</v>
      </c>
      <c r="I40" s="18">
        <f>SUM(I34:I39)</f>
        <v>36618.10560963046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116.5+982+924.9</f>
        <v>2023.4</v>
      </c>
      <c r="E42" s="107">
        <f>D42/$D$48</f>
        <v>0.18724609248480026</v>
      </c>
      <c r="F42" s="28">
        <f>C42-(C42*$E$6)</f>
        <v>0.42792670773741287</v>
      </c>
      <c r="G42" s="27" t="str">
        <f>IF(C42&gt;=F42,"-","+")</f>
        <v>+</v>
      </c>
      <c r="H42" s="26">
        <f>C42*D42</f>
        <v>809.36000000000013</v>
      </c>
      <c r="I42" s="26">
        <f>F42*D42</f>
        <v>865.86690043588123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67.400000000000006</v>
      </c>
      <c r="E43" s="107">
        <f>D43/$D$48</f>
        <v>6.2372178676858448E-3</v>
      </c>
      <c r="F43" s="28">
        <f>C43-(C43*$E$6)</f>
        <v>0.42792670773741287</v>
      </c>
      <c r="G43" s="27" t="str">
        <f>IF(C43&gt;=F43,"-","+")</f>
        <v>+</v>
      </c>
      <c r="H43" s="26">
        <f>C43*D43</f>
        <v>26.960000000000004</v>
      </c>
      <c r="I43" s="26">
        <f>F43*D43</f>
        <v>28.84226010150163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7.4</v>
      </c>
      <c r="E44" s="107">
        <f>D44/$D$48</f>
        <v>6.8479840090319359E-4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5.8</v>
      </c>
      <c r="E45" s="107">
        <f>D45/$D$48</f>
        <v>5.3673388178898955E-4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0.39749049429657796</v>
      </c>
      <c r="D46" s="22">
        <f>SUM(D41:D45)</f>
        <v>2104.0000000000005</v>
      </c>
      <c r="E46" s="113">
        <f>D46/$D$48</f>
        <v>0.19470484263517832</v>
      </c>
      <c r="F46" s="20">
        <f>I46/D46</f>
        <v>0.42524199645312866</v>
      </c>
      <c r="G46" s="19">
        <f>F46/C46-1</f>
        <v>6.9816769343532092E-2</v>
      </c>
      <c r="H46" s="18">
        <f>SUM(H41:H44)</f>
        <v>836.32000000000016</v>
      </c>
      <c r="I46" s="18">
        <f>SUM(I41:I44)</f>
        <v>894.7091605373829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96.554787501343412</v>
      </c>
      <c r="D48" s="13">
        <f>D24+D32+D40+D46</f>
        <v>10806.1</v>
      </c>
      <c r="E48" s="12">
        <f>SUM(E20:E46)/2</f>
        <v>1.0000000000000002</v>
      </c>
      <c r="F48" s="11">
        <f>I48/D48</f>
        <v>25.39223432547232</v>
      </c>
      <c r="G48" s="10"/>
      <c r="H48" s="9">
        <f>SUM(H20:H46)/2</f>
        <v>256484.13000000006</v>
      </c>
      <c r="I48" s="9">
        <f>SUM(I20:I46)/2</f>
        <v>274391.02334448643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10900.100000000002</v>
      </c>
      <c r="E50" s="12">
        <f>D50/G2</f>
        <v>1.0000000000000002</v>
      </c>
      <c r="F50" s="11">
        <f>I50/D50</f>
        <v>25.579999999999988</v>
      </c>
      <c r="G50" s="10"/>
      <c r="H50" s="9">
        <f>H48+H19</f>
        <v>260628.33000000007</v>
      </c>
      <c r="I50" s="9">
        <f>I48+I19</f>
        <v>278824.5579999999</v>
      </c>
      <c r="J50" s="106">
        <f>D50-G2</f>
        <v>0</v>
      </c>
      <c r="K50" s="8"/>
    </row>
    <row r="51" spans="1:11" ht="23.25" x14ac:dyDescent="0.35">
      <c r="A51" s="174" t="s">
        <v>556</v>
      </c>
      <c r="B51" s="169"/>
      <c r="C51" s="170"/>
      <c r="G51" s="7"/>
      <c r="H51" s="6"/>
      <c r="I51" s="6">
        <f>+I50/D50</f>
        <v>25.579999999999988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548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557</v>
      </c>
      <c r="D2" s="96" t="s">
        <v>3</v>
      </c>
      <c r="E2" s="95" t="s">
        <v>107</v>
      </c>
      <c r="F2" s="94" t="s">
        <v>5</v>
      </c>
      <c r="G2" s="93">
        <v>5189.3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92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56.405434782608701</v>
      </c>
      <c r="F4" s="81" t="s">
        <v>12</v>
      </c>
      <c r="G4" s="80">
        <f>G2*G3</f>
        <v>145300.4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-1.1792820218141431E-2</v>
      </c>
      <c r="F6" s="69" t="s">
        <v>16</v>
      </c>
      <c r="G6" s="68">
        <f>(I50-I19)/(D50-(SUM(D42:D44)+D19))</f>
        <v>33.802582296149822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28.330198966107961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29.544350350369729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26.913689017802565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29.544350350369729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32.98444593911141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27.217226863868003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37.233975784027599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54.839170855823269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47.958979678339901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69.400000000000006</v>
      </c>
      <c r="E21" s="29">
        <f>D21/$D$48</f>
        <v>1.3373672749696494E-2</v>
      </c>
      <c r="F21" s="28">
        <f>C21-(C21*$E$6)</f>
        <v>71.230214543357164</v>
      </c>
      <c r="G21" s="27" t="str">
        <f>IF(C21&gt;=F21,"-","+")</f>
        <v>+</v>
      </c>
      <c r="H21" s="26">
        <f>C21*D21</f>
        <v>4885.7600000000011</v>
      </c>
      <c r="I21" s="26">
        <f>F21*D21</f>
        <v>4943.3768893089873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139.6</v>
      </c>
      <c r="E22" s="29">
        <f>D22/$D$48</f>
        <v>2.6901508874029256E-2</v>
      </c>
      <c r="F22" s="28">
        <f>C22-(C22*$E$6)</f>
        <v>47.857800396318083</v>
      </c>
      <c r="G22" s="27" t="str">
        <f>IF(C22&gt;=F22,"-","+")</f>
        <v>+</v>
      </c>
      <c r="H22" s="26">
        <f>C22*D22</f>
        <v>6603.079999999999</v>
      </c>
      <c r="I22" s="26">
        <f>F22*D22</f>
        <v>6680.9489353260042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128.69999999999999</v>
      </c>
      <c r="E23" s="29">
        <f>D23/$D$48</f>
        <v>2.4801032894610064E-2</v>
      </c>
      <c r="F23" s="28">
        <f>C23-(C23*$E$6)</f>
        <v>43.608270551401894</v>
      </c>
      <c r="G23" s="27" t="str">
        <f>IF(C23&gt;=F23,"-","+")</f>
        <v>+</v>
      </c>
      <c r="H23" s="26">
        <f>C23*D23</f>
        <v>5546.9699999999993</v>
      </c>
      <c r="I23" s="26">
        <f>F23*D23</f>
        <v>5612.3844199654231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50.446579804560258</v>
      </c>
      <c r="D24" s="22">
        <f>SUM(D21:D23)</f>
        <v>337.7</v>
      </c>
      <c r="E24" s="21">
        <f>D24/$D$48</f>
        <v>6.5076214518335812E-2</v>
      </c>
      <c r="F24" s="20">
        <f>I24/D24</f>
        <v>51.041487250815557</v>
      </c>
      <c r="G24" s="19">
        <f>F24/C24-1</f>
        <v>1.1792820218141431E-2</v>
      </c>
      <c r="H24" s="18">
        <f>SUM(H21:H23)</f>
        <v>17035.809999999998</v>
      </c>
      <c r="I24" s="18">
        <f>SUM(I21:I23)</f>
        <v>17236.710244600414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1031.9000000000001</v>
      </c>
      <c r="E26" s="29">
        <f t="shared" ref="E26:E32" si="7">D26/$D$48</f>
        <v>0.19885148285895982</v>
      </c>
      <c r="F26" s="28">
        <f t="shared" ref="F26:F31" si="8">C26-(C26*$E$6)</f>
        <v>38.043410040202119</v>
      </c>
      <c r="G26" s="27" t="str">
        <f t="shared" ref="G26:G31" si="9">IF(C26&gt;=F26,"-","+")</f>
        <v>+</v>
      </c>
      <c r="H26" s="26">
        <f t="shared" ref="H26:H31" si="10">C26*D26</f>
        <v>38799.440000000002</v>
      </c>
      <c r="I26" s="26">
        <f t="shared" ref="I26:I31" si="11">F26*D26</f>
        <v>39256.994820484571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821.1</v>
      </c>
      <c r="E27" s="29">
        <f t="shared" si="7"/>
        <v>0.15822943364230246</v>
      </c>
      <c r="F27" s="28">
        <f t="shared" si="8"/>
        <v>33.89505947730774</v>
      </c>
      <c r="G27" s="27" t="str">
        <f t="shared" si="9"/>
        <v>+</v>
      </c>
      <c r="H27" s="26">
        <f t="shared" si="10"/>
        <v>27506.850000000002</v>
      </c>
      <c r="I27" s="26">
        <f t="shared" si="11"/>
        <v>27831.233336817386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480</v>
      </c>
      <c r="E28" s="29">
        <f t="shared" si="7"/>
        <v>9.2498024781762486E-2</v>
      </c>
      <c r="F28" s="28">
        <f t="shared" si="8"/>
        <v>33.89505947730774</v>
      </c>
      <c r="G28" s="27" t="str">
        <f t="shared" si="9"/>
        <v>+</v>
      </c>
      <c r="H28" s="26">
        <f t="shared" si="10"/>
        <v>16080</v>
      </c>
      <c r="I28" s="26">
        <f t="shared" si="11"/>
        <v>16269.628549107714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481.9</v>
      </c>
      <c r="E29" s="29">
        <f t="shared" si="7"/>
        <v>9.2864162796523625E-2</v>
      </c>
      <c r="F29" s="28">
        <f t="shared" si="8"/>
        <v>32.680908093045964</v>
      </c>
      <c r="G29" s="27" t="str">
        <f t="shared" si="9"/>
        <v>+</v>
      </c>
      <c r="H29" s="26">
        <f t="shared" si="10"/>
        <v>15565.369999999997</v>
      </c>
      <c r="I29" s="26">
        <f t="shared" si="11"/>
        <v>15748.929610038849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363</v>
      </c>
      <c r="E30" s="29">
        <f t="shared" si="7"/>
        <v>6.9951631241207873E-2</v>
      </c>
      <c r="F30" s="28">
        <f t="shared" si="8"/>
        <v>32.680908093045964</v>
      </c>
      <c r="G30" s="27" t="str">
        <f t="shared" si="9"/>
        <v>+</v>
      </c>
      <c r="H30" s="26">
        <f t="shared" si="10"/>
        <v>11724.9</v>
      </c>
      <c r="I30" s="26">
        <f t="shared" si="11"/>
        <v>11863.169637775685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81.099999999999994</v>
      </c>
      <c r="E31" s="29">
        <f t="shared" si="7"/>
        <v>1.5628312103751953E-2</v>
      </c>
      <c r="F31" s="28">
        <f t="shared" si="8"/>
        <v>33.287983785176849</v>
      </c>
      <c r="G31" s="27" t="str">
        <f t="shared" si="9"/>
        <v>+</v>
      </c>
      <c r="H31" s="26">
        <f t="shared" si="10"/>
        <v>2668.1899999999996</v>
      </c>
      <c r="I31" s="26">
        <f t="shared" si="11"/>
        <v>2699.6554849778422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34.472154034980058</v>
      </c>
      <c r="D32" s="22">
        <f>SUM(D26:D31)</f>
        <v>3259</v>
      </c>
      <c r="E32" s="21">
        <f t="shared" si="7"/>
        <v>0.62802304742450821</v>
      </c>
      <c r="F32" s="20">
        <f>I32/D32</f>
        <v>34.878677950046658</v>
      </c>
      <c r="G32" s="19">
        <f>F32/C32-1</f>
        <v>1.1792820218141431E-2</v>
      </c>
      <c r="H32" s="18">
        <f>SUM(H26:H31)</f>
        <v>112344.75</v>
      </c>
      <c r="I32" s="18">
        <f>SUM(I26:I31)</f>
        <v>113669.61143920205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696.2</v>
      </c>
      <c r="E34" s="29">
        <f t="shared" ref="E34:E40" si="13">D34/$D$48</f>
        <v>0.13416067677721469</v>
      </c>
      <c r="F34" s="28">
        <f t="shared" ref="F34:F39" si="14">C34-(C34*$E$6)</f>
        <v>20.0334978403192</v>
      </c>
      <c r="G34" s="27" t="str">
        <f t="shared" ref="G34:G39" si="15">IF(C34&gt;=F34,"-","+")</f>
        <v>+</v>
      </c>
      <c r="H34" s="26">
        <f t="shared" ref="H34:H39" si="16">C34*D34</f>
        <v>13784.760000000002</v>
      </c>
      <c r="I34" s="26">
        <f t="shared" ref="I34:I39" si="17">F34*D34</f>
        <v>13947.321196430228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15.379250867315749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12.343872406661324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32.680908093045964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32.680908093045964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33.89505947730774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696.2</v>
      </c>
      <c r="E40" s="113">
        <f t="shared" si="13"/>
        <v>0.13416067677721469</v>
      </c>
      <c r="F40" s="20">
        <f>I40/D40</f>
        <v>20.0334978403192</v>
      </c>
      <c r="G40" s="19">
        <f>F40/C40-1</f>
        <v>1.1792820218141431E-2</v>
      </c>
      <c r="H40" s="18">
        <f>SUM(H34:H39)</f>
        <v>13784.760000000002</v>
      </c>
      <c r="I40" s="18">
        <f>SUM(I34:I39)</f>
        <v>13947.321196430228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863</v>
      </c>
      <c r="E42" s="107">
        <f>D42/$D$48</f>
        <v>0.16630374038887713</v>
      </c>
      <c r="F42" s="28">
        <f>C42-(C42*$E$6)</f>
        <v>0.50589641010907072</v>
      </c>
      <c r="G42" s="27" t="str">
        <f>IF(C42&gt;=F42,"-","+")</f>
        <v>+</v>
      </c>
      <c r="H42" s="26">
        <f>C42*D42</f>
        <v>431.5</v>
      </c>
      <c r="I42" s="26">
        <f>F42*D42</f>
        <v>436.588601924128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20.100000000000001</v>
      </c>
      <c r="E43" s="107">
        <f>D43/$D$48</f>
        <v>3.8733547877363044E-3</v>
      </c>
      <c r="F43" s="28">
        <f>C43-(C43*$E$6)</f>
        <v>0.50589641010907072</v>
      </c>
      <c r="G43" s="27" t="str">
        <f>IF(C43&gt;=F43,"-","+")</f>
        <v>+</v>
      </c>
      <c r="H43" s="26">
        <f>C43*D43</f>
        <v>10.050000000000001</v>
      </c>
      <c r="I43" s="26">
        <f>F43*D43</f>
        <v>10.168517843192323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7.7</v>
      </c>
      <c r="E44" s="107">
        <f>D44/$D$48</f>
        <v>1.4838224808741065E-3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5.6</v>
      </c>
      <c r="E45" s="107">
        <f>D45/$D$48</f>
        <v>1.0791436224538956E-3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0.49258143685854527</v>
      </c>
      <c r="D46" s="22">
        <f>SUM(D41:D45)</f>
        <v>896.40000000000009</v>
      </c>
      <c r="E46" s="113">
        <f>D46/$D$48</f>
        <v>0.17274006127994146</v>
      </c>
      <c r="F46" s="20">
        <f>I46/D46</f>
        <v>0.49839036118621183</v>
      </c>
      <c r="G46" s="19">
        <f>F46/C46-1</f>
        <v>1.1792820218141209E-2</v>
      </c>
      <c r="H46" s="18">
        <f>SUM(H41:H44)</f>
        <v>441.55</v>
      </c>
      <c r="I46" s="18">
        <f>SUM(I41:I44)</f>
        <v>446.75711976732032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105.21131527639886</v>
      </c>
      <c r="D48" s="13">
        <f>D24+D32+D40+D46</f>
        <v>5189.2999999999993</v>
      </c>
      <c r="E48" s="12">
        <f>SUM(E20:E46)/2</f>
        <v>1.0000000000000004</v>
      </c>
      <c r="F48" s="11">
        <f>I48/D48</f>
        <v>28.000000000000007</v>
      </c>
      <c r="G48" s="10"/>
      <c r="H48" s="9">
        <f>SUM(H20:H46)/2</f>
        <v>143606.87</v>
      </c>
      <c r="I48" s="9">
        <f>SUM(I20:I46)/2</f>
        <v>145300.40000000002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5189.3</v>
      </c>
      <c r="E50" s="12">
        <f>D50/G2</f>
        <v>1</v>
      </c>
      <c r="F50" s="11">
        <f>I50/D50</f>
        <v>28.000000000000004</v>
      </c>
      <c r="G50" s="10"/>
      <c r="H50" s="9">
        <f>H48+H19</f>
        <v>143606.87</v>
      </c>
      <c r="I50" s="9">
        <f>I48+I19</f>
        <v>145300.40000000002</v>
      </c>
      <c r="J50" s="106">
        <f>D50-G2</f>
        <v>0</v>
      </c>
      <c r="K50" s="8"/>
    </row>
    <row r="51" spans="1:11" ht="23.25" x14ac:dyDescent="0.35">
      <c r="A51" s="174" t="s">
        <v>558</v>
      </c>
      <c r="B51" s="169"/>
      <c r="C51" s="170"/>
      <c r="G51" s="7"/>
      <c r="H51" s="6"/>
      <c r="I51" s="6">
        <f>+I50/D50</f>
        <v>28.000000000000004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530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530</v>
      </c>
      <c r="D2" s="96" t="s">
        <v>3</v>
      </c>
      <c r="E2" s="95" t="s">
        <v>362</v>
      </c>
      <c r="F2" s="94" t="s">
        <v>5</v>
      </c>
      <c r="G2" s="93">
        <v>25850.2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344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75.145930232558143</v>
      </c>
      <c r="F4" s="81" t="s">
        <v>12</v>
      </c>
      <c r="G4" s="80">
        <f>G2*G3</f>
        <v>749655.8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-2.881115420455993E-3</v>
      </c>
      <c r="F6" s="69" t="s">
        <v>16</v>
      </c>
      <c r="G6" s="68">
        <f>(I50-I19)/(D50-(SUM(D42:D44)+D19))</f>
        <v>34.386628282976488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29.083552347193223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>
        <v>2853.2</v>
      </c>
      <c r="E11" s="29">
        <f t="shared" si="1"/>
        <v>0.57022943480693888</v>
      </c>
      <c r="F11" s="28">
        <f t="shared" si="2"/>
        <v>30.287009685697772</v>
      </c>
      <c r="G11" s="27" t="str">
        <f t="shared" si="3"/>
        <v>+</v>
      </c>
      <c r="H11" s="34">
        <f t="shared" si="4"/>
        <v>86166.64</v>
      </c>
      <c r="I11" s="34">
        <f t="shared" si="5"/>
        <v>86414.896035232872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>
        <v>1980.4</v>
      </c>
      <c r="E12" s="29">
        <f t="shared" si="1"/>
        <v>0.39579502758014229</v>
      </c>
      <c r="F12" s="28">
        <f t="shared" si="2"/>
        <v>27.679518785604586</v>
      </c>
      <c r="G12" s="27" t="str">
        <f t="shared" si="3"/>
        <v>+</v>
      </c>
      <c r="H12" s="34">
        <f t="shared" si="4"/>
        <v>54659.040000000008</v>
      </c>
      <c r="I12" s="34">
        <f t="shared" si="5"/>
        <v>54816.519003011323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>
        <f t="shared" si="1"/>
        <v>0</v>
      </c>
      <c r="F13" s="28">
        <f t="shared" si="2"/>
        <v>30.287009685697772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>
        <f t="shared" si="1"/>
        <v>0</v>
      </c>
      <c r="F14" s="28">
        <f t="shared" si="2"/>
        <v>33.897381701211408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>
        <v>170</v>
      </c>
      <c r="E15" s="29">
        <f t="shared" si="1"/>
        <v>3.3975537612918695E-2</v>
      </c>
      <c r="F15" s="28">
        <f t="shared" si="2"/>
        <v>27.880095008688677</v>
      </c>
      <c r="G15" s="27" t="str">
        <f t="shared" si="3"/>
        <v>+</v>
      </c>
      <c r="H15" s="34">
        <f t="shared" si="4"/>
        <v>4726</v>
      </c>
      <c r="I15" s="34">
        <f t="shared" si="5"/>
        <v>4739.6161514770747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>
        <f t="shared" si="1"/>
        <v>0</v>
      </c>
      <c r="F16" s="28">
        <f t="shared" si="2"/>
        <v>38.209770497519372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>
        <f t="shared" si="1"/>
        <v>0</v>
      </c>
      <c r="F17" s="28">
        <f t="shared" si="2"/>
        <v>56.26163057508758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49.241462767144391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29.089391638020622</v>
      </c>
      <c r="D19" s="49">
        <f>SUM(D10:D18)</f>
        <v>5003.6000000000004</v>
      </c>
      <c r="E19" s="48">
        <f t="shared" si="1"/>
        <v>1</v>
      </c>
      <c r="F19" s="47">
        <f>I19/D19</f>
        <v>29.173201532840604</v>
      </c>
      <c r="G19" s="46">
        <f>F19/C19-1</f>
        <v>2.881115420455993E-3</v>
      </c>
      <c r="H19" s="9">
        <f>SUM(H10:H18)</f>
        <v>145551.67999999999</v>
      </c>
      <c r="I19" s="9">
        <f>SUM(I10:I18)</f>
        <v>145971.03118972125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239.3</v>
      </c>
      <c r="E21" s="29">
        <f>D21/$D$48</f>
        <v>1.1479090115414503E-2</v>
      </c>
      <c r="F21" s="28">
        <f>C21-(C21*$E$6)</f>
        <v>73.110033314151252</v>
      </c>
      <c r="G21" s="27" t="str">
        <f>IF(C21&gt;=F21,"-","+")</f>
        <v>+</v>
      </c>
      <c r="H21" s="26">
        <f>C21*D21</f>
        <v>17444.97</v>
      </c>
      <c r="I21" s="26">
        <f>F21*D21</f>
        <v>17495.230972076395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670.9</v>
      </c>
      <c r="E22" s="29">
        <f>D22/$D$48</f>
        <v>3.218270605278558E-2</v>
      </c>
      <c r="F22" s="28">
        <f>C22-(C22*$E$6)</f>
        <v>49.141174655602342</v>
      </c>
      <c r="G22" s="27" t="str">
        <f>IF(C22&gt;=F22,"-","+")</f>
        <v>+</v>
      </c>
      <c r="H22" s="26">
        <f>C22*D22</f>
        <v>32874.1</v>
      </c>
      <c r="I22" s="26">
        <f>F22*D22</f>
        <v>32968.81407644361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482.9</v>
      </c>
      <c r="E23" s="29">
        <f>D23/$D$48</f>
        <v>2.3164448878953879E-2</v>
      </c>
      <c r="F23" s="28">
        <f>C23-(C23*$E$6)</f>
        <v>44.828785859294385</v>
      </c>
      <c r="G23" s="27" t="str">
        <f>IF(C23&gt;=F23,"-","+")</f>
        <v>+</v>
      </c>
      <c r="H23" s="26">
        <f>C23*D23</f>
        <v>21585.63</v>
      </c>
      <c r="I23" s="26">
        <f>F23*D23</f>
        <v>21647.820691453257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51.614887660613022</v>
      </c>
      <c r="D24" s="22">
        <f>SUM(D21:D23)</f>
        <v>1393.1</v>
      </c>
      <c r="E24" s="21">
        <f>D24/$D$48</f>
        <v>6.6826245047153968E-2</v>
      </c>
      <c r="F24" s="20">
        <f>I24/D24</f>
        <v>51.763596109377119</v>
      </c>
      <c r="G24" s="19">
        <f>F24/C24-1</f>
        <v>2.881115420455993E-3</v>
      </c>
      <c r="H24" s="18">
        <f>SUM(H21:H23)</f>
        <v>71904.7</v>
      </c>
      <c r="I24" s="18">
        <f>SUM(I21:I23)</f>
        <v>72111.865739973262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f>3443.8+629</f>
        <v>4072.8</v>
      </c>
      <c r="E26" s="29">
        <f t="shared" ref="E26:E32" si="7">D26/$D$48</f>
        <v>0.19536998839139236</v>
      </c>
      <c r="F26" s="28">
        <f t="shared" ref="F26:F31" si="8">C26-(C26*$E$6)</f>
        <v>39.012075389855738</v>
      </c>
      <c r="G26" s="27" t="str">
        <f t="shared" ref="G26:G31" si="9">IF(C26&gt;=F26,"-","+")</f>
        <v>+</v>
      </c>
      <c r="H26" s="26">
        <f t="shared" ref="H26:H31" si="10">C26*D26</f>
        <v>158431.92000000001</v>
      </c>
      <c r="I26" s="26">
        <f t="shared" ref="I26:I31" si="11">F26*D26</f>
        <v>158888.38064780447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3186.4</v>
      </c>
      <c r="E27" s="29">
        <f t="shared" si="7"/>
        <v>0.1528498652058369</v>
      </c>
      <c r="F27" s="28">
        <f t="shared" si="8"/>
        <v>34.799974705089824</v>
      </c>
      <c r="G27" s="27" t="str">
        <f t="shared" si="9"/>
        <v>+</v>
      </c>
      <c r="H27" s="26">
        <f t="shared" si="10"/>
        <v>110568.08000000002</v>
      </c>
      <c r="I27" s="26">
        <f t="shared" si="11"/>
        <v>110886.63940029821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2010.1</v>
      </c>
      <c r="E28" s="29">
        <f t="shared" si="7"/>
        <v>9.6423397580420775E-2</v>
      </c>
      <c r="F28" s="28">
        <f t="shared" si="8"/>
        <v>34.799974705089824</v>
      </c>
      <c r="G28" s="27" t="str">
        <f t="shared" si="9"/>
        <v>+</v>
      </c>
      <c r="H28" s="26">
        <f t="shared" si="10"/>
        <v>69750.47</v>
      </c>
      <c r="I28" s="26">
        <f t="shared" si="11"/>
        <v>69951.429154701051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1889.8</v>
      </c>
      <c r="E29" s="29">
        <f t="shared" si="7"/>
        <v>9.0652672378229535E-2</v>
      </c>
      <c r="F29" s="28">
        <f t="shared" si="8"/>
        <v>33.596517366585275</v>
      </c>
      <c r="G29" s="27" t="str">
        <f t="shared" si="9"/>
        <v>+</v>
      </c>
      <c r="H29" s="26">
        <f t="shared" si="10"/>
        <v>63308.299999999996</v>
      </c>
      <c r="I29" s="26">
        <f t="shared" si="11"/>
        <v>63490.698519372847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1488.3</v>
      </c>
      <c r="E30" s="29">
        <f t="shared" si="7"/>
        <v>7.1392936977732566E-2</v>
      </c>
      <c r="F30" s="28">
        <f t="shared" si="8"/>
        <v>33.596517366585275</v>
      </c>
      <c r="G30" s="27" t="str">
        <f t="shared" si="9"/>
        <v>+</v>
      </c>
      <c r="H30" s="26">
        <f t="shared" si="10"/>
        <v>49858.049999999996</v>
      </c>
      <c r="I30" s="26">
        <f t="shared" si="11"/>
        <v>50001.696796688862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f>90.6+296.3</f>
        <v>386.9</v>
      </c>
      <c r="E31" s="29">
        <f t="shared" si="7"/>
        <v>1.8559381385933434E-2</v>
      </c>
      <c r="F31" s="28">
        <f t="shared" si="8"/>
        <v>34.198246035837549</v>
      </c>
      <c r="G31" s="27" t="str">
        <f t="shared" si="9"/>
        <v>+</v>
      </c>
      <c r="H31" s="26">
        <f t="shared" si="10"/>
        <v>13193.289999999999</v>
      </c>
      <c r="I31" s="26">
        <f t="shared" si="11"/>
        <v>13231.301391265548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35.683551092118485</v>
      </c>
      <c r="D32" s="22">
        <f>SUM(D26:D31)</f>
        <v>13034.3</v>
      </c>
      <c r="E32" s="21">
        <f t="shared" si="7"/>
        <v>0.62524824191954553</v>
      </c>
      <c r="F32" s="20">
        <f>I32/D32</f>
        <v>35.786359521426618</v>
      </c>
      <c r="G32" s="19">
        <f>F32/C32-1</f>
        <v>2.881115420455993E-3</v>
      </c>
      <c r="H32" s="18">
        <f>SUM(H26:H31)</f>
        <v>465110.10999999993</v>
      </c>
      <c r="I32" s="18">
        <f>SUM(I26:I31)</f>
        <v>466450.14591013099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2974.9</v>
      </c>
      <c r="E34" s="29">
        <f t="shared" ref="E34:E40" si="13">D34/$D$48</f>
        <v>0.14270432588527623</v>
      </c>
      <c r="F34" s="28">
        <f t="shared" ref="F34:F39" si="14">C34-(C34*$E$6)</f>
        <v>20.559062866119348</v>
      </c>
      <c r="G34" s="27" t="str">
        <f t="shared" ref="G34:G39" si="15">IF(C34&gt;=F34,"-","+")</f>
        <v>+</v>
      </c>
      <c r="H34" s="26">
        <f t="shared" ref="H34:H39" si="16">C34*D34</f>
        <v>60985.450000000004</v>
      </c>
      <c r="I34" s="26">
        <f t="shared" ref="I34:I39" si="17">F34*D34</f>
        <v>61161.156120418447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>
        <v>146.9</v>
      </c>
      <c r="E35" s="29">
        <f t="shared" si="13"/>
        <v>7.0467126533823258E-3</v>
      </c>
      <c r="F35" s="28">
        <f t="shared" si="14"/>
        <v>15.845521623643206</v>
      </c>
      <c r="G35" s="27" t="str">
        <f t="shared" si="15"/>
        <v>+</v>
      </c>
      <c r="H35" s="26">
        <f t="shared" si="16"/>
        <v>2321.02</v>
      </c>
      <c r="I35" s="26">
        <f t="shared" si="17"/>
        <v>2327.7071265131872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12.73659016583979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33.596517366585275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33.596517366585275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34.799974705089824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20.278835927990261</v>
      </c>
      <c r="D40" s="22">
        <f>SUM(D34:D39)</f>
        <v>3121.8</v>
      </c>
      <c r="E40" s="113">
        <f t="shared" si="13"/>
        <v>0.14975103853865857</v>
      </c>
      <c r="F40" s="20">
        <f>I40/D40</f>
        <v>20.337261594891292</v>
      </c>
      <c r="G40" s="19">
        <f>F40/C40-1</f>
        <v>2.881115420455993E-3</v>
      </c>
      <c r="H40" s="18">
        <f>SUM(H34:H39)</f>
        <v>63306.47</v>
      </c>
      <c r="I40" s="18">
        <f>SUM(I34:I39)</f>
        <v>63488.863246931636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3132</v>
      </c>
      <c r="E42" s="107">
        <f>D42/$D$48</f>
        <v>0.15024032695979198</v>
      </c>
      <c r="F42" s="28">
        <f>C42-(C42*$E$6)</f>
        <v>0.501440557710228</v>
      </c>
      <c r="G42" s="27" t="str">
        <f>IF(C42&gt;=F42,"-","+")</f>
        <v>+</v>
      </c>
      <c r="H42" s="26">
        <f>C42*D42</f>
        <v>1566</v>
      </c>
      <c r="I42" s="26">
        <f>F42*D42</f>
        <v>1570.511826748434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126.4</v>
      </c>
      <c r="E43" s="107">
        <f>D43/$D$48</f>
        <v>6.0633388658102513E-3</v>
      </c>
      <c r="F43" s="28">
        <f>C43-(C43*$E$6)</f>
        <v>0.501440557710228</v>
      </c>
      <c r="G43" s="27" t="str">
        <f>IF(C43&gt;=F43,"-","+")</f>
        <v>+</v>
      </c>
      <c r="H43" s="26">
        <f>C43*D43</f>
        <v>63.2</v>
      </c>
      <c r="I43" s="26">
        <f>F43*D43</f>
        <v>63.382086494572825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32.4</v>
      </c>
      <c r="E44" s="107">
        <f>D44/$D$48</f>
        <v>1.5542102788943999E-3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3.1659839014515551E-4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0.49408624977254806</v>
      </c>
      <c r="D46" s="22">
        <f>SUM(D41:D45)</f>
        <v>3297.4</v>
      </c>
      <c r="E46" s="113">
        <f>D46/$D$48</f>
        <v>0.15817447449464181</v>
      </c>
      <c r="F46" s="20">
        <f>I46/D46</f>
        <v>0.49550976928580298</v>
      </c>
      <c r="G46" s="19">
        <f>F46/C46-1</f>
        <v>2.881115420455993E-3</v>
      </c>
      <c r="H46" s="18">
        <f>SUM(H41:H44)</f>
        <v>1629.2</v>
      </c>
      <c r="I46" s="18">
        <f>SUM(I41:I44)</f>
        <v>1633.8939132430069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108.07136093049431</v>
      </c>
      <c r="D48" s="13">
        <f>D24+D32+D40+D46</f>
        <v>20846.600000000002</v>
      </c>
      <c r="E48" s="12">
        <f>SUM(E20:E46)/2</f>
        <v>1</v>
      </c>
      <c r="F48" s="11">
        <f>I48/D48</f>
        <v>28.958428175831013</v>
      </c>
      <c r="G48" s="10"/>
      <c r="H48" s="9">
        <f>SUM(H20:H46)/2</f>
        <v>601950.48</v>
      </c>
      <c r="I48" s="9">
        <f>SUM(I20:I46)/2</f>
        <v>603684.76881027885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25850.200000000004</v>
      </c>
      <c r="E50" s="12">
        <f>D50/G2</f>
        <v>1.0000000000000002</v>
      </c>
      <c r="F50" s="11">
        <f>I50/D50</f>
        <v>28.999999999999996</v>
      </c>
      <c r="G50" s="10"/>
      <c r="H50" s="9">
        <f>H48+H19</f>
        <v>747502.15999999992</v>
      </c>
      <c r="I50" s="9">
        <f>I48+I19</f>
        <v>749655.8</v>
      </c>
      <c r="J50" s="106">
        <f>D50-G2</f>
        <v>0</v>
      </c>
      <c r="K50" s="8"/>
    </row>
    <row r="51" spans="1:11" ht="23.25" x14ac:dyDescent="0.35">
      <c r="A51" s="174" t="s">
        <v>559</v>
      </c>
      <c r="B51" s="169"/>
      <c r="C51" s="170"/>
      <c r="G51" s="7"/>
      <c r="H51" s="6"/>
      <c r="I51" s="6">
        <f>+I50/D50</f>
        <v>28.999999999999996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tabColor rgb="FF92D050"/>
  </sheetPr>
  <dimension ref="A1:K56"/>
  <sheetViews>
    <sheetView topLeftCell="A5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557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557</v>
      </c>
      <c r="D2" s="96" t="s">
        <v>3</v>
      </c>
      <c r="E2" s="95" t="s">
        <v>71</v>
      </c>
      <c r="F2" s="94" t="s">
        <v>5</v>
      </c>
      <c r="G2" s="93">
        <v>23131.7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296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78.147635135135133</v>
      </c>
      <c r="F4" s="81" t="s">
        <v>12</v>
      </c>
      <c r="G4" s="80">
        <f>G2*G3</f>
        <v>676602.22499999998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4.4620567204214368E-3</v>
      </c>
      <c r="F6" s="69" t="s">
        <v>16</v>
      </c>
      <c r="G6" s="68">
        <f>(I50-I19)/(D50-(SUM(D42:D44)+D19))</f>
        <v>34.34349378885932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29.169261738091652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>
        <v>89.4</v>
      </c>
      <c r="E11" s="29">
        <f t="shared" si="1"/>
        <v>1</v>
      </c>
      <c r="F11" s="28">
        <f t="shared" si="2"/>
        <v>30.363907270027145</v>
      </c>
      <c r="G11" s="27" t="str">
        <f t="shared" si="3"/>
        <v>-</v>
      </c>
      <c r="H11" s="34">
        <f t="shared" si="4"/>
        <v>2726.7000000000003</v>
      </c>
      <c r="I11" s="34">
        <f t="shared" si="5"/>
        <v>2714.533309940427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>
        <f t="shared" si="1"/>
        <v>0</v>
      </c>
      <c r="F12" s="28">
        <f t="shared" si="2"/>
        <v>27.675954823172283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30.363907270027145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>
        <f t="shared" si="1"/>
        <v>0</v>
      </c>
      <c r="F14" s="28">
        <f t="shared" si="2"/>
        <v>33.947843865833633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>
        <f t="shared" si="1"/>
        <v>0</v>
      </c>
      <c r="F15" s="28">
        <f t="shared" si="2"/>
        <v>27.97461620615616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>
        <f t="shared" si="1"/>
        <v>0</v>
      </c>
      <c r="F16" s="28">
        <f t="shared" si="2"/>
        <v>38.228657021935817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>
        <f t="shared" si="1"/>
        <v>0</v>
      </c>
      <c r="F17" s="28">
        <f t="shared" si="2"/>
        <v>56.347447589624146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49.378681986667097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30.5</v>
      </c>
      <c r="D19" s="49">
        <f>SUM(D10:D18)</f>
        <v>89.4</v>
      </c>
      <c r="E19" s="48">
        <f t="shared" si="1"/>
        <v>1</v>
      </c>
      <c r="F19" s="47">
        <f>I19/D19</f>
        <v>30.363907270027145</v>
      </c>
      <c r="G19" s="46">
        <f>F19/C19-1</f>
        <v>-4.4620567204214368E-3</v>
      </c>
      <c r="H19" s="9">
        <f>SUM(H10:H18)</f>
        <v>2726.7000000000003</v>
      </c>
      <c r="I19" s="9">
        <f>SUM(I10:I18)</f>
        <v>2714.533309940427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262.89</v>
      </c>
      <c r="E21" s="29">
        <f>D21/$D$48</f>
        <v>1.1409071793957086E-2</v>
      </c>
      <c r="F21" s="28">
        <f>C21-(C21*$E$6)</f>
        <v>73.271592625376982</v>
      </c>
      <c r="G21" s="27" t="str">
        <f>IF(C21&gt;=F21,"-","+")</f>
        <v>-</v>
      </c>
      <c r="H21" s="26">
        <f>C21*D21</f>
        <v>19348.703999999998</v>
      </c>
      <c r="I21" s="26">
        <f>F21*D21</f>
        <v>19262.368985285353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692.4</v>
      </c>
      <c r="E22" s="29">
        <f>D22/$D$48</f>
        <v>3.0049227091695711E-2</v>
      </c>
      <c r="F22" s="28">
        <f>C22-(C22*$E$6)</f>
        <v>49.179574398011177</v>
      </c>
      <c r="G22" s="27" t="str">
        <f>IF(C22&gt;=F22,"-","+")</f>
        <v>-</v>
      </c>
      <c r="H22" s="26">
        <f>C22*D22</f>
        <v>34204.559999999998</v>
      </c>
      <c r="I22" s="26">
        <f>F22*D22</f>
        <v>34051.937313182934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532.5</v>
      </c>
      <c r="E23" s="29">
        <f>D23/$D$48</f>
        <v>2.3109782533691461E-2</v>
      </c>
      <c r="F23" s="28">
        <f>C23-(C23*$E$6)</f>
        <v>44.799207447581033</v>
      </c>
      <c r="G23" s="27" t="str">
        <f>IF(C23&gt;=F23,"-","+")</f>
        <v>-</v>
      </c>
      <c r="H23" s="26">
        <f>C23*D23</f>
        <v>23962.5</v>
      </c>
      <c r="I23" s="26">
        <f>F23*D23</f>
        <v>23855.577965836899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52.101280422640293</v>
      </c>
      <c r="D24" s="22">
        <f>SUM(D21:D23)</f>
        <v>1487.79</v>
      </c>
      <c r="E24" s="21">
        <f>D24/$D$48</f>
        <v>6.4568081419344253E-2</v>
      </c>
      <c r="F24" s="20">
        <f>I24/D24</f>
        <v>51.868801554187883</v>
      </c>
      <c r="G24" s="19">
        <f>F24/C24-1</f>
        <v>-4.4620567204215478E-3</v>
      </c>
      <c r="H24" s="18">
        <f>SUM(H21:H23)</f>
        <v>77515.763999999996</v>
      </c>
      <c r="I24" s="18">
        <f>SUM(I21:I23)</f>
        <v>77169.88426430519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59+3891+624</f>
        <v>4574</v>
      </c>
      <c r="E26" s="29">
        <f t="shared" ref="E26:E32" si="7">D26/$D$48</f>
        <v>0.1985054372001967</v>
      </c>
      <c r="F26" s="28">
        <f t="shared" ref="F26:F31" si="8">C26-(C26*$E$6)</f>
        <v>39.124641170887436</v>
      </c>
      <c r="G26" s="27" t="str">
        <f t="shared" ref="G26:G31" si="9">IF(C26&gt;=F26,"-","+")</f>
        <v>-</v>
      </c>
      <c r="H26" s="26">
        <f t="shared" ref="H26:H31" si="10">C26*D26</f>
        <v>179758.19999999998</v>
      </c>
      <c r="I26" s="26">
        <f t="shared" ref="I26:I31" si="11">F26*D26</f>
        <v>178956.10871563913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3599.2</v>
      </c>
      <c r="E27" s="29">
        <f t="shared" si="7"/>
        <v>0.15620043060143154</v>
      </c>
      <c r="F27" s="28">
        <f t="shared" si="8"/>
        <v>34.843828014785252</v>
      </c>
      <c r="G27" s="27" t="str">
        <f t="shared" si="9"/>
        <v>-</v>
      </c>
      <c r="H27" s="26">
        <f t="shared" si="10"/>
        <v>125972</v>
      </c>
      <c r="I27" s="26">
        <f t="shared" si="11"/>
        <v>125409.90579081507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2237</v>
      </c>
      <c r="E28" s="29">
        <f t="shared" si="7"/>
        <v>9.7082785967826851E-2</v>
      </c>
      <c r="F28" s="28">
        <f t="shared" si="8"/>
        <v>34.843828014785252</v>
      </c>
      <c r="G28" s="27" t="str">
        <f t="shared" si="9"/>
        <v>-</v>
      </c>
      <c r="H28" s="26">
        <f t="shared" si="10"/>
        <v>78295</v>
      </c>
      <c r="I28" s="26">
        <f t="shared" si="11"/>
        <v>77945.643269074615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2107.1</v>
      </c>
      <c r="E29" s="29">
        <f t="shared" si="7"/>
        <v>9.1445300989185491E-2</v>
      </c>
      <c r="F29" s="28">
        <f t="shared" si="8"/>
        <v>33.649182482849753</v>
      </c>
      <c r="G29" s="27" t="str">
        <f t="shared" si="9"/>
        <v>-</v>
      </c>
      <c r="H29" s="26">
        <f t="shared" si="10"/>
        <v>71219.98</v>
      </c>
      <c r="I29" s="26">
        <f t="shared" si="11"/>
        <v>70902.192409612704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1633</v>
      </c>
      <c r="E30" s="29">
        <f t="shared" si="7"/>
        <v>7.0869999769987146E-2</v>
      </c>
      <c r="F30" s="28">
        <f t="shared" si="8"/>
        <v>33.649182482849753</v>
      </c>
      <c r="G30" s="27" t="str">
        <f t="shared" si="9"/>
        <v>-</v>
      </c>
      <c r="H30" s="26">
        <f t="shared" si="10"/>
        <v>55195.399999999994</v>
      </c>
      <c r="I30" s="26">
        <f t="shared" si="11"/>
        <v>54949.114994493648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f>42.3+363</f>
        <v>405.3</v>
      </c>
      <c r="E31" s="29">
        <f t="shared" si="7"/>
        <v>1.7589473917192767E-2</v>
      </c>
      <c r="F31" s="28">
        <f t="shared" si="8"/>
        <v>34.246505248817499</v>
      </c>
      <c r="G31" s="27" t="str">
        <f t="shared" si="9"/>
        <v>-</v>
      </c>
      <c r="H31" s="26">
        <f t="shared" si="10"/>
        <v>13942.32</v>
      </c>
      <c r="I31" s="26">
        <f t="shared" si="11"/>
        <v>13880.108577345733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36.026196103217998</v>
      </c>
      <c r="D32" s="22">
        <f>SUM(D26:D31)</f>
        <v>14555.6</v>
      </c>
      <c r="E32" s="21">
        <f t="shared" si="7"/>
        <v>0.63169342844582055</v>
      </c>
      <c r="F32" s="20">
        <f>I32/D32</f>
        <v>35.865445172784419</v>
      </c>
      <c r="G32" s="19">
        <f>F32/C32-1</f>
        <v>-4.4620567204213257E-3</v>
      </c>
      <c r="H32" s="18">
        <f>SUM(H26:H31)</f>
        <v>524382.89999999991</v>
      </c>
      <c r="I32" s="18">
        <f>SUM(I26:I31)</f>
        <v>522043.07375698094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f>174.9+3271.2</f>
        <v>3446.1</v>
      </c>
      <c r="E34" s="29">
        <f t="shared" ref="E34:E40" si="13">D34/$D$48</f>
        <v>0.14955609688141622</v>
      </c>
      <c r="F34" s="28">
        <f t="shared" ref="F34:F39" si="14">C34-(C34*$E$6)</f>
        <v>20.607635425887274</v>
      </c>
      <c r="G34" s="27" t="str">
        <f t="shared" ref="G34:G39" si="15">IF(C34&gt;=F34,"-","+")</f>
        <v>-</v>
      </c>
      <c r="H34" s="26">
        <f t="shared" ref="H34:H39" si="16">C34*D34</f>
        <v>71334.26999999999</v>
      </c>
      <c r="I34" s="26">
        <f t="shared" ref="I34:I39" si="17">F34*D34</f>
        <v>71015.972441150137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f>108.4+16</f>
        <v>124.4</v>
      </c>
      <c r="E35" s="29">
        <f t="shared" si="13"/>
        <v>5.3987923890914885E-3</v>
      </c>
      <c r="F35" s="28">
        <f t="shared" si="14"/>
        <v>15.829053298145299</v>
      </c>
      <c r="G35" s="27" t="str">
        <f t="shared" si="15"/>
        <v>-</v>
      </c>
      <c r="H35" s="26">
        <f t="shared" si="16"/>
        <v>1977.96</v>
      </c>
      <c r="I35" s="26">
        <f t="shared" si="17"/>
        <v>1969.1342302892751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12.742885673978606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33.649182482849753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33.649182482849753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34.843828014785252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20.532762918358774</v>
      </c>
      <c r="D40" s="22">
        <f>SUM(D34:D39)</f>
        <v>3570.5</v>
      </c>
      <c r="E40" s="113">
        <f t="shared" si="13"/>
        <v>0.15495488927050771</v>
      </c>
      <c r="F40" s="20">
        <f>I40/D40</f>
        <v>20.44114456559009</v>
      </c>
      <c r="G40" s="19">
        <f>F40/C40-1</f>
        <v>-4.4620567204215478E-3</v>
      </c>
      <c r="H40" s="18">
        <f>SUM(H34:H39)</f>
        <v>73312.23</v>
      </c>
      <c r="I40" s="18">
        <f>SUM(I34:I39)</f>
        <v>72985.106671439411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220.6+25.1+3012</f>
        <v>3257.7</v>
      </c>
      <c r="E42" s="107">
        <f>D42/$D$48</f>
        <v>0.14137979072301721</v>
      </c>
      <c r="F42" s="28">
        <f>C42-(C42*$E$6)</f>
        <v>0.49776897163978928</v>
      </c>
      <c r="G42" s="27" t="str">
        <f>IF(C42&gt;=F42,"-","+")</f>
        <v>-</v>
      </c>
      <c r="H42" s="26">
        <f>C42*D42</f>
        <v>1628.85</v>
      </c>
      <c r="I42" s="26">
        <f>F42*D42</f>
        <v>1621.5819789109414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136.69999999999999</v>
      </c>
      <c r="E43" s="107">
        <f>D43/$D$48</f>
        <v>5.932595816630277E-3</v>
      </c>
      <c r="F43" s="28">
        <f>C43-(C43*$E$6)</f>
        <v>0.49776897163978928</v>
      </c>
      <c r="G43" s="27" t="str">
        <f>IF(C43&gt;=F43,"-","+")</f>
        <v>-</v>
      </c>
      <c r="H43" s="26">
        <f>C43*D43</f>
        <v>68.349999999999994</v>
      </c>
      <c r="I43" s="26">
        <f>F43*D43</f>
        <v>68.045018423159192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25.8</v>
      </c>
      <c r="E44" s="107">
        <f>D44/$D$48</f>
        <v>1.1196852382520932E-3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8.1</v>
      </c>
      <c r="E45" s="107">
        <f>D45/$D$48</f>
        <v>3.5152908642798277E-4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0.49505585858880491</v>
      </c>
      <c r="D46" s="22">
        <f>SUM(D41:D45)</f>
        <v>3428.2999999999997</v>
      </c>
      <c r="E46" s="113">
        <f>D46/$D$48</f>
        <v>0.14878360086432757</v>
      </c>
      <c r="F46" s="20">
        <f>I46/D46</f>
        <v>0.49284689126800479</v>
      </c>
      <c r="G46" s="19">
        <f>F46/C46-1</f>
        <v>-4.4620567204213257E-3</v>
      </c>
      <c r="H46" s="18">
        <f>SUM(H41:H44)</f>
        <v>1697.1999999999998</v>
      </c>
      <c r="I46" s="18">
        <f>SUM(I41:I44)</f>
        <v>1689.6269973341007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109.15529530280587</v>
      </c>
      <c r="D48" s="13">
        <f>D24+D32+D40+D46</f>
        <v>23042.19</v>
      </c>
      <c r="E48" s="12">
        <f>SUM(E20:E46)/2</f>
        <v>1</v>
      </c>
      <c r="F48" s="11">
        <f>I48/D48</f>
        <v>29.245817853687509</v>
      </c>
      <c r="G48" s="10"/>
      <c r="H48" s="9">
        <f>SUM(H20:H46)/2</f>
        <v>676908.09399999992</v>
      </c>
      <c r="I48" s="9">
        <f>SUM(I20:I46)/2</f>
        <v>673887.69169005973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23131.59</v>
      </c>
      <c r="E50" s="12">
        <f>D50/G2</f>
        <v>0.99999524462101785</v>
      </c>
      <c r="F50" s="11">
        <f>I50/D50</f>
        <v>29.250139095496685</v>
      </c>
      <c r="G50" s="10"/>
      <c r="H50" s="9">
        <f>H48+H19</f>
        <v>679634.79399999988</v>
      </c>
      <c r="I50" s="9">
        <f>I48+I19</f>
        <v>676602.22500000021</v>
      </c>
      <c r="J50" s="106">
        <f>D50-G2</f>
        <v>-0.11000000000058208</v>
      </c>
      <c r="K50" s="8"/>
    </row>
    <row r="51" spans="1:11" ht="23.25" x14ac:dyDescent="0.35">
      <c r="A51" s="174" t="s">
        <v>560</v>
      </c>
      <c r="B51" s="169"/>
      <c r="C51" s="170"/>
      <c r="G51" s="7"/>
      <c r="H51" s="6"/>
      <c r="I51" s="6">
        <f>+I50/D50</f>
        <v>29.250139095496685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561</v>
      </c>
      <c r="D2" s="96" t="s">
        <v>3</v>
      </c>
      <c r="E2" s="95" t="s">
        <v>71</v>
      </c>
      <c r="F2" s="94" t="s">
        <v>5</v>
      </c>
      <c r="G2" s="93">
        <v>15738.6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206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76.400970873786406</v>
      </c>
      <c r="F4" s="81" t="s">
        <v>12</v>
      </c>
      <c r="G4" s="80">
        <f>G2*G3</f>
        <v>460354.05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-4.092718765798864E-3</v>
      </c>
      <c r="F6" s="69" t="s">
        <v>16</v>
      </c>
      <c r="G6" s="68">
        <f>(I50-I19)/(D50-(SUM(D42:D44)+D19))</f>
        <v>34.973072452537771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29.419916659837906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30.624827922356864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27.91377758168921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30.624827922356864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34.239561709913744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28.215005397318951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38.557160400606676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56.831647882144217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49.802998850783624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197</v>
      </c>
      <c r="E21" s="29">
        <f>D21/$D$48</f>
        <v>1.2516996429161424E-2</v>
      </c>
      <c r="F21" s="28">
        <f>C21-(C21*$E$6)</f>
        <v>73.901224101162796</v>
      </c>
      <c r="G21" s="27" t="str">
        <f>IF(C21&gt;=F21,"-","+")</f>
        <v>+</v>
      </c>
      <c r="H21" s="26">
        <f>C21*D21</f>
        <v>14499.199999999999</v>
      </c>
      <c r="I21" s="26">
        <f>F21*D21</f>
        <v>14558.541147929071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475.6</v>
      </c>
      <c r="E22" s="29">
        <f>D22/$D$48</f>
        <v>3.0218697978219158E-2</v>
      </c>
      <c r="F22" s="28">
        <f>C22-(C22*$E$6)</f>
        <v>49.602180307030466</v>
      </c>
      <c r="G22" s="27" t="str">
        <f>IF(C22&gt;=F22,"-","+")</f>
        <v>+</v>
      </c>
      <c r="H22" s="26">
        <f>C22*D22</f>
        <v>23494.639999999999</v>
      </c>
      <c r="I22" s="26">
        <f>F22*D22</f>
        <v>23590.796954023692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401.5</v>
      </c>
      <c r="E23" s="29">
        <f>D23/$D$48</f>
        <v>2.5510528255372141E-2</v>
      </c>
      <c r="F23" s="28">
        <f>C23-(C23*$E$6)</f>
        <v>45.184172344460947</v>
      </c>
      <c r="G23" s="27" t="str">
        <f>IF(C23&gt;=F23,"-","+")</f>
        <v>+</v>
      </c>
      <c r="H23" s="26">
        <f>C23*D23</f>
        <v>18067.5</v>
      </c>
      <c r="I23" s="26">
        <f>F23*D23</f>
        <v>18141.445196301069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52.193780839772835</v>
      </c>
      <c r="D24" s="22">
        <f>SUM(D21:D23)</f>
        <v>1074.0999999999999</v>
      </c>
      <c r="E24" s="21">
        <f>D24/$D$48</f>
        <v>6.8246222662752709E-2</v>
      </c>
      <c r="F24" s="20">
        <f>I24/D24</f>
        <v>52.407395306073759</v>
      </c>
      <c r="G24" s="19">
        <f>F24/C24-1</f>
        <v>4.0927187657986419E-3</v>
      </c>
      <c r="H24" s="18">
        <f>SUM(H21:H23)</f>
        <v>56061.34</v>
      </c>
      <c r="I24" s="18">
        <f>SUM(I21:I23)</f>
        <v>56290.783298253824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v>3057.1</v>
      </c>
      <c r="E26" s="29">
        <f t="shared" ref="E26:E32" si="7">D26/$D$48</f>
        <v>0.19424218164258572</v>
      </c>
      <c r="F26" s="28">
        <f t="shared" ref="F26:F31" si="8">C26-(C26*$E$6)</f>
        <v>39.460843847495894</v>
      </c>
      <c r="G26" s="27" t="str">
        <f t="shared" ref="G26:G31" si="9">IF(C26&gt;=F26,"-","+")</f>
        <v>+</v>
      </c>
      <c r="H26" s="26">
        <f t="shared" ref="H26:H31" si="10">C26*D26</f>
        <v>120144.02999999998</v>
      </c>
      <c r="I26" s="26">
        <f t="shared" ref="I26:I31" si="11">F26*D26</f>
        <v>120635.7457261797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2340.5</v>
      </c>
      <c r="E27" s="29">
        <f t="shared" si="7"/>
        <v>0.14871081290584931</v>
      </c>
      <c r="F27" s="28">
        <f t="shared" si="8"/>
        <v>35.143245156802962</v>
      </c>
      <c r="G27" s="27" t="str">
        <f t="shared" si="9"/>
        <v>+</v>
      </c>
      <c r="H27" s="26">
        <f t="shared" si="10"/>
        <v>81917.5</v>
      </c>
      <c r="I27" s="26">
        <f t="shared" si="11"/>
        <v>82252.765289497329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1511.6</v>
      </c>
      <c r="E28" s="29">
        <f t="shared" si="7"/>
        <v>9.6044120823961465E-2</v>
      </c>
      <c r="F28" s="28">
        <f t="shared" si="8"/>
        <v>35.143245156802962</v>
      </c>
      <c r="G28" s="27" t="str">
        <f t="shared" si="9"/>
        <v>+</v>
      </c>
      <c r="H28" s="26">
        <f t="shared" si="10"/>
        <v>52906</v>
      </c>
      <c r="I28" s="26">
        <f t="shared" si="11"/>
        <v>53122.529379023355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1447.9</v>
      </c>
      <c r="E29" s="29">
        <f t="shared" si="7"/>
        <v>9.1996746851689487E-2</v>
      </c>
      <c r="F29" s="28">
        <f t="shared" si="8"/>
        <v>33.938333894284</v>
      </c>
      <c r="G29" s="27" t="str">
        <f t="shared" si="9"/>
        <v>+</v>
      </c>
      <c r="H29" s="26">
        <f t="shared" si="10"/>
        <v>48939.02</v>
      </c>
      <c r="I29" s="26">
        <f t="shared" si="11"/>
        <v>49139.31364553381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1068.5999999999999</v>
      </c>
      <c r="E30" s="29">
        <f t="shared" si="7"/>
        <v>6.7896763371583235E-2</v>
      </c>
      <c r="F30" s="28">
        <f t="shared" si="8"/>
        <v>33.938333894284</v>
      </c>
      <c r="G30" s="27" t="str">
        <f t="shared" si="9"/>
        <v>+</v>
      </c>
      <c r="H30" s="26">
        <f t="shared" si="10"/>
        <v>36118.679999999993</v>
      </c>
      <c r="I30" s="26">
        <f t="shared" si="11"/>
        <v>36266.503599431882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444.9</v>
      </c>
      <c r="E31" s="29">
        <f t="shared" si="7"/>
        <v>2.8268079752964047E-2</v>
      </c>
      <c r="F31" s="28">
        <f t="shared" si="8"/>
        <v>34.540789525543481</v>
      </c>
      <c r="G31" s="27" t="str">
        <f t="shared" si="9"/>
        <v>+</v>
      </c>
      <c r="H31" s="26">
        <f t="shared" si="10"/>
        <v>15304.56</v>
      </c>
      <c r="I31" s="26">
        <f t="shared" si="11"/>
        <v>15367.197259914294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35.998803517516663</v>
      </c>
      <c r="D32" s="22">
        <f>SUM(D26:D31)</f>
        <v>9870.6</v>
      </c>
      <c r="E32" s="21">
        <f t="shared" si="7"/>
        <v>0.62715870534863327</v>
      </c>
      <c r="F32" s="20">
        <f>I32/D32</f>
        <v>36.146136496219114</v>
      </c>
      <c r="G32" s="19">
        <f>F32/C32-1</f>
        <v>4.092718765799086E-3</v>
      </c>
      <c r="H32" s="18">
        <f>SUM(H26:H31)</f>
        <v>355329.79</v>
      </c>
      <c r="I32" s="18">
        <f>SUM(I26:I31)</f>
        <v>356784.05489958037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2212.5</v>
      </c>
      <c r="E34" s="29">
        <f t="shared" ref="E34:E40" si="13">D34/$D$48</f>
        <v>0.14057794212954139</v>
      </c>
      <c r="F34" s="28">
        <f t="shared" ref="F34:F39" si="14">C34-(C34*$E$6)</f>
        <v>20.784719278452037</v>
      </c>
      <c r="G34" s="27" t="str">
        <f t="shared" ref="G34:G39" si="15">IF(C34&gt;=F34,"-","+")</f>
        <v>+</v>
      </c>
      <c r="H34" s="26">
        <f t="shared" ref="H34:H39" si="16">C34*D34</f>
        <v>45798.75</v>
      </c>
      <c r="I34" s="26">
        <f t="shared" ref="I34:I39" si="17">F34*D34</f>
        <v>45986.191403575132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/>
      <c r="E35" s="29">
        <f t="shared" si="13"/>
        <v>0</v>
      </c>
      <c r="F35" s="28">
        <f t="shared" si="14"/>
        <v>15.965074228376203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12.852386800202225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33.938333894284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33.938333894284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35.143245156802962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</v>
      </c>
      <c r="D40" s="22">
        <f>SUM(D34:D39)</f>
        <v>2212.5</v>
      </c>
      <c r="E40" s="113">
        <f t="shared" si="13"/>
        <v>0.14057794212954139</v>
      </c>
      <c r="F40" s="20">
        <f>I40/D40</f>
        <v>20.784719278452037</v>
      </c>
      <c r="G40" s="19">
        <f>F40/C40-1</f>
        <v>4.092718765798864E-3</v>
      </c>
      <c r="H40" s="18">
        <f>SUM(H34:H39)</f>
        <v>45798.75</v>
      </c>
      <c r="I40" s="18">
        <f>SUM(I34:I39)</f>
        <v>45986.191403575132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2433</v>
      </c>
      <c r="E42" s="107">
        <f>D42/$D$48</f>
        <v>0.1545880828027906</v>
      </c>
      <c r="F42" s="28">
        <f>C42-(C42*$E$6)</f>
        <v>0.50204635938289943</v>
      </c>
      <c r="G42" s="27" t="str">
        <f>IF(C42&gt;=F42,"-","+")</f>
        <v>+</v>
      </c>
      <c r="H42" s="26">
        <f>C42*D42</f>
        <v>1216.5</v>
      </c>
      <c r="I42" s="26">
        <f>F42*D42</f>
        <v>1221.4787923785943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142.5</v>
      </c>
      <c r="E43" s="107">
        <f>D43/$D$48</f>
        <v>9.0541725439365634E-3</v>
      </c>
      <c r="F43" s="28">
        <f>C43-(C43*$E$6)</f>
        <v>0.50204635938289943</v>
      </c>
      <c r="G43" s="27" t="str">
        <f>IF(C43&gt;=F43,"-","+")</f>
        <v>+</v>
      </c>
      <c r="H43" s="26">
        <f>C43*D43</f>
        <v>71.25</v>
      </c>
      <c r="I43" s="26">
        <f>F43*D43</f>
        <v>71.541606212063172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5.9</v>
      </c>
      <c r="E45" s="107">
        <f>D45/$D$48</f>
        <v>3.7487451234544372E-4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0.49885720926628957</v>
      </c>
      <c r="D46" s="22">
        <f>SUM(D41:D45)</f>
        <v>2581.4</v>
      </c>
      <c r="E46" s="113">
        <f>D46/$D$48</f>
        <v>0.1640171298590726</v>
      </c>
      <c r="F46" s="20">
        <f>I46/D46</f>
        <v>0.50089889152810785</v>
      </c>
      <c r="G46" s="19">
        <f>F46/C46-1</f>
        <v>4.092718765799086E-3</v>
      </c>
      <c r="H46" s="18">
        <f>SUM(H41:H44)</f>
        <v>1287.75</v>
      </c>
      <c r="I46" s="18">
        <f>SUM(I41:I44)</f>
        <v>1293.0203985906576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109.39144156655578</v>
      </c>
      <c r="D48" s="13">
        <f>D24+D32+D40+D46</f>
        <v>15738.6</v>
      </c>
      <c r="E48" s="12">
        <f>SUM(E20:E46)/2</f>
        <v>1</v>
      </c>
      <c r="F48" s="11">
        <f>I48/D48</f>
        <v>29.25</v>
      </c>
      <c r="G48" s="10"/>
      <c r="H48" s="9">
        <f>SUM(H20:H46)/2</f>
        <v>458477.63</v>
      </c>
      <c r="I48" s="9">
        <f>SUM(I20:I46)/2</f>
        <v>460354.05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15738.600000000002</v>
      </c>
      <c r="E50" s="12">
        <f>D50/G2</f>
        <v>1.0000000000000002</v>
      </c>
      <c r="F50" s="11">
        <f>I50/D50</f>
        <v>29.249999999999996</v>
      </c>
      <c r="G50" s="10"/>
      <c r="H50" s="9">
        <f>H48+H19</f>
        <v>458477.63</v>
      </c>
      <c r="I50" s="9">
        <f>I48+I19</f>
        <v>460354.05</v>
      </c>
      <c r="J50" s="106">
        <f>D50-G2</f>
        <v>0</v>
      </c>
      <c r="K50" s="8"/>
    </row>
    <row r="51" spans="1:11" ht="23.25" x14ac:dyDescent="0.35">
      <c r="A51" s="174" t="s">
        <v>562</v>
      </c>
      <c r="B51" s="169"/>
      <c r="C51" s="170"/>
      <c r="G51" s="7"/>
      <c r="H51" s="6"/>
      <c r="I51" s="6">
        <f>+I50/D50</f>
        <v>29.249999999999996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>
    <tabColor rgb="FF92D050"/>
  </sheetPr>
  <dimension ref="A1:K56"/>
  <sheetViews>
    <sheetView topLeftCell="A35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561</v>
      </c>
      <c r="D2" s="96" t="s">
        <v>3</v>
      </c>
      <c r="E2" s="95" t="s">
        <v>71</v>
      </c>
      <c r="F2" s="94" t="s">
        <v>5</v>
      </c>
      <c r="G2" s="93">
        <v>6798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82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82.902439024390247</v>
      </c>
      <c r="F4" s="81" t="s">
        <v>12</v>
      </c>
      <c r="G4" s="80">
        <f>G2*G3</f>
        <v>198841.5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-7.7624500049733314E-4</v>
      </c>
      <c r="F6" s="69" t="s">
        <v>16</v>
      </c>
      <c r="G6" s="68">
        <f>(I50-I19)/(D50-(SUM(D42:D44)+D19))</f>
        <v>34.332740520754193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29.322743978514573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30.523675472515169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27.821579611013828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30.523675472515169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34.126469954516963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28.121812484513978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38.429807808019099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56.64393546702815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49.638501752024666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75</v>
      </c>
      <c r="E21" s="29">
        <f>D21/$D$48</f>
        <v>1.1032656663724626E-2</v>
      </c>
      <c r="F21" s="28">
        <f>C21-(C21*$E$6)</f>
        <v>73.657131632036595</v>
      </c>
      <c r="G21" s="27" t="str">
        <f>IF(C21&gt;=F21,"-","+")</f>
        <v>+</v>
      </c>
      <c r="H21" s="26">
        <f>C21*D21</f>
        <v>5520</v>
      </c>
      <c r="I21" s="26">
        <f>F21*D21</f>
        <v>5524.2848724027444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208.6</v>
      </c>
      <c r="E22" s="29">
        <f>D22/$D$48</f>
        <v>3.0685495734039423E-2</v>
      </c>
      <c r="F22" s="28">
        <f>C22-(C22*$E$6)</f>
        <v>49.438346503024569</v>
      </c>
      <c r="G22" s="27" t="str">
        <f>IF(C22&gt;=F22,"-","+")</f>
        <v>+</v>
      </c>
      <c r="H22" s="26">
        <f>C22*D22</f>
        <v>10304.84</v>
      </c>
      <c r="I22" s="26">
        <f>F22*D22</f>
        <v>10312.839080530925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143</v>
      </c>
      <c r="E23" s="29">
        <f>D23/$D$48</f>
        <v>2.1035598705501618E-2</v>
      </c>
      <c r="F23" s="28">
        <f>C23-(C23*$E$6)</f>
        <v>45.034931025022381</v>
      </c>
      <c r="G23" s="27" t="str">
        <f>IF(C23&gt;=F23,"-","+")</f>
        <v>+</v>
      </c>
      <c r="H23" s="26">
        <f>C23*D23</f>
        <v>6435</v>
      </c>
      <c r="I23" s="26">
        <f>F23*D23</f>
        <v>6439.9951365782008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52.179653070792305</v>
      </c>
      <c r="D24" s="22">
        <f>SUM(D21:D23)</f>
        <v>426.6</v>
      </c>
      <c r="E24" s="21">
        <f>D24/$D$48</f>
        <v>6.275375110326567E-2</v>
      </c>
      <c r="F24" s="20">
        <f>I24/D24</f>
        <v>52.220157265616194</v>
      </c>
      <c r="G24" s="19">
        <f>F24/C24-1</f>
        <v>7.7624500049733314E-4</v>
      </c>
      <c r="H24" s="18">
        <f>SUM(H21:H23)</f>
        <v>22259.84</v>
      </c>
      <c r="I24" s="18">
        <f>SUM(I21:I23)</f>
        <v>22277.119089511871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339+31+977.4</f>
        <v>1347.4</v>
      </c>
      <c r="E26" s="29">
        <f t="shared" ref="E26:E32" si="7">D26/$D$48</f>
        <v>0.19820535451603413</v>
      </c>
      <c r="F26" s="28">
        <f t="shared" ref="F26:F31" si="8">C26-(C26*$E$6)</f>
        <v>39.330506428519541</v>
      </c>
      <c r="G26" s="27" t="str">
        <f t="shared" ref="G26:G31" si="9">IF(C26&gt;=F26,"-","+")</f>
        <v>+</v>
      </c>
      <c r="H26" s="26">
        <f t="shared" ref="H26:H31" si="10">C26*D26</f>
        <v>52952.82</v>
      </c>
      <c r="I26" s="26">
        <f t="shared" ref="I26:I31" si="11">F26*D26</f>
        <v>52993.924361787234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1093.8</v>
      </c>
      <c r="E27" s="29">
        <f t="shared" si="7"/>
        <v>0.16090026478375993</v>
      </c>
      <c r="F27" s="28">
        <f t="shared" si="8"/>
        <v>35.027168575017406</v>
      </c>
      <c r="G27" s="27" t="str">
        <f t="shared" si="9"/>
        <v>+</v>
      </c>
      <c r="H27" s="26">
        <f t="shared" si="10"/>
        <v>38283</v>
      </c>
      <c r="I27" s="26">
        <f t="shared" si="11"/>
        <v>38312.716987354033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633.4</v>
      </c>
      <c r="E28" s="29">
        <f t="shared" si="7"/>
        <v>9.3174463077375702E-2</v>
      </c>
      <c r="F28" s="28">
        <f t="shared" si="8"/>
        <v>35.027168575017406</v>
      </c>
      <c r="G28" s="27" t="str">
        <f t="shared" si="9"/>
        <v>+</v>
      </c>
      <c r="H28" s="26">
        <f t="shared" si="10"/>
        <v>22169</v>
      </c>
      <c r="I28" s="26">
        <f t="shared" si="11"/>
        <v>22186.208575416025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664</v>
      </c>
      <c r="E29" s="29">
        <f t="shared" si="7"/>
        <v>9.7675786996175351E-2</v>
      </c>
      <c r="F29" s="28">
        <f t="shared" si="8"/>
        <v>33.826237081016806</v>
      </c>
      <c r="G29" s="27" t="str">
        <f t="shared" si="9"/>
        <v>+</v>
      </c>
      <c r="H29" s="26">
        <f t="shared" si="10"/>
        <v>22443.199999999997</v>
      </c>
      <c r="I29" s="26">
        <f t="shared" si="11"/>
        <v>22460.62142179516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447</v>
      </c>
      <c r="E30" s="29">
        <f t="shared" si="7"/>
        <v>6.575463371579876E-2</v>
      </c>
      <c r="F30" s="28">
        <f t="shared" si="8"/>
        <v>33.826237081016806</v>
      </c>
      <c r="G30" s="27" t="str">
        <f t="shared" si="9"/>
        <v>+</v>
      </c>
      <c r="H30" s="26">
        <f t="shared" si="10"/>
        <v>15108.599999999999</v>
      </c>
      <c r="I30" s="26">
        <f t="shared" si="11"/>
        <v>15120.327975214512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62.5</v>
      </c>
      <c r="E31" s="29">
        <f t="shared" si="7"/>
        <v>9.1938805531038541E-3</v>
      </c>
      <c r="F31" s="28">
        <f t="shared" si="8"/>
        <v>34.426702828017106</v>
      </c>
      <c r="G31" s="27" t="str">
        <f t="shared" si="9"/>
        <v>+</v>
      </c>
      <c r="H31" s="26">
        <f t="shared" si="10"/>
        <v>2150</v>
      </c>
      <c r="I31" s="26">
        <f t="shared" si="11"/>
        <v>2151.6689267510692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36.041199595113113</v>
      </c>
      <c r="D32" s="22">
        <f>SUM(D26:D31)</f>
        <v>4248.1000000000004</v>
      </c>
      <c r="E32" s="21">
        <f t="shared" si="7"/>
        <v>0.62490438364224776</v>
      </c>
      <c r="F32" s="20">
        <f>I32/D32</f>
        <v>36.069176396110734</v>
      </c>
      <c r="G32" s="19">
        <f>F32/C32-1</f>
        <v>7.7624500049688905E-4</v>
      </c>
      <c r="H32" s="18">
        <f>SUM(H26:H31)</f>
        <v>153106.62000000002</v>
      </c>
      <c r="I32" s="18">
        <f>SUM(I26:I31)</f>
        <v>153225.46824831804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1070.5</v>
      </c>
      <c r="E34" s="29">
        <f t="shared" ref="E34:E40" si="13">D34/$D$48</f>
        <v>0.1574727861135628</v>
      </c>
      <c r="F34" s="28">
        <f t="shared" ref="F34:F39" si="14">C34-(C34*$E$6)</f>
        <v>20.716068271510295</v>
      </c>
      <c r="G34" s="27" t="str">
        <f t="shared" ref="G34:G39" si="15">IF(C34&gt;=F34,"-","+")</f>
        <v>+</v>
      </c>
      <c r="H34" s="26">
        <f t="shared" ref="H34:H39" si="16">C34*D34</f>
        <v>22159.35</v>
      </c>
      <c r="I34" s="26">
        <f t="shared" ref="I34:I39" si="17">F34*D34</f>
        <v>22176.551084651772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41.4</v>
      </c>
      <c r="E35" s="29">
        <f t="shared" si="13"/>
        <v>6.0900264783759926E-3</v>
      </c>
      <c r="F35" s="28">
        <f t="shared" si="14"/>
        <v>15.912342295507909</v>
      </c>
      <c r="G35" s="27" t="str">
        <f t="shared" si="15"/>
        <v>+</v>
      </c>
      <c r="H35" s="26">
        <f t="shared" si="16"/>
        <v>658.26</v>
      </c>
      <c r="I35" s="26">
        <f t="shared" si="17"/>
        <v>658.77097103402741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12.809935936006367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33.826237081016806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33.826237081016806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35.027168575017406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20.521278891986686</v>
      </c>
      <c r="D40" s="22">
        <f>SUM(D34:D39)</f>
        <v>1111.9000000000001</v>
      </c>
      <c r="E40" s="113">
        <f t="shared" si="13"/>
        <v>0.16356281259193881</v>
      </c>
      <c r="F40" s="20">
        <f>I40/D40</f>
        <v>20.537208432130406</v>
      </c>
      <c r="G40" s="19">
        <f>F40/C40-1</f>
        <v>7.7624500049755518E-4</v>
      </c>
      <c r="H40" s="18">
        <f>SUM(H34:H39)</f>
        <v>22817.609999999997</v>
      </c>
      <c r="I40" s="18">
        <f>SUM(I34:I39)</f>
        <v>22835.3220556858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980</v>
      </c>
      <c r="E42" s="107">
        <f>D42/$D$48</f>
        <v>0.14416004707266844</v>
      </c>
      <c r="F42" s="28">
        <f>C42-(C42*$E$6)</f>
        <v>0.50038812250024867</v>
      </c>
      <c r="G42" s="27" t="str">
        <f>IF(C42&gt;=F42,"-","+")</f>
        <v>+</v>
      </c>
      <c r="H42" s="26">
        <f>C42*D42</f>
        <v>490</v>
      </c>
      <c r="I42" s="26">
        <f>F42*D42</f>
        <v>490.38036005024367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26.4</v>
      </c>
      <c r="E43" s="107">
        <f>D43/$D$48</f>
        <v>3.8834951456310678E-3</v>
      </c>
      <c r="F43" s="28">
        <f>C43-(C43*$E$6)</f>
        <v>0.50038812250024867</v>
      </c>
      <c r="G43" s="27" t="str">
        <f>IF(C43&gt;=F43,"-","+")</f>
        <v>+</v>
      </c>
      <c r="H43" s="26">
        <f>C43*D43</f>
        <v>13.2</v>
      </c>
      <c r="I43" s="26">
        <f>F43*D43</f>
        <v>13.210246434006564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7.3551044424830837E-4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0.49752817876211192</v>
      </c>
      <c r="D46" s="22">
        <f>SUM(D41:D45)</f>
        <v>1011.4</v>
      </c>
      <c r="E46" s="113">
        <f>D46/$D$48</f>
        <v>0.14877905266254782</v>
      </c>
      <c r="F46" s="20">
        <f>I46/D46</f>
        <v>0.49791438252348252</v>
      </c>
      <c r="G46" s="19">
        <f>F46/C46-1</f>
        <v>7.7624500049733314E-4</v>
      </c>
      <c r="H46" s="18">
        <f>SUM(H41:H44)</f>
        <v>503.2</v>
      </c>
      <c r="I46" s="18">
        <f>SUM(I41:I44)</f>
        <v>503.5906064842502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109.23965973665422</v>
      </c>
      <c r="D48" s="13">
        <f>D24+D32+D40+D46</f>
        <v>6798</v>
      </c>
      <c r="E48" s="12">
        <f>SUM(E20:E46)/2</f>
        <v>1</v>
      </c>
      <c r="F48" s="11">
        <f>I48/D48</f>
        <v>29.25</v>
      </c>
      <c r="G48" s="10"/>
      <c r="H48" s="9">
        <f>SUM(H20:H46)/2</f>
        <v>198687.27000000002</v>
      </c>
      <c r="I48" s="9">
        <f>SUM(I20:I46)/2</f>
        <v>198841.5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6798</v>
      </c>
      <c r="E50" s="12">
        <f>D50/G2</f>
        <v>1</v>
      </c>
      <c r="F50" s="11">
        <f>I50/D50</f>
        <v>29.25</v>
      </c>
      <c r="G50" s="10"/>
      <c r="H50" s="9">
        <f>H48+H19</f>
        <v>198687.27000000002</v>
      </c>
      <c r="I50" s="9">
        <f>I48+I19</f>
        <v>198841.5</v>
      </c>
      <c r="J50" s="106">
        <f>D50-G2</f>
        <v>0</v>
      </c>
      <c r="K50" s="8"/>
    </row>
    <row r="51" spans="1:11" ht="23.25" x14ac:dyDescent="0.35">
      <c r="A51" s="174" t="s">
        <v>563</v>
      </c>
      <c r="B51" s="169"/>
      <c r="C51" s="170"/>
      <c r="G51" s="7"/>
      <c r="H51" s="6"/>
      <c r="I51" s="6">
        <f>+I50/D50</f>
        <v>29.25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564</v>
      </c>
      <c r="D2" s="96" t="s">
        <v>3</v>
      </c>
      <c r="E2" s="95" t="s">
        <v>71</v>
      </c>
      <c r="F2" s="94" t="s">
        <v>5</v>
      </c>
      <c r="G2" s="93">
        <v>4284.1000000000004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60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71.401666666666671</v>
      </c>
      <c r="F4" s="81" t="s">
        <v>12</v>
      </c>
      <c r="G4" s="80">
        <f>G2*G3</f>
        <v>125309.92500000002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-2.8543873125037589E-3</v>
      </c>
      <c r="F6" s="69" t="s">
        <v>16</v>
      </c>
      <c r="G6" s="68">
        <f>(I50-I19)/(D50-(SUM(D42:D44)+D19))</f>
        <v>34.794214519779679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29.383633548256359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>
        <f t="shared" si="1"/>
        <v>0</v>
      </c>
      <c r="F11" s="28">
        <f t="shared" si="2"/>
        <v>30.587058813031366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>
        <f t="shared" si="1"/>
        <v>0</v>
      </c>
      <c r="F12" s="28">
        <f t="shared" si="2"/>
        <v>27.879351967287604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30.587058813031366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>
        <f t="shared" si="1"/>
        <v>0</v>
      </c>
      <c r="F14" s="28">
        <f t="shared" si="2"/>
        <v>34.197334607356382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>
        <v>130</v>
      </c>
      <c r="E15" s="29">
        <f t="shared" si="1"/>
        <v>0.89655172413793105</v>
      </c>
      <c r="F15" s="28">
        <f t="shared" si="2"/>
        <v>28.180208283481356</v>
      </c>
      <c r="G15" s="27" t="str">
        <f t="shared" si="3"/>
        <v>+</v>
      </c>
      <c r="H15" s="34">
        <f t="shared" si="4"/>
        <v>3653</v>
      </c>
      <c r="I15" s="34">
        <f t="shared" si="5"/>
        <v>3663.4270768525762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>
        <f t="shared" si="1"/>
        <v>0</v>
      </c>
      <c r="F16" s="28">
        <f t="shared" si="2"/>
        <v>38.509608472800146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>
        <v>15</v>
      </c>
      <c r="E17" s="29">
        <f t="shared" si="1"/>
        <v>0.10344827586206896</v>
      </c>
      <c r="F17" s="28">
        <f t="shared" si="2"/>
        <v>56.761558321887712</v>
      </c>
      <c r="G17" s="27" t="str">
        <f t="shared" si="3"/>
        <v>+</v>
      </c>
      <c r="H17" s="34">
        <f t="shared" si="4"/>
        <v>849</v>
      </c>
      <c r="I17" s="34">
        <f t="shared" si="5"/>
        <v>851.42337482831567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49.74157761070019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31.048275862068966</v>
      </c>
      <c r="D19" s="49">
        <f>SUM(D10:D18)</f>
        <v>145</v>
      </c>
      <c r="E19" s="48">
        <f t="shared" si="1"/>
        <v>1</v>
      </c>
      <c r="F19" s="47">
        <f>I19/D19</f>
        <v>31.136899666764769</v>
      </c>
      <c r="G19" s="46">
        <f>F19/C19-1</f>
        <v>2.8543873125037589E-3</v>
      </c>
      <c r="H19" s="9">
        <f>SUM(H10:H18)</f>
        <v>4502</v>
      </c>
      <c r="I19" s="9">
        <f>SUM(I10:I18)</f>
        <v>4514.8504516808916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52.6</v>
      </c>
      <c r="E21" s="29">
        <f>D21/$D$48</f>
        <v>1.2708076635017274E-2</v>
      </c>
      <c r="F21" s="28">
        <f>C21-(C21*$E$6)</f>
        <v>73.810082906200265</v>
      </c>
      <c r="G21" s="27" t="str">
        <f>IF(C21&gt;=F21,"-","+")</f>
        <v>+</v>
      </c>
      <c r="H21" s="26">
        <f>C21*D21</f>
        <v>3871.3599999999997</v>
      </c>
      <c r="I21" s="26">
        <f>F21*D21</f>
        <v>3882.4103608661339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123.8</v>
      </c>
      <c r="E22" s="29">
        <f>D22/$D$48</f>
        <v>2.9909883791162328E-2</v>
      </c>
      <c r="F22" s="28">
        <f>C22-(C22*$E$6)</f>
        <v>49.541006733237687</v>
      </c>
      <c r="G22" s="27" t="str">
        <f>IF(C22&gt;=F22,"-","+")</f>
        <v>+</v>
      </c>
      <c r="H22" s="26">
        <f>C22*D22</f>
        <v>6115.7199999999993</v>
      </c>
      <c r="I22" s="26">
        <f>F22*D22</f>
        <v>6133.1766335748252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109.1</v>
      </c>
      <c r="E23" s="29">
        <f>D23/$D$48</f>
        <v>2.6358387088980691E-2</v>
      </c>
      <c r="F23" s="28">
        <f>C23-(C23*$E$6)</f>
        <v>45.128447429062668</v>
      </c>
      <c r="G23" s="27" t="str">
        <f>IF(C23&gt;=F23,"-","+")</f>
        <v>+</v>
      </c>
      <c r="H23" s="26">
        <f>C23*D23</f>
        <v>4909.5</v>
      </c>
      <c r="I23" s="26">
        <f>F23*D23</f>
        <v>4923.5136145107372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52.177162872154106</v>
      </c>
      <c r="D24" s="22">
        <f>SUM(D21:D23)</f>
        <v>285.5</v>
      </c>
      <c r="E24" s="21">
        <f>D24/$D$48</f>
        <v>6.8976347515160297E-2</v>
      </c>
      <c r="F24" s="20">
        <f>I24/D24</f>
        <v>52.32609670385883</v>
      </c>
      <c r="G24" s="19">
        <f>F24/C24-1</f>
        <v>2.8543873125037589E-3</v>
      </c>
      <c r="H24" s="18">
        <f>SUM(H21:H23)</f>
        <v>14896.579999999998</v>
      </c>
      <c r="I24" s="18">
        <f>SUM(I21:I23)</f>
        <v>14939.100608951696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v>923</v>
      </c>
      <c r="E26" s="29">
        <f t="shared" ref="E26:E32" si="7">D26/$D$48</f>
        <v>0.22299533715058828</v>
      </c>
      <c r="F26" s="28">
        <f t="shared" ref="F26:F31" si="8">C26-(C26*$E$6)</f>
        <v>39.412177421381394</v>
      </c>
      <c r="G26" s="27" t="str">
        <f t="shared" ref="G26:G31" si="9">IF(C26&gt;=F26,"-","+")</f>
        <v>+</v>
      </c>
      <c r="H26" s="26">
        <f t="shared" ref="H26:H31" si="10">C26*D26</f>
        <v>36273.899999999994</v>
      </c>
      <c r="I26" s="26">
        <f t="shared" ref="I26:I31" si="11">F26*D26</f>
        <v>36377.439759935027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618</v>
      </c>
      <c r="E27" s="29">
        <f t="shared" si="7"/>
        <v>0.14930782054069724</v>
      </c>
      <c r="F27" s="28">
        <f t="shared" si="8"/>
        <v>35.09990355593763</v>
      </c>
      <c r="G27" s="27" t="str">
        <f t="shared" si="9"/>
        <v>+</v>
      </c>
      <c r="H27" s="26">
        <f t="shared" si="10"/>
        <v>21630</v>
      </c>
      <c r="I27" s="26">
        <f t="shared" si="11"/>
        <v>21691.740397569454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346</v>
      </c>
      <c r="E28" s="29">
        <f t="shared" si="7"/>
        <v>8.3593051629581305E-2</v>
      </c>
      <c r="F28" s="28">
        <f t="shared" si="8"/>
        <v>35.09990355593763</v>
      </c>
      <c r="G28" s="27" t="str">
        <f t="shared" si="9"/>
        <v>+</v>
      </c>
      <c r="H28" s="26">
        <f t="shared" si="10"/>
        <v>12110</v>
      </c>
      <c r="I28" s="26">
        <f t="shared" si="11"/>
        <v>12144.56663035442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341</v>
      </c>
      <c r="E29" s="29">
        <f t="shared" si="7"/>
        <v>8.2385059554009321E-2</v>
      </c>
      <c r="F29" s="28">
        <f t="shared" si="8"/>
        <v>33.896478291162623</v>
      </c>
      <c r="G29" s="27" t="str">
        <f t="shared" si="9"/>
        <v>+</v>
      </c>
      <c r="H29" s="26">
        <f t="shared" si="10"/>
        <v>11525.8</v>
      </c>
      <c r="I29" s="26">
        <f t="shared" si="11"/>
        <v>11558.699097286455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262.8</v>
      </c>
      <c r="E30" s="29">
        <f t="shared" si="7"/>
        <v>6.3492063492063489E-2</v>
      </c>
      <c r="F30" s="28">
        <f t="shared" si="8"/>
        <v>33.896478291162623</v>
      </c>
      <c r="G30" s="27" t="str">
        <f t="shared" si="9"/>
        <v>+</v>
      </c>
      <c r="H30" s="26">
        <f t="shared" si="10"/>
        <v>8882.64</v>
      </c>
      <c r="I30" s="26">
        <f t="shared" si="11"/>
        <v>8907.9944949175369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54</v>
      </c>
      <c r="E31" s="29">
        <f t="shared" si="7"/>
        <v>1.3046314416177429E-2</v>
      </c>
      <c r="F31" s="28">
        <f t="shared" si="8"/>
        <v>34.498190923550126</v>
      </c>
      <c r="G31" s="27" t="str">
        <f t="shared" si="9"/>
        <v>+</v>
      </c>
      <c r="H31" s="26">
        <f t="shared" si="10"/>
        <v>1857.6</v>
      </c>
      <c r="I31" s="26">
        <f t="shared" si="11"/>
        <v>1862.9023098717068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36.262158126375354</v>
      </c>
      <c r="D32" s="22">
        <f>SUM(D26:D31)</f>
        <v>2544.8000000000002</v>
      </c>
      <c r="E32" s="21">
        <f t="shared" si="7"/>
        <v>0.61481964678311707</v>
      </c>
      <c r="F32" s="20">
        <f>I32/D32</f>
        <v>36.365664370455278</v>
      </c>
      <c r="G32" s="19">
        <f>F32/C32-1</f>
        <v>2.8543873125035368E-3</v>
      </c>
      <c r="H32" s="18">
        <f>SUM(H26:H31)</f>
        <v>92279.94</v>
      </c>
      <c r="I32" s="18">
        <f>SUM(I26:I31)</f>
        <v>92543.342689934594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f>254.3+335</f>
        <v>589.29999999999995</v>
      </c>
      <c r="E34" s="29">
        <f t="shared" ref="E34:E40" si="13">D34/$D$48</f>
        <v>0.14237394602691403</v>
      </c>
      <c r="F34" s="28">
        <f t="shared" ref="F34:F39" si="14">C34-(C34*$E$6)</f>
        <v>20.759085817368828</v>
      </c>
      <c r="G34" s="27" t="str">
        <f t="shared" ref="G34:G39" si="15">IF(C34&gt;=F34,"-","+")</f>
        <v>+</v>
      </c>
      <c r="H34" s="26">
        <f t="shared" ref="H34:H39" si="16">C34*D34</f>
        <v>12198.509999999998</v>
      </c>
      <c r="I34" s="26">
        <f t="shared" ref="I34:I39" si="17">F34*D34</f>
        <v>12233.32927217545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46.7</v>
      </c>
      <c r="E35" s="29">
        <f t="shared" si="13"/>
        <v>1.1282645985842332E-2</v>
      </c>
      <c r="F35" s="28">
        <f t="shared" si="14"/>
        <v>15.94538475826881</v>
      </c>
      <c r="G35" s="27" t="str">
        <f t="shared" si="15"/>
        <v>+</v>
      </c>
      <c r="H35" s="26">
        <f t="shared" si="16"/>
        <v>742.53000000000009</v>
      </c>
      <c r="I35" s="26">
        <f t="shared" si="17"/>
        <v>744.64946821115348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12.836536157600049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33.896478291162623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33.896478291162623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35.09990355593763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20.347547169811318</v>
      </c>
      <c r="D40" s="22">
        <f>SUM(D34:D39)</f>
        <v>636</v>
      </c>
      <c r="E40" s="113">
        <f t="shared" si="13"/>
        <v>0.15365659201275639</v>
      </c>
      <c r="F40" s="20">
        <f>I40/D40</f>
        <v>20.405626950293399</v>
      </c>
      <c r="G40" s="19">
        <f>F40/C40-1</f>
        <v>2.8543873125037589E-3</v>
      </c>
      <c r="H40" s="18">
        <f>SUM(H34:H39)</f>
        <v>12941.039999999999</v>
      </c>
      <c r="I40" s="18">
        <f>SUM(I34:I39)</f>
        <v>12977.978740386603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41.8+282.2+313</f>
        <v>637</v>
      </c>
      <c r="E42" s="107">
        <f>D42/$D$48</f>
        <v>0.15389819042787078</v>
      </c>
      <c r="F42" s="28">
        <f>C42-(C42*$E$6)</f>
        <v>0.50142719365625188</v>
      </c>
      <c r="G42" s="27" t="str">
        <f>IF(C42&gt;=F42,"-","+")</f>
        <v>+</v>
      </c>
      <c r="H42" s="26">
        <f>C42*D42</f>
        <v>318.5</v>
      </c>
      <c r="I42" s="26">
        <f>F42*D42</f>
        <v>319.40912235903244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30.4</v>
      </c>
      <c r="E43" s="107">
        <f>D43/$D$48</f>
        <v>7.344591819477663E-3</v>
      </c>
      <c r="F43" s="28">
        <f>C43-(C43*$E$6)</f>
        <v>0.50142719365625188</v>
      </c>
      <c r="G43" s="27" t="str">
        <f>IF(C43&gt;=F43,"-","+")</f>
        <v>+</v>
      </c>
      <c r="H43" s="26">
        <f>C43*D43</f>
        <v>15.2</v>
      </c>
      <c r="I43" s="26">
        <f>F43*D43</f>
        <v>15.243386687150057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1.3046314416177429E-3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0.49598692033293701</v>
      </c>
      <c r="D46" s="22">
        <f>SUM(D41:D45)</f>
        <v>672.8</v>
      </c>
      <c r="E46" s="113">
        <f>D46/$D$48</f>
        <v>0.16254741368896616</v>
      </c>
      <c r="F46" s="20">
        <f>I46/D46</f>
        <v>0.49740265910550313</v>
      </c>
      <c r="G46" s="19">
        <f>F46/C46-1</f>
        <v>2.8543873125037589E-3</v>
      </c>
      <c r="H46" s="18">
        <f>SUM(H41:H44)</f>
        <v>333.7</v>
      </c>
      <c r="I46" s="18">
        <f>SUM(I41:I44)</f>
        <v>334.6525090461825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109.28285508867373</v>
      </c>
      <c r="D48" s="13">
        <f>D24+D32+D40+D46</f>
        <v>4139.1000000000004</v>
      </c>
      <c r="E48" s="12">
        <f>SUM(E20:E46)/2</f>
        <v>1</v>
      </c>
      <c r="F48" s="11">
        <f>I48/D48</f>
        <v>29.183898564499309</v>
      </c>
      <c r="G48" s="10"/>
      <c r="H48" s="9">
        <f>SUM(H20:H46)/2</f>
        <v>120451.26000000002</v>
      </c>
      <c r="I48" s="9">
        <f>SUM(I20:I46)/2</f>
        <v>120795.0745483191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4284.0999999999995</v>
      </c>
      <c r="E50" s="12">
        <f>D50/G2</f>
        <v>0.99999999999999978</v>
      </c>
      <c r="F50" s="11">
        <f>I50/D50</f>
        <v>29.25</v>
      </c>
      <c r="G50" s="10"/>
      <c r="H50" s="9">
        <f>H48+H19</f>
        <v>124953.26000000002</v>
      </c>
      <c r="I50" s="9">
        <f>I48+I19</f>
        <v>125309.92499999999</v>
      </c>
      <c r="J50" s="106">
        <f>D50-G2</f>
        <v>0</v>
      </c>
      <c r="K50" s="8"/>
    </row>
    <row r="51" spans="1:11" ht="23.25" x14ac:dyDescent="0.35">
      <c r="A51" s="174" t="s">
        <v>565</v>
      </c>
      <c r="B51" s="169"/>
      <c r="C51" s="170"/>
      <c r="G51" s="7"/>
      <c r="H51" s="6"/>
      <c r="I51" s="6">
        <f>+I50/D50</f>
        <v>29.25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557</v>
      </c>
      <c r="D1" s="100" t="s">
        <v>1</v>
      </c>
      <c r="E1" s="168" t="s">
        <v>484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564</v>
      </c>
      <c r="D2" s="96" t="s">
        <v>3</v>
      </c>
      <c r="E2" s="95" t="s">
        <v>112</v>
      </c>
      <c r="F2" s="94" t="s">
        <v>5</v>
      </c>
      <c r="G2" s="93">
        <v>12932.6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180</v>
      </c>
      <c r="F3" s="88" t="s">
        <v>8</v>
      </c>
      <c r="G3" s="87">
        <v>25.95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71.847777777777779</v>
      </c>
      <c r="F4" s="81" t="s">
        <v>12</v>
      </c>
      <c r="G4" s="80">
        <f>G2*G3</f>
        <v>335600.97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-9.774749146124373E-2</v>
      </c>
      <c r="F6" s="69" t="s">
        <v>16</v>
      </c>
      <c r="G6" s="68">
        <f>(I50-I19)/(D50-(SUM(D42:D44)+D19))</f>
        <v>33.109477017787903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 t="e">
        <f t="shared" ref="E10:E19" si="1">D10/$D$19</f>
        <v>#DIV/0!</v>
      </c>
      <c r="F10" s="28">
        <f t="shared" ref="F10:F18" si="2">C10-(C10*$E$6)</f>
        <v>28.541434777992336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29.639182269453581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27.114363039092719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29.639182269453581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/>
      <c r="E14" s="29" t="e">
        <f t="shared" si="1"/>
        <v>#DIV/0!</v>
      </c>
      <c r="F14" s="28">
        <f t="shared" si="2"/>
        <v>33.151974242129562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27.333912537384968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34.1</v>
      </c>
      <c r="D16" s="30"/>
      <c r="E16" s="29" t="e">
        <f t="shared" si="1"/>
        <v>#DIV/0!</v>
      </c>
      <c r="F16" s="28">
        <f t="shared" si="2"/>
        <v>37.433189458828416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50.2</v>
      </c>
      <c r="D17" s="30"/>
      <c r="E17" s="29" t="e">
        <f t="shared" si="1"/>
        <v>#DIV/0!</v>
      </c>
      <c r="F17" s="28">
        <f t="shared" si="2"/>
        <v>55.106924071354442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 t="e">
        <f t="shared" si="1"/>
        <v>#DIV/0!</v>
      </c>
      <c r="F18" s="28">
        <f t="shared" si="2"/>
        <v>48.300889624294726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65.3</v>
      </c>
      <c r="D21" s="30">
        <v>158.6</v>
      </c>
      <c r="E21" s="29">
        <f>D21/$D$48</f>
        <v>1.2263581955677899E-2</v>
      </c>
      <c r="F21" s="28">
        <f>C21-(C21*$E$6)</f>
        <v>71.682911192419212</v>
      </c>
      <c r="G21" s="27" t="str">
        <f>IF(C21&gt;=F21,"-","+")</f>
        <v>+</v>
      </c>
      <c r="H21" s="26">
        <f>C21*D21</f>
        <v>10356.58</v>
      </c>
      <c r="I21" s="26">
        <f>F21*D21</f>
        <v>11368.909715117687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43.8</v>
      </c>
      <c r="D22" s="30">
        <v>336.8</v>
      </c>
      <c r="E22" s="29">
        <f>D22/$D$48</f>
        <v>2.6042713762120532E-2</v>
      </c>
      <c r="F22" s="28">
        <f>C22-(C22*$E$6)</f>
        <v>48.081340126002473</v>
      </c>
      <c r="G22" s="27" t="str">
        <f>IF(C22&gt;=F22,"-","+")</f>
        <v>+</v>
      </c>
      <c r="H22" s="26">
        <f>C22*D22</f>
        <v>14751.84</v>
      </c>
      <c r="I22" s="26">
        <f>F22*D22</f>
        <v>16193.795354437634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273.8</v>
      </c>
      <c r="E23" s="29">
        <f>D23/$D$48</f>
        <v>2.1171303527519603E-2</v>
      </c>
      <c r="F23" s="28">
        <f>C23-(C23*$E$6)</f>
        <v>43.909899658449746</v>
      </c>
      <c r="G23" s="27" t="str">
        <f>IF(C23&gt;=F23,"-","+")</f>
        <v>+</v>
      </c>
      <c r="H23" s="26">
        <f>C23*D23</f>
        <v>10952</v>
      </c>
      <c r="I23" s="26">
        <f>F23*D23</f>
        <v>12022.530526483541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46.880421216848667</v>
      </c>
      <c r="D24" s="22">
        <f>SUM(D21:D23)</f>
        <v>769.2</v>
      </c>
      <c r="E24" s="21">
        <f>D24/$D$48</f>
        <v>5.9477599245318036E-2</v>
      </c>
      <c r="F24" s="20">
        <f>I24/D24</f>
        <v>51.462864789442094</v>
      </c>
      <c r="G24" s="19">
        <f>F24/C24-1</f>
        <v>9.774749146124373E-2</v>
      </c>
      <c r="H24" s="18">
        <f>SUM(H21:H23)</f>
        <v>36060.42</v>
      </c>
      <c r="I24" s="18">
        <f>SUM(I21:I23)</f>
        <v>39585.23559603886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34.799999999999997</v>
      </c>
      <c r="D26" s="30">
        <f>534+1811.3</f>
        <v>2345.3000000000002</v>
      </c>
      <c r="E26" s="29">
        <f t="shared" ref="E26:E32" si="7">D26/$D$48</f>
        <v>0.1813479114795169</v>
      </c>
      <c r="F26" s="28">
        <f t="shared" ref="F26:F31" si="8">C26-(C26*$E$6)</f>
        <v>38.201612702851278</v>
      </c>
      <c r="G26" s="27" t="str">
        <f t="shared" ref="G26:G31" si="9">IF(C26&gt;=F26,"-","+")</f>
        <v>+</v>
      </c>
      <c r="H26" s="26">
        <f t="shared" ref="H26:H31" si="10">C26*D26</f>
        <v>81616.44</v>
      </c>
      <c r="I26" s="26">
        <f t="shared" ref="I26:I31" si="11">F26*D26</f>
        <v>89594.242271997107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v>1834.8</v>
      </c>
      <c r="E27" s="29">
        <f t="shared" si="7"/>
        <v>0.14187402378485378</v>
      </c>
      <c r="F27" s="28">
        <f t="shared" si="8"/>
        <v>34.030172235298558</v>
      </c>
      <c r="G27" s="27" t="str">
        <f t="shared" si="9"/>
        <v>+</v>
      </c>
      <c r="H27" s="26">
        <f t="shared" si="10"/>
        <v>56878.799999999996</v>
      </c>
      <c r="I27" s="26">
        <f t="shared" si="11"/>
        <v>62438.560017325792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v>1036</v>
      </c>
      <c r="E28" s="29">
        <f t="shared" si="7"/>
        <v>8.0107634968993091E-2</v>
      </c>
      <c r="F28" s="28">
        <f t="shared" si="8"/>
        <v>34.030172235298558</v>
      </c>
      <c r="G28" s="27" t="str">
        <f t="shared" si="9"/>
        <v>+</v>
      </c>
      <c r="H28" s="26">
        <f t="shared" si="10"/>
        <v>32116</v>
      </c>
      <c r="I28" s="26">
        <f t="shared" si="11"/>
        <v>35255.258435769305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1012.5</v>
      </c>
      <c r="E29" s="29">
        <f t="shared" si="7"/>
        <v>7.8290521627514958E-2</v>
      </c>
      <c r="F29" s="28">
        <f t="shared" si="8"/>
        <v>32.932424743837309</v>
      </c>
      <c r="G29" s="27" t="str">
        <f t="shared" si="9"/>
        <v>+</v>
      </c>
      <c r="H29" s="26">
        <f t="shared" si="10"/>
        <v>30375</v>
      </c>
      <c r="I29" s="26">
        <f t="shared" si="11"/>
        <v>33344.080053135272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718.6</v>
      </c>
      <c r="E30" s="29">
        <f t="shared" si="7"/>
        <v>5.5565006263241727E-2</v>
      </c>
      <c r="F30" s="28">
        <f t="shared" si="8"/>
        <v>32.932424743837309</v>
      </c>
      <c r="G30" s="27" t="str">
        <f t="shared" si="9"/>
        <v>+</v>
      </c>
      <c r="H30" s="26">
        <f t="shared" si="10"/>
        <v>21558</v>
      </c>
      <c r="I30" s="26">
        <f t="shared" si="11"/>
        <v>23665.240420921491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30.5</v>
      </c>
      <c r="D31" s="30">
        <v>212.8</v>
      </c>
      <c r="E31" s="29">
        <f t="shared" si="7"/>
        <v>1.6454541236874256E-2</v>
      </c>
      <c r="F31" s="28">
        <f t="shared" si="8"/>
        <v>33.481298489567934</v>
      </c>
      <c r="G31" s="27" t="str">
        <f t="shared" si="9"/>
        <v>+</v>
      </c>
      <c r="H31" s="26">
        <f t="shared" si="10"/>
        <v>6490.4000000000005</v>
      </c>
      <c r="I31" s="26">
        <f t="shared" si="11"/>
        <v>7124.8203185800567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31.988078212290496</v>
      </c>
      <c r="D32" s="22">
        <f>SUM(D26:D31)</f>
        <v>7160.0000000000009</v>
      </c>
      <c r="E32" s="21">
        <f t="shared" si="7"/>
        <v>0.5536396393609947</v>
      </c>
      <c r="F32" s="20">
        <f>I32/D32</f>
        <v>35.114832614207963</v>
      </c>
      <c r="G32" s="19">
        <f>F32/C32-1</f>
        <v>9.7747491461243952E-2</v>
      </c>
      <c r="H32" s="18">
        <f>SUM(H26:H31)</f>
        <v>229034.63999999998</v>
      </c>
      <c r="I32" s="18">
        <f>SUM(I26:I31)</f>
        <v>251422.20151772903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f>928.4+1091.8</f>
        <v>2020.1999999999998</v>
      </c>
      <c r="E34" s="29">
        <f t="shared" ref="E34:E40" si="13">D34/$D$48</f>
        <v>0.15620988818953649</v>
      </c>
      <c r="F34" s="28">
        <f t="shared" ref="F34:F39" si="14">C34-(C34*$E$6)</f>
        <v>20.088779093740762</v>
      </c>
      <c r="G34" s="27" t="str">
        <f t="shared" ref="G34:G39" si="15">IF(C34&gt;=F34,"-","+")</f>
        <v>+</v>
      </c>
      <c r="H34" s="26">
        <f t="shared" ref="H34:H39" si="16">C34*D34</f>
        <v>36969.659999999996</v>
      </c>
      <c r="I34" s="26">
        <f t="shared" ref="I34:I39" si="17">F34*D34</f>
        <v>40583.35152517508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180.2</v>
      </c>
      <c r="E35" s="29">
        <f t="shared" si="13"/>
        <v>1.3933779750398218E-2</v>
      </c>
      <c r="F35" s="28">
        <f t="shared" si="14"/>
        <v>15.478239629603536</v>
      </c>
      <c r="G35" s="27" t="str">
        <f t="shared" si="15"/>
        <v>+</v>
      </c>
      <c r="H35" s="26">
        <f t="shared" si="16"/>
        <v>2540.8199999999997</v>
      </c>
      <c r="I35" s="26">
        <f t="shared" si="17"/>
        <v>2789.1787812545572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12.404546653512055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32.932424743837309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32.932424743837309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/>
      <c r="E39" s="29">
        <f t="shared" si="13"/>
        <v>0</v>
      </c>
      <c r="F39" s="28">
        <f t="shared" si="14"/>
        <v>34.030172235298558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17.956044355571716</v>
      </c>
      <c r="D40" s="22">
        <f>SUM(D34:D39)</f>
        <v>2200.3999999999996</v>
      </c>
      <c r="E40" s="113">
        <f t="shared" si="13"/>
        <v>0.17014366793993471</v>
      </c>
      <c r="F40" s="20">
        <f>I40/D40</f>
        <v>19.711202647895675</v>
      </c>
      <c r="G40" s="19">
        <f>F40/C40-1</f>
        <v>9.774749146124373E-2</v>
      </c>
      <c r="H40" s="18">
        <f>SUM(H34:H39)</f>
        <v>39510.479999999996</v>
      </c>
      <c r="I40" s="18">
        <f>SUM(I34:I39)</f>
        <v>43372.530306429639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1236.7+1338+148.6</f>
        <v>2723.2999999999997</v>
      </c>
      <c r="E42" s="107">
        <f>D42/$D$48</f>
        <v>0.21057637288712244</v>
      </c>
      <c r="F42" s="28">
        <f>C42-(C42*$E$6)</f>
        <v>0.43909899658449753</v>
      </c>
      <c r="G42" s="27" t="str">
        <f>IF(C42&gt;=F42,"-","+")</f>
        <v>+</v>
      </c>
      <c r="H42" s="26">
        <f>C42*D42</f>
        <v>1089.32</v>
      </c>
      <c r="I42" s="26">
        <f>F42*D42</f>
        <v>1195.798297398562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57.4</v>
      </c>
      <c r="E43" s="107">
        <f>D43/$D$48</f>
        <v>4.4383959915252928E-3</v>
      </c>
      <c r="F43" s="28">
        <f>C43-(C43*$E$6)</f>
        <v>0.43909899658449753</v>
      </c>
      <c r="G43" s="27" t="str">
        <f>IF(C43&gt;=F43,"-","+")</f>
        <v>+</v>
      </c>
      <c r="H43" s="26">
        <f>C43*D43</f>
        <v>22.96</v>
      </c>
      <c r="I43" s="26">
        <f>F43*D43</f>
        <v>25.204282403950156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15.8</v>
      </c>
      <c r="E44" s="107">
        <f>D44/$D$48</f>
        <v>1.2217187572491225E-3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6.5</v>
      </c>
      <c r="E45" s="107">
        <f>D45/$D$48</f>
        <v>5.0260581785565163E-4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0.39681769532643596</v>
      </c>
      <c r="D46" s="22">
        <f>SUM(D41:D45)</f>
        <v>2803</v>
      </c>
      <c r="E46" s="113">
        <f>D46/$D$48</f>
        <v>0.21673909345375253</v>
      </c>
      <c r="F46" s="20">
        <f>I46/D46</f>
        <v>0.4356056296120272</v>
      </c>
      <c r="G46" s="19">
        <f>F46/C46-1</f>
        <v>9.774749146124373E-2</v>
      </c>
      <c r="H46" s="18">
        <f>SUM(H41:H44)</f>
        <v>1112.28</v>
      </c>
      <c r="I46" s="18">
        <f>SUM(I41:I44)</f>
        <v>1221.0025798025122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97.221361480037316</v>
      </c>
      <c r="D48" s="13">
        <f>D24+D32+D40+D46</f>
        <v>12932.6</v>
      </c>
      <c r="E48" s="12">
        <f>SUM(E20:E46)/2</f>
        <v>0.99999999999999989</v>
      </c>
      <c r="F48" s="11">
        <f>I48/D48</f>
        <v>25.950000000000003</v>
      </c>
      <c r="G48" s="10"/>
      <c r="H48" s="9">
        <f>SUM(H20:H46)/2</f>
        <v>305717.81999999995</v>
      </c>
      <c r="I48" s="9">
        <f>SUM(I20:I46)/2</f>
        <v>335600.97000000003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12932.600000000002</v>
      </c>
      <c r="E50" s="12">
        <f>D50/G2</f>
        <v>1.0000000000000002</v>
      </c>
      <c r="F50" s="11">
        <f>I50/D50</f>
        <v>25.95</v>
      </c>
      <c r="G50" s="10"/>
      <c r="H50" s="9">
        <f>H48+H19</f>
        <v>305717.81999999995</v>
      </c>
      <c r="I50" s="9">
        <f>I48+I19</f>
        <v>335600.97000000003</v>
      </c>
      <c r="J50" s="106">
        <f>D50-G2</f>
        <v>0</v>
      </c>
      <c r="K50" s="8"/>
    </row>
    <row r="51" spans="1:11" ht="23.25" x14ac:dyDescent="0.35">
      <c r="A51" s="174" t="s">
        <v>566</v>
      </c>
      <c r="B51" s="169"/>
      <c r="C51" s="170"/>
      <c r="G51" s="7"/>
      <c r="H51" s="6"/>
      <c r="I51" s="6">
        <f>+I50/D50</f>
        <v>25.95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564</v>
      </c>
      <c r="D2" s="96" t="s">
        <v>3</v>
      </c>
      <c r="E2" s="95" t="s">
        <v>362</v>
      </c>
      <c r="F2" s="94" t="s">
        <v>5</v>
      </c>
      <c r="G2" s="93">
        <v>22811.8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308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74.064285714285717</v>
      </c>
      <c r="F4" s="81" t="s">
        <v>12</v>
      </c>
      <c r="G4" s="80">
        <f>G2*G3</f>
        <v>661542.19999999995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-2.2644100801264333E-2</v>
      </c>
      <c r="F6" s="69" t="s">
        <v>16</v>
      </c>
      <c r="G6" s="68">
        <f>(I50-I19)/(D50-(SUM(D42:D44)+D19))</f>
        <v>34.573846378094231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29.656678923236665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>
        <v>2774.4</v>
      </c>
      <c r="E11" s="29">
        <f t="shared" si="1"/>
        <v>0.60229246266064618</v>
      </c>
      <c r="F11" s="28">
        <f t="shared" si="2"/>
        <v>30.883851844198183</v>
      </c>
      <c r="G11" s="27" t="str">
        <f t="shared" si="3"/>
        <v>+</v>
      </c>
      <c r="H11" s="34">
        <f t="shared" si="4"/>
        <v>83786.880000000005</v>
      </c>
      <c r="I11" s="34">
        <f t="shared" si="5"/>
        <v>85684.158556543436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>
        <v>1832</v>
      </c>
      <c r="E12" s="29">
        <f t="shared" si="1"/>
        <v>0.39770753733935399</v>
      </c>
      <c r="F12" s="28">
        <f t="shared" si="2"/>
        <v>28.224977182114898</v>
      </c>
      <c r="G12" s="27" t="str">
        <f t="shared" si="3"/>
        <v>+</v>
      </c>
      <c r="H12" s="34">
        <f t="shared" si="4"/>
        <v>50563.200000000004</v>
      </c>
      <c r="I12" s="34">
        <f t="shared" si="5"/>
        <v>51708.158197634497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>
        <f t="shared" si="1"/>
        <v>0</v>
      </c>
      <c r="F13" s="28">
        <f t="shared" si="2"/>
        <v>30.883851844198183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>
        <f t="shared" si="1"/>
        <v>0</v>
      </c>
      <c r="F14" s="28">
        <f t="shared" si="2"/>
        <v>34.565370607082734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>
        <f t="shared" si="1"/>
        <v>0</v>
      </c>
      <c r="F15" s="28">
        <f t="shared" si="2"/>
        <v>28.429506002275151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>
        <f t="shared" si="1"/>
        <v>0</v>
      </c>
      <c r="F16" s="28">
        <f t="shared" si="2"/>
        <v>38.96274024052817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>
        <f t="shared" si="1"/>
        <v>0</v>
      </c>
      <c r="F17" s="28">
        <f t="shared" si="2"/>
        <v>57.370334054950931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50.211825349342078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29.165960402917687</v>
      </c>
      <c r="D19" s="49">
        <f>SUM(D10:D18)</f>
        <v>4606.3999999999996</v>
      </c>
      <c r="E19" s="48">
        <f t="shared" si="1"/>
        <v>1</v>
      </c>
      <c r="F19" s="47">
        <f>I19/D19</f>
        <v>29.826397350247039</v>
      </c>
      <c r="G19" s="46">
        <f>F19/C19-1</f>
        <v>2.2644100801264333E-2</v>
      </c>
      <c r="H19" s="9">
        <f>SUM(H10:H18)</f>
        <v>134350.08000000002</v>
      </c>
      <c r="I19" s="9">
        <f>SUM(I10:I18)</f>
        <v>137392.31675417794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208.5</v>
      </c>
      <c r="E21" s="29">
        <f>D21/$D$48</f>
        <v>1.1452834645236776E-2</v>
      </c>
      <c r="F21" s="28">
        <f>C21-(C21*$E$6)</f>
        <v>74.550754948412177</v>
      </c>
      <c r="G21" s="27" t="str">
        <f>IF(C21&gt;=F21,"-","+")</f>
        <v>+</v>
      </c>
      <c r="H21" s="26">
        <f>C21*D21</f>
        <v>15199.650000000001</v>
      </c>
      <c r="I21" s="26">
        <f>F21*D21</f>
        <v>15543.832406743939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605.70000000000005</v>
      </c>
      <c r="E22" s="29">
        <f>D22/$D$48</f>
        <v>3.3270896616882088E-2</v>
      </c>
      <c r="F22" s="28">
        <f>C22-(C22*$E$6)</f>
        <v>50.109560939261954</v>
      </c>
      <c r="G22" s="27" t="str">
        <f>IF(C22&gt;=F22,"-","+")</f>
        <v>+</v>
      </c>
      <c r="H22" s="26">
        <f>C22*D22</f>
        <v>29679.300000000003</v>
      </c>
      <c r="I22" s="26">
        <f>F22*D22</f>
        <v>30351.361060910967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408.8</v>
      </c>
      <c r="E23" s="29">
        <f>D23/$D$48</f>
        <v>2.245524605742347E-2</v>
      </c>
      <c r="F23" s="28">
        <f>C23-(C23*$E$6)</f>
        <v>45.712191305816518</v>
      </c>
      <c r="G23" s="27" t="str">
        <f>IF(C23&gt;=F23,"-","+")</f>
        <v>+</v>
      </c>
      <c r="H23" s="26">
        <f>C23*D23</f>
        <v>18273.36</v>
      </c>
      <c r="I23" s="26">
        <f>F23*D23</f>
        <v>18687.143805817792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51.637211774325436</v>
      </c>
      <c r="D24" s="22">
        <f>SUM(D21:D23)</f>
        <v>1223</v>
      </c>
      <c r="E24" s="21">
        <f>D24/$D$48</f>
        <v>6.7178977319542338E-2</v>
      </c>
      <c r="F24" s="20">
        <f>I24/D24</f>
        <v>52.806490002839496</v>
      </c>
      <c r="G24" s="19">
        <f>F24/C24-1</f>
        <v>2.2644100801264333E-2</v>
      </c>
      <c r="H24" s="18">
        <f>SUM(H21:H23)</f>
        <v>63152.310000000005</v>
      </c>
      <c r="I24" s="18">
        <f>SUM(I21:I23)</f>
        <v>64582.337273472702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f>70+340+3180.4</f>
        <v>3590.4</v>
      </c>
      <c r="E26" s="29">
        <f t="shared" ref="E26:E32" si="7">D26/$D$48</f>
        <v>0.19721946048085429</v>
      </c>
      <c r="F26" s="28">
        <f t="shared" ref="F26:F31" si="8">C26-(C26*$E$6)</f>
        <v>39.78085552116918</v>
      </c>
      <c r="G26" s="27" t="str">
        <f t="shared" ref="G26:G31" si="9">IF(C26&gt;=F26,"-","+")</f>
        <v>+</v>
      </c>
      <c r="H26" s="26">
        <f t="shared" ref="H26:H31" si="10">C26*D26</f>
        <v>139666.56</v>
      </c>
      <c r="I26" s="26">
        <f t="shared" ref="I26:I31" si="11">F26*D26</f>
        <v>142829.18366320583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2604.6</v>
      </c>
      <c r="E27" s="29">
        <f t="shared" si="7"/>
        <v>0.14306979912222401</v>
      </c>
      <c r="F27" s="28">
        <f t="shared" si="8"/>
        <v>35.485750297803875</v>
      </c>
      <c r="G27" s="27" t="str">
        <f t="shared" si="9"/>
        <v>+</v>
      </c>
      <c r="H27" s="26">
        <f t="shared" si="10"/>
        <v>90379.62000000001</v>
      </c>
      <c r="I27" s="26">
        <f t="shared" si="11"/>
        <v>92426.185225659967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1543.6</v>
      </c>
      <c r="E28" s="29">
        <f t="shared" si="7"/>
        <v>8.4789427138549089E-2</v>
      </c>
      <c r="F28" s="28">
        <f t="shared" si="8"/>
        <v>35.485750297803875</v>
      </c>
      <c r="G28" s="27" t="str">
        <f t="shared" si="9"/>
        <v>+</v>
      </c>
      <c r="H28" s="26">
        <f t="shared" si="10"/>
        <v>53562.92</v>
      </c>
      <c r="I28" s="26">
        <f t="shared" si="11"/>
        <v>54775.804159690058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1556.3</v>
      </c>
      <c r="E29" s="29">
        <f t="shared" si="7"/>
        <v>8.548703385315104E-2</v>
      </c>
      <c r="F29" s="28">
        <f t="shared" si="8"/>
        <v>34.258577376842354</v>
      </c>
      <c r="G29" s="27" t="str">
        <f t="shared" si="9"/>
        <v>+</v>
      </c>
      <c r="H29" s="26">
        <f t="shared" si="10"/>
        <v>52136.049999999996</v>
      </c>
      <c r="I29" s="26">
        <f t="shared" si="11"/>
        <v>53316.623971579756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1105</v>
      </c>
      <c r="E30" s="29">
        <f t="shared" si="7"/>
        <v>6.0697277136626551E-2</v>
      </c>
      <c r="F30" s="28">
        <f t="shared" si="8"/>
        <v>34.258577376842354</v>
      </c>
      <c r="G30" s="27" t="str">
        <f t="shared" si="9"/>
        <v>+</v>
      </c>
      <c r="H30" s="26">
        <f t="shared" si="10"/>
        <v>37017.5</v>
      </c>
      <c r="I30" s="26">
        <f t="shared" si="11"/>
        <v>37855.728001410804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270.5</v>
      </c>
      <c r="E31" s="29">
        <f t="shared" si="7"/>
        <v>1.4858473724395912E-2</v>
      </c>
      <c r="F31" s="28">
        <f t="shared" si="8"/>
        <v>34.872163837323114</v>
      </c>
      <c r="G31" s="27" t="str">
        <f t="shared" si="9"/>
        <v>+</v>
      </c>
      <c r="H31" s="26">
        <f t="shared" si="10"/>
        <v>9224.0500000000011</v>
      </c>
      <c r="I31" s="26">
        <f t="shared" si="11"/>
        <v>9432.9203179959022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35.798723571749882</v>
      </c>
      <c r="D32" s="22">
        <f>SUM(D26:D31)</f>
        <v>10670.4</v>
      </c>
      <c r="E32" s="21">
        <f t="shared" si="7"/>
        <v>0.58612147145580085</v>
      </c>
      <c r="F32" s="20">
        <f>I32/D32</f>
        <v>36.609353476865188</v>
      </c>
      <c r="G32" s="19">
        <f>F32/C32-1</f>
        <v>2.2644100801264555E-2</v>
      </c>
      <c r="H32" s="18">
        <f>SUM(H26:H31)</f>
        <v>381986.69999999995</v>
      </c>
      <c r="I32" s="18">
        <f>SUM(I26:I31)</f>
        <v>390636.44533954229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f>1095.5+1973.3</f>
        <v>3068.8</v>
      </c>
      <c r="E34" s="29">
        <f t="shared" ref="E34:E40" si="13">D34/$D$48</f>
        <v>0.16856814848586388</v>
      </c>
      <c r="F34" s="28">
        <f t="shared" ref="F34:F39" si="14">C34-(C34*$E$6)</f>
        <v>20.964204066425918</v>
      </c>
      <c r="G34" s="27" t="str">
        <f t="shared" ref="G34:G39" si="15">IF(C34&gt;=F34,"-","+")</f>
        <v>+</v>
      </c>
      <c r="H34" s="26">
        <f t="shared" ref="H34:H39" si="16">C34*D34</f>
        <v>62910.400000000001</v>
      </c>
      <c r="I34" s="26">
        <f t="shared" ref="I34:I39" si="17">F34*D34</f>
        <v>64334.949439047858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>
        <v>188.1</v>
      </c>
      <c r="E35" s="29">
        <f t="shared" si="13"/>
        <v>1.0332269528868284E-2</v>
      </c>
      <c r="F35" s="28">
        <f t="shared" si="14"/>
        <v>16.157776792659977</v>
      </c>
      <c r="G35" s="27" t="str">
        <f t="shared" si="15"/>
        <v>+</v>
      </c>
      <c r="H35" s="26">
        <f t="shared" si="16"/>
        <v>2971.98</v>
      </c>
      <c r="I35" s="26">
        <f t="shared" si="17"/>
        <v>3039.2778146993414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12.987580080176055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34.258577376842354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34.258577376842354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35.485750297803875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20.228554760661979</v>
      </c>
      <c r="D40" s="22">
        <f>SUM(D34:D39)</f>
        <v>3256.9</v>
      </c>
      <c r="E40" s="113">
        <f t="shared" si="13"/>
        <v>0.17890041801473217</v>
      </c>
      <c r="F40" s="20">
        <f>I40/D40</f>
        <v>20.686612193726305</v>
      </c>
      <c r="G40" s="19">
        <f>F40/C40-1</f>
        <v>2.2644100801264333E-2</v>
      </c>
      <c r="H40" s="18">
        <f>SUM(H34:H39)</f>
        <v>65882.38</v>
      </c>
      <c r="I40" s="18">
        <f>SUM(I34:I39)</f>
        <v>67374.227253747202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1356.1+1371+188.1</f>
        <v>2915.2</v>
      </c>
      <c r="E42" s="107">
        <f>D42/$D$48</f>
        <v>0.16013095231555993</v>
      </c>
      <c r="F42" s="28">
        <f>C42-(C42*$E$6)</f>
        <v>0.51132205040063217</v>
      </c>
      <c r="G42" s="27" t="str">
        <f>IF(C42&gt;=F42,"-","+")</f>
        <v>+</v>
      </c>
      <c r="H42" s="26">
        <f>C42*D42</f>
        <v>1457.6</v>
      </c>
      <c r="I42" s="26">
        <f>F42*D42</f>
        <v>1490.6060413279229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129.6</v>
      </c>
      <c r="E43" s="107">
        <f>D43/$D$48</f>
        <v>7.1188842686939376E-3</v>
      </c>
      <c r="F43" s="28">
        <f>C43-(C43*$E$6)</f>
        <v>0.51132205040063217</v>
      </c>
      <c r="G43" s="27" t="str">
        <f>IF(C43&gt;=F43,"-","+")</f>
        <v>+</v>
      </c>
      <c r="H43" s="26">
        <f>C43*D43</f>
        <v>64.8</v>
      </c>
      <c r="I43" s="26">
        <f>F43*D43</f>
        <v>66.267337731921927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10</v>
      </c>
      <c r="E45" s="107">
        <f>D45/$D$48</f>
        <v>5.4929662567082852E-4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0.49836323163545893</v>
      </c>
      <c r="D46" s="22">
        <f>SUM(D41:D45)</f>
        <v>3054.7999999999997</v>
      </c>
      <c r="E46" s="113">
        <f>D46/$D$48</f>
        <v>0.16779913320992468</v>
      </c>
      <c r="F46" s="20">
        <f>I46/D46</f>
        <v>0.50964821888825618</v>
      </c>
      <c r="G46" s="19">
        <f>F46/C46-1</f>
        <v>2.2644100801264555E-2</v>
      </c>
      <c r="H46" s="18">
        <f>SUM(H41:H44)</f>
        <v>1522.3999999999999</v>
      </c>
      <c r="I46" s="18">
        <f>SUM(I41:I44)</f>
        <v>1556.8733790598449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108.16285333837277</v>
      </c>
      <c r="D48" s="13">
        <f>D24+D32+D40+D46</f>
        <v>18205.099999999999</v>
      </c>
      <c r="E48" s="12">
        <f>SUM(E20:E46)/2</f>
        <v>1</v>
      </c>
      <c r="F48" s="11">
        <f>I48/D48</f>
        <v>28.791376221268877</v>
      </c>
      <c r="G48" s="10"/>
      <c r="H48" s="9">
        <f>SUM(H20:H46)/2</f>
        <v>512543.79</v>
      </c>
      <c r="I48" s="9">
        <f>SUM(I20:I46)/2</f>
        <v>524149.88324582198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22811.5</v>
      </c>
      <c r="E50" s="12">
        <f>D50/G2</f>
        <v>0.99998684891152823</v>
      </c>
      <c r="F50" s="11">
        <f>I50/D50</f>
        <v>29.000381386581328</v>
      </c>
      <c r="G50" s="10"/>
      <c r="H50" s="9">
        <f>H48+H19</f>
        <v>646893.87</v>
      </c>
      <c r="I50" s="9">
        <f>I48+I19</f>
        <v>661542.19999999995</v>
      </c>
      <c r="J50" s="106">
        <f>D50-G2</f>
        <v>-0.2999999999992724</v>
      </c>
      <c r="K50" s="8"/>
    </row>
    <row r="51" spans="1:11" ht="23.25" x14ac:dyDescent="0.35">
      <c r="A51" s="174" t="s">
        <v>567</v>
      </c>
      <c r="B51" s="169"/>
      <c r="C51" s="170"/>
      <c r="G51" s="7"/>
      <c r="H51" s="6"/>
      <c r="I51" s="6">
        <f>+I50/D50</f>
        <v>29.000381386581328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557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564</v>
      </c>
      <c r="D2" s="96" t="s">
        <v>3</v>
      </c>
      <c r="E2" s="95" t="s">
        <v>112</v>
      </c>
      <c r="F2" s="94" t="s">
        <v>5</v>
      </c>
      <c r="G2" s="116">
        <v>11193.8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171</v>
      </c>
      <c r="F3" s="88" t="s">
        <v>8</v>
      </c>
      <c r="G3" s="87">
        <v>25.42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65.460818713450294</v>
      </c>
      <c r="F4" s="81" t="s">
        <v>12</v>
      </c>
      <c r="G4" s="80">
        <f>G2*G3</f>
        <v>284546.39600000001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-9.8103149911444421E-2</v>
      </c>
      <c r="F6" s="69" t="s">
        <v>16</v>
      </c>
      <c r="G6" s="68">
        <f>(I50-I19)/(D50-(SUM(D42:D44)+D19))</f>
        <v>32.757689721864054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27.891820007750688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26.5</v>
      </c>
      <c r="D11" s="30"/>
      <c r="E11" s="29" t="e">
        <f t="shared" si="1"/>
        <v>#DIV/0!</v>
      </c>
      <c r="F11" s="28">
        <f t="shared" si="2"/>
        <v>29.099733472653277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 t="e">
        <f t="shared" si="1"/>
        <v>#DIV/0!</v>
      </c>
      <c r="F12" s="28">
        <f t="shared" si="2"/>
        <v>26.574096227856955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26.5</v>
      </c>
      <c r="D13" s="30"/>
      <c r="E13" s="29" t="e">
        <f t="shared" si="1"/>
        <v>#DIV/0!</v>
      </c>
      <c r="F13" s="28">
        <f t="shared" si="2"/>
        <v>29.099733472653277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29.6</v>
      </c>
      <c r="D14" s="30"/>
      <c r="E14" s="29" t="e">
        <f t="shared" si="1"/>
        <v>#DIV/0!</v>
      </c>
      <c r="F14" s="28">
        <f t="shared" si="2"/>
        <v>32.503853237378756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26.793716857839243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36.676645207042242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49.2</v>
      </c>
      <c r="D17" s="30"/>
      <c r="E17" s="29" t="e">
        <f t="shared" si="1"/>
        <v>#DIV/0!</v>
      </c>
      <c r="F17" s="28">
        <f t="shared" si="2"/>
        <v>54.026674975643068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43.1</v>
      </c>
      <c r="D18" s="30"/>
      <c r="E18" s="29" t="e">
        <f t="shared" si="1"/>
        <v>#DIV/0!</v>
      </c>
      <c r="F18" s="28">
        <f t="shared" si="2"/>
        <v>47.328245761183254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63.9</v>
      </c>
      <c r="D21" s="30">
        <v>122.4</v>
      </c>
      <c r="E21" s="29">
        <f>D21/$D$48</f>
        <v>1.0934624524290233E-2</v>
      </c>
      <c r="F21" s="28">
        <f>C21-(C21*$E$6)</f>
        <v>70.168791279341292</v>
      </c>
      <c r="G21" s="27" t="str">
        <f>IF(C21&gt;=F21,"-","+")</f>
        <v>+</v>
      </c>
      <c r="H21" s="26">
        <f>C21*D21</f>
        <v>7821.3600000000006</v>
      </c>
      <c r="I21" s="26">
        <f>F21*D21</f>
        <v>8588.6600525913746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42.9</v>
      </c>
      <c r="D22" s="30">
        <v>268.60000000000002</v>
      </c>
      <c r="E22" s="29">
        <f>D22/$D$48</f>
        <v>2.399542603941468E-2</v>
      </c>
      <c r="F22" s="28">
        <f>C22-(C22*$E$6)</f>
        <v>47.108625131200967</v>
      </c>
      <c r="G22" s="27" t="str">
        <f>IF(C22&gt;=F22,"-","+")</f>
        <v>+</v>
      </c>
      <c r="H22" s="26">
        <f>C22*D22</f>
        <v>11522.94</v>
      </c>
      <c r="I22" s="26">
        <f>F22*D22</f>
        <v>12653.37671024058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39.1</v>
      </c>
      <c r="D23" s="30">
        <v>236.7</v>
      </c>
      <c r="E23" s="29">
        <f>D23/$D$48</f>
        <v>2.1145634190355377E-2</v>
      </c>
      <c r="F23" s="28">
        <f>C23-(C23*$E$6)</f>
        <v>42.935833161537481</v>
      </c>
      <c r="G23" s="27" t="str">
        <f>IF(C23&gt;=F23,"-","+")</f>
        <v>+</v>
      </c>
      <c r="H23" s="26">
        <f>C23*D23</f>
        <v>9254.9699999999993</v>
      </c>
      <c r="I23" s="26">
        <f>F23*D23</f>
        <v>10162.911709335922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45.562004142106105</v>
      </c>
      <c r="D24" s="22">
        <f>SUM(D21:D23)</f>
        <v>627.70000000000005</v>
      </c>
      <c r="E24" s="21">
        <f>D24/$D$48</f>
        <v>5.6075684754060294E-2</v>
      </c>
      <c r="F24" s="20">
        <f>I24/D24</f>
        <v>50.031780264724986</v>
      </c>
      <c r="G24" s="19">
        <f>F24/C24-1</f>
        <v>9.8103149911444198E-2</v>
      </c>
      <c r="H24" s="18">
        <f>SUM(H21:H23)</f>
        <v>28599.270000000004</v>
      </c>
      <c r="I24" s="18">
        <f>SUM(I21:I23)</f>
        <v>31404.948472167875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f>1988.2+224</f>
        <v>2212.1999999999998</v>
      </c>
      <c r="E26" s="29">
        <f t="shared" ref="E26:E32" si="7">D26/$D$48</f>
        <v>0.19762725794636316</v>
      </c>
      <c r="F26" s="28">
        <f t="shared" ref="F26:F31" si="8">C26-(C26*$E$6)</f>
        <v>37.445317411980255</v>
      </c>
      <c r="G26" s="27" t="str">
        <f t="shared" ref="G26:G31" si="9">IF(C26&gt;=F26,"-","+")</f>
        <v>+</v>
      </c>
      <c r="H26" s="26">
        <f t="shared" ref="H26:H31" si="10">C26*D26</f>
        <v>75436.02</v>
      </c>
      <c r="I26" s="26">
        <f t="shared" ref="I26:I31" si="11">F26*D26</f>
        <v>82836.531178782709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30">
        <v>1707</v>
      </c>
      <c r="E27" s="29">
        <f t="shared" si="7"/>
        <v>0.15249513123336134</v>
      </c>
      <c r="F27" s="28">
        <f t="shared" si="8"/>
        <v>33.382335757307906</v>
      </c>
      <c r="G27" s="27" t="str">
        <f t="shared" si="9"/>
        <v>+</v>
      </c>
      <c r="H27" s="26">
        <f t="shared" si="10"/>
        <v>51892.799999999996</v>
      </c>
      <c r="I27" s="26">
        <f t="shared" si="11"/>
        <v>56983.647137724598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30">
        <v>830</v>
      </c>
      <c r="E28" s="29">
        <f t="shared" si="7"/>
        <v>7.4148189176151083E-2</v>
      </c>
      <c r="F28" s="28">
        <f t="shared" si="8"/>
        <v>33.382335757307906</v>
      </c>
      <c r="G28" s="27" t="str">
        <f t="shared" si="9"/>
        <v>+</v>
      </c>
      <c r="H28" s="26">
        <f t="shared" si="10"/>
        <v>25232</v>
      </c>
      <c r="I28" s="26">
        <f t="shared" si="11"/>
        <v>27707.338678565564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29.4</v>
      </c>
      <c r="D29" s="30">
        <v>820</v>
      </c>
      <c r="E29" s="29">
        <f t="shared" si="7"/>
        <v>7.3254837499329997E-2</v>
      </c>
      <c r="F29" s="28">
        <f t="shared" si="8"/>
        <v>32.284232607396461</v>
      </c>
      <c r="G29" s="27" t="str">
        <f t="shared" si="9"/>
        <v>+</v>
      </c>
      <c r="H29" s="26">
        <f t="shared" si="10"/>
        <v>24108</v>
      </c>
      <c r="I29" s="26">
        <f t="shared" si="11"/>
        <v>26473.0707380651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29.4</v>
      </c>
      <c r="D30" s="30">
        <v>624.20000000000005</v>
      </c>
      <c r="E30" s="29">
        <f t="shared" si="7"/>
        <v>5.5763011667172908E-2</v>
      </c>
      <c r="F30" s="28">
        <f t="shared" si="8"/>
        <v>32.284232607396461</v>
      </c>
      <c r="G30" s="27" t="str">
        <f t="shared" si="9"/>
        <v>+</v>
      </c>
      <c r="H30" s="26">
        <f t="shared" si="10"/>
        <v>18351.48</v>
      </c>
      <c r="I30" s="26">
        <f t="shared" si="11"/>
        <v>20151.817993536872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29.9</v>
      </c>
      <c r="D31" s="30">
        <v>151.5</v>
      </c>
      <c r="E31" s="29">
        <f t="shared" si="7"/>
        <v>1.3534277903839627E-2</v>
      </c>
      <c r="F31" s="28">
        <f t="shared" si="8"/>
        <v>32.833284182352187</v>
      </c>
      <c r="G31" s="27" t="str">
        <f t="shared" si="9"/>
        <v>+</v>
      </c>
      <c r="H31" s="26">
        <f t="shared" si="10"/>
        <v>4529.8499999999995</v>
      </c>
      <c r="I31" s="26">
        <f t="shared" si="11"/>
        <v>4974.2425536263563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31.450479913000997</v>
      </c>
      <c r="D32" s="22">
        <f>SUM(D26:D31)</f>
        <v>6344.9</v>
      </c>
      <c r="E32" s="21">
        <f t="shared" si="7"/>
        <v>0.56682270542621804</v>
      </c>
      <c r="F32" s="20">
        <f>I32/D32</f>
        <v>34.535871058693004</v>
      </c>
      <c r="G32" s="19">
        <f>F32/C32-1</f>
        <v>9.8103149911444421E-2</v>
      </c>
      <c r="H32" s="18">
        <f>SUM(H26:H31)</f>
        <v>199550.15000000002</v>
      </c>
      <c r="I32" s="18">
        <f>SUM(I26:I31)</f>
        <v>219126.64828030125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f>805.2+750</f>
        <v>1555.2</v>
      </c>
      <c r="E34" s="29">
        <f t="shared" ref="E34:E40" si="13">D34/$D$48</f>
        <v>0.13893405277921708</v>
      </c>
      <c r="F34" s="28">
        <f t="shared" ref="F34:F39" si="14">C34-(C34*$E$6)</f>
        <v>19.765856698406001</v>
      </c>
      <c r="G34" s="27" t="str">
        <f t="shared" ref="G34:G39" si="15">IF(C34&gt;=F34,"-","+")</f>
        <v>+</v>
      </c>
      <c r="H34" s="26">
        <f t="shared" ref="H34:H39" si="16">C34*D34</f>
        <v>27993.600000000002</v>
      </c>
      <c r="I34" s="26">
        <f t="shared" ref="I34:I39" si="17">F34*D34</f>
        <v>30739.860337361013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143.6</v>
      </c>
      <c r="E35" s="29">
        <f t="shared" si="13"/>
        <v>1.282853007915096E-2</v>
      </c>
      <c r="F35" s="28">
        <f t="shared" si="14"/>
        <v>15.153823468777933</v>
      </c>
      <c r="G35" s="27" t="str">
        <f t="shared" si="15"/>
        <v>+</v>
      </c>
      <c r="H35" s="26">
        <f t="shared" si="16"/>
        <v>1981.68</v>
      </c>
      <c r="I35" s="26">
        <f t="shared" si="17"/>
        <v>2176.0890501165109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12.188944964017033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29.4</v>
      </c>
      <c r="D37" s="30"/>
      <c r="E37" s="29">
        <f t="shared" si="13"/>
        <v>0</v>
      </c>
      <c r="F37" s="28">
        <f t="shared" si="14"/>
        <v>32.284232607396461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29.4</v>
      </c>
      <c r="D38" s="30"/>
      <c r="E38" s="29">
        <f t="shared" si="13"/>
        <v>0</v>
      </c>
      <c r="F38" s="28">
        <f t="shared" si="14"/>
        <v>32.284232607396461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30"/>
      <c r="E39" s="29">
        <f t="shared" si="13"/>
        <v>0</v>
      </c>
      <c r="F39" s="28">
        <f t="shared" si="14"/>
        <v>33.382335757307906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17.644972922062635</v>
      </c>
      <c r="D40" s="22">
        <f>SUM(D34:D39)</f>
        <v>1698.8</v>
      </c>
      <c r="E40" s="113">
        <f t="shared" si="13"/>
        <v>0.15176258285836802</v>
      </c>
      <c r="F40" s="20">
        <f>I40/D40</f>
        <v>19.376000345819122</v>
      </c>
      <c r="G40" s="19">
        <f>F40/C40-1</f>
        <v>9.8103149911444421E-2</v>
      </c>
      <c r="H40" s="18">
        <f>SUM(H34:H39)</f>
        <v>29975.280000000002</v>
      </c>
      <c r="I40" s="18">
        <f>SUM(I34:I39)</f>
        <v>32915.949387477522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1180+134.7+1117.2</f>
        <v>2431.9</v>
      </c>
      <c r="E42" s="107">
        <f>D42/$D$48</f>
        <v>0.21725419428612269</v>
      </c>
      <c r="F42" s="28">
        <f>C42-(C42*$E$6)</f>
        <v>0.4392412599645778</v>
      </c>
      <c r="G42" s="27" t="str">
        <f>IF(C42&gt;=F42,"-","+")</f>
        <v>+</v>
      </c>
      <c r="H42" s="26">
        <f>C42*D42</f>
        <v>972.7600000000001</v>
      </c>
      <c r="I42" s="26">
        <f>F42*D42</f>
        <v>1068.1908201078568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69.8</v>
      </c>
      <c r="E43" s="107">
        <f>D43/$D$48</f>
        <v>6.2355947042112602E-3</v>
      </c>
      <c r="F43" s="28">
        <f>C43-(C43*$E$6)</f>
        <v>0.4392412599645778</v>
      </c>
      <c r="G43" s="27" t="str">
        <f>IF(C43&gt;=F43,"-","+")</f>
        <v>+</v>
      </c>
      <c r="H43" s="26">
        <f>C43*D43</f>
        <v>27.92</v>
      </c>
      <c r="I43" s="26">
        <f>F43*D43</f>
        <v>30.659039945527528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5.7</v>
      </c>
      <c r="E44" s="107">
        <f>D44/$D$48</f>
        <v>5.0921045578802555E-4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15</v>
      </c>
      <c r="E45" s="107">
        <f>D45/$D$48</f>
        <v>1.3400275152316461E-3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0.39671741198858229</v>
      </c>
      <c r="D46" s="22">
        <f>SUM(D41:D45)</f>
        <v>2522.4</v>
      </c>
      <c r="E46" s="113">
        <f>D46/$D$48</f>
        <v>0.22533902696135363</v>
      </c>
      <c r="F46" s="20">
        <f>I46/D46</f>
        <v>0.43563663972937849</v>
      </c>
      <c r="G46" s="19">
        <f>F46/C46-1</f>
        <v>9.8103149911444643E-2</v>
      </c>
      <c r="H46" s="18">
        <f>SUM(H41:H44)</f>
        <v>1000.6800000000001</v>
      </c>
      <c r="I46" s="18">
        <f>SUM(I41:I44)</f>
        <v>1098.8498600533844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95.05417438915832</v>
      </c>
      <c r="D48" s="13">
        <f>D24+D32+D40+D46</f>
        <v>11193.8</v>
      </c>
      <c r="E48" s="12">
        <f>SUM(E20:E46)/2</f>
        <v>0.99999999999999978</v>
      </c>
      <c r="F48" s="11">
        <f>I48/D48</f>
        <v>25.42</v>
      </c>
      <c r="G48" s="10"/>
      <c r="H48" s="9">
        <f>SUM(H20:H46)/2</f>
        <v>259125.38</v>
      </c>
      <c r="I48" s="9">
        <f>SUM(I20:I46)/2</f>
        <v>284546.39600000001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11193.800000000003</v>
      </c>
      <c r="E50" s="12">
        <f>D50/G2</f>
        <v>1.0000000000000002</v>
      </c>
      <c r="F50" s="11">
        <f>I50/D50</f>
        <v>25.419999999999995</v>
      </c>
      <c r="G50" s="10"/>
      <c r="H50" s="9">
        <f>H48+H19</f>
        <v>259125.38</v>
      </c>
      <c r="I50" s="9">
        <f>I48+I19</f>
        <v>284546.39600000001</v>
      </c>
      <c r="J50" s="106">
        <f>D50-G2</f>
        <v>0</v>
      </c>
      <c r="K50" s="8"/>
    </row>
    <row r="51" spans="1:11" ht="23.25" x14ac:dyDescent="0.35">
      <c r="A51" s="174" t="s">
        <v>568</v>
      </c>
      <c r="B51" s="169"/>
      <c r="C51" s="170"/>
      <c r="G51" s="7"/>
      <c r="H51" s="6"/>
      <c r="I51" s="6">
        <f>+I50/D50</f>
        <v>25.419999999999995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569</v>
      </c>
      <c r="D2" s="96" t="s">
        <v>3</v>
      </c>
      <c r="E2" s="95" t="s">
        <v>107</v>
      </c>
      <c r="F2" s="94" t="s">
        <v>5</v>
      </c>
      <c r="G2" s="93">
        <v>3373.3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48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70.277083333333337</v>
      </c>
      <c r="F4" s="81" t="s">
        <v>12</v>
      </c>
      <c r="G4" s="80">
        <f>G2*G3</f>
        <v>94452.400000000009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HATA VAR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-1.7867457518988772E-2</v>
      </c>
      <c r="F6" s="69" t="s">
        <v>16</v>
      </c>
      <c r="G6" s="68">
        <f>(I50-I19)/(D50-(SUM(D42:D44)+D19))</f>
        <v>33.790927303949644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28.500288810531686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29.721729759554471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27.075274370005104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29.721729759554471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33.182479115119037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27.380634607260795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37.457522436698781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55.168416197529197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48.246917486400065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44.3</v>
      </c>
      <c r="E21" s="29">
        <f>D21/$D$48</f>
        <v>1.3132540835383748E-2</v>
      </c>
      <c r="F21" s="28">
        <f>C21-(C21*$E$6)</f>
        <v>71.657869009336821</v>
      </c>
      <c r="G21" s="27" t="str">
        <f>IF(C21&gt;=F21,"-","+")</f>
        <v>+</v>
      </c>
      <c r="H21" s="26">
        <f>C21*D21</f>
        <v>3118.7200000000003</v>
      </c>
      <c r="I21" s="26">
        <f>F21*D21</f>
        <v>3174.4435971136209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82.9</v>
      </c>
      <c r="E22" s="29">
        <f>D22/$D$48</f>
        <v>2.4575341653573651E-2</v>
      </c>
      <c r="F22" s="28">
        <f>C22-(C22*$E$6)</f>
        <v>48.145130740648163</v>
      </c>
      <c r="G22" s="27" t="str">
        <f>IF(C22&gt;=F22,"-","+")</f>
        <v>+</v>
      </c>
      <c r="H22" s="26">
        <f>C22*D22</f>
        <v>3921.17</v>
      </c>
      <c r="I22" s="26">
        <f>F22*D22</f>
        <v>3991.231338399733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79.599999999999994</v>
      </c>
      <c r="E23" s="29">
        <f>D23/$D$48</f>
        <v>2.3597071117303529E-2</v>
      </c>
      <c r="F23" s="28">
        <f>C23-(C23*$E$6)</f>
        <v>43.870087419068419</v>
      </c>
      <c r="G23" s="27" t="str">
        <f>IF(C23&gt;=F23,"-","+")</f>
        <v>+</v>
      </c>
      <c r="H23" s="26">
        <f>C23*D23</f>
        <v>3430.7599999999998</v>
      </c>
      <c r="I23" s="26">
        <f>F23*D23</f>
        <v>3492.0589585578459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50.631769825918759</v>
      </c>
      <c r="D24" s="22">
        <f>SUM(D21:D23)</f>
        <v>206.8</v>
      </c>
      <c r="E24" s="21">
        <f>D24/$D$48</f>
        <v>6.1304953606260933E-2</v>
      </c>
      <c r="F24" s="20">
        <f>I24/D24</f>
        <v>51.536430822394578</v>
      </c>
      <c r="G24" s="19">
        <f>F24/C24-1</f>
        <v>1.7867457518988772E-2</v>
      </c>
      <c r="H24" s="18">
        <f>SUM(H21:H23)</f>
        <v>10470.65</v>
      </c>
      <c r="I24" s="18">
        <f>SUM(I21:I23)</f>
        <v>10657.7338940712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655.29999999999995</v>
      </c>
      <c r="E26" s="29">
        <f t="shared" ref="E26:E32" si="7">D26/$D$48</f>
        <v>0.19426081285388194</v>
      </c>
      <c r="F26" s="28">
        <f t="shared" ref="F26:F31" si="8">C26-(C26*$E$6)</f>
        <v>38.271816402713981</v>
      </c>
      <c r="G26" s="27" t="str">
        <f t="shared" ref="G26:G31" si="9">IF(C26&gt;=F26,"-","+")</f>
        <v>+</v>
      </c>
      <c r="H26" s="26">
        <f t="shared" ref="H26:H31" si="10">C26*D26</f>
        <v>24639.279999999999</v>
      </c>
      <c r="I26" s="26">
        <f t="shared" ref="I26:I31" si="11">F26*D26</f>
        <v>25079.52128869847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546</v>
      </c>
      <c r="E27" s="29">
        <f t="shared" si="7"/>
        <v>0.16185930691014733</v>
      </c>
      <c r="F27" s="28">
        <f t="shared" si="8"/>
        <v>34.098559826886124</v>
      </c>
      <c r="G27" s="27" t="str">
        <f t="shared" si="9"/>
        <v>+</v>
      </c>
      <c r="H27" s="26">
        <f t="shared" si="10"/>
        <v>18291</v>
      </c>
      <c r="I27" s="26">
        <f t="shared" si="11"/>
        <v>18617.813665479825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336.3</v>
      </c>
      <c r="E28" s="29">
        <f t="shared" si="7"/>
        <v>9.96946610144369E-2</v>
      </c>
      <c r="F28" s="28">
        <f t="shared" si="8"/>
        <v>34.098559826886124</v>
      </c>
      <c r="G28" s="27" t="str">
        <f t="shared" si="9"/>
        <v>+</v>
      </c>
      <c r="H28" s="26">
        <f t="shared" si="10"/>
        <v>11266.050000000001</v>
      </c>
      <c r="I28" s="26">
        <f t="shared" si="11"/>
        <v>11467.345669781804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274</v>
      </c>
      <c r="E29" s="29">
        <f t="shared" si="7"/>
        <v>8.1226099072125219E-2</v>
      </c>
      <c r="F29" s="28">
        <f t="shared" si="8"/>
        <v>32.877118877863332</v>
      </c>
      <c r="G29" s="27" t="str">
        <f t="shared" si="9"/>
        <v>+</v>
      </c>
      <c r="H29" s="26">
        <f t="shared" si="10"/>
        <v>8850.1999999999989</v>
      </c>
      <c r="I29" s="26">
        <f t="shared" si="11"/>
        <v>9008.3305725345526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247.6</v>
      </c>
      <c r="E30" s="29">
        <f t="shared" si="7"/>
        <v>7.3399934781964243E-2</v>
      </c>
      <c r="F30" s="28">
        <f t="shared" si="8"/>
        <v>32.877118877863332</v>
      </c>
      <c r="G30" s="27" t="str">
        <f t="shared" si="9"/>
        <v>+</v>
      </c>
      <c r="H30" s="26">
        <f t="shared" si="10"/>
        <v>7997.48</v>
      </c>
      <c r="I30" s="26">
        <f t="shared" si="11"/>
        <v>8140.3746341589604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50.5</v>
      </c>
      <c r="E31" s="29">
        <f t="shared" si="7"/>
        <v>1.497050366110337E-2</v>
      </c>
      <c r="F31" s="28">
        <f t="shared" si="8"/>
        <v>33.487839352374728</v>
      </c>
      <c r="G31" s="27" t="str">
        <f t="shared" si="9"/>
        <v>+</v>
      </c>
      <c r="H31" s="26">
        <f t="shared" si="10"/>
        <v>1661.4499999999998</v>
      </c>
      <c r="I31" s="26">
        <f t="shared" si="11"/>
        <v>1691.1358872949238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34.462463857420488</v>
      </c>
      <c r="D32" s="22">
        <f>SUM(D26:D31)</f>
        <v>2109.6999999999998</v>
      </c>
      <c r="E32" s="21">
        <f t="shared" si="7"/>
        <v>0.62541131829365892</v>
      </c>
      <c r="F32" s="20">
        <f>I32/D32</f>
        <v>35.078220466392636</v>
      </c>
      <c r="G32" s="19">
        <f>F32/C32-1</f>
        <v>1.7867457518988772E-2</v>
      </c>
      <c r="H32" s="18">
        <f>SUM(H26:H31)</f>
        <v>72705.459999999992</v>
      </c>
      <c r="I32" s="18">
        <f>SUM(I26:I31)</f>
        <v>74004.521717948533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521.3-50</f>
        <v>471.29999999999995</v>
      </c>
      <c r="E34" s="29">
        <f t="shared" ref="E34:E40" si="13">D34/$D$48</f>
        <v>0.1397148193163964</v>
      </c>
      <c r="F34" s="28">
        <f t="shared" ref="F34:F39" si="14">C34-(C34*$E$6)</f>
        <v>20.153775658875979</v>
      </c>
      <c r="G34" s="27" t="str">
        <f t="shared" ref="G34:G39" si="15">IF(C34&gt;=F34,"-","+")</f>
        <v>+</v>
      </c>
      <c r="H34" s="26">
        <f t="shared" ref="H34:H39" si="16">C34*D34</f>
        <v>9331.74</v>
      </c>
      <c r="I34" s="26">
        <f t="shared" ref="I34:I39" si="17">F34*D34</f>
        <v>9498.4744680282474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15.471585354288628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12.417982981731662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32.877118877863332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32.877118877863332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34.098559826886124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471.29999999999995</v>
      </c>
      <c r="E40" s="113">
        <f t="shared" si="13"/>
        <v>0.1397148193163964</v>
      </c>
      <c r="F40" s="20">
        <f>I40/D40</f>
        <v>20.153775658875979</v>
      </c>
      <c r="G40" s="19">
        <f>F40/C40-1</f>
        <v>1.7867457518988772E-2</v>
      </c>
      <c r="H40" s="18">
        <f>SUM(H34:H39)</f>
        <v>9331.74</v>
      </c>
      <c r="I40" s="18">
        <f>SUM(I34:I39)</f>
        <v>9498.4744680282474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559</v>
      </c>
      <c r="E42" s="107">
        <f>D42/$D$48</f>
        <v>0.16571309993181749</v>
      </c>
      <c r="F42" s="28">
        <f>C42-(C42*$E$6)</f>
        <v>0.50893372875949439</v>
      </c>
      <c r="G42" s="27" t="str">
        <f>IF(C42&gt;=F42,"-","+")</f>
        <v>+</v>
      </c>
      <c r="H42" s="26">
        <f>C42*D42</f>
        <v>279.5</v>
      </c>
      <c r="I42" s="26">
        <f>F42*D42</f>
        <v>284.49395437655738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14.1</v>
      </c>
      <c r="E43" s="107">
        <f>D43/$D$48</f>
        <v>4.1798832004268814E-3</v>
      </c>
      <c r="F43" s="28">
        <f>C43-(C43*$E$6)</f>
        <v>0.50893372875949439</v>
      </c>
      <c r="G43" s="27" t="str">
        <f>IF(C43&gt;=F43,"-","+")</f>
        <v>+</v>
      </c>
      <c r="H43" s="26">
        <f>C43*D43</f>
        <v>7.05</v>
      </c>
      <c r="I43" s="26">
        <f>F43*D43</f>
        <v>7.1759655755088705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</v>
      </c>
      <c r="E44" s="107">
        <f>D44/$D$48</f>
        <v>1.4822280852577593E-3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7.4</v>
      </c>
      <c r="E45" s="107">
        <f>D45/$D$48</f>
        <v>2.1936975661814842E-3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0.48941076003415884</v>
      </c>
      <c r="D46" s="22">
        <f>SUM(D41:D45)</f>
        <v>585.5</v>
      </c>
      <c r="E46" s="113">
        <f>D46/$D$48</f>
        <v>0.17356890878368361</v>
      </c>
      <c r="F46" s="20">
        <f>I46/D46</f>
        <v>0.49815528599840525</v>
      </c>
      <c r="G46" s="19">
        <f>F46/C46-1</f>
        <v>1.7867457518988994E-2</v>
      </c>
      <c r="H46" s="18">
        <f>SUM(H41:H44)</f>
        <v>286.55</v>
      </c>
      <c r="I46" s="18">
        <f>SUM(I41:I44)</f>
        <v>291.66991995206627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105.3836444433734</v>
      </c>
      <c r="D48" s="13">
        <f>D24+D32+D40+D46</f>
        <v>3373.3</v>
      </c>
      <c r="E48" s="12">
        <f>SUM(E20:E46)/2</f>
        <v>0.99999999999999989</v>
      </c>
      <c r="F48" s="11">
        <f>I48/D48</f>
        <v>28.000000000000014</v>
      </c>
      <c r="G48" s="10"/>
      <c r="H48" s="9">
        <f>SUM(H20:H46)/2</f>
        <v>92794.399999999965</v>
      </c>
      <c r="I48" s="9">
        <f>SUM(I20:I46)/2</f>
        <v>94452.400000000052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3373.3</v>
      </c>
      <c r="E50" s="12">
        <f>D50/G2</f>
        <v>1</v>
      </c>
      <c r="F50" s="11">
        <f>I50/D50</f>
        <v>28.000000000000014</v>
      </c>
      <c r="G50" s="10"/>
      <c r="H50" s="9">
        <f>H48+H19</f>
        <v>92794.399999999965</v>
      </c>
      <c r="I50" s="9">
        <f>I48+I19</f>
        <v>94452.400000000052</v>
      </c>
      <c r="J50" s="106">
        <f>D50-G2</f>
        <v>0</v>
      </c>
      <c r="K50" s="8"/>
    </row>
    <row r="51" spans="1:11" ht="23.25" x14ac:dyDescent="0.35">
      <c r="A51" s="174" t="s">
        <v>570</v>
      </c>
      <c r="B51" s="169"/>
      <c r="C51" s="170"/>
      <c r="G51" s="7"/>
      <c r="H51" s="6"/>
      <c r="I51" s="6">
        <f>+I50/D50</f>
        <v>28.000000000000014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544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569</v>
      </c>
      <c r="D2" s="96" t="s">
        <v>3</v>
      </c>
      <c r="E2" s="95" t="s">
        <v>107</v>
      </c>
      <c r="F2" s="94" t="s">
        <v>5</v>
      </c>
      <c r="G2" s="93">
        <v>4812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68</v>
      </c>
      <c r="F3" s="88" t="s">
        <v>8</v>
      </c>
      <c r="G3" s="87">
        <v>27.75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70.764705882352942</v>
      </c>
      <c r="F4" s="81" t="s">
        <v>12</v>
      </c>
      <c r="G4" s="80">
        <f>G2*G3</f>
        <v>133533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-4.3749415722938778E-2</v>
      </c>
      <c r="F6" s="69" t="s">
        <v>16</v>
      </c>
      <c r="G6" s="68">
        <f>(I50-I19)/(D50-(SUM(D42:D44)+D19))</f>
        <v>33.983915710177385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 t="e">
        <f t="shared" ref="E10:E19" si="1">D10/$D$19</f>
        <v>#DIV/0!</v>
      </c>
      <c r="F10" s="28">
        <f t="shared" ref="F10:F18" si="2">C10-(C10*$E$6)</f>
        <v>29.016233757097698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30"/>
      <c r="E11" s="29" t="e">
        <f t="shared" si="1"/>
        <v>#DIV/0!</v>
      </c>
      <c r="F11" s="28">
        <f t="shared" si="2"/>
        <v>30.164358114392929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/>
      <c r="E12" s="29" t="e">
        <f t="shared" si="1"/>
        <v>#DIV/0!</v>
      </c>
      <c r="F12" s="28">
        <f t="shared" si="2"/>
        <v>27.554984575085584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30"/>
      <c r="E13" s="29" t="e">
        <f t="shared" si="1"/>
        <v>#DIV/0!</v>
      </c>
      <c r="F13" s="28">
        <f t="shared" si="2"/>
        <v>30.164358114392929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30"/>
      <c r="E14" s="29" t="e">
        <f t="shared" si="1"/>
        <v>#DIV/0!</v>
      </c>
      <c r="F14" s="28">
        <f t="shared" si="2"/>
        <v>33.713106127850921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/>
      <c r="E15" s="29" t="e">
        <f t="shared" si="1"/>
        <v>#DIV/0!</v>
      </c>
      <c r="F15" s="28">
        <f t="shared" si="2"/>
        <v>27.763734458230171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 t="e">
        <f t="shared" si="1"/>
        <v>#DIV/0!</v>
      </c>
      <c r="F16" s="28">
        <f t="shared" si="2"/>
        <v>38.096853673887267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53.7</v>
      </c>
      <c r="D17" s="30"/>
      <c r="E17" s="29" t="e">
        <f t="shared" si="1"/>
        <v>#DIV/0!</v>
      </c>
      <c r="F17" s="28">
        <f t="shared" si="2"/>
        <v>56.049343624321814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30"/>
      <c r="E18" s="29" t="e">
        <f t="shared" si="1"/>
        <v>#DIV/0!</v>
      </c>
      <c r="F18" s="28">
        <f t="shared" si="2"/>
        <v>49.056222538978119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69.8</v>
      </c>
      <c r="D21" s="30">
        <v>62.2</v>
      </c>
      <c r="E21" s="29">
        <f>D21/$D$48</f>
        <v>1.2927092858924266E-2</v>
      </c>
      <c r="F21" s="28">
        <f>C21-(C21*$E$6)</f>
        <v>72.85370921746113</v>
      </c>
      <c r="G21" s="27" t="str">
        <f>IF(C21&gt;=F21,"-","+")</f>
        <v>+</v>
      </c>
      <c r="H21" s="26">
        <f>C21*D21</f>
        <v>4341.5600000000004</v>
      </c>
      <c r="I21" s="26">
        <f>F21*D21</f>
        <v>4531.5007133260824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46.9</v>
      </c>
      <c r="D22" s="30">
        <v>121</v>
      </c>
      <c r="E22" s="29">
        <f>D22/$D$48</f>
        <v>2.5147560063180644E-2</v>
      </c>
      <c r="F22" s="28">
        <f>C22-(C22*$E$6)</f>
        <v>48.95184759740583</v>
      </c>
      <c r="G22" s="27" t="str">
        <f>IF(C22&gt;=F22,"-","+")</f>
        <v>+</v>
      </c>
      <c r="H22" s="26">
        <f>C22*D22</f>
        <v>5674.9</v>
      </c>
      <c r="I22" s="26">
        <f>F22*D22</f>
        <v>5923.173559286105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>
        <v>110.3</v>
      </c>
      <c r="E23" s="29">
        <f>D23/$D$48</f>
        <v>2.2923767561725827E-2</v>
      </c>
      <c r="F23" s="28">
        <f>C23-(C23*$E$6)</f>
        <v>44.568100051369491</v>
      </c>
      <c r="G23" s="27" t="str">
        <f>IF(C23&gt;=F23,"-","+")</f>
        <v>+</v>
      </c>
      <c r="H23" s="26">
        <f>C23*D23</f>
        <v>4709.8100000000004</v>
      </c>
      <c r="I23" s="26">
        <f>F23*D23</f>
        <v>4915.8614356660546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50.17468483816014</v>
      </c>
      <c r="D24" s="22">
        <f>SUM(D21:D23)</f>
        <v>293.5</v>
      </c>
      <c r="E24" s="21">
        <f>D24/$D$48</f>
        <v>6.0998420483830737E-2</v>
      </c>
      <c r="F24" s="20">
        <f>I24/D24</f>
        <v>52.369797983912243</v>
      </c>
      <c r="G24" s="19">
        <f>F24/C24-1</f>
        <v>4.3749415722938778E-2</v>
      </c>
      <c r="H24" s="18">
        <f>SUM(H21:H23)</f>
        <v>14726.27</v>
      </c>
      <c r="I24" s="18">
        <f>SUM(I21:I23)</f>
        <v>15370.535708278243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>
        <f>277+573.5</f>
        <v>850.5</v>
      </c>
      <c r="E26" s="29">
        <f t="shared" ref="E26:E32" si="7">D26/$D$48</f>
        <v>0.17676032920442264</v>
      </c>
      <c r="F26" s="28">
        <f t="shared" ref="F26:F31" si="8">C26-(C26*$E$6)</f>
        <v>38.827478264893323</v>
      </c>
      <c r="G26" s="27" t="str">
        <f t="shared" ref="G26:G31" si="9">IF(C26&gt;=F26,"-","+")</f>
        <v>+</v>
      </c>
      <c r="H26" s="26">
        <f t="shared" ref="H26:H31" si="10">C26*D26</f>
        <v>31638.600000000002</v>
      </c>
      <c r="I26" s="26">
        <f t="shared" ref="I26:I31" si="11">F26*D26</f>
        <v>33022.770264291772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744.2</v>
      </c>
      <c r="E27" s="29">
        <f t="shared" si="7"/>
        <v>0.1546678859423061</v>
      </c>
      <c r="F27" s="28">
        <f t="shared" si="8"/>
        <v>34.652480602001567</v>
      </c>
      <c r="G27" s="27" t="str">
        <f t="shared" si="9"/>
        <v>+</v>
      </c>
      <c r="H27" s="26">
        <f t="shared" si="10"/>
        <v>24707.440000000002</v>
      </c>
      <c r="I27" s="26">
        <f t="shared" si="11"/>
        <v>25788.376064009568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469.1</v>
      </c>
      <c r="E28" s="29">
        <f t="shared" si="7"/>
        <v>9.7493557236678019E-2</v>
      </c>
      <c r="F28" s="28">
        <f t="shared" si="8"/>
        <v>34.652480602001567</v>
      </c>
      <c r="G28" s="27" t="str">
        <f t="shared" si="9"/>
        <v>+</v>
      </c>
      <c r="H28" s="26">
        <f t="shared" si="10"/>
        <v>15574.120000000003</v>
      </c>
      <c r="I28" s="26">
        <f t="shared" si="11"/>
        <v>16255.478650398936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450</v>
      </c>
      <c r="E29" s="29">
        <f t="shared" si="7"/>
        <v>9.3523983706043715E-2</v>
      </c>
      <c r="F29" s="28">
        <f t="shared" si="8"/>
        <v>33.504356244706337</v>
      </c>
      <c r="G29" s="27" t="str">
        <f t="shared" si="9"/>
        <v>+</v>
      </c>
      <c r="H29" s="26">
        <f t="shared" si="10"/>
        <v>14445</v>
      </c>
      <c r="I29" s="26">
        <f t="shared" si="11"/>
        <v>15076.960310117851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283.8</v>
      </c>
      <c r="E30" s="29">
        <f t="shared" si="7"/>
        <v>5.8982459057278239E-2</v>
      </c>
      <c r="F30" s="28">
        <f t="shared" si="8"/>
        <v>33.504356244706337</v>
      </c>
      <c r="G30" s="27" t="str">
        <f t="shared" si="9"/>
        <v>+</v>
      </c>
      <c r="H30" s="26">
        <f t="shared" si="10"/>
        <v>9109.9800000000014</v>
      </c>
      <c r="I30" s="26">
        <f t="shared" si="11"/>
        <v>9508.5363022476595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30">
        <v>75</v>
      </c>
      <c r="E31" s="29">
        <f t="shared" si="7"/>
        <v>1.5587330617673954E-2</v>
      </c>
      <c r="F31" s="28">
        <f t="shared" si="8"/>
        <v>34.026230952567808</v>
      </c>
      <c r="G31" s="27" t="str">
        <f t="shared" si="9"/>
        <v>+</v>
      </c>
      <c r="H31" s="26">
        <f t="shared" si="10"/>
        <v>2445</v>
      </c>
      <c r="I31" s="26">
        <f t="shared" si="11"/>
        <v>2551.9673214425857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34.087634895216873</v>
      </c>
      <c r="D32" s="22">
        <f>SUM(D26:D31)</f>
        <v>2872.6000000000004</v>
      </c>
      <c r="E32" s="21">
        <f t="shared" si="7"/>
        <v>0.59701554576440274</v>
      </c>
      <c r="F32" s="20">
        <f>I32/D32</f>
        <v>35.578949005259467</v>
      </c>
      <c r="G32" s="19">
        <f>F32/C32-1</f>
        <v>4.3749415722938778E-2</v>
      </c>
      <c r="H32" s="18">
        <f>SUM(H26:H31)</f>
        <v>97920.14</v>
      </c>
      <c r="I32" s="18">
        <f>SUM(I26:I31)</f>
        <v>102204.08891250836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757.7</v>
      </c>
      <c r="E34" s="29">
        <f t="shared" ref="E34:E40" si="13">D34/$D$48</f>
        <v>0.1574736054534874</v>
      </c>
      <c r="F34" s="28">
        <f t="shared" ref="F34:F39" si="14">C34-(C34*$E$6)</f>
        <v>20.4574885481696</v>
      </c>
      <c r="G34" s="27" t="str">
        <f t="shared" ref="G34:G39" si="15">IF(C34&gt;=F34,"-","+")</f>
        <v>+</v>
      </c>
      <c r="H34" s="26">
        <f t="shared" ref="H34:H39" si="16">C34*D34</f>
        <v>14850.920000000002</v>
      </c>
      <c r="I34" s="26">
        <f t="shared" ref="I34:I39" si="17">F34*D34</f>
        <v>15500.639072948106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/>
      <c r="E35" s="29">
        <f t="shared" si="13"/>
        <v>0</v>
      </c>
      <c r="F35" s="28">
        <f t="shared" si="14"/>
        <v>15.760616177416376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12.629367930247559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33.504356244706337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33.504356244706337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34.652480602001567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19.600000000000001</v>
      </c>
      <c r="D40" s="22">
        <f>SUM(D34:D39)</f>
        <v>757.7</v>
      </c>
      <c r="E40" s="113">
        <f t="shared" si="13"/>
        <v>0.1574736054534874</v>
      </c>
      <c r="F40" s="20">
        <f>I40/D40</f>
        <v>20.4574885481696</v>
      </c>
      <c r="G40" s="19">
        <f>F40/C40-1</f>
        <v>4.3749415722938778E-2</v>
      </c>
      <c r="H40" s="18">
        <f>SUM(H34:H39)</f>
        <v>14850.920000000002</v>
      </c>
      <c r="I40" s="18">
        <f>SUM(I34:I39)</f>
        <v>15500.639072948106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861</v>
      </c>
      <c r="E42" s="107">
        <f>D42/$D$48</f>
        <v>0.17894255549089699</v>
      </c>
      <c r="F42" s="28">
        <f>C42-(C42*$E$6)</f>
        <v>0.52187470786146939</v>
      </c>
      <c r="G42" s="27" t="str">
        <f>IF(C42&gt;=F42,"-","+")</f>
        <v>+</v>
      </c>
      <c r="H42" s="26">
        <f>C42*D42</f>
        <v>430.5</v>
      </c>
      <c r="I42" s="26">
        <f>F42*D42</f>
        <v>449.33412346872512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16.100000000000001</v>
      </c>
      <c r="E43" s="107">
        <f>D43/$D$48</f>
        <v>3.3460803059273425E-3</v>
      </c>
      <c r="F43" s="28">
        <f>C43-(C43*$E$6)</f>
        <v>0.52187470786146939</v>
      </c>
      <c r="G43" s="27" t="str">
        <f>IF(C43&gt;=F43,"-","+")</f>
        <v>+</v>
      </c>
      <c r="H43" s="26">
        <f>C43*D43</f>
        <v>8.0500000000000007</v>
      </c>
      <c r="I43" s="26">
        <f>F43*D43</f>
        <v>8.4021827965696581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5.2</v>
      </c>
      <c r="E44" s="107">
        <f>D44/$D$48</f>
        <v>1.0807215894920608E-3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5.5</v>
      </c>
      <c r="E45" s="107">
        <f>D45/$D$48</f>
        <v>1.1430709119627566E-3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0.49397386798828563</v>
      </c>
      <c r="D46" s="22">
        <f>SUM(D41:D45)</f>
        <v>887.80000000000007</v>
      </c>
      <c r="E46" s="113">
        <f>D46/$D$48</f>
        <v>0.18451242829827916</v>
      </c>
      <c r="F46" s="20">
        <f>I46/D46</f>
        <v>0.5155849360951732</v>
      </c>
      <c r="G46" s="19">
        <f>F46/C46-1</f>
        <v>4.3749415722938778E-2</v>
      </c>
      <c r="H46" s="18">
        <f>SUM(H41:H44)</f>
        <v>438.55</v>
      </c>
      <c r="I46" s="18">
        <f>SUM(I41:I44)</f>
        <v>457.73630626529479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104.35629360136529</v>
      </c>
      <c r="D48" s="13">
        <f>D24+D32+D40+D46</f>
        <v>4811.6000000000004</v>
      </c>
      <c r="E48" s="12">
        <f>SUM(E20:E46)/2</f>
        <v>0.99999999999999989</v>
      </c>
      <c r="F48" s="11">
        <f>I48/D48</f>
        <v>27.752306924931414</v>
      </c>
      <c r="G48" s="10"/>
      <c r="H48" s="9">
        <f>SUM(H20:H46)/2</f>
        <v>127935.88</v>
      </c>
      <c r="I48" s="9">
        <f>SUM(I20:I46)/2</f>
        <v>133533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4811.6000000000004</v>
      </c>
      <c r="E50" s="12">
        <f>D50/G2</f>
        <v>0.99991687448046562</v>
      </c>
      <c r="F50" s="11">
        <f>I50/D50</f>
        <v>27.752306924931414</v>
      </c>
      <c r="G50" s="10"/>
      <c r="H50" s="9">
        <f>H48+H19</f>
        <v>127935.88</v>
      </c>
      <c r="I50" s="9">
        <f>I48+I19</f>
        <v>133533</v>
      </c>
      <c r="J50" s="106">
        <f>D50-G2</f>
        <v>-0.3999999999996362</v>
      </c>
      <c r="K50" s="8"/>
    </row>
    <row r="51" spans="1:11" ht="23.25" x14ac:dyDescent="0.35">
      <c r="A51" s="174" t="s">
        <v>571</v>
      </c>
      <c r="B51" s="169"/>
      <c r="C51" s="170"/>
      <c r="G51" s="7"/>
      <c r="H51" s="6"/>
      <c r="I51" s="6">
        <f>+I50/D50</f>
        <v>27.752306924931414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544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569</v>
      </c>
      <c r="D2" s="96" t="s">
        <v>3</v>
      </c>
      <c r="E2" s="95" t="s">
        <v>112</v>
      </c>
      <c r="F2" s="94" t="s">
        <v>5</v>
      </c>
      <c r="G2" s="93">
        <v>6606.3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116</v>
      </c>
      <c r="F3" s="88" t="s">
        <v>8</v>
      </c>
      <c r="G3" s="87">
        <v>24.29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56.95086206896552</v>
      </c>
      <c r="F4" s="81" t="s">
        <v>12</v>
      </c>
      <c r="G4" s="80">
        <f>G2*G3</f>
        <v>160467.027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-7.5104599693160301E-2</v>
      </c>
      <c r="F6" s="69" t="s">
        <v>16</v>
      </c>
      <c r="G6" s="68">
        <f>(I50-I19)/(D50-(SUM(D42:D44)+D19))</f>
        <v>31.364494546733894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24.3</v>
      </c>
      <c r="D10" s="30"/>
      <c r="E10" s="29" t="e">
        <f t="shared" ref="E10:E19" si="1">D10/$D$19</f>
        <v>#DIV/0!</v>
      </c>
      <c r="F10" s="28">
        <f t="shared" ref="F10:F18" si="2">C10-(C10*$E$6)</f>
        <v>26.125041772543796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25.3</v>
      </c>
      <c r="D11" s="30"/>
      <c r="E11" s="29" t="e">
        <f t="shared" si="1"/>
        <v>#DIV/0!</v>
      </c>
      <c r="F11" s="28">
        <f t="shared" si="2"/>
        <v>27.200146372236958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23.1</v>
      </c>
      <c r="D12" s="30"/>
      <c r="E12" s="29" t="e">
        <f t="shared" si="1"/>
        <v>#DIV/0!</v>
      </c>
      <c r="F12" s="28">
        <f t="shared" si="2"/>
        <v>24.834916252912006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25.3</v>
      </c>
      <c r="D13" s="30"/>
      <c r="E13" s="29" t="e">
        <f t="shared" si="1"/>
        <v>#DIV/0!</v>
      </c>
      <c r="F13" s="28">
        <f t="shared" si="2"/>
        <v>27.200146372236958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28.3</v>
      </c>
      <c r="D14" s="30"/>
      <c r="E14" s="29" t="e">
        <f t="shared" si="1"/>
        <v>#DIV/0!</v>
      </c>
      <c r="F14" s="28">
        <f t="shared" si="2"/>
        <v>30.425460171316438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23.3</v>
      </c>
      <c r="D15" s="30"/>
      <c r="E15" s="29" t="e">
        <f t="shared" si="1"/>
        <v>#DIV/0!</v>
      </c>
      <c r="F15" s="28">
        <f t="shared" si="2"/>
        <v>25.049937172850637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31.9</v>
      </c>
      <c r="D16" s="30"/>
      <c r="E16" s="29" t="e">
        <f t="shared" si="1"/>
        <v>#DIV/0!</v>
      </c>
      <c r="F16" s="28">
        <f t="shared" si="2"/>
        <v>34.295836730211811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</v>
      </c>
      <c r="D17" s="30"/>
      <c r="E17" s="29" t="e">
        <f t="shared" si="1"/>
        <v>#DIV/0!</v>
      </c>
      <c r="F17" s="28">
        <f t="shared" si="2"/>
        <v>50.529916185578536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41.2</v>
      </c>
      <c r="D18" s="30"/>
      <c r="E18" s="29" t="e">
        <f t="shared" si="1"/>
        <v>#DIV/0!</v>
      </c>
      <c r="F18" s="28">
        <f t="shared" si="2"/>
        <v>44.294309507358207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61.1</v>
      </c>
      <c r="D21" s="30">
        <v>86</v>
      </c>
      <c r="E21" s="29">
        <f>D21/$D$48</f>
        <v>1.3017876875104067E-2</v>
      </c>
      <c r="F21" s="28">
        <f>C21-(C21*$E$6)</f>
        <v>65.688891041252091</v>
      </c>
      <c r="G21" s="27" t="str">
        <f>IF(C21&gt;=F21,"-","+")</f>
        <v>+</v>
      </c>
      <c r="H21" s="26">
        <f>C21*D21</f>
        <v>5254.6</v>
      </c>
      <c r="I21" s="26">
        <f>F21*D21</f>
        <v>5649.2446295476802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</v>
      </c>
      <c r="D22" s="30">
        <v>158.80000000000001</v>
      </c>
      <c r="E22" s="29">
        <f>D22/$D$48</f>
        <v>2.4037661020541001E-2</v>
      </c>
      <c r="F22" s="28">
        <f>C22-(C22*$E$6)</f>
        <v>44.079288587419569</v>
      </c>
      <c r="G22" s="27" t="str">
        <f>IF(C22&gt;=F22,"-","+")</f>
        <v>+</v>
      </c>
      <c r="H22" s="26">
        <f>C22*D22</f>
        <v>6510.8</v>
      </c>
      <c r="I22" s="26">
        <f>F22*D22</f>
        <v>6999.7910276822277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37.4</v>
      </c>
      <c r="D23" s="30">
        <v>127.6</v>
      </c>
      <c r="E23" s="29">
        <f>D23/$D$48</f>
        <v>1.9314896386782313E-2</v>
      </c>
      <c r="F23" s="28">
        <f>C23-(C23*$E$6)</f>
        <v>40.208912028524196</v>
      </c>
      <c r="G23" s="27" t="str">
        <f>IF(C23&gt;=F23,"-","+")</f>
        <v>+</v>
      </c>
      <c r="H23" s="26">
        <f>C23*D23</f>
        <v>4772.24</v>
      </c>
      <c r="I23" s="26">
        <f>F23*D23</f>
        <v>5130.6571748396873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44.408270676691728</v>
      </c>
      <c r="D24" s="22">
        <f>SUM(D21:D23)</f>
        <v>372.4</v>
      </c>
      <c r="E24" s="21">
        <f>D24/$D$48</f>
        <v>5.6370434282427377E-2</v>
      </c>
      <c r="F24" s="20">
        <f>I24/D24</f>
        <v>47.743536068930176</v>
      </c>
      <c r="G24" s="19">
        <f>F24/C24-1</f>
        <v>7.5104599693160523E-2</v>
      </c>
      <c r="H24" s="18">
        <f>SUM(H21:H23)</f>
        <v>16537.64</v>
      </c>
      <c r="I24" s="18">
        <f>SUM(I21:I23)</f>
        <v>17779.692832069595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32.6</v>
      </c>
      <c r="D26" s="30">
        <v>1593</v>
      </c>
      <c r="E26" s="29">
        <f t="shared" ref="E26:E32" si="7">D26/$D$48</f>
        <v>0.24113346351210208</v>
      </c>
      <c r="F26" s="28">
        <f t="shared" ref="F26:F31" si="8">C26-(C26*$E$6)</f>
        <v>35.04840994999703</v>
      </c>
      <c r="G26" s="27" t="str">
        <f t="shared" ref="G26:G31" si="9">IF(C26&gt;=F26,"-","+")</f>
        <v>+</v>
      </c>
      <c r="H26" s="26">
        <f t="shared" ref="H26:H31" si="10">C26*D26</f>
        <v>51931.8</v>
      </c>
      <c r="I26" s="26">
        <f t="shared" ref="I26:I31" si="11">F26*D26</f>
        <v>55832.117050345267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</v>
      </c>
      <c r="D27" s="30">
        <v>933</v>
      </c>
      <c r="E27" s="29">
        <f t="shared" si="7"/>
        <v>0.14122882702874529</v>
      </c>
      <c r="F27" s="28">
        <f t="shared" si="8"/>
        <v>31.17803339110165</v>
      </c>
      <c r="G27" s="27" t="str">
        <f t="shared" si="9"/>
        <v>+</v>
      </c>
      <c r="H27" s="26">
        <f t="shared" si="10"/>
        <v>27057</v>
      </c>
      <c r="I27" s="26">
        <f t="shared" si="11"/>
        <v>29089.105153897839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</v>
      </c>
      <c r="D28" s="30">
        <v>472</v>
      </c>
      <c r="E28" s="29">
        <f t="shared" si="7"/>
        <v>7.1446952151733953E-2</v>
      </c>
      <c r="F28" s="28">
        <f t="shared" si="8"/>
        <v>31.17803339110165</v>
      </c>
      <c r="G28" s="27" t="str">
        <f t="shared" si="9"/>
        <v>+</v>
      </c>
      <c r="H28" s="26">
        <f t="shared" si="10"/>
        <v>13688</v>
      </c>
      <c r="I28" s="26">
        <f t="shared" si="11"/>
        <v>14716.031760599979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28.1</v>
      </c>
      <c r="D29" s="30">
        <v>413</v>
      </c>
      <c r="E29" s="29">
        <f t="shared" si="7"/>
        <v>6.25160831327672E-2</v>
      </c>
      <c r="F29" s="28">
        <f t="shared" si="8"/>
        <v>30.210439251377807</v>
      </c>
      <c r="G29" s="27" t="str">
        <f t="shared" si="9"/>
        <v>+</v>
      </c>
      <c r="H29" s="26">
        <f t="shared" si="10"/>
        <v>11605.300000000001</v>
      </c>
      <c r="I29" s="26">
        <f t="shared" si="11"/>
        <v>12476.911410819033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28.1</v>
      </c>
      <c r="D30" s="30">
        <v>367.8</v>
      </c>
      <c r="E30" s="29">
        <f t="shared" si="7"/>
        <v>5.5674129240270653E-2</v>
      </c>
      <c r="F30" s="28">
        <f t="shared" si="8"/>
        <v>30.210439251377807</v>
      </c>
      <c r="G30" s="27" t="str">
        <f t="shared" si="9"/>
        <v>+</v>
      </c>
      <c r="H30" s="26">
        <f t="shared" si="10"/>
        <v>10335.18</v>
      </c>
      <c r="I30" s="26">
        <f t="shared" si="11"/>
        <v>11111.399556656757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28.5</v>
      </c>
      <c r="D31" s="30">
        <v>120.1</v>
      </c>
      <c r="E31" s="29">
        <f t="shared" si="7"/>
        <v>1.8179616426744167E-2</v>
      </c>
      <c r="F31" s="28">
        <f t="shared" si="8"/>
        <v>30.640481091255069</v>
      </c>
      <c r="G31" s="27" t="str">
        <f t="shared" si="9"/>
        <v>+</v>
      </c>
      <c r="H31" s="26">
        <f t="shared" si="10"/>
        <v>3422.85</v>
      </c>
      <c r="I31" s="26">
        <f t="shared" si="11"/>
        <v>3679.9217790597336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30.275239170022314</v>
      </c>
      <c r="D32" s="22">
        <f>SUM(D26:D31)</f>
        <v>3898.9</v>
      </c>
      <c r="E32" s="21">
        <f t="shared" si="7"/>
        <v>0.59017907149236337</v>
      </c>
      <c r="F32" s="20">
        <f>I32/D32</f>
        <v>32.549048888501531</v>
      </c>
      <c r="G32" s="19">
        <f>F32/C32-1</f>
        <v>7.5104599693160523E-2</v>
      </c>
      <c r="H32" s="18">
        <f>SUM(H26:H31)</f>
        <v>118040.13</v>
      </c>
      <c r="I32" s="18">
        <f>SUM(I26:I31)</f>
        <v>126905.48671137862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17.2</v>
      </c>
      <c r="D34" s="30">
        <f>251.4+500.6</f>
        <v>752</v>
      </c>
      <c r="E34" s="29">
        <f t="shared" ref="E34:E40" si="13">D34/$D$48</f>
        <v>0.11383073732649138</v>
      </c>
      <c r="F34" s="28">
        <f t="shared" ref="F34:F39" si="14">C34-(C34*$E$6)</f>
        <v>18.491799114722355</v>
      </c>
      <c r="G34" s="27" t="str">
        <f t="shared" ref="G34:G39" si="15">IF(C34&gt;=F34,"-","+")</f>
        <v>+</v>
      </c>
      <c r="H34" s="26">
        <f t="shared" ref="H34:H39" si="16">C34*D34</f>
        <v>12934.4</v>
      </c>
      <c r="I34" s="26">
        <f t="shared" ref="I34:I39" si="17">F34*D34</f>
        <v>13905.832934271211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13.2</v>
      </c>
      <c r="D35" s="30">
        <v>87.3</v>
      </c>
      <c r="E35" s="29">
        <f t="shared" si="13"/>
        <v>1.3214658734844011E-2</v>
      </c>
      <c r="F35" s="28">
        <f t="shared" si="14"/>
        <v>14.191380715949716</v>
      </c>
      <c r="G35" s="27" t="str">
        <f t="shared" si="15"/>
        <v>+</v>
      </c>
      <c r="H35" s="26">
        <f t="shared" si="16"/>
        <v>1152.3599999999999</v>
      </c>
      <c r="I35" s="26">
        <f t="shared" si="17"/>
        <v>1238.9075365024103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11.396108756747498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28.1</v>
      </c>
      <c r="D37" s="30"/>
      <c r="E37" s="29">
        <f t="shared" si="13"/>
        <v>0</v>
      </c>
      <c r="F37" s="28">
        <f t="shared" si="14"/>
        <v>30.210439251377807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28.1</v>
      </c>
      <c r="D38" s="30"/>
      <c r="E38" s="29">
        <f t="shared" si="13"/>
        <v>0</v>
      </c>
      <c r="F38" s="28">
        <f t="shared" si="14"/>
        <v>30.210439251377807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</v>
      </c>
      <c r="D39" s="30"/>
      <c r="E39" s="29">
        <f t="shared" si="13"/>
        <v>0</v>
      </c>
      <c r="F39" s="28">
        <f t="shared" si="14"/>
        <v>31.17803339110165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16.783938996783036</v>
      </c>
      <c r="D40" s="22">
        <f>SUM(D34:D39)</f>
        <v>839.3</v>
      </c>
      <c r="E40" s="113">
        <f t="shared" si="13"/>
        <v>0.12704539606133539</v>
      </c>
      <c r="F40" s="20">
        <f>I40/D40</f>
        <v>18.044490016410847</v>
      </c>
      <c r="G40" s="19">
        <f>F40/C40-1</f>
        <v>7.5104599693160301E-2</v>
      </c>
      <c r="H40" s="18">
        <f>SUM(H34:H39)</f>
        <v>14086.76</v>
      </c>
      <c r="I40" s="18">
        <f>SUM(I34:I39)</f>
        <v>15144.740470773622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703+84.1+670.7</f>
        <v>1457.8000000000002</v>
      </c>
      <c r="E42" s="107">
        <f>D42/$D$48</f>
        <v>0.22066815009914781</v>
      </c>
      <c r="F42" s="28">
        <f>C42-(C42*$E$6)</f>
        <v>0.43004183987726413</v>
      </c>
      <c r="G42" s="27" t="str">
        <f>IF(C42&gt;=F42,"-","+")</f>
        <v>+</v>
      </c>
      <c r="H42" s="26">
        <f>C42*D42</f>
        <v>583.12000000000012</v>
      </c>
      <c r="I42" s="26">
        <f>F42*D42</f>
        <v>626.91499417307568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23.7</v>
      </c>
      <c r="E43" s="107">
        <f>D43/$D$48</f>
        <v>3.5874846737205392E-3</v>
      </c>
      <c r="F43" s="28">
        <f>C43-(C43*$E$6)</f>
        <v>0.43004183987726413</v>
      </c>
      <c r="G43" s="27" t="str">
        <f>IF(C43&gt;=F43,"-","+")</f>
        <v>+</v>
      </c>
      <c r="H43" s="26">
        <f>C43*D43</f>
        <v>9.48</v>
      </c>
      <c r="I43" s="26">
        <f>F43*D43</f>
        <v>10.191991605091159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8.6</v>
      </c>
      <c r="E44" s="107">
        <f>D44/$D$48</f>
        <v>1.3017876875104067E-3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5.6</v>
      </c>
      <c r="E45" s="107">
        <f>D45/$D$48</f>
        <v>8.4767570349514852E-4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0.39620244701477575</v>
      </c>
      <c r="D46" s="22">
        <f>SUM(D41:D45)</f>
        <v>1495.7</v>
      </c>
      <c r="E46" s="113">
        <f>D46/$D$48</f>
        <v>0.22640509816387389</v>
      </c>
      <c r="F46" s="20">
        <f>I46/D46</f>
        <v>0.42595907319527099</v>
      </c>
      <c r="G46" s="19">
        <f>F46/C46-1</f>
        <v>7.5104599693160079E-2</v>
      </c>
      <c r="H46" s="18">
        <f>SUM(H41:H44)</f>
        <v>592.60000000000014</v>
      </c>
      <c r="I46" s="18">
        <f>SUM(I41:I44)</f>
        <v>637.10698577816686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91.863651290511854</v>
      </c>
      <c r="D48" s="13">
        <f>D24+D32+D40+D46</f>
        <v>6606.3</v>
      </c>
      <c r="E48" s="12">
        <f>SUM(E20:E46)/2</f>
        <v>1</v>
      </c>
      <c r="F48" s="11">
        <f>I48/D48</f>
        <v>24.289999999999996</v>
      </c>
      <c r="G48" s="10"/>
      <c r="H48" s="9">
        <f>SUM(H20:H46)/2</f>
        <v>149257.13</v>
      </c>
      <c r="I48" s="9">
        <f>SUM(I20:I46)/2</f>
        <v>160467.02699999997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6606.3000000000011</v>
      </c>
      <c r="E50" s="12">
        <f>D50/G2</f>
        <v>1.0000000000000002</v>
      </c>
      <c r="F50" s="11">
        <f>I50/D50</f>
        <v>24.289999999999992</v>
      </c>
      <c r="G50" s="10"/>
      <c r="H50" s="9">
        <f>H48+H19</f>
        <v>149257.13</v>
      </c>
      <c r="I50" s="9">
        <f>I48+I19</f>
        <v>160467.02699999997</v>
      </c>
      <c r="J50" s="106">
        <f>D50-G2</f>
        <v>0</v>
      </c>
      <c r="K50" s="8"/>
    </row>
    <row r="51" spans="1:11" ht="23.25" x14ac:dyDescent="0.35">
      <c r="A51" s="174" t="s">
        <v>572</v>
      </c>
      <c r="B51" s="169"/>
      <c r="C51" s="170"/>
      <c r="G51" s="7"/>
      <c r="H51" s="6"/>
      <c r="I51" s="6">
        <f>+I50/D50</f>
        <v>24.289999999999992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569</v>
      </c>
      <c r="D2" s="96" t="s">
        <v>3</v>
      </c>
      <c r="E2" s="95" t="s">
        <v>112</v>
      </c>
      <c r="F2" s="94" t="s">
        <v>5</v>
      </c>
      <c r="G2" s="93">
        <v>11675.2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168</v>
      </c>
      <c r="F3" s="88" t="s">
        <v>8</v>
      </c>
      <c r="G3" s="87">
        <v>25.39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69.495238095238093</v>
      </c>
      <c r="F4" s="81" t="s">
        <v>12</v>
      </c>
      <c r="G4" s="80">
        <f>G2*G3</f>
        <v>296433.32800000004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-9.6852704877300688E-2</v>
      </c>
      <c r="F6" s="69" t="s">
        <v>16</v>
      </c>
      <c r="G6" s="68">
        <f>(I50-I19)/(D50-(SUM(D42:D44)+D19))</f>
        <v>31.862560111785896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27.860058703883436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26.4</v>
      </c>
      <c r="D11" s="30"/>
      <c r="E11" s="29" t="e">
        <f t="shared" si="1"/>
        <v>#DIV/0!</v>
      </c>
      <c r="F11" s="28">
        <f t="shared" si="2"/>
        <v>28.956911408760735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 t="e">
        <f t="shared" si="1"/>
        <v>#DIV/0!</v>
      </c>
      <c r="F12" s="28">
        <f t="shared" si="2"/>
        <v>26.543835458030674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26.4</v>
      </c>
      <c r="D13" s="30"/>
      <c r="E13" s="29" t="e">
        <f t="shared" si="1"/>
        <v>#DIV/0!</v>
      </c>
      <c r="F13" s="28">
        <f t="shared" si="2"/>
        <v>28.956911408760735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29.6</v>
      </c>
      <c r="D14" s="30"/>
      <c r="E14" s="29" t="e">
        <f t="shared" si="1"/>
        <v>#DIV/0!</v>
      </c>
      <c r="F14" s="28">
        <f t="shared" si="2"/>
        <v>32.4668400643681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26.763205999006136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36.634880342901845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49.1</v>
      </c>
      <c r="D17" s="30"/>
      <c r="E17" s="29" t="e">
        <f t="shared" si="1"/>
        <v>#DIV/0!</v>
      </c>
      <c r="F17" s="28">
        <f t="shared" si="2"/>
        <v>53.855467809475464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</v>
      </c>
      <c r="D18" s="30"/>
      <c r="E18" s="29" t="e">
        <f t="shared" si="1"/>
        <v>#DIV/0!</v>
      </c>
      <c r="F18" s="28">
        <f t="shared" si="2"/>
        <v>47.164666309723927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63.9</v>
      </c>
      <c r="D21" s="30">
        <v>113</v>
      </c>
      <c r="E21" s="29">
        <f>D21/$D$48</f>
        <v>9.6786350555022604E-3</v>
      </c>
      <c r="F21" s="28">
        <f>C21-(C21*$E$6)</f>
        <v>70.088887841659513</v>
      </c>
      <c r="G21" s="27" t="str">
        <f>IF(C21&gt;=F21,"-","+")</f>
        <v>+</v>
      </c>
      <c r="H21" s="26">
        <f>C21*D21</f>
        <v>7220.7</v>
      </c>
      <c r="I21" s="26">
        <f>F21*D21</f>
        <v>7920.0443261075252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42.9</v>
      </c>
      <c r="D22" s="30">
        <v>271</v>
      </c>
      <c r="E22" s="29">
        <f>D22/$D$48</f>
        <v>2.3211593805673562E-2</v>
      </c>
      <c r="F22" s="28">
        <f>C22-(C22*$E$6)</f>
        <v>47.054981039236196</v>
      </c>
      <c r="G22" s="27" t="str">
        <f>IF(C22&gt;=F22,"-","+")</f>
        <v>+</v>
      </c>
      <c r="H22" s="26">
        <f>C22*D22</f>
        <v>11625.9</v>
      </c>
      <c r="I22" s="26">
        <f>F22*D22</f>
        <v>12751.89986163301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39.1</v>
      </c>
      <c r="D23" s="30">
        <v>230.1</v>
      </c>
      <c r="E23" s="29">
        <f>D23/$D$48</f>
        <v>1.9708441825407701E-2</v>
      </c>
      <c r="F23" s="28">
        <f>C23-(C23*$E$6)</f>
        <v>42.886940760702458</v>
      </c>
      <c r="G23" s="27" t="str">
        <f>IF(C23&gt;=F23,"-","+")</f>
        <v>+</v>
      </c>
      <c r="H23" s="26">
        <f>C23*D23</f>
        <v>8996.91</v>
      </c>
      <c r="I23" s="26">
        <f>F23*D23</f>
        <v>9868.2850690376363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45.340351734245232</v>
      </c>
      <c r="D24" s="22">
        <f>SUM(D21:D23)</f>
        <v>614.1</v>
      </c>
      <c r="E24" s="21">
        <f>D24/$D$48</f>
        <v>5.2598670686583526E-2</v>
      </c>
      <c r="F24" s="20">
        <f>I24/D24</f>
        <v>49.731687439795095</v>
      </c>
      <c r="G24" s="19">
        <f>F24/C24-1</f>
        <v>9.6852704877300688E-2</v>
      </c>
      <c r="H24" s="18">
        <f>SUM(H21:H23)</f>
        <v>27843.51</v>
      </c>
      <c r="I24" s="18">
        <f>SUM(I21:I23)</f>
        <v>30540.22925677817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v>2154</v>
      </c>
      <c r="E26" s="29">
        <f t="shared" ref="E26:E32" si="7">D26/$D$48</f>
        <v>0.18449362751815815</v>
      </c>
      <c r="F26" s="28">
        <f t="shared" ref="F26:F31" si="8">C26-(C26*$E$6)</f>
        <v>37.402677236315952</v>
      </c>
      <c r="G26" s="27" t="str">
        <f t="shared" ref="G26:G31" si="9">IF(C26&gt;=F26,"-","+")</f>
        <v>+</v>
      </c>
      <c r="H26" s="26">
        <f t="shared" ref="H26:H31" si="10">C26*D26</f>
        <v>73451.400000000009</v>
      </c>
      <c r="I26" s="26">
        <f t="shared" ref="I26:I31" si="11">F26*D26</f>
        <v>80565.366767024563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30.3</v>
      </c>
      <c r="D27" s="30">
        <v>1705</v>
      </c>
      <c r="E27" s="29">
        <f t="shared" si="7"/>
        <v>0.14603604220912703</v>
      </c>
      <c r="F27" s="28">
        <f t="shared" si="8"/>
        <v>33.234636957782214</v>
      </c>
      <c r="G27" s="27" t="str">
        <f t="shared" si="9"/>
        <v>+</v>
      </c>
      <c r="H27" s="26">
        <f t="shared" si="10"/>
        <v>51661.5</v>
      </c>
      <c r="I27" s="26">
        <f t="shared" si="11"/>
        <v>56665.056013018679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30.3</v>
      </c>
      <c r="D28" s="30">
        <v>997</v>
      </c>
      <c r="E28" s="29">
        <f t="shared" si="7"/>
        <v>8.5394682746334105E-2</v>
      </c>
      <c r="F28" s="28">
        <f t="shared" si="8"/>
        <v>33.234636957782214</v>
      </c>
      <c r="G28" s="27" t="str">
        <f t="shared" si="9"/>
        <v>+</v>
      </c>
      <c r="H28" s="26">
        <f t="shared" si="10"/>
        <v>30209.100000000002</v>
      </c>
      <c r="I28" s="26">
        <f t="shared" si="11"/>
        <v>33134.933046908867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918</v>
      </c>
      <c r="E29" s="29">
        <f t="shared" si="7"/>
        <v>7.8628203371248456E-2</v>
      </c>
      <c r="F29" s="28">
        <f t="shared" si="8"/>
        <v>32.137784252904908</v>
      </c>
      <c r="G29" s="27" t="str">
        <f t="shared" si="9"/>
        <v>+</v>
      </c>
      <c r="H29" s="26">
        <f t="shared" si="10"/>
        <v>26897.4</v>
      </c>
      <c r="I29" s="26">
        <f t="shared" si="11"/>
        <v>29502.485944166707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598.20000000000005</v>
      </c>
      <c r="E30" s="29">
        <f t="shared" si="7"/>
        <v>5.1236809647800467E-2</v>
      </c>
      <c r="F30" s="28">
        <f t="shared" si="8"/>
        <v>32.137784252904908</v>
      </c>
      <c r="G30" s="27" t="str">
        <f t="shared" si="9"/>
        <v>+</v>
      </c>
      <c r="H30" s="26">
        <f t="shared" si="10"/>
        <v>17527.260000000002</v>
      </c>
      <c r="I30" s="26">
        <f t="shared" si="11"/>
        <v>19224.822540087716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29.8</v>
      </c>
      <c r="D31" s="30">
        <v>82.1</v>
      </c>
      <c r="E31" s="29">
        <f t="shared" si="7"/>
        <v>7.031999451829518E-3</v>
      </c>
      <c r="F31" s="28">
        <f t="shared" si="8"/>
        <v>32.686210605343561</v>
      </c>
      <c r="G31" s="27" t="str">
        <f t="shared" si="9"/>
        <v>+</v>
      </c>
      <c r="H31" s="26">
        <f t="shared" si="10"/>
        <v>2446.58</v>
      </c>
      <c r="I31" s="26">
        <f t="shared" si="11"/>
        <v>2683.5378906987062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31.326904544257314</v>
      </c>
      <c r="D32" s="22">
        <f>SUM(D26:D31)</f>
        <v>6454.3</v>
      </c>
      <c r="E32" s="21">
        <f t="shared" si="7"/>
        <v>0.55282136494449774</v>
      </c>
      <c r="F32" s="20">
        <f>I32/D32</f>
        <v>34.360999984801637</v>
      </c>
      <c r="G32" s="19">
        <f>F32/C32-1</f>
        <v>9.6852704877300688E-2</v>
      </c>
      <c r="H32" s="18">
        <f>SUM(H26:H31)</f>
        <v>202193.24</v>
      </c>
      <c r="I32" s="18">
        <f>SUM(I26:I31)</f>
        <v>221776.20220190522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1222+856.3</f>
        <v>2078.3000000000002</v>
      </c>
      <c r="E34" s="29">
        <f t="shared" ref="E34:E40" si="13">D34/$D$48</f>
        <v>0.17800979854734822</v>
      </c>
      <c r="F34" s="28">
        <f t="shared" ref="F34:F39" si="14">C34-(C34*$E$6)</f>
        <v>19.63366341730368</v>
      </c>
      <c r="G34" s="27" t="str">
        <f t="shared" ref="G34:G39" si="15">IF(C34&gt;=F34,"-","+")</f>
        <v>+</v>
      </c>
      <c r="H34" s="26">
        <f t="shared" ref="H34:H39" si="16">C34*D34</f>
        <v>37201.57</v>
      </c>
      <c r="I34" s="26">
        <f t="shared" ref="I34:I39" si="17">F34*D34</f>
        <v>40804.642680182238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150.5</v>
      </c>
      <c r="E35" s="29">
        <f t="shared" si="13"/>
        <v>1.2890571467726462E-2</v>
      </c>
      <c r="F35" s="28">
        <f t="shared" si="14"/>
        <v>15.13656732730675</v>
      </c>
      <c r="G35" s="27" t="str">
        <f t="shared" si="15"/>
        <v>+</v>
      </c>
      <c r="H35" s="26">
        <f t="shared" si="16"/>
        <v>2076.9</v>
      </c>
      <c r="I35" s="26">
        <f t="shared" si="17"/>
        <v>2278.053382759666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12.175065024138037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32.137784252904908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32.137784252904908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30.3</v>
      </c>
      <c r="D39" s="30"/>
      <c r="E39" s="29">
        <f t="shared" si="13"/>
        <v>0</v>
      </c>
      <c r="F39" s="28">
        <f t="shared" si="14"/>
        <v>33.234636957782214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17.623146984924624</v>
      </c>
      <c r="D40" s="22">
        <f>SUM(D34:D39)</f>
        <v>2228.8000000000002</v>
      </c>
      <c r="E40" s="113">
        <f t="shared" si="13"/>
        <v>0.19090037001507471</v>
      </c>
      <c r="F40" s="20">
        <f>I40/D40</f>
        <v>19.329996438864814</v>
      </c>
      <c r="G40" s="19">
        <f>F40/C40-1</f>
        <v>9.6852704877300466E-2</v>
      </c>
      <c r="H40" s="18">
        <f>SUM(H34:H39)</f>
        <v>39278.47</v>
      </c>
      <c r="I40" s="18">
        <f>SUM(I34:I39)</f>
        <v>43082.696062941905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1063+138.1+1118.7</f>
        <v>2319.8000000000002</v>
      </c>
      <c r="E42" s="107">
        <f>D42/$D$48</f>
        <v>0.19869466904207209</v>
      </c>
      <c r="F42" s="28">
        <f>C42-(C42*$E$6)</f>
        <v>0.43874108195092032</v>
      </c>
      <c r="G42" s="27" t="str">
        <f>IF(C42&gt;=F42,"-","+")</f>
        <v>+</v>
      </c>
      <c r="H42" s="26">
        <f>C42*D42</f>
        <v>927.92000000000007</v>
      </c>
      <c r="I42" s="26">
        <f>F42*D42</f>
        <v>1017.791561909745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37.4</v>
      </c>
      <c r="E43" s="107">
        <f>D43/$D$48</f>
        <v>3.20337124845827E-3</v>
      </c>
      <c r="F43" s="28">
        <f>C43-(C43*$E$6)</f>
        <v>0.43874108195092032</v>
      </c>
      <c r="G43" s="27" t="str">
        <f>IF(C43&gt;=F43,"-","+")</f>
        <v>+</v>
      </c>
      <c r="H43" s="26">
        <f>C43*D43</f>
        <v>14.96</v>
      </c>
      <c r="I43" s="26">
        <f>F43*D43</f>
        <v>16.40891646496442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14.5</v>
      </c>
      <c r="E44" s="107">
        <f>D44/$D$48</f>
        <v>1.2419487460600246E-3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6.3</v>
      </c>
      <c r="E45" s="107">
        <f>D45/$D$48</f>
        <v>5.396053172536658E-4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0.39650126156433974</v>
      </c>
      <c r="D46" s="22">
        <f>SUM(D41:D45)</f>
        <v>2378.0000000000005</v>
      </c>
      <c r="E46" s="113">
        <f>D46/$D$48</f>
        <v>0.20367959435384408</v>
      </c>
      <c r="F46" s="20">
        <f>I46/D46</f>
        <v>0.43490348123410821</v>
      </c>
      <c r="G46" s="19">
        <f>F46/C46-1</f>
        <v>9.685270487730091E-2</v>
      </c>
      <c r="H46" s="18">
        <f>SUM(H41:H44)</f>
        <v>942.88000000000011</v>
      </c>
      <c r="I46" s="18">
        <f>SUM(I41:I44)</f>
        <v>1034.2004783747095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94.686904524991519</v>
      </c>
      <c r="D48" s="13">
        <f>D24+D32+D40+D46</f>
        <v>11675.2</v>
      </c>
      <c r="E48" s="12">
        <f>SUM(E20:E46)/2</f>
        <v>1</v>
      </c>
      <c r="F48" s="11">
        <f>I48/D48</f>
        <v>25.39</v>
      </c>
      <c r="G48" s="10"/>
      <c r="H48" s="9">
        <f>SUM(H20:H46)/2</f>
        <v>270258.10000000003</v>
      </c>
      <c r="I48" s="9">
        <f>SUM(I20:I46)/2</f>
        <v>296433.32800000004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11675.199999999999</v>
      </c>
      <c r="E50" s="12">
        <f>D50/G2</f>
        <v>0.99999999999999989</v>
      </c>
      <c r="F50" s="11">
        <f>I50/D50</f>
        <v>25.390000000000004</v>
      </c>
      <c r="G50" s="10"/>
      <c r="H50" s="9">
        <f>H48+H19</f>
        <v>270258.10000000003</v>
      </c>
      <c r="I50" s="9">
        <f>I48+I19</f>
        <v>296433.32800000004</v>
      </c>
      <c r="J50" s="106">
        <f>D50-G2</f>
        <v>0</v>
      </c>
      <c r="K50" s="8"/>
    </row>
    <row r="51" spans="1:11" ht="23.25" x14ac:dyDescent="0.35">
      <c r="A51" s="174" t="s">
        <v>573</v>
      </c>
      <c r="B51" s="169"/>
      <c r="C51" s="170"/>
      <c r="G51" s="7"/>
      <c r="H51" s="6"/>
      <c r="I51" s="6">
        <f>+I50/D50</f>
        <v>25.390000000000004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569</v>
      </c>
      <c r="D2" s="96" t="s">
        <v>3</v>
      </c>
      <c r="E2" s="95" t="s">
        <v>71</v>
      </c>
      <c r="F2" s="94" t="s">
        <v>5</v>
      </c>
      <c r="G2" s="93">
        <v>22785.5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300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75.951666666666668</v>
      </c>
      <c r="F4" s="81" t="s">
        <v>12</v>
      </c>
      <c r="G4" s="80">
        <f>G2*G3</f>
        <v>666475.875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-2.8833043898923716E-2</v>
      </c>
      <c r="F6" s="69" t="s">
        <v>16</v>
      </c>
      <c r="G6" s="68">
        <f>(I50-I19)/(D50-(SUM(D42:D44)+D19))</f>
        <v>34.743366535879403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>
        <f t="shared" ref="E10:E19" si="1">D10/$D$19</f>
        <v>0</v>
      </c>
      <c r="F10" s="28">
        <f t="shared" ref="F10:F18" si="2">C10-(C10*$E$6)</f>
        <v>30.144808186238464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>
        <v>834.3</v>
      </c>
      <c r="E11" s="29">
        <f t="shared" si="1"/>
        <v>0.38288205598898573</v>
      </c>
      <c r="F11" s="28">
        <f t="shared" si="2"/>
        <v>31.379407838917174</v>
      </c>
      <c r="G11" s="27" t="str">
        <f t="shared" si="3"/>
        <v>+</v>
      </c>
      <c r="H11" s="34">
        <f t="shared" si="4"/>
        <v>25446.149999999998</v>
      </c>
      <c r="I11" s="34">
        <f t="shared" si="5"/>
        <v>26179.839960008598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>
        <v>831.1</v>
      </c>
      <c r="E12" s="29">
        <f t="shared" si="1"/>
        <v>0.38141349242771916</v>
      </c>
      <c r="F12" s="28">
        <f t="shared" si="2"/>
        <v>28.60155862039008</v>
      </c>
      <c r="G12" s="27" t="str">
        <f t="shared" si="3"/>
        <v>+</v>
      </c>
      <c r="H12" s="34">
        <f t="shared" si="4"/>
        <v>23104.58</v>
      </c>
      <c r="I12" s="34">
        <f t="shared" si="5"/>
        <v>23770.755369406197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>
        <f t="shared" si="1"/>
        <v>0</v>
      </c>
      <c r="F13" s="28">
        <f t="shared" si="2"/>
        <v>31.379407838917174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>
        <f t="shared" si="1"/>
        <v>0</v>
      </c>
      <c r="F14" s="28">
        <f t="shared" si="2"/>
        <v>35.083206796953299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>
        <f t="shared" si="1"/>
        <v>0</v>
      </c>
      <c r="F15" s="28">
        <f t="shared" si="2"/>
        <v>28.910208533559757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>
        <v>513.6</v>
      </c>
      <c r="E16" s="29">
        <f t="shared" si="1"/>
        <v>0.23570445158329509</v>
      </c>
      <c r="F16" s="28">
        <f t="shared" si="2"/>
        <v>39.507188885718669</v>
      </c>
      <c r="G16" s="27" t="str">
        <f t="shared" si="3"/>
        <v>+</v>
      </c>
      <c r="H16" s="34">
        <f t="shared" si="4"/>
        <v>19722.240000000002</v>
      </c>
      <c r="I16" s="34">
        <f t="shared" si="5"/>
        <v>20290.892211705108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>
        <f t="shared" si="1"/>
        <v>0</v>
      </c>
      <c r="F17" s="28">
        <f t="shared" si="2"/>
        <v>58.231950284679087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>
        <f t="shared" si="1"/>
        <v>0</v>
      </c>
      <c r="F18" s="28">
        <f t="shared" si="2"/>
        <v>51.030118977386621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31.33224873795319</v>
      </c>
      <c r="D19" s="49">
        <f>SUM(D10:D18)</f>
        <v>2179</v>
      </c>
      <c r="E19" s="48">
        <f t="shared" si="1"/>
        <v>1</v>
      </c>
      <c r="F19" s="47">
        <f>I19/D19</f>
        <v>32.235652841266592</v>
      </c>
      <c r="G19" s="46">
        <f>F19/C19-1</f>
        <v>2.8833043898923716E-2</v>
      </c>
      <c r="H19" s="9">
        <f>SUM(H10:H18)</f>
        <v>68272.97</v>
      </c>
      <c r="I19" s="9">
        <f>SUM(I10:I18)</f>
        <v>70241.487541119903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134.19999999999999</v>
      </c>
      <c r="E21" s="29">
        <f>D21/$D$48</f>
        <v>6.5125081891636129E-3</v>
      </c>
      <c r="F21" s="28">
        <f>C21-(C21*$E$6)</f>
        <v>75.722112030960773</v>
      </c>
      <c r="G21" s="27" t="str">
        <f>IF(C21&gt;=F21,"-","+")</f>
        <v>+</v>
      </c>
      <c r="H21" s="26">
        <f>C21*D21</f>
        <v>9877.119999999999</v>
      </c>
      <c r="I21" s="26">
        <f>F21*D21</f>
        <v>10161.907434554934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546</v>
      </c>
      <c r="E22" s="29">
        <f>D22/$D$48</f>
        <v>2.6496493824764031E-2</v>
      </c>
      <c r="F22" s="28">
        <f>C22-(C22*$E$6)</f>
        <v>50.824352368606831</v>
      </c>
      <c r="G22" s="27" t="str">
        <f>IF(C22&gt;=F22,"-","+")</f>
        <v>+</v>
      </c>
      <c r="H22" s="26">
        <f>C22*D22</f>
        <v>26972.399999999998</v>
      </c>
      <c r="I22" s="26">
        <f>F22*D22</f>
        <v>27750.096393259329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289</v>
      </c>
      <c r="E23" s="29">
        <f>D23/$D$48</f>
        <v>1.4024700943876933E-2</v>
      </c>
      <c r="F23" s="28">
        <f>C23-(C23*$E$6)</f>
        <v>46.297486975451569</v>
      </c>
      <c r="G23" s="27" t="str">
        <f>IF(C23&gt;=F23,"-","+")</f>
        <v>+</v>
      </c>
      <c r="H23" s="26">
        <f>C23*D23</f>
        <v>13005</v>
      </c>
      <c r="I23" s="26">
        <f>F23*D23</f>
        <v>13379.973735905503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51.438836153528676</v>
      </c>
      <c r="D24" s="22">
        <f>SUM(D21:D23)</f>
        <v>969.2</v>
      </c>
      <c r="E24" s="21">
        <f>D24/$D$48</f>
        <v>4.7033702957804575E-2</v>
      </c>
      <c r="F24" s="20">
        <f>I24/D24</f>
        <v>52.921974374452908</v>
      </c>
      <c r="G24" s="19">
        <f>F24/C24-1</f>
        <v>2.8833043898923716E-2</v>
      </c>
      <c r="H24" s="18">
        <f>SUM(H21:H23)</f>
        <v>49854.52</v>
      </c>
      <c r="I24" s="18">
        <f>SUM(I21:I23)</f>
        <v>51291.97756371976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f>1054+2997.7</f>
        <v>4051.7</v>
      </c>
      <c r="E26" s="29">
        <f t="shared" ref="E26:E32" si="7">D26/$D$48</f>
        <v>0.19662242496299712</v>
      </c>
      <c r="F26" s="28">
        <f t="shared" ref="F26:F31" si="8">C26-(C26*$E$6)</f>
        <v>40.433138625227699</v>
      </c>
      <c r="G26" s="27" t="str">
        <f t="shared" ref="G26:G31" si="9">IF(C26&gt;=F26,"-","+")</f>
        <v>+</v>
      </c>
      <c r="H26" s="26">
        <f t="shared" ref="H26:H31" si="10">C26*D26</f>
        <v>159231.80999999997</v>
      </c>
      <c r="I26" s="26">
        <f t="shared" ref="I26:I31" si="11">F26*D26</f>
        <v>163822.94776783505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3187.9</v>
      </c>
      <c r="E27" s="29">
        <f t="shared" si="7"/>
        <v>0.1547036129376653</v>
      </c>
      <c r="F27" s="28">
        <f t="shared" si="8"/>
        <v>36.009156536462328</v>
      </c>
      <c r="G27" s="27" t="str">
        <f t="shared" si="9"/>
        <v>+</v>
      </c>
      <c r="H27" s="26">
        <f t="shared" si="10"/>
        <v>111576.5</v>
      </c>
      <c r="I27" s="26">
        <f t="shared" si="11"/>
        <v>114793.59012258826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1966.2</v>
      </c>
      <c r="E28" s="29">
        <f t="shared" si="7"/>
        <v>9.5416494795331569E-2</v>
      </c>
      <c r="F28" s="28">
        <f t="shared" si="8"/>
        <v>36.009156536462328</v>
      </c>
      <c r="G28" s="27" t="str">
        <f t="shared" si="9"/>
        <v>+</v>
      </c>
      <c r="H28" s="26">
        <f t="shared" si="10"/>
        <v>68817</v>
      </c>
      <c r="I28" s="26">
        <f t="shared" si="11"/>
        <v>70801.203581992231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1794.8</v>
      </c>
      <c r="E29" s="29">
        <f t="shared" si="7"/>
        <v>8.7098730982942268E-2</v>
      </c>
      <c r="F29" s="28">
        <f t="shared" si="8"/>
        <v>34.774556883783617</v>
      </c>
      <c r="G29" s="27" t="str">
        <f t="shared" si="9"/>
        <v>+</v>
      </c>
      <c r="H29" s="26">
        <f t="shared" si="10"/>
        <v>60664.239999999991</v>
      </c>
      <c r="I29" s="26">
        <f t="shared" si="11"/>
        <v>62413.374695014834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1327.9</v>
      </c>
      <c r="E30" s="29">
        <f t="shared" si="7"/>
        <v>6.4440831776381241E-2</v>
      </c>
      <c r="F30" s="28">
        <f t="shared" si="8"/>
        <v>34.774556883783617</v>
      </c>
      <c r="G30" s="27" t="str">
        <f t="shared" si="9"/>
        <v>+</v>
      </c>
      <c r="H30" s="26">
        <f t="shared" si="10"/>
        <v>44883.02</v>
      </c>
      <c r="I30" s="26">
        <f t="shared" si="11"/>
        <v>46177.134085976271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289.89999999999998</v>
      </c>
      <c r="E31" s="29">
        <f t="shared" si="7"/>
        <v>1.406837648314852E-2</v>
      </c>
      <c r="F31" s="28">
        <f t="shared" si="8"/>
        <v>35.391856710122973</v>
      </c>
      <c r="G31" s="27" t="str">
        <f t="shared" si="9"/>
        <v>+</v>
      </c>
      <c r="H31" s="26">
        <f t="shared" si="10"/>
        <v>9972.56</v>
      </c>
      <c r="I31" s="26">
        <f t="shared" si="11"/>
        <v>10260.099260264649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36.069955778862607</v>
      </c>
      <c r="D32" s="22">
        <f>SUM(D26:D31)</f>
        <v>12618.4</v>
      </c>
      <c r="E32" s="21">
        <f t="shared" si="7"/>
        <v>0.61235047193846603</v>
      </c>
      <c r="F32" s="20">
        <f>I32/D32</f>
        <v>37.109962397266798</v>
      </c>
      <c r="G32" s="19">
        <f>F32/C32-1</f>
        <v>2.8833043898923938E-2</v>
      </c>
      <c r="H32" s="18">
        <f>SUM(H26:H31)</f>
        <v>455145.12999999995</v>
      </c>
      <c r="I32" s="18">
        <f>SUM(I26:I31)</f>
        <v>468268.34951367136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f>1179.8+2166</f>
        <v>3345.8</v>
      </c>
      <c r="E34" s="29">
        <f t="shared" ref="E34:E40" si="13">D34/$D$48</f>
        <v>0.16236624366098076</v>
      </c>
      <c r="F34" s="28">
        <f t="shared" ref="F34:F39" si="14">C34-(C34*$E$6)</f>
        <v>21.296844008707719</v>
      </c>
      <c r="G34" s="27" t="str">
        <f t="shared" ref="G34:G39" si="15">IF(C34&gt;=F34,"-","+")</f>
        <v>+</v>
      </c>
      <c r="H34" s="26">
        <f t="shared" ref="H34:H39" si="16">C34*D34</f>
        <v>69258.06</v>
      </c>
      <c r="I34" s="26">
        <f t="shared" ref="I34:I39" si="17">F34*D34</f>
        <v>71254.980684334296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>
        <v>223.4</v>
      </c>
      <c r="E35" s="29">
        <f t="shared" si="13"/>
        <v>1.0841239414747773E-2</v>
      </c>
      <c r="F35" s="28">
        <f t="shared" si="14"/>
        <v>16.358445397992888</v>
      </c>
      <c r="G35" s="27" t="str">
        <f t="shared" si="15"/>
        <v>+</v>
      </c>
      <c r="H35" s="26">
        <f t="shared" si="16"/>
        <v>3552.06</v>
      </c>
      <c r="I35" s="26">
        <f t="shared" si="17"/>
        <v>3654.4767019116111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13.169062961906224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34.774556883783617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34.774556883783617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36.009156536462328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20.399562927266611</v>
      </c>
      <c r="D40" s="22">
        <f>SUM(D34:D39)</f>
        <v>3569.2000000000003</v>
      </c>
      <c r="E40" s="113">
        <f t="shared" si="13"/>
        <v>0.17320748307572856</v>
      </c>
      <c r="F40" s="20">
        <f>I40/D40</f>
        <v>20.987744420667347</v>
      </c>
      <c r="G40" s="19">
        <f>F40/C40-1</f>
        <v>2.8833043898923716E-2</v>
      </c>
      <c r="H40" s="18">
        <f>SUM(H34:H39)</f>
        <v>72810.12</v>
      </c>
      <c r="I40" s="18">
        <f>SUM(I34:I39)</f>
        <v>74909.457386245907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204.1+124.7+1324+1648</f>
        <v>3300.8</v>
      </c>
      <c r="E42" s="107">
        <f>D42/$D$48</f>
        <v>0.16018246669740133</v>
      </c>
      <c r="F42" s="28">
        <f>C42-(C42*$E$6)</f>
        <v>0.51441652194946186</v>
      </c>
      <c r="G42" s="27" t="str">
        <f>IF(C42&gt;=F42,"-","+")</f>
        <v>+</v>
      </c>
      <c r="H42" s="26">
        <f>C42*D42</f>
        <v>1650.4</v>
      </c>
      <c r="I42" s="26">
        <f>F42*D42</f>
        <v>1697.9860556507838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129.5</v>
      </c>
      <c r="E43" s="107">
        <f>D43/$D$48</f>
        <v>6.2844248174119812E-3</v>
      </c>
      <c r="F43" s="28">
        <f>C43-(C43*$E$6)</f>
        <v>0.51441652194946186</v>
      </c>
      <c r="G43" s="27" t="str">
        <f>IF(C43&gt;=F43,"-","+")</f>
        <v>+</v>
      </c>
      <c r="H43" s="26">
        <f>C43*D43</f>
        <v>64.75</v>
      </c>
      <c r="I43" s="26">
        <f>F43*D43</f>
        <v>66.61693959245531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15.1</v>
      </c>
      <c r="E44" s="107">
        <f>D44/$D$48</f>
        <v>7.3277849222332754E-4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4.3</v>
      </c>
      <c r="E45" s="107">
        <f>D45/$D$48</f>
        <v>2.0867202096425884E-4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0.49718816128938748</v>
      </c>
      <c r="D46" s="22">
        <f>SUM(D41:D45)</f>
        <v>3449.7000000000003</v>
      </c>
      <c r="E46" s="113">
        <f>D46/$D$48</f>
        <v>0.16740834202800089</v>
      </c>
      <c r="F46" s="20">
        <f>I46/D46</f>
        <v>0.51152360936986951</v>
      </c>
      <c r="G46" s="19">
        <f>F46/C46-1</f>
        <v>2.8833043898923716E-2</v>
      </c>
      <c r="H46" s="18">
        <f>SUM(H41:H44)</f>
        <v>1715.15</v>
      </c>
      <c r="I46" s="18">
        <f>SUM(I41:I44)</f>
        <v>1764.6029952432391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108.40554302094729</v>
      </c>
      <c r="D48" s="13">
        <f>D24+D32+D40+D46</f>
        <v>20606.5</v>
      </c>
      <c r="E48" s="12">
        <f>SUM(E20:E46)/2</f>
        <v>0.99999999999999978</v>
      </c>
      <c r="F48" s="11">
        <f>I48/D48</f>
        <v>28.934287116146855</v>
      </c>
      <c r="G48" s="10"/>
      <c r="H48" s="9">
        <f>SUM(H20:H46)/2</f>
        <v>579524.91999999993</v>
      </c>
      <c r="I48" s="9">
        <f>SUM(I20:I46)/2</f>
        <v>596234.3874588802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22785.500000000004</v>
      </c>
      <c r="E50" s="12">
        <f>D50/G2</f>
        <v>1.0000000000000002</v>
      </c>
      <c r="F50" s="11">
        <f>I50/D50</f>
        <v>29.25</v>
      </c>
      <c r="G50" s="10"/>
      <c r="H50" s="9">
        <f>H48+H19</f>
        <v>647797.8899999999</v>
      </c>
      <c r="I50" s="9">
        <f>I48+I19</f>
        <v>666475.87500000012</v>
      </c>
      <c r="J50" s="106">
        <f>D50-G2</f>
        <v>0</v>
      </c>
      <c r="K50" s="8"/>
    </row>
    <row r="51" spans="1:11" ht="23.25" x14ac:dyDescent="0.35">
      <c r="A51" s="174" t="s">
        <v>574</v>
      </c>
      <c r="B51" s="169"/>
      <c r="C51" s="170"/>
      <c r="G51" s="7"/>
      <c r="H51" s="6"/>
      <c r="I51" s="6">
        <f>+I50/D50</f>
        <v>29.25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575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575</v>
      </c>
      <c r="D2" s="96" t="s">
        <v>3</v>
      </c>
      <c r="E2" s="95" t="s">
        <v>71</v>
      </c>
      <c r="F2" s="94" t="s">
        <v>5</v>
      </c>
      <c r="G2" s="93">
        <v>17635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216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81.643518518518519</v>
      </c>
      <c r="F4" s="81" t="s">
        <v>12</v>
      </c>
      <c r="G4" s="80">
        <f>G2*G3</f>
        <v>515823.75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-1.3320145978960252E-2</v>
      </c>
      <c r="F6" s="69" t="s">
        <v>16</v>
      </c>
      <c r="G6" s="68">
        <f>(I50-I19)/(D50-(SUM(D42:D44)+D19))</f>
        <v>34.480197192513366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29.690280277183536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30.906264452358286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28.170300058215094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30.906264452358286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34.554216977882547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28.474296102008786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38.911493605592071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57.353920262409154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50.260679240556428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211.4</v>
      </c>
      <c r="E21" s="29">
        <f>D21/$D$48</f>
        <v>1.1987524808619223E-2</v>
      </c>
      <c r="F21" s="28">
        <f>C21-(C21*$E$6)</f>
        <v>74.58036274405147</v>
      </c>
      <c r="G21" s="27" t="str">
        <f>IF(C21&gt;=F21,"-","+")</f>
        <v>+</v>
      </c>
      <c r="H21" s="26">
        <f>C21*D21</f>
        <v>15559.039999999999</v>
      </c>
      <c r="I21" s="26">
        <f>F21*D21</f>
        <v>15766.288684092482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558.6</v>
      </c>
      <c r="E22" s="29">
        <f>D22/$D$48</f>
        <v>3.1675645024099801E-2</v>
      </c>
      <c r="F22" s="28">
        <f>C22-(C22*$E$6)</f>
        <v>50.058015211360633</v>
      </c>
      <c r="G22" s="27" t="str">
        <f>IF(C22&gt;=F22,"-","+")</f>
        <v>+</v>
      </c>
      <c r="H22" s="26">
        <f>C22*D22</f>
        <v>27594.84</v>
      </c>
      <c r="I22" s="26">
        <f>F22*D22</f>
        <v>27962.407297066049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429.2</v>
      </c>
      <c r="E23" s="29">
        <f>D23/$D$48</f>
        <v>2.433796427558832E-2</v>
      </c>
      <c r="F23" s="28">
        <f>C23-(C23*$E$6)</f>
        <v>45.599406569053208</v>
      </c>
      <c r="G23" s="27" t="str">
        <f>IF(C23&gt;=F23,"-","+")</f>
        <v>+</v>
      </c>
      <c r="H23" s="26">
        <f>C23*D23</f>
        <v>19314</v>
      </c>
      <c r="I23" s="26">
        <f>F23*D23</f>
        <v>19571.265299437637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52.091294196130747</v>
      </c>
      <c r="D24" s="22">
        <f>SUM(D21:D23)</f>
        <v>1199.2</v>
      </c>
      <c r="E24" s="21">
        <f>D24/$D$48</f>
        <v>6.800113410830734E-2</v>
      </c>
      <c r="F24" s="20">
        <f>I24/D24</f>
        <v>52.785157839056176</v>
      </c>
      <c r="G24" s="19">
        <f>F24/C24-1</f>
        <v>1.3320145978960252E-2</v>
      </c>
      <c r="H24" s="18">
        <f>SUM(H21:H23)</f>
        <v>62467.88</v>
      </c>
      <c r="I24" s="18">
        <f>SUM(I21:I23)</f>
        <v>63299.961280596166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v>3078.9</v>
      </c>
      <c r="E26" s="29">
        <f t="shared" ref="E26:E32" si="7">D26/$D$48</f>
        <v>0.17459030337397222</v>
      </c>
      <c r="F26" s="28">
        <f t="shared" ref="F26:F31" si="8">C26-(C26*$E$6)</f>
        <v>39.823481736973136</v>
      </c>
      <c r="G26" s="27" t="str">
        <f t="shared" ref="G26:G31" si="9">IF(C26&gt;=F26,"-","+")</f>
        <v>+</v>
      </c>
      <c r="H26" s="26">
        <f t="shared" ref="H26:H31" si="10">C26*D26</f>
        <v>121000.76999999999</v>
      </c>
      <c r="I26" s="26">
        <f t="shared" ref="I26:I31" si="11">F26*D26</f>
        <v>122612.51791996659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2710.9</v>
      </c>
      <c r="E27" s="29">
        <f t="shared" si="7"/>
        <v>0.15372271051885456</v>
      </c>
      <c r="F27" s="28">
        <f t="shared" si="8"/>
        <v>35.466205109263612</v>
      </c>
      <c r="G27" s="27" t="str">
        <f t="shared" si="9"/>
        <v>+</v>
      </c>
      <c r="H27" s="26">
        <f t="shared" si="10"/>
        <v>94881.5</v>
      </c>
      <c r="I27" s="26">
        <f t="shared" si="11"/>
        <v>96145.335430702733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1776.4</v>
      </c>
      <c r="E28" s="29">
        <f t="shared" si="7"/>
        <v>0.10073149985823647</v>
      </c>
      <c r="F28" s="28">
        <f t="shared" si="8"/>
        <v>35.466205109263612</v>
      </c>
      <c r="G28" s="27" t="str">
        <f t="shared" si="9"/>
        <v>+</v>
      </c>
      <c r="H28" s="26">
        <f t="shared" si="10"/>
        <v>62174</v>
      </c>
      <c r="I28" s="26">
        <f t="shared" si="11"/>
        <v>63002.166756095881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1437.5</v>
      </c>
      <c r="E29" s="29">
        <f t="shared" si="7"/>
        <v>8.1514034590303375E-2</v>
      </c>
      <c r="F29" s="28">
        <f t="shared" si="8"/>
        <v>34.250220934088851</v>
      </c>
      <c r="G29" s="27" t="str">
        <f t="shared" si="9"/>
        <v>+</v>
      </c>
      <c r="H29" s="26">
        <f t="shared" si="10"/>
        <v>48587.499999999993</v>
      </c>
      <c r="I29" s="26">
        <f t="shared" si="11"/>
        <v>49234.692592752726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1097.3</v>
      </c>
      <c r="E30" s="29">
        <f t="shared" si="7"/>
        <v>6.2222852282392965E-2</v>
      </c>
      <c r="F30" s="28">
        <f t="shared" si="8"/>
        <v>34.250220934088851</v>
      </c>
      <c r="G30" s="27" t="str">
        <f t="shared" si="9"/>
        <v>+</v>
      </c>
      <c r="H30" s="26">
        <f t="shared" si="10"/>
        <v>37088.74</v>
      </c>
      <c r="I30" s="26">
        <f t="shared" si="11"/>
        <v>37582.767430975699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430.1</v>
      </c>
      <c r="E31" s="29">
        <f t="shared" si="7"/>
        <v>2.4388999149418771E-2</v>
      </c>
      <c r="F31" s="28">
        <f t="shared" si="8"/>
        <v>34.858213021676228</v>
      </c>
      <c r="G31" s="27" t="str">
        <f t="shared" si="9"/>
        <v>+</v>
      </c>
      <c r="H31" s="26">
        <f t="shared" si="10"/>
        <v>14795.44</v>
      </c>
      <c r="I31" s="26">
        <f t="shared" si="11"/>
        <v>14992.517420622946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35.943818784362506</v>
      </c>
      <c r="D32" s="22">
        <f>SUM(D26:D31)</f>
        <v>10531.1</v>
      </c>
      <c r="E32" s="21">
        <f t="shared" si="7"/>
        <v>0.59717039977317832</v>
      </c>
      <c r="F32" s="20">
        <f>I32/D32</f>
        <v>36.422595697611506</v>
      </c>
      <c r="G32" s="19">
        <f>F32/C32-1</f>
        <v>1.3320145978960252E-2</v>
      </c>
      <c r="H32" s="18">
        <f>SUM(H26:H31)</f>
        <v>378527.95</v>
      </c>
      <c r="I32" s="18">
        <f>SUM(I26:I31)</f>
        <v>383569.99755111657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3222.7</v>
      </c>
      <c r="E34" s="29">
        <f t="shared" ref="E34:E40" si="13">D34/$D$48</f>
        <v>0.18274454210377089</v>
      </c>
      <c r="F34" s="28">
        <f t="shared" ref="F34:F39" si="14">C34-(C34*$E$6)</f>
        <v>20.975727021764477</v>
      </c>
      <c r="G34" s="27" t="str">
        <f t="shared" ref="G34:G39" si="15">IF(C34&gt;=F34,"-","+")</f>
        <v>+</v>
      </c>
      <c r="H34" s="26">
        <f t="shared" ref="H34:H39" si="16">C34*D34</f>
        <v>66709.89</v>
      </c>
      <c r="I34" s="26">
        <f t="shared" ref="I34:I39" si="17">F34*D34</f>
        <v>67598.47547304038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/>
      <c r="E35" s="29">
        <f t="shared" si="13"/>
        <v>0</v>
      </c>
      <c r="F35" s="28">
        <f t="shared" si="14"/>
        <v>16.111790321065467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12.970497868530693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34.250220934088851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34.250220934088851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35.466205109263612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</v>
      </c>
      <c r="D40" s="22">
        <f>SUM(D34:D39)</f>
        <v>3222.7</v>
      </c>
      <c r="E40" s="113">
        <f t="shared" si="13"/>
        <v>0.18274454210377089</v>
      </c>
      <c r="F40" s="20">
        <f>I40/D40</f>
        <v>20.975727021764477</v>
      </c>
      <c r="G40" s="19">
        <f>F40/C40-1</f>
        <v>1.3320145978960252E-2</v>
      </c>
      <c r="H40" s="18">
        <f>SUM(H34:H39)</f>
        <v>66709.89</v>
      </c>
      <c r="I40" s="18">
        <f>SUM(I34:I39)</f>
        <v>67598.47547304038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2563</v>
      </c>
      <c r="E42" s="107">
        <f>D42/$D$48</f>
        <v>0.14533597958605046</v>
      </c>
      <c r="F42" s="28">
        <f>C42-(C42*$E$6)</f>
        <v>0.50666007298948013</v>
      </c>
      <c r="G42" s="27" t="str">
        <f>IF(C42&gt;=F42,"-","+")</f>
        <v>+</v>
      </c>
      <c r="H42" s="26">
        <f>C42*D42</f>
        <v>1281.5</v>
      </c>
      <c r="I42" s="26">
        <f>F42*D42</f>
        <v>1298.5697670720376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112</v>
      </c>
      <c r="E43" s="107">
        <f>D43/$D$48</f>
        <v>6.3510065211227675E-3</v>
      </c>
      <c r="F43" s="28">
        <f>C43-(C43*$E$6)</f>
        <v>0.50666007298948013</v>
      </c>
      <c r="G43" s="27" t="str">
        <f>IF(C43&gt;=F43,"-","+")</f>
        <v>+</v>
      </c>
      <c r="H43" s="26">
        <f>C43*D43</f>
        <v>56</v>
      </c>
      <c r="I43" s="26">
        <f>F43*D43</f>
        <v>56.745928174821771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</v>
      </c>
      <c r="E45" s="107">
        <f>D45/$D$48</f>
        <v>3.9693790757017297E-4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0.49869500372856079</v>
      </c>
      <c r="D46" s="22">
        <f>SUM(D41:D45)</f>
        <v>2682</v>
      </c>
      <c r="E46" s="113">
        <f>D46/$D$48</f>
        <v>0.15208392401474341</v>
      </c>
      <c r="F46" s="20">
        <f>I46/D46</f>
        <v>0.50533769397720329</v>
      </c>
      <c r="G46" s="19">
        <f>F46/C46-1</f>
        <v>1.3320145978960252E-2</v>
      </c>
      <c r="H46" s="18">
        <f>SUM(H41:H44)</f>
        <v>1337.5</v>
      </c>
      <c r="I46" s="18">
        <f>SUM(I41:I44)</f>
        <v>1355.3156952468594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109.23380798422181</v>
      </c>
      <c r="D48" s="13">
        <f>D24+D32+D40+D46</f>
        <v>17635</v>
      </c>
      <c r="E48" s="12">
        <f>SUM(E20:E46)/2</f>
        <v>0.99999999999999978</v>
      </c>
      <c r="F48" s="11">
        <f>I48/D48</f>
        <v>29.249999999999996</v>
      </c>
      <c r="G48" s="10"/>
      <c r="H48" s="9">
        <f>SUM(H20:H46)/2</f>
        <v>509043.22</v>
      </c>
      <c r="I48" s="9">
        <f>SUM(I20:I46)/2</f>
        <v>515823.74999999994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17635</v>
      </c>
      <c r="E50" s="12">
        <f>D50/G2</f>
        <v>1</v>
      </c>
      <c r="F50" s="11">
        <f>I50/D50</f>
        <v>29.249999999999996</v>
      </c>
      <c r="G50" s="10"/>
      <c r="H50" s="9">
        <f>H48+H19</f>
        <v>509043.22</v>
      </c>
      <c r="I50" s="9">
        <f>I48+I19</f>
        <v>515823.74999999994</v>
      </c>
      <c r="J50" s="106">
        <f>D50-G2</f>
        <v>0</v>
      </c>
      <c r="K50" s="8"/>
    </row>
    <row r="51" spans="1:11" ht="23.25" x14ac:dyDescent="0.35">
      <c r="A51" s="174" t="s">
        <v>576</v>
      </c>
      <c r="B51" s="169"/>
      <c r="C51" s="170"/>
      <c r="G51" s="7"/>
      <c r="H51" s="6"/>
      <c r="I51" s="6">
        <f>+I50/D50</f>
        <v>29.249999999999996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451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575</v>
      </c>
      <c r="D2" s="96" t="s">
        <v>3</v>
      </c>
      <c r="E2" s="95" t="s">
        <v>112</v>
      </c>
      <c r="F2" s="94" t="s">
        <v>5</v>
      </c>
      <c r="G2" s="93">
        <v>9176.7999999999993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452</v>
      </c>
      <c r="D3" s="90" t="s">
        <v>7</v>
      </c>
      <c r="E3" s="89">
        <v>128</v>
      </c>
      <c r="F3" s="88" t="s">
        <v>8</v>
      </c>
      <c r="G3" s="87">
        <v>25.92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71.693749999999994</v>
      </c>
      <c r="F4" s="81" t="s">
        <v>12</v>
      </c>
      <c r="G4" s="80">
        <f>G2*G3</f>
        <v>237862.65599999999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-3.1679735071280302E-2</v>
      </c>
      <c r="F6" s="69" t="s">
        <v>16</v>
      </c>
      <c r="G6" s="68">
        <f>(I50-I19)/(D50-(SUM(D42:D44)+D19))</f>
        <v>32.626384472944231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26.720505138346159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27.855352846924568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25.482489456260623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27.855352846924568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/>
      <c r="E14" s="29" t="e">
        <f t="shared" si="1"/>
        <v>#DIV/0!</v>
      </c>
      <c r="F14" s="28">
        <f t="shared" si="2"/>
        <v>31.156727999152665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25.68882540327488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34.1</v>
      </c>
      <c r="D16" s="30"/>
      <c r="E16" s="29" t="e">
        <f t="shared" si="1"/>
        <v>#DIV/0!</v>
      </c>
      <c r="F16" s="28">
        <f t="shared" si="2"/>
        <v>35.180278965930661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50.1</v>
      </c>
      <c r="D17" s="30"/>
      <c r="E17" s="29" t="e">
        <f t="shared" si="1"/>
        <v>#DIV/0!</v>
      </c>
      <c r="F17" s="28">
        <f t="shared" si="2"/>
        <v>51.687154727071146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43.9</v>
      </c>
      <c r="D18" s="30"/>
      <c r="E18" s="29" t="e">
        <f t="shared" si="1"/>
        <v>#DIV/0!</v>
      </c>
      <c r="F18" s="28">
        <f t="shared" si="2"/>
        <v>45.290740369629205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65.2</v>
      </c>
      <c r="D21" s="30">
        <v>119.8</v>
      </c>
      <c r="E21" s="29">
        <f>D21/$D$48</f>
        <v>1.3054659576322899E-2</v>
      </c>
      <c r="F21" s="28">
        <f>C21-(C21*$E$6)</f>
        <v>67.265518726647485</v>
      </c>
      <c r="G21" s="27" t="str">
        <f>IF(C21&gt;=F21,"-","+")</f>
        <v>+</v>
      </c>
      <c r="H21" s="26">
        <f>C21*D21</f>
        <v>7810.96</v>
      </c>
      <c r="I21" s="26">
        <f>F21*D21</f>
        <v>8058.4091434523689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43.8</v>
      </c>
      <c r="D22" s="30">
        <v>249.9</v>
      </c>
      <c r="E22" s="29">
        <f>D22/$D$48</f>
        <v>2.723171475895737E-2</v>
      </c>
      <c r="F22" s="28">
        <f>C22-(C22*$E$6)</f>
        <v>45.187572396122071</v>
      </c>
      <c r="G22" s="27" t="str">
        <f>IF(C22&gt;=F22,"-","+")</f>
        <v>+</v>
      </c>
      <c r="H22" s="26">
        <f>C22*D22</f>
        <v>10945.619999999999</v>
      </c>
      <c r="I22" s="26">
        <f>F22*D22</f>
        <v>11292.374341790906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39.9</v>
      </c>
      <c r="D23" s="30">
        <v>174.4</v>
      </c>
      <c r="E23" s="29">
        <f>D23/$D$48</f>
        <v>1.9004445994246357E-2</v>
      </c>
      <c r="F23" s="28">
        <f>C23-(C23*$E$6)</f>
        <v>41.164021429344082</v>
      </c>
      <c r="G23" s="27" t="str">
        <f>IF(C23&gt;=F23,"-","+")</f>
        <v>+</v>
      </c>
      <c r="H23" s="26">
        <f>C23*D23</f>
        <v>6958.56</v>
      </c>
      <c r="I23" s="26">
        <f>F23*D23</f>
        <v>7179.0053372776083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47.26179011211174</v>
      </c>
      <c r="D24" s="22">
        <f>SUM(D21:D23)</f>
        <v>544.1</v>
      </c>
      <c r="E24" s="21">
        <f>D24/$D$48</f>
        <v>5.9290820329526629E-2</v>
      </c>
      <c r="F24" s="20">
        <f>I24/D24</f>
        <v>48.7590311018579</v>
      </c>
      <c r="G24" s="19">
        <f>F24/C24-1</f>
        <v>3.1679735071280524E-2</v>
      </c>
      <c r="H24" s="18">
        <f>SUM(H21:H23)</f>
        <v>25715.14</v>
      </c>
      <c r="I24" s="18">
        <f>SUM(I21:I23)</f>
        <v>26529.788822520884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34.799999999999997</v>
      </c>
      <c r="D26" s="30">
        <v>2145.9</v>
      </c>
      <c r="E26" s="29">
        <f t="shared" ref="E26:E32" si="7">D26/$D$48</f>
        <v>0.23383968267805769</v>
      </c>
      <c r="F26" s="28">
        <f t="shared" ref="F26:F31" si="8">C26-(C26*$E$6)</f>
        <v>35.902454780480554</v>
      </c>
      <c r="G26" s="27" t="str">
        <f t="shared" ref="G26:G31" si="9">IF(C26&gt;=F26,"-","+")</f>
        <v>+</v>
      </c>
      <c r="H26" s="26">
        <f t="shared" ref="H26:H31" si="10">C26*D26</f>
        <v>74677.319999999992</v>
      </c>
      <c r="I26" s="26">
        <f t="shared" ref="I26:I31" si="11">F26*D26</f>
        <v>77043.077713433217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v>1336</v>
      </c>
      <c r="E27" s="29">
        <f t="shared" si="7"/>
        <v>0.14558451747885973</v>
      </c>
      <c r="F27" s="28">
        <f t="shared" si="8"/>
        <v>31.982071787209691</v>
      </c>
      <c r="G27" s="27" t="str">
        <f t="shared" si="9"/>
        <v>+</v>
      </c>
      <c r="H27" s="26">
        <f t="shared" si="10"/>
        <v>41416</v>
      </c>
      <c r="I27" s="26">
        <f t="shared" si="11"/>
        <v>42728.047907712149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v>760</v>
      </c>
      <c r="E28" s="29">
        <f t="shared" si="7"/>
        <v>8.2817539883183675E-2</v>
      </c>
      <c r="F28" s="28">
        <f t="shared" si="8"/>
        <v>31.982071787209691</v>
      </c>
      <c r="G28" s="27" t="str">
        <f t="shared" si="9"/>
        <v>+</v>
      </c>
      <c r="H28" s="26">
        <f t="shared" si="10"/>
        <v>23560</v>
      </c>
      <c r="I28" s="26">
        <f t="shared" si="11"/>
        <v>24306.374558279364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29.9</v>
      </c>
      <c r="D29" s="30">
        <v>938</v>
      </c>
      <c r="E29" s="29">
        <f t="shared" si="7"/>
        <v>0.102214279487403</v>
      </c>
      <c r="F29" s="28">
        <f t="shared" si="8"/>
        <v>30.847224078631278</v>
      </c>
      <c r="G29" s="27" t="str">
        <f t="shared" si="9"/>
        <v>+</v>
      </c>
      <c r="H29" s="26">
        <f t="shared" si="10"/>
        <v>28046.199999999997</v>
      </c>
      <c r="I29" s="26">
        <f t="shared" si="11"/>
        <v>28934.69618575614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29.9</v>
      </c>
      <c r="D30" s="30">
        <v>526.79999999999995</v>
      </c>
      <c r="E30" s="29">
        <f t="shared" si="7"/>
        <v>5.7405631592712045E-2</v>
      </c>
      <c r="F30" s="28">
        <f t="shared" si="8"/>
        <v>30.847224078631278</v>
      </c>
      <c r="G30" s="27" t="str">
        <f t="shared" si="9"/>
        <v>+</v>
      </c>
      <c r="H30" s="26">
        <f t="shared" si="10"/>
        <v>15751.319999999998</v>
      </c>
      <c r="I30" s="26">
        <f t="shared" si="11"/>
        <v>16250.317644622955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30.5</v>
      </c>
      <c r="D31" s="30">
        <v>142.80000000000001</v>
      </c>
      <c r="E31" s="29">
        <f t="shared" si="7"/>
        <v>1.5560979862261353E-2</v>
      </c>
      <c r="F31" s="28">
        <f t="shared" si="8"/>
        <v>31.466231919674048</v>
      </c>
      <c r="G31" s="27" t="str">
        <f t="shared" si="9"/>
        <v>+</v>
      </c>
      <c r="H31" s="26">
        <f t="shared" si="10"/>
        <v>4355.4000000000005</v>
      </c>
      <c r="I31" s="26">
        <f t="shared" si="11"/>
        <v>4493.377918129454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32.106374903837938</v>
      </c>
      <c r="D32" s="22">
        <f>SUM(D26:D31)</f>
        <v>5849.5</v>
      </c>
      <c r="E32" s="21">
        <f t="shared" si="7"/>
        <v>0.63742263098247742</v>
      </c>
      <c r="F32" s="20">
        <f>I32/D32</f>
        <v>33.123496354890719</v>
      </c>
      <c r="G32" s="19">
        <f>F32/C32-1</f>
        <v>3.167973507128008E-2</v>
      </c>
      <c r="H32" s="18">
        <f>SUM(H26:H31)</f>
        <v>187806.24000000002</v>
      </c>
      <c r="I32" s="18">
        <f>SUM(I26:I31)</f>
        <v>193755.89192793326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v>890</v>
      </c>
      <c r="E34" s="29">
        <f t="shared" ref="E34:E40" si="13">D34/$D$48</f>
        <v>9.6983698021096673E-2</v>
      </c>
      <c r="F34" s="28">
        <f t="shared" ref="F34:F39" si="14">C34-(C34*$E$6)</f>
        <v>18.879739151804429</v>
      </c>
      <c r="G34" s="27" t="str">
        <f t="shared" ref="G34:G39" si="15">IF(C34&gt;=F34,"-","+")</f>
        <v>+</v>
      </c>
      <c r="H34" s="26">
        <f t="shared" ref="H34:H39" si="16">C34*D34</f>
        <v>16287</v>
      </c>
      <c r="I34" s="26">
        <f t="shared" ref="I34:I39" si="17">F34*D34</f>
        <v>16802.967845105941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14.546684264505052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11.657981006305468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29.9</v>
      </c>
      <c r="D37" s="30"/>
      <c r="E37" s="29">
        <f t="shared" si="13"/>
        <v>0</v>
      </c>
      <c r="F37" s="28">
        <f t="shared" si="14"/>
        <v>30.847224078631278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29.9</v>
      </c>
      <c r="D38" s="30"/>
      <c r="E38" s="29">
        <f t="shared" si="13"/>
        <v>0</v>
      </c>
      <c r="F38" s="28">
        <f t="shared" si="14"/>
        <v>30.847224078631278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/>
      <c r="E39" s="29">
        <f t="shared" si="13"/>
        <v>0</v>
      </c>
      <c r="F39" s="28">
        <f t="shared" si="14"/>
        <v>31.982071787209691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</v>
      </c>
      <c r="D40" s="22">
        <f>SUM(D34:D39)</f>
        <v>890</v>
      </c>
      <c r="E40" s="113">
        <f t="shared" si="13"/>
        <v>9.6983698021096673E-2</v>
      </c>
      <c r="F40" s="20">
        <f>I40/D40</f>
        <v>18.879739151804429</v>
      </c>
      <c r="G40" s="19">
        <f>F40/C40-1</f>
        <v>3.1679735071280302E-2</v>
      </c>
      <c r="H40" s="18">
        <f>SUM(H34:H39)</f>
        <v>16287</v>
      </c>
      <c r="I40" s="18">
        <f>SUM(I34:I39)</f>
        <v>16802.967845105941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1834</v>
      </c>
      <c r="E42" s="107">
        <f>D42/$D$48</f>
        <v>0.19985180019178797</v>
      </c>
      <c r="F42" s="28">
        <f>C42-(C42*$E$6)</f>
        <v>0.41267189402851212</v>
      </c>
      <c r="G42" s="27" t="str">
        <f>IF(C42&gt;=F42,"-","+")</f>
        <v>+</v>
      </c>
      <c r="H42" s="26">
        <f>C42*D42</f>
        <v>733.6</v>
      </c>
      <c r="I42" s="26">
        <f>F42*D42</f>
        <v>756.8402536482912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41.6</v>
      </c>
      <c r="E43" s="107">
        <f>D43/$D$48</f>
        <v>4.5331706041321588E-3</v>
      </c>
      <c r="F43" s="28">
        <f>C43-(C43*$E$6)</f>
        <v>0.41267189402851212</v>
      </c>
      <c r="G43" s="27" t="str">
        <f>IF(C43&gt;=F43,"-","+")</f>
        <v>+</v>
      </c>
      <c r="H43" s="26">
        <f>C43*D43</f>
        <v>16.64</v>
      </c>
      <c r="I43" s="26">
        <f>F43*D43</f>
        <v>17.167150791586106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10.7</v>
      </c>
      <c r="E44" s="107">
        <f>D44/$D$48</f>
        <v>1.1659837851974541E-3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6.9</v>
      </c>
      <c r="E45" s="107">
        <f>D45/$D$48</f>
        <v>7.5189608578153601E-4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0.39628142826959645</v>
      </c>
      <c r="D46" s="22">
        <f>SUM(D41:D45)</f>
        <v>1893.2</v>
      </c>
      <c r="E46" s="113">
        <f>D46/$D$48</f>
        <v>0.20630285066689913</v>
      </c>
      <c r="F46" s="20">
        <f>I46/D46</f>
        <v>0.4088355189308458</v>
      </c>
      <c r="G46" s="19">
        <f>F46/C46-1</f>
        <v>3.1679735071280302E-2</v>
      </c>
      <c r="H46" s="18">
        <f>SUM(H41:H44)</f>
        <v>750.24</v>
      </c>
      <c r="I46" s="18">
        <f>SUM(I41:I44)</f>
        <v>774.00740443987729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98.064446444219271</v>
      </c>
      <c r="D48" s="13">
        <f>D24+D32+D40+D46</f>
        <v>9176.8000000000011</v>
      </c>
      <c r="E48" s="12">
        <f>SUM(E20:E46)/2</f>
        <v>0.99999999999999989</v>
      </c>
      <c r="F48" s="11">
        <f>I48/D48</f>
        <v>25.919999999999991</v>
      </c>
      <c r="G48" s="10"/>
      <c r="H48" s="9">
        <f>SUM(H20:H46)/2</f>
        <v>230558.62</v>
      </c>
      <c r="I48" s="9">
        <f>SUM(I20:I46)/2</f>
        <v>237862.65599999993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9176.8000000000011</v>
      </c>
      <c r="E50" s="12">
        <f>D50/G2</f>
        <v>1.0000000000000002</v>
      </c>
      <c r="F50" s="11">
        <f>I50/D50</f>
        <v>25.919999999999991</v>
      </c>
      <c r="G50" s="10"/>
      <c r="H50" s="9">
        <f>H48+H19</f>
        <v>230558.62</v>
      </c>
      <c r="I50" s="9">
        <f>I48+I19</f>
        <v>237862.65599999993</v>
      </c>
      <c r="J50" s="106">
        <f>D50-G2</f>
        <v>0</v>
      </c>
      <c r="K50" s="8"/>
    </row>
    <row r="51" spans="1:11" ht="23.25" x14ac:dyDescent="0.35">
      <c r="A51" s="174" t="s">
        <v>577</v>
      </c>
      <c r="B51" s="169"/>
      <c r="C51" s="170"/>
      <c r="G51" s="7"/>
      <c r="H51" s="6"/>
      <c r="I51" s="6">
        <f>+I50/D50</f>
        <v>25.919999999999991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>
    <tabColor rgb="FF92D050"/>
  </sheetPr>
  <dimension ref="A1:K56"/>
  <sheetViews>
    <sheetView topLeftCell="A6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575</v>
      </c>
      <c r="D2" s="96" t="s">
        <v>3</v>
      </c>
      <c r="E2" s="95" t="s">
        <v>112</v>
      </c>
      <c r="F2" s="94" t="s">
        <v>5</v>
      </c>
      <c r="G2" s="93">
        <v>8294.7999999999993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124</v>
      </c>
      <c r="F3" s="88" t="s">
        <v>8</v>
      </c>
      <c r="G3" s="87">
        <v>24.99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66.893548387096772</v>
      </c>
      <c r="F4" s="81" t="s">
        <v>12</v>
      </c>
      <c r="G4" s="80">
        <f>G2*G3</f>
        <v>207287.05199999997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-5.096676729807692E-2</v>
      </c>
      <c r="F6" s="69" t="s">
        <v>16</v>
      </c>
      <c r="G6" s="68">
        <f>(I50-I19)/(D50-(SUM(D42:D44)+D19))</f>
        <v>31.380503209398075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26.274169182451924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27.325135949749999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25.01300906169423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27.325135949749999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 t="e">
        <f t="shared" si="1"/>
        <v>#DIV/0!</v>
      </c>
      <c r="F14" s="28">
        <f t="shared" si="2"/>
        <v>30.583132928374042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25.223202415153846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32.799999999999997</v>
      </c>
      <c r="D16" s="30"/>
      <c r="E16" s="29" t="e">
        <f t="shared" si="1"/>
        <v>#DIV/0!</v>
      </c>
      <c r="F16" s="28">
        <f t="shared" si="2"/>
        <v>34.471709967376917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/>
      <c r="E17" s="29" t="e">
        <f t="shared" si="1"/>
        <v>#DIV/0!</v>
      </c>
      <c r="F17" s="28">
        <f t="shared" si="2"/>
        <v>50.761694860497116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42.3</v>
      </c>
      <c r="D18" s="30"/>
      <c r="E18" s="29" t="e">
        <f t="shared" si="1"/>
        <v>#DIV/0!</v>
      </c>
      <c r="F18" s="28">
        <f t="shared" si="2"/>
        <v>44.455894256708653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62.8</v>
      </c>
      <c r="D21" s="30">
        <v>98.6</v>
      </c>
      <c r="E21" s="29">
        <f>D21/$D$48</f>
        <v>1.1886965327675171E-2</v>
      </c>
      <c r="F21" s="28">
        <f>C21-(C21*$E$6)</f>
        <v>66.000712986319229</v>
      </c>
      <c r="G21" s="27" t="str">
        <f>IF(C21&gt;=F21,"-","+")</f>
        <v>+</v>
      </c>
      <c r="H21" s="26">
        <f>C21*D21</f>
        <v>6192.079999999999</v>
      </c>
      <c r="I21" s="26">
        <f>F21*D21</f>
        <v>6507.6703004510755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218.6</v>
      </c>
      <c r="E22" s="29">
        <f>D22/$D$48</f>
        <v>2.6353860249795052E-2</v>
      </c>
      <c r="F22" s="28">
        <f>C22-(C22*$E$6)</f>
        <v>44.350797579978845</v>
      </c>
      <c r="G22" s="27" t="str">
        <f>IF(C22&gt;=F22,"-","+")</f>
        <v>+</v>
      </c>
      <c r="H22" s="26">
        <f>C22*D22</f>
        <v>9224.92</v>
      </c>
      <c r="I22" s="26">
        <f>F22*D22</f>
        <v>9695.0843509833758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>
        <v>170</v>
      </c>
      <c r="E23" s="29">
        <f>D23/$D$48</f>
        <v>2.0494767806336502E-2</v>
      </c>
      <c r="F23" s="28">
        <f>C23-(C23*$E$6)</f>
        <v>40.462220540975963</v>
      </c>
      <c r="G23" s="27" t="str">
        <f>IF(C23&gt;=F23,"-","+")</f>
        <v>+</v>
      </c>
      <c r="H23" s="26">
        <f>C23*D23</f>
        <v>6545</v>
      </c>
      <c r="I23" s="26">
        <f>F23*D23</f>
        <v>6878.5774919659134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45.077996715927753</v>
      </c>
      <c r="D24" s="22">
        <f>SUM(D21:D23)</f>
        <v>487.2</v>
      </c>
      <c r="E24" s="21">
        <f>D24/$D$48</f>
        <v>5.8735593383806725E-2</v>
      </c>
      <c r="F24" s="20">
        <f>I24/D24</f>
        <v>47.375476484811912</v>
      </c>
      <c r="G24" s="19">
        <f>F24/C24-1</f>
        <v>5.0966767298076698E-2</v>
      </c>
      <c r="H24" s="18">
        <f>SUM(H21:H23)</f>
        <v>21962</v>
      </c>
      <c r="I24" s="18">
        <f>SUM(I21:I23)</f>
        <v>23081.332143400363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v>1880</v>
      </c>
      <c r="E26" s="29">
        <f t="shared" ref="E26:E32" si="7">D26/$D$48</f>
        <v>0.22664802044654483</v>
      </c>
      <c r="F26" s="28">
        <f t="shared" ref="F26:F31" si="8">C26-(C26*$E$6)</f>
        <v>35.207386704485579</v>
      </c>
      <c r="G26" s="27" t="str">
        <f t="shared" ref="G26:G31" si="9">IF(C26&gt;=F26,"-","+")</f>
        <v>+</v>
      </c>
      <c r="H26" s="26">
        <f t="shared" ref="H26:H31" si="10">C26*D26</f>
        <v>62980</v>
      </c>
      <c r="I26" s="26">
        <f t="shared" ref="I26:I31" si="11">F26*D26</f>
        <v>66189.887004432894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1058</v>
      </c>
      <c r="E27" s="29">
        <f t="shared" si="7"/>
        <v>0.12754979023002364</v>
      </c>
      <c r="F27" s="28">
        <f t="shared" si="8"/>
        <v>31.423906342212497</v>
      </c>
      <c r="G27" s="27" t="str">
        <f t="shared" si="9"/>
        <v>+</v>
      </c>
      <c r="H27" s="26">
        <f t="shared" si="10"/>
        <v>31634.199999999997</v>
      </c>
      <c r="I27" s="26">
        <f t="shared" si="11"/>
        <v>33246.492910060821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744.4</v>
      </c>
      <c r="E28" s="29">
        <f t="shared" si="7"/>
        <v>8.9742971500217011E-2</v>
      </c>
      <c r="F28" s="28">
        <f t="shared" si="8"/>
        <v>31.423906342212497</v>
      </c>
      <c r="G28" s="27" t="str">
        <f t="shared" si="9"/>
        <v>+</v>
      </c>
      <c r="H28" s="26">
        <f t="shared" si="10"/>
        <v>22257.559999999998</v>
      </c>
      <c r="I28" s="26">
        <f t="shared" si="11"/>
        <v>23391.955881142982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686.5</v>
      </c>
      <c r="E29" s="29">
        <f t="shared" si="7"/>
        <v>8.2762694700294168E-2</v>
      </c>
      <c r="F29" s="28">
        <f t="shared" si="8"/>
        <v>30.372939574914422</v>
      </c>
      <c r="G29" s="27" t="str">
        <f t="shared" si="9"/>
        <v>+</v>
      </c>
      <c r="H29" s="26">
        <f t="shared" si="10"/>
        <v>19839.849999999999</v>
      </c>
      <c r="I29" s="26">
        <f t="shared" si="11"/>
        <v>20851.023018178752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523.20000000000005</v>
      </c>
      <c r="E30" s="29">
        <f t="shared" si="7"/>
        <v>6.3075661860442694E-2</v>
      </c>
      <c r="F30" s="28">
        <f t="shared" si="8"/>
        <v>30.372939574914422</v>
      </c>
      <c r="G30" s="27" t="str">
        <f t="shared" si="9"/>
        <v>+</v>
      </c>
      <c r="H30" s="26">
        <f t="shared" si="10"/>
        <v>15120.480000000001</v>
      </c>
      <c r="I30" s="26">
        <f t="shared" si="11"/>
        <v>15891.121985595228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135.30000000000001</v>
      </c>
      <c r="E31" s="29">
        <f t="shared" si="7"/>
        <v>1.6311424024690171E-2</v>
      </c>
      <c r="F31" s="28">
        <f t="shared" si="8"/>
        <v>30.898422958563462</v>
      </c>
      <c r="G31" s="27" t="str">
        <f t="shared" si="9"/>
        <v>+</v>
      </c>
      <c r="H31" s="26">
        <f t="shared" si="10"/>
        <v>3977.82</v>
      </c>
      <c r="I31" s="26">
        <f t="shared" si="11"/>
        <v>4180.5566262936363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30.992145045152569</v>
      </c>
      <c r="D32" s="22">
        <f>SUM(D26:D31)</f>
        <v>5027.3999999999996</v>
      </c>
      <c r="E32" s="21">
        <f t="shared" si="7"/>
        <v>0.60609056276221251</v>
      </c>
      <c r="F32" s="20">
        <f>I32/D32</f>
        <v>32.571714489737111</v>
      </c>
      <c r="G32" s="19">
        <f>F32/C32-1</f>
        <v>5.0966767298077142E-2</v>
      </c>
      <c r="H32" s="18">
        <f>SUM(H26:H31)</f>
        <v>155809.91</v>
      </c>
      <c r="I32" s="18">
        <f>SUM(I26:I31)</f>
        <v>163751.03742570433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344+633.3</f>
        <v>977.3</v>
      </c>
      <c r="E34" s="29">
        <f t="shared" ref="E34:E40" si="13">D34/$D$48</f>
        <v>0.11782080339489802</v>
      </c>
      <c r="F34" s="28">
        <f t="shared" ref="F34:F39" si="14">C34-(C34*$E$6)</f>
        <v>18.60211178117596</v>
      </c>
      <c r="G34" s="27" t="str">
        <f t="shared" ref="G34:G39" si="15">IF(C34&gt;=F34,"-","+")</f>
        <v>+</v>
      </c>
      <c r="H34" s="26">
        <f t="shared" ref="H34:H39" si="16">C34*D34</f>
        <v>17298.21</v>
      </c>
      <c r="I34" s="26">
        <f t="shared" ref="I34:I39" si="17">F34*D34</f>
        <v>18179.843843743263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109.7</v>
      </c>
      <c r="E35" s="29">
        <f t="shared" si="13"/>
        <v>1.322515310797126E-2</v>
      </c>
      <c r="F35" s="28">
        <f t="shared" si="14"/>
        <v>14.293148035253846</v>
      </c>
      <c r="G35" s="27" t="str">
        <f t="shared" si="15"/>
        <v>+</v>
      </c>
      <c r="H35" s="26">
        <f t="shared" si="16"/>
        <v>1491.92</v>
      </c>
      <c r="I35" s="26">
        <f t="shared" si="17"/>
        <v>1567.9583394673471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11.455537763549039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30.372939574914422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30.372939574914422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31.423906342212497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17.286228150873963</v>
      </c>
      <c r="D40" s="22">
        <f>SUM(D34:D39)</f>
        <v>1087</v>
      </c>
      <c r="E40" s="113">
        <f t="shared" si="13"/>
        <v>0.13104595650286927</v>
      </c>
      <c r="F40" s="20">
        <f>I40/D40</f>
        <v>18.16725131850102</v>
      </c>
      <c r="G40" s="19">
        <f>F40/C40-1</f>
        <v>5.0966767298076698E-2</v>
      </c>
      <c r="H40" s="18">
        <f>SUM(H34:H39)</f>
        <v>18790.129999999997</v>
      </c>
      <c r="I40" s="18">
        <f>SUM(I34:I39)</f>
        <v>19747.80218321061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760+109.5+758.9</f>
        <v>1628.4</v>
      </c>
      <c r="E42" s="107">
        <f>D42/$D$48</f>
        <v>0.19631576409316684</v>
      </c>
      <c r="F42" s="28">
        <f>C42-(C42*$E$6)</f>
        <v>0.4203867069192308</v>
      </c>
      <c r="G42" s="27" t="str">
        <f>IF(C42&gt;=F42,"-","+")</f>
        <v>+</v>
      </c>
      <c r="H42" s="26">
        <f>C42*D42</f>
        <v>651.36000000000013</v>
      </c>
      <c r="I42" s="26">
        <f>F42*D42</f>
        <v>684.55771354727551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53.1</v>
      </c>
      <c r="E43" s="107">
        <f>D43/$D$48</f>
        <v>6.4016010030380488E-3</v>
      </c>
      <c r="F43" s="28">
        <f>C43-(C43*$E$6)</f>
        <v>0.4203867069192308</v>
      </c>
      <c r="G43" s="27" t="str">
        <f>IF(C43&gt;=F43,"-","+")</f>
        <v>+</v>
      </c>
      <c r="H43" s="26">
        <f>C43*D43</f>
        <v>21.240000000000002</v>
      </c>
      <c r="I43" s="26">
        <f>F43*D43</f>
        <v>22.322534137411157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7.7</v>
      </c>
      <c r="E44" s="107">
        <f>D44/$D$48</f>
        <v>9.2829242416935919E-4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4.8222983073732944E-4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0.39723600283486898</v>
      </c>
      <c r="D46" s="22">
        <f>SUM(D41:D45)</f>
        <v>1693.2</v>
      </c>
      <c r="E46" s="113">
        <f>D46/$D$48</f>
        <v>0.20412788735111156</v>
      </c>
      <c r="F46" s="20">
        <f>I46/D46</f>
        <v>0.41748183775377196</v>
      </c>
      <c r="G46" s="19">
        <f>F46/C46-1</f>
        <v>5.096676729807692E-2</v>
      </c>
      <c r="H46" s="18">
        <f>SUM(H41:H44)</f>
        <v>672.60000000000014</v>
      </c>
      <c r="I46" s="18">
        <f>SUM(I41:I44)</f>
        <v>706.88024768468665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93.753605914789162</v>
      </c>
      <c r="D48" s="13">
        <f>D24+D32+D40+D46</f>
        <v>8294.7999999999993</v>
      </c>
      <c r="E48" s="12">
        <f>SUM(E20:E46)/2</f>
        <v>1</v>
      </c>
      <c r="F48" s="11">
        <f>I48/D48</f>
        <v>24.99</v>
      </c>
      <c r="G48" s="10"/>
      <c r="H48" s="9">
        <f>SUM(H20:H46)/2</f>
        <v>197234.64</v>
      </c>
      <c r="I48" s="9">
        <f>SUM(I20:I46)/2</f>
        <v>207287.05199999997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8294.8000000000011</v>
      </c>
      <c r="E50" s="12">
        <f>D50/G2</f>
        <v>1.0000000000000002</v>
      </c>
      <c r="F50" s="11">
        <f>I50/D50</f>
        <v>24.989999999999991</v>
      </c>
      <c r="G50" s="10"/>
      <c r="H50" s="9">
        <f>H48+H19</f>
        <v>197234.64</v>
      </c>
      <c r="I50" s="9">
        <f>I48+I19</f>
        <v>207287.05199999997</v>
      </c>
      <c r="J50" s="106">
        <f>D50-G2</f>
        <v>0</v>
      </c>
      <c r="K50" s="8"/>
    </row>
    <row r="51" spans="1:11" ht="23.25" x14ac:dyDescent="0.35">
      <c r="A51" s="174" t="s">
        <v>578</v>
      </c>
      <c r="B51" s="169"/>
      <c r="C51" s="170"/>
      <c r="G51" s="7"/>
      <c r="H51" s="6"/>
      <c r="I51" s="6">
        <f>+I50/D50</f>
        <v>24.989999999999991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>
    <tabColor rgb="FF92D050"/>
  </sheetPr>
  <dimension ref="A1:K56"/>
  <sheetViews>
    <sheetView topLeftCell="A3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575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575</v>
      </c>
      <c r="D2" s="96" t="s">
        <v>3</v>
      </c>
      <c r="E2" s="95" t="s">
        <v>71</v>
      </c>
      <c r="F2" s="94" t="s">
        <v>5</v>
      </c>
      <c r="G2" s="93">
        <v>4525.8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60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75.430000000000007</v>
      </c>
      <c r="F4" s="81" t="s">
        <v>12</v>
      </c>
      <c r="G4" s="80">
        <f>G2*G3</f>
        <v>131248.20000000001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1.0929808814066355E-2</v>
      </c>
      <c r="F6" s="69" t="s">
        <v>16</v>
      </c>
      <c r="G6" s="68">
        <f>(I50-I19)/(D50-(SUM(D42:D44)+D19))</f>
        <v>33.641816272627004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28.683035544392077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/>
      <c r="E11" s="29">
        <f t="shared" si="1"/>
        <v>0</v>
      </c>
      <c r="F11" s="28">
        <f t="shared" si="2"/>
        <v>29.869919773815194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>
        <v>325.3</v>
      </c>
      <c r="E12" s="29">
        <f t="shared" si="1"/>
        <v>0.20421872057254065</v>
      </c>
      <c r="F12" s="28">
        <f t="shared" si="2"/>
        <v>27.298337276731772</v>
      </c>
      <c r="G12" s="27" t="str">
        <f t="shared" si="3"/>
        <v>-</v>
      </c>
      <c r="H12" s="34">
        <f t="shared" si="4"/>
        <v>8978.2800000000007</v>
      </c>
      <c r="I12" s="34">
        <f t="shared" si="5"/>
        <v>8880.1491161208451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>
        <v>1046.4000000000001</v>
      </c>
      <c r="E13" s="29">
        <f t="shared" si="1"/>
        <v>0.65691506058132965</v>
      </c>
      <c r="F13" s="28">
        <f t="shared" si="2"/>
        <v>29.869919773815194</v>
      </c>
      <c r="G13" s="27" t="str">
        <f t="shared" si="3"/>
        <v>-</v>
      </c>
      <c r="H13" s="34">
        <f t="shared" si="4"/>
        <v>31601.280000000002</v>
      </c>
      <c r="I13" s="34">
        <f t="shared" si="5"/>
        <v>31255.884051320223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>
        <v>112.3</v>
      </c>
      <c r="E14" s="29">
        <f t="shared" si="1"/>
        <v>7.0500345282189708E-2</v>
      </c>
      <c r="F14" s="28">
        <f t="shared" si="2"/>
        <v>33.430572462084555</v>
      </c>
      <c r="G14" s="27" t="str">
        <f t="shared" si="3"/>
        <v>-</v>
      </c>
      <c r="H14" s="34">
        <f t="shared" si="4"/>
        <v>3795.74</v>
      </c>
      <c r="I14" s="34">
        <f t="shared" si="5"/>
        <v>3754.2532874920953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>
        <f>105.8+3.1</f>
        <v>108.89999999999999</v>
      </c>
      <c r="E15" s="29">
        <f t="shared" si="1"/>
        <v>6.8365873563939972E-2</v>
      </c>
      <c r="F15" s="28">
        <f t="shared" si="2"/>
        <v>27.496151314968955</v>
      </c>
      <c r="G15" s="27" t="str">
        <f t="shared" si="3"/>
        <v>-</v>
      </c>
      <c r="H15" s="34">
        <f t="shared" si="4"/>
        <v>3027.4199999999996</v>
      </c>
      <c r="I15" s="34">
        <f t="shared" si="5"/>
        <v>2994.3308782001191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>
        <f t="shared" si="1"/>
        <v>0</v>
      </c>
      <c r="F16" s="28">
        <f t="shared" si="2"/>
        <v>37.683574284184076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>
        <f t="shared" si="1"/>
        <v>0</v>
      </c>
      <c r="F17" s="28">
        <f t="shared" si="2"/>
        <v>55.486837725530876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48.563346387229345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29.75875447297382</v>
      </c>
      <c r="D19" s="49">
        <f>SUM(D10:D18)</f>
        <v>1592.9</v>
      </c>
      <c r="E19" s="48">
        <f t="shared" si="1"/>
        <v>1</v>
      </c>
      <c r="F19" s="47">
        <f>I19/D19</f>
        <v>29.433496976039475</v>
      </c>
      <c r="G19" s="46">
        <f>F19/C19-1</f>
        <v>-1.0929808814066355E-2</v>
      </c>
      <c r="H19" s="9">
        <f>SUM(H10:H18)</f>
        <v>47402.720000000001</v>
      </c>
      <c r="I19" s="9">
        <f>SUM(I10:I18)</f>
        <v>46884.617333133283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50.8</v>
      </c>
      <c r="E21" s="29">
        <f>D21/$D$48</f>
        <v>1.7320740563946946E-2</v>
      </c>
      <c r="F21" s="28">
        <f>C21-(C21*$E$6)</f>
        <v>72.103216937454562</v>
      </c>
      <c r="G21" s="27" t="str">
        <f>IF(C21&gt;=F21,"-","+")</f>
        <v>-</v>
      </c>
      <c r="H21" s="26">
        <f>C21*D21</f>
        <v>3703.32</v>
      </c>
      <c r="I21" s="26">
        <f>F21*D21</f>
        <v>3662.8434204226915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20.399999999999999</v>
      </c>
      <c r="E22" s="29">
        <f>D22/$D$48</f>
        <v>6.9555729823723954E-3</v>
      </c>
      <c r="F22" s="28">
        <f>C22-(C22*$E$6)</f>
        <v>48.464439368110746</v>
      </c>
      <c r="G22" s="27" t="str">
        <f>IF(C22&gt;=F22,"-","+")</f>
        <v>-</v>
      </c>
      <c r="H22" s="26">
        <f>C22*D22</f>
        <v>999.59999999999991</v>
      </c>
      <c r="I22" s="26">
        <f>F22*D22</f>
        <v>988.6745631094592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95.4</v>
      </c>
      <c r="E23" s="29">
        <f>D23/$D$48</f>
        <v>3.2527532476388558E-2</v>
      </c>
      <c r="F23" s="28">
        <f>C23-(C23*$E$6)</f>
        <v>44.21143754601124</v>
      </c>
      <c r="G23" s="27" t="str">
        <f>IF(C23&gt;=F23,"-","+")</f>
        <v>-</v>
      </c>
      <c r="H23" s="26">
        <f>C23*D23</f>
        <v>4264.38</v>
      </c>
      <c r="I23" s="26">
        <f>F23*D23</f>
        <v>4217.7711418894723</v>
      </c>
      <c r="J23" s="25"/>
      <c r="K23" s="25"/>
    </row>
    <row r="24" spans="1:11" x14ac:dyDescent="0.25">
      <c r="A24" s="24" t="s">
        <v>34</v>
      </c>
      <c r="B24" s="23"/>
      <c r="C24" s="20">
        <f>H24/D24</f>
        <v>53.825330132052819</v>
      </c>
      <c r="D24" s="22">
        <f>SUM(D21:D23)</f>
        <v>166.6</v>
      </c>
      <c r="E24" s="21">
        <f>D24/$D$48</f>
        <v>5.6803846022707896E-2</v>
      </c>
      <c r="F24" s="20">
        <f>I24/D24</f>
        <v>53.237029564355481</v>
      </c>
      <c r="G24" s="19">
        <f>F24/C24-1</f>
        <v>-1.0929808814066244E-2</v>
      </c>
      <c r="H24" s="18">
        <f>SUM(H21:H23)</f>
        <v>8967.2999999999993</v>
      </c>
      <c r="I24" s="18">
        <f>SUM(I21:I23)</f>
        <v>8869.2891254216229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v>530.79999999999995</v>
      </c>
      <c r="E26" s="29">
        <f t="shared" ref="E26:E32" si="7">D26/$D$48</f>
        <v>0.18098128132565036</v>
      </c>
      <c r="F26" s="28">
        <f t="shared" ref="F26:F31" si="8">C26-(C26*$E$6)</f>
        <v>38.474830437132816</v>
      </c>
      <c r="G26" s="27" t="str">
        <f t="shared" ref="G26:G31" si="9">IF(C26&gt;=F26,"-","+")</f>
        <v>-</v>
      </c>
      <c r="H26" s="26">
        <f t="shared" ref="H26:H31" si="10">C26*D26</f>
        <v>20648.12</v>
      </c>
      <c r="I26" s="26">
        <f t="shared" ref="I26:I31" si="11">F26*D26</f>
        <v>20422.439996030098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463.2</v>
      </c>
      <c r="E27" s="29">
        <f t="shared" si="7"/>
        <v>0.1579324218350438</v>
      </c>
      <c r="F27" s="28">
        <f t="shared" si="8"/>
        <v>34.320735634151902</v>
      </c>
      <c r="G27" s="27" t="str">
        <f t="shared" si="9"/>
        <v>-</v>
      </c>
      <c r="H27" s="26">
        <f t="shared" si="10"/>
        <v>16073.04</v>
      </c>
      <c r="I27" s="26">
        <f t="shared" si="11"/>
        <v>15897.36474573916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289</v>
      </c>
      <c r="E28" s="29">
        <f t="shared" si="7"/>
        <v>9.8537283916942275E-2</v>
      </c>
      <c r="F28" s="28">
        <f t="shared" si="8"/>
        <v>34.320735634151902</v>
      </c>
      <c r="G28" s="27" t="str">
        <f t="shared" si="9"/>
        <v>-</v>
      </c>
      <c r="H28" s="26">
        <f t="shared" si="10"/>
        <v>10028.300000000001</v>
      </c>
      <c r="I28" s="26">
        <f t="shared" si="11"/>
        <v>9918.6925982698995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344</v>
      </c>
      <c r="E29" s="29">
        <f t="shared" si="7"/>
        <v>0.11729005421255412</v>
      </c>
      <c r="F29" s="28">
        <f t="shared" si="8"/>
        <v>33.13385140472878</v>
      </c>
      <c r="G29" s="27" t="str">
        <f t="shared" si="9"/>
        <v>-</v>
      </c>
      <c r="H29" s="26">
        <f t="shared" si="10"/>
        <v>11524</v>
      </c>
      <c r="I29" s="26">
        <f t="shared" si="11"/>
        <v>11398.044883226701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246.2</v>
      </c>
      <c r="E30" s="29">
        <f t="shared" si="7"/>
        <v>8.3944219032357048E-2</v>
      </c>
      <c r="F30" s="28">
        <f t="shared" si="8"/>
        <v>33.13385140472878</v>
      </c>
      <c r="G30" s="27" t="str">
        <f t="shared" si="9"/>
        <v>-</v>
      </c>
      <c r="H30" s="26">
        <f t="shared" si="10"/>
        <v>8247.6999999999989</v>
      </c>
      <c r="I30" s="26">
        <f t="shared" si="11"/>
        <v>8157.5542158442249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8.4</v>
      </c>
      <c r="E31" s="29">
        <f t="shared" si="7"/>
        <v>2.8640594633298102E-3</v>
      </c>
      <c r="F31" s="28">
        <f t="shared" si="8"/>
        <v>33.727293519440337</v>
      </c>
      <c r="G31" s="27" t="str">
        <f t="shared" si="9"/>
        <v>-</v>
      </c>
      <c r="H31" s="26">
        <f t="shared" si="10"/>
        <v>286.44</v>
      </c>
      <c r="I31" s="26">
        <f t="shared" si="11"/>
        <v>283.30926556329882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35.505739795918366</v>
      </c>
      <c r="D32" s="22">
        <f>SUM(D26:D31)</f>
        <v>1881.6000000000001</v>
      </c>
      <c r="E32" s="21">
        <f t="shared" si="7"/>
        <v>0.64154931978587748</v>
      </c>
      <c r="F32" s="20">
        <f>I32/D32</f>
        <v>35.117668848146991</v>
      </c>
      <c r="G32" s="19">
        <f>F32/C32-1</f>
        <v>-1.0929808814066355E-2</v>
      </c>
      <c r="H32" s="18">
        <f>SUM(H26:H31)</f>
        <v>66807.600000000006</v>
      </c>
      <c r="I32" s="18">
        <f>SUM(I26:I31)</f>
        <v>66077.40570467338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454.2</v>
      </c>
      <c r="E34" s="29">
        <f t="shared" ref="E34:E40" si="13">D34/$D$48</f>
        <v>0.15486378669576187</v>
      </c>
      <c r="F34" s="28">
        <f t="shared" ref="F34:F39" si="14">C34-(C34*$E$6)</f>
        <v>20.275938919311638</v>
      </c>
      <c r="G34" s="27" t="str">
        <f t="shared" ref="G34:G39" si="15">IF(C34&gt;=F34,"-","+")</f>
        <v>-</v>
      </c>
      <c r="H34" s="26">
        <f t="shared" ref="H34:H39" si="16">C34*D34</f>
        <v>9311.1</v>
      </c>
      <c r="I34" s="26">
        <f t="shared" ref="I34:I39" si="17">F34*D34</f>
        <v>9209.3314571513456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/>
      <c r="E35" s="29">
        <f t="shared" si="13"/>
        <v>0</v>
      </c>
      <c r="F35" s="28">
        <f t="shared" si="14"/>
        <v>15.627309020737751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12.561191428061356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33.13385140472878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33.13385140472878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34.320735634151902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</v>
      </c>
      <c r="D40" s="22">
        <f>SUM(D34:D39)</f>
        <v>454.2</v>
      </c>
      <c r="E40" s="21">
        <f t="shared" si="13"/>
        <v>0.15486378669576187</v>
      </c>
      <c r="F40" s="20">
        <f>I40/D40</f>
        <v>20.275938919311638</v>
      </c>
      <c r="G40" s="19">
        <f>F40/C40-1</f>
        <v>-1.0929808814066466E-2</v>
      </c>
      <c r="H40" s="18">
        <f>SUM(H34:H39)</f>
        <v>9311.1</v>
      </c>
      <c r="I40" s="18">
        <f>SUM(I34:I39)</f>
        <v>9209.3314571513456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399</v>
      </c>
      <c r="E42" s="107">
        <f>D42/$D$48</f>
        <v>0.13604282450816599</v>
      </c>
      <c r="F42" s="28">
        <f>C42-(C42*$E$6)</f>
        <v>0.49453509559296682</v>
      </c>
      <c r="G42" s="27" t="str">
        <f>IF(C42&gt;=F42,"-","+")</f>
        <v>-</v>
      </c>
      <c r="H42" s="26">
        <f>C42*D42</f>
        <v>199.5</v>
      </c>
      <c r="I42" s="26">
        <f>F42*D42</f>
        <v>197.31950314159377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20.7</v>
      </c>
      <c r="E43" s="107">
        <f>D43/$D$48</f>
        <v>7.0578608203484602E-3</v>
      </c>
      <c r="F43" s="28">
        <f>C43-(C43*$E$6)</f>
        <v>0.49453509559296682</v>
      </c>
      <c r="G43" s="27" t="str">
        <f>IF(C43&gt;=F43,"-","+")</f>
        <v>-</v>
      </c>
      <c r="H43" s="26">
        <f>C43*D43</f>
        <v>10.35</v>
      </c>
      <c r="I43" s="26">
        <f>F43*D43</f>
        <v>10.236876478774413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5.5</v>
      </c>
      <c r="E44" s="107">
        <f>D44/$D$48</f>
        <v>1.8752770295611852E-3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1.8070851375771419E-3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0.48745644599303134</v>
      </c>
      <c r="D46" s="22">
        <f>SUM(D41:D45)</f>
        <v>430.5</v>
      </c>
      <c r="E46" s="21">
        <f>D46/$D$48</f>
        <v>0.14678304749565277</v>
      </c>
      <c r="F46" s="20">
        <f>I46/D46</f>
        <v>0.48212864023314328</v>
      </c>
      <c r="G46" s="19">
        <f>F46/C46-1</f>
        <v>-1.0929808814066244E-2</v>
      </c>
      <c r="H46" s="18">
        <f>SUM(H41:H44)</f>
        <v>209.85</v>
      </c>
      <c r="I46" s="18">
        <f>SUM(I41:I44)</f>
        <v>207.55637962036818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110.31852637396422</v>
      </c>
      <c r="D48" s="13">
        <f>D24+D32+D40+D46</f>
        <v>2932.9</v>
      </c>
      <c r="E48" s="12">
        <f>SUM(E20:E46)/2</f>
        <v>0.99999999999999989</v>
      </c>
      <c r="F48" s="11">
        <f>I48/D48</f>
        <v>28.764561583029323</v>
      </c>
      <c r="G48" s="10"/>
      <c r="H48" s="9">
        <f>SUM(H20:H46)/2</f>
        <v>85295.85</v>
      </c>
      <c r="I48" s="9">
        <f>SUM(I20:I46)/2</f>
        <v>84363.5826668667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4525.7999999999993</v>
      </c>
      <c r="E50" s="12">
        <f>D50/G2</f>
        <v>0.99999999999999978</v>
      </c>
      <c r="F50" s="11">
        <f>I50/D50</f>
        <v>29</v>
      </c>
      <c r="G50" s="10"/>
      <c r="H50" s="9">
        <f>H48+H19</f>
        <v>132698.57</v>
      </c>
      <c r="I50" s="9">
        <f>I48+I19</f>
        <v>131248.19999999998</v>
      </c>
      <c r="J50" s="106">
        <f>D50-G2</f>
        <v>0</v>
      </c>
      <c r="K50" s="8"/>
    </row>
    <row r="51" spans="1:11" ht="23.25" x14ac:dyDescent="0.35">
      <c r="A51" s="174" t="s">
        <v>579</v>
      </c>
      <c r="B51" s="169"/>
      <c r="C51" s="170"/>
      <c r="G51" s="7"/>
      <c r="H51" s="6"/>
      <c r="I51" s="6">
        <f>+I50/D50</f>
        <v>29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580</v>
      </c>
      <c r="D2" s="96" t="s">
        <v>3</v>
      </c>
      <c r="E2" s="95" t="s">
        <v>360</v>
      </c>
      <c r="F2" s="94" t="s">
        <v>5</v>
      </c>
      <c r="G2" s="93">
        <v>5053.8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61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82.849180327868851</v>
      </c>
      <c r="F4" s="81" t="s">
        <v>12</v>
      </c>
      <c r="G4" s="80">
        <f>G2*G3</f>
        <v>141506.4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-7.8817428662325995E-2</v>
      </c>
      <c r="F6" s="69" t="s">
        <v>16</v>
      </c>
      <c r="G6" s="68">
        <f>(I50-I19)/(D50-(SUM(D42:D44)+D19))</f>
        <v>33.798222986529076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30.206888002545128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31.501468916939917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28.696543602417872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31.501468916939917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35.169448174391832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29.020188831016569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39.700481374773595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58.47190463349807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51.135946118594248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/>
      <c r="E21" s="29">
        <f>D21/$D$48</f>
        <v>0</v>
      </c>
      <c r="F21" s="28">
        <f>C21-(C21*$E$6)</f>
        <v>75.948746977827753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289.39999999999998</v>
      </c>
      <c r="E22" s="29">
        <f>D22/$D$48</f>
        <v>5.726384107008587E-2</v>
      </c>
      <c r="F22" s="28">
        <f>C22-(C22*$E$6)</f>
        <v>51.028064375728015</v>
      </c>
      <c r="G22" s="27" t="str">
        <f>IF(C22&gt;=F22,"-","+")</f>
        <v>+</v>
      </c>
      <c r="H22" s="26">
        <f>C22*D22</f>
        <v>13688.619999999999</v>
      </c>
      <c r="I22" s="26">
        <f>F22*D22</f>
        <v>14767.521830335687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/>
      <c r="E23" s="29">
        <f>D23/$D$48</f>
        <v>0</v>
      </c>
      <c r="F23" s="28">
        <f>C23-(C23*$E$6)</f>
        <v>46.497031175346251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</v>
      </c>
      <c r="D24" s="22">
        <f>SUM(D21:D23)</f>
        <v>289.39999999999998</v>
      </c>
      <c r="E24" s="21">
        <f>D24/$D$48</f>
        <v>5.726384107008587E-2</v>
      </c>
      <c r="F24" s="20">
        <f>I24/D24</f>
        <v>51.028064375728015</v>
      </c>
      <c r="G24" s="19">
        <f>F24/C24-1</f>
        <v>7.8817428662325995E-2</v>
      </c>
      <c r="H24" s="18">
        <f>SUM(H21:H23)</f>
        <v>13688.619999999999</v>
      </c>
      <c r="I24" s="18">
        <f>SUM(I21:I23)</f>
        <v>14767.521830335687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/>
      <c r="E26" s="29">
        <f t="shared" ref="E26:E32" si="7">D26/$D$48</f>
        <v>0</v>
      </c>
      <c r="F26" s="28">
        <f t="shared" ref="F26:F31" si="8">C26-(C26*$E$6)</f>
        <v>40.563535317703462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1372.2</v>
      </c>
      <c r="E27" s="29">
        <f t="shared" si="7"/>
        <v>0.27151846135581148</v>
      </c>
      <c r="F27" s="28">
        <f t="shared" si="8"/>
        <v>36.140383860187924</v>
      </c>
      <c r="G27" s="27" t="str">
        <f t="shared" si="9"/>
        <v>+</v>
      </c>
      <c r="H27" s="26">
        <f t="shared" si="10"/>
        <v>45968.700000000004</v>
      </c>
      <c r="I27" s="26">
        <f t="shared" si="11"/>
        <v>49591.834732949872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843.5</v>
      </c>
      <c r="E28" s="29">
        <f t="shared" si="7"/>
        <v>0.1669041117574894</v>
      </c>
      <c r="F28" s="28">
        <f t="shared" si="8"/>
        <v>36.140383860187924</v>
      </c>
      <c r="G28" s="27" t="str">
        <f t="shared" si="9"/>
        <v>+</v>
      </c>
      <c r="H28" s="26">
        <f t="shared" si="10"/>
        <v>28257.25</v>
      </c>
      <c r="I28" s="26">
        <f t="shared" si="11"/>
        <v>30484.413786068515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771</v>
      </c>
      <c r="E29" s="29">
        <f t="shared" si="7"/>
        <v>0.1525584708536151</v>
      </c>
      <c r="F29" s="28">
        <f t="shared" si="8"/>
        <v>34.845802945793125</v>
      </c>
      <c r="G29" s="27" t="str">
        <f t="shared" si="9"/>
        <v>+</v>
      </c>
      <c r="H29" s="26">
        <f t="shared" si="10"/>
        <v>24903.3</v>
      </c>
      <c r="I29" s="26">
        <f t="shared" si="11"/>
        <v>26866.114071206499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/>
      <c r="E30" s="29">
        <f t="shared" si="7"/>
        <v>0</v>
      </c>
      <c r="F30" s="28">
        <f t="shared" si="8"/>
        <v>34.845802945793125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/>
      <c r="E31" s="29">
        <f t="shared" si="7"/>
        <v>0</v>
      </c>
      <c r="F31" s="28">
        <f t="shared" si="8"/>
        <v>35.493093402990525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33.190226671577335</v>
      </c>
      <c r="D32" s="22">
        <f>SUM(D26:D31)</f>
        <v>2986.7</v>
      </c>
      <c r="E32" s="21">
        <f t="shared" si="7"/>
        <v>0.59098104396691598</v>
      </c>
      <c r="F32" s="20">
        <f>I32/D32</f>
        <v>35.8061949945508</v>
      </c>
      <c r="G32" s="19">
        <f>F32/C32-1</f>
        <v>7.8817428662325772E-2</v>
      </c>
      <c r="H32" s="18">
        <f>SUM(H26:H31)</f>
        <v>99129.250000000015</v>
      </c>
      <c r="I32" s="18">
        <f>SUM(I26:I31)</f>
        <v>106942.36259022488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905</v>
      </c>
      <c r="E34" s="29">
        <f t="shared" ref="E34:E40" si="13">D34/$D$48</f>
        <v>0.17907317266215519</v>
      </c>
      <c r="F34" s="28">
        <f t="shared" ref="F34:F39" si="14">C34-(C34*$E$6)</f>
        <v>21.360585087514057</v>
      </c>
      <c r="G34" s="27" t="str">
        <f t="shared" ref="G34:G39" si="15">IF(C34&gt;=F34,"-","+")</f>
        <v>+</v>
      </c>
      <c r="H34" s="26">
        <f t="shared" ref="H34:H39" si="16">C34*D34</f>
        <v>17919</v>
      </c>
      <c r="I34" s="26">
        <f t="shared" ref="I34:I39" si="17">F34*D34</f>
        <v>19331.329504200221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16.398024915667353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13.161572629680377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34.845802945793125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34.845802945793125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36.140383860187924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905</v>
      </c>
      <c r="E40" s="113">
        <f t="shared" si="13"/>
        <v>0.17907317266215519</v>
      </c>
      <c r="F40" s="20">
        <f>I40/D40</f>
        <v>21.360585087514057</v>
      </c>
      <c r="G40" s="19">
        <f>F40/C40-1</f>
        <v>7.8817428662325995E-2</v>
      </c>
      <c r="H40" s="18">
        <f>SUM(H34:H39)</f>
        <v>17919</v>
      </c>
      <c r="I40" s="18">
        <f>SUM(I34:I39)</f>
        <v>19331.329504200221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825</v>
      </c>
      <c r="E42" s="107">
        <f>D42/$D$48</f>
        <v>0.16324349994063872</v>
      </c>
      <c r="F42" s="28">
        <f>C42-(C42*$E$6)</f>
        <v>0.539408714331163</v>
      </c>
      <c r="G42" s="27" t="str">
        <f>IF(C42&gt;=F42,"-","+")</f>
        <v>+</v>
      </c>
      <c r="H42" s="26">
        <f>C42*D42</f>
        <v>412.5</v>
      </c>
      <c r="I42" s="26">
        <f>F42*D42</f>
        <v>445.0121893232095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37.4</v>
      </c>
      <c r="E43" s="107">
        <f>D43/$D$48</f>
        <v>7.4003719973089552E-3</v>
      </c>
      <c r="F43" s="28">
        <f>C43-(C43*$E$6)</f>
        <v>0.539408714331163</v>
      </c>
      <c r="G43" s="27" t="str">
        <f>IF(C43&gt;=F43,"-","+")</f>
        <v>+</v>
      </c>
      <c r="H43" s="26">
        <f>C43*D43</f>
        <v>18.7</v>
      </c>
      <c r="I43" s="26">
        <f>F43*D43</f>
        <v>20.173885915985494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4.5999999999999996</v>
      </c>
      <c r="E44" s="107">
        <f>D44/$D$48</f>
        <v>9.1020618148719766E-4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1.1278641814080493E-3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0.49409877392001827</v>
      </c>
      <c r="D46" s="22">
        <f>SUM(D41:D45)</f>
        <v>872.7</v>
      </c>
      <c r="E46" s="113">
        <f>D46/$D$48</f>
        <v>0.17268194230084294</v>
      </c>
      <c r="F46" s="20">
        <f>I46/D46</f>
        <v>0.53304236878560218</v>
      </c>
      <c r="G46" s="19">
        <f>F46/C46-1</f>
        <v>7.8817428662326217E-2</v>
      </c>
      <c r="H46" s="18">
        <f>SUM(H41:H44)</f>
        <v>431.2</v>
      </c>
      <c r="I46" s="18">
        <f>SUM(I41:I44)</f>
        <v>465.18607523919502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100.78432544549734</v>
      </c>
      <c r="D48" s="13">
        <f>D24+D32+D40+D46</f>
        <v>5053.8</v>
      </c>
      <c r="E48" s="12">
        <f>SUM(E20:E46)/2</f>
        <v>1</v>
      </c>
      <c r="F48" s="11">
        <f>I48/D48</f>
        <v>27.999999999999993</v>
      </c>
      <c r="G48" s="10"/>
      <c r="H48" s="9">
        <f>SUM(H20:H46)/2</f>
        <v>131168.07</v>
      </c>
      <c r="I48" s="9">
        <f>SUM(I20:I46)/2</f>
        <v>141506.39999999997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5053.8000000000011</v>
      </c>
      <c r="E50" s="12">
        <f>D50/G2</f>
        <v>1.0000000000000002</v>
      </c>
      <c r="F50" s="11">
        <f>I50/D50</f>
        <v>27.999999999999986</v>
      </c>
      <c r="G50" s="10"/>
      <c r="H50" s="9">
        <f>H48+H19</f>
        <v>131168.07</v>
      </c>
      <c r="I50" s="9">
        <f>I48+I19</f>
        <v>141506.39999999997</v>
      </c>
      <c r="J50" s="106">
        <f>D50-G2</f>
        <v>0</v>
      </c>
      <c r="K50" s="8"/>
    </row>
    <row r="51" spans="1:11" ht="23.25" x14ac:dyDescent="0.35">
      <c r="A51" s="174" t="s">
        <v>581</v>
      </c>
      <c r="B51" s="169"/>
      <c r="C51" s="170"/>
      <c r="G51" s="7"/>
      <c r="H51" s="6"/>
      <c r="I51" s="6">
        <f>+I50/D50</f>
        <v>27.999999999999986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451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580</v>
      </c>
      <c r="D2" s="96" t="s">
        <v>3</v>
      </c>
      <c r="E2" s="95" t="s">
        <v>107</v>
      </c>
      <c r="F2" s="94" t="s">
        <v>5</v>
      </c>
      <c r="G2" s="93">
        <v>2200.8000000000002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452</v>
      </c>
      <c r="D3" s="90" t="s">
        <v>7</v>
      </c>
      <c r="E3" s="89">
        <v>40</v>
      </c>
      <c r="F3" s="88" t="s">
        <v>8</v>
      </c>
      <c r="G3" s="87">
        <v>27.75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55.02</v>
      </c>
      <c r="F4" s="81" t="s">
        <v>12</v>
      </c>
      <c r="G4" s="80">
        <f>G2*G3</f>
        <v>61072.200000000004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-1.6192435654140969E-2</v>
      </c>
      <c r="F6" s="69" t="s">
        <v>16</v>
      </c>
      <c r="G6" s="68">
        <f>(I50-I19)/(D50-(SUM(D42:D44)+D19))</f>
        <v>34.48263790864435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 t="e">
        <f t="shared" ref="E10:E19" si="1">D10/$D$19</f>
        <v>#DIV/0!</v>
      </c>
      <c r="F10" s="28">
        <f t="shared" ref="F10:F18" si="2">C10-(C10*$E$6)</f>
        <v>28.25014971118512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30"/>
      <c r="E11" s="29" t="e">
        <f t="shared" si="1"/>
        <v>#DIV/0!</v>
      </c>
      <c r="F11" s="28">
        <f t="shared" si="2"/>
        <v>29.367961390404673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/>
      <c r="E12" s="29" t="e">
        <f t="shared" si="1"/>
        <v>#DIV/0!</v>
      </c>
      <c r="F12" s="28">
        <f t="shared" si="2"/>
        <v>26.827480301269318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30"/>
      <c r="E13" s="29" t="e">
        <f t="shared" si="1"/>
        <v>#DIV/0!</v>
      </c>
      <c r="F13" s="28">
        <f t="shared" si="2"/>
        <v>29.367961390404673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30"/>
      <c r="E14" s="29" t="e">
        <f t="shared" si="1"/>
        <v>#DIV/0!</v>
      </c>
      <c r="F14" s="28">
        <f t="shared" si="2"/>
        <v>32.823015671628752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/>
      <c r="E15" s="29" t="e">
        <f t="shared" si="1"/>
        <v>#DIV/0!</v>
      </c>
      <c r="F15" s="28">
        <f t="shared" si="2"/>
        <v>27.030718788400151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 t="e">
        <f t="shared" si="1"/>
        <v>#DIV/0!</v>
      </c>
      <c r="F16" s="28">
        <f t="shared" si="2"/>
        <v>37.091023901376147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53.7</v>
      </c>
      <c r="D17" s="30"/>
      <c r="E17" s="29" t="e">
        <f t="shared" si="1"/>
        <v>#DIV/0!</v>
      </c>
      <c r="F17" s="28">
        <f t="shared" si="2"/>
        <v>54.569533794627375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30"/>
      <c r="E18" s="29" t="e">
        <f t="shared" si="1"/>
        <v>#DIV/0!</v>
      </c>
      <c r="F18" s="28">
        <f t="shared" si="2"/>
        <v>47.761044475744626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69.8</v>
      </c>
      <c r="D21" s="30">
        <v>36.6</v>
      </c>
      <c r="E21" s="29">
        <f>D21/$D$48</f>
        <v>1.663031624863686E-2</v>
      </c>
      <c r="F21" s="28">
        <f>C21-(C21*$E$6)</f>
        <v>70.930232008659033</v>
      </c>
      <c r="G21" s="27" t="str">
        <f>IF(C21&gt;=F21,"-","+")</f>
        <v>+</v>
      </c>
      <c r="H21" s="26">
        <f>C21*D21</f>
        <v>2554.6799999999998</v>
      </c>
      <c r="I21" s="26">
        <f>F21*D21</f>
        <v>2596.0464915169209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46.9</v>
      </c>
      <c r="D22" s="30">
        <v>62</v>
      </c>
      <c r="E22" s="29">
        <f>D22/$D$48</f>
        <v>2.8171573973100689E-2</v>
      </c>
      <c r="F22" s="28">
        <f>C22-(C22*$E$6)</f>
        <v>47.65942523217921</v>
      </c>
      <c r="G22" s="27" t="str">
        <f>IF(C22&gt;=F22,"-","+")</f>
        <v>+</v>
      </c>
      <c r="H22" s="26">
        <f>C22*D22</f>
        <v>2907.7999999999997</v>
      </c>
      <c r="I22" s="26">
        <f>F22*D22</f>
        <v>2954.8843643951109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>
        <v>55</v>
      </c>
      <c r="E23" s="29">
        <f>D23/$D$48</f>
        <v>2.4990912395492546E-2</v>
      </c>
      <c r="F23" s="28">
        <f>C23-(C23*$E$6)</f>
        <v>43.391417002431822</v>
      </c>
      <c r="G23" s="27" t="str">
        <f>IF(C23&gt;=F23,"-","+")</f>
        <v>+</v>
      </c>
      <c r="H23" s="26">
        <f>C23*D23</f>
        <v>2348.5</v>
      </c>
      <c r="I23" s="26">
        <f>F23*D23</f>
        <v>2386.5279351337504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50.852734374999997</v>
      </c>
      <c r="D24" s="22">
        <f>SUM(D21:D23)</f>
        <v>153.6</v>
      </c>
      <c r="E24" s="21">
        <f>D24/$D$48</f>
        <v>6.9792802617230087E-2</v>
      </c>
      <c r="F24" s="20">
        <f>I24/D24</f>
        <v>51.67616400420431</v>
      </c>
      <c r="G24" s="19">
        <f>F24/C24-1</f>
        <v>1.6192435654140969E-2</v>
      </c>
      <c r="H24" s="18">
        <f>SUM(H21:H23)</f>
        <v>7810.98</v>
      </c>
      <c r="I24" s="18">
        <f>SUM(I21:I23)</f>
        <v>7937.4587910457822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>
        <v>590</v>
      </c>
      <c r="E26" s="29">
        <f t="shared" ref="E26:E32" si="7">D26/$D$48</f>
        <v>0.26808433296982914</v>
      </c>
      <c r="F26" s="28">
        <f t="shared" ref="F26:F31" si="8">C26-(C26*$E$6)</f>
        <v>37.802358606334046</v>
      </c>
      <c r="G26" s="27" t="str">
        <f t="shared" ref="G26:G31" si="9">IF(C26&gt;=F26,"-","+")</f>
        <v>+</v>
      </c>
      <c r="H26" s="26">
        <f t="shared" ref="H26:H31" si="10">C26*D26</f>
        <v>21948</v>
      </c>
      <c r="I26" s="26">
        <f t="shared" ref="I26:I31" si="11">F26*D26</f>
        <v>22303.391577737086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305.60000000000002</v>
      </c>
      <c r="E27" s="29">
        <f t="shared" si="7"/>
        <v>0.13885859687386404</v>
      </c>
      <c r="F27" s="28">
        <f t="shared" si="8"/>
        <v>33.737588863717484</v>
      </c>
      <c r="G27" s="27" t="str">
        <f t="shared" si="9"/>
        <v>+</v>
      </c>
      <c r="H27" s="26">
        <f t="shared" si="10"/>
        <v>10145.920000000002</v>
      </c>
      <c r="I27" s="26">
        <f t="shared" si="11"/>
        <v>10310.207156752063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164.2</v>
      </c>
      <c r="E28" s="29">
        <f t="shared" si="7"/>
        <v>7.4609233006179554E-2</v>
      </c>
      <c r="F28" s="28">
        <f t="shared" si="8"/>
        <v>33.737588863717484</v>
      </c>
      <c r="G28" s="27" t="str">
        <f t="shared" si="9"/>
        <v>+</v>
      </c>
      <c r="H28" s="26">
        <f t="shared" si="10"/>
        <v>5451.4400000000005</v>
      </c>
      <c r="I28" s="26">
        <f t="shared" si="11"/>
        <v>5539.7120914224106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128.5</v>
      </c>
      <c r="E29" s="29">
        <f t="shared" si="7"/>
        <v>5.8387858960378042E-2</v>
      </c>
      <c r="F29" s="28">
        <f t="shared" si="8"/>
        <v>32.619777184497927</v>
      </c>
      <c r="G29" s="27" t="str">
        <f t="shared" si="9"/>
        <v>+</v>
      </c>
      <c r="H29" s="26">
        <f t="shared" si="10"/>
        <v>4124.8500000000004</v>
      </c>
      <c r="I29" s="26">
        <f t="shared" si="11"/>
        <v>4191.6413682079838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122.2</v>
      </c>
      <c r="E30" s="29">
        <f t="shared" si="7"/>
        <v>5.5525263540530716E-2</v>
      </c>
      <c r="F30" s="28">
        <f t="shared" si="8"/>
        <v>32.619777184497927</v>
      </c>
      <c r="G30" s="27" t="str">
        <f t="shared" si="9"/>
        <v>+</v>
      </c>
      <c r="H30" s="26">
        <f t="shared" si="10"/>
        <v>3922.6200000000003</v>
      </c>
      <c r="I30" s="26">
        <f t="shared" si="11"/>
        <v>3986.1367719456466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30">
        <v>41.2</v>
      </c>
      <c r="E31" s="29">
        <f t="shared" si="7"/>
        <v>1.872046528535078E-2</v>
      </c>
      <c r="F31" s="28">
        <f t="shared" si="8"/>
        <v>33.127873402324994</v>
      </c>
      <c r="G31" s="27" t="str">
        <f t="shared" si="9"/>
        <v>+</v>
      </c>
      <c r="H31" s="26">
        <f t="shared" si="10"/>
        <v>1343.1200000000001</v>
      </c>
      <c r="I31" s="26">
        <f t="shared" si="11"/>
        <v>1364.8683841757897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34.723644299770662</v>
      </c>
      <c r="D32" s="22">
        <f>SUM(D26:D31)</f>
        <v>1351.7</v>
      </c>
      <c r="E32" s="21">
        <f t="shared" si="7"/>
        <v>0.61418575063613223</v>
      </c>
      <c r="F32" s="20">
        <f>I32/D32</f>
        <v>35.285904675771974</v>
      </c>
      <c r="G32" s="19">
        <f>F32/C32-1</f>
        <v>1.6192435654140969E-2</v>
      </c>
      <c r="H32" s="18">
        <f>SUM(H26:H31)</f>
        <v>46935.950000000004</v>
      </c>
      <c r="I32" s="18">
        <f>SUM(I26:I31)</f>
        <v>47695.957350240977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262.2</v>
      </c>
      <c r="E34" s="29">
        <f t="shared" ref="E34:E40" si="13">D34/$D$48</f>
        <v>0.11913849509269354</v>
      </c>
      <c r="F34" s="28">
        <f t="shared" ref="F34:F39" si="14">C34-(C34*$E$6)</f>
        <v>19.917371738821164</v>
      </c>
      <c r="G34" s="27" t="str">
        <f t="shared" ref="G34:G39" si="15">IF(C34&gt;=F34,"-","+")</f>
        <v>+</v>
      </c>
      <c r="H34" s="26">
        <f t="shared" ref="H34:H39" si="16">C34*D34</f>
        <v>5139.12</v>
      </c>
      <c r="I34" s="26">
        <f t="shared" ref="I34:I39" si="17">F34*D34</f>
        <v>5222.3348699189091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/>
      <c r="E35" s="29">
        <f t="shared" si="13"/>
        <v>0</v>
      </c>
      <c r="F35" s="28">
        <f t="shared" si="14"/>
        <v>15.344505778377528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12.295928471415106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32.619777184497927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32.619777184497927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33.737588863717484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19.600000000000001</v>
      </c>
      <c r="D40" s="22">
        <f>SUM(D34:D39)</f>
        <v>262.2</v>
      </c>
      <c r="E40" s="113">
        <f t="shared" si="13"/>
        <v>0.11913849509269354</v>
      </c>
      <c r="F40" s="20">
        <f>I40/D40</f>
        <v>19.917371738821164</v>
      </c>
      <c r="G40" s="19">
        <f>F40/C40-1</f>
        <v>1.6192435654140969E-2</v>
      </c>
      <c r="H40" s="18">
        <f>SUM(H34:H39)</f>
        <v>5139.12</v>
      </c>
      <c r="I40" s="18">
        <f>SUM(I34:I39)</f>
        <v>5222.3348699189091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409</v>
      </c>
      <c r="E42" s="107">
        <f>D42/$D$48</f>
        <v>0.18584151217739003</v>
      </c>
      <c r="F42" s="28">
        <f>C42-(C42*$E$6)</f>
        <v>0.50809621782707048</v>
      </c>
      <c r="G42" s="27" t="str">
        <f>IF(C42&gt;=F42,"-","+")</f>
        <v>+</v>
      </c>
      <c r="H42" s="26">
        <f>C42*D42</f>
        <v>204.5</v>
      </c>
      <c r="I42" s="26">
        <f>F42*D42</f>
        <v>207.81135309127183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17</v>
      </c>
      <c r="E43" s="107">
        <f>D43/$D$48</f>
        <v>7.7244638313340597E-3</v>
      </c>
      <c r="F43" s="28">
        <f>C43-(C43*$E$6)</f>
        <v>0.50809621782707048</v>
      </c>
      <c r="G43" s="27" t="str">
        <f>IF(C43&gt;=F43,"-","+")</f>
        <v>+</v>
      </c>
      <c r="H43" s="26">
        <f>C43*D43</f>
        <v>8.5</v>
      </c>
      <c r="I43" s="26">
        <f>F43*D43</f>
        <v>8.637635703060198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3.7</v>
      </c>
      <c r="E44" s="107">
        <f>D44/$D$48</f>
        <v>1.6812068338785896E-3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3.6</v>
      </c>
      <c r="E45" s="107">
        <f>D45/$D$48</f>
        <v>1.6357688113413304E-3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0.49157627509808444</v>
      </c>
      <c r="D46" s="22">
        <f>SUM(D41:D45)</f>
        <v>433.3</v>
      </c>
      <c r="E46" s="113">
        <f>D46/$D$48</f>
        <v>0.19688295165394401</v>
      </c>
      <c r="F46" s="20">
        <f>I46/D46</f>
        <v>0.49953609230171248</v>
      </c>
      <c r="G46" s="19">
        <f>F46/C46-1</f>
        <v>1.6192435654140969E-2</v>
      </c>
      <c r="H46" s="18">
        <f>SUM(H41:H44)</f>
        <v>213</v>
      </c>
      <c r="I46" s="18">
        <f>SUM(I41:I44)</f>
        <v>216.44898879433202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105.66795494986874</v>
      </c>
      <c r="D48" s="13">
        <f>D24+D32+D40+D46</f>
        <v>2200.8000000000002</v>
      </c>
      <c r="E48" s="12">
        <f>SUM(E20:E46)/2</f>
        <v>0.99999999999999967</v>
      </c>
      <c r="F48" s="11">
        <f>I48/D48</f>
        <v>27.749999999999996</v>
      </c>
      <c r="G48" s="10"/>
      <c r="H48" s="9">
        <f>SUM(H20:H46)/2</f>
        <v>60099.05</v>
      </c>
      <c r="I48" s="9">
        <f>SUM(I20:I46)/2</f>
        <v>61072.2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2200.7999999999997</v>
      </c>
      <c r="E50" s="12">
        <f>D50/G2</f>
        <v>0.99999999999999978</v>
      </c>
      <c r="F50" s="11">
        <f>I50/D50</f>
        <v>27.750000000000004</v>
      </c>
      <c r="G50" s="10"/>
      <c r="H50" s="9">
        <f>H48+H19</f>
        <v>60099.05</v>
      </c>
      <c r="I50" s="9">
        <f>I48+I19</f>
        <v>61072.2</v>
      </c>
      <c r="J50" s="106">
        <f>D50-G2</f>
        <v>0</v>
      </c>
      <c r="K50" s="8"/>
    </row>
    <row r="51" spans="1:11" ht="23.25" x14ac:dyDescent="0.35">
      <c r="A51" s="174" t="s">
        <v>582</v>
      </c>
      <c r="B51" s="169"/>
      <c r="C51" s="170"/>
      <c r="G51" s="7"/>
      <c r="H51" s="6"/>
      <c r="I51" s="6">
        <f>+I50/D50</f>
        <v>27.750000000000004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575</v>
      </c>
      <c r="D1" s="100" t="s">
        <v>1</v>
      </c>
      <c r="E1" s="168" t="s">
        <v>464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580</v>
      </c>
      <c r="D2" s="96" t="s">
        <v>3</v>
      </c>
      <c r="E2" s="95" t="s">
        <v>112</v>
      </c>
      <c r="F2" s="94" t="s">
        <v>5</v>
      </c>
      <c r="G2" s="93">
        <v>4925.8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84</v>
      </c>
      <c r="F3" s="88" t="s">
        <v>8</v>
      </c>
      <c r="G3" s="87">
        <v>25.47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58.640476190476193</v>
      </c>
      <c r="F4" s="81" t="s">
        <v>12</v>
      </c>
      <c r="G4" s="80">
        <f>G2*G3</f>
        <v>125460.126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-7.5572442123098549E-2</v>
      </c>
      <c r="F6" s="69" t="s">
        <v>16</v>
      </c>
      <c r="G6" s="68">
        <f>(I50-I19)/(D50-(SUM(D42:D44)+D19))</f>
        <v>32.401892045454559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25.5</v>
      </c>
      <c r="D10" s="30"/>
      <c r="E10" s="29" t="e">
        <f t="shared" ref="E10:E19" si="1">D10/$D$19</f>
        <v>#DIV/0!</v>
      </c>
      <c r="F10" s="28">
        <f t="shared" ref="F10:F18" si="2">C10-(C10*$E$6)</f>
        <v>27.427097274139012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26.5</v>
      </c>
      <c r="D11" s="30"/>
      <c r="E11" s="29" t="e">
        <f t="shared" si="1"/>
        <v>#DIV/0!</v>
      </c>
      <c r="F11" s="28">
        <f t="shared" si="2"/>
        <v>28.502669716262112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 t="e">
        <f t="shared" si="1"/>
        <v>#DIV/0!</v>
      </c>
      <c r="F12" s="28">
        <f t="shared" si="2"/>
        <v>26.028853099378985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26.5</v>
      </c>
      <c r="D13" s="30"/>
      <c r="E13" s="29" t="e">
        <f t="shared" si="1"/>
        <v>#DIV/0!</v>
      </c>
      <c r="F13" s="28">
        <f t="shared" si="2"/>
        <v>28.502669716262112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29.7</v>
      </c>
      <c r="D14" s="30"/>
      <c r="E14" s="29" t="e">
        <f t="shared" si="1"/>
        <v>#DIV/0!</v>
      </c>
      <c r="F14" s="28">
        <f t="shared" si="2"/>
        <v>31.944501531056027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24.5</v>
      </c>
      <c r="D15" s="30"/>
      <c r="E15" s="29" t="e">
        <f t="shared" si="1"/>
        <v>#DIV/0!</v>
      </c>
      <c r="F15" s="28">
        <f t="shared" si="2"/>
        <v>26.351524832015915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33.5</v>
      </c>
      <c r="D16" s="30"/>
      <c r="E16" s="29" t="e">
        <f t="shared" si="1"/>
        <v>#DIV/0!</v>
      </c>
      <c r="F16" s="28">
        <f t="shared" si="2"/>
        <v>36.031676811123802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49.3</v>
      </c>
      <c r="D17" s="30"/>
      <c r="E17" s="29" t="e">
        <f t="shared" si="1"/>
        <v>#DIV/0!</v>
      </c>
      <c r="F17" s="28">
        <f t="shared" si="2"/>
        <v>53.025721396668757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43.2</v>
      </c>
      <c r="D18" s="30"/>
      <c r="E18" s="29" t="e">
        <f t="shared" si="1"/>
        <v>#DIV/0!</v>
      </c>
      <c r="F18" s="28">
        <f t="shared" si="2"/>
        <v>46.464729499717862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64.099999999999994</v>
      </c>
      <c r="D21" s="30">
        <v>68.099999999999994</v>
      </c>
      <c r="E21" s="29">
        <f>D21/$D$48</f>
        <v>1.3825165455357504E-2</v>
      </c>
      <c r="F21" s="28">
        <f>C21-(C21*$E$6)</f>
        <v>68.944193540090609</v>
      </c>
      <c r="G21" s="27" t="str">
        <f>IF(C21&gt;=F21,"-","+")</f>
        <v>+</v>
      </c>
      <c r="H21" s="26">
        <f>C21*D21</f>
        <v>4365.2099999999991</v>
      </c>
      <c r="I21" s="26">
        <f>F21*D21</f>
        <v>4695.0995800801702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</v>
      </c>
      <c r="D22" s="30">
        <v>134</v>
      </c>
      <c r="E22" s="29">
        <f>D22/$D$48</f>
        <v>2.7203702951804781E-2</v>
      </c>
      <c r="F22" s="28">
        <f>C22-(C22*$E$6)</f>
        <v>46.249615011293237</v>
      </c>
      <c r="G22" s="27" t="str">
        <f>IF(C22&gt;=F22,"-","+")</f>
        <v>+</v>
      </c>
      <c r="H22" s="26">
        <f>C22*D22</f>
        <v>5762</v>
      </c>
      <c r="I22" s="26">
        <f>F22*D22</f>
        <v>6197.4484115132936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39.200000000000003</v>
      </c>
      <c r="D23" s="30">
        <v>96.3</v>
      </c>
      <c r="E23" s="29">
        <f>D23/$D$48</f>
        <v>1.9550123837752242E-2</v>
      </c>
      <c r="F23" s="28">
        <f>C23-(C23*$E$6)</f>
        <v>42.162439731225469</v>
      </c>
      <c r="G23" s="27" t="str">
        <f>IF(C23&gt;=F23,"-","+")</f>
        <v>+</v>
      </c>
      <c r="H23" s="26">
        <f>C23*D23</f>
        <v>3774.96</v>
      </c>
      <c r="I23" s="26">
        <f>F23*D23</f>
        <v>4060.2429461170127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46.589041554959785</v>
      </c>
      <c r="D24" s="22">
        <f>SUM(D21:D23)</f>
        <v>298.39999999999998</v>
      </c>
      <c r="E24" s="21">
        <f>D24/$D$48</f>
        <v>6.0578992244914524E-2</v>
      </c>
      <c r="F24" s="20">
        <f>I24/D24</f>
        <v>50.109889201442613</v>
      </c>
      <c r="G24" s="19">
        <f>F24/C24-1</f>
        <v>7.5572442123098549E-2</v>
      </c>
      <c r="H24" s="18">
        <f>SUM(H21:H23)</f>
        <v>13902.169999999998</v>
      </c>
      <c r="I24" s="18">
        <f>SUM(I21:I23)</f>
        <v>14952.790937710475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34.200000000000003</v>
      </c>
      <c r="D26" s="30">
        <f>322.7+585.6</f>
        <v>908.3</v>
      </c>
      <c r="E26" s="29">
        <f t="shared" ref="E26:E32" si="7">D26/$D$48</f>
        <v>0.18439644321734538</v>
      </c>
      <c r="F26" s="28">
        <f t="shared" ref="F26:F31" si="8">C26-(C26*$E$6)</f>
        <v>36.784577520609972</v>
      </c>
      <c r="G26" s="27" t="str">
        <f t="shared" ref="G26:G31" si="9">IF(C26&gt;=F26,"-","+")</f>
        <v>+</v>
      </c>
      <c r="H26" s="26">
        <f t="shared" ref="H26:H31" si="10">C26*D26</f>
        <v>31063.86</v>
      </c>
      <c r="I26" s="26">
        <f t="shared" ref="I26:I31" si="11">F26*D26</f>
        <v>33411.431761970038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30">
        <v>758</v>
      </c>
      <c r="E27" s="29">
        <f t="shared" si="7"/>
        <v>0.15388363311543302</v>
      </c>
      <c r="F27" s="28">
        <f t="shared" si="8"/>
        <v>32.697402240542196</v>
      </c>
      <c r="G27" s="27" t="str">
        <f t="shared" si="9"/>
        <v>+</v>
      </c>
      <c r="H27" s="26">
        <f t="shared" si="10"/>
        <v>23043.200000000001</v>
      </c>
      <c r="I27" s="26">
        <f t="shared" si="11"/>
        <v>24784.630898330986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30">
        <v>422</v>
      </c>
      <c r="E28" s="29">
        <f t="shared" si="7"/>
        <v>8.5671363027325503E-2</v>
      </c>
      <c r="F28" s="28">
        <f t="shared" si="8"/>
        <v>32.697402240542196</v>
      </c>
      <c r="G28" s="27" t="str">
        <f t="shared" si="9"/>
        <v>+</v>
      </c>
      <c r="H28" s="26">
        <f t="shared" si="10"/>
        <v>12828.8</v>
      </c>
      <c r="I28" s="26">
        <f t="shared" si="11"/>
        <v>13798.303745508807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29.4</v>
      </c>
      <c r="D29" s="30">
        <v>398</v>
      </c>
      <c r="E29" s="29">
        <f t="shared" si="7"/>
        <v>8.0799058021032114E-2</v>
      </c>
      <c r="F29" s="28">
        <f t="shared" si="8"/>
        <v>31.621829798419096</v>
      </c>
      <c r="G29" s="27" t="str">
        <f t="shared" si="9"/>
        <v>+</v>
      </c>
      <c r="H29" s="26">
        <f t="shared" si="10"/>
        <v>11701.199999999999</v>
      </c>
      <c r="I29" s="26">
        <f t="shared" si="11"/>
        <v>12585.4882597708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29.4</v>
      </c>
      <c r="D30" s="30">
        <v>309</v>
      </c>
      <c r="E30" s="29">
        <f t="shared" si="7"/>
        <v>6.2730926956027444E-2</v>
      </c>
      <c r="F30" s="28">
        <f t="shared" si="8"/>
        <v>31.621829798419096</v>
      </c>
      <c r="G30" s="27" t="str">
        <f t="shared" si="9"/>
        <v>+</v>
      </c>
      <c r="H30" s="26">
        <f t="shared" si="10"/>
        <v>9084.6</v>
      </c>
      <c r="I30" s="26">
        <f t="shared" si="11"/>
        <v>9771.1454077115013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29.9</v>
      </c>
      <c r="D31" s="30">
        <v>57.7</v>
      </c>
      <c r="E31" s="29">
        <f t="shared" si="7"/>
        <v>1.1713833285963702E-2</v>
      </c>
      <c r="F31" s="28">
        <f t="shared" si="8"/>
        <v>32.159616019480644</v>
      </c>
      <c r="G31" s="27" t="str">
        <f t="shared" si="9"/>
        <v>+</v>
      </c>
      <c r="H31" s="26">
        <f t="shared" si="10"/>
        <v>1725.23</v>
      </c>
      <c r="I31" s="26">
        <f t="shared" si="11"/>
        <v>1855.6098443240332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31.351871713985279</v>
      </c>
      <c r="D32" s="22">
        <f>SUM(D26:D31)</f>
        <v>2853</v>
      </c>
      <c r="E32" s="21">
        <f t="shared" si="7"/>
        <v>0.57919525762312718</v>
      </c>
      <c r="F32" s="20">
        <f>I32/D32</f>
        <v>33.721209224541248</v>
      </c>
      <c r="G32" s="19">
        <f>F32/C32-1</f>
        <v>7.5572442123098771E-2</v>
      </c>
      <c r="H32" s="18">
        <f>SUM(H26:H31)</f>
        <v>89446.89</v>
      </c>
      <c r="I32" s="18">
        <f>SUM(I26:I31)</f>
        <v>96206.609917616181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v>715.4</v>
      </c>
      <c r="E34" s="29">
        <f t="shared" ref="E34:E40" si="13">D34/$D$48</f>
        <v>0.14523529172926225</v>
      </c>
      <c r="F34" s="28">
        <f t="shared" ref="F34:F39" si="14">C34-(C34*$E$6)</f>
        <v>19.360303958215773</v>
      </c>
      <c r="G34" s="27" t="str">
        <f t="shared" ref="G34:G39" si="15">IF(C34&gt;=F34,"-","+")</f>
        <v>+</v>
      </c>
      <c r="H34" s="26">
        <f t="shared" ref="H34:H39" si="16">C34*D34</f>
        <v>12877.199999999999</v>
      </c>
      <c r="I34" s="26">
        <f t="shared" ref="I34:I39" si="17">F34*D34</f>
        <v>13850.361451707564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/>
      <c r="E35" s="29">
        <f t="shared" si="13"/>
        <v>0</v>
      </c>
      <c r="F35" s="28">
        <f t="shared" si="14"/>
        <v>14.84289970129876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11.938854107566394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29.4</v>
      </c>
      <c r="D37" s="30"/>
      <c r="E37" s="29">
        <f t="shared" si="13"/>
        <v>0</v>
      </c>
      <c r="F37" s="28">
        <f t="shared" si="14"/>
        <v>31.621829798419096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29.4</v>
      </c>
      <c r="D38" s="30"/>
      <c r="E38" s="29">
        <f t="shared" si="13"/>
        <v>0</v>
      </c>
      <c r="F38" s="28">
        <f t="shared" si="14"/>
        <v>31.621829798419096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30"/>
      <c r="E39" s="29">
        <f t="shared" si="13"/>
        <v>0</v>
      </c>
      <c r="F39" s="28">
        <f t="shared" si="14"/>
        <v>32.697402240542196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</v>
      </c>
      <c r="D40" s="22">
        <f>SUM(D34:D39)</f>
        <v>715.4</v>
      </c>
      <c r="E40" s="113">
        <f t="shared" si="13"/>
        <v>0.14523529172926225</v>
      </c>
      <c r="F40" s="20">
        <f>I40/D40</f>
        <v>19.360303958215773</v>
      </c>
      <c r="G40" s="19">
        <f>F40/C40-1</f>
        <v>7.5572442123098549E-2</v>
      </c>
      <c r="H40" s="18">
        <f>SUM(H34:H39)</f>
        <v>12877.199999999999</v>
      </c>
      <c r="I40" s="18">
        <f>SUM(I34:I39)</f>
        <v>13850.361451707564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1017</v>
      </c>
      <c r="E42" s="107">
        <f>D42/$D$48</f>
        <v>0.20646392464168256</v>
      </c>
      <c r="F42" s="28">
        <f>C42-(C42*$E$6)</f>
        <v>0.43022897684923944</v>
      </c>
      <c r="G42" s="27" t="str">
        <f>IF(C42&gt;=F42,"-","+")</f>
        <v>+</v>
      </c>
      <c r="H42" s="26">
        <f>C42*D42</f>
        <v>406.8</v>
      </c>
      <c r="I42" s="26">
        <f>F42*D42</f>
        <v>437.54286945567651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29.8</v>
      </c>
      <c r="E43" s="107">
        <f>D43/$D$48</f>
        <v>6.0497787161476304E-3</v>
      </c>
      <c r="F43" s="28">
        <f>C43-(C43*$E$6)</f>
        <v>0.43022897684923944</v>
      </c>
      <c r="G43" s="27" t="str">
        <f>IF(C43&gt;=F43,"-","+")</f>
        <v>+</v>
      </c>
      <c r="H43" s="26">
        <f>C43*D43</f>
        <v>11.920000000000002</v>
      </c>
      <c r="I43" s="26">
        <f>F43*D43</f>
        <v>12.820823510107335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</v>
      </c>
      <c r="E44" s="107">
        <f>D44/$D$48</f>
        <v>1.4210889601689064E-3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1.0556660846969021E-3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0.39539187913125595</v>
      </c>
      <c r="D46" s="22">
        <f>SUM(D41:D45)</f>
        <v>1059</v>
      </c>
      <c r="E46" s="113">
        <f>D46/$D$48</f>
        <v>0.21499045840269601</v>
      </c>
      <c r="F46" s="20">
        <f>I46/D46</f>
        <v>0.42527260903284597</v>
      </c>
      <c r="G46" s="19">
        <f>F46/C46-1</f>
        <v>7.5572442123098549E-2</v>
      </c>
      <c r="H46" s="18">
        <f>SUM(H41:H44)</f>
        <v>418.72</v>
      </c>
      <c r="I46" s="18">
        <f>SUM(I41:I44)</f>
        <v>450.36369296578386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96.33630514807632</v>
      </c>
      <c r="D48" s="13">
        <f>D24+D32+D40+D46</f>
        <v>4925.8</v>
      </c>
      <c r="E48" s="12">
        <f>SUM(E20:E46)/2</f>
        <v>1</v>
      </c>
      <c r="F48" s="11">
        <f>I48/D48</f>
        <v>25.470000000000002</v>
      </c>
      <c r="G48" s="10"/>
      <c r="H48" s="9">
        <f>SUM(H20:H46)/2</f>
        <v>116644.98000000001</v>
      </c>
      <c r="I48" s="9">
        <f>SUM(I20:I46)/2</f>
        <v>125460.12600000002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4925.7999999999993</v>
      </c>
      <c r="E50" s="12">
        <f>D50/G2</f>
        <v>0.99999999999999978</v>
      </c>
      <c r="F50" s="11">
        <f>I50/D50</f>
        <v>25.470000000000006</v>
      </c>
      <c r="G50" s="10"/>
      <c r="H50" s="9">
        <f>H48+H19</f>
        <v>116644.98000000001</v>
      </c>
      <c r="I50" s="9">
        <f>I48+I19</f>
        <v>125460.12600000002</v>
      </c>
      <c r="J50" s="106">
        <f>D50-G2</f>
        <v>0</v>
      </c>
      <c r="K50" s="8"/>
    </row>
    <row r="51" spans="1:11" ht="23.25" x14ac:dyDescent="0.35">
      <c r="A51" s="174" t="s">
        <v>583</v>
      </c>
      <c r="B51" s="169"/>
      <c r="C51" s="170"/>
      <c r="G51" s="7"/>
      <c r="H51" s="6"/>
      <c r="I51" s="6">
        <f>+I50/D50</f>
        <v>25.470000000000006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580</v>
      </c>
      <c r="D2" s="96" t="s">
        <v>3</v>
      </c>
      <c r="E2" s="95" t="s">
        <v>112</v>
      </c>
      <c r="F2" s="94" t="s">
        <v>5</v>
      </c>
      <c r="G2" s="93">
        <v>2616.5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36</v>
      </c>
      <c r="F3" s="88" t="s">
        <v>8</v>
      </c>
      <c r="G3" s="87">
        <v>25.8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72.680555555555557</v>
      </c>
      <c r="F4" s="81" t="s">
        <v>12</v>
      </c>
      <c r="G4" s="80">
        <f>G2*G3</f>
        <v>67505.7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-3.8460082965185327E-2</v>
      </c>
      <c r="F6" s="69" t="s">
        <v>16</v>
      </c>
      <c r="G6" s="68">
        <f>(I50-I19)/(D50-(SUM(D42:D44)+D19))</f>
        <v>32.029654583412402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25.8</v>
      </c>
      <c r="D10" s="30"/>
      <c r="E10" s="29" t="e">
        <f t="shared" ref="E10:E19" si="1">D10/$D$19</f>
        <v>#DIV/0!</v>
      </c>
      <c r="F10" s="28">
        <f t="shared" ref="F10:F18" si="2">C10-(C10*$E$6)</f>
        <v>26.792270140501781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26.9</v>
      </c>
      <c r="D11" s="30"/>
      <c r="E11" s="29" t="e">
        <f t="shared" si="1"/>
        <v>#DIV/0!</v>
      </c>
      <c r="F11" s="28">
        <f t="shared" si="2"/>
        <v>27.934576231763483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/>
      <c r="E12" s="29" t="e">
        <f t="shared" si="1"/>
        <v>#DIV/0!</v>
      </c>
      <c r="F12" s="28">
        <f t="shared" si="2"/>
        <v>25.44227203264704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26.9</v>
      </c>
      <c r="D13" s="30"/>
      <c r="E13" s="29" t="e">
        <f t="shared" si="1"/>
        <v>#DIV/0!</v>
      </c>
      <c r="F13" s="28">
        <f t="shared" si="2"/>
        <v>27.934576231763483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</v>
      </c>
      <c r="D14" s="30"/>
      <c r="E14" s="29" t="e">
        <f t="shared" si="1"/>
        <v>#DIV/0!</v>
      </c>
      <c r="F14" s="28">
        <f t="shared" si="2"/>
        <v>31.153802488955559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24.8</v>
      </c>
      <c r="D15" s="30"/>
      <c r="E15" s="29" t="e">
        <f t="shared" si="1"/>
        <v>#DIV/0!</v>
      </c>
      <c r="F15" s="28">
        <f t="shared" si="2"/>
        <v>25.753810057536597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33.9</v>
      </c>
      <c r="D16" s="30"/>
      <c r="E16" s="29" t="e">
        <f t="shared" si="1"/>
        <v>#DIV/0!</v>
      </c>
      <c r="F16" s="28">
        <f t="shared" si="2"/>
        <v>35.203796812519784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49.9</v>
      </c>
      <c r="D17" s="30"/>
      <c r="E17" s="29" t="e">
        <f t="shared" si="1"/>
        <v>#DIV/0!</v>
      </c>
      <c r="F17" s="28">
        <f t="shared" si="2"/>
        <v>51.819158139962745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43.7</v>
      </c>
      <c r="D18" s="30"/>
      <c r="E18" s="29" t="e">
        <f t="shared" si="1"/>
        <v>#DIV/0!</v>
      </c>
      <c r="F18" s="28">
        <f t="shared" si="2"/>
        <v>45.380705625578599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64.900000000000006</v>
      </c>
      <c r="D21" s="30">
        <v>30.8</v>
      </c>
      <c r="E21" s="29">
        <f>D21/$D$48</f>
        <v>1.1770100886579028E-2</v>
      </c>
      <c r="F21" s="28">
        <f>C21-(C21*$E$6)</f>
        <v>67.396059384440534</v>
      </c>
      <c r="G21" s="27" t="str">
        <f>IF(C21&gt;=F21,"-","+")</f>
        <v>+</v>
      </c>
      <c r="H21" s="26">
        <f>C21*D21</f>
        <v>1998.9200000000003</v>
      </c>
      <c r="I21" s="26">
        <f>F21*D21</f>
        <v>2075.7986290407684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43.6</v>
      </c>
      <c r="D22" s="30">
        <v>60.7</v>
      </c>
      <c r="E22" s="29">
        <f>D22/$D$48</f>
        <v>2.319627025374503E-2</v>
      </c>
      <c r="F22" s="28">
        <f>C22-(C22*$E$6)</f>
        <v>45.276859617282085</v>
      </c>
      <c r="G22" s="27" t="str">
        <f>IF(C22&gt;=F22,"-","+")</f>
        <v>+</v>
      </c>
      <c r="H22" s="26">
        <f>C22*D22</f>
        <v>2646.5200000000004</v>
      </c>
      <c r="I22" s="26">
        <f>F22*D22</f>
        <v>2748.3053787690228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39.700000000000003</v>
      </c>
      <c r="D23" s="30">
        <v>43.8</v>
      </c>
      <c r="E23" s="29">
        <f>D23/$D$48</f>
        <v>1.6738000611433809E-2</v>
      </c>
      <c r="F23" s="28">
        <f>C23-(C23*$E$6)</f>
        <v>41.226865293717857</v>
      </c>
      <c r="G23" s="27" t="str">
        <f>IF(C23&gt;=F23,"-","+")</f>
        <v>+</v>
      </c>
      <c r="H23" s="26">
        <f>C23*D23</f>
        <v>1738.86</v>
      </c>
      <c r="I23" s="26">
        <f>F23*D23</f>
        <v>1805.736699864842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47.186252771618619</v>
      </c>
      <c r="D24" s="22">
        <f>SUM(D21:D23)</f>
        <v>135.30000000000001</v>
      </c>
      <c r="E24" s="21">
        <f>D24/$D$48</f>
        <v>5.170437175175787E-2</v>
      </c>
      <c r="F24" s="20">
        <f>I24/D24</f>
        <v>49.001039968031286</v>
      </c>
      <c r="G24" s="19">
        <f>F24/C24-1</f>
        <v>3.8460082965185549E-2</v>
      </c>
      <c r="H24" s="18">
        <f>SUM(H21:H23)</f>
        <v>6384.3</v>
      </c>
      <c r="I24" s="18">
        <f>SUM(I21:I23)</f>
        <v>6629.8407076746334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34.6</v>
      </c>
      <c r="D26" s="30">
        <v>618</v>
      </c>
      <c r="E26" s="29">
        <f t="shared" ref="E26:E32" si="7">D26/$D$48</f>
        <v>0.23616630999694282</v>
      </c>
      <c r="F26" s="28">
        <f t="shared" ref="F26:F31" si="8">C26-(C26*$E$6)</f>
        <v>35.930718870595413</v>
      </c>
      <c r="G26" s="27" t="str">
        <f t="shared" ref="G26:G31" si="9">IF(C26&gt;=F26,"-","+")</f>
        <v>+</v>
      </c>
      <c r="H26" s="26">
        <f t="shared" ref="H26:H31" si="10">C26*D26</f>
        <v>21382.799999999999</v>
      </c>
      <c r="I26" s="26">
        <f t="shared" ref="I26:I31" si="11">F26*D26</f>
        <v>22205.184262027964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30.8</v>
      </c>
      <c r="D27" s="30">
        <v>343.6</v>
      </c>
      <c r="E27" s="29">
        <f t="shared" si="7"/>
        <v>0.13130541118923877</v>
      </c>
      <c r="F27" s="28">
        <f t="shared" si="8"/>
        <v>31.984570555327707</v>
      </c>
      <c r="G27" s="27" t="str">
        <f t="shared" si="9"/>
        <v>+</v>
      </c>
      <c r="H27" s="26">
        <f t="shared" si="10"/>
        <v>10582.880000000001</v>
      </c>
      <c r="I27" s="26">
        <f t="shared" si="11"/>
        <v>10989.898442810601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30.8</v>
      </c>
      <c r="D28" s="30">
        <v>238.6</v>
      </c>
      <c r="E28" s="29">
        <f t="shared" si="7"/>
        <v>9.1180067257719349E-2</v>
      </c>
      <c r="F28" s="28">
        <f t="shared" si="8"/>
        <v>31.984570555327707</v>
      </c>
      <c r="G28" s="27" t="str">
        <f t="shared" si="9"/>
        <v>+</v>
      </c>
      <c r="H28" s="26">
        <f t="shared" si="10"/>
        <v>7348.88</v>
      </c>
      <c r="I28" s="26">
        <f t="shared" si="11"/>
        <v>7631.5185345011905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29.8</v>
      </c>
      <c r="D29" s="30">
        <v>237.8</v>
      </c>
      <c r="E29" s="29">
        <f t="shared" si="7"/>
        <v>9.0874350351574443E-2</v>
      </c>
      <c r="F29" s="28">
        <f t="shared" si="8"/>
        <v>30.946110472362523</v>
      </c>
      <c r="G29" s="27" t="str">
        <f t="shared" si="9"/>
        <v>+</v>
      </c>
      <c r="H29" s="26">
        <f t="shared" si="10"/>
        <v>7086.4400000000005</v>
      </c>
      <c r="I29" s="26">
        <f t="shared" si="11"/>
        <v>7358.985070327808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29.8</v>
      </c>
      <c r="D30" s="30">
        <v>172</v>
      </c>
      <c r="E30" s="29">
        <f t="shared" si="7"/>
        <v>6.572913482115561E-2</v>
      </c>
      <c r="F30" s="28">
        <f t="shared" si="8"/>
        <v>30.946110472362523</v>
      </c>
      <c r="G30" s="27" t="str">
        <f t="shared" si="9"/>
        <v>+</v>
      </c>
      <c r="H30" s="26">
        <f t="shared" si="10"/>
        <v>5125.6000000000004</v>
      </c>
      <c r="I30" s="26">
        <f t="shared" si="11"/>
        <v>5322.731001246354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30.3</v>
      </c>
      <c r="D31" s="30">
        <v>34.6</v>
      </c>
      <c r="E31" s="29">
        <f t="shared" si="7"/>
        <v>1.322225619076735E-2</v>
      </c>
      <c r="F31" s="28">
        <f t="shared" si="8"/>
        <v>31.465340513845117</v>
      </c>
      <c r="G31" s="27" t="str">
        <f t="shared" si="9"/>
        <v>+</v>
      </c>
      <c r="H31" s="26">
        <f t="shared" si="10"/>
        <v>1048.3800000000001</v>
      </c>
      <c r="I31" s="26">
        <f t="shared" si="11"/>
        <v>1088.7007817790411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31.968247598200168</v>
      </c>
      <c r="D32" s="22">
        <f>SUM(D26:D31)</f>
        <v>1644.6</v>
      </c>
      <c r="E32" s="21">
        <f t="shared" si="7"/>
        <v>0.62847752980739824</v>
      </c>
      <c r="F32" s="20">
        <f>I32/D32</f>
        <v>33.197749053078546</v>
      </c>
      <c r="G32" s="19">
        <f>F32/C32-1</f>
        <v>3.8460082965185771E-2</v>
      </c>
      <c r="H32" s="18">
        <f>SUM(H26:H31)</f>
        <v>52574.979999999996</v>
      </c>
      <c r="I32" s="18">
        <f>SUM(I26:I31)</f>
        <v>54597.018092692968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v>321.10000000000002</v>
      </c>
      <c r="E34" s="29">
        <f t="shared" ref="E34:E40" si="13">D34/$D$48</f>
        <v>0.12270712320391318</v>
      </c>
      <c r="F34" s="28">
        <f t="shared" ref="F34:F39" si="14">C34-(C34*$E$6)</f>
        <v>18.899973509966372</v>
      </c>
      <c r="G34" s="27" t="str">
        <f t="shared" ref="G34:G39" si="15">IF(C34&gt;=F34,"-","+")</f>
        <v>+</v>
      </c>
      <c r="H34" s="26">
        <f t="shared" ref="H34:H39" si="16">C34*D34</f>
        <v>5844.02</v>
      </c>
      <c r="I34" s="26">
        <f t="shared" ref="I34:I39" si="17">F34*D34</f>
        <v>6068.781494050203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/>
      <c r="E35" s="29">
        <f t="shared" si="13"/>
        <v>0</v>
      </c>
      <c r="F35" s="28">
        <f t="shared" si="14"/>
        <v>14.538441161512594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11.734598937506595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29.8</v>
      </c>
      <c r="D37" s="30"/>
      <c r="E37" s="29">
        <f t="shared" si="13"/>
        <v>0</v>
      </c>
      <c r="F37" s="28">
        <f t="shared" si="14"/>
        <v>30.946110472362523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29.8</v>
      </c>
      <c r="D38" s="30"/>
      <c r="E38" s="29">
        <f t="shared" si="13"/>
        <v>0</v>
      </c>
      <c r="F38" s="28">
        <f t="shared" si="14"/>
        <v>30.946110472362523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30.8</v>
      </c>
      <c r="D39" s="30"/>
      <c r="E39" s="29">
        <f t="shared" si="13"/>
        <v>0</v>
      </c>
      <c r="F39" s="28">
        <f t="shared" si="14"/>
        <v>31.984570555327707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18.2</v>
      </c>
      <c r="D40" s="22">
        <f>SUM(D34:D39)</f>
        <v>321.10000000000002</v>
      </c>
      <c r="E40" s="113">
        <f t="shared" si="13"/>
        <v>0.12270712320391318</v>
      </c>
      <c r="F40" s="20">
        <f>I40/D40</f>
        <v>18.899973509966372</v>
      </c>
      <c r="G40" s="19">
        <f>F40/C40-1</f>
        <v>3.8460082965185327E-2</v>
      </c>
      <c r="H40" s="18">
        <f>SUM(H34:H39)</f>
        <v>5844.02</v>
      </c>
      <c r="I40" s="18">
        <f>SUM(I34:I39)</f>
        <v>6068.781494050203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494</v>
      </c>
      <c r="E42" s="107">
        <f>D42/$D$48</f>
        <v>0.18878018954448181</v>
      </c>
      <c r="F42" s="28">
        <f>C42-(C42*$E$6)</f>
        <v>0.41538403318607414</v>
      </c>
      <c r="G42" s="27" t="str">
        <f>IF(C42&gt;=F42,"-","+")</f>
        <v>+</v>
      </c>
      <c r="H42" s="26">
        <f>C42*D42</f>
        <v>197.60000000000002</v>
      </c>
      <c r="I42" s="26">
        <f>F42*D42</f>
        <v>205.19971239392063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11.7</v>
      </c>
      <c r="E43" s="107">
        <f>D43/$D$48</f>
        <v>4.4711097523693058E-3</v>
      </c>
      <c r="F43" s="28">
        <f>C43-(C43*$E$6)</f>
        <v>0.41538403318607414</v>
      </c>
      <c r="G43" s="27" t="str">
        <f>IF(C43&gt;=F43,"-","+")</f>
        <v>+</v>
      </c>
      <c r="H43" s="26">
        <f>C43*D43</f>
        <v>4.68</v>
      </c>
      <c r="I43" s="26">
        <f>F43*D43</f>
        <v>4.8599931882770671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3.5</v>
      </c>
      <c r="E44" s="107">
        <f>D44/$D$48</f>
        <v>1.3375114643839803E-3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2.5221644756955055E-3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0.39216750678557588</v>
      </c>
      <c r="D46" s="22">
        <f>SUM(D41:D45)</f>
        <v>515.79999999999995</v>
      </c>
      <c r="E46" s="113">
        <f>D46/$D$48</f>
        <v>0.19711097523693058</v>
      </c>
      <c r="F46" s="20">
        <f>I46/D46</f>
        <v>0.40725030163279896</v>
      </c>
      <c r="G46" s="19">
        <f>F46/C46-1</f>
        <v>3.8460082965185105E-2</v>
      </c>
      <c r="H46" s="18">
        <f>SUM(H41:H44)</f>
        <v>202.28000000000003</v>
      </c>
      <c r="I46" s="18">
        <f>SUM(I41:I44)</f>
        <v>210.05970558219769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97.746667876604363</v>
      </c>
      <c r="D48" s="13">
        <f>D24+D32+D40+D46</f>
        <v>2616.8000000000002</v>
      </c>
      <c r="E48" s="12">
        <f>SUM(E20:E46)/2</f>
        <v>0.99999999999999989</v>
      </c>
      <c r="F48" s="11">
        <f>I48/D48</f>
        <v>25.797042188933041</v>
      </c>
      <c r="G48" s="10"/>
      <c r="H48" s="9">
        <f>SUM(H20:H46)/2</f>
        <v>65005.58</v>
      </c>
      <c r="I48" s="9">
        <f>SUM(I20:I46)/2</f>
        <v>67505.699999999983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2616.8000000000002</v>
      </c>
      <c r="E50" s="12">
        <f>D50/G2</f>
        <v>1.0001146569845214</v>
      </c>
      <c r="F50" s="11">
        <f>I50/D50</f>
        <v>25.797042188933041</v>
      </c>
      <c r="G50" s="10"/>
      <c r="H50" s="9">
        <f>H48+H19</f>
        <v>65005.58</v>
      </c>
      <c r="I50" s="9">
        <f>I48+I19</f>
        <v>67505.699999999983</v>
      </c>
      <c r="J50" s="106">
        <f>D50-G2</f>
        <v>0.3000000000001819</v>
      </c>
      <c r="K50" s="8"/>
    </row>
    <row r="51" spans="1:11" ht="23.25" x14ac:dyDescent="0.35">
      <c r="A51" s="174" t="s">
        <v>584</v>
      </c>
      <c r="B51" s="169"/>
      <c r="C51" s="170"/>
      <c r="G51" s="7"/>
      <c r="H51" s="6"/>
      <c r="I51" s="6">
        <f>+I50/D50</f>
        <v>25.797042188933041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575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580</v>
      </c>
      <c r="D2" s="96" t="s">
        <v>3</v>
      </c>
      <c r="E2" s="95" t="s">
        <v>112</v>
      </c>
      <c r="F2" s="94" t="s">
        <v>5</v>
      </c>
      <c r="G2" s="93">
        <v>2437.6999999999998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36</v>
      </c>
      <c r="F3" s="88" t="s">
        <v>8</v>
      </c>
      <c r="G3" s="87">
        <v>26.35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67.713888888888889</v>
      </c>
      <c r="F4" s="81" t="s">
        <v>12</v>
      </c>
      <c r="G4" s="80">
        <f>G2*G3</f>
        <v>64233.394999999997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-5.6181078701309728E-2</v>
      </c>
      <c r="F6" s="69" t="s">
        <v>16</v>
      </c>
      <c r="G6" s="68">
        <f>(I50-I19)/(D50-(SUM(D42:D44)+D19))</f>
        <v>32.645555499085177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 t="e">
        <f t="shared" ref="E10:E19" si="1">D10/$D$19</f>
        <v>#DIV/0!</v>
      </c>
      <c r="F10" s="28">
        <f t="shared" ref="F10:F18" si="2">C10-(C10*$E$6)</f>
        <v>27.883180477714575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27.4</v>
      </c>
      <c r="D11" s="30"/>
      <c r="E11" s="29" t="e">
        <f t="shared" si="1"/>
        <v>#DIV/0!</v>
      </c>
      <c r="F11" s="28">
        <f t="shared" si="2"/>
        <v>28.939361556415886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 t="e">
        <f t="shared" si="1"/>
        <v>#DIV/0!</v>
      </c>
      <c r="F12" s="28">
        <f t="shared" si="2"/>
        <v>26.510145075402875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27.4</v>
      </c>
      <c r="D13" s="30"/>
      <c r="E13" s="29" t="e">
        <f t="shared" si="1"/>
        <v>#DIV/0!</v>
      </c>
      <c r="F13" s="28">
        <f t="shared" si="2"/>
        <v>28.939361556415886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 t="e">
        <f t="shared" si="1"/>
        <v>#DIV/0!</v>
      </c>
      <c r="F14" s="28">
        <f t="shared" si="2"/>
        <v>32.424759116130211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 t="e">
        <f t="shared" si="1"/>
        <v>#DIV/0!</v>
      </c>
      <c r="F15" s="28">
        <f t="shared" si="2"/>
        <v>26.721381291143135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34.6</v>
      </c>
      <c r="D16" s="30"/>
      <c r="E16" s="29" t="e">
        <f t="shared" si="1"/>
        <v>#DIV/0!</v>
      </c>
      <c r="F16" s="28">
        <f t="shared" si="2"/>
        <v>36.543865323065319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</v>
      </c>
      <c r="D17" s="30"/>
      <c r="E17" s="29" t="e">
        <f t="shared" si="1"/>
        <v>#DIV/0!</v>
      </c>
      <c r="F17" s="28">
        <f t="shared" si="2"/>
        <v>53.865235013766792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44.6</v>
      </c>
      <c r="D18" s="30"/>
      <c r="E18" s="29" t="e">
        <f t="shared" si="1"/>
        <v>#DIV/0!</v>
      </c>
      <c r="F18" s="28">
        <f t="shared" si="2"/>
        <v>47.105676110078413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66.3</v>
      </c>
      <c r="D21" s="30">
        <v>29.1</v>
      </c>
      <c r="E21" s="29">
        <f>D21/$D$48</f>
        <v>1.1937482052754645E-2</v>
      </c>
      <c r="F21" s="28">
        <f>C21-(C21*$E$6)</f>
        <v>70.024805517896837</v>
      </c>
      <c r="G21" s="27" t="str">
        <f>IF(C21&gt;=F21,"-","+")</f>
        <v>+</v>
      </c>
      <c r="H21" s="26">
        <f>C21*D21</f>
        <v>1929.33</v>
      </c>
      <c r="I21" s="26">
        <f>F21*D21</f>
        <v>2037.7218405707981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44.5</v>
      </c>
      <c r="D22" s="30">
        <v>64.2</v>
      </c>
      <c r="E22" s="29">
        <f>D22/$D$48</f>
        <v>2.6336300611231898E-2</v>
      </c>
      <c r="F22" s="28">
        <f>C22-(C22*$E$6)</f>
        <v>47.000058002208284</v>
      </c>
      <c r="G22" s="27" t="str">
        <f>IF(C22&gt;=F22,"-","+")</f>
        <v>+</v>
      </c>
      <c r="H22" s="26">
        <f>C22*D22</f>
        <v>2856.9</v>
      </c>
      <c r="I22" s="26">
        <f>F22*D22</f>
        <v>3017.403723741772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40.6</v>
      </c>
      <c r="D23" s="30">
        <v>49.4</v>
      </c>
      <c r="E23" s="29">
        <f>D23/$D$48</f>
        <v>2.0265003897116132E-2</v>
      </c>
      <c r="F23" s="28">
        <f>C23-(C23*$E$6)</f>
        <v>42.880951795273177</v>
      </c>
      <c r="G23" s="27" t="str">
        <f>IF(C23&gt;=F23,"-","+")</f>
        <v>+</v>
      </c>
      <c r="H23" s="26">
        <f>C23*D23</f>
        <v>2005.64</v>
      </c>
      <c r="I23" s="26">
        <f>F23*D23</f>
        <v>2118.3190186864949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47.595444989488428</v>
      </c>
      <c r="D24" s="22">
        <f>SUM(D21:D23)</f>
        <v>142.70000000000002</v>
      </c>
      <c r="E24" s="21">
        <f>D24/$D$48</f>
        <v>5.8538786561102681E-2</v>
      </c>
      <c r="F24" s="20">
        <f>I24/D24</f>
        <v>50.269408430266736</v>
      </c>
      <c r="G24" s="19">
        <f>F24/C24-1</f>
        <v>5.6181078701309728E-2</v>
      </c>
      <c r="H24" s="18">
        <f>SUM(H21:H23)</f>
        <v>6791.87</v>
      </c>
      <c r="I24" s="18">
        <f>SUM(I21:I23)</f>
        <v>7173.4445829990646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f>269+180</f>
        <v>449</v>
      </c>
      <c r="E26" s="29">
        <f t="shared" ref="E26:E32" si="7">D26/$D$48</f>
        <v>0.18419001517824177</v>
      </c>
      <c r="F26" s="28">
        <f t="shared" ref="F26:F31" si="8">C26-(C26*$E$6)</f>
        <v>37.388810186026362</v>
      </c>
      <c r="G26" s="27" t="str">
        <f t="shared" ref="G26:G31" si="9">IF(C26&gt;=F26,"-","+")</f>
        <v>+</v>
      </c>
      <c r="H26" s="26">
        <f t="shared" ref="H26:H31" si="10">C26*D26</f>
        <v>15894.599999999999</v>
      </c>
      <c r="I26" s="26">
        <f t="shared" ref="I26:I31" si="11">F26*D26</f>
        <v>16787.575773525838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346.6</v>
      </c>
      <c r="E27" s="29">
        <f t="shared" si="7"/>
        <v>0.14218320548057595</v>
      </c>
      <c r="F27" s="28">
        <f t="shared" si="8"/>
        <v>33.269703979091254</v>
      </c>
      <c r="G27" s="27" t="str">
        <f t="shared" si="9"/>
        <v>+</v>
      </c>
      <c r="H27" s="26">
        <f t="shared" si="10"/>
        <v>10917.900000000001</v>
      </c>
      <c r="I27" s="26">
        <f t="shared" si="11"/>
        <v>11531.279399153029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217.4</v>
      </c>
      <c r="E28" s="29">
        <f t="shared" si="7"/>
        <v>8.9182426057349135E-2</v>
      </c>
      <c r="F28" s="28">
        <f t="shared" si="8"/>
        <v>33.269703979091254</v>
      </c>
      <c r="G28" s="27" t="str">
        <f t="shared" si="9"/>
        <v>+</v>
      </c>
      <c r="H28" s="26">
        <f t="shared" si="10"/>
        <v>6848.1</v>
      </c>
      <c r="I28" s="26">
        <f t="shared" si="11"/>
        <v>7232.8336450544384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30.4</v>
      </c>
      <c r="D29" s="30">
        <v>243.2</v>
      </c>
      <c r="E29" s="29">
        <f t="shared" si="7"/>
        <v>9.976617303195634E-2</v>
      </c>
      <c r="F29" s="28">
        <f t="shared" si="8"/>
        <v>32.107904792519811</v>
      </c>
      <c r="G29" s="27" t="str">
        <f t="shared" si="9"/>
        <v>+</v>
      </c>
      <c r="H29" s="26">
        <f t="shared" si="10"/>
        <v>7393.28</v>
      </c>
      <c r="I29" s="26">
        <f t="shared" si="11"/>
        <v>7808.6424455408178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30.4</v>
      </c>
      <c r="D30" s="30">
        <v>152.19999999999999</v>
      </c>
      <c r="E30" s="29">
        <f t="shared" si="7"/>
        <v>6.2435902695163463E-2</v>
      </c>
      <c r="F30" s="28">
        <f t="shared" si="8"/>
        <v>32.107904792519811</v>
      </c>
      <c r="G30" s="27" t="str">
        <f t="shared" si="9"/>
        <v>+</v>
      </c>
      <c r="H30" s="26">
        <f t="shared" si="10"/>
        <v>4626.8799999999992</v>
      </c>
      <c r="I30" s="26">
        <f t="shared" si="11"/>
        <v>4886.8231094215153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39.700000000000003</v>
      </c>
      <c r="E31" s="29">
        <f t="shared" si="7"/>
        <v>1.6285843212864585E-2</v>
      </c>
      <c r="F31" s="28">
        <f t="shared" si="8"/>
        <v>32.741613439740604</v>
      </c>
      <c r="G31" s="27" t="str">
        <f t="shared" si="9"/>
        <v>+</v>
      </c>
      <c r="H31" s="26">
        <f t="shared" si="10"/>
        <v>1230.7</v>
      </c>
      <c r="I31" s="26">
        <f t="shared" si="11"/>
        <v>1299.842053557702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32.395179890891505</v>
      </c>
      <c r="D32" s="22">
        <f>SUM(D26:D31)</f>
        <v>1448.1000000000001</v>
      </c>
      <c r="E32" s="21">
        <f t="shared" si="7"/>
        <v>0.59404356565615124</v>
      </c>
      <c r="F32" s="20">
        <f>I32/D32</f>
        <v>34.215176041884767</v>
      </c>
      <c r="G32" s="19">
        <f>F32/C32-1</f>
        <v>5.6181078701309728E-2</v>
      </c>
      <c r="H32" s="18">
        <f>SUM(H26:H31)</f>
        <v>46911.459999999992</v>
      </c>
      <c r="I32" s="18">
        <f>SUM(I26:I31)</f>
        <v>49546.996426253339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18.600000000000001</v>
      </c>
      <c r="D34" s="30">
        <v>372.4</v>
      </c>
      <c r="E34" s="29">
        <f t="shared" ref="E34:E40" si="13">D34/$D$48</f>
        <v>0.15276695245518312</v>
      </c>
      <c r="F34" s="28">
        <f t="shared" ref="F34:F39" si="14">C34-(C34*$E$6)</f>
        <v>19.644968063844363</v>
      </c>
      <c r="G34" s="27" t="str">
        <f t="shared" ref="G34:G39" si="15">IF(C34&gt;=F34,"-","+")</f>
        <v>+</v>
      </c>
      <c r="H34" s="26">
        <f t="shared" ref="H34:H39" si="16">C34*D34</f>
        <v>6926.64</v>
      </c>
      <c r="I34" s="26">
        <f t="shared" ref="I34:I39" si="17">F34*D34</f>
        <v>7315.78610697564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15.10338942542873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12.146082405065062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30.4</v>
      </c>
      <c r="D37" s="30"/>
      <c r="E37" s="29">
        <f t="shared" si="13"/>
        <v>0</v>
      </c>
      <c r="F37" s="28">
        <f t="shared" si="14"/>
        <v>32.107904792519811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30.4</v>
      </c>
      <c r="D38" s="30"/>
      <c r="E38" s="29">
        <f t="shared" si="13"/>
        <v>0</v>
      </c>
      <c r="F38" s="28">
        <f t="shared" si="14"/>
        <v>32.107904792519811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33.269703979091254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18.600000000000001</v>
      </c>
      <c r="D40" s="22">
        <f>SUM(D34:D39)</f>
        <v>372.4</v>
      </c>
      <c r="E40" s="21">
        <f t="shared" si="13"/>
        <v>0.15276695245518312</v>
      </c>
      <c r="F40" s="20">
        <f>I40/D40</f>
        <v>19.644968063844363</v>
      </c>
      <c r="G40" s="19">
        <f>F40/C40-1</f>
        <v>5.6181078701309728E-2</v>
      </c>
      <c r="H40" s="18">
        <f>SUM(H34:H39)</f>
        <v>6926.64</v>
      </c>
      <c r="I40" s="18">
        <f>SUM(I34:I39)</f>
        <v>7315.78610697564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454</v>
      </c>
      <c r="E42" s="107">
        <f>D42/$D$48</f>
        <v>0.18624112893301059</v>
      </c>
      <c r="F42" s="28">
        <f>C42-(C42*$E$6)</f>
        <v>0.42247243148052394</v>
      </c>
      <c r="G42" s="27" t="str">
        <f>IF(C42&gt;=F42,"-","+")</f>
        <v>+</v>
      </c>
      <c r="H42" s="26">
        <f>C42*D42</f>
        <v>181.60000000000002</v>
      </c>
      <c r="I42" s="26">
        <f>F42*D42</f>
        <v>191.80248389215788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12.7</v>
      </c>
      <c r="E43" s="107">
        <f>D43/$D$48</f>
        <v>5.2098289371128514E-3</v>
      </c>
      <c r="F43" s="28">
        <f>C43-(C43*$E$6)</f>
        <v>0.42247243148052394</v>
      </c>
      <c r="G43" s="27" t="str">
        <f>IF(C43&gt;=F43,"-","+")</f>
        <v>+</v>
      </c>
      <c r="H43" s="26">
        <f>C43*D43</f>
        <v>5.08</v>
      </c>
      <c r="I43" s="26">
        <f>F43*D43</f>
        <v>5.3653998798026539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3.4</v>
      </c>
      <c r="E44" s="107">
        <f>D44/$D$48</f>
        <v>1.3947573532428106E-3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4.4000000000000004</v>
      </c>
      <c r="E45" s="107">
        <f>D45/$D$48</f>
        <v>1.8049801041965787E-3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0.39342465753424671</v>
      </c>
      <c r="D46" s="22">
        <f>SUM(D41:D45)</f>
        <v>474.49999999999994</v>
      </c>
      <c r="E46" s="21">
        <f>D46/$D$48</f>
        <v>0.19465069532756282</v>
      </c>
      <c r="F46" s="20">
        <f>I46/D46</f>
        <v>0.415527679182214</v>
      </c>
      <c r="G46" s="19">
        <f>F46/C46-1</f>
        <v>5.6181078701309506E-2</v>
      </c>
      <c r="H46" s="18">
        <f>SUM(H41:H44)</f>
        <v>186.68000000000004</v>
      </c>
      <c r="I46" s="18">
        <f>SUM(I41:I44)</f>
        <v>197.16788377196053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98.98404953791416</v>
      </c>
      <c r="D48" s="13">
        <f>D24+D32+D40+D46</f>
        <v>2437.7000000000003</v>
      </c>
      <c r="E48" s="12">
        <f>SUM(E20:E46)/2</f>
        <v>0.99999999999999989</v>
      </c>
      <c r="F48" s="11">
        <f>I48/D48</f>
        <v>26.349999999999994</v>
      </c>
      <c r="G48" s="10"/>
      <c r="H48" s="9">
        <f>SUM(H20:H46)/2</f>
        <v>60816.649999999987</v>
      </c>
      <c r="I48" s="9">
        <f>SUM(I20:I46)/2</f>
        <v>64233.394999999997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2437.6999999999998</v>
      </c>
      <c r="E50" s="12">
        <f>D50/G2</f>
        <v>1</v>
      </c>
      <c r="F50" s="11">
        <f>I50/D50</f>
        <v>26.35</v>
      </c>
      <c r="G50" s="10"/>
      <c r="H50" s="9">
        <f>H48+H19</f>
        <v>60816.649999999987</v>
      </c>
      <c r="I50" s="9">
        <f>I48+I19</f>
        <v>64233.394999999997</v>
      </c>
      <c r="J50" s="106">
        <f>D50-G2</f>
        <v>0</v>
      </c>
      <c r="K50" s="8"/>
    </row>
    <row r="51" spans="1:11" ht="23.25" x14ac:dyDescent="0.35">
      <c r="A51" s="174" t="s">
        <v>585</v>
      </c>
      <c r="B51" s="169"/>
      <c r="C51" s="170"/>
      <c r="G51" s="7"/>
      <c r="H51" s="6"/>
      <c r="I51" s="6">
        <f>+I50/D50</f>
        <v>26.35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575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580</v>
      </c>
      <c r="D2" s="96" t="s">
        <v>3</v>
      </c>
      <c r="E2" s="95" t="s">
        <v>112</v>
      </c>
      <c r="F2" s="94" t="s">
        <v>5</v>
      </c>
      <c r="G2" s="93">
        <v>3530.1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64</v>
      </c>
      <c r="F3" s="88" t="s">
        <v>8</v>
      </c>
      <c r="G3" s="87">
        <v>25.53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55.157812499999999</v>
      </c>
      <c r="F4" s="81" t="s">
        <v>12</v>
      </c>
      <c r="G4" s="80">
        <f>G2*G3</f>
        <v>90123.453000000009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-6.952072900258921E-2</v>
      </c>
      <c r="F6" s="69" t="s">
        <v>16</v>
      </c>
      <c r="G6" s="68">
        <f>(I50-I19)/(D50-(SUM(D42:D44)+D19))</f>
        <v>32.69488590604027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25.5</v>
      </c>
      <c r="D10" s="30"/>
      <c r="E10" s="29" t="e">
        <f t="shared" ref="E10:E19" si="1">D10/$D$19</f>
        <v>#DIV/0!</v>
      </c>
      <c r="F10" s="28">
        <f t="shared" ref="F10:F18" si="2">C10-(C10*$E$6)</f>
        <v>27.272778589566023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26.6</v>
      </c>
      <c r="D11" s="30"/>
      <c r="E11" s="29" t="e">
        <f t="shared" si="1"/>
        <v>#DIV/0!</v>
      </c>
      <c r="F11" s="28">
        <f t="shared" si="2"/>
        <v>28.449251391468874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24.3</v>
      </c>
      <c r="D12" s="30"/>
      <c r="E12" s="29" t="e">
        <f t="shared" si="1"/>
        <v>#DIV/0!</v>
      </c>
      <c r="F12" s="28">
        <f t="shared" si="2"/>
        <v>25.98935371476292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26.6</v>
      </c>
      <c r="D13" s="30"/>
      <c r="E13" s="29" t="e">
        <f t="shared" si="1"/>
        <v>#DIV/0!</v>
      </c>
      <c r="F13" s="28">
        <f t="shared" si="2"/>
        <v>28.449251391468874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29.7</v>
      </c>
      <c r="D14" s="30"/>
      <c r="E14" s="29" t="e">
        <f t="shared" si="1"/>
        <v>#DIV/0!</v>
      </c>
      <c r="F14" s="28">
        <f t="shared" si="2"/>
        <v>31.764765651376898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24.5</v>
      </c>
      <c r="D15" s="30"/>
      <c r="E15" s="29" t="e">
        <f t="shared" si="1"/>
        <v>#DIV/0!</v>
      </c>
      <c r="F15" s="28">
        <f t="shared" si="2"/>
        <v>26.203257860563436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33.6</v>
      </c>
      <c r="D16" s="30"/>
      <c r="E16" s="29" t="e">
        <f t="shared" si="1"/>
        <v>#DIV/0!</v>
      </c>
      <c r="F16" s="28">
        <f t="shared" si="2"/>
        <v>35.935896494486997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49.4</v>
      </c>
      <c r="D17" s="30"/>
      <c r="E17" s="29" t="e">
        <f t="shared" si="1"/>
        <v>#DIV/0!</v>
      </c>
      <c r="F17" s="28">
        <f t="shared" si="2"/>
        <v>52.834324012727905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43.3</v>
      </c>
      <c r="D18" s="30"/>
      <c r="E18" s="29" t="e">
        <f t="shared" si="1"/>
        <v>#DIV/0!</v>
      </c>
      <c r="F18" s="28">
        <f t="shared" si="2"/>
        <v>46.310247565812112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64.2</v>
      </c>
      <c r="D21" s="30">
        <v>50.2</v>
      </c>
      <c r="E21" s="29">
        <f>D21/$D$48</f>
        <v>1.4220560324070141E-2</v>
      </c>
      <c r="F21" s="28">
        <f>C21-(C21*$E$6)</f>
        <v>68.663230801966236</v>
      </c>
      <c r="G21" s="27" t="str">
        <f>IF(C21&gt;=F21,"-","+")</f>
        <v>+</v>
      </c>
      <c r="H21" s="26">
        <f>C21*D21</f>
        <v>3222.84</v>
      </c>
      <c r="I21" s="26">
        <f>F21*D21</f>
        <v>3446.8941862587053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43.1</v>
      </c>
      <c r="D22" s="30">
        <v>104</v>
      </c>
      <c r="E22" s="29">
        <f>D22/$D$48</f>
        <v>2.9460921786918219E-2</v>
      </c>
      <c r="F22" s="28">
        <f>C22-(C22*$E$6)</f>
        <v>46.0963434200116</v>
      </c>
      <c r="G22" s="27" t="str">
        <f>IF(C22&gt;=F22,"-","+")</f>
        <v>+</v>
      </c>
      <c r="H22" s="26">
        <f>C22*D22</f>
        <v>4482.4000000000005</v>
      </c>
      <c r="I22" s="26">
        <f>F22*D22</f>
        <v>4794.0197156812064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39.299999999999997</v>
      </c>
      <c r="D23" s="30">
        <v>83.7</v>
      </c>
      <c r="E23" s="29">
        <f>D23/$D$48</f>
        <v>2.3710376476587067E-2</v>
      </c>
      <c r="F23" s="28">
        <f>C23-(C23*$E$6)</f>
        <v>42.03216464980175</v>
      </c>
      <c r="G23" s="27" t="str">
        <f>IF(C23&gt;=F23,"-","+")</f>
        <v>+</v>
      </c>
      <c r="H23" s="26">
        <f>C23*D23</f>
        <v>3289.41</v>
      </c>
      <c r="I23" s="26">
        <f>F23*D23</f>
        <v>3518.0921811884068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46.215426649852887</v>
      </c>
      <c r="D24" s="22">
        <f>SUM(D21:D23)</f>
        <v>237.89999999999998</v>
      </c>
      <c r="E24" s="21">
        <f>D24/$D$48</f>
        <v>6.7391858587575418E-2</v>
      </c>
      <c r="F24" s="20">
        <f>I24/D24</f>
        <v>49.428356801716355</v>
      </c>
      <c r="G24" s="19">
        <f>F24/C24-1</f>
        <v>6.9520729002589432E-2</v>
      </c>
      <c r="H24" s="18">
        <f>SUM(H21:H23)</f>
        <v>10994.650000000001</v>
      </c>
      <c r="I24" s="18">
        <f>SUM(I21:I23)</f>
        <v>11759.006083128319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34.299999999999997</v>
      </c>
      <c r="D26" s="30">
        <v>672</v>
      </c>
      <c r="E26" s="29">
        <f t="shared" ref="E26:E32" si="7">D26/$D$48</f>
        <v>0.1903628792385485</v>
      </c>
      <c r="F26" s="28">
        <f t="shared" ref="F26:F31" si="8">C26-(C26*$E$6)</f>
        <v>36.684561004788804</v>
      </c>
      <c r="G26" s="27" t="str">
        <f t="shared" ref="G26:G31" si="9">IF(C26&gt;=F26,"-","+")</f>
        <v>+</v>
      </c>
      <c r="H26" s="26">
        <f t="shared" ref="H26:H31" si="10">C26*D26</f>
        <v>23049.599999999999</v>
      </c>
      <c r="I26" s="26">
        <f t="shared" ref="I26:I31" si="11">F26*D26</f>
        <v>24652.024995218075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30.5</v>
      </c>
      <c r="D27" s="30">
        <v>479.4</v>
      </c>
      <c r="E27" s="29">
        <f t="shared" si="7"/>
        <v>0.13580351831392878</v>
      </c>
      <c r="F27" s="28">
        <f t="shared" si="8"/>
        <v>32.620382234578969</v>
      </c>
      <c r="G27" s="27" t="str">
        <f t="shared" si="9"/>
        <v>+</v>
      </c>
      <c r="H27" s="26">
        <f t="shared" si="10"/>
        <v>14621.699999999999</v>
      </c>
      <c r="I27" s="26">
        <f t="shared" si="11"/>
        <v>15638.211243257158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30.5</v>
      </c>
      <c r="D28" s="30">
        <v>328</v>
      </c>
      <c r="E28" s="29">
        <f t="shared" si="7"/>
        <v>9.2915214866434379E-2</v>
      </c>
      <c r="F28" s="28">
        <f t="shared" si="8"/>
        <v>32.620382234578969</v>
      </c>
      <c r="G28" s="27" t="str">
        <f t="shared" si="9"/>
        <v>+</v>
      </c>
      <c r="H28" s="26">
        <f t="shared" si="10"/>
        <v>10004</v>
      </c>
      <c r="I28" s="26">
        <f t="shared" si="11"/>
        <v>10699.485372941901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29.5</v>
      </c>
      <c r="D29" s="30">
        <v>309.8</v>
      </c>
      <c r="E29" s="29">
        <f t="shared" si="7"/>
        <v>8.7759553553723696E-2</v>
      </c>
      <c r="F29" s="28">
        <f t="shared" si="8"/>
        <v>31.550861505576382</v>
      </c>
      <c r="G29" s="27" t="str">
        <f t="shared" si="9"/>
        <v>+</v>
      </c>
      <c r="H29" s="26">
        <f t="shared" si="10"/>
        <v>9139.1</v>
      </c>
      <c r="I29" s="26">
        <f t="shared" si="11"/>
        <v>9774.4568944275634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29.5</v>
      </c>
      <c r="D30" s="30">
        <v>181.4</v>
      </c>
      <c r="E30" s="29">
        <f t="shared" si="7"/>
        <v>5.1386646270643897E-2</v>
      </c>
      <c r="F30" s="28">
        <f t="shared" si="8"/>
        <v>31.550861505576382</v>
      </c>
      <c r="G30" s="27" t="str">
        <f t="shared" si="9"/>
        <v>+</v>
      </c>
      <c r="H30" s="26">
        <f t="shared" si="10"/>
        <v>5351.3</v>
      </c>
      <c r="I30" s="26">
        <f t="shared" si="11"/>
        <v>5723.326277111556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</v>
      </c>
      <c r="D31" s="30">
        <v>83.2</v>
      </c>
      <c r="E31" s="29">
        <f t="shared" si="7"/>
        <v>2.3568737429534574E-2</v>
      </c>
      <c r="F31" s="28">
        <f t="shared" si="8"/>
        <v>32.085621870077674</v>
      </c>
      <c r="G31" s="27" t="str">
        <f t="shared" si="9"/>
        <v>+</v>
      </c>
      <c r="H31" s="26">
        <f t="shared" si="10"/>
        <v>2496</v>
      </c>
      <c r="I31" s="26">
        <f t="shared" si="11"/>
        <v>2669.5237395904624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31.483932223196021</v>
      </c>
      <c r="D32" s="22">
        <f>SUM(D26:D31)</f>
        <v>2053.8000000000002</v>
      </c>
      <c r="E32" s="21">
        <f t="shared" si="7"/>
        <v>0.58179654967281391</v>
      </c>
      <c r="F32" s="20">
        <f>I32/D32</f>
        <v>33.67271814322072</v>
      </c>
      <c r="G32" s="19">
        <f>F32/C32-1</f>
        <v>6.952072900258921E-2</v>
      </c>
      <c r="H32" s="18">
        <f>SUM(H26:H31)</f>
        <v>64661.7</v>
      </c>
      <c r="I32" s="18">
        <f>SUM(I26:I31)</f>
        <v>69157.028522546723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v>461.2</v>
      </c>
      <c r="E34" s="29">
        <f t="shared" ref="E34:E40" si="13">D34/$D$48</f>
        <v>0.13064785700121809</v>
      </c>
      <c r="F34" s="28">
        <f t="shared" ref="F34:F39" si="14">C34-(C34*$E$6)</f>
        <v>19.251373122046605</v>
      </c>
      <c r="G34" s="27" t="str">
        <f t="shared" ref="G34:G39" si="15">IF(C34&gt;=F34,"-","+")</f>
        <v>+</v>
      </c>
      <c r="H34" s="26">
        <f t="shared" ref="H34:H39" si="16">C34*D34</f>
        <v>8301.6</v>
      </c>
      <c r="I34" s="26">
        <f t="shared" ref="I34:I39" si="17">F34*D34</f>
        <v>8878.7332838878938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/>
      <c r="E35" s="29">
        <f t="shared" si="13"/>
        <v>0</v>
      </c>
      <c r="F35" s="28">
        <f t="shared" si="14"/>
        <v>14.86633813313599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11.87168009192874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29.5</v>
      </c>
      <c r="D37" s="30"/>
      <c r="E37" s="29">
        <f t="shared" si="13"/>
        <v>0</v>
      </c>
      <c r="F37" s="28">
        <f t="shared" si="14"/>
        <v>31.550861505576382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29.5</v>
      </c>
      <c r="D38" s="30"/>
      <c r="E38" s="29">
        <f t="shared" si="13"/>
        <v>0</v>
      </c>
      <c r="F38" s="28">
        <f t="shared" si="14"/>
        <v>31.550861505576382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30.5</v>
      </c>
      <c r="D39" s="30"/>
      <c r="E39" s="29">
        <f t="shared" si="13"/>
        <v>0</v>
      </c>
      <c r="F39" s="28">
        <f t="shared" si="14"/>
        <v>32.620382234578969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</v>
      </c>
      <c r="D40" s="22">
        <f>SUM(D34:D39)</f>
        <v>461.2</v>
      </c>
      <c r="E40" s="113">
        <f t="shared" si="13"/>
        <v>0.13064785700121809</v>
      </c>
      <c r="F40" s="20">
        <f>I40/D40</f>
        <v>19.251373122046605</v>
      </c>
      <c r="G40" s="19">
        <f>F40/C40-1</f>
        <v>6.952072900258921E-2</v>
      </c>
      <c r="H40" s="18">
        <f>SUM(H34:H39)</f>
        <v>8301.6</v>
      </c>
      <c r="I40" s="18">
        <f>SUM(I34:I39)</f>
        <v>8878.7332838878938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752</v>
      </c>
      <c r="E42" s="107">
        <f>D42/$D$48</f>
        <v>0.21302512676694713</v>
      </c>
      <c r="F42" s="28">
        <f>C42-(C42*$E$6)</f>
        <v>0.42780829160103573</v>
      </c>
      <c r="G42" s="27" t="str">
        <f>IF(C42&gt;=F42,"-","+")</f>
        <v>+</v>
      </c>
      <c r="H42" s="26">
        <f>C42*D42</f>
        <v>300.8</v>
      </c>
      <c r="I42" s="26">
        <f>F42*D42</f>
        <v>321.71183528397887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16.3</v>
      </c>
      <c r="E43" s="107">
        <f>D43/$D$48</f>
        <v>4.6174329339112212E-3</v>
      </c>
      <c r="F43" s="28">
        <f>C43-(C43*$E$6)</f>
        <v>0.42780829160103573</v>
      </c>
      <c r="G43" s="27" t="str">
        <f>IF(C43&gt;=F43,"-","+")</f>
        <v>+</v>
      </c>
      <c r="H43" s="26">
        <f>C43*D43</f>
        <v>6.5200000000000005</v>
      </c>
      <c r="I43" s="26">
        <f>F43*D43</f>
        <v>6.9732751530968828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5.3</v>
      </c>
      <c r="E44" s="107">
        <f>D44/$D$48</f>
        <v>1.5013738987564092E-3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3.6</v>
      </c>
      <c r="E45" s="107">
        <f>D45/$D$48</f>
        <v>1.0198011387779384E-3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0.39541945445187854</v>
      </c>
      <c r="D46" s="22">
        <f>SUM(D41:D45)</f>
        <v>777.19999999999993</v>
      </c>
      <c r="E46" s="113">
        <f>D46/$D$48</f>
        <v>0.22016373473839268</v>
      </c>
      <c r="F46" s="20">
        <f>I46/D46</f>
        <v>0.42290930318717934</v>
      </c>
      <c r="G46" s="19">
        <f>F46/C46-1</f>
        <v>6.9520729002589432E-2</v>
      </c>
      <c r="H46" s="18">
        <f>SUM(H41:H44)</f>
        <v>307.32</v>
      </c>
      <c r="I46" s="18">
        <f>SUM(I41:I44)</f>
        <v>328.68511043707576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96.094778327500791</v>
      </c>
      <c r="D48" s="13">
        <f>D24+D32+D40+D46</f>
        <v>3530.1</v>
      </c>
      <c r="E48" s="12">
        <f>SUM(E20:E46)/2</f>
        <v>1.0000000000000002</v>
      </c>
      <c r="F48" s="11">
        <f>I48/D48</f>
        <v>25.530000000000005</v>
      </c>
      <c r="G48" s="10"/>
      <c r="H48" s="9">
        <f>SUM(H20:H46)/2</f>
        <v>84265.27</v>
      </c>
      <c r="I48" s="9">
        <f>SUM(I20:I46)/2</f>
        <v>90123.453000000009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3530.1</v>
      </c>
      <c r="E50" s="12">
        <f>D50/G2</f>
        <v>1</v>
      </c>
      <c r="F50" s="11">
        <f>I50/D50</f>
        <v>25.530000000000005</v>
      </c>
      <c r="G50" s="10"/>
      <c r="H50" s="9">
        <f>H48+H19</f>
        <v>84265.27</v>
      </c>
      <c r="I50" s="9">
        <f>I48+I19</f>
        <v>90123.453000000009</v>
      </c>
      <c r="J50" s="106">
        <f>D50-G2</f>
        <v>0</v>
      </c>
      <c r="K50" s="8"/>
    </row>
    <row r="51" spans="1:11" ht="23.25" x14ac:dyDescent="0.35">
      <c r="A51" s="174" t="s">
        <v>586</v>
      </c>
      <c r="B51" s="169"/>
      <c r="C51" s="170"/>
      <c r="G51" s="7"/>
      <c r="H51" s="6"/>
      <c r="I51" s="6">
        <f>+I50/D50</f>
        <v>25.530000000000005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580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587</v>
      </c>
      <c r="D2" s="96" t="s">
        <v>3</v>
      </c>
      <c r="E2" s="95" t="s">
        <v>107</v>
      </c>
      <c r="F2" s="94" t="s">
        <v>5</v>
      </c>
      <c r="G2" s="93">
        <v>11445.5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164</v>
      </c>
      <c r="F3" s="88" t="s">
        <v>8</v>
      </c>
      <c r="G3" s="87">
        <v>27.75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69.78963414634147</v>
      </c>
      <c r="F4" s="81" t="s">
        <v>12</v>
      </c>
      <c r="G4" s="80">
        <f>G2*G3</f>
        <v>317612.625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1.2637780672045906E-2</v>
      </c>
      <c r="F6" s="69" t="s">
        <v>16</v>
      </c>
      <c r="G6" s="68">
        <f>(I50-I19)/(D50-(SUM(D42:D44)+D19))</f>
        <v>32.474996442394627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>
        <f t="shared" ref="E10:E19" si="1">D10/$D$19</f>
        <v>0</v>
      </c>
      <c r="F10" s="28">
        <f t="shared" ref="F10:F18" si="2">C10-(C10*$E$6)</f>
        <v>27.448669697317126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30"/>
      <c r="E11" s="29">
        <f t="shared" si="1"/>
        <v>0</v>
      </c>
      <c r="F11" s="28">
        <f t="shared" si="2"/>
        <v>28.534768138577871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/>
      <c r="E12" s="29">
        <f t="shared" si="1"/>
        <v>0</v>
      </c>
      <c r="F12" s="28">
        <f t="shared" si="2"/>
        <v>26.066362590257988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30"/>
      <c r="E13" s="29">
        <f t="shared" si="1"/>
        <v>0</v>
      </c>
      <c r="F13" s="28">
        <f t="shared" si="2"/>
        <v>28.534768138577871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30"/>
      <c r="E14" s="29">
        <f t="shared" si="1"/>
        <v>0</v>
      </c>
      <c r="F14" s="28">
        <f t="shared" si="2"/>
        <v>31.891799684292913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/>
      <c r="E15" s="29">
        <f t="shared" si="1"/>
        <v>0</v>
      </c>
      <c r="F15" s="28">
        <f t="shared" si="2"/>
        <v>26.263835034123581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>
        <v>931.5</v>
      </c>
      <c r="E16" s="29">
        <f t="shared" si="1"/>
        <v>1</v>
      </c>
      <c r="F16" s="28">
        <f t="shared" si="2"/>
        <v>36.038721005470322</v>
      </c>
      <c r="G16" s="27" t="str">
        <f t="shared" si="3"/>
        <v>-</v>
      </c>
      <c r="H16" s="34">
        <f t="shared" si="4"/>
        <v>33999.75</v>
      </c>
      <c r="I16" s="34">
        <f t="shared" si="5"/>
        <v>33570.068616595607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53.7</v>
      </c>
      <c r="D17" s="30"/>
      <c r="E17" s="29">
        <f t="shared" si="1"/>
        <v>0</v>
      </c>
      <c r="F17" s="28">
        <f t="shared" si="2"/>
        <v>53.021351177911136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30"/>
      <c r="E18" s="29">
        <f t="shared" si="1"/>
        <v>0</v>
      </c>
      <c r="F18" s="28">
        <f t="shared" si="2"/>
        <v>46.406024308413841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36.5</v>
      </c>
      <c r="D19" s="49">
        <f>SUM(D10:D18)</f>
        <v>931.5</v>
      </c>
      <c r="E19" s="48">
        <f t="shared" si="1"/>
        <v>1</v>
      </c>
      <c r="F19" s="47">
        <f>I19/D19</f>
        <v>36.038721005470322</v>
      </c>
      <c r="G19" s="46">
        <f>F19/C19-1</f>
        <v>-1.2637780672046017E-2</v>
      </c>
      <c r="H19" s="9">
        <f>SUM(H10:H18)</f>
        <v>33999.75</v>
      </c>
      <c r="I19" s="9">
        <f>SUM(I10:I18)</f>
        <v>33570.068616595607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69.8</v>
      </c>
      <c r="D21" s="30"/>
      <c r="E21" s="29">
        <f>D21/$D$48</f>
        <v>0</v>
      </c>
      <c r="F21" s="28">
        <f>C21-(C21*$E$6)</f>
        <v>68.91788290909119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46.9</v>
      </c>
      <c r="D22" s="30">
        <v>324.89999999999998</v>
      </c>
      <c r="E22" s="29">
        <f>D22/$D$48</f>
        <v>3.090165493627544E-2</v>
      </c>
      <c r="F22" s="28">
        <f>C22-(C22*$E$6)</f>
        <v>46.307288086481044</v>
      </c>
      <c r="G22" s="27" t="str">
        <f>IF(C22&gt;=F22,"-","+")</f>
        <v>-</v>
      </c>
      <c r="H22" s="26">
        <f>C22*D22</f>
        <v>15237.809999999998</v>
      </c>
      <c r="I22" s="26">
        <f>F22*D22</f>
        <v>15045.23789929769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/>
      <c r="E23" s="29">
        <f>D23/$D$48</f>
        <v>0</v>
      </c>
      <c r="F23" s="28">
        <f>C23-(C23*$E$6)</f>
        <v>42.160366765303642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46.9</v>
      </c>
      <c r="D24" s="22">
        <f>SUM(D21:D23)</f>
        <v>324.89999999999998</v>
      </c>
      <c r="E24" s="21">
        <f>D24/$D$48</f>
        <v>3.090165493627544E-2</v>
      </c>
      <c r="F24" s="20">
        <f>I24/D24</f>
        <v>46.307288086481044</v>
      </c>
      <c r="G24" s="19">
        <f>F24/C24-1</f>
        <v>-1.2637780672045906E-2</v>
      </c>
      <c r="H24" s="18">
        <f>SUM(H21:H23)</f>
        <v>15237.809999999998</v>
      </c>
      <c r="I24" s="18">
        <f>SUM(I21:I23)</f>
        <v>15045.23789929769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>
        <f>94.3+607+1991.2</f>
        <v>2692.5</v>
      </c>
      <c r="E26" s="29">
        <f t="shared" ref="E26:E32" si="7">D26/$D$48</f>
        <v>0.2560871219326612</v>
      </c>
      <c r="F26" s="28">
        <f t="shared" ref="F26:F31" si="8">C26-(C26*$E$6)</f>
        <v>36.729874558999896</v>
      </c>
      <c r="G26" s="27" t="str">
        <f t="shared" ref="G26:G31" si="9">IF(C26&gt;=F26,"-","+")</f>
        <v>-</v>
      </c>
      <c r="H26" s="26">
        <f t="shared" ref="H26:H31" si="10">C26*D26</f>
        <v>100161.00000000001</v>
      </c>
      <c r="I26" s="26">
        <f t="shared" ref="I26:I31" si="11">F26*D26</f>
        <v>98895.187250107221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1539</v>
      </c>
      <c r="E27" s="29">
        <f t="shared" si="7"/>
        <v>0.14637626022446262</v>
      </c>
      <c r="F27" s="28">
        <f t="shared" si="8"/>
        <v>32.780425681688079</v>
      </c>
      <c r="G27" s="27" t="str">
        <f t="shared" si="9"/>
        <v>-</v>
      </c>
      <c r="H27" s="26">
        <f t="shared" si="10"/>
        <v>51094.8</v>
      </c>
      <c r="I27" s="26">
        <f t="shared" si="11"/>
        <v>50449.075124117953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1052</v>
      </c>
      <c r="E28" s="29">
        <f t="shared" si="7"/>
        <v>0.10005706676811869</v>
      </c>
      <c r="F28" s="28">
        <f t="shared" si="8"/>
        <v>32.780425681688079</v>
      </c>
      <c r="G28" s="27" t="str">
        <f t="shared" si="9"/>
        <v>-</v>
      </c>
      <c r="H28" s="26">
        <f t="shared" si="10"/>
        <v>34926.400000000001</v>
      </c>
      <c r="I28" s="26">
        <f t="shared" si="11"/>
        <v>34485.007817135862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954</v>
      </c>
      <c r="E29" s="29">
        <f t="shared" si="7"/>
        <v>9.0736161308731217E-2</v>
      </c>
      <c r="F29" s="28">
        <f t="shared" si="8"/>
        <v>31.694327240427327</v>
      </c>
      <c r="G29" s="27" t="str">
        <f t="shared" si="9"/>
        <v>-</v>
      </c>
      <c r="H29" s="26">
        <f t="shared" si="10"/>
        <v>30623.4</v>
      </c>
      <c r="I29" s="26">
        <f t="shared" si="11"/>
        <v>30236.388187367669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816</v>
      </c>
      <c r="E30" s="29">
        <f t="shared" si="7"/>
        <v>7.761080464143047E-2</v>
      </c>
      <c r="F30" s="28">
        <f t="shared" si="8"/>
        <v>31.694327240427327</v>
      </c>
      <c r="G30" s="27" t="str">
        <f t="shared" si="9"/>
        <v>-</v>
      </c>
      <c r="H30" s="26">
        <f t="shared" si="10"/>
        <v>26193.600000000002</v>
      </c>
      <c r="I30" s="26">
        <f t="shared" si="11"/>
        <v>25862.5710281887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30">
        <v>158.6</v>
      </c>
      <c r="E31" s="29">
        <f t="shared" si="7"/>
        <v>1.5084649039376069E-2</v>
      </c>
      <c r="F31" s="28">
        <f t="shared" si="8"/>
        <v>32.188008350091302</v>
      </c>
      <c r="G31" s="27" t="str">
        <f t="shared" si="9"/>
        <v>-</v>
      </c>
      <c r="H31" s="26">
        <f t="shared" si="10"/>
        <v>5170.3599999999997</v>
      </c>
      <c r="I31" s="26">
        <f t="shared" si="11"/>
        <v>5105.0181243244806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34.410166248388123</v>
      </c>
      <c r="D32" s="22">
        <f>SUM(D26:D31)</f>
        <v>7212.1</v>
      </c>
      <c r="E32" s="21">
        <f t="shared" si="7"/>
        <v>0.68595206391478036</v>
      </c>
      <c r="F32" s="20">
        <f>I32/D32</f>
        <v>33.975298114452357</v>
      </c>
      <c r="G32" s="19">
        <f>F32/C32-1</f>
        <v>-1.2637780672045906E-2</v>
      </c>
      <c r="H32" s="18">
        <f>SUM(H26:H31)</f>
        <v>248169.56</v>
      </c>
      <c r="I32" s="18">
        <f>SUM(I26:I31)</f>
        <v>245033.24753124188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1155.3</v>
      </c>
      <c r="E34" s="29">
        <f t="shared" ref="E34:E40" si="13">D34/$D$48</f>
        <v>0.10988206201255468</v>
      </c>
      <c r="F34" s="28">
        <f t="shared" ref="F34:F39" si="14">C34-(C34*$E$6)</f>
        <v>19.3522994988279</v>
      </c>
      <c r="G34" s="27" t="str">
        <f t="shared" ref="G34:G39" si="15">IF(C34&gt;=F34,"-","+")</f>
        <v>-</v>
      </c>
      <c r="H34" s="26">
        <f t="shared" ref="H34:H39" si="16">C34*D34</f>
        <v>22643.88</v>
      </c>
      <c r="I34" s="26">
        <f t="shared" ref="I34:I39" si="17">F34*D34</f>
        <v>22357.711610995873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>
        <v>49.7</v>
      </c>
      <c r="E35" s="29">
        <f t="shared" si="13"/>
        <v>4.7270306258322238E-3</v>
      </c>
      <c r="F35" s="28">
        <f t="shared" si="14"/>
        <v>14.909169511852106</v>
      </c>
      <c r="G35" s="27" t="str">
        <f t="shared" si="15"/>
        <v>-</v>
      </c>
      <c r="H35" s="26">
        <f t="shared" si="16"/>
        <v>750.47</v>
      </c>
      <c r="I35" s="26">
        <f t="shared" si="17"/>
        <v>740.98572473904972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11.947082853868244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31.694327240427327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31.694327240427327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32.780425681688079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19.414398340248965</v>
      </c>
      <c r="D40" s="22">
        <f>SUM(D34:D39)</f>
        <v>1205</v>
      </c>
      <c r="E40" s="113">
        <f t="shared" si="13"/>
        <v>0.11460909263838691</v>
      </c>
      <c r="F40" s="20">
        <f>I40/D40</f>
        <v>19.169043432145166</v>
      </c>
      <c r="G40" s="19">
        <f>F40/C40-1</f>
        <v>-1.2637780672045906E-2</v>
      </c>
      <c r="H40" s="18">
        <f>SUM(H34:H39)</f>
        <v>23394.350000000002</v>
      </c>
      <c r="I40" s="18">
        <f>SUM(I34:I39)</f>
        <v>23098.697335734923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1679</v>
      </c>
      <c r="E42" s="107">
        <f>D42/$D$48</f>
        <v>0.15969183945215903</v>
      </c>
      <c r="F42" s="28">
        <f>C42-(C42*$E$6)</f>
        <v>0.49368110966397705</v>
      </c>
      <c r="G42" s="27" t="str">
        <f>IF(C42&gt;=F42,"-","+")</f>
        <v>-</v>
      </c>
      <c r="H42" s="26">
        <f>C42*D42</f>
        <v>839.5</v>
      </c>
      <c r="I42" s="26">
        <f>F42*D42</f>
        <v>828.89058312581744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73.900000000000006</v>
      </c>
      <c r="E43" s="107">
        <f>D43/$D$48</f>
        <v>7.0287236066197455E-3</v>
      </c>
      <c r="F43" s="28">
        <f>C43-(C43*$E$6)</f>
        <v>0.49368110966397705</v>
      </c>
      <c r="G43" s="27" t="str">
        <f>IF(C43&gt;=F43,"-","+")</f>
        <v>-</v>
      </c>
      <c r="H43" s="26">
        <f>C43*D43</f>
        <v>36.950000000000003</v>
      </c>
      <c r="I43" s="26">
        <f>F43*D43</f>
        <v>36.483034004167905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14.6</v>
      </c>
      <c r="E44" s="107">
        <f>D44/$D$48</f>
        <v>1.3886246908883394E-3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</v>
      </c>
      <c r="E45" s="107">
        <f>D45/$D$48</f>
        <v>4.280007608902416E-4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0.49461060948081265</v>
      </c>
      <c r="D46" s="22">
        <f>SUM(D41:D45)</f>
        <v>1772</v>
      </c>
      <c r="E46" s="113">
        <f>D46/$D$48</f>
        <v>0.16853718851055735</v>
      </c>
      <c r="F46" s="20">
        <f>I46/D46</f>
        <v>0.48835982908012721</v>
      </c>
      <c r="G46" s="19">
        <f>F46/C46-1</f>
        <v>-1.2637780672045906E-2</v>
      </c>
      <c r="H46" s="18">
        <f>SUM(H41:H44)</f>
        <v>876.45</v>
      </c>
      <c r="I46" s="18">
        <f>SUM(I41:I44)</f>
        <v>865.3736171299854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101.21917519811791</v>
      </c>
      <c r="D48" s="13">
        <f>D24+D32+D40+D46</f>
        <v>10514</v>
      </c>
      <c r="E48" s="12">
        <f>SUM(E20:E46)/2</f>
        <v>1</v>
      </c>
      <c r="F48" s="11">
        <f>I48/D48</f>
        <v>27.015651168290336</v>
      </c>
      <c r="G48" s="10"/>
      <c r="H48" s="9">
        <f>SUM(H20:H46)/2</f>
        <v>287678.16999999993</v>
      </c>
      <c r="I48" s="9">
        <f>SUM(I20:I46)/2</f>
        <v>284042.55638340459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11445.5</v>
      </c>
      <c r="E50" s="12">
        <f>D50/G2</f>
        <v>1</v>
      </c>
      <c r="F50" s="11">
        <f>I50/D50</f>
        <v>27.750000000000014</v>
      </c>
      <c r="G50" s="10"/>
      <c r="H50" s="9">
        <f>H48+H19</f>
        <v>321677.91999999993</v>
      </c>
      <c r="I50" s="9">
        <f>I48+I19</f>
        <v>317612.62500000017</v>
      </c>
      <c r="J50" s="106">
        <f>D50-G2</f>
        <v>0</v>
      </c>
      <c r="K50" s="8"/>
    </row>
    <row r="51" spans="1:11" ht="23.25" x14ac:dyDescent="0.35">
      <c r="A51" s="174" t="s">
        <v>588</v>
      </c>
      <c r="B51" s="169"/>
      <c r="C51" s="170"/>
      <c r="G51" s="7"/>
      <c r="H51" s="6"/>
      <c r="I51" s="6">
        <f>+I50/D50</f>
        <v>27.750000000000014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580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587</v>
      </c>
      <c r="D2" s="96" t="s">
        <v>3</v>
      </c>
      <c r="E2" s="95" t="s">
        <v>112</v>
      </c>
      <c r="F2" s="94" t="s">
        <v>5</v>
      </c>
      <c r="G2" s="93">
        <v>5396.6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88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61.325000000000003</v>
      </c>
      <c r="F4" s="81" t="s">
        <v>12</v>
      </c>
      <c r="G4" s="80">
        <f>G2*G3</f>
        <v>141660.75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-3.0819116288675064E-2</v>
      </c>
      <c r="F6" s="69" t="s">
        <v>16</v>
      </c>
      <c r="G6" s="68">
        <f>(I50-I19)/(D50-(SUM(D42:D44)+D19))</f>
        <v>31.859650503778333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 t="e">
        <f t="shared" ref="E10:E19" si="1">D10/$D$19</f>
        <v>#DIV/0!</v>
      </c>
      <c r="F10" s="28">
        <f t="shared" ref="F10:F18" si="2">C10-(C10*$E$6)</f>
        <v>27.110542758392153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 t="e">
        <f t="shared" si="1"/>
        <v>#DIV/0!</v>
      </c>
      <c r="F11" s="28">
        <f t="shared" si="2"/>
        <v>28.141361874680829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 t="e">
        <f t="shared" si="1"/>
        <v>#DIV/0!</v>
      </c>
      <c r="F12" s="28">
        <f t="shared" si="2"/>
        <v>25.770477907216875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 t="e">
        <f t="shared" si="1"/>
        <v>#DIV/0!</v>
      </c>
      <c r="F13" s="28">
        <f t="shared" si="2"/>
        <v>28.141361874680829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 t="e">
        <f t="shared" si="1"/>
        <v>#DIV/0!</v>
      </c>
      <c r="F14" s="28">
        <f t="shared" si="2"/>
        <v>31.543064958433458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25.976641730474611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 t="e">
        <f t="shared" si="1"/>
        <v>#DIV/0!</v>
      </c>
      <c r="F16" s="28">
        <f t="shared" si="2"/>
        <v>35.563259511959288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 t="e">
        <f t="shared" si="1"/>
        <v>#DIV/0!</v>
      </c>
      <c r="F17" s="28">
        <f t="shared" si="2"/>
        <v>52.365611107464687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 t="e">
        <f t="shared" si="1"/>
        <v>#DIV/0!</v>
      </c>
      <c r="F18" s="28">
        <f t="shared" si="2"/>
        <v>45.871450674846038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65.7</v>
      </c>
      <c r="E21" s="29">
        <f>D21/$D$48</f>
        <v>1.2174331986806508E-2</v>
      </c>
      <c r="F21" s="28">
        <f>C21-(C21*$E$6)</f>
        <v>68.034061675052556</v>
      </c>
      <c r="G21" s="27" t="str">
        <f>IF(C21&gt;=F21,"-","+")</f>
        <v>+</v>
      </c>
      <c r="H21" s="26">
        <f>C21*D21</f>
        <v>4336.2</v>
      </c>
      <c r="I21" s="26">
        <f>F21*D21</f>
        <v>4469.8378520509532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158.1</v>
      </c>
      <c r="E22" s="29">
        <f>D22/$D$48</f>
        <v>2.9296223548159951E-2</v>
      </c>
      <c r="F22" s="28">
        <f>C22-(C22*$E$6)</f>
        <v>45.665286851588306</v>
      </c>
      <c r="G22" s="27" t="str">
        <f>IF(C22&gt;=F22,"-","+")</f>
        <v>+</v>
      </c>
      <c r="H22" s="26">
        <f>C22*D22</f>
        <v>7003.829999999999</v>
      </c>
      <c r="I22" s="26">
        <f>F22*D22</f>
        <v>7219.6818512361106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139.6</v>
      </c>
      <c r="E23" s="29">
        <f>D23/$D$48</f>
        <v>2.5868139198754768E-2</v>
      </c>
      <c r="F23" s="28">
        <f>C23-(C23*$E$6)</f>
        <v>41.645092298062472</v>
      </c>
      <c r="G23" s="27" t="str">
        <f>IF(C23&gt;=F23,"-","+")</f>
        <v>+</v>
      </c>
      <c r="H23" s="26">
        <f>C23*D23</f>
        <v>5639.8399999999992</v>
      </c>
      <c r="I23" s="26">
        <f>F23*D23</f>
        <v>5813.6548848095208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46.725013758943312</v>
      </c>
      <c r="D24" s="22">
        <f>SUM(D21:D23)</f>
        <v>363.4</v>
      </c>
      <c r="E24" s="21">
        <f>D24/$D$48</f>
        <v>6.7338694733721227E-2</v>
      </c>
      <c r="F24" s="20">
        <f>I24/D24</f>
        <v>48.165037391570124</v>
      </c>
      <c r="G24" s="19">
        <f>F24/C24-1</f>
        <v>3.0819116288675064E-2</v>
      </c>
      <c r="H24" s="18">
        <f>SUM(H21:H23)</f>
        <v>16979.87</v>
      </c>
      <c r="I24" s="18">
        <f>SUM(I21:I23)</f>
        <v>17503.174588096583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f>216+840</f>
        <v>1056</v>
      </c>
      <c r="E26" s="29">
        <f t="shared" ref="E26:E32" si="7">D26/$D$48</f>
        <v>0.1956787607011822</v>
      </c>
      <c r="F26" s="28">
        <f t="shared" ref="F26:F31" si="8">C26-(C26*$E$6)</f>
        <v>36.284832893361369</v>
      </c>
      <c r="G26" s="27" t="str">
        <f t="shared" ref="G26:G31" si="9">IF(C26&gt;=F26,"-","+")</f>
        <v>+</v>
      </c>
      <c r="H26" s="26">
        <f t="shared" ref="H26:H31" si="10">C26*D26</f>
        <v>37171.200000000004</v>
      </c>
      <c r="I26" s="26">
        <f t="shared" ref="I26:I31" si="11">F26*D26</f>
        <v>38316.783535389608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775.1</v>
      </c>
      <c r="E27" s="29">
        <f t="shared" si="7"/>
        <v>0.14362746914724084</v>
      </c>
      <c r="F27" s="28">
        <f t="shared" si="8"/>
        <v>32.367720251464398</v>
      </c>
      <c r="G27" s="27" t="str">
        <f t="shared" si="9"/>
        <v>+</v>
      </c>
      <c r="H27" s="26">
        <f t="shared" si="10"/>
        <v>24338.14</v>
      </c>
      <c r="I27" s="26">
        <f t="shared" si="11"/>
        <v>25088.219966910056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487.4</v>
      </c>
      <c r="E28" s="29">
        <f t="shared" si="7"/>
        <v>9.0316124967572159E-2</v>
      </c>
      <c r="F28" s="28">
        <f t="shared" si="8"/>
        <v>32.367720251464398</v>
      </c>
      <c r="G28" s="27" t="str">
        <f t="shared" si="9"/>
        <v>+</v>
      </c>
      <c r="H28" s="26">
        <f t="shared" si="10"/>
        <v>15304.359999999999</v>
      </c>
      <c r="I28" s="26">
        <f t="shared" si="11"/>
        <v>15776.026850563747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456</v>
      </c>
      <c r="E29" s="29">
        <f t="shared" si="7"/>
        <v>8.4497646666419596E-2</v>
      </c>
      <c r="F29" s="28">
        <f t="shared" si="8"/>
        <v>31.233819223546856</v>
      </c>
      <c r="G29" s="27" t="str">
        <f t="shared" si="9"/>
        <v>+</v>
      </c>
      <c r="H29" s="26">
        <f t="shared" si="10"/>
        <v>13816.800000000001</v>
      </c>
      <c r="I29" s="26">
        <f t="shared" si="11"/>
        <v>14242.621565937367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382.2</v>
      </c>
      <c r="E30" s="29">
        <f t="shared" si="7"/>
        <v>7.0822369640143781E-2</v>
      </c>
      <c r="F30" s="28">
        <f t="shared" si="8"/>
        <v>31.233819223546856</v>
      </c>
      <c r="G30" s="27" t="str">
        <f t="shared" si="9"/>
        <v>+</v>
      </c>
      <c r="H30" s="26">
        <f t="shared" si="10"/>
        <v>11580.66</v>
      </c>
      <c r="I30" s="26">
        <f t="shared" si="11"/>
        <v>11937.565707239608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85</v>
      </c>
      <c r="E31" s="29">
        <f t="shared" si="7"/>
        <v>1.5750657821591373E-2</v>
      </c>
      <c r="F31" s="28">
        <f t="shared" si="8"/>
        <v>31.749228781691194</v>
      </c>
      <c r="G31" s="27" t="str">
        <f t="shared" si="9"/>
        <v>+</v>
      </c>
      <c r="H31" s="26">
        <f t="shared" si="10"/>
        <v>2618</v>
      </c>
      <c r="I31" s="26">
        <f t="shared" si="11"/>
        <v>2698.6844464437513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32.337711694481293</v>
      </c>
      <c r="D32" s="22">
        <f>SUM(D26:D31)</f>
        <v>3241.7</v>
      </c>
      <c r="E32" s="21">
        <f t="shared" si="7"/>
        <v>0.60069302894415</v>
      </c>
      <c r="F32" s="20">
        <f>I32/D32</f>
        <v>33.334331391703167</v>
      </c>
      <c r="G32" s="19">
        <f>F32/C32-1</f>
        <v>3.0819116288675286E-2</v>
      </c>
      <c r="H32" s="18">
        <f>SUM(H26:H31)</f>
        <v>104829.16</v>
      </c>
      <c r="I32" s="18">
        <f>SUM(I26:I31)</f>
        <v>108059.90207248414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785.1</v>
      </c>
      <c r="E34" s="29">
        <f t="shared" ref="E34:E40" si="13">D34/$D$48</f>
        <v>0.14548048771448691</v>
      </c>
      <c r="F34" s="28">
        <f t="shared" ref="F34:F39" si="14">C34-(C34*$E$6)</f>
        <v>19.07015365134049</v>
      </c>
      <c r="G34" s="27" t="str">
        <f t="shared" ref="G34:G39" si="15">IF(C34&gt;=F34,"-","+")</f>
        <v>+</v>
      </c>
      <c r="H34" s="26">
        <f t="shared" ref="H34:H39" si="16">C34*D34</f>
        <v>14524.35</v>
      </c>
      <c r="I34" s="26">
        <f t="shared" ref="I34:I39" si="17">F34*D34</f>
        <v>14971.97763166742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50</v>
      </c>
      <c r="E35" s="29">
        <f t="shared" si="13"/>
        <v>9.2650928362302178E-3</v>
      </c>
      <c r="F35" s="28">
        <f t="shared" si="14"/>
        <v>14.740713362928053</v>
      </c>
      <c r="G35" s="27" t="str">
        <f t="shared" si="15"/>
        <v>+</v>
      </c>
      <c r="H35" s="26">
        <f t="shared" si="16"/>
        <v>715</v>
      </c>
      <c r="I35" s="26">
        <f t="shared" si="17"/>
        <v>737.03566814640271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11.854419837319764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31.233819223546856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31.233819223546856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32.367720251464398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18.248533109807209</v>
      </c>
      <c r="D40" s="22">
        <f>SUM(D34:D39)</f>
        <v>835.1</v>
      </c>
      <c r="E40" s="113">
        <f t="shared" si="13"/>
        <v>0.1547455805507171</v>
      </c>
      <c r="F40" s="20">
        <f>I40/D40</f>
        <v>18.810936773816096</v>
      </c>
      <c r="G40" s="19">
        <f>F40/C40-1</f>
        <v>3.0819116288675064E-2</v>
      </c>
      <c r="H40" s="18">
        <f>SUM(H34:H39)</f>
        <v>15239.35</v>
      </c>
      <c r="I40" s="18">
        <f>SUM(I34:I39)</f>
        <v>15709.013299813822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899</v>
      </c>
      <c r="E42" s="107">
        <f>D42/$D$48</f>
        <v>0.16658636919541933</v>
      </c>
      <c r="F42" s="28">
        <f>C42-(C42*$E$6)</f>
        <v>0.41232764651547005</v>
      </c>
      <c r="G42" s="27" t="str">
        <f>IF(C42&gt;=F42,"-","+")</f>
        <v>+</v>
      </c>
      <c r="H42" s="26">
        <f>C42*D42</f>
        <v>359.6</v>
      </c>
      <c r="I42" s="26">
        <f>F42*D42</f>
        <v>370.68255421740758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43.6</v>
      </c>
      <c r="E43" s="107">
        <f>D43/$D$48</f>
        <v>8.0791609531927506E-3</v>
      </c>
      <c r="F43" s="28">
        <f>C43-(C43*$E$6)</f>
        <v>0.41232764651547005</v>
      </c>
      <c r="G43" s="27" t="str">
        <f>IF(C43&gt;=F43,"-","+")</f>
        <v>+</v>
      </c>
      <c r="H43" s="26">
        <f>C43*D43</f>
        <v>17.440000000000001</v>
      </c>
      <c r="I43" s="26">
        <f>F43*D43</f>
        <v>17.977485388074495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7.6</v>
      </c>
      <c r="E44" s="107">
        <f>D44/$D$48</f>
        <v>1.4082941111069932E-3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6.2</v>
      </c>
      <c r="E45" s="107">
        <f>D45/$D$48</f>
        <v>1.1488715116925472E-3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0.39422835633626097</v>
      </c>
      <c r="D46" s="22">
        <f>SUM(D41:D45)</f>
        <v>956.40000000000009</v>
      </c>
      <c r="E46" s="113">
        <f>D46/$D$48</f>
        <v>0.17722269577141164</v>
      </c>
      <c r="F46" s="20">
        <f>I46/D46</f>
        <v>0.40637812589448147</v>
      </c>
      <c r="G46" s="19">
        <f>F46/C46-1</f>
        <v>3.0819116288675286E-2</v>
      </c>
      <c r="H46" s="18">
        <f>SUM(H41:H44)</f>
        <v>377.04</v>
      </c>
      <c r="I46" s="18">
        <f>SUM(I41:I44)</f>
        <v>388.6600396054821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97.705486919568074</v>
      </c>
      <c r="D48" s="13">
        <f>D24+D32+D40+D46</f>
        <v>5396.6</v>
      </c>
      <c r="E48" s="12">
        <f>SUM(E20:E46)/2</f>
        <v>0.99999999999999989</v>
      </c>
      <c r="F48" s="11">
        <f>I48/D48</f>
        <v>26.25</v>
      </c>
      <c r="G48" s="10"/>
      <c r="H48" s="9">
        <f>SUM(H20:H46)/2</f>
        <v>137425.41999999998</v>
      </c>
      <c r="I48" s="9">
        <f>SUM(I20:I46)/2</f>
        <v>141660.75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5396.6</v>
      </c>
      <c r="E50" s="12">
        <f>D50/G2</f>
        <v>1</v>
      </c>
      <c r="F50" s="11">
        <f>I50/D50</f>
        <v>26.25</v>
      </c>
      <c r="G50" s="10"/>
      <c r="H50" s="9">
        <f>H48+H19</f>
        <v>137425.41999999998</v>
      </c>
      <c r="I50" s="9">
        <f>I48+I19</f>
        <v>141660.75</v>
      </c>
      <c r="J50" s="106">
        <f>D50-G2</f>
        <v>0</v>
      </c>
      <c r="K50" s="8"/>
    </row>
    <row r="51" spans="1:11" ht="23.25" x14ac:dyDescent="0.35">
      <c r="A51" s="174" t="s">
        <v>589</v>
      </c>
      <c r="B51" s="169"/>
      <c r="C51" s="170"/>
      <c r="G51" s="7"/>
      <c r="H51" s="6"/>
      <c r="I51" s="6">
        <f>+I50/D50</f>
        <v>26.25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587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587</v>
      </c>
      <c r="D2" s="96" t="s">
        <v>3</v>
      </c>
      <c r="E2" s="95" t="s">
        <v>71</v>
      </c>
      <c r="F2" s="94" t="s">
        <v>5</v>
      </c>
      <c r="G2" s="93">
        <v>15197.8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180</v>
      </c>
      <c r="F3" s="88" t="s">
        <v>8</v>
      </c>
      <c r="G3" s="87">
        <v>28.75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84.432222222222222</v>
      </c>
      <c r="F4" s="81" t="s">
        <v>12</v>
      </c>
      <c r="G4" s="80">
        <f>G2*G3</f>
        <v>436936.75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-5.5942840835339069E-3</v>
      </c>
      <c r="F6" s="69" t="s">
        <v>16</v>
      </c>
      <c r="G6" s="68">
        <f>(I50-I19)/(D50-(SUM(D42:D44)+D19))</f>
        <v>33.887615657258976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28.8</v>
      </c>
      <c r="D10" s="30"/>
      <c r="E10" s="29" t="e">
        <f t="shared" ref="E10:E19" si="1">D10/$D$19</f>
        <v>#DIV/0!</v>
      </c>
      <c r="F10" s="28">
        <f t="shared" ref="F10:F18" si="2">C10-(C10*$E$6)</f>
        <v>28.961115381605776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29.9</v>
      </c>
      <c r="D11" s="30"/>
      <c r="E11" s="29" t="e">
        <f t="shared" si="1"/>
        <v>#DIV/0!</v>
      </c>
      <c r="F11" s="28">
        <f t="shared" si="2"/>
        <v>30.067269094097661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27.4</v>
      </c>
      <c r="D12" s="30"/>
      <c r="E12" s="29" t="e">
        <f t="shared" si="1"/>
        <v>#DIV/0!</v>
      </c>
      <c r="F12" s="28">
        <f t="shared" si="2"/>
        <v>27.553283383888829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29.9</v>
      </c>
      <c r="D13" s="30"/>
      <c r="E13" s="29" t="e">
        <f t="shared" si="1"/>
        <v>#DIV/0!</v>
      </c>
      <c r="F13" s="28">
        <f t="shared" si="2"/>
        <v>30.067269094097661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33.5</v>
      </c>
      <c r="D14" s="30"/>
      <c r="E14" s="29" t="e">
        <f t="shared" si="1"/>
        <v>#DIV/0!</v>
      </c>
      <c r="F14" s="28">
        <f t="shared" si="2"/>
        <v>33.687408516798385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27.6</v>
      </c>
      <c r="D15" s="30"/>
      <c r="E15" s="29" t="e">
        <f t="shared" si="1"/>
        <v>#DIV/0!</v>
      </c>
      <c r="F15" s="28">
        <f t="shared" si="2"/>
        <v>27.754402240705538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37.799999999999997</v>
      </c>
      <c r="D16" s="30"/>
      <c r="E16" s="29" t="e">
        <f t="shared" si="1"/>
        <v>#DIV/0!</v>
      </c>
      <c r="F16" s="28">
        <f t="shared" si="2"/>
        <v>38.011463938357579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55.6</v>
      </c>
      <c r="D17" s="30"/>
      <c r="E17" s="29" t="e">
        <f t="shared" si="1"/>
        <v>#DIV/0!</v>
      </c>
      <c r="F17" s="28">
        <f t="shared" si="2"/>
        <v>55.911042195044487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48.7</v>
      </c>
      <c r="D18" s="30"/>
      <c r="E18" s="29" t="e">
        <f t="shared" si="1"/>
        <v>#DIV/0!</v>
      </c>
      <c r="F18" s="28">
        <f t="shared" si="2"/>
        <v>48.972441634868105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72.3</v>
      </c>
      <c r="D21" s="30">
        <v>141.4</v>
      </c>
      <c r="E21" s="29">
        <f>D21/$D$48</f>
        <v>9.3039782073721187E-3</v>
      </c>
      <c r="F21" s="28">
        <f>C21-(C21*$E$6)</f>
        <v>72.704466739239493</v>
      </c>
      <c r="G21" s="27" t="str">
        <f>IF(C21&gt;=F21,"-","+")</f>
        <v>+</v>
      </c>
      <c r="H21" s="26">
        <f>C21*D21</f>
        <v>10223.219999999999</v>
      </c>
      <c r="I21" s="26">
        <f>F21*D21</f>
        <v>10280.411596928465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48.6</v>
      </c>
      <c r="D22" s="30">
        <v>468.9</v>
      </c>
      <c r="E22" s="29">
        <f>D22/$D$48</f>
        <v>3.0853149797997075E-2</v>
      </c>
      <c r="F22" s="28">
        <f>C22-(C22*$E$6)</f>
        <v>48.871882206459752</v>
      </c>
      <c r="G22" s="27" t="str">
        <f>IF(C22&gt;=F22,"-","+")</f>
        <v>+</v>
      </c>
      <c r="H22" s="26">
        <f>C22*D22</f>
        <v>22788.54</v>
      </c>
      <c r="I22" s="26">
        <f>F22*D22</f>
        <v>22916.025566608976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44.3</v>
      </c>
      <c r="D23" s="30">
        <v>356.4</v>
      </c>
      <c r="E23" s="29">
        <f>D23/$D$48</f>
        <v>2.3450762610377814E-2</v>
      </c>
      <c r="F23" s="28">
        <f>C23-(C23*$E$6)</f>
        <v>44.54782678490055</v>
      </c>
      <c r="G23" s="27" t="str">
        <f>IF(C23&gt;=F23,"-","+")</f>
        <v>+</v>
      </c>
      <c r="H23" s="26">
        <f>C23*D23</f>
        <v>15788.519999999999</v>
      </c>
      <c r="I23" s="26">
        <f>F23*D23</f>
        <v>15876.845466138555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50.481307541119271</v>
      </c>
      <c r="D24" s="22">
        <f>SUM(D21:D23)</f>
        <v>966.69999999999993</v>
      </c>
      <c r="E24" s="21">
        <f>D24/$D$48</f>
        <v>6.3607890615747009E-2</v>
      </c>
      <c r="F24" s="20">
        <f>I24/D24</f>
        <v>50.763714316412539</v>
      </c>
      <c r="G24" s="19">
        <f>F24/C24-1</f>
        <v>5.5942840835339069E-3</v>
      </c>
      <c r="H24" s="18">
        <f>SUM(H21:H23)</f>
        <v>48800.28</v>
      </c>
      <c r="I24" s="18">
        <f>SUM(I21:I23)</f>
        <v>49073.282629675996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38.6</v>
      </c>
      <c r="D26" s="30">
        <f>602.8+2282.4</f>
        <v>2885.2</v>
      </c>
      <c r="E26" s="29">
        <f t="shared" ref="E26:E32" si="7">D26/$D$48</f>
        <v>0.18984326678861413</v>
      </c>
      <c r="F26" s="28">
        <f t="shared" ref="F26:F31" si="8">C26-(C26*$E$6)</f>
        <v>38.815939365624409</v>
      </c>
      <c r="G26" s="27" t="str">
        <f t="shared" ref="G26:G31" si="9">IF(C26&gt;=F26,"-","+")</f>
        <v>+</v>
      </c>
      <c r="H26" s="26">
        <f t="shared" ref="H26:H31" si="10">C26*D26</f>
        <v>111368.72</v>
      </c>
      <c r="I26" s="26">
        <f t="shared" ref="I26:I31" si="11">F26*D26</f>
        <v>111991.74825769954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34.4</v>
      </c>
      <c r="D27" s="30">
        <v>2392.4</v>
      </c>
      <c r="E27" s="29">
        <f t="shared" si="7"/>
        <v>0.15741752095698061</v>
      </c>
      <c r="F27" s="28">
        <f t="shared" si="8"/>
        <v>34.592443372473568</v>
      </c>
      <c r="G27" s="27" t="str">
        <f t="shared" si="9"/>
        <v>+</v>
      </c>
      <c r="H27" s="26">
        <f t="shared" si="10"/>
        <v>82298.559999999998</v>
      </c>
      <c r="I27" s="26">
        <f t="shared" si="11"/>
        <v>82758.961524305763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34.4</v>
      </c>
      <c r="D28" s="30">
        <v>1465.8</v>
      </c>
      <c r="E28" s="29">
        <f t="shared" si="7"/>
        <v>9.6448170129887212E-2</v>
      </c>
      <c r="F28" s="28">
        <f t="shared" si="8"/>
        <v>34.592443372473568</v>
      </c>
      <c r="G28" s="27" t="str">
        <f t="shared" si="9"/>
        <v>+</v>
      </c>
      <c r="H28" s="26">
        <f t="shared" si="10"/>
        <v>50423.519999999997</v>
      </c>
      <c r="I28" s="26">
        <f t="shared" si="11"/>
        <v>50705.603495371754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33.200000000000003</v>
      </c>
      <c r="D29" s="30">
        <v>1421.9</v>
      </c>
      <c r="E29" s="29">
        <f t="shared" si="7"/>
        <v>9.3559594151785122E-2</v>
      </c>
      <c r="F29" s="28">
        <f t="shared" si="8"/>
        <v>33.385730231573326</v>
      </c>
      <c r="G29" s="27" t="str">
        <f t="shared" si="9"/>
        <v>+</v>
      </c>
      <c r="H29" s="26">
        <f t="shared" si="10"/>
        <v>47207.080000000009</v>
      </c>
      <c r="I29" s="26">
        <f t="shared" si="11"/>
        <v>47471.169816274116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33.200000000000003</v>
      </c>
      <c r="D30" s="30">
        <v>1076</v>
      </c>
      <c r="E30" s="29">
        <f t="shared" si="7"/>
        <v>7.0799721012251765E-2</v>
      </c>
      <c r="F30" s="28">
        <f t="shared" si="8"/>
        <v>33.385730231573326</v>
      </c>
      <c r="G30" s="27" t="str">
        <f t="shared" si="9"/>
        <v>+</v>
      </c>
      <c r="H30" s="26">
        <f t="shared" si="10"/>
        <v>35723.200000000004</v>
      </c>
      <c r="I30" s="26">
        <f t="shared" si="11"/>
        <v>35923.045729172896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33.799999999999997</v>
      </c>
      <c r="D31" s="30">
        <v>232.8</v>
      </c>
      <c r="E31" s="29">
        <f t="shared" si="7"/>
        <v>1.5318006553580123E-2</v>
      </c>
      <c r="F31" s="28">
        <f t="shared" si="8"/>
        <v>33.989086802023444</v>
      </c>
      <c r="G31" s="27" t="str">
        <f t="shared" si="9"/>
        <v>+</v>
      </c>
      <c r="H31" s="26">
        <f t="shared" si="10"/>
        <v>7868.6399999999994</v>
      </c>
      <c r="I31" s="26">
        <f t="shared" si="11"/>
        <v>7912.6594075110579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35.347919063552212</v>
      </c>
      <c r="D32" s="22">
        <f>SUM(D26:D31)</f>
        <v>9474.1</v>
      </c>
      <c r="E32" s="21">
        <f t="shared" si="7"/>
        <v>0.623386279593099</v>
      </c>
      <c r="F32" s="20">
        <f>I32/D32</f>
        <v>35.545665364555482</v>
      </c>
      <c r="G32" s="19">
        <f>F32/C32-1</f>
        <v>5.5942840835336849E-3</v>
      </c>
      <c r="H32" s="18">
        <f>SUM(H26:H31)</f>
        <v>334889.72000000003</v>
      </c>
      <c r="I32" s="18">
        <f>SUM(I26:I31)</f>
        <v>336763.18823033513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</v>
      </c>
      <c r="D34" s="30">
        <v>2446.5</v>
      </c>
      <c r="E34" s="29">
        <f t="shared" ref="E34:E40" si="13">D34/$D$48</f>
        <v>0.16097724670676017</v>
      </c>
      <c r="F34" s="28">
        <f t="shared" ref="F34:F39" si="14">C34-(C34*$E$6)</f>
        <v>20.41356396689574</v>
      </c>
      <c r="G34" s="27" t="str">
        <f t="shared" ref="G34:G39" si="15">IF(C34&gt;=F34,"-","+")</f>
        <v>+</v>
      </c>
      <c r="H34" s="26">
        <f t="shared" ref="H34:H39" si="16">C34*D34</f>
        <v>49663.950000000004</v>
      </c>
      <c r="I34" s="26">
        <f t="shared" ref="I34:I39" si="17">F34*D34</f>
        <v>49941.784245010429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15.6</v>
      </c>
      <c r="D35" s="30"/>
      <c r="E35" s="29">
        <f t="shared" si="13"/>
        <v>0</v>
      </c>
      <c r="F35" s="28">
        <f t="shared" si="14"/>
        <v>15.687270831703129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12.670487979452528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33.200000000000003</v>
      </c>
      <c r="D37" s="30"/>
      <c r="E37" s="29">
        <f t="shared" si="13"/>
        <v>0</v>
      </c>
      <c r="F37" s="28">
        <f t="shared" si="14"/>
        <v>33.385730231573326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33.200000000000003</v>
      </c>
      <c r="D38" s="30"/>
      <c r="E38" s="29">
        <f t="shared" si="13"/>
        <v>0</v>
      </c>
      <c r="F38" s="28">
        <f t="shared" si="14"/>
        <v>33.385730231573326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34.4</v>
      </c>
      <c r="D39" s="30"/>
      <c r="E39" s="29">
        <f t="shared" si="13"/>
        <v>0</v>
      </c>
      <c r="F39" s="28">
        <f t="shared" si="14"/>
        <v>34.592443372473568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</v>
      </c>
      <c r="D40" s="22">
        <f>SUM(D34:D39)</f>
        <v>2446.5</v>
      </c>
      <c r="E40" s="113">
        <f t="shared" si="13"/>
        <v>0.16097724670676017</v>
      </c>
      <c r="F40" s="20">
        <f>I40/D40</f>
        <v>20.41356396689574</v>
      </c>
      <c r="G40" s="19">
        <f>F40/C40-1</f>
        <v>5.5942840835339069E-3</v>
      </c>
      <c r="H40" s="18">
        <f>SUM(H34:H39)</f>
        <v>49663.950000000004</v>
      </c>
      <c r="I40" s="18">
        <f>SUM(I34:I39)</f>
        <v>49941.784245010429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2202</v>
      </c>
      <c r="E42" s="107">
        <f>D42/$D$48</f>
        <v>0.14488939188566766</v>
      </c>
      <c r="F42" s="28">
        <f>C42-(C42*$E$6)</f>
        <v>0.50279714204176695</v>
      </c>
      <c r="G42" s="27" t="str">
        <f>IF(C42&gt;=F42,"-","+")</f>
        <v>+</v>
      </c>
      <c r="H42" s="26">
        <f>C42*D42</f>
        <v>1101</v>
      </c>
      <c r="I42" s="26">
        <f>F42*D42</f>
        <v>1107.1593067759709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102.1</v>
      </c>
      <c r="E43" s="107">
        <f>D43/$D$48</f>
        <v>6.7180776164971236E-3</v>
      </c>
      <c r="F43" s="28">
        <f>C43-(C43*$E$6)</f>
        <v>0.50279714204176695</v>
      </c>
      <c r="G43" s="27" t="str">
        <f>IF(C43&gt;=F43,"-","+")</f>
        <v>+</v>
      </c>
      <c r="H43" s="26">
        <f>C43*D43</f>
        <v>51.05</v>
      </c>
      <c r="I43" s="26">
        <f>F43*D43</f>
        <v>51.3355882024644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6.4</v>
      </c>
      <c r="E45" s="107">
        <f>D45/$D$48</f>
        <v>4.2111358222900685E-4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0.49861501839428696</v>
      </c>
      <c r="D46" s="22">
        <f>SUM(D41:D45)</f>
        <v>2310.5</v>
      </c>
      <c r="E46" s="113">
        <f>D46/$D$48</f>
        <v>0.15202858308439379</v>
      </c>
      <c r="F46" s="20">
        <f>I46/D46</f>
        <v>0.50140441245550105</v>
      </c>
      <c r="G46" s="19">
        <f>F46/C46-1</f>
        <v>5.5942840835339069E-3</v>
      </c>
      <c r="H46" s="18">
        <f>SUM(H41:H44)</f>
        <v>1152.05</v>
      </c>
      <c r="I46" s="18">
        <f>SUM(I41:I44)</f>
        <v>1158.4948949784352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106.62784162306576</v>
      </c>
      <c r="D48" s="13">
        <f>D24+D32+D40+D46</f>
        <v>15197.800000000001</v>
      </c>
      <c r="E48" s="12">
        <f>SUM(E20:E46)/2</f>
        <v>1.0000000000000002</v>
      </c>
      <c r="F48" s="11">
        <f>I48/D48</f>
        <v>28.75</v>
      </c>
      <c r="G48" s="10"/>
      <c r="H48" s="9">
        <f>SUM(H20:H46)/2</f>
        <v>434506</v>
      </c>
      <c r="I48" s="9">
        <f>SUM(I20:I46)/2</f>
        <v>436936.75000000006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15197.8</v>
      </c>
      <c r="E50" s="12">
        <f>D50/G2</f>
        <v>1</v>
      </c>
      <c r="F50" s="11">
        <f>I50/D50</f>
        <v>28.750000000000004</v>
      </c>
      <c r="G50" s="10"/>
      <c r="H50" s="9">
        <f>H48+H19</f>
        <v>434506</v>
      </c>
      <c r="I50" s="9">
        <f>I48+I19</f>
        <v>436936.75000000006</v>
      </c>
      <c r="J50" s="106">
        <f>D50-G2</f>
        <v>0</v>
      </c>
      <c r="K50" s="8"/>
    </row>
    <row r="51" spans="1:11" ht="23.25" x14ac:dyDescent="0.35">
      <c r="A51" s="174" t="s">
        <v>590</v>
      </c>
      <c r="B51" s="169"/>
      <c r="C51" s="170"/>
      <c r="G51" s="7"/>
      <c r="H51" s="6"/>
      <c r="I51" s="6">
        <f>+I50/D50</f>
        <v>28.750000000000004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564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569</v>
      </c>
      <c r="D2" s="96" t="s">
        <v>3</v>
      </c>
      <c r="E2" s="95" t="s">
        <v>71</v>
      </c>
      <c r="F2" s="94" t="s">
        <v>5</v>
      </c>
      <c r="G2" s="93">
        <v>24144.5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328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73.611280487804876</v>
      </c>
      <c r="F4" s="81" t="s">
        <v>12</v>
      </c>
      <c r="G4" s="80">
        <f>G2*G3</f>
        <v>700190.5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-6.7097931158861535E-3</v>
      </c>
      <c r="F6" s="69" t="s">
        <v>16</v>
      </c>
      <c r="G6" s="68">
        <f>(I50-I19)/(D50-(SUM(D42:D44)+D19))</f>
        <v>34.227930213573053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 t="e">
        <f t="shared" ref="E10:E19" si="1">D10/$D$19</f>
        <v>#DIV/0!</v>
      </c>
      <c r="F10" s="28">
        <f t="shared" ref="F10:F18" si="2">C10-(C10*$E$6)</f>
        <v>29.194584000360699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/>
      <c r="E11" s="29" t="e">
        <f t="shared" si="1"/>
        <v>#DIV/0!</v>
      </c>
      <c r="F11" s="28">
        <f t="shared" si="2"/>
        <v>30.402635752099762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/>
      <c r="E12" s="29" t="e">
        <f t="shared" si="1"/>
        <v>#DIV/0!</v>
      </c>
      <c r="F12" s="28">
        <f t="shared" si="2"/>
        <v>27.785190289998461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/>
      <c r="E13" s="29" t="e">
        <f t="shared" si="1"/>
        <v>#DIV/0!</v>
      </c>
      <c r="F13" s="28">
        <f t="shared" si="2"/>
        <v>30.402635752099762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 t="e">
        <f t="shared" si="1"/>
        <v>#DIV/0!</v>
      </c>
      <c r="F14" s="28">
        <f t="shared" si="2"/>
        <v>34.026791007316952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 t="e">
        <f t="shared" si="1"/>
        <v>#DIV/0!</v>
      </c>
      <c r="F15" s="28">
        <f t="shared" si="2"/>
        <v>27.986532248621636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 t="e">
        <f t="shared" si="1"/>
        <v>#DIV/0!</v>
      </c>
      <c r="F16" s="28">
        <f t="shared" si="2"/>
        <v>38.35564311771526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 t="e">
        <f t="shared" si="1"/>
        <v>#DIV/0!</v>
      </c>
      <c r="F17" s="28">
        <f t="shared" si="2"/>
        <v>56.476419393801216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 t="e">
        <f t="shared" si="1"/>
        <v>#DIV/0!</v>
      </c>
      <c r="F18" s="28">
        <f t="shared" si="2"/>
        <v>49.429450841990011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275.2</v>
      </c>
      <c r="E21" s="29">
        <f>D21/$D$48</f>
        <v>1.1398040961709703E-2</v>
      </c>
      <c r="F21" s="28">
        <f>C21-(C21*$E$6)</f>
        <v>73.389143918148108</v>
      </c>
      <c r="G21" s="27" t="str">
        <f>IF(C21&gt;=F21,"-","+")</f>
        <v>+</v>
      </c>
      <c r="H21" s="26">
        <f>C21*D21</f>
        <v>20062.080000000002</v>
      </c>
      <c r="I21" s="26">
        <f>F21*D21</f>
        <v>20196.69240627436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646.9</v>
      </c>
      <c r="E22" s="29">
        <f>D22/$D$48</f>
        <v>2.6792851374018923E-2</v>
      </c>
      <c r="F22" s="28">
        <f>C22-(C22*$E$6)</f>
        <v>49.328779862678424</v>
      </c>
      <c r="G22" s="27" t="str">
        <f>IF(C22&gt;=F22,"-","+")</f>
        <v>+</v>
      </c>
      <c r="H22" s="26">
        <f>C22*D22</f>
        <v>31698.1</v>
      </c>
      <c r="I22" s="26">
        <f>F22*D22</f>
        <v>31910.787693166672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547.9</v>
      </c>
      <c r="E23" s="29">
        <f>D23/$D$48</f>
        <v>2.2692538673403876E-2</v>
      </c>
      <c r="F23" s="28">
        <f>C23-(C23*$E$6)</f>
        <v>44.999927752280115</v>
      </c>
      <c r="G23" s="27" t="str">
        <f>IF(C23&gt;=F23,"-","+")</f>
        <v>+</v>
      </c>
      <c r="H23" s="26">
        <f>C23*D23</f>
        <v>24491.13</v>
      </c>
      <c r="I23" s="26">
        <f>F23*D23</f>
        <v>24655.460415474274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51.871639455782308</v>
      </c>
      <c r="D24" s="22">
        <f>SUM(D21:D23)</f>
        <v>1470</v>
      </c>
      <c r="E24" s="21">
        <f>D24/$D$48</f>
        <v>6.0883431009132502E-2</v>
      </c>
      <c r="F24" s="20">
        <f>I24/D24</f>
        <v>52.219687425112454</v>
      </c>
      <c r="G24" s="19">
        <f>F24/C24-1</f>
        <v>6.7097931158863755E-3</v>
      </c>
      <c r="H24" s="18">
        <f>SUM(H21:H23)</f>
        <v>76251.31</v>
      </c>
      <c r="I24" s="18">
        <f>SUM(I21:I23)</f>
        <v>76762.940514915303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f>1370.4+217.4+3478.5</f>
        <v>5066.3</v>
      </c>
      <c r="E26" s="29">
        <f t="shared" ref="E26:E32" si="7">D26/$D$48</f>
        <v>0.20983246702147484</v>
      </c>
      <c r="F26" s="28">
        <f t="shared" ref="F26:F31" si="8">C26-(C26*$E$6)</f>
        <v>39.161010952207967</v>
      </c>
      <c r="G26" s="27" t="str">
        <f t="shared" ref="G26:G31" si="9">IF(C26&gt;=F26,"-","+")</f>
        <v>+</v>
      </c>
      <c r="H26" s="26">
        <f t="shared" ref="H26:H31" si="10">C26*D26</f>
        <v>197079.07</v>
      </c>
      <c r="I26" s="26">
        <f t="shared" ref="I26:I31" si="11">F26*D26</f>
        <v>198401.42978717122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3622.5</v>
      </c>
      <c r="E27" s="29">
        <f t="shared" si="7"/>
        <v>0.1500341692725051</v>
      </c>
      <c r="F27" s="28">
        <f t="shared" si="8"/>
        <v>34.932829821121253</v>
      </c>
      <c r="G27" s="27" t="str">
        <f t="shared" si="9"/>
        <v>+</v>
      </c>
      <c r="H27" s="26">
        <f t="shared" si="10"/>
        <v>125700.75000000001</v>
      </c>
      <c r="I27" s="26">
        <f t="shared" si="11"/>
        <v>126544.17602701174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2102.1999999999998</v>
      </c>
      <c r="E28" s="29">
        <f t="shared" si="7"/>
        <v>8.7067448073060091E-2</v>
      </c>
      <c r="F28" s="28">
        <f t="shared" si="8"/>
        <v>34.932829821121253</v>
      </c>
      <c r="G28" s="27" t="str">
        <f t="shared" si="9"/>
        <v>+</v>
      </c>
      <c r="H28" s="26">
        <f t="shared" si="10"/>
        <v>72946.34</v>
      </c>
      <c r="I28" s="26">
        <f t="shared" si="11"/>
        <v>73435.794849961094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2112</v>
      </c>
      <c r="E29" s="29">
        <f t="shared" si="7"/>
        <v>8.7473337613120983E-2</v>
      </c>
      <c r="F29" s="28">
        <f t="shared" si="8"/>
        <v>33.724778069382189</v>
      </c>
      <c r="G29" s="27" t="str">
        <f t="shared" si="9"/>
        <v>+</v>
      </c>
      <c r="H29" s="26">
        <f t="shared" si="10"/>
        <v>70752</v>
      </c>
      <c r="I29" s="26">
        <f t="shared" si="11"/>
        <v>71226.731282535184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1801.1</v>
      </c>
      <c r="E30" s="29">
        <f t="shared" si="7"/>
        <v>7.4596699041189485E-2</v>
      </c>
      <c r="F30" s="28">
        <f t="shared" si="8"/>
        <v>33.724778069382189</v>
      </c>
      <c r="G30" s="27" t="str">
        <f t="shared" si="9"/>
        <v>+</v>
      </c>
      <c r="H30" s="26">
        <f t="shared" si="10"/>
        <v>60336.85</v>
      </c>
      <c r="I30" s="26">
        <f t="shared" si="11"/>
        <v>60741.697780764262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311.2</v>
      </c>
      <c r="E31" s="29">
        <f t="shared" si="7"/>
        <v>1.2889063761933358E-2</v>
      </c>
      <c r="F31" s="28">
        <f t="shared" si="8"/>
        <v>34.328803945251721</v>
      </c>
      <c r="G31" s="27" t="str">
        <f t="shared" si="9"/>
        <v>+</v>
      </c>
      <c r="H31" s="26">
        <f t="shared" si="10"/>
        <v>10611.92</v>
      </c>
      <c r="I31" s="26">
        <f t="shared" si="11"/>
        <v>10683.123787762335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35.791954206709157</v>
      </c>
      <c r="D32" s="22">
        <f>SUM(D26:D31)</f>
        <v>15015.300000000001</v>
      </c>
      <c r="E32" s="21">
        <f t="shared" si="7"/>
        <v>0.62189318478328393</v>
      </c>
      <c r="F32" s="20">
        <f>I32/D32</f>
        <v>36.03211081464945</v>
      </c>
      <c r="G32" s="19">
        <f>F32/C32-1</f>
        <v>6.7097931158861535E-3</v>
      </c>
      <c r="H32" s="18">
        <f>SUM(H26:H31)</f>
        <v>537426.93000000005</v>
      </c>
      <c r="I32" s="18">
        <f>SUM(I26:I31)</f>
        <v>541032.95351520588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f>1495.1+2205.6</f>
        <v>3700.7</v>
      </c>
      <c r="E34" s="29">
        <f t="shared" ref="E34:E40" si="13">D34/$D$48</f>
        <v>0.15327300213299092</v>
      </c>
      <c r="F34" s="28">
        <f t="shared" ref="F34:F39" si="14">C34-(C34*$E$6)</f>
        <v>20.637550758875665</v>
      </c>
      <c r="G34" s="27" t="str">
        <f t="shared" ref="G34:G39" si="15">IF(C34&gt;=F34,"-","+")</f>
        <v>+</v>
      </c>
      <c r="H34" s="26">
        <f t="shared" ref="H34:H39" si="16">C34*D34</f>
        <v>75864.349999999991</v>
      </c>
      <c r="I34" s="26">
        <f t="shared" ref="I34:I39" si="17">F34*D34</f>
        <v>76373.384093371176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>
        <v>262.8</v>
      </c>
      <c r="E35" s="29">
        <f t="shared" si="13"/>
        <v>1.0884466441632669E-2</v>
      </c>
      <c r="F35" s="28">
        <f t="shared" si="14"/>
        <v>15.906014731231002</v>
      </c>
      <c r="G35" s="27" t="str">
        <f t="shared" si="15"/>
        <v>+</v>
      </c>
      <c r="H35" s="26">
        <f t="shared" si="16"/>
        <v>4152.2400000000007</v>
      </c>
      <c r="I35" s="26">
        <f t="shared" si="17"/>
        <v>4180.1006713675079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12.785214372571753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33.724778069382189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33.724778069382189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34.932829821121253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20.188366342878769</v>
      </c>
      <c r="D40" s="22">
        <f>SUM(D34:D39)</f>
        <v>3963.5</v>
      </c>
      <c r="E40" s="113">
        <f t="shared" si="13"/>
        <v>0.1641574685746236</v>
      </c>
      <c r="F40" s="20">
        <f>I40/D40</f>
        <v>20.323826104387201</v>
      </c>
      <c r="G40" s="19">
        <f>F40/C40-1</f>
        <v>6.7097931158859314E-3</v>
      </c>
      <c r="H40" s="18">
        <f>SUM(H34:H39)</f>
        <v>80016.59</v>
      </c>
      <c r="I40" s="18">
        <f>SUM(I34:I39)</f>
        <v>80553.484764738678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232.4+1751.7+1534</f>
        <v>3518.1000000000004</v>
      </c>
      <c r="E42" s="107">
        <f>D42/$D$48</f>
        <v>0.14571020315185651</v>
      </c>
      <c r="F42" s="28">
        <f>C42-(C42*$E$6)</f>
        <v>0.50335489655794308</v>
      </c>
      <c r="G42" s="27" t="str">
        <f>IF(C42&gt;=F42,"-","+")</f>
        <v>+</v>
      </c>
      <c r="H42" s="26">
        <f>C42*D42</f>
        <v>1759.0500000000002</v>
      </c>
      <c r="I42" s="26">
        <f>F42*D42</f>
        <v>1770.8528615804996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139.6</v>
      </c>
      <c r="E43" s="107">
        <f>D43/$D$48</f>
        <v>5.7818550808672771E-3</v>
      </c>
      <c r="F43" s="28">
        <f>C43-(C43*$E$6)</f>
        <v>0.50335489655794308</v>
      </c>
      <c r="G43" s="27" t="str">
        <f>IF(C43&gt;=F43,"-","+")</f>
        <v>+</v>
      </c>
      <c r="H43" s="26">
        <f>C43*D43</f>
        <v>69.8</v>
      </c>
      <c r="I43" s="26">
        <f>F43*D43</f>
        <v>70.268343559488855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30.1</v>
      </c>
      <c r="E44" s="107">
        <f>D44/$D$48</f>
        <v>1.2466607301869989E-3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7.9</v>
      </c>
      <c r="E45" s="107">
        <f>D45/$D$48</f>
        <v>3.2719667004907946E-4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0.49485889006142275</v>
      </c>
      <c r="D46" s="22">
        <f>SUM(D41:D45)</f>
        <v>3695.7000000000003</v>
      </c>
      <c r="E46" s="113">
        <f>D46/$D$48</f>
        <v>0.15306591563295988</v>
      </c>
      <c r="F46" s="20">
        <f>I46/D46</f>
        <v>0.49817929083529189</v>
      </c>
      <c r="G46" s="19">
        <f>F46/C46-1</f>
        <v>6.7097931158859314E-3</v>
      </c>
      <c r="H46" s="18">
        <f>SUM(H41:H44)</f>
        <v>1828.8500000000001</v>
      </c>
      <c r="I46" s="18">
        <f>SUM(I41:I44)</f>
        <v>1841.1212051399884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108.34681889543165</v>
      </c>
      <c r="D48" s="13">
        <f>D24+D32+D40+D46</f>
        <v>24144.500000000004</v>
      </c>
      <c r="E48" s="12">
        <f>SUM(E20:E46)/2</f>
        <v>1</v>
      </c>
      <c r="F48" s="11">
        <f>I48/D48</f>
        <v>28.999999999999986</v>
      </c>
      <c r="G48" s="10"/>
      <c r="H48" s="9">
        <f>SUM(H20:H46)/2</f>
        <v>695523.68000000017</v>
      </c>
      <c r="I48" s="9">
        <f>SUM(I20:I46)/2</f>
        <v>700190.49999999977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24144.499999999996</v>
      </c>
      <c r="E50" s="12">
        <f>D50/G2</f>
        <v>0.99999999999999989</v>
      </c>
      <c r="F50" s="11">
        <f>I50/D50</f>
        <v>28.999999999999996</v>
      </c>
      <c r="G50" s="10"/>
      <c r="H50" s="9">
        <f>H48+H19</f>
        <v>695523.68000000017</v>
      </c>
      <c r="I50" s="9">
        <f>I48+I19</f>
        <v>700190.49999999977</v>
      </c>
      <c r="J50" s="106">
        <f>D50-G2</f>
        <v>0</v>
      </c>
      <c r="K50" s="8"/>
    </row>
    <row r="51" spans="1:11" ht="23.25" x14ac:dyDescent="0.35">
      <c r="A51" s="174" t="s">
        <v>591</v>
      </c>
      <c r="B51" s="169"/>
      <c r="C51" s="170"/>
      <c r="G51" s="7"/>
      <c r="H51" s="6"/>
      <c r="I51" s="6">
        <f>+I50/D50</f>
        <v>28.999999999999996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592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592</v>
      </c>
      <c r="D2" s="96" t="s">
        <v>3</v>
      </c>
      <c r="E2" s="95" t="s">
        <v>71</v>
      </c>
      <c r="F2" s="94" t="s">
        <v>5</v>
      </c>
      <c r="G2" s="93">
        <v>21063.1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260</v>
      </c>
      <c r="F3" s="88" t="s">
        <v>8</v>
      </c>
      <c r="G3" s="87">
        <v>29.25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81.011923076923068</v>
      </c>
      <c r="F4" s="81" t="s">
        <v>12</v>
      </c>
      <c r="G4" s="80">
        <f>G2*G3</f>
        <v>616095.67499999993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-1.5232725651064039E-2</v>
      </c>
      <c r="F6" s="69" t="s">
        <v>16</v>
      </c>
      <c r="G6" s="68">
        <f>(I50-I19)/(D50-(SUM(D42:D44)+D19))</f>
        <v>34.833052054887467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29.3</v>
      </c>
      <c r="D10" s="30"/>
      <c r="E10" s="29" t="e">
        <f t="shared" ref="E10:E19" si="1">D10/$D$19</f>
        <v>#DIV/0!</v>
      </c>
      <c r="F10" s="28">
        <f t="shared" ref="F10:F18" si="2">C10-(C10*$E$6)</f>
        <v>29.746318861576178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30.5</v>
      </c>
      <c r="D11" s="30"/>
      <c r="E11" s="29" t="e">
        <f t="shared" si="1"/>
        <v>#DIV/0!</v>
      </c>
      <c r="F11" s="28">
        <f t="shared" si="2"/>
        <v>30.964598132357452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27.8</v>
      </c>
      <c r="D12" s="30"/>
      <c r="E12" s="29" t="e">
        <f t="shared" si="1"/>
        <v>#DIV/0!</v>
      </c>
      <c r="F12" s="28">
        <f t="shared" si="2"/>
        <v>28.22346977309958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30.5</v>
      </c>
      <c r="D13" s="30"/>
      <c r="E13" s="29" t="e">
        <f t="shared" si="1"/>
        <v>#DIV/0!</v>
      </c>
      <c r="F13" s="28">
        <f t="shared" si="2"/>
        <v>30.964598132357452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34.1</v>
      </c>
      <c r="D14" s="30"/>
      <c r="E14" s="29" t="e">
        <f t="shared" si="1"/>
        <v>#DIV/0!</v>
      </c>
      <c r="F14" s="28">
        <f t="shared" si="2"/>
        <v>34.619435944701287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28.1</v>
      </c>
      <c r="D15" s="30"/>
      <c r="E15" s="29" t="e">
        <f t="shared" si="1"/>
        <v>#DIV/0!</v>
      </c>
      <c r="F15" s="28">
        <f t="shared" si="2"/>
        <v>28.528039590794901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38.4</v>
      </c>
      <c r="D16" s="30"/>
      <c r="E16" s="29" t="e">
        <f t="shared" si="1"/>
        <v>#DIV/0!</v>
      </c>
      <c r="F16" s="28">
        <f t="shared" si="2"/>
        <v>38.984936665000859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56.6</v>
      </c>
      <c r="D17" s="30"/>
      <c r="E17" s="29" t="e">
        <f t="shared" si="1"/>
        <v>#DIV/0!</v>
      </c>
      <c r="F17" s="28">
        <f t="shared" si="2"/>
        <v>57.462172271850228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49.6</v>
      </c>
      <c r="D18" s="30"/>
      <c r="E18" s="29" t="e">
        <f t="shared" si="1"/>
        <v>#DIV/0!</v>
      </c>
      <c r="F18" s="28">
        <f t="shared" si="2"/>
        <v>50.355543192292778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73.599999999999994</v>
      </c>
      <c r="D21" s="30">
        <v>263.10000000000002</v>
      </c>
      <c r="E21" s="29">
        <f>D21/$D$48</f>
        <v>1.2491038830941313E-2</v>
      </c>
      <c r="F21" s="28">
        <f>C21-(C21*$E$6)</f>
        <v>74.721128607918303</v>
      </c>
      <c r="G21" s="27" t="str">
        <f>IF(C21&gt;=F21,"-","+")</f>
        <v>+</v>
      </c>
      <c r="H21" s="26">
        <f>C21*D21</f>
        <v>19364.16</v>
      </c>
      <c r="I21" s="26">
        <f>F21*D21</f>
        <v>19659.128936743306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49.4</v>
      </c>
      <c r="D22" s="30">
        <v>699</v>
      </c>
      <c r="E22" s="29">
        <f>D22/$D$48</f>
        <v>3.3185998262364035E-2</v>
      </c>
      <c r="F22" s="28">
        <f>C22-(C22*$E$6)</f>
        <v>50.152496647162565</v>
      </c>
      <c r="G22" s="27" t="str">
        <f>IF(C22&gt;=F22,"-","+")</f>
        <v>+</v>
      </c>
      <c r="H22" s="26">
        <f>C22*D22</f>
        <v>34530.6</v>
      </c>
      <c r="I22" s="26">
        <f>F22*D22</f>
        <v>35056.595156366631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45</v>
      </c>
      <c r="D23" s="30">
        <v>515</v>
      </c>
      <c r="E23" s="29">
        <f>D23/$D$48</f>
        <v>2.4450342067406979E-2</v>
      </c>
      <c r="F23" s="28">
        <f>C23-(C23*$E$6)</f>
        <v>45.685472654297882</v>
      </c>
      <c r="G23" s="27" t="str">
        <f>IF(C23&gt;=F23,"-","+")</f>
        <v>+</v>
      </c>
      <c r="H23" s="26">
        <f>C23*D23</f>
        <v>23175</v>
      </c>
      <c r="I23" s="26">
        <f>F23*D23</f>
        <v>23528.018416963409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52.176399702119014</v>
      </c>
      <c r="D24" s="22">
        <f>SUM(D21:D23)</f>
        <v>1477.1</v>
      </c>
      <c r="E24" s="21">
        <f>D24/$D$48</f>
        <v>7.0127379160712322E-2</v>
      </c>
      <c r="F24" s="20">
        <f>I24/D24</f>
        <v>52.971188484241658</v>
      </c>
      <c r="G24" s="19">
        <f>F24/C24-1</f>
        <v>1.5232725651064261E-2</v>
      </c>
      <c r="H24" s="18">
        <f>SUM(H21:H23)</f>
        <v>77069.759999999995</v>
      </c>
      <c r="I24" s="18">
        <f>SUM(I21:I23)</f>
        <v>78243.742510073353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39.299999999999997</v>
      </c>
      <c r="D26" s="30">
        <v>3858.9</v>
      </c>
      <c r="E26" s="29">
        <f t="shared" ref="E26:E32" si="7">D26/$D$48</f>
        <v>0.18320665049304233</v>
      </c>
      <c r="F26" s="28">
        <f t="shared" ref="F26:F31" si="8">C26-(C26*$E$6)</f>
        <v>39.898646118086816</v>
      </c>
      <c r="G26" s="27" t="str">
        <f t="shared" ref="G26:G31" si="9">IF(C26&gt;=F26,"-","+")</f>
        <v>+</v>
      </c>
      <c r="H26" s="26">
        <f t="shared" ref="H26:H31" si="10">C26*D26</f>
        <v>151654.76999999999</v>
      </c>
      <c r="I26" s="26">
        <f t="shared" ref="I26:I31" si="11">F26*D26</f>
        <v>153964.88550508523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35</v>
      </c>
      <c r="D27" s="30">
        <v>2784.2</v>
      </c>
      <c r="E27" s="29">
        <f t="shared" si="7"/>
        <v>0.13218377161956216</v>
      </c>
      <c r="F27" s="28">
        <f t="shared" si="8"/>
        <v>35.533145397787244</v>
      </c>
      <c r="G27" s="27" t="str">
        <f t="shared" si="9"/>
        <v>+</v>
      </c>
      <c r="H27" s="26">
        <f t="shared" si="10"/>
        <v>97447</v>
      </c>
      <c r="I27" s="26">
        <f t="shared" si="11"/>
        <v>98931.383416519238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35</v>
      </c>
      <c r="D28" s="30">
        <v>2146.8000000000002</v>
      </c>
      <c r="E28" s="29">
        <f t="shared" si="7"/>
        <v>0.1019223191268142</v>
      </c>
      <c r="F28" s="28">
        <f t="shared" si="8"/>
        <v>35.533145397787244</v>
      </c>
      <c r="G28" s="27" t="str">
        <f t="shared" si="9"/>
        <v>+</v>
      </c>
      <c r="H28" s="26">
        <f t="shared" si="10"/>
        <v>75138</v>
      </c>
      <c r="I28" s="26">
        <f t="shared" si="11"/>
        <v>76282.556539969664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33.799999999999997</v>
      </c>
      <c r="D29" s="30">
        <v>1957.9</v>
      </c>
      <c r="E29" s="29">
        <f t="shared" si="7"/>
        <v>9.2954028609274028E-2</v>
      </c>
      <c r="F29" s="28">
        <f t="shared" si="8"/>
        <v>34.314866127005963</v>
      </c>
      <c r="G29" s="27" t="str">
        <f t="shared" si="9"/>
        <v>+</v>
      </c>
      <c r="H29" s="26">
        <f t="shared" si="10"/>
        <v>66177.02</v>
      </c>
      <c r="I29" s="26">
        <f t="shared" si="11"/>
        <v>67185.076390064976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33.799999999999997</v>
      </c>
      <c r="D30" s="30">
        <v>1285.9000000000001</v>
      </c>
      <c r="E30" s="29">
        <f t="shared" si="7"/>
        <v>6.104989294073522E-2</v>
      </c>
      <c r="F30" s="28">
        <f t="shared" si="8"/>
        <v>34.314866127005963</v>
      </c>
      <c r="G30" s="27" t="str">
        <f t="shared" si="9"/>
        <v>+</v>
      </c>
      <c r="H30" s="26">
        <f t="shared" si="10"/>
        <v>43463.42</v>
      </c>
      <c r="I30" s="26">
        <f t="shared" si="11"/>
        <v>44125.486352716973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34.4</v>
      </c>
      <c r="D31" s="30">
        <v>575.5</v>
      </c>
      <c r="E31" s="29">
        <f t="shared" si="7"/>
        <v>2.732266380542275E-2</v>
      </c>
      <c r="F31" s="28">
        <f t="shared" si="8"/>
        <v>34.924005762396604</v>
      </c>
      <c r="G31" s="27" t="str">
        <f t="shared" si="9"/>
        <v>+</v>
      </c>
      <c r="H31" s="26">
        <f t="shared" si="10"/>
        <v>19797.2</v>
      </c>
      <c r="I31" s="26">
        <f t="shared" si="11"/>
        <v>20098.765316259247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35.979872632680902</v>
      </c>
      <c r="D32" s="22">
        <f>SUM(D26:D31)</f>
        <v>12609.2</v>
      </c>
      <c r="E32" s="21">
        <f t="shared" si="7"/>
        <v>0.59863932659485064</v>
      </c>
      <c r="F32" s="20">
        <f>I32/D32</f>
        <v>36.527944161454755</v>
      </c>
      <c r="G32" s="19">
        <f>F32/C32-1</f>
        <v>1.5232725651064039E-2</v>
      </c>
      <c r="H32" s="18">
        <f>SUM(H26:H31)</f>
        <v>453677.41000000003</v>
      </c>
      <c r="I32" s="18">
        <f>SUM(I26:I31)</f>
        <v>460588.15352061531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20.7</v>
      </c>
      <c r="D34" s="30">
        <v>3595</v>
      </c>
      <c r="E34" s="29">
        <f t="shared" ref="E34:E40" si="13">D34/$D$48</f>
        <v>0.17067763054820989</v>
      </c>
      <c r="F34" s="28">
        <f t="shared" ref="F34:F39" si="14">C34-(C34*$E$6)</f>
        <v>21.015317420977023</v>
      </c>
      <c r="G34" s="27" t="str">
        <f t="shared" ref="G34:G39" si="15">IF(C34&gt;=F34,"-","+")</f>
        <v>+</v>
      </c>
      <c r="H34" s="26">
        <f t="shared" ref="H34:H39" si="16">C34*D34</f>
        <v>74416.5</v>
      </c>
      <c r="I34" s="26">
        <f t="shared" ref="I34:I39" si="17">F34*D34</f>
        <v>75550.066128412393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15.9</v>
      </c>
      <c r="D35" s="30"/>
      <c r="E35" s="29">
        <f t="shared" si="13"/>
        <v>0</v>
      </c>
      <c r="F35" s="28">
        <f t="shared" si="14"/>
        <v>16.142200337851918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12.8</v>
      </c>
      <c r="D36" s="30"/>
      <c r="E36" s="29">
        <f t="shared" si="13"/>
        <v>0</v>
      </c>
      <c r="F36" s="28">
        <f t="shared" si="14"/>
        <v>12.99497888833362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33.799999999999997</v>
      </c>
      <c r="D37" s="30"/>
      <c r="E37" s="29">
        <f t="shared" si="13"/>
        <v>0</v>
      </c>
      <c r="F37" s="28">
        <f t="shared" si="14"/>
        <v>34.314866127005963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33.799999999999997</v>
      </c>
      <c r="D38" s="30"/>
      <c r="E38" s="29">
        <f t="shared" si="13"/>
        <v>0</v>
      </c>
      <c r="F38" s="28">
        <f t="shared" si="14"/>
        <v>34.314866127005963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35</v>
      </c>
      <c r="D39" s="30"/>
      <c r="E39" s="29">
        <f t="shared" si="13"/>
        <v>0</v>
      </c>
      <c r="F39" s="28">
        <f t="shared" si="14"/>
        <v>35.533145397787244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20.7</v>
      </c>
      <c r="D40" s="22">
        <f>SUM(D34:D39)</f>
        <v>3595</v>
      </c>
      <c r="E40" s="113">
        <f t="shared" si="13"/>
        <v>0.17067763054820989</v>
      </c>
      <c r="F40" s="20">
        <f>I40/D40</f>
        <v>21.01531742097702</v>
      </c>
      <c r="G40" s="19">
        <f>F40/C40-1</f>
        <v>1.5232725651063816E-2</v>
      </c>
      <c r="H40" s="18">
        <f>SUM(H34:H39)</f>
        <v>74416.5</v>
      </c>
      <c r="I40" s="18">
        <f>SUM(I34:I39)</f>
        <v>75550.066128412393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3242</v>
      </c>
      <c r="E42" s="107">
        <f>D42/$D$48</f>
        <v>0.15391846404375423</v>
      </c>
      <c r="F42" s="28">
        <f>C42-(C42*$E$6)</f>
        <v>0.50761636282553202</v>
      </c>
      <c r="G42" s="27" t="str">
        <f>IF(C42&gt;=F42,"-","+")</f>
        <v>+</v>
      </c>
      <c r="H42" s="26">
        <f>C42*D42</f>
        <v>1621</v>
      </c>
      <c r="I42" s="26">
        <f>F42*D42</f>
        <v>1645.6922482803748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134</v>
      </c>
      <c r="E43" s="107">
        <f>D43/$D$48</f>
        <v>6.361836576762204E-3</v>
      </c>
      <c r="F43" s="28">
        <f>C43-(C43*$E$6)</f>
        <v>0.50761636282553202</v>
      </c>
      <c r="G43" s="27" t="str">
        <f>IF(C43&gt;=F43,"-","+")</f>
        <v>+</v>
      </c>
      <c r="H43" s="26">
        <f>C43*D43</f>
        <v>67</v>
      </c>
      <c r="I43" s="26">
        <f>F43*D43</f>
        <v>68.020592618621293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5.8</v>
      </c>
      <c r="E45" s="107">
        <f>D45/$D$48</f>
        <v>2.7536307571060287E-4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0.49914246850789518</v>
      </c>
      <c r="D46" s="22">
        <f>SUM(D41:D45)</f>
        <v>3381.8</v>
      </c>
      <c r="E46" s="113">
        <f>D46/$D$48</f>
        <v>0.16055566369622704</v>
      </c>
      <c r="F46" s="20">
        <f>I46/D46</f>
        <v>0.50674576879147082</v>
      </c>
      <c r="G46" s="19">
        <f>F46/C46-1</f>
        <v>1.5232725651064039E-2</v>
      </c>
      <c r="H46" s="18">
        <f>SUM(H41:H44)</f>
        <v>1688</v>
      </c>
      <c r="I46" s="18">
        <f>SUM(I41:I44)</f>
        <v>1713.7128408989961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109.35541480330782</v>
      </c>
      <c r="D48" s="13">
        <f>D24+D32+D40+D46</f>
        <v>21063.100000000002</v>
      </c>
      <c r="E48" s="12">
        <f>SUM(E20:E46)/2</f>
        <v>0.99999999999999989</v>
      </c>
      <c r="F48" s="11">
        <f>I48/D48</f>
        <v>29.250000000000004</v>
      </c>
      <c r="G48" s="10"/>
      <c r="H48" s="9">
        <f>SUM(H20:H46)/2</f>
        <v>606851.66999999993</v>
      </c>
      <c r="I48" s="9">
        <f>SUM(I20:I46)/2</f>
        <v>616095.67500000016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21063.100000000002</v>
      </c>
      <c r="E50" s="12">
        <f>D50/G2</f>
        <v>1.0000000000000002</v>
      </c>
      <c r="F50" s="11">
        <f>I50/D50</f>
        <v>29.250000000000004</v>
      </c>
      <c r="G50" s="10"/>
      <c r="H50" s="9">
        <f>H48+H19</f>
        <v>606851.66999999993</v>
      </c>
      <c r="I50" s="9">
        <f>I48+I19</f>
        <v>616095.67500000016</v>
      </c>
      <c r="J50" s="106">
        <f>D50-G2</f>
        <v>0</v>
      </c>
      <c r="K50" s="8"/>
    </row>
    <row r="51" spans="1:11" ht="23.25" x14ac:dyDescent="0.35">
      <c r="A51" s="174" t="s">
        <v>593</v>
      </c>
      <c r="B51" s="169"/>
      <c r="C51" s="170"/>
      <c r="G51" s="7"/>
      <c r="H51" s="6"/>
      <c r="I51" s="6">
        <f>+I50/D50</f>
        <v>29.250000000000004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>
    <tabColor rgb="FF92D050"/>
  </sheetPr>
  <dimension ref="A1:L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587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592</v>
      </c>
      <c r="D2" s="96" t="s">
        <v>3</v>
      </c>
      <c r="E2" s="95" t="s">
        <v>112</v>
      </c>
      <c r="F2" s="94" t="s">
        <v>5</v>
      </c>
      <c r="G2" s="116">
        <v>8560.7000000000007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132</v>
      </c>
      <c r="F3" s="88" t="s">
        <v>8</v>
      </c>
      <c r="G3" s="87">
        <v>25.3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64.853787878787884</v>
      </c>
      <c r="F4" s="81" t="s">
        <v>12</v>
      </c>
      <c r="G4" s="80">
        <f>G2*G3</f>
        <v>216585.71000000002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-0.12362903414496063</v>
      </c>
      <c r="F6" s="69" t="s">
        <v>16</v>
      </c>
      <c r="G6" s="68">
        <f>(I50-I19)/(D50-(SUM(D42:D44)+D19))</f>
        <v>32.451186659075248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28.427814563867503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 t="e">
        <f t="shared" si="1"/>
        <v>#DIV/0!</v>
      </c>
      <c r="F11" s="28">
        <f t="shared" si="2"/>
        <v>29.551443598012465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 t="e">
        <f t="shared" si="1"/>
        <v>#DIV/0!</v>
      </c>
      <c r="F12" s="28">
        <f t="shared" si="2"/>
        <v>27.079459722893553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 t="e">
        <f t="shared" si="1"/>
        <v>#DIV/0!</v>
      </c>
      <c r="F13" s="28">
        <f t="shared" si="2"/>
        <v>29.551443598012465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29.5</v>
      </c>
      <c r="D14" s="30"/>
      <c r="E14" s="29" t="e">
        <f t="shared" si="1"/>
        <v>#DIV/0!</v>
      </c>
      <c r="F14" s="28">
        <f t="shared" si="2"/>
        <v>33.147056507276339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24.3</v>
      </c>
      <c r="D15" s="30"/>
      <c r="E15" s="29" t="e">
        <f t="shared" si="1"/>
        <v>#DIV/0!</v>
      </c>
      <c r="F15" s="28">
        <f t="shared" si="2"/>
        <v>27.304185529722545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 t="e">
        <f t="shared" si="1"/>
        <v>#DIV/0!</v>
      </c>
      <c r="F16" s="28">
        <f t="shared" si="2"/>
        <v>37.304483933612694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48.9</v>
      </c>
      <c r="D17" s="30"/>
      <c r="E17" s="29" t="e">
        <f t="shared" si="1"/>
        <v>#DIV/0!</v>
      </c>
      <c r="F17" s="28">
        <f t="shared" si="2"/>
        <v>54.945459769688576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42.9</v>
      </c>
      <c r="D18" s="30"/>
      <c r="E18" s="29" t="e">
        <f t="shared" si="1"/>
        <v>#DIV/0!</v>
      </c>
      <c r="F18" s="28">
        <f t="shared" si="2"/>
        <v>48.203685564818812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63.6</v>
      </c>
      <c r="D21" s="30">
        <v>103.7</v>
      </c>
      <c r="E21" s="29">
        <f>D21/$D$48</f>
        <v>1.2113353892159612E-2</v>
      </c>
      <c r="F21" s="28">
        <f>C21-(C21*$E$6)</f>
        <v>71.462806571619495</v>
      </c>
      <c r="G21" s="27" t="str">
        <f>IF(C21&gt;=F21,"-","+")</f>
        <v>+</v>
      </c>
      <c r="H21" s="26">
        <f>C21*D21</f>
        <v>6595.3200000000006</v>
      </c>
      <c r="I21" s="26">
        <f>F21*D21</f>
        <v>7410.6930414769422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42.7</v>
      </c>
      <c r="D22" s="30">
        <v>219.2</v>
      </c>
      <c r="E22" s="29">
        <f>D22/$D$48</f>
        <v>2.560508363704327E-2</v>
      </c>
      <c r="F22" s="28">
        <f>C22-(C22*$E$6)</f>
        <v>47.97895975798982</v>
      </c>
      <c r="G22" s="27" t="str">
        <f>IF(C22&gt;=F22,"-","+")</f>
        <v>+</v>
      </c>
      <c r="H22" s="26">
        <f>C22*D22</f>
        <v>9359.84</v>
      </c>
      <c r="I22" s="26">
        <f>F22*D22</f>
        <v>10516.987978951369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</v>
      </c>
      <c r="D23" s="30">
        <v>183</v>
      </c>
      <c r="E23" s="29">
        <f>D23/$D$48</f>
        <v>2.1376506868516963E-2</v>
      </c>
      <c r="F23" s="28">
        <f>C23-(C23*$E$6)</f>
        <v>43.821532331653465</v>
      </c>
      <c r="G23" s="27" t="str">
        <f>IF(C23&gt;=F23,"-","+")</f>
        <v>+</v>
      </c>
      <c r="H23" s="26">
        <f>C23*D23</f>
        <v>7137</v>
      </c>
      <c r="I23" s="26">
        <f>F23*D23</f>
        <v>8019.3404166925839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45.645700731369836</v>
      </c>
      <c r="D24" s="22">
        <f>SUM(D21:D23)</f>
        <v>505.9</v>
      </c>
      <c r="E24" s="21">
        <f>D24/$D$48</f>
        <v>5.909494439771984E-2</v>
      </c>
      <c r="F24" s="20">
        <f>I24/D24</f>
        <v>51.288834625659014</v>
      </c>
      <c r="G24" s="19">
        <f>F24/C24-1</f>
        <v>0.12362903414496063</v>
      </c>
      <c r="H24" s="18">
        <f>SUM(H21:H23)</f>
        <v>23092.16</v>
      </c>
      <c r="I24" s="18">
        <f>SUM(I21:I23)</f>
        <v>25947.021437120893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</v>
      </c>
      <c r="D26" s="30">
        <f>1737-362</f>
        <v>1375</v>
      </c>
      <c r="E26" s="29">
        <f t="shared" ref="E26:E32" si="7">D26/$D$48</f>
        <v>0.160615830296234</v>
      </c>
      <c r="F26" s="28">
        <f t="shared" ref="F26:F31" si="8">C26-(C26*$E$6)</f>
        <v>38.203387160928663</v>
      </c>
      <c r="G26" s="27" t="str">
        <f t="shared" ref="G26:G31" si="9">IF(C26&gt;=F26,"-","+")</f>
        <v>+</v>
      </c>
      <c r="H26" s="26">
        <f t="shared" ref="H26:H31" si="10">C26*D26</f>
        <v>46750</v>
      </c>
      <c r="I26" s="26">
        <f t="shared" ref="I26:I31" si="11">F26*D26</f>
        <v>52529.657346276916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1344.6</v>
      </c>
      <c r="E27" s="29">
        <f t="shared" si="7"/>
        <v>0.15706476030277544</v>
      </c>
      <c r="F27" s="28">
        <f t="shared" si="8"/>
        <v>33.933596831177809</v>
      </c>
      <c r="G27" s="27" t="str">
        <f t="shared" si="9"/>
        <v>+</v>
      </c>
      <c r="H27" s="26">
        <f t="shared" si="10"/>
        <v>40606.92</v>
      </c>
      <c r="I27" s="26">
        <f t="shared" si="11"/>
        <v>45627.114299201676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548.5</v>
      </c>
      <c r="E28" s="29">
        <f t="shared" si="7"/>
        <v>6.4071114849079527E-2</v>
      </c>
      <c r="F28" s="28">
        <f t="shared" si="8"/>
        <v>33.933596831177809</v>
      </c>
      <c r="G28" s="27" t="str">
        <f t="shared" si="9"/>
        <v>+</v>
      </c>
      <c r="H28" s="26">
        <f t="shared" si="10"/>
        <v>16564.7</v>
      </c>
      <c r="I28" s="26">
        <f t="shared" si="11"/>
        <v>18612.577861901027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542.4</v>
      </c>
      <c r="E29" s="29">
        <f t="shared" si="7"/>
        <v>6.3358564620128968E-2</v>
      </c>
      <c r="F29" s="28">
        <f t="shared" si="8"/>
        <v>32.809967797032847</v>
      </c>
      <c r="G29" s="27" t="str">
        <f t="shared" si="9"/>
        <v>+</v>
      </c>
      <c r="H29" s="26">
        <f t="shared" si="10"/>
        <v>15838.079999999998</v>
      </c>
      <c r="I29" s="26">
        <f t="shared" si="11"/>
        <v>17796.126533110615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500</v>
      </c>
      <c r="E30" s="29">
        <f t="shared" si="7"/>
        <v>5.8405756471357824E-2</v>
      </c>
      <c r="F30" s="28">
        <f t="shared" si="8"/>
        <v>32.809967797032847</v>
      </c>
      <c r="G30" s="27" t="str">
        <f t="shared" si="9"/>
        <v>+</v>
      </c>
      <c r="H30" s="26">
        <f t="shared" si="10"/>
        <v>14600</v>
      </c>
      <c r="I30" s="26">
        <f t="shared" si="11"/>
        <v>16404.983898516424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152.19999999999999</v>
      </c>
      <c r="E31" s="29">
        <f t="shared" si="7"/>
        <v>1.7778712269881321E-2</v>
      </c>
      <c r="F31" s="28">
        <f t="shared" si="8"/>
        <v>33.371782314105332</v>
      </c>
      <c r="G31" s="27" t="str">
        <f t="shared" si="9"/>
        <v>+</v>
      </c>
      <c r="H31" s="26">
        <f t="shared" si="10"/>
        <v>4520.3399999999992</v>
      </c>
      <c r="I31" s="26">
        <f t="shared" si="11"/>
        <v>5079.1852682068311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31.120182848947948</v>
      </c>
      <c r="D32" s="22">
        <f>SUM(D26:D31)</f>
        <v>4462.7</v>
      </c>
      <c r="E32" s="21">
        <f t="shared" si="7"/>
        <v>0.52129473880945709</v>
      </c>
      <c r="F32" s="20">
        <f>I32/D32</f>
        <v>34.967540996977952</v>
      </c>
      <c r="G32" s="19">
        <f>F32/C32-1</f>
        <v>0.12362903414496063</v>
      </c>
      <c r="H32" s="18">
        <f>SUM(H26:H31)</f>
        <v>138880.04</v>
      </c>
      <c r="I32" s="18">
        <f>SUM(I26:I31)</f>
        <v>156049.6452072135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935+659.5</f>
        <v>1594.5</v>
      </c>
      <c r="E34" s="29">
        <f t="shared" ref="E34:E40" si="13">D34/$D$48</f>
        <v>0.18625595738716008</v>
      </c>
      <c r="F34" s="28">
        <f t="shared" ref="F34:F39" si="14">C34-(C34*$E$6)</f>
        <v>20.112959711194794</v>
      </c>
      <c r="G34" s="27" t="str">
        <f t="shared" ref="G34:G39" si="15">IF(C34&gt;=F34,"-","+")</f>
        <v>+</v>
      </c>
      <c r="H34" s="26">
        <f t="shared" ref="H34:H39" si="16">C34*D34</f>
        <v>28541.55</v>
      </c>
      <c r="I34" s="26">
        <f t="shared" ref="I34:I39" si="17">F34*D34</f>
        <v>32070.1142595001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108.1</v>
      </c>
      <c r="E35" s="29">
        <f t="shared" si="13"/>
        <v>1.262732454910756E-2</v>
      </c>
      <c r="F35" s="28">
        <f t="shared" si="14"/>
        <v>15.506080671200458</v>
      </c>
      <c r="G35" s="27" t="str">
        <f t="shared" si="15"/>
        <v>+</v>
      </c>
      <c r="H35" s="26">
        <f t="shared" si="16"/>
        <v>1491.78</v>
      </c>
      <c r="I35" s="26">
        <f t="shared" si="17"/>
        <v>1676.2073205567694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12.359919375594567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32.809967797032847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32.809967797032847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33.933596831177809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17.639686362034535</v>
      </c>
      <c r="D40" s="22">
        <f>SUM(D34:D39)</f>
        <v>1702.6</v>
      </c>
      <c r="E40" s="113">
        <f t="shared" si="13"/>
        <v>0.19888328193626764</v>
      </c>
      <c r="F40" s="20">
        <f>I40/D40</f>
        <v>19.8204637495929</v>
      </c>
      <c r="G40" s="19">
        <f>F40/C40-1</f>
        <v>0.12362903414496063</v>
      </c>
      <c r="H40" s="18">
        <f>SUM(H34:H39)</f>
        <v>30033.329999999998</v>
      </c>
      <c r="I40" s="18">
        <f>SUM(I34:I39)</f>
        <v>33746.321580056872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861+109+832.6</f>
        <v>1802.6</v>
      </c>
      <c r="E42" s="107">
        <f>D42/$D$48</f>
        <v>0.21056443323053922</v>
      </c>
      <c r="F42" s="28">
        <f>C42-(C42*$E$6)</f>
        <v>0.44945161365798425</v>
      </c>
      <c r="G42" s="27" t="str">
        <f>IF(C42&gt;=F42,"-","+")</f>
        <v>+</v>
      </c>
      <c r="H42" s="26">
        <f>C42*D42</f>
        <v>721.04</v>
      </c>
      <c r="I42" s="26">
        <f>F42*D42</f>
        <v>810.18147877988235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72.400000000000006</v>
      </c>
      <c r="E43" s="107">
        <f>D43/$D$48</f>
        <v>8.4571535370526127E-3</v>
      </c>
      <c r="F43" s="28">
        <f>C43-(C43*$E$6)</f>
        <v>0.44945161365798425</v>
      </c>
      <c r="G43" s="27" t="str">
        <f>IF(C43&gt;=F43,"-","+")</f>
        <v>+</v>
      </c>
      <c r="H43" s="26">
        <f>C43*D43</f>
        <v>28.960000000000004</v>
      </c>
      <c r="I43" s="26">
        <f>F43*D43</f>
        <v>32.540296828838059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11.6</v>
      </c>
      <c r="E44" s="107">
        <f>D44/$D$48</f>
        <v>1.3550135501355014E-3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</v>
      </c>
      <c r="E45" s="107">
        <f>D45/$D$48</f>
        <v>3.5043453882814692E-4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0.39690939881456394</v>
      </c>
      <c r="D46" s="22">
        <f>SUM(D41:D45)</f>
        <v>1889.6</v>
      </c>
      <c r="E46" s="113">
        <f>D46/$D$48</f>
        <v>0.22072703485655548</v>
      </c>
      <c r="F46" s="20">
        <f>I46/D46</f>
        <v>0.44597892443306547</v>
      </c>
      <c r="G46" s="19">
        <f>F46/C46-1</f>
        <v>0.12362903414496063</v>
      </c>
      <c r="H46" s="18">
        <f>SUM(H41:H44)</f>
        <v>750</v>
      </c>
      <c r="I46" s="18">
        <f>SUM(I41:I44)</f>
        <v>842.72177560872046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94.802479341166887</v>
      </c>
      <c r="D48" s="13">
        <f>D24+D32+D40+D46</f>
        <v>8560.7999999999993</v>
      </c>
      <c r="E48" s="12">
        <f>SUM(E20:E46)/2</f>
        <v>0.99999999999999989</v>
      </c>
      <c r="F48" s="11">
        <f>I48/D48</f>
        <v>25.299704466872253</v>
      </c>
      <c r="G48" s="10"/>
      <c r="H48" s="9">
        <f>SUM(H20:H46)/2</f>
        <v>192755.53000000003</v>
      </c>
      <c r="I48" s="9">
        <f>SUM(I20:I46)/2</f>
        <v>216585.70999999996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8560.7999999999993</v>
      </c>
      <c r="E50" s="12">
        <f>D50/G2</f>
        <v>1.0000116812877451</v>
      </c>
      <c r="F50" s="11">
        <f>I50/D50</f>
        <v>25.299704466872253</v>
      </c>
      <c r="G50" s="10"/>
      <c r="H50" s="9">
        <f>H48+H19</f>
        <v>192755.53000000003</v>
      </c>
      <c r="I50" s="9">
        <f>I48+I19</f>
        <v>216585.70999999996</v>
      </c>
      <c r="J50" s="106">
        <f>D50-G2</f>
        <v>9.9999999998544808E-2</v>
      </c>
      <c r="K50" s="8"/>
    </row>
    <row r="51" spans="1:11" ht="23.25" x14ac:dyDescent="0.35">
      <c r="A51" s="174" t="s">
        <v>594</v>
      </c>
      <c r="B51" s="169"/>
      <c r="C51" s="170"/>
      <c r="G51" s="7"/>
      <c r="H51" s="6"/>
      <c r="I51" s="6">
        <f>+I50/D50</f>
        <v>25.299704466872253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592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595</v>
      </c>
      <c r="D2" s="96" t="s">
        <v>3</v>
      </c>
      <c r="E2" s="95" t="s">
        <v>362</v>
      </c>
      <c r="F2" s="94" t="s">
        <v>5</v>
      </c>
      <c r="G2" s="93">
        <v>26009.4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300</v>
      </c>
      <c r="F3" s="88" t="s">
        <v>8</v>
      </c>
      <c r="G3" s="87">
        <v>28.5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86.698000000000008</v>
      </c>
      <c r="F4" s="81" t="s">
        <v>12</v>
      </c>
      <c r="G4" s="80">
        <f>G2*G3</f>
        <v>741267.9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-1.8704992192201564E-2</v>
      </c>
      <c r="F6" s="69" t="s">
        <v>16</v>
      </c>
      <c r="G6" s="68">
        <f>(I50-I19)/(D50-(SUM(D42:D44)+D19))</f>
        <v>33.955333160193895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29.033092277477746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29.7</v>
      </c>
      <c r="D11" s="30">
        <v>650.20000000000005</v>
      </c>
      <c r="E11" s="29">
        <f t="shared" si="1"/>
        <v>0.44102285830563653</v>
      </c>
      <c r="F11" s="28">
        <f t="shared" si="2"/>
        <v>30.255538268108385</v>
      </c>
      <c r="G11" s="27" t="str">
        <f t="shared" si="3"/>
        <v>+</v>
      </c>
      <c r="H11" s="34">
        <f t="shared" si="4"/>
        <v>19310.940000000002</v>
      </c>
      <c r="I11" s="34">
        <f t="shared" si="5"/>
        <v>19672.150981924075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>
        <v>824.1</v>
      </c>
      <c r="E12" s="29">
        <f t="shared" si="1"/>
        <v>0.55897714169436341</v>
      </c>
      <c r="F12" s="28">
        <f t="shared" si="2"/>
        <v>27.606905288408665</v>
      </c>
      <c r="G12" s="27" t="str">
        <f t="shared" si="3"/>
        <v>+</v>
      </c>
      <c r="H12" s="34">
        <f t="shared" si="4"/>
        <v>22333.11</v>
      </c>
      <c r="I12" s="34">
        <f t="shared" si="5"/>
        <v>22750.85064817758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29.7</v>
      </c>
      <c r="D13" s="30"/>
      <c r="E13" s="29">
        <f t="shared" si="1"/>
        <v>0</v>
      </c>
      <c r="F13" s="28">
        <f t="shared" si="2"/>
        <v>30.255538268108385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33.200000000000003</v>
      </c>
      <c r="D14" s="30"/>
      <c r="E14" s="29">
        <f t="shared" si="1"/>
        <v>0</v>
      </c>
      <c r="F14" s="28">
        <f t="shared" si="2"/>
        <v>33.821005740781096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27.4</v>
      </c>
      <c r="D15" s="30"/>
      <c r="E15" s="29">
        <f t="shared" si="1"/>
        <v>0</v>
      </c>
      <c r="F15" s="28">
        <f t="shared" si="2"/>
        <v>27.91251678606632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37.5</v>
      </c>
      <c r="D16" s="30"/>
      <c r="E16" s="29">
        <f t="shared" si="1"/>
        <v>0</v>
      </c>
      <c r="F16" s="28">
        <f t="shared" si="2"/>
        <v>38.201437207207562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>
        <f t="shared" si="1"/>
        <v>0</v>
      </c>
      <c r="F17" s="28">
        <f t="shared" si="2"/>
        <v>56.130645069790305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48.3</v>
      </c>
      <c r="D18" s="30"/>
      <c r="E18" s="29">
        <f t="shared" si="1"/>
        <v>0</v>
      </c>
      <c r="F18" s="28">
        <f t="shared" si="2"/>
        <v>49.20345112288333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28.246659431594654</v>
      </c>
      <c r="D19" s="49">
        <f>SUM(D10:D18)</f>
        <v>1474.3000000000002</v>
      </c>
      <c r="E19" s="48">
        <f t="shared" si="1"/>
        <v>1</v>
      </c>
      <c r="F19" s="47">
        <f>I19/D19</f>
        <v>28.775012975718411</v>
      </c>
      <c r="G19" s="46">
        <f>F19/C19-1</f>
        <v>1.8704992192201564E-2</v>
      </c>
      <c r="H19" s="9">
        <f>SUM(H10:H18)</f>
        <v>41644.050000000003</v>
      </c>
      <c r="I19" s="9">
        <f>SUM(I10:I18)</f>
        <v>42423.001630101659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71.7</v>
      </c>
      <c r="D21" s="30">
        <v>282.5</v>
      </c>
      <c r="E21" s="29">
        <f>D21/$D$48</f>
        <v>1.1514116510631707E-2</v>
      </c>
      <c r="F21" s="28">
        <f>C21-(C21*$E$6)</f>
        <v>73.041147940180849</v>
      </c>
      <c r="G21" s="27" t="str">
        <f>IF(C21&gt;=F21,"-","+")</f>
        <v>+</v>
      </c>
      <c r="H21" s="26">
        <f>C21*D21</f>
        <v>20255.25</v>
      </c>
      <c r="I21" s="26">
        <f>F21*D21</f>
        <v>20634.124293101089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723.8</v>
      </c>
      <c r="E22" s="29">
        <f>D22/$D$48</f>
        <v>2.9500593027947712E-2</v>
      </c>
      <c r="F22" s="28">
        <f>C22-(C22*$E$6)</f>
        <v>48.999710124444896</v>
      </c>
      <c r="G22" s="27" t="str">
        <f>IF(C22&gt;=F22,"-","+")</f>
        <v>+</v>
      </c>
      <c r="H22" s="26">
        <f>C22*D22</f>
        <v>34814.78</v>
      </c>
      <c r="I22" s="26">
        <f>F22*D22</f>
        <v>35465.990188073214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43.9</v>
      </c>
      <c r="D23" s="30">
        <v>554.79999999999995</v>
      </c>
      <c r="E23" s="29">
        <f>D23/$D$48</f>
        <v>2.2612502088844143E-2</v>
      </c>
      <c r="F23" s="28">
        <f>C23-(C23*$E$6)</f>
        <v>44.721149157237647</v>
      </c>
      <c r="G23" s="27" t="str">
        <f>IF(C23&gt;=F23,"-","+")</f>
        <v>+</v>
      </c>
      <c r="H23" s="26">
        <f>C23*D23</f>
        <v>24355.719999999998</v>
      </c>
      <c r="I23" s="26">
        <f>F23*D23</f>
        <v>24811.293552435443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50.878066747806038</v>
      </c>
      <c r="D24" s="22">
        <f>SUM(D21:D23)</f>
        <v>1561.1</v>
      </c>
      <c r="E24" s="21">
        <f>D24/$D$48</f>
        <v>6.3627211627423561E-2</v>
      </c>
      <c r="F24" s="20">
        <f>I24/D24</f>
        <v>51.82974058907805</v>
      </c>
      <c r="G24" s="19">
        <f>F24/C24-1</f>
        <v>1.8704992192201342E-2</v>
      </c>
      <c r="H24" s="18">
        <f>SUM(H21:H23)</f>
        <v>79425.75</v>
      </c>
      <c r="I24" s="18">
        <f>SUM(I21:I23)</f>
        <v>80911.40803360974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f>1252.2+179.8+3284.8</f>
        <v>4716.8</v>
      </c>
      <c r="E26" s="29">
        <f t="shared" ref="E26:E32" si="7">D26/$D$48</f>
        <v>0.19224702568972613</v>
      </c>
      <c r="F26" s="28">
        <f t="shared" ref="F26:F31" si="8">C26-(C26*$E$6)</f>
        <v>38.914530701742102</v>
      </c>
      <c r="G26" s="27" t="str">
        <f t="shared" ref="G26:G31" si="9">IF(C26&gt;=F26,"-","+")</f>
        <v>+</v>
      </c>
      <c r="H26" s="26">
        <f t="shared" ref="H26:H31" si="10">C26*D26</f>
        <v>180181.76000000001</v>
      </c>
      <c r="I26" s="26">
        <f t="shared" ref="I26:I31" si="11">F26*D26</f>
        <v>183552.05841397715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34.1</v>
      </c>
      <c r="D27" s="30">
        <v>3578.4</v>
      </c>
      <c r="E27" s="29">
        <f t="shared" si="7"/>
        <v>0.14584819299697169</v>
      </c>
      <c r="F27" s="28">
        <f t="shared" si="8"/>
        <v>34.737840233754078</v>
      </c>
      <c r="G27" s="27" t="str">
        <f t="shared" si="9"/>
        <v>+</v>
      </c>
      <c r="H27" s="26">
        <f t="shared" si="10"/>
        <v>122023.44</v>
      </c>
      <c r="I27" s="26">
        <f t="shared" si="11"/>
        <v>124305.8874924656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34.1</v>
      </c>
      <c r="D28" s="30">
        <v>2296.6999999999998</v>
      </c>
      <c r="E28" s="29">
        <f t="shared" si="7"/>
        <v>9.3608748283071988E-2</v>
      </c>
      <c r="F28" s="28">
        <f t="shared" si="8"/>
        <v>34.737840233754078</v>
      </c>
      <c r="G28" s="27" t="str">
        <f t="shared" si="9"/>
        <v>+</v>
      </c>
      <c r="H28" s="26">
        <f t="shared" si="10"/>
        <v>78317.47</v>
      </c>
      <c r="I28" s="26">
        <f t="shared" si="11"/>
        <v>79782.39766486299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2358</v>
      </c>
      <c r="E29" s="29">
        <f t="shared" si="7"/>
        <v>9.6107209671042707E-2</v>
      </c>
      <c r="F29" s="28">
        <f t="shared" si="8"/>
        <v>33.515394243123431</v>
      </c>
      <c r="G29" s="27" t="str">
        <f t="shared" si="9"/>
        <v>+</v>
      </c>
      <c r="H29" s="26">
        <f t="shared" si="10"/>
        <v>77578.2</v>
      </c>
      <c r="I29" s="26">
        <f t="shared" si="11"/>
        <v>79029.299625285057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1644.6</v>
      </c>
      <c r="E30" s="29">
        <f t="shared" si="7"/>
        <v>6.7030499162424428E-2</v>
      </c>
      <c r="F30" s="28">
        <f t="shared" si="8"/>
        <v>33.515394243123431</v>
      </c>
      <c r="G30" s="27" t="str">
        <f t="shared" si="9"/>
        <v>+</v>
      </c>
      <c r="H30" s="26">
        <f t="shared" si="10"/>
        <v>54107.34</v>
      </c>
      <c r="I30" s="26">
        <f t="shared" si="11"/>
        <v>55119.417372240794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343.5</v>
      </c>
      <c r="E31" s="29">
        <f t="shared" si="7"/>
        <v>1.4000350518237137E-2</v>
      </c>
      <c r="F31" s="28">
        <f t="shared" si="8"/>
        <v>34.126617238438754</v>
      </c>
      <c r="G31" s="27" t="str">
        <f t="shared" si="9"/>
        <v>+</v>
      </c>
      <c r="H31" s="26">
        <f t="shared" si="10"/>
        <v>11507.25</v>
      </c>
      <c r="I31" s="26">
        <f t="shared" si="11"/>
        <v>11722.493021403712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35.059275672780828</v>
      </c>
      <c r="D32" s="22">
        <f>SUM(D26:D31)</f>
        <v>14938.000000000002</v>
      </c>
      <c r="E32" s="21">
        <f t="shared" si="7"/>
        <v>0.60884202632147411</v>
      </c>
      <c r="F32" s="20">
        <f>I32/D32</f>
        <v>35.715059150504437</v>
      </c>
      <c r="G32" s="19">
        <f>F32/C32-1</f>
        <v>1.8704992192201564E-2</v>
      </c>
      <c r="H32" s="18">
        <f>SUM(H26:H31)</f>
        <v>523715.46000000008</v>
      </c>
      <c r="I32" s="18">
        <f>SUM(I26:I31)</f>
        <v>533511.5535902353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f>1436+2421.2</f>
        <v>3857.2</v>
      </c>
      <c r="E34" s="29">
        <f t="shared" ref="E34:E40" si="13">D34/$D$48</f>
        <v>0.15721150514976501</v>
      </c>
      <c r="F34" s="28">
        <f t="shared" ref="F34:F39" si="14">C34-(C34*$E$6)</f>
        <v>20.475970343063253</v>
      </c>
      <c r="G34" s="27" t="str">
        <f t="shared" ref="G34:G39" si="15">IF(C34&gt;=F34,"-","+")</f>
        <v>+</v>
      </c>
      <c r="H34" s="26">
        <f t="shared" ref="H34:H39" si="16">C34*D34</f>
        <v>77529.72</v>
      </c>
      <c r="I34" s="26">
        <f t="shared" ref="I34:I39" si="17">F34*D34</f>
        <v>78979.912807263579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>
        <v>217.9</v>
      </c>
      <c r="E35" s="29">
        <f t="shared" si="13"/>
        <v>8.8811539386430046E-3</v>
      </c>
      <c r="F35" s="28">
        <f t="shared" si="14"/>
        <v>15.789927378979124</v>
      </c>
      <c r="G35" s="27" t="str">
        <f t="shared" si="15"/>
        <v>+</v>
      </c>
      <c r="H35" s="26">
        <f t="shared" si="16"/>
        <v>3377.4500000000003</v>
      </c>
      <c r="I35" s="26">
        <f t="shared" si="17"/>
        <v>3440.6251758795511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12.6319419031833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33.515394243123431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33.515394243123431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34.1</v>
      </c>
      <c r="D39" s="30"/>
      <c r="E39" s="29">
        <f t="shared" si="13"/>
        <v>0</v>
      </c>
      <c r="F39" s="28">
        <f t="shared" si="14"/>
        <v>34.737840233754078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19.854033029864297</v>
      </c>
      <c r="D40" s="22">
        <f>SUM(D34:D39)</f>
        <v>4075.1</v>
      </c>
      <c r="E40" s="113">
        <f t="shared" si="13"/>
        <v>0.16609265908840801</v>
      </c>
      <c r="F40" s="20">
        <f>I40/D40</f>
        <v>20.225402562671626</v>
      </c>
      <c r="G40" s="19">
        <f>F40/C40-1</f>
        <v>1.8704992192201786E-2</v>
      </c>
      <c r="H40" s="18">
        <f>SUM(H34:H39)</f>
        <v>80907.17</v>
      </c>
      <c r="I40" s="18">
        <f>SUM(I34:I39)</f>
        <v>82420.537983143135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213.7+1693.8+1886</f>
        <v>3793.5</v>
      </c>
      <c r="E42" s="107">
        <f>D42/$D$48</f>
        <v>0.15461522471887212</v>
      </c>
      <c r="F42" s="28">
        <f>C42-(C42*$E$6)</f>
        <v>0.50935249609610078</v>
      </c>
      <c r="G42" s="27" t="str">
        <f>IF(C42&gt;=F42,"-","+")</f>
        <v>+</v>
      </c>
      <c r="H42" s="26">
        <f>C42*D42</f>
        <v>1896.75</v>
      </c>
      <c r="I42" s="26">
        <f>F42*D42</f>
        <v>1932.2286939405583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135.80000000000001</v>
      </c>
      <c r="E43" s="107">
        <f>D43/$D$48</f>
        <v>5.5349275120134015E-3</v>
      </c>
      <c r="F43" s="28">
        <f>C43-(C43*$E$6)</f>
        <v>0.50935249609610078</v>
      </c>
      <c r="G43" s="27" t="str">
        <f>IF(C43&gt;=F43,"-","+")</f>
        <v>+</v>
      </c>
      <c r="H43" s="26">
        <f>C43*D43</f>
        <v>67.900000000000006</v>
      </c>
      <c r="I43" s="26">
        <f>F43*D43</f>
        <v>69.17006896985049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24.5</v>
      </c>
      <c r="E44" s="107">
        <f>D44/$D$48</f>
        <v>9.9856939649726312E-4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7.1</v>
      </c>
      <c r="E45" s="107">
        <f>D45/$D$48</f>
        <v>2.8938133531145174E-4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0.49601100759928302</v>
      </c>
      <c r="D46" s="22">
        <f>SUM(D41:D45)</f>
        <v>3960.9</v>
      </c>
      <c r="E46" s="113">
        <f>D46/$D$48</f>
        <v>0.16143810296269426</v>
      </c>
      <c r="F46" s="20">
        <f>I46/D46</f>
        <v>0.50528888962367358</v>
      </c>
      <c r="G46" s="19">
        <f>F46/C46-1</f>
        <v>1.8704992192201342E-2</v>
      </c>
      <c r="H46" s="18">
        <f>SUM(H41:H44)</f>
        <v>1964.65</v>
      </c>
      <c r="I46" s="18">
        <f>SUM(I41:I44)</f>
        <v>2001.3987629104088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106.28738645805045</v>
      </c>
      <c r="D48" s="13">
        <f>D24+D32+D40+D46</f>
        <v>24535.100000000002</v>
      </c>
      <c r="E48" s="12">
        <f>SUM(E20:E46)/2</f>
        <v>1</v>
      </c>
      <c r="F48" s="11">
        <f>I48/D48</f>
        <v>28.483474628996767</v>
      </c>
      <c r="G48" s="10"/>
      <c r="H48" s="9">
        <f>SUM(H20:H46)/2</f>
        <v>686013.0299999998</v>
      </c>
      <c r="I48" s="9">
        <f>SUM(I20:I46)/2</f>
        <v>698844.89836989867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26009.4</v>
      </c>
      <c r="E50" s="12">
        <f>D50/G2</f>
        <v>1</v>
      </c>
      <c r="F50" s="11">
        <f>I50/D50</f>
        <v>28.500000000000014</v>
      </c>
      <c r="G50" s="10"/>
      <c r="H50" s="9">
        <f>H48+H19</f>
        <v>727657.07999999984</v>
      </c>
      <c r="I50" s="9">
        <f>I48+I19</f>
        <v>741267.90000000037</v>
      </c>
      <c r="J50" s="106">
        <f>D50-G2</f>
        <v>0</v>
      </c>
      <c r="K50" s="8"/>
    </row>
    <row r="51" spans="1:11" ht="23.25" x14ac:dyDescent="0.35">
      <c r="A51" s="174" t="s">
        <v>596</v>
      </c>
      <c r="B51" s="169"/>
      <c r="C51" s="170"/>
      <c r="G51" s="7"/>
      <c r="H51" s="6"/>
      <c r="I51" s="6">
        <f>+I50/D50</f>
        <v>28.500000000000014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595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595</v>
      </c>
      <c r="D2" s="96" t="s">
        <v>3</v>
      </c>
      <c r="E2" s="95" t="s">
        <v>112</v>
      </c>
      <c r="F2" s="94" t="s">
        <v>5</v>
      </c>
      <c r="G2" s="93">
        <v>8925.7000000000007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148</v>
      </c>
      <c r="F3" s="88" t="s">
        <v>8</v>
      </c>
      <c r="G3" s="87">
        <v>25.82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60.308783783783788</v>
      </c>
      <c r="F4" s="81" t="s">
        <v>12</v>
      </c>
      <c r="G4" s="80">
        <f>G2*G3</f>
        <v>230461.57400000002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-3.2546377911095936E-2</v>
      </c>
      <c r="F6" s="69" t="s">
        <v>16</v>
      </c>
      <c r="G6" s="68">
        <f>(I50-I19)/(D50-(SUM(D42:D44)+D19))</f>
        <v>32.528557072082897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25.8</v>
      </c>
      <c r="D10" s="30"/>
      <c r="E10" s="29" t="e">
        <f t="shared" ref="E10:E19" si="1">D10/$D$19</f>
        <v>#DIV/0!</v>
      </c>
      <c r="F10" s="28">
        <f t="shared" ref="F10:F18" si="2">C10-(C10*$E$6)</f>
        <v>26.639696550106276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26.9</v>
      </c>
      <c r="D11" s="30"/>
      <c r="E11" s="29" t="e">
        <f t="shared" si="1"/>
        <v>#DIV/0!</v>
      </c>
      <c r="F11" s="28">
        <f t="shared" si="2"/>
        <v>27.775497565808479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24.6</v>
      </c>
      <c r="D12" s="30"/>
      <c r="E12" s="29" t="e">
        <f t="shared" si="1"/>
        <v>#DIV/0!</v>
      </c>
      <c r="F12" s="28">
        <f t="shared" si="2"/>
        <v>25.400640896612963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26.9</v>
      </c>
      <c r="D13" s="30"/>
      <c r="E13" s="29" t="e">
        <f t="shared" si="1"/>
        <v>#DIV/0!</v>
      </c>
      <c r="F13" s="28">
        <f t="shared" si="2"/>
        <v>27.775497565808479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30.1</v>
      </c>
      <c r="D14" s="30"/>
      <c r="E14" s="29" t="e">
        <f t="shared" si="1"/>
        <v>#DIV/0!</v>
      </c>
      <c r="F14" s="28">
        <f t="shared" si="2"/>
        <v>31.079645975123988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24.8</v>
      </c>
      <c r="D15" s="30"/>
      <c r="E15" s="29" t="e">
        <f t="shared" si="1"/>
        <v>#DIV/0!</v>
      </c>
      <c r="F15" s="28">
        <f t="shared" si="2"/>
        <v>25.60715017219518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33.9</v>
      </c>
      <c r="D16" s="30"/>
      <c r="E16" s="29" t="e">
        <f t="shared" si="1"/>
        <v>#DIV/0!</v>
      </c>
      <c r="F16" s="28">
        <f t="shared" si="2"/>
        <v>35.003322211186152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49.9</v>
      </c>
      <c r="D17" s="30"/>
      <c r="E17" s="29" t="e">
        <f t="shared" si="1"/>
        <v>#DIV/0!</v>
      </c>
      <c r="F17" s="28">
        <f t="shared" si="2"/>
        <v>51.524064257763683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43.7</v>
      </c>
      <c r="D18" s="30"/>
      <c r="E18" s="29" t="e">
        <f t="shared" si="1"/>
        <v>#DIV/0!</v>
      </c>
      <c r="F18" s="28">
        <f t="shared" si="2"/>
        <v>45.122276714714893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64.900000000000006</v>
      </c>
      <c r="D21" s="30">
        <v>125.4</v>
      </c>
      <c r="E21" s="29">
        <f>D21/$D$48</f>
        <v>1.4049318260752661E-2</v>
      </c>
      <c r="F21" s="28">
        <f>C21-(C21*$E$6)</f>
        <v>67.012259926430133</v>
      </c>
      <c r="G21" s="27" t="str">
        <f>IF(C21&gt;=F21,"-","+")</f>
        <v>+</v>
      </c>
      <c r="H21" s="26">
        <f>C21*D21</f>
        <v>8138.4600000000009</v>
      </c>
      <c r="I21" s="26">
        <f>F21*D21</f>
        <v>8403.3373947743385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43.6</v>
      </c>
      <c r="D22" s="30">
        <v>241</v>
      </c>
      <c r="E22" s="29">
        <f>D22/$D$48</f>
        <v>2.7000683419787806E-2</v>
      </c>
      <c r="F22" s="28">
        <f>C22-(C22*$E$6)</f>
        <v>45.019022076923783</v>
      </c>
      <c r="G22" s="27" t="str">
        <f>IF(C22&gt;=F22,"-","+")</f>
        <v>+</v>
      </c>
      <c r="H22" s="26">
        <f>C22*D22</f>
        <v>10507.6</v>
      </c>
      <c r="I22" s="26">
        <f>F22*D22</f>
        <v>10849.584320538632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39.799999999999997</v>
      </c>
      <c r="D23" s="30">
        <v>184.4</v>
      </c>
      <c r="E23" s="29">
        <f>D23/$D$48</f>
        <v>2.0659444077215237E-2</v>
      </c>
      <c r="F23" s="28">
        <f>C23-(C23*$E$6)</f>
        <v>41.095345840861619</v>
      </c>
      <c r="G23" s="27" t="str">
        <f>IF(C23&gt;=F23,"-","+")</f>
        <v>+</v>
      </c>
      <c r="H23" s="26">
        <f>C23*D23</f>
        <v>7339.12</v>
      </c>
      <c r="I23" s="26">
        <f>F23*D23</f>
        <v>7577.981773054883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47.177160493827166</v>
      </c>
      <c r="D24" s="22">
        <f>SUM(D21:D23)</f>
        <v>550.79999999999995</v>
      </c>
      <c r="E24" s="21">
        <f>D24/$D$48</f>
        <v>6.17094457577557E-2</v>
      </c>
      <c r="F24" s="20">
        <f>I24/D24</f>
        <v>48.712606188031693</v>
      </c>
      <c r="G24" s="19">
        <f>F24/C24-1</f>
        <v>3.2546377911095936E-2</v>
      </c>
      <c r="H24" s="18">
        <f>SUM(H21:H23)</f>
        <v>25985.18</v>
      </c>
      <c r="I24" s="18">
        <f>SUM(I21:I23)</f>
        <v>26830.903488367854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34.700000000000003</v>
      </c>
      <c r="D26" s="30">
        <v>1985.4</v>
      </c>
      <c r="E26" s="29">
        <f t="shared" ref="E26:E32" si="7">D26/$D$48</f>
        <v>0.22243633552550504</v>
      </c>
      <c r="F26" s="28">
        <f t="shared" ref="F26:F31" si="8">C26-(C26*$E$6)</f>
        <v>35.829359313515035</v>
      </c>
      <c r="G26" s="27" t="str">
        <f t="shared" ref="G26:G31" si="9">IF(C26&gt;=F26,"-","+")</f>
        <v>+</v>
      </c>
      <c r="H26" s="26">
        <f t="shared" ref="H26:H31" si="10">C26*D26</f>
        <v>68893.38</v>
      </c>
      <c r="I26" s="26">
        <f t="shared" ref="I26:I31" si="11">F26*D26</f>
        <v>71135.609981052752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30.9</v>
      </c>
      <c r="D27" s="30">
        <v>1428.5</v>
      </c>
      <c r="E27" s="29">
        <f t="shared" si="7"/>
        <v>0.16004346997994556</v>
      </c>
      <c r="F27" s="28">
        <f t="shared" si="8"/>
        <v>31.905683077452863</v>
      </c>
      <c r="G27" s="27" t="str">
        <f t="shared" si="9"/>
        <v>+</v>
      </c>
      <c r="H27" s="26">
        <f t="shared" si="10"/>
        <v>44140.65</v>
      </c>
      <c r="I27" s="26">
        <f t="shared" si="11"/>
        <v>45577.268276141418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30.9</v>
      </c>
      <c r="D28" s="30">
        <v>726</v>
      </c>
      <c r="E28" s="29">
        <f t="shared" si="7"/>
        <v>8.133815835172592E-2</v>
      </c>
      <c r="F28" s="28">
        <f t="shared" si="8"/>
        <v>31.905683077452863</v>
      </c>
      <c r="G28" s="27" t="str">
        <f t="shared" si="9"/>
        <v>+</v>
      </c>
      <c r="H28" s="26">
        <f t="shared" si="10"/>
        <v>22433.399999999998</v>
      </c>
      <c r="I28" s="26">
        <f t="shared" si="11"/>
        <v>23163.52591423078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29.8</v>
      </c>
      <c r="D29" s="30">
        <v>815.4</v>
      </c>
      <c r="E29" s="29">
        <f t="shared" si="7"/>
        <v>9.1354179504128538E-2</v>
      </c>
      <c r="F29" s="28">
        <f t="shared" si="8"/>
        <v>30.769882061750661</v>
      </c>
      <c r="G29" s="27" t="str">
        <f t="shared" si="9"/>
        <v>+</v>
      </c>
      <c r="H29" s="26">
        <f t="shared" si="10"/>
        <v>24298.92</v>
      </c>
      <c r="I29" s="26">
        <f t="shared" si="11"/>
        <v>25089.76183315149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29.8</v>
      </c>
      <c r="D30" s="30">
        <v>500</v>
      </c>
      <c r="E30" s="29">
        <f t="shared" si="7"/>
        <v>5.6018015393750634E-2</v>
      </c>
      <c r="F30" s="28">
        <f t="shared" si="8"/>
        <v>30.769882061750661</v>
      </c>
      <c r="G30" s="27" t="str">
        <f t="shared" si="9"/>
        <v>+</v>
      </c>
      <c r="H30" s="26">
        <f t="shared" si="10"/>
        <v>14900</v>
      </c>
      <c r="I30" s="26">
        <f t="shared" si="11"/>
        <v>15384.94103087533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30.3</v>
      </c>
      <c r="D31" s="30">
        <v>188.2</v>
      </c>
      <c r="E31" s="29">
        <f t="shared" si="7"/>
        <v>2.1085180994207739E-2</v>
      </c>
      <c r="F31" s="28">
        <f t="shared" si="8"/>
        <v>31.286155250706209</v>
      </c>
      <c r="G31" s="27" t="str">
        <f t="shared" si="9"/>
        <v>+</v>
      </c>
      <c r="H31" s="26">
        <f t="shared" si="10"/>
        <v>5702.46</v>
      </c>
      <c r="I31" s="26">
        <f t="shared" si="11"/>
        <v>5888.0544181829082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31.960451847257907</v>
      </c>
      <c r="D32" s="22">
        <f>SUM(D26:D31)</f>
        <v>5643.4999999999991</v>
      </c>
      <c r="E32" s="21">
        <f t="shared" si="7"/>
        <v>0.63227533974926331</v>
      </c>
      <c r="F32" s="20">
        <f>I32/D32</f>
        <v>33.000648791288157</v>
      </c>
      <c r="G32" s="19">
        <f>F32/C32-1</f>
        <v>3.2546377911096158E-2</v>
      </c>
      <c r="H32" s="18">
        <f>SUM(H26:H31)</f>
        <v>180368.80999999997</v>
      </c>
      <c r="I32" s="18">
        <f>SUM(I26:I31)</f>
        <v>186239.16145363468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v>885</v>
      </c>
      <c r="E34" s="29">
        <f t="shared" ref="E34:E40" si="13">D34/$D$48</f>
        <v>9.915188724693863E-2</v>
      </c>
      <c r="F34" s="28">
        <f t="shared" ref="F34:F39" si="14">C34-(C34*$E$6)</f>
        <v>18.792344077981944</v>
      </c>
      <c r="G34" s="27" t="str">
        <f t="shared" ref="G34:G39" si="15">IF(C34&gt;=F34,"-","+")</f>
        <v>+</v>
      </c>
      <c r="H34" s="26">
        <f t="shared" ref="H34:H39" si="16">C34*D34</f>
        <v>16107</v>
      </c>
      <c r="I34" s="26">
        <f t="shared" ref="I34:I39" si="17">F34*D34</f>
        <v>16631.22450901402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/>
      <c r="E35" s="29">
        <f t="shared" si="13"/>
        <v>0</v>
      </c>
      <c r="F35" s="28">
        <f t="shared" si="14"/>
        <v>14.455649290755343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11.667774070395385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29.8</v>
      </c>
      <c r="D37" s="30"/>
      <c r="E37" s="29">
        <f t="shared" si="13"/>
        <v>0</v>
      </c>
      <c r="F37" s="28">
        <f t="shared" si="14"/>
        <v>30.769882061750661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29.8</v>
      </c>
      <c r="D38" s="30"/>
      <c r="E38" s="29">
        <f t="shared" si="13"/>
        <v>0</v>
      </c>
      <c r="F38" s="28">
        <f t="shared" si="14"/>
        <v>30.769882061750661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30.9</v>
      </c>
      <c r="D39" s="30"/>
      <c r="E39" s="29">
        <f t="shared" si="13"/>
        <v>0</v>
      </c>
      <c r="F39" s="28">
        <f t="shared" si="14"/>
        <v>31.905683077452863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18.2</v>
      </c>
      <c r="D40" s="22">
        <f>SUM(D34:D39)</f>
        <v>885</v>
      </c>
      <c r="E40" s="113">
        <f t="shared" si="13"/>
        <v>9.915188724693863E-2</v>
      </c>
      <c r="F40" s="20">
        <f>I40/D40</f>
        <v>18.792344077981944</v>
      </c>
      <c r="G40" s="19">
        <f>F40/C40-1</f>
        <v>3.2546377911095936E-2</v>
      </c>
      <c r="H40" s="18">
        <f>SUM(H34:H39)</f>
        <v>16107</v>
      </c>
      <c r="I40" s="18">
        <f>SUM(I34:I39)</f>
        <v>16631.22450901402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1791</v>
      </c>
      <c r="E42" s="107">
        <f>D42/$D$48</f>
        <v>0.20065653114041479</v>
      </c>
      <c r="F42" s="28">
        <f>C42-(C42*$E$6)</f>
        <v>0.41301855116443842</v>
      </c>
      <c r="G42" s="27" t="str">
        <f>IF(C42&gt;=F42,"-","+")</f>
        <v>+</v>
      </c>
      <c r="H42" s="26">
        <f>C42*D42</f>
        <v>716.40000000000009</v>
      </c>
      <c r="I42" s="26">
        <f>F42*D42</f>
        <v>739.71622513550926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49.8</v>
      </c>
      <c r="E43" s="107">
        <f>D43/$D$48</f>
        <v>5.5793943332175635E-3</v>
      </c>
      <c r="F43" s="28">
        <f>C43-(C43*$E$6)</f>
        <v>0.41301855116443842</v>
      </c>
      <c r="G43" s="27" t="str">
        <f>IF(C43&gt;=F43,"-","+")</f>
        <v>+</v>
      </c>
      <c r="H43" s="26">
        <f>C43*D43</f>
        <v>19.920000000000002</v>
      </c>
      <c r="I43" s="26">
        <f>F43*D43</f>
        <v>20.568323847989031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5.6</v>
      </c>
      <c r="E45" s="107">
        <f>D45/$D$48</f>
        <v>6.2740177241000714E-4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0.39878682842287699</v>
      </c>
      <c r="D46" s="22">
        <f>SUM(D41:D45)</f>
        <v>1846.3999999999999</v>
      </c>
      <c r="E46" s="113">
        <f>D46/$D$48</f>
        <v>0.20686332724604234</v>
      </c>
      <c r="F46" s="20">
        <f>I46/D46</f>
        <v>0.41176589524669538</v>
      </c>
      <c r="G46" s="19">
        <f>F46/C46-1</f>
        <v>3.2546377911096158E-2</v>
      </c>
      <c r="H46" s="18">
        <f>SUM(H41:H44)</f>
        <v>736.32</v>
      </c>
      <c r="I46" s="18">
        <f>SUM(I41:I44)</f>
        <v>760.28454898349833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97.736399169507948</v>
      </c>
      <c r="D48" s="13">
        <f>D24+D32+D40+D46</f>
        <v>8925.6999999999989</v>
      </c>
      <c r="E48" s="12">
        <f>SUM(E20:E46)/2</f>
        <v>0.99999999999999989</v>
      </c>
      <c r="F48" s="11">
        <f>I48/D48</f>
        <v>25.820000000000011</v>
      </c>
      <c r="G48" s="10"/>
      <c r="H48" s="9">
        <f>SUM(H20:H46)/2</f>
        <v>223197.31</v>
      </c>
      <c r="I48" s="9">
        <f>SUM(I20:I46)/2</f>
        <v>230461.57400000008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8925.6999999999989</v>
      </c>
      <c r="E50" s="12">
        <f>D50/G2</f>
        <v>0.99999999999999978</v>
      </c>
      <c r="F50" s="11">
        <f>I50/D50</f>
        <v>25.820000000000011</v>
      </c>
      <c r="G50" s="10"/>
      <c r="H50" s="9">
        <f>H48+H19</f>
        <v>223197.31</v>
      </c>
      <c r="I50" s="9">
        <f>I48+I19</f>
        <v>230461.57400000008</v>
      </c>
      <c r="J50" s="106">
        <f>D50-G2</f>
        <v>0</v>
      </c>
      <c r="K50" s="8"/>
    </row>
    <row r="51" spans="1:11" ht="23.25" x14ac:dyDescent="0.35">
      <c r="A51" s="174" t="s">
        <v>597</v>
      </c>
      <c r="B51" s="169"/>
      <c r="C51" s="170"/>
      <c r="G51" s="7"/>
      <c r="H51" s="6"/>
      <c r="I51" s="6">
        <f>+I50/D50</f>
        <v>25.820000000000011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>
    <tabColor rgb="FF92D050"/>
  </sheetPr>
  <dimension ref="A1:K56"/>
  <sheetViews>
    <sheetView topLeftCell="A3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5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575</v>
      </c>
      <c r="D1" s="100" t="s">
        <v>1</v>
      </c>
      <c r="E1" s="168" t="s">
        <v>598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595</v>
      </c>
      <c r="D2" s="96" t="s">
        <v>3</v>
      </c>
      <c r="E2" s="95" t="s">
        <v>112</v>
      </c>
      <c r="F2" s="94" t="s">
        <v>5</v>
      </c>
      <c r="G2" s="93">
        <v>3068.8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44</v>
      </c>
      <c r="F3" s="88" t="s">
        <v>8</v>
      </c>
      <c r="G3" s="87">
        <v>25.33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15</v>
      </c>
      <c r="D4" s="83" t="s">
        <v>11</v>
      </c>
      <c r="E4" s="82">
        <f>G2/E3</f>
        <v>69.74545454545455</v>
      </c>
      <c r="F4" s="81" t="s">
        <v>12</v>
      </c>
      <c r="G4" s="80">
        <f>G2*G3</f>
        <v>77732.703999999998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-9.4962067849789111E-2</v>
      </c>
      <c r="F6" s="69" t="s">
        <v>16</v>
      </c>
      <c r="G6" s="68">
        <f>(I50-I19)/(D50-(SUM(D42:D44)+D19))</f>
        <v>31.978239262794144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27.702540316599666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26.4</v>
      </c>
      <c r="D11" s="30"/>
      <c r="E11" s="29" t="e">
        <f t="shared" si="1"/>
        <v>#DIV/0!</v>
      </c>
      <c r="F11" s="28">
        <f t="shared" si="2"/>
        <v>28.90699859123443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 t="e">
        <f t="shared" si="1"/>
        <v>#DIV/0!</v>
      </c>
      <c r="F12" s="28">
        <f t="shared" si="2"/>
        <v>26.388585835179917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26.4</v>
      </c>
      <c r="D13" s="30"/>
      <c r="E13" s="29" t="e">
        <f t="shared" si="1"/>
        <v>#DIV/0!</v>
      </c>
      <c r="F13" s="28">
        <f t="shared" si="2"/>
        <v>28.90699859123443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29.5</v>
      </c>
      <c r="D14" s="30"/>
      <c r="E14" s="29" t="e">
        <f t="shared" si="1"/>
        <v>#DIV/0!</v>
      </c>
      <c r="F14" s="28">
        <f t="shared" si="2"/>
        <v>32.301381001568778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24.3</v>
      </c>
      <c r="D15" s="30"/>
      <c r="E15" s="29" t="e">
        <f t="shared" si="1"/>
        <v>#DIV/0!</v>
      </c>
      <c r="F15" s="28">
        <f t="shared" si="2"/>
        <v>26.607578248749874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33.299999999999997</v>
      </c>
      <c r="D16" s="30"/>
      <c r="E16" s="29" t="e">
        <f t="shared" si="1"/>
        <v>#DIV/0!</v>
      </c>
      <c r="F16" s="28">
        <f t="shared" si="2"/>
        <v>36.462236859397976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</v>
      </c>
      <c r="D17" s="30"/>
      <c r="E17" s="29" t="e">
        <f t="shared" si="1"/>
        <v>#DIV/0!</v>
      </c>
      <c r="F17" s="28">
        <f t="shared" si="2"/>
        <v>53.653141324639662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42.9</v>
      </c>
      <c r="D18" s="30"/>
      <c r="E18" s="29" t="e">
        <f t="shared" si="1"/>
        <v>#DIV/0!</v>
      </c>
      <c r="F18" s="28">
        <f t="shared" si="2"/>
        <v>46.973872710755948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63.7</v>
      </c>
      <c r="D21" s="30">
        <v>22</v>
      </c>
      <c r="E21" s="29">
        <f>D21/$D$48</f>
        <v>7.1689259645464033E-3</v>
      </c>
      <c r="F21" s="28">
        <f>C21-(C21*$E$6)</f>
        <v>69.749083722031571</v>
      </c>
      <c r="G21" s="27" t="str">
        <f>IF(C21&gt;=F21,"-","+")</f>
        <v>+</v>
      </c>
      <c r="H21" s="26">
        <f>C21*D21</f>
        <v>1401.4</v>
      </c>
      <c r="I21" s="26">
        <f>F21*D21</f>
        <v>1534.4798418846945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42.8</v>
      </c>
      <c r="D22" s="30">
        <v>51.9</v>
      </c>
      <c r="E22" s="29">
        <f>D22/$D$48</f>
        <v>1.6912148070907195E-2</v>
      </c>
      <c r="F22" s="28">
        <f>C22-(C22*$E$6)</f>
        <v>46.864376503970973</v>
      </c>
      <c r="G22" s="27" t="str">
        <f>IF(C22&gt;=F22,"-","+")</f>
        <v>+</v>
      </c>
      <c r="H22" s="26">
        <f>C22*D22</f>
        <v>2221.3199999999997</v>
      </c>
      <c r="I22" s="26">
        <f>F22*D22</f>
        <v>2432.2611405560933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</v>
      </c>
      <c r="D23" s="30">
        <v>43.2</v>
      </c>
      <c r="E23" s="29">
        <f>D23/$D$48</f>
        <v>1.407716371220021E-2</v>
      </c>
      <c r="F23" s="28">
        <f>C23-(C23*$E$6)</f>
        <v>42.703520646141776</v>
      </c>
      <c r="G23" s="27" t="str">
        <f>IF(C23&gt;=F23,"-","+")</f>
        <v>+</v>
      </c>
      <c r="H23" s="26">
        <f>C23*D23</f>
        <v>1684.8000000000002</v>
      </c>
      <c r="I23" s="26">
        <f>F23*D23</f>
        <v>1844.7920919133248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45.324679760888131</v>
      </c>
      <c r="D24" s="22">
        <f>SUM(D21:D23)</f>
        <v>117.10000000000001</v>
      </c>
      <c r="E24" s="21">
        <f>D24/$D$48</f>
        <v>3.8158237747653811E-2</v>
      </c>
      <c r="F24" s="20">
        <f>I24/D24</f>
        <v>49.628805075611545</v>
      </c>
      <c r="G24" s="19">
        <f>F24/C24-1</f>
        <v>9.4962067849788889E-2</v>
      </c>
      <c r="H24" s="18">
        <f>SUM(H21:H23)</f>
        <v>5307.52</v>
      </c>
      <c r="I24" s="18">
        <f>SUM(I21:I23)</f>
        <v>5811.5330743541126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</v>
      </c>
      <c r="D26" s="30">
        <v>636.6</v>
      </c>
      <c r="E26" s="29">
        <f t="shared" ref="E26:E32" si="7">D26/$D$48</f>
        <v>0.20744264859228365</v>
      </c>
      <c r="F26" s="28">
        <f t="shared" ref="F26:F31" si="8">C26-(C26*$E$6)</f>
        <v>37.228710306892829</v>
      </c>
      <c r="G26" s="27" t="str">
        <f t="shared" ref="G26:G31" si="9">IF(C26&gt;=F26,"-","+")</f>
        <v>+</v>
      </c>
      <c r="H26" s="26">
        <f t="shared" ref="H26:H31" si="10">C26*D26</f>
        <v>21644.400000000001</v>
      </c>
      <c r="I26" s="26">
        <f t="shared" ref="I26:I31" si="11">F26*D26</f>
        <v>23699.796981367977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30.3</v>
      </c>
      <c r="D27" s="30">
        <v>430.5</v>
      </c>
      <c r="E27" s="29">
        <f t="shared" si="7"/>
        <v>0.14028284671532848</v>
      </c>
      <c r="F27" s="28">
        <f t="shared" si="8"/>
        <v>33.177350655848613</v>
      </c>
      <c r="G27" s="27" t="str">
        <f t="shared" si="9"/>
        <v>+</v>
      </c>
      <c r="H27" s="26">
        <f t="shared" si="10"/>
        <v>13044.15</v>
      </c>
      <c r="I27" s="26">
        <f t="shared" si="11"/>
        <v>14282.849457342829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30.3</v>
      </c>
      <c r="D28" s="30">
        <v>279.8</v>
      </c>
      <c r="E28" s="29">
        <f t="shared" si="7"/>
        <v>9.1175703858185617E-2</v>
      </c>
      <c r="F28" s="28">
        <f t="shared" si="8"/>
        <v>33.177350655848613</v>
      </c>
      <c r="G28" s="27" t="str">
        <f t="shared" si="9"/>
        <v>+</v>
      </c>
      <c r="H28" s="26">
        <f t="shared" si="10"/>
        <v>8477.94</v>
      </c>
      <c r="I28" s="26">
        <f t="shared" si="11"/>
        <v>9283.0227135064415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265.39999999999998</v>
      </c>
      <c r="E29" s="29">
        <f t="shared" si="7"/>
        <v>8.6483315954118872E-2</v>
      </c>
      <c r="F29" s="28">
        <f t="shared" si="8"/>
        <v>32.082388587998821</v>
      </c>
      <c r="G29" s="27" t="str">
        <f t="shared" si="9"/>
        <v>+</v>
      </c>
      <c r="H29" s="26">
        <f t="shared" si="10"/>
        <v>7776.2199999999993</v>
      </c>
      <c r="I29" s="26">
        <f t="shared" si="11"/>
        <v>8514.6659312548873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160.4</v>
      </c>
      <c r="E30" s="29">
        <f t="shared" si="7"/>
        <v>5.2267987486965595E-2</v>
      </c>
      <c r="F30" s="28">
        <f t="shared" si="8"/>
        <v>32.082388587998821</v>
      </c>
      <c r="G30" s="27" t="str">
        <f t="shared" si="9"/>
        <v>+</v>
      </c>
      <c r="H30" s="26">
        <f t="shared" si="10"/>
        <v>4699.72</v>
      </c>
      <c r="I30" s="26">
        <f t="shared" si="11"/>
        <v>5146.0151295150108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29.8</v>
      </c>
      <c r="D31" s="30">
        <v>35.4</v>
      </c>
      <c r="E31" s="29">
        <f t="shared" si="7"/>
        <v>1.1535453597497393E-2</v>
      </c>
      <c r="F31" s="28">
        <f t="shared" si="8"/>
        <v>32.629869621923717</v>
      </c>
      <c r="G31" s="27" t="str">
        <f t="shared" si="9"/>
        <v>+</v>
      </c>
      <c r="H31" s="26">
        <f t="shared" si="10"/>
        <v>1054.92</v>
      </c>
      <c r="I31" s="26">
        <f t="shared" si="11"/>
        <v>1155.0973846160996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31.357419390520441</v>
      </c>
      <c r="D32" s="22">
        <f>SUM(D26:D31)</f>
        <v>1808.1</v>
      </c>
      <c r="E32" s="21">
        <f t="shared" si="7"/>
        <v>0.58918795620437958</v>
      </c>
      <c r="F32" s="20">
        <f>I32/D32</f>
        <v>34.335184778277338</v>
      </c>
      <c r="G32" s="19">
        <f>F32/C32-1</f>
        <v>9.4962067849789111E-2</v>
      </c>
      <c r="H32" s="18">
        <f>SUM(H26:H31)</f>
        <v>56697.350000000006</v>
      </c>
      <c r="I32" s="18">
        <f>SUM(I26:I31)</f>
        <v>62081.447597603248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229.8+218.6</f>
        <v>448.4</v>
      </c>
      <c r="E34" s="29">
        <f t="shared" ref="E34:E40" si="13">D34/$D$48</f>
        <v>0.14611574556830031</v>
      </c>
      <c r="F34" s="28">
        <f t="shared" ref="F34:F39" si="14">C34-(C34*$E$6)</f>
        <v>19.599821014511225</v>
      </c>
      <c r="G34" s="27" t="str">
        <f t="shared" ref="G34:G39" si="15">IF(C34&gt;=F34,"-","+")</f>
        <v>+</v>
      </c>
      <c r="H34" s="26">
        <f t="shared" ref="H34:H39" si="16">C34*D34</f>
        <v>8026.3599999999988</v>
      </c>
      <c r="I34" s="26">
        <f t="shared" ref="I34:I39" si="17">F34*D34</f>
        <v>8788.559742906833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51.2</v>
      </c>
      <c r="E35" s="29">
        <f t="shared" si="13"/>
        <v>1.6684045881126177E-2</v>
      </c>
      <c r="F35" s="28">
        <f t="shared" si="14"/>
        <v>15.110476536327091</v>
      </c>
      <c r="G35" s="27" t="str">
        <f t="shared" si="15"/>
        <v>+</v>
      </c>
      <c r="H35" s="26">
        <f t="shared" si="16"/>
        <v>706.56000000000006</v>
      </c>
      <c r="I35" s="26">
        <f t="shared" si="17"/>
        <v>773.65639865994717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12.154078953132659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32.082388587998821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32.082388587998821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30.3</v>
      </c>
      <c r="D39" s="30"/>
      <c r="E39" s="29">
        <f t="shared" si="13"/>
        <v>0</v>
      </c>
      <c r="F39" s="28">
        <f t="shared" si="14"/>
        <v>33.177350655848613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17.479823859087269</v>
      </c>
      <c r="D40" s="22">
        <f>SUM(D34:D39)</f>
        <v>499.59999999999997</v>
      </c>
      <c r="E40" s="113">
        <f t="shared" si="13"/>
        <v>0.1627997914494265</v>
      </c>
      <c r="F40" s="20">
        <f>I40/D40</f>
        <v>19.139744078396276</v>
      </c>
      <c r="G40" s="19">
        <f>F40/C40-1</f>
        <v>9.4962067849789111E-2</v>
      </c>
      <c r="H40" s="18">
        <f>SUM(H34:H39)</f>
        <v>8732.9199999999983</v>
      </c>
      <c r="I40" s="18">
        <f>SUM(I34:I39)</f>
        <v>9562.2161415667797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263+44.7+309.5</f>
        <v>617.20000000000005</v>
      </c>
      <c r="E42" s="107">
        <f>D42/$D$48</f>
        <v>0.20112095933263821</v>
      </c>
      <c r="F42" s="28">
        <f>C42-(C42*$E$6)</f>
        <v>0.43798482713991566</v>
      </c>
      <c r="G42" s="27" t="str">
        <f>IF(C42&gt;=F42,"-","+")</f>
        <v>+</v>
      </c>
      <c r="H42" s="26">
        <f>C42*D42</f>
        <v>246.88000000000002</v>
      </c>
      <c r="I42" s="26">
        <f>F42*D42</f>
        <v>270.32423531075597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16.399999999999999</v>
      </c>
      <c r="E43" s="107">
        <f>D43/$D$48</f>
        <v>5.3441084462982277E-3</v>
      </c>
      <c r="F43" s="28">
        <f>C43-(C43*$E$6)</f>
        <v>0.43798482713991566</v>
      </c>
      <c r="G43" s="27" t="str">
        <f>IF(C43&gt;=F43,"-","+")</f>
        <v>+</v>
      </c>
      <c r="H43" s="26">
        <f>C43*D43</f>
        <v>6.56</v>
      </c>
      <c r="I43" s="26">
        <f>F43*D43</f>
        <v>7.1829511650946163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4.4000000000000004</v>
      </c>
      <c r="E44" s="107">
        <f>D44/$D$48</f>
        <v>1.4337851929092807E-3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1.9551616266944736E-3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0.39354037267080749</v>
      </c>
      <c r="D46" s="22">
        <f>SUM(D41:D45)</f>
        <v>644</v>
      </c>
      <c r="E46" s="113">
        <f>D46/$D$48</f>
        <v>0.20985401459854017</v>
      </c>
      <c r="F46" s="20">
        <f>I46/D46</f>
        <v>0.43091178024200399</v>
      </c>
      <c r="G46" s="19">
        <f>F46/C46-1</f>
        <v>9.4962067849789111E-2</v>
      </c>
      <c r="H46" s="18">
        <f>SUM(H41:H44)</f>
        <v>253.44000000000003</v>
      </c>
      <c r="I46" s="18">
        <f>SUM(I41:I44)</f>
        <v>277.50718647585057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94.555463383166668</v>
      </c>
      <c r="D48" s="13">
        <f>D24+D32+D40+D46</f>
        <v>3068.7999999999997</v>
      </c>
      <c r="E48" s="12">
        <f>SUM(E20:E46)/2</f>
        <v>1</v>
      </c>
      <c r="F48" s="11">
        <f>I48/D48</f>
        <v>25.330000000000002</v>
      </c>
      <c r="G48" s="10"/>
      <c r="H48" s="9">
        <f>SUM(H20:H46)/2</f>
        <v>70991.23000000001</v>
      </c>
      <c r="I48" s="9">
        <f>SUM(I20:I46)/2</f>
        <v>77732.703999999998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3068.7999999999997</v>
      </c>
      <c r="E50" s="12">
        <f>D50/G2</f>
        <v>0.99999999999999989</v>
      </c>
      <c r="F50" s="11">
        <f>I50/D50</f>
        <v>25.330000000000002</v>
      </c>
      <c r="G50" s="10"/>
      <c r="H50" s="9">
        <f>H48+H19</f>
        <v>70991.23000000001</v>
      </c>
      <c r="I50" s="9">
        <f>I48+I19</f>
        <v>77732.703999999998</v>
      </c>
      <c r="J50" s="106">
        <f>D50-G2</f>
        <v>0</v>
      </c>
      <c r="K50" s="8"/>
    </row>
    <row r="51" spans="1:11" ht="23.25" x14ac:dyDescent="0.35">
      <c r="A51" s="174" t="s">
        <v>599</v>
      </c>
      <c r="B51" s="169"/>
      <c r="C51" s="170"/>
      <c r="G51" s="7"/>
      <c r="H51" s="6"/>
      <c r="I51" s="6">
        <f>+I50/D50</f>
        <v>25.330000000000002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587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595</v>
      </c>
      <c r="D2" s="96" t="s">
        <v>3</v>
      </c>
      <c r="E2" s="95" t="s">
        <v>112</v>
      </c>
      <c r="F2" s="94" t="s">
        <v>5</v>
      </c>
      <c r="G2" s="93">
        <v>3387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60</v>
      </c>
      <c r="F3" s="88" t="s">
        <v>8</v>
      </c>
      <c r="G3" s="87">
        <v>25.94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56.45</v>
      </c>
      <c r="F4" s="81" t="s">
        <v>12</v>
      </c>
      <c r="G4" s="80">
        <f>G2*G3</f>
        <v>87858.78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-4.68311530601353E-2</v>
      </c>
      <c r="F6" s="69" t="s">
        <v>16</v>
      </c>
      <c r="G6" s="68">
        <f>(I50-I19)/(D50-(SUM(D42:D44)+D19))</f>
        <v>32.087498630437182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27.112926864257503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28.264441132623652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25.85672948058534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28.264441132623652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/>
      <c r="E14" s="29" t="e">
        <f t="shared" si="1"/>
        <v>#DIV/0!</v>
      </c>
      <c r="F14" s="28">
        <f t="shared" si="2"/>
        <v>31.614300822416084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26.066095711197367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34.1</v>
      </c>
      <c r="D16" s="30"/>
      <c r="E16" s="29" t="e">
        <f t="shared" si="1"/>
        <v>#DIV/0!</v>
      </c>
      <c r="F16" s="28">
        <f t="shared" si="2"/>
        <v>35.696942319350612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50.2</v>
      </c>
      <c r="D17" s="30"/>
      <c r="E17" s="29" t="e">
        <f t="shared" si="1"/>
        <v>#DIV/0!</v>
      </c>
      <c r="F17" s="28">
        <f t="shared" si="2"/>
        <v>52.550923883618793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43.9</v>
      </c>
      <c r="D18" s="30"/>
      <c r="E18" s="29" t="e">
        <f t="shared" si="1"/>
        <v>#DIV/0!</v>
      </c>
      <c r="F18" s="28">
        <f t="shared" si="2"/>
        <v>45.95588761933994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65.2</v>
      </c>
      <c r="D21" s="30">
        <v>39</v>
      </c>
      <c r="E21" s="29">
        <f>D21/$D$48</f>
        <v>1.1514274748309763E-2</v>
      </c>
      <c r="F21" s="28">
        <f>C21-(C21*$E$6)</f>
        <v>68.253391179520818</v>
      </c>
      <c r="G21" s="27" t="str">
        <f>IF(C21&gt;=F21,"-","+")</f>
        <v>+</v>
      </c>
      <c r="H21" s="26">
        <f>C21*D21</f>
        <v>2542.8000000000002</v>
      </c>
      <c r="I21" s="26">
        <f>F21*D21</f>
        <v>2661.8822560013118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43.8</v>
      </c>
      <c r="D22" s="30">
        <v>125.2</v>
      </c>
      <c r="E22" s="29">
        <f>D22/$D$48</f>
        <v>3.6963774320214929E-2</v>
      </c>
      <c r="F22" s="28">
        <f>C22-(C22*$E$6)</f>
        <v>45.851204504033923</v>
      </c>
      <c r="G22" s="27" t="str">
        <f>IF(C22&gt;=F22,"-","+")</f>
        <v>+</v>
      </c>
      <c r="H22" s="26">
        <f>C22*D22</f>
        <v>5483.76</v>
      </c>
      <c r="I22" s="26">
        <f>F22*D22</f>
        <v>5740.5708039050469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39.9</v>
      </c>
      <c r="D23" s="30">
        <v>70.599999999999994</v>
      </c>
      <c r="E23" s="29">
        <f>D23/$D$48</f>
        <v>2.084378967258126E-2</v>
      </c>
      <c r="F23" s="28">
        <f>C23-(C23*$E$6)</f>
        <v>41.768563007099395</v>
      </c>
      <c r="G23" s="27" t="str">
        <f>IF(C23&gt;=F23,"-","+")</f>
        <v>+</v>
      </c>
      <c r="H23" s="26">
        <f>C23*D23</f>
        <v>2816.9399999999996</v>
      </c>
      <c r="I23" s="26">
        <f>F23*D23</f>
        <v>2948.860548301217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46.181856899488928</v>
      </c>
      <c r="D24" s="22">
        <f>SUM(D21:D23)</f>
        <v>234.79999999999998</v>
      </c>
      <c r="E24" s="21">
        <f>D24/$D$48</f>
        <v>6.9321838741105951E-2</v>
      </c>
      <c r="F24" s="20">
        <f>I24/D24</f>
        <v>48.344606508550157</v>
      </c>
      <c r="G24" s="19">
        <f>F24/C24-1</f>
        <v>4.68311530601353E-2</v>
      </c>
      <c r="H24" s="18">
        <f>SUM(H21:H23)</f>
        <v>10843.5</v>
      </c>
      <c r="I24" s="18">
        <f>SUM(I21:I23)</f>
        <v>11351.313608207576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34.799999999999997</v>
      </c>
      <c r="D26" s="30">
        <v>744.6</v>
      </c>
      <c r="E26" s="29">
        <f t="shared" ref="E26:E32" si="7">D26/$D$48</f>
        <v>0.21983407634849869</v>
      </c>
      <c r="F26" s="28">
        <f t="shared" ref="F26:F31" si="8">C26-(C26*$E$6)</f>
        <v>36.429724126492708</v>
      </c>
      <c r="G26" s="27" t="str">
        <f t="shared" ref="G26:G31" si="9">IF(C26&gt;=F26,"-","+")</f>
        <v>+</v>
      </c>
      <c r="H26" s="26">
        <f t="shared" ref="H26:H31" si="10">C26*D26</f>
        <v>25912.079999999998</v>
      </c>
      <c r="I26" s="26">
        <f t="shared" ref="I26:I31" si="11">F26*D26</f>
        <v>27125.572584586473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f>399.3+120.1</f>
        <v>519.4</v>
      </c>
      <c r="E27" s="29">
        <f t="shared" si="7"/>
        <v>0.15334652062236129</v>
      </c>
      <c r="F27" s="28">
        <f t="shared" si="8"/>
        <v>32.451765744864197</v>
      </c>
      <c r="G27" s="27" t="str">
        <f t="shared" si="9"/>
        <v>+</v>
      </c>
      <c r="H27" s="26">
        <f t="shared" si="10"/>
        <v>16101.4</v>
      </c>
      <c r="I27" s="26">
        <f t="shared" si="11"/>
        <v>16855.447127882464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v>254</v>
      </c>
      <c r="E28" s="29">
        <f t="shared" si="7"/>
        <v>7.4990404771043073E-2</v>
      </c>
      <c r="F28" s="28">
        <f t="shared" si="8"/>
        <v>32.451765744864197</v>
      </c>
      <c r="G28" s="27" t="str">
        <f t="shared" si="9"/>
        <v>+</v>
      </c>
      <c r="H28" s="26">
        <f t="shared" si="10"/>
        <v>7874</v>
      </c>
      <c r="I28" s="26">
        <f t="shared" si="11"/>
        <v>8242.7484991955062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260.5</v>
      </c>
      <c r="E29" s="29">
        <f t="shared" si="7"/>
        <v>7.6909450562428025E-2</v>
      </c>
      <c r="F29" s="28">
        <f t="shared" si="8"/>
        <v>31.404934591804057</v>
      </c>
      <c r="G29" s="27" t="str">
        <f t="shared" si="9"/>
        <v>+</v>
      </c>
      <c r="H29" s="26">
        <f t="shared" si="10"/>
        <v>7815</v>
      </c>
      <c r="I29" s="26">
        <f t="shared" si="11"/>
        <v>8180.9854611649571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139.69999999999999</v>
      </c>
      <c r="E30" s="29">
        <f t="shared" si="7"/>
        <v>4.1244722624073686E-2</v>
      </c>
      <c r="F30" s="28">
        <f t="shared" si="8"/>
        <v>31.404934591804057</v>
      </c>
      <c r="G30" s="27" t="str">
        <f t="shared" si="9"/>
        <v>+</v>
      </c>
      <c r="H30" s="26">
        <f t="shared" si="10"/>
        <v>4191</v>
      </c>
      <c r="I30" s="26">
        <f t="shared" si="11"/>
        <v>4387.2693624750264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30.5</v>
      </c>
      <c r="D31" s="30">
        <v>40.700000000000003</v>
      </c>
      <c r="E31" s="29">
        <f t="shared" si="7"/>
        <v>1.2016179032210444E-2</v>
      </c>
      <c r="F31" s="28">
        <f t="shared" si="8"/>
        <v>31.928350168334127</v>
      </c>
      <c r="G31" s="27" t="str">
        <f t="shared" si="9"/>
        <v>+</v>
      </c>
      <c r="H31" s="26">
        <f t="shared" si="10"/>
        <v>1241.3500000000001</v>
      </c>
      <c r="I31" s="26">
        <f t="shared" si="11"/>
        <v>1299.483851851199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32.229736076369385</v>
      </c>
      <c r="D32" s="22">
        <f>SUM(D26:D31)</f>
        <v>1958.9</v>
      </c>
      <c r="E32" s="21">
        <f t="shared" si="7"/>
        <v>0.57834135396061526</v>
      </c>
      <c r="F32" s="20">
        <f>I32/D32</f>
        <v>33.739091779649613</v>
      </c>
      <c r="G32" s="19">
        <f>F32/C32-1</f>
        <v>4.6831153060135522E-2</v>
      </c>
      <c r="H32" s="18">
        <f>SUM(H26:H31)</f>
        <v>63134.829999999994</v>
      </c>
      <c r="I32" s="18">
        <f>SUM(I26:I31)</f>
        <v>66091.506887155629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f>240.7+255.2</f>
        <v>495.9</v>
      </c>
      <c r="E34" s="29">
        <f t="shared" ref="E34:E40" si="13">D34/$D$48</f>
        <v>0.14640843199196951</v>
      </c>
      <c r="F34" s="28">
        <f t="shared" ref="F34:F39" si="14">C34-(C34*$E$6)</f>
        <v>19.157010101000477</v>
      </c>
      <c r="G34" s="27" t="str">
        <f t="shared" ref="G34:G39" si="15">IF(C34&gt;=F34,"-","+")</f>
        <v>+</v>
      </c>
      <c r="H34" s="26">
        <f t="shared" ref="H34:H39" si="16">C34*D34</f>
        <v>9074.9699999999993</v>
      </c>
      <c r="I34" s="26">
        <f t="shared" ref="I34:I39" si="17">F34*D34</f>
        <v>9499.9613090861367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43.8</v>
      </c>
      <c r="E35" s="29">
        <f t="shared" si="13"/>
        <v>1.293141625579404E-2</v>
      </c>
      <c r="F35" s="28">
        <f t="shared" si="14"/>
        <v>14.760319258147907</v>
      </c>
      <c r="G35" s="27" t="str">
        <f t="shared" si="15"/>
        <v>+</v>
      </c>
      <c r="H35" s="26">
        <f t="shared" si="16"/>
        <v>617.57999999999993</v>
      </c>
      <c r="I35" s="26">
        <f t="shared" si="17"/>
        <v>646.50198350687833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11.829192029579529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31.404934591804057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31.404934591804057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/>
      <c r="E39" s="29">
        <f t="shared" si="13"/>
        <v>0</v>
      </c>
      <c r="F39" s="28">
        <f t="shared" si="14"/>
        <v>32.451765744864197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17.959143968871597</v>
      </c>
      <c r="D40" s="22">
        <f>SUM(D34:D39)</f>
        <v>539.69999999999993</v>
      </c>
      <c r="E40" s="113">
        <f t="shared" si="13"/>
        <v>0.15933984824776354</v>
      </c>
      <c r="F40" s="20">
        <f>I40/D40</f>
        <v>18.800191388906828</v>
      </c>
      <c r="G40" s="19">
        <f>F40/C40-1</f>
        <v>4.68311530601353E-2</v>
      </c>
      <c r="H40" s="18">
        <f>SUM(H34:H39)</f>
        <v>9692.5499999999993</v>
      </c>
      <c r="I40" s="18">
        <f>SUM(I34:I39)</f>
        <v>10146.463292593015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299+39.6+284.6</f>
        <v>623.20000000000005</v>
      </c>
      <c r="E42" s="107">
        <f>D42/$D$48</f>
        <v>0.18399220572170882</v>
      </c>
      <c r="F42" s="28">
        <f>C42-(C42*$E$6)</f>
        <v>0.41873246122405416</v>
      </c>
      <c r="G42" s="27" t="str">
        <f>IF(C42&gt;=F42,"-","+")</f>
        <v>+</v>
      </c>
      <c r="H42" s="26">
        <f>C42*D42</f>
        <v>249.28000000000003</v>
      </c>
      <c r="I42" s="26">
        <f>F42*D42</f>
        <v>260.95406983483059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20.399999999999999</v>
      </c>
      <c r="E43" s="107">
        <f>D43/$D$48</f>
        <v>6.0228514068081827E-3</v>
      </c>
      <c r="F43" s="28">
        <f>C43-(C43*$E$6)</f>
        <v>0.41873246122405416</v>
      </c>
      <c r="G43" s="27" t="str">
        <f>IF(C43&gt;=F43,"-","+")</f>
        <v>+</v>
      </c>
      <c r="H43" s="26">
        <f>C43*D43</f>
        <v>8.16</v>
      </c>
      <c r="I43" s="26">
        <f>F43*D43</f>
        <v>8.542142208970704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5.4</v>
      </c>
      <c r="E44" s="107">
        <f>D44/$D$48</f>
        <v>1.5942841959198134E-3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1.3876177260783559E-3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0.39381979501300296</v>
      </c>
      <c r="D46" s="22">
        <f>SUM(D41:D45)</f>
        <v>653.70000000000005</v>
      </c>
      <c r="E46" s="113">
        <f>D46/$D$48</f>
        <v>0.19299695905051517</v>
      </c>
      <c r="F46" s="20">
        <f>I46/D46</f>
        <v>0.41226283011136799</v>
      </c>
      <c r="G46" s="19">
        <f>F46/C46-1</f>
        <v>4.68311530601353E-2</v>
      </c>
      <c r="H46" s="18">
        <f>SUM(H41:H44)</f>
        <v>257.44000000000005</v>
      </c>
      <c r="I46" s="18">
        <f>SUM(I41:I44)</f>
        <v>269.49621204380128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96.764556739742915</v>
      </c>
      <c r="D48" s="13">
        <f>D24+D32+D40+D46</f>
        <v>3387.1000000000004</v>
      </c>
      <c r="E48" s="12">
        <f>SUM(E20:E46)/2</f>
        <v>0.99999999999999978</v>
      </c>
      <c r="F48" s="11">
        <f>I48/D48</f>
        <v>25.939234153110331</v>
      </c>
      <c r="G48" s="10"/>
      <c r="H48" s="9">
        <f>SUM(H20:H46)/2</f>
        <v>83928.319999999992</v>
      </c>
      <c r="I48" s="9">
        <f>SUM(I20:I46)/2</f>
        <v>87858.780000000013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3387.099999999999</v>
      </c>
      <c r="E50" s="12">
        <f>D50/G2</f>
        <v>1.000029524653085</v>
      </c>
      <c r="F50" s="11">
        <f>I50/D50</f>
        <v>25.939234153110341</v>
      </c>
      <c r="G50" s="10"/>
      <c r="H50" s="9">
        <f>H48+H19</f>
        <v>83928.319999999992</v>
      </c>
      <c r="I50" s="9">
        <f>I48+I19</f>
        <v>87858.780000000013</v>
      </c>
      <c r="J50" s="106">
        <f>D50-G2</f>
        <v>9.9999999998999556E-2</v>
      </c>
      <c r="K50" s="8"/>
    </row>
    <row r="51" spans="1:11" ht="23.25" x14ac:dyDescent="0.35">
      <c r="A51" s="174" t="s">
        <v>600</v>
      </c>
      <c r="B51" s="169"/>
      <c r="C51" s="170"/>
      <c r="G51" s="7"/>
      <c r="H51" s="6"/>
      <c r="I51" s="6">
        <f>+I50/D50</f>
        <v>25.939234153110341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595</v>
      </c>
      <c r="D1" s="100" t="s">
        <v>1</v>
      </c>
      <c r="E1" s="168" t="s">
        <v>544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601</v>
      </c>
      <c r="D2" s="96" t="s">
        <v>3</v>
      </c>
      <c r="E2" s="95" t="s">
        <v>112</v>
      </c>
      <c r="F2" s="94" t="s">
        <v>5</v>
      </c>
      <c r="G2" s="93">
        <v>7583.8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112</v>
      </c>
      <c r="F3" s="88" t="s">
        <v>8</v>
      </c>
      <c r="G3" s="87">
        <v>26.19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67.712500000000006</v>
      </c>
      <c r="F4" s="81" t="s">
        <v>12</v>
      </c>
      <c r="G4" s="80">
        <f>G2*G3</f>
        <v>198619.72200000001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-5.2048963832018735E-2</v>
      </c>
      <c r="F6" s="69" t="s">
        <v>16</v>
      </c>
      <c r="G6" s="68">
        <f>(I50-I19)/(D50-(SUM(D42:D44)+D19))</f>
        <v>32.422416258570024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26.2</v>
      </c>
      <c r="D10" s="30"/>
      <c r="E10" s="29" t="e">
        <f t="shared" ref="E10:E19" si="1">D10/$D$19</f>
        <v>#DIV/0!</v>
      </c>
      <c r="F10" s="28">
        <f t="shared" ref="F10:F18" si="2">C10-(C10*$E$6)</f>
        <v>27.563682852398891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 t="e">
        <f t="shared" si="1"/>
        <v>#DIV/0!</v>
      </c>
      <c r="F11" s="28">
        <f t="shared" si="2"/>
        <v>28.720936712614112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24.9</v>
      </c>
      <c r="D12" s="30"/>
      <c r="E12" s="29" t="e">
        <f t="shared" si="1"/>
        <v>#DIV/0!</v>
      </c>
      <c r="F12" s="28">
        <f t="shared" si="2"/>
        <v>26.196019199417265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 t="e">
        <f t="shared" si="1"/>
        <v>#DIV/0!</v>
      </c>
      <c r="F13" s="28">
        <f t="shared" si="2"/>
        <v>28.720936712614112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30.5</v>
      </c>
      <c r="D14" s="30"/>
      <c r="E14" s="29" t="e">
        <f t="shared" si="1"/>
        <v>#DIV/0!</v>
      </c>
      <c r="F14" s="28">
        <f t="shared" si="2"/>
        <v>32.087493396876575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25.1</v>
      </c>
      <c r="D15" s="30"/>
      <c r="E15" s="29" t="e">
        <f t="shared" si="1"/>
        <v>#DIV/0!</v>
      </c>
      <c r="F15" s="28">
        <f t="shared" si="2"/>
        <v>26.40642899218367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34.4</v>
      </c>
      <c r="D16" s="30"/>
      <c r="E16" s="29" t="e">
        <f t="shared" si="1"/>
        <v>#DIV/0!</v>
      </c>
      <c r="F16" s="28">
        <f t="shared" si="2"/>
        <v>36.19048435582144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50.7</v>
      </c>
      <c r="D17" s="30"/>
      <c r="E17" s="29" t="e">
        <f t="shared" si="1"/>
        <v>#DIV/0!</v>
      </c>
      <c r="F17" s="28">
        <f t="shared" si="2"/>
        <v>53.338882466283351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44.4</v>
      </c>
      <c r="D18" s="30"/>
      <c r="E18" s="29" t="e">
        <f t="shared" si="1"/>
        <v>#DIV/0!</v>
      </c>
      <c r="F18" s="28">
        <f t="shared" si="2"/>
        <v>46.710973994141632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65.900000000000006</v>
      </c>
      <c r="D21" s="30">
        <v>89</v>
      </c>
      <c r="E21" s="29">
        <f>D21/$D$48</f>
        <v>1.1735541549091483E-2</v>
      </c>
      <c r="F21" s="28">
        <f>C21-(C21*$E$6)</f>
        <v>69.330026716530043</v>
      </c>
      <c r="G21" s="27" t="str">
        <f>IF(C21&gt;=F21,"-","+")</f>
        <v>+</v>
      </c>
      <c r="H21" s="26">
        <f>C21*D21</f>
        <v>5865.1</v>
      </c>
      <c r="I21" s="26">
        <f>F21*D21</f>
        <v>6170.3723777711739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44.2</v>
      </c>
      <c r="D22" s="30">
        <v>179</v>
      </c>
      <c r="E22" s="29">
        <f>D22/$D$48</f>
        <v>2.3602943115588488E-2</v>
      </c>
      <c r="F22" s="28">
        <f>C22-(C22*$E$6)</f>
        <v>46.500564201375234</v>
      </c>
      <c r="G22" s="27" t="str">
        <f>IF(C22&gt;=F22,"-","+")</f>
        <v>+</v>
      </c>
      <c r="H22" s="26">
        <f>C22*D22</f>
        <v>7911.8</v>
      </c>
      <c r="I22" s="26">
        <f>F22*D22</f>
        <v>8323.6009920461674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40.299999999999997</v>
      </c>
      <c r="D23" s="30">
        <v>167.6</v>
      </c>
      <c r="E23" s="29">
        <f>D23/$D$48</f>
        <v>2.2099738917165532E-2</v>
      </c>
      <c r="F23" s="28">
        <f>C23-(C23*$E$6)</f>
        <v>42.397573242430354</v>
      </c>
      <c r="G23" s="27" t="str">
        <f>IF(C23&gt;=F23,"-","+")</f>
        <v>+</v>
      </c>
      <c r="H23" s="26">
        <f>C23*D23</f>
        <v>6754.28</v>
      </c>
      <c r="I23" s="26">
        <f>F23*D23</f>
        <v>7105.8332754313269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47.133103764921948</v>
      </c>
      <c r="D24" s="22">
        <f>SUM(D21:D23)</f>
        <v>435.6</v>
      </c>
      <c r="E24" s="21">
        <f>D24/$D$48</f>
        <v>5.7438223581845506E-2</v>
      </c>
      <c r="F24" s="20">
        <f>I24/D24</f>
        <v>49.586332978073152</v>
      </c>
      <c r="G24" s="19">
        <f>F24/C24-1</f>
        <v>5.2048963832018735E-2</v>
      </c>
      <c r="H24" s="18">
        <f>SUM(H21:H23)</f>
        <v>20531.18</v>
      </c>
      <c r="I24" s="18">
        <f>SUM(I21:I23)</f>
        <v>21599.806645248667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35.1</v>
      </c>
      <c r="D26" s="30">
        <v>1323.7</v>
      </c>
      <c r="E26" s="29">
        <f t="shared" ref="E26:E32" si="7">D26/$D$48</f>
        <v>0.17454310503968984</v>
      </c>
      <c r="F26" s="28">
        <f t="shared" ref="F26:F31" si="8">C26-(C26*$E$6)</f>
        <v>36.926918630503856</v>
      </c>
      <c r="G26" s="27" t="str">
        <f t="shared" ref="G26:G31" si="9">IF(C26&gt;=F26,"-","+")</f>
        <v>+</v>
      </c>
      <c r="H26" s="26">
        <f t="shared" ref="H26:H31" si="10">C26*D26</f>
        <v>46461.87</v>
      </c>
      <c r="I26" s="26">
        <f t="shared" ref="I26:I31" si="11">F26*D26</f>
        <v>48880.162191197953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31.3</v>
      </c>
      <c r="D27" s="30">
        <v>1134</v>
      </c>
      <c r="E27" s="29">
        <f t="shared" si="7"/>
        <v>0.14952925973786227</v>
      </c>
      <c r="F27" s="28">
        <f t="shared" si="8"/>
        <v>32.92913256794219</v>
      </c>
      <c r="G27" s="27" t="str">
        <f t="shared" si="9"/>
        <v>+</v>
      </c>
      <c r="H27" s="26">
        <f t="shared" si="10"/>
        <v>35494.200000000004</v>
      </c>
      <c r="I27" s="26">
        <f t="shared" si="11"/>
        <v>37341.636332046444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31.3</v>
      </c>
      <c r="D28" s="30">
        <v>783</v>
      </c>
      <c r="E28" s="29">
        <f t="shared" si="7"/>
        <v>0.10324639362852395</v>
      </c>
      <c r="F28" s="28">
        <f t="shared" si="8"/>
        <v>32.92913256794219</v>
      </c>
      <c r="G28" s="27" t="str">
        <f t="shared" si="9"/>
        <v>+</v>
      </c>
      <c r="H28" s="26">
        <f t="shared" si="10"/>
        <v>24507.9</v>
      </c>
      <c r="I28" s="26">
        <f t="shared" si="11"/>
        <v>25783.510800698736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30.2</v>
      </c>
      <c r="D29" s="30">
        <v>766</v>
      </c>
      <c r="E29" s="29">
        <f t="shared" si="7"/>
        <v>0.10100477333263007</v>
      </c>
      <c r="F29" s="28">
        <f t="shared" si="8"/>
        <v>31.771878707726966</v>
      </c>
      <c r="G29" s="27" t="str">
        <f t="shared" si="9"/>
        <v>+</v>
      </c>
      <c r="H29" s="26">
        <f t="shared" si="10"/>
        <v>23133.200000000001</v>
      </c>
      <c r="I29" s="26">
        <f t="shared" si="11"/>
        <v>24337.259090118856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30.2</v>
      </c>
      <c r="D30" s="30">
        <v>516.79999999999995</v>
      </c>
      <c r="E30" s="29">
        <f t="shared" si="7"/>
        <v>6.8145256995173903E-2</v>
      </c>
      <c r="F30" s="28">
        <f t="shared" si="8"/>
        <v>31.771878707726966</v>
      </c>
      <c r="G30" s="27" t="str">
        <f t="shared" si="9"/>
        <v>+</v>
      </c>
      <c r="H30" s="26">
        <f t="shared" si="10"/>
        <v>15607.359999999999</v>
      </c>
      <c r="I30" s="26">
        <f t="shared" si="11"/>
        <v>16419.706916153296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117.5</v>
      </c>
      <c r="E31" s="29">
        <f t="shared" si="7"/>
        <v>1.5493552045148868E-2</v>
      </c>
      <c r="F31" s="28">
        <f t="shared" si="8"/>
        <v>32.40310808602618</v>
      </c>
      <c r="G31" s="27" t="str">
        <f t="shared" si="9"/>
        <v>+</v>
      </c>
      <c r="H31" s="26">
        <f t="shared" si="10"/>
        <v>3619</v>
      </c>
      <c r="I31" s="26">
        <f t="shared" si="11"/>
        <v>3807.3652001080759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32.06712561947856</v>
      </c>
      <c r="D32" s="22">
        <f>SUM(D26:D31)</f>
        <v>4641</v>
      </c>
      <c r="E32" s="21">
        <f t="shared" si="7"/>
        <v>0.61196234077902889</v>
      </c>
      <c r="F32" s="20">
        <f>I32/D32</f>
        <v>33.736186281043601</v>
      </c>
      <c r="G32" s="19">
        <f>F32/C32-1</f>
        <v>5.2048963832018735E-2</v>
      </c>
      <c r="H32" s="18">
        <f>SUM(H26:H31)</f>
        <v>148823.53</v>
      </c>
      <c r="I32" s="18">
        <f>SUM(I26:I31)</f>
        <v>156569.64053032335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939.6</v>
      </c>
      <c r="E34" s="29">
        <f t="shared" ref="E34:E40" si="13">D34/$D$48</f>
        <v>0.12389567235422874</v>
      </c>
      <c r="F34" s="28">
        <f t="shared" ref="F34:F39" si="14">C34-(C34*$E$6)</f>
        <v>19.462905830892346</v>
      </c>
      <c r="G34" s="27" t="str">
        <f t="shared" ref="G34:G39" si="15">IF(C34&gt;=F34,"-","+")</f>
        <v>+</v>
      </c>
      <c r="H34" s="26">
        <f t="shared" ref="H34:H39" si="16">C34*D34</f>
        <v>17382.600000000002</v>
      </c>
      <c r="I34" s="26">
        <f t="shared" ref="I34:I39" si="17">F34*D34</f>
        <v>18287.346318706448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14.2</v>
      </c>
      <c r="D35" s="30">
        <v>104</v>
      </c>
      <c r="E35" s="29">
        <f t="shared" si="13"/>
        <v>1.3713441810174316E-2</v>
      </c>
      <c r="F35" s="28">
        <f t="shared" si="14"/>
        <v>14.939095286414666</v>
      </c>
      <c r="G35" s="27" t="str">
        <f t="shared" si="15"/>
        <v>+</v>
      </c>
      <c r="H35" s="26">
        <f t="shared" si="16"/>
        <v>1476.8</v>
      </c>
      <c r="I35" s="26">
        <f t="shared" si="17"/>
        <v>1553.6659097871252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11.993358187685015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30.2</v>
      </c>
      <c r="D37" s="30"/>
      <c r="E37" s="29">
        <f t="shared" si="13"/>
        <v>0</v>
      </c>
      <c r="F37" s="28">
        <f t="shared" si="14"/>
        <v>31.771878707726966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30.2</v>
      </c>
      <c r="D38" s="30"/>
      <c r="E38" s="29">
        <f t="shared" si="13"/>
        <v>0</v>
      </c>
      <c r="F38" s="28">
        <f t="shared" si="14"/>
        <v>31.771878707726966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31.3</v>
      </c>
      <c r="D39" s="30"/>
      <c r="E39" s="29">
        <f t="shared" si="13"/>
        <v>0</v>
      </c>
      <c r="F39" s="28">
        <f t="shared" si="14"/>
        <v>32.92913256794219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18.071483326945192</v>
      </c>
      <c r="D40" s="22">
        <f>SUM(D34:D39)</f>
        <v>1043.5999999999999</v>
      </c>
      <c r="E40" s="113">
        <f t="shared" si="13"/>
        <v>0.13760911416440305</v>
      </c>
      <c r="F40" s="20">
        <f>I40/D40</f>
        <v>19.012085309020289</v>
      </c>
      <c r="G40" s="19">
        <f>F40/C40-1</f>
        <v>5.2048963832018513E-2</v>
      </c>
      <c r="H40" s="18">
        <f>SUM(H34:H39)</f>
        <v>18859.400000000001</v>
      </c>
      <c r="I40" s="18">
        <f>SUM(I34:I39)</f>
        <v>19841.012228493571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1398</v>
      </c>
      <c r="E42" s="107">
        <f>D42/$D$48</f>
        <v>0.18434030433292015</v>
      </c>
      <c r="F42" s="28">
        <f>C42-(C42*$E$6)</f>
        <v>0.42081958553280752</v>
      </c>
      <c r="G42" s="27" t="str">
        <f>IF(C42&gt;=F42,"-","+")</f>
        <v>+</v>
      </c>
      <c r="H42" s="26">
        <f>C42*D42</f>
        <v>559.20000000000005</v>
      </c>
      <c r="I42" s="26">
        <f>F42*D42</f>
        <v>588.30578057486491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49.8</v>
      </c>
      <c r="E43" s="107">
        <f>D43/$D$48</f>
        <v>6.5666288667950087E-3</v>
      </c>
      <c r="F43" s="28">
        <f>C43-(C43*$E$6)</f>
        <v>0.42081958553280752</v>
      </c>
      <c r="G43" s="27" t="str">
        <f>IF(C43&gt;=F43,"-","+")</f>
        <v>+</v>
      </c>
      <c r="H43" s="26">
        <f>C43*D43</f>
        <v>19.920000000000002</v>
      </c>
      <c r="I43" s="26">
        <f>F43*D43</f>
        <v>20.956815359533813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10</v>
      </c>
      <c r="E44" s="107">
        <f>D44/$D$48</f>
        <v>1.3186001740552228E-3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5.8</v>
      </c>
      <c r="E45" s="107">
        <f>D45/$D$48</f>
        <v>7.6478810095202915E-4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0.39568188029516266</v>
      </c>
      <c r="D46" s="22">
        <f>SUM(D41:D45)</f>
        <v>1463.6</v>
      </c>
      <c r="E46" s="113">
        <f>D46/$D$48</f>
        <v>0.19299032147472239</v>
      </c>
      <c r="F46" s="20">
        <f>I46/D46</f>
        <v>0.41627671217163076</v>
      </c>
      <c r="G46" s="19">
        <f>F46/C46-1</f>
        <v>5.2048963832018735E-2</v>
      </c>
      <c r="H46" s="18">
        <f>SUM(H41:H44)</f>
        <v>579.12</v>
      </c>
      <c r="I46" s="18">
        <f>SUM(I41:I44)</f>
        <v>609.26259593439875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97.667394591640843</v>
      </c>
      <c r="D48" s="13">
        <f>D24+D32+D40+D46</f>
        <v>7583.8000000000011</v>
      </c>
      <c r="E48" s="12">
        <f>SUM(E20:E46)/2</f>
        <v>1</v>
      </c>
      <c r="F48" s="11">
        <f>I48/D48</f>
        <v>26.189999999999994</v>
      </c>
      <c r="G48" s="10"/>
      <c r="H48" s="9">
        <f>SUM(H20:H46)/2</f>
        <v>188793.23</v>
      </c>
      <c r="I48" s="9">
        <f>SUM(I20:I46)/2</f>
        <v>198619.72199999998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7583.8</v>
      </c>
      <c r="E50" s="12">
        <f>D50/G2</f>
        <v>1</v>
      </c>
      <c r="F50" s="11">
        <f>I50/D50</f>
        <v>26.189999999999998</v>
      </c>
      <c r="G50" s="10"/>
      <c r="H50" s="9">
        <f>H48+H19</f>
        <v>188793.23</v>
      </c>
      <c r="I50" s="9">
        <f>I48+I19</f>
        <v>198619.72199999998</v>
      </c>
      <c r="J50" s="106">
        <f>D50-G2</f>
        <v>0</v>
      </c>
      <c r="K50" s="8"/>
    </row>
    <row r="51" spans="1:11" ht="23.25" x14ac:dyDescent="0.35">
      <c r="A51" s="174" t="s">
        <v>602</v>
      </c>
      <c r="B51" s="169"/>
      <c r="C51" s="170"/>
      <c r="G51" s="7"/>
      <c r="H51" s="6"/>
      <c r="I51" s="6">
        <f>+I50/D50</f>
        <v>26.189999999999998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603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603</v>
      </c>
      <c r="D2" s="96" t="s">
        <v>3</v>
      </c>
      <c r="E2" s="95" t="s">
        <v>71</v>
      </c>
      <c r="F2" s="94" t="s">
        <v>5</v>
      </c>
      <c r="G2" s="93">
        <v>13652.5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190</v>
      </c>
      <c r="F3" s="88" t="s">
        <v>8</v>
      </c>
      <c r="G3" s="87">
        <v>28.5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71.85526315789474</v>
      </c>
      <c r="F4" s="81" t="s">
        <v>12</v>
      </c>
      <c r="G4" s="80">
        <f>G2*G3</f>
        <v>389096.25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-3.0581322774456687E-3</v>
      </c>
      <c r="F6" s="69" t="s">
        <v>16</v>
      </c>
      <c r="G6" s="68">
        <f>(I50-I19)/(D50-(SUM(D42:D44)+D19))</f>
        <v>33.95996072441632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 t="e">
        <f t="shared" ref="E10:E19" si="1">D10/$D$19</f>
        <v>#DIV/0!</v>
      </c>
      <c r="F10" s="28">
        <f t="shared" ref="F10:F18" si="2">C10-(C10*$E$6)</f>
        <v>28.587156769907203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29.7</v>
      </c>
      <c r="D11" s="30"/>
      <c r="E11" s="29" t="e">
        <f t="shared" si="1"/>
        <v>#DIV/0!</v>
      </c>
      <c r="F11" s="28">
        <f t="shared" si="2"/>
        <v>29.790826528640135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/>
      <c r="E12" s="29" t="e">
        <f t="shared" si="1"/>
        <v>#DIV/0!</v>
      </c>
      <c r="F12" s="28">
        <f t="shared" si="2"/>
        <v>27.182875384718781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29.7</v>
      </c>
      <c r="D13" s="30"/>
      <c r="E13" s="29" t="e">
        <f t="shared" si="1"/>
        <v>#DIV/0!</v>
      </c>
      <c r="F13" s="28">
        <f t="shared" si="2"/>
        <v>29.790826528640135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33.200000000000003</v>
      </c>
      <c r="D14" s="30"/>
      <c r="E14" s="29" t="e">
        <f t="shared" si="1"/>
        <v>#DIV/0!</v>
      </c>
      <c r="F14" s="28">
        <f t="shared" si="2"/>
        <v>33.301529991611197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27.4</v>
      </c>
      <c r="D15" s="30"/>
      <c r="E15" s="29" t="e">
        <f t="shared" si="1"/>
        <v>#DIV/0!</v>
      </c>
      <c r="F15" s="28">
        <f t="shared" si="2"/>
        <v>27.483792824402009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37.5</v>
      </c>
      <c r="D16" s="30"/>
      <c r="E16" s="29" t="e">
        <f t="shared" si="1"/>
        <v>#DIV/0!</v>
      </c>
      <c r="F16" s="28">
        <f t="shared" si="2"/>
        <v>37.61467996040421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 t="e">
        <f t="shared" si="1"/>
        <v>#DIV/0!</v>
      </c>
      <c r="F17" s="28">
        <f t="shared" si="2"/>
        <v>55.268503088487257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48.3</v>
      </c>
      <c r="D18" s="30"/>
      <c r="E18" s="29" t="e">
        <f t="shared" si="1"/>
        <v>#DIV/0!</v>
      </c>
      <c r="F18" s="28">
        <f t="shared" si="2"/>
        <v>48.447707789000624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71.7</v>
      </c>
      <c r="D21" s="30">
        <v>174.8</v>
      </c>
      <c r="E21" s="29">
        <f>D21/$D$48</f>
        <v>1.2803515839589819E-2</v>
      </c>
      <c r="F21" s="28">
        <f>C21-(C21*$E$6)</f>
        <v>71.919268084292852</v>
      </c>
      <c r="G21" s="27" t="str">
        <f>IF(C21&gt;=F21,"-","+")</f>
        <v>+</v>
      </c>
      <c r="H21" s="26">
        <f>C21*D21</f>
        <v>12533.160000000002</v>
      </c>
      <c r="I21" s="26">
        <f>F21*D21</f>
        <v>12571.488061134391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383.3</v>
      </c>
      <c r="E22" s="29">
        <f>D22/$D$48</f>
        <v>2.807544405786486E-2</v>
      </c>
      <c r="F22" s="28">
        <f>C22-(C22*$E$6)</f>
        <v>48.247096162545141</v>
      </c>
      <c r="G22" s="27" t="str">
        <f>IF(C22&gt;=F22,"-","+")</f>
        <v>+</v>
      </c>
      <c r="H22" s="26">
        <f>C22*D22</f>
        <v>18436.73</v>
      </c>
      <c r="I22" s="26">
        <f>F22*D22</f>
        <v>18493.111959103553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43.9</v>
      </c>
      <c r="D23" s="30">
        <v>338.2</v>
      </c>
      <c r="E23" s="29">
        <f>D23/$D$48</f>
        <v>2.4772019776597692E-2</v>
      </c>
      <c r="F23" s="28">
        <f>C23-(C23*$E$6)</f>
        <v>44.034252006979862</v>
      </c>
      <c r="G23" s="27" t="str">
        <f>IF(C23&gt;=F23,"-","+")</f>
        <v>+</v>
      </c>
      <c r="H23" s="26">
        <f>C23*D23</f>
        <v>14846.98</v>
      </c>
      <c r="I23" s="26">
        <f>F23*D23</f>
        <v>14892.384028760589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51.117784224032128</v>
      </c>
      <c r="D24" s="22">
        <f>SUM(D21:D23)</f>
        <v>896.3</v>
      </c>
      <c r="E24" s="21">
        <f>D24/$D$48</f>
        <v>6.5650979674052368E-2</v>
      </c>
      <c r="F24" s="20">
        <f>I24/D24</f>
        <v>51.274109169919157</v>
      </c>
      <c r="G24" s="19">
        <f>F24/C24-1</f>
        <v>3.0581322774458908E-3</v>
      </c>
      <c r="H24" s="18">
        <f>SUM(H21:H23)</f>
        <v>45816.869999999995</v>
      </c>
      <c r="I24" s="18">
        <f>SUM(I21:I23)</f>
        <v>45956.984048998536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v>2632.5</v>
      </c>
      <c r="E26" s="29">
        <f t="shared" ref="E26:E32" si="7">D26/$D$48</f>
        <v>0.19282182750412014</v>
      </c>
      <c r="F26" s="28">
        <f t="shared" ref="F26:F31" si="8">C26-(C26*$E$6)</f>
        <v>38.31682065299843</v>
      </c>
      <c r="G26" s="27" t="str">
        <f t="shared" ref="G26:G31" si="9">IF(C26&gt;=F26,"-","+")</f>
        <v>+</v>
      </c>
      <c r="H26" s="26">
        <f t="shared" ref="H26:H31" si="10">C26*D26</f>
        <v>100561.50000000001</v>
      </c>
      <c r="I26" s="26">
        <f t="shared" ref="I26:I31" si="11">F26*D26</f>
        <v>100869.03036901836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34.1</v>
      </c>
      <c r="D27" s="30">
        <v>2034.5</v>
      </c>
      <c r="E27" s="29">
        <f t="shared" si="7"/>
        <v>0.14902032594762865</v>
      </c>
      <c r="F27" s="28">
        <f t="shared" si="8"/>
        <v>34.204282310660901</v>
      </c>
      <c r="G27" s="27" t="str">
        <f t="shared" si="9"/>
        <v>+</v>
      </c>
      <c r="H27" s="26">
        <f t="shared" si="10"/>
        <v>69376.45</v>
      </c>
      <c r="I27" s="26">
        <f t="shared" si="11"/>
        <v>69588.612361039603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34.1</v>
      </c>
      <c r="D28" s="30">
        <v>1423.4</v>
      </c>
      <c r="E28" s="29">
        <f t="shared" si="7"/>
        <v>0.10425929316974913</v>
      </c>
      <c r="F28" s="28">
        <f t="shared" si="8"/>
        <v>34.204282310660901</v>
      </c>
      <c r="G28" s="27" t="str">
        <f t="shared" si="9"/>
        <v>+</v>
      </c>
      <c r="H28" s="26">
        <f t="shared" si="10"/>
        <v>48537.94</v>
      </c>
      <c r="I28" s="26">
        <f t="shared" si="11"/>
        <v>48686.375440994729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1273.8</v>
      </c>
      <c r="E29" s="29">
        <f t="shared" si="7"/>
        <v>9.3301593114814133E-2</v>
      </c>
      <c r="F29" s="28">
        <f t="shared" si="8"/>
        <v>33.000612551927958</v>
      </c>
      <c r="G29" s="27" t="str">
        <f t="shared" si="9"/>
        <v>+</v>
      </c>
      <c r="H29" s="26">
        <f t="shared" si="10"/>
        <v>41908.019999999997</v>
      </c>
      <c r="I29" s="26">
        <f t="shared" si="11"/>
        <v>42036.180268645832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887.8</v>
      </c>
      <c r="E30" s="29">
        <f t="shared" si="7"/>
        <v>6.502838308002197E-2</v>
      </c>
      <c r="F30" s="28">
        <f t="shared" si="8"/>
        <v>33.000612551927958</v>
      </c>
      <c r="G30" s="27" t="str">
        <f t="shared" si="9"/>
        <v>+</v>
      </c>
      <c r="H30" s="26">
        <f t="shared" si="10"/>
        <v>29208.62</v>
      </c>
      <c r="I30" s="26">
        <f t="shared" si="11"/>
        <v>29297.943823601639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379.3</v>
      </c>
      <c r="E31" s="29">
        <f t="shared" si="7"/>
        <v>2.7782457425379967E-2</v>
      </c>
      <c r="F31" s="28">
        <f t="shared" si="8"/>
        <v>33.602447431294429</v>
      </c>
      <c r="G31" s="27" t="str">
        <f t="shared" si="9"/>
        <v>+</v>
      </c>
      <c r="H31" s="26">
        <f t="shared" si="10"/>
        <v>12706.550000000001</v>
      </c>
      <c r="I31" s="26">
        <f t="shared" si="11"/>
        <v>12745.408310689978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35.023586250043451</v>
      </c>
      <c r="D32" s="22">
        <f>SUM(D26:D31)</f>
        <v>8631.2999999999993</v>
      </c>
      <c r="E32" s="21">
        <f t="shared" si="7"/>
        <v>0.63221388024171388</v>
      </c>
      <c r="F32" s="20">
        <f>I32/D32</f>
        <v>35.130693009626604</v>
      </c>
      <c r="G32" s="19">
        <f>F32/C32-1</f>
        <v>3.0581322774454467E-3</v>
      </c>
      <c r="H32" s="18">
        <f>SUM(H26:H31)</f>
        <v>302299.08</v>
      </c>
      <c r="I32" s="18">
        <f>SUM(I26:I31)</f>
        <v>303223.5505739901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1925.2</v>
      </c>
      <c r="E34" s="29">
        <f t="shared" ref="E34:E40" si="13">D34/$D$48</f>
        <v>0.14101446621497896</v>
      </c>
      <c r="F34" s="28">
        <f t="shared" ref="F34:F39" si="14">C34-(C34*$E$6)</f>
        <v>20.16146845877666</v>
      </c>
      <c r="G34" s="27" t="str">
        <f t="shared" ref="G34:G39" si="15">IF(C34&gt;=F34,"-","+")</f>
        <v>+</v>
      </c>
      <c r="H34" s="26">
        <f t="shared" ref="H34:H39" si="16">C34*D34</f>
        <v>38696.520000000004</v>
      </c>
      <c r="I34" s="26">
        <f t="shared" ref="I34:I39" si="17">F34*D34</f>
        <v>38814.85907683683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15.547401050300408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12.437920840240327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33.000612551927958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33.000612551927958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34.1</v>
      </c>
      <c r="D39" s="30"/>
      <c r="E39" s="29">
        <f t="shared" si="13"/>
        <v>0</v>
      </c>
      <c r="F39" s="28">
        <f t="shared" si="14"/>
        <v>34.204282310660901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1925.2</v>
      </c>
      <c r="E40" s="113">
        <f t="shared" si="13"/>
        <v>0.14101446621497896</v>
      </c>
      <c r="F40" s="20">
        <f>I40/D40</f>
        <v>20.16146845877666</v>
      </c>
      <c r="G40" s="19">
        <f>F40/C40-1</f>
        <v>3.0581322774456687E-3</v>
      </c>
      <c r="H40" s="18">
        <f>SUM(H34:H39)</f>
        <v>38696.520000000004</v>
      </c>
      <c r="I40" s="18">
        <f>SUM(I34:I39)</f>
        <v>38814.85907683683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2102</v>
      </c>
      <c r="E42" s="107">
        <f>D42/$D$48</f>
        <v>0.1539644753708112</v>
      </c>
      <c r="F42" s="28">
        <f>C42-(C42*$E$6)</f>
        <v>0.50152906613872283</v>
      </c>
      <c r="G42" s="27" t="str">
        <f>IF(C42&gt;=F42,"-","+")</f>
        <v>+</v>
      </c>
      <c r="H42" s="26">
        <f>C42*D42</f>
        <v>1051</v>
      </c>
      <c r="I42" s="26">
        <f>F42*D42</f>
        <v>1054.2140970235953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93</v>
      </c>
      <c r="E43" s="107">
        <f>D43/$D$48</f>
        <v>6.8119392052737593E-3</v>
      </c>
      <c r="F43" s="28">
        <f>C43-(C43*$E$6)</f>
        <v>0.50152906613872283</v>
      </c>
      <c r="G43" s="27" t="str">
        <f>IF(C43&gt;=F43,"-","+")</f>
        <v>+</v>
      </c>
      <c r="H43" s="26">
        <f>C43*D43</f>
        <v>46.5</v>
      </c>
      <c r="I43" s="26">
        <f>F43*D43</f>
        <v>46.642203150901224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3.4425929316974914E-4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0.49893167250079562</v>
      </c>
      <c r="D46" s="22">
        <f>SUM(D41:D45)</f>
        <v>2199.6999999999998</v>
      </c>
      <c r="E46" s="113">
        <f>D46/$D$48</f>
        <v>0.16112067386925472</v>
      </c>
      <c r="F46" s="20">
        <f>I46/D46</f>
        <v>0.50045747155271014</v>
      </c>
      <c r="G46" s="19">
        <f>F46/C46-1</f>
        <v>3.0581322774454467E-3</v>
      </c>
      <c r="H46" s="18">
        <f>SUM(H41:H44)</f>
        <v>1097.5</v>
      </c>
      <c r="I46" s="18">
        <f>SUM(I41:I44)</f>
        <v>1100.8563001744965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106.74030214657638</v>
      </c>
      <c r="D48" s="13">
        <f>D24+D32+D40+D46</f>
        <v>13652.5</v>
      </c>
      <c r="E48" s="12">
        <f>SUM(E20:E46)/2</f>
        <v>1</v>
      </c>
      <c r="F48" s="11">
        <f>I48/D48</f>
        <v>28.5</v>
      </c>
      <c r="G48" s="10"/>
      <c r="H48" s="9">
        <f>SUM(H20:H46)/2</f>
        <v>387909.97000000003</v>
      </c>
      <c r="I48" s="9">
        <f>SUM(I20:I46)/2</f>
        <v>389096.25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13652.5</v>
      </c>
      <c r="E50" s="12">
        <f>D50/G2</f>
        <v>1</v>
      </c>
      <c r="F50" s="11">
        <f>I50/D50</f>
        <v>28.5</v>
      </c>
      <c r="G50" s="10"/>
      <c r="H50" s="9">
        <f>H48+H19</f>
        <v>387909.97000000003</v>
      </c>
      <c r="I50" s="9">
        <f>I48+I19</f>
        <v>389096.25</v>
      </c>
      <c r="J50" s="106">
        <f>D50-G2</f>
        <v>0</v>
      </c>
      <c r="K50" s="8"/>
    </row>
    <row r="51" spans="1:11" ht="23.25" x14ac:dyDescent="0.35">
      <c r="A51" s="174" t="s">
        <v>604</v>
      </c>
      <c r="B51" s="169"/>
      <c r="C51" s="170"/>
      <c r="G51" s="7"/>
      <c r="H51" s="6"/>
      <c r="I51" s="6">
        <f>+I50/D50</f>
        <v>28.5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603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603</v>
      </c>
      <c r="D2" s="96" t="s">
        <v>3</v>
      </c>
      <c r="E2" s="95" t="s">
        <v>362</v>
      </c>
      <c r="F2" s="94" t="s">
        <v>5</v>
      </c>
      <c r="G2" s="93">
        <v>21339.599999999999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284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75.13943661971831</v>
      </c>
      <c r="F4" s="81" t="s">
        <v>12</v>
      </c>
      <c r="G4" s="80">
        <f>G2*G3</f>
        <v>597508.79999999993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2.5206557818429065E-3</v>
      </c>
      <c r="F6" s="69" t="s">
        <v>16</v>
      </c>
      <c r="G6" s="68">
        <f>(I50-I19)/(D50-(SUM(D42:D44)+D19))</f>
        <v>33.096895035732629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27.929421638108398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>
        <f t="shared" si="1"/>
        <v>0</v>
      </c>
      <c r="F11" s="28">
        <f t="shared" si="2"/>
        <v>29.126396851170185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748.2</v>
      </c>
      <c r="E12" s="29">
        <f t="shared" si="1"/>
        <v>0.81618850223628236</v>
      </c>
      <c r="F12" s="28">
        <f t="shared" si="2"/>
        <v>26.53295055620298</v>
      </c>
      <c r="G12" s="27" t="str">
        <f t="shared" si="3"/>
        <v>-</v>
      </c>
      <c r="H12" s="34">
        <f t="shared" si="4"/>
        <v>19902.120000000003</v>
      </c>
      <c r="I12" s="34">
        <f t="shared" si="5"/>
        <v>19851.95360615107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29.126396851170185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32.517826621511922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168.5</v>
      </c>
      <c r="E15" s="29">
        <f t="shared" si="1"/>
        <v>0.18381149776371766</v>
      </c>
      <c r="F15" s="28">
        <f t="shared" si="2"/>
        <v>26.832194359468424</v>
      </c>
      <c r="G15" s="27" t="str">
        <f t="shared" si="3"/>
        <v>-</v>
      </c>
      <c r="H15" s="34">
        <f t="shared" si="4"/>
        <v>4532.6499999999996</v>
      </c>
      <c r="I15" s="34">
        <f t="shared" si="5"/>
        <v>4521.2247495704296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36.707239867228175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54.063380456624117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47.280520915940642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26.655143449329117</v>
      </c>
      <c r="D19" s="49">
        <f>SUM(D10:D18)</f>
        <v>916.7</v>
      </c>
      <c r="E19" s="48">
        <f t="shared" si="1"/>
        <v>1</v>
      </c>
      <c r="F19" s="47">
        <f>I19/D19</f>
        <v>26.58795500787771</v>
      </c>
      <c r="G19" s="46">
        <f>F19/C19-1</f>
        <v>-2.5206557818430175E-3</v>
      </c>
      <c r="H19" s="9">
        <f>SUM(H10:H18)</f>
        <v>24434.770000000004</v>
      </c>
      <c r="I19" s="9">
        <f>SUM(I10:I18)</f>
        <v>24373.178355721499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259.2</v>
      </c>
      <c r="E21" s="29">
        <f>D21/$D$48</f>
        <v>1.269169751454257E-2</v>
      </c>
      <c r="F21" s="28">
        <f>C21-(C21*$E$6)</f>
        <v>70.222545832958261</v>
      </c>
      <c r="G21" s="27" t="str">
        <f>IF(C21&gt;=F21,"-","+")</f>
        <v>-</v>
      </c>
      <c r="H21" s="26">
        <f>C21*D21</f>
        <v>18247.68</v>
      </c>
      <c r="I21" s="26">
        <f>F21*D21</f>
        <v>18201.683879902779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658.4</v>
      </c>
      <c r="E22" s="29">
        <f>D22/$D$48</f>
        <v>3.2238478563174494E-2</v>
      </c>
      <c r="F22" s="28">
        <f>C22-(C22*$E$6)</f>
        <v>47.180772981518828</v>
      </c>
      <c r="G22" s="27" t="str">
        <f>IF(C22&gt;=F22,"-","+")</f>
        <v>-</v>
      </c>
      <c r="H22" s="26">
        <f>C22*D22</f>
        <v>31142.319999999996</v>
      </c>
      <c r="I22" s="26">
        <f>F22*D22</f>
        <v>31063.820931031994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523.6</v>
      </c>
      <c r="E23" s="29">
        <f>D23/$D$48</f>
        <v>2.5638012417494176E-2</v>
      </c>
      <c r="F23" s="28">
        <f>C23-(C23*$E$6)</f>
        <v>42.991359735802575</v>
      </c>
      <c r="G23" s="27" t="str">
        <f>IF(C23&gt;=F23,"-","+")</f>
        <v>-</v>
      </c>
      <c r="H23" s="26">
        <f>C23*D23</f>
        <v>22567.160000000003</v>
      </c>
      <c r="I23" s="26">
        <f>F23*D23</f>
        <v>22510.275957666228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49.928642797668616</v>
      </c>
      <c r="D24" s="22">
        <f>SUM(D21:D23)</f>
        <v>1441.1999999999998</v>
      </c>
      <c r="E24" s="21">
        <f>D24/$D$48</f>
        <v>7.0568188495211223E-2</v>
      </c>
      <c r="F24" s="20">
        <f>I24/D24</f>
        <v>49.802789875521093</v>
      </c>
      <c r="G24" s="19">
        <f>F24/C24-1</f>
        <v>-2.5206557818431286E-3</v>
      </c>
      <c r="H24" s="18">
        <f>SUM(H21:H23)</f>
        <v>71957.16</v>
      </c>
      <c r="I24" s="18">
        <f>SUM(I21:I23)</f>
        <v>71775.780768600991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606.5+3528.4</f>
        <v>4134.8999999999996</v>
      </c>
      <c r="E26" s="29">
        <f t="shared" ref="E26:E32" si="7">D26/$D$48</f>
        <v>0.20246489217932898</v>
      </c>
      <c r="F26" s="28">
        <f t="shared" ref="F26:F31" si="8">C26-(C26*$E$6)</f>
        <v>37.505223342602712</v>
      </c>
      <c r="G26" s="27" t="str">
        <f t="shared" ref="G26:G31" si="9">IF(C26&gt;=F26,"-","+")</f>
        <v>-</v>
      </c>
      <c r="H26" s="26">
        <f t="shared" ref="H26:H31" si="10">C26*D26</f>
        <v>155472.24</v>
      </c>
      <c r="I26" s="26">
        <f t="shared" ref="I26:I31" si="11">F26*D26</f>
        <v>155080.34799932793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3033.6</v>
      </c>
      <c r="E27" s="29">
        <f t="shared" si="7"/>
        <v>0.14853986720723897</v>
      </c>
      <c r="F27" s="28">
        <f t="shared" si="8"/>
        <v>33.415558031308265</v>
      </c>
      <c r="G27" s="27" t="str">
        <f t="shared" si="9"/>
        <v>-</v>
      </c>
      <c r="H27" s="26">
        <f t="shared" si="10"/>
        <v>101625.59999999999</v>
      </c>
      <c r="I27" s="26">
        <f t="shared" si="11"/>
        <v>101369.43684377676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1863.4</v>
      </c>
      <c r="E28" s="29">
        <f t="shared" si="7"/>
        <v>9.1241161838729268E-2</v>
      </c>
      <c r="F28" s="28">
        <f t="shared" si="8"/>
        <v>33.415558031308265</v>
      </c>
      <c r="G28" s="27" t="str">
        <f t="shared" si="9"/>
        <v>-</v>
      </c>
      <c r="H28" s="26">
        <f t="shared" si="10"/>
        <v>62423.9</v>
      </c>
      <c r="I28" s="26">
        <f t="shared" si="11"/>
        <v>62266.550835539827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1907.8</v>
      </c>
      <c r="E29" s="29">
        <f t="shared" si="7"/>
        <v>9.3415202616683318E-2</v>
      </c>
      <c r="F29" s="28">
        <f t="shared" si="8"/>
        <v>32.218582818246475</v>
      </c>
      <c r="G29" s="27" t="str">
        <f t="shared" si="9"/>
        <v>-</v>
      </c>
      <c r="H29" s="26">
        <f t="shared" si="10"/>
        <v>61621.939999999995</v>
      </c>
      <c r="I29" s="26">
        <f t="shared" si="11"/>
        <v>61466.612300650624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1429.1</v>
      </c>
      <c r="E30" s="29">
        <f t="shared" si="7"/>
        <v>6.997571341833636E-2</v>
      </c>
      <c r="F30" s="28">
        <f t="shared" si="8"/>
        <v>32.218582818246475</v>
      </c>
      <c r="G30" s="27" t="str">
        <f t="shared" si="9"/>
        <v>-</v>
      </c>
      <c r="H30" s="26">
        <f t="shared" si="10"/>
        <v>46159.929999999993</v>
      </c>
      <c r="I30" s="26">
        <f t="shared" si="11"/>
        <v>46043.576705556035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384.2</v>
      </c>
      <c r="E31" s="29">
        <f t="shared" si="7"/>
        <v>1.8812307812836635E-2</v>
      </c>
      <c r="F31" s="28">
        <f t="shared" si="8"/>
        <v>32.81707042477737</v>
      </c>
      <c r="G31" s="27" t="str">
        <f t="shared" si="9"/>
        <v>-</v>
      </c>
      <c r="H31" s="26">
        <f t="shared" si="10"/>
        <v>12640.179999999998</v>
      </c>
      <c r="I31" s="26">
        <f t="shared" si="11"/>
        <v>12608.318457199464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34.497278287461775</v>
      </c>
      <c r="D32" s="22">
        <f>SUM(D26:D31)</f>
        <v>12753</v>
      </c>
      <c r="E32" s="21">
        <f t="shared" si="7"/>
        <v>0.62444914507315352</v>
      </c>
      <c r="F32" s="20">
        <f>I32/D32</f>
        <v>34.410322523488645</v>
      </c>
      <c r="G32" s="19">
        <f>F32/C32-1</f>
        <v>-2.5206557818427955E-3</v>
      </c>
      <c r="H32" s="18">
        <f>SUM(H26:H31)</f>
        <v>439943.79</v>
      </c>
      <c r="I32" s="18">
        <f>SUM(I26:I31)</f>
        <v>438834.84314205067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2997</v>
      </c>
      <c r="E34" s="29">
        <f t="shared" ref="E34:E40" si="13">D34/$D$48</f>
        <v>0.14674775251189848</v>
      </c>
      <c r="F34" s="28">
        <f t="shared" ref="F34:F39" si="14">C34-(C34*$E$6)</f>
        <v>19.750091015519512</v>
      </c>
      <c r="G34" s="27" t="str">
        <f t="shared" ref="G34:G39" si="15">IF(C34&gt;=F34,"-","+")</f>
        <v>-</v>
      </c>
      <c r="H34" s="26">
        <f t="shared" ref="H34:H39" si="16">C34*D34</f>
        <v>59340.6</v>
      </c>
      <c r="I34" s="26">
        <f t="shared" ref="I34:I39" si="17">F34*D34</f>
        <v>59191.022773511977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118</v>
      </c>
      <c r="E35" s="29">
        <f t="shared" si="13"/>
        <v>5.7778561215895965E-3</v>
      </c>
      <c r="F35" s="28">
        <f t="shared" si="14"/>
        <v>15.161686032115988</v>
      </c>
      <c r="G35" s="27" t="str">
        <f t="shared" si="15"/>
        <v>-</v>
      </c>
      <c r="H35" s="26">
        <f t="shared" si="16"/>
        <v>1793.6</v>
      </c>
      <c r="I35" s="26">
        <f t="shared" si="17"/>
        <v>1789.0789517896865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12.169247999461517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32.218582818246475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32.218582818246475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33.415558031308265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19.625746388443016</v>
      </c>
      <c r="D40" s="22">
        <f>SUM(D34:D39)</f>
        <v>3115</v>
      </c>
      <c r="E40" s="113">
        <f t="shared" si="13"/>
        <v>0.15252560863348807</v>
      </c>
      <c r="F40" s="20">
        <f>I40/D40</f>
        <v>19.576276637336008</v>
      </c>
      <c r="G40" s="19">
        <f>F40/C40-1</f>
        <v>-2.5206557818426845E-3</v>
      </c>
      <c r="H40" s="18">
        <f>SUM(H34:H39)</f>
        <v>61134.2</v>
      </c>
      <c r="I40" s="18">
        <f>SUM(I34:I39)</f>
        <v>60980.101725301662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2893+70.4</f>
        <v>2963.4</v>
      </c>
      <c r="E42" s="107">
        <f>D42/$D$48</f>
        <v>0.14510253246371704</v>
      </c>
      <c r="F42" s="28">
        <f>C42-(C42*$E$6)</f>
        <v>0.49873967210907855</v>
      </c>
      <c r="G42" s="27" t="str">
        <f>IF(C42&gt;=F42,"-","+")</f>
        <v>-</v>
      </c>
      <c r="H42" s="26">
        <f>C42*D42</f>
        <v>1481.7</v>
      </c>
      <c r="I42" s="26">
        <f>F42*D42</f>
        <v>1477.9651443280434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134.19999999999999</v>
      </c>
      <c r="E43" s="107">
        <f>D43/$D$48</f>
        <v>6.5710872162485058E-3</v>
      </c>
      <c r="F43" s="28">
        <f>C43-(C43*$E$6)</f>
        <v>0.49873967210907855</v>
      </c>
      <c r="G43" s="27" t="str">
        <f>IF(C43&gt;=F43,"-","+")</f>
        <v>-</v>
      </c>
      <c r="H43" s="26">
        <f>C43*D43</f>
        <v>67.099999999999994</v>
      </c>
      <c r="I43" s="26">
        <f>F43*D43</f>
        <v>66.93086399703833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8.3000000000000007</v>
      </c>
      <c r="E44" s="107">
        <f>D44/$D$48</f>
        <v>4.0640852380672589E-4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7.7</v>
      </c>
      <c r="E45" s="107">
        <f>D45/$D$48</f>
        <v>3.7702959437491433E-4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0.49743062692702983</v>
      </c>
      <c r="D46" s="22">
        <f>SUM(D41:D45)</f>
        <v>3113.6</v>
      </c>
      <c r="E46" s="113">
        <f>D46/$D$48</f>
        <v>0.15245705779814717</v>
      </c>
      <c r="F46" s="20">
        <f>I46/D46</f>
        <v>0.49617677554120049</v>
      </c>
      <c r="G46" s="19">
        <f>F46/C46-1</f>
        <v>-2.5206557818429065E-3</v>
      </c>
      <c r="H46" s="18">
        <f>SUM(H41:H44)</f>
        <v>1548.8</v>
      </c>
      <c r="I46" s="18">
        <f>SUM(I41:I44)</f>
        <v>1544.8960083250818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104.54909810050044</v>
      </c>
      <c r="D48" s="13">
        <f>D24+D32+D40+D46</f>
        <v>20422.8</v>
      </c>
      <c r="E48" s="12">
        <f>SUM(E20:E46)/2</f>
        <v>1</v>
      </c>
      <c r="F48" s="11">
        <f>I48/D48</f>
        <v>28.063518305241125</v>
      </c>
      <c r="G48" s="10"/>
      <c r="H48" s="9">
        <f>SUM(H20:H46)/2</f>
        <v>574583.95000000007</v>
      </c>
      <c r="I48" s="9">
        <f>SUM(I20:I46)/2</f>
        <v>573135.62164427841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21339.5</v>
      </c>
      <c r="E50" s="12">
        <f>D50/G2</f>
        <v>0.99999531387654883</v>
      </c>
      <c r="F50" s="11">
        <f>I50/D50</f>
        <v>28.000131212071508</v>
      </c>
      <c r="G50" s="10"/>
      <c r="H50" s="9">
        <f>H48+H19</f>
        <v>599018.72000000009</v>
      </c>
      <c r="I50" s="9">
        <f>I48+I19</f>
        <v>597508.79999999993</v>
      </c>
      <c r="J50" s="106">
        <f>D50-G2</f>
        <v>-9.9999999998544808E-2</v>
      </c>
      <c r="K50" s="8"/>
    </row>
    <row r="51" spans="1:11" ht="23.25" x14ac:dyDescent="0.35">
      <c r="A51" s="174" t="s">
        <v>605</v>
      </c>
      <c r="B51" s="169"/>
      <c r="C51" s="170"/>
      <c r="G51" s="7"/>
      <c r="H51" s="6"/>
      <c r="I51" s="6">
        <f>+I50/D50</f>
        <v>28.000131212071508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603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606</v>
      </c>
      <c r="D2" s="96" t="s">
        <v>3</v>
      </c>
      <c r="E2" s="95" t="s">
        <v>71</v>
      </c>
      <c r="F2" s="94" t="s">
        <v>5</v>
      </c>
      <c r="G2" s="93">
        <v>7897.2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110</v>
      </c>
      <c r="F3" s="88" t="s">
        <v>8</v>
      </c>
      <c r="G3" s="87">
        <v>28.5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71.792727272727276</v>
      </c>
      <c r="F4" s="81" t="s">
        <v>12</v>
      </c>
      <c r="G4" s="80">
        <f>G2*G3</f>
        <v>225070.19999999998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-9.1894584163374482E-3</v>
      </c>
      <c r="F6" s="69" t="s">
        <v>16</v>
      </c>
      <c r="G6" s="68">
        <f>(I50-I19)/(D50-(SUM(D42:D44)+D19))</f>
        <v>32.903147809905995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28.761899564865619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29.7</v>
      </c>
      <c r="D11" s="30">
        <v>1141.0999999999999</v>
      </c>
      <c r="E11" s="29">
        <f t="shared" si="1"/>
        <v>0.41279890026408134</v>
      </c>
      <c r="F11" s="28">
        <f t="shared" si="2"/>
        <v>29.972926914965221</v>
      </c>
      <c r="G11" s="27" t="str">
        <f t="shared" si="3"/>
        <v>+</v>
      </c>
      <c r="H11" s="34">
        <f t="shared" si="4"/>
        <v>33890.67</v>
      </c>
      <c r="I11" s="34">
        <f t="shared" si="5"/>
        <v>34202.106902666812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>
        <v>1247.3</v>
      </c>
      <c r="E12" s="29">
        <f t="shared" si="1"/>
        <v>0.45121730637050972</v>
      </c>
      <c r="F12" s="28">
        <f t="shared" si="2"/>
        <v>27.349034323082748</v>
      </c>
      <c r="G12" s="27" t="str">
        <f t="shared" si="3"/>
        <v>+</v>
      </c>
      <c r="H12" s="34">
        <f t="shared" si="4"/>
        <v>33801.83</v>
      </c>
      <c r="I12" s="34">
        <f t="shared" si="5"/>
        <v>34112.450511181109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29.7</v>
      </c>
      <c r="D13" s="30"/>
      <c r="E13" s="29">
        <f t="shared" si="1"/>
        <v>0</v>
      </c>
      <c r="F13" s="28">
        <f t="shared" si="2"/>
        <v>29.972926914965221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33.200000000000003</v>
      </c>
      <c r="D14" s="30"/>
      <c r="E14" s="29">
        <f t="shared" si="1"/>
        <v>0</v>
      </c>
      <c r="F14" s="28">
        <f t="shared" si="2"/>
        <v>33.505090019422404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27.4</v>
      </c>
      <c r="D15" s="30"/>
      <c r="E15" s="29">
        <f t="shared" si="1"/>
        <v>0</v>
      </c>
      <c r="F15" s="28">
        <f t="shared" si="2"/>
        <v>27.651791160607644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37.5</v>
      </c>
      <c r="D16" s="30">
        <v>375.9</v>
      </c>
      <c r="E16" s="29">
        <f t="shared" si="1"/>
        <v>0.13598379336540897</v>
      </c>
      <c r="F16" s="28">
        <f t="shared" si="2"/>
        <v>37.844604690612655</v>
      </c>
      <c r="G16" s="27" t="str">
        <f t="shared" si="3"/>
        <v>+</v>
      </c>
      <c r="H16" s="34">
        <f t="shared" si="4"/>
        <v>14096.25</v>
      </c>
      <c r="I16" s="34">
        <f t="shared" si="5"/>
        <v>14225.786903201297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>
        <f t="shared" si="1"/>
        <v>0</v>
      </c>
      <c r="F17" s="28">
        <f t="shared" si="2"/>
        <v>55.606339158740198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48.3</v>
      </c>
      <c r="D18" s="30"/>
      <c r="E18" s="29">
        <f t="shared" si="1"/>
        <v>0</v>
      </c>
      <c r="F18" s="28">
        <f t="shared" si="2"/>
        <v>48.743850841509094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29.587508591686866</v>
      </c>
      <c r="D19" s="49">
        <f>SUM(D10:D18)</f>
        <v>2764.2999999999997</v>
      </c>
      <c r="E19" s="48">
        <f t="shared" si="1"/>
        <v>1</v>
      </c>
      <c r="F19" s="47">
        <f>I19/D19</f>
        <v>29.859401771533197</v>
      </c>
      <c r="G19" s="46">
        <f>F19/C19-1</f>
        <v>9.1894584163374482E-3</v>
      </c>
      <c r="H19" s="9">
        <f>SUM(H10:H18)</f>
        <v>81788.75</v>
      </c>
      <c r="I19" s="9">
        <f>SUM(I10:I18)</f>
        <v>82540.34431704921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71.7</v>
      </c>
      <c r="D21" s="30"/>
      <c r="E21" s="29">
        <f>D21/$D$48</f>
        <v>0</v>
      </c>
      <c r="F21" s="28">
        <f>C21-(C21*$E$6)</f>
        <v>72.358884168451397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140.1</v>
      </c>
      <c r="E22" s="29">
        <f>D22/$D$48</f>
        <v>2.7294511874379004E-2</v>
      </c>
      <c r="F22" s="28">
        <f>C22-(C22*$E$6)</f>
        <v>48.542012949825832</v>
      </c>
      <c r="G22" s="27" t="str">
        <f>IF(C22&gt;=F22,"-","+")</f>
        <v>+</v>
      </c>
      <c r="H22" s="26">
        <f>C22*D22</f>
        <v>6738.8099999999995</v>
      </c>
      <c r="I22" s="26">
        <f>F22*D22</f>
        <v>6800.7360142705984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43.9</v>
      </c>
      <c r="D23" s="30"/>
      <c r="E23" s="29">
        <f>D23/$D$48</f>
        <v>0</v>
      </c>
      <c r="F23" s="28">
        <f>C23-(C23*$E$6)</f>
        <v>44.303417224477215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48.1</v>
      </c>
      <c r="D24" s="22">
        <f>SUM(D21:D23)</f>
        <v>140.1</v>
      </c>
      <c r="E24" s="21">
        <f>D24/$D$48</f>
        <v>2.7294511874379004E-2</v>
      </c>
      <c r="F24" s="20">
        <f>I24/D24</f>
        <v>48.542012949825832</v>
      </c>
      <c r="G24" s="19">
        <f>F24/C24-1</f>
        <v>9.1894584163374482E-3</v>
      </c>
      <c r="H24" s="18">
        <f>SUM(H21:H23)</f>
        <v>6738.8099999999995</v>
      </c>
      <c r="I24" s="18">
        <f>SUM(I21:I23)</f>
        <v>6800.7360142705984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f>55.1+81+896</f>
        <v>1032.0999999999999</v>
      </c>
      <c r="E26" s="29">
        <f t="shared" ref="E26:E32" si="7">D26/$D$48</f>
        <v>0.20107541545714894</v>
      </c>
      <c r="F26" s="28">
        <f t="shared" ref="F26:F31" si="8">C26-(C26*$E$6)</f>
        <v>38.551037311504096</v>
      </c>
      <c r="G26" s="27" t="str">
        <f t="shared" ref="G26:G31" si="9">IF(C26&gt;=F26,"-","+")</f>
        <v>+</v>
      </c>
      <c r="H26" s="26">
        <f t="shared" ref="H26:H31" si="10">C26*D26</f>
        <v>39426.22</v>
      </c>
      <c r="I26" s="26">
        <f t="shared" ref="I26:I31" si="11">F26*D26</f>
        <v>39788.525609203374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34.1</v>
      </c>
      <c r="D27" s="30">
        <v>819</v>
      </c>
      <c r="E27" s="29">
        <f t="shared" si="7"/>
        <v>0.15955892380525627</v>
      </c>
      <c r="F27" s="28">
        <f t="shared" si="8"/>
        <v>34.413360531997107</v>
      </c>
      <c r="G27" s="27" t="str">
        <f t="shared" si="9"/>
        <v>+</v>
      </c>
      <c r="H27" s="26">
        <f t="shared" si="10"/>
        <v>27927.9</v>
      </c>
      <c r="I27" s="26">
        <f t="shared" si="11"/>
        <v>28184.542275705629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34.1</v>
      </c>
      <c r="D28" s="30">
        <v>536</v>
      </c>
      <c r="E28" s="29">
        <f t="shared" si="7"/>
        <v>0.10442439946229226</v>
      </c>
      <c r="F28" s="28">
        <f t="shared" si="8"/>
        <v>34.413360531997107</v>
      </c>
      <c r="G28" s="27" t="str">
        <f t="shared" si="9"/>
        <v>+</v>
      </c>
      <c r="H28" s="26">
        <f t="shared" si="10"/>
        <v>18277.600000000002</v>
      </c>
      <c r="I28" s="26">
        <f t="shared" si="11"/>
        <v>18445.561245150449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500.3</v>
      </c>
      <c r="E29" s="29">
        <f t="shared" si="7"/>
        <v>9.7469266886165709E-2</v>
      </c>
      <c r="F29" s="28">
        <f t="shared" si="8"/>
        <v>33.202333181897501</v>
      </c>
      <c r="G29" s="27" t="str">
        <f t="shared" si="9"/>
        <v>+</v>
      </c>
      <c r="H29" s="26">
        <f t="shared" si="10"/>
        <v>16459.87</v>
      </c>
      <c r="I29" s="26">
        <f t="shared" si="11"/>
        <v>16611.127290903321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387.6</v>
      </c>
      <c r="E30" s="29">
        <f t="shared" si="7"/>
        <v>7.5512867969374037E-2</v>
      </c>
      <c r="F30" s="28">
        <f t="shared" si="8"/>
        <v>33.202333181897501</v>
      </c>
      <c r="G30" s="27" t="str">
        <f t="shared" si="9"/>
        <v>+</v>
      </c>
      <c r="H30" s="26">
        <f t="shared" si="10"/>
        <v>12752.04</v>
      </c>
      <c r="I30" s="26">
        <f t="shared" si="11"/>
        <v>12869.224341303472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70</v>
      </c>
      <c r="E31" s="29">
        <f t="shared" si="7"/>
        <v>1.3637514855150109E-2</v>
      </c>
      <c r="F31" s="28">
        <f t="shared" si="8"/>
        <v>33.807846856947307</v>
      </c>
      <c r="G31" s="27" t="str">
        <f t="shared" si="9"/>
        <v>+</v>
      </c>
      <c r="H31" s="26">
        <f t="shared" si="10"/>
        <v>2345</v>
      </c>
      <c r="I31" s="26">
        <f t="shared" si="11"/>
        <v>2366.5492799863114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35.033970104633781</v>
      </c>
      <c r="D32" s="22">
        <f>SUM(D26:D31)</f>
        <v>3345</v>
      </c>
      <c r="E32" s="21">
        <f t="shared" si="7"/>
        <v>0.65167838843538728</v>
      </c>
      <c r="F32" s="20">
        <f>I32/D32</f>
        <v>35.355913316069525</v>
      </c>
      <c r="G32" s="19">
        <f>F32/C32-1</f>
        <v>9.1894584163374482E-3</v>
      </c>
      <c r="H32" s="18">
        <f>SUM(H26:H31)</f>
        <v>117188.63</v>
      </c>
      <c r="I32" s="18">
        <f>SUM(I26:I31)</f>
        <v>118265.53004225256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841.2</v>
      </c>
      <c r="E34" s="29">
        <f t="shared" ref="E34:E40" si="13">D34/$D$48</f>
        <v>0.16388396423074675</v>
      </c>
      <c r="F34" s="28">
        <f t="shared" ref="F34:F39" si="14">C34-(C34*$E$6)</f>
        <v>20.284708114168385</v>
      </c>
      <c r="G34" s="27" t="str">
        <f t="shared" ref="G34:G39" si="15">IF(C34&gt;=F34,"-","+")</f>
        <v>+</v>
      </c>
      <c r="H34" s="26">
        <f t="shared" ref="H34:H39" si="16">C34*D34</f>
        <v>16908.120000000003</v>
      </c>
      <c r="I34" s="26">
        <f t="shared" ref="I34:I39" si="17">F34*D34</f>
        <v>17063.496465638447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15.642436605453231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12.513949284362585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33.202333181897501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33.202333181897501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34.1</v>
      </c>
      <c r="D39" s="30"/>
      <c r="E39" s="29">
        <f t="shared" si="13"/>
        <v>0</v>
      </c>
      <c r="F39" s="28">
        <f t="shared" si="14"/>
        <v>34.413360531997107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841.2</v>
      </c>
      <c r="E40" s="113">
        <f t="shared" si="13"/>
        <v>0.16388396423074675</v>
      </c>
      <c r="F40" s="20">
        <f>I40/D40</f>
        <v>20.284708114168385</v>
      </c>
      <c r="G40" s="19">
        <f>F40/C40-1</f>
        <v>9.1894584163374482E-3</v>
      </c>
      <c r="H40" s="18">
        <f>SUM(H34:H39)</f>
        <v>16908.120000000003</v>
      </c>
      <c r="I40" s="18">
        <f>SUM(I34:I39)</f>
        <v>17063.496465638447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752</v>
      </c>
      <c r="E42" s="107">
        <f>D42/$D$48</f>
        <v>0.14650587387246974</v>
      </c>
      <c r="F42" s="28">
        <f>C42-(C42*$E$6)</f>
        <v>0.50459472920816872</v>
      </c>
      <c r="G42" s="27" t="str">
        <f>IF(C42&gt;=F42,"-","+")</f>
        <v>+</v>
      </c>
      <c r="H42" s="26">
        <f>C42*D42</f>
        <v>376</v>
      </c>
      <c r="I42" s="26">
        <f>F42*D42</f>
        <v>379.45523636454288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40.9</v>
      </c>
      <c r="E43" s="107">
        <f>D43/$D$48</f>
        <v>7.9682051082234206E-3</v>
      </c>
      <c r="F43" s="28">
        <f>C43-(C43*$E$6)</f>
        <v>0.50459472920816872</v>
      </c>
      <c r="G43" s="27" t="str">
        <f>IF(C43&gt;=F43,"-","+")</f>
        <v>+</v>
      </c>
      <c r="H43" s="26">
        <f>C43*D43</f>
        <v>20.45</v>
      </c>
      <c r="I43" s="26">
        <f>F43*D43</f>
        <v>20.637924424614098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8.1999999999999993</v>
      </c>
      <c r="E44" s="107">
        <f>D44/$D$48</f>
        <v>1.5975374544604411E-3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5.5</v>
      </c>
      <c r="E45" s="107">
        <f>D45/$D$48</f>
        <v>1.0715190243332229E-3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0.49150756260848</v>
      </c>
      <c r="D46" s="22">
        <f>SUM(D41:D45)</f>
        <v>806.6</v>
      </c>
      <c r="E46" s="113">
        <f>D46/$D$48</f>
        <v>0.15714313545948683</v>
      </c>
      <c r="F46" s="20">
        <f>I46/D46</f>
        <v>0.49602425091638602</v>
      </c>
      <c r="G46" s="19">
        <f>F46/C46-1</f>
        <v>9.1894584163374482E-3</v>
      </c>
      <c r="H46" s="18">
        <f>SUM(H41:H44)</f>
        <v>396.45</v>
      </c>
      <c r="I46" s="18">
        <f>SUM(I41:I44)</f>
        <v>400.09316078915697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103.72547766724226</v>
      </c>
      <c r="D48" s="13">
        <f>D24+D32+D40+D46</f>
        <v>5132.9000000000005</v>
      </c>
      <c r="E48" s="12">
        <f>SUM(E20:E46)/2</f>
        <v>1</v>
      </c>
      <c r="F48" s="11">
        <f>I48/D48</f>
        <v>27.767900345409178</v>
      </c>
      <c r="G48" s="10"/>
      <c r="H48" s="9">
        <f>SUM(H20:H46)/2</f>
        <v>141232.01</v>
      </c>
      <c r="I48" s="9">
        <f>SUM(I20:I46)/2</f>
        <v>142529.85568295079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7897.2000000000007</v>
      </c>
      <c r="E50" s="12">
        <f>D50/G2</f>
        <v>1.0000000000000002</v>
      </c>
      <c r="F50" s="11">
        <f>I50/D50</f>
        <v>28.5</v>
      </c>
      <c r="G50" s="10"/>
      <c r="H50" s="9">
        <f>H48+H19</f>
        <v>223020.76</v>
      </c>
      <c r="I50" s="9">
        <f>I48+I19</f>
        <v>225070.2</v>
      </c>
      <c r="J50" s="106">
        <f>D50-G2</f>
        <v>0</v>
      </c>
      <c r="K50" s="8"/>
    </row>
    <row r="51" spans="1:11" ht="23.25" x14ac:dyDescent="0.35">
      <c r="A51" s="174" t="s">
        <v>607</v>
      </c>
      <c r="B51" s="169"/>
      <c r="C51" s="170"/>
      <c r="G51" s="7"/>
      <c r="H51" s="6"/>
      <c r="I51" s="6">
        <f>+I50/D50</f>
        <v>28.5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603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606</v>
      </c>
      <c r="D2" s="96" t="s">
        <v>3</v>
      </c>
      <c r="E2" s="95" t="s">
        <v>71</v>
      </c>
      <c r="F2" s="94" t="s">
        <v>5</v>
      </c>
      <c r="G2" s="93">
        <v>2989.2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40</v>
      </c>
      <c r="F3" s="88" t="s">
        <v>8</v>
      </c>
      <c r="G3" s="87">
        <v>28.5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74.72999999999999</v>
      </c>
      <c r="F4" s="81" t="s">
        <v>12</v>
      </c>
      <c r="G4" s="80">
        <f>G2*G3</f>
        <v>85192.2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-5.0943601021229412E-3</v>
      </c>
      <c r="F6" s="69" t="s">
        <v>16</v>
      </c>
      <c r="G6" s="68">
        <f>(I50-I19)/(D50-(SUM(D42:D44)+D19))</f>
        <v>33.057271904045869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28.645189262910502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29.7</v>
      </c>
      <c r="D11" s="30"/>
      <c r="E11" s="29">
        <f t="shared" si="1"/>
        <v>0</v>
      </c>
      <c r="F11" s="28">
        <f t="shared" si="2"/>
        <v>29.85130249503305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/>
      <c r="E12" s="29">
        <f t="shared" si="1"/>
        <v>0</v>
      </c>
      <c r="F12" s="28">
        <f t="shared" si="2"/>
        <v>27.238057158767532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29.7</v>
      </c>
      <c r="D13" s="30"/>
      <c r="E13" s="29">
        <f t="shared" si="1"/>
        <v>0</v>
      </c>
      <c r="F13" s="28">
        <f t="shared" si="2"/>
        <v>29.85130249503305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33.200000000000003</v>
      </c>
      <c r="D14" s="30"/>
      <c r="E14" s="29">
        <f t="shared" si="1"/>
        <v>0</v>
      </c>
      <c r="F14" s="28">
        <f t="shared" si="2"/>
        <v>33.369132755390481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27.4</v>
      </c>
      <c r="D15" s="30"/>
      <c r="E15" s="29">
        <f t="shared" si="1"/>
        <v>0</v>
      </c>
      <c r="F15" s="28">
        <f t="shared" si="2"/>
        <v>27.539585466798169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37.5</v>
      </c>
      <c r="D16" s="30">
        <v>225.5</v>
      </c>
      <c r="E16" s="29">
        <f t="shared" si="1"/>
        <v>1</v>
      </c>
      <c r="F16" s="28">
        <f t="shared" si="2"/>
        <v>37.69103850382961</v>
      </c>
      <c r="G16" s="27" t="str">
        <f t="shared" si="3"/>
        <v>+</v>
      </c>
      <c r="H16" s="34">
        <f t="shared" si="4"/>
        <v>8456.25</v>
      </c>
      <c r="I16" s="34">
        <f t="shared" si="5"/>
        <v>8499.3291826135774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>
        <f t="shared" si="1"/>
        <v>0</v>
      </c>
      <c r="F17" s="28">
        <f t="shared" si="2"/>
        <v>55.380699241626978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48.3</v>
      </c>
      <c r="D18" s="30"/>
      <c r="E18" s="29">
        <f t="shared" si="1"/>
        <v>0</v>
      </c>
      <c r="F18" s="28">
        <f t="shared" si="2"/>
        <v>48.546057592932534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37.5</v>
      </c>
      <c r="D19" s="49">
        <f>SUM(D10:D18)</f>
        <v>225.5</v>
      </c>
      <c r="E19" s="48">
        <f t="shared" si="1"/>
        <v>1</v>
      </c>
      <c r="F19" s="47">
        <f>I19/D19</f>
        <v>37.69103850382961</v>
      </c>
      <c r="G19" s="46">
        <f>F19/C19-1</f>
        <v>5.0943601021229412E-3</v>
      </c>
      <c r="H19" s="9">
        <f>SUM(H10:H18)</f>
        <v>8456.25</v>
      </c>
      <c r="I19" s="9">
        <f>SUM(I10:I18)</f>
        <v>8499.3291826135774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71.7</v>
      </c>
      <c r="D21" s="30"/>
      <c r="E21" s="29">
        <f>D21/$D$48</f>
        <v>0</v>
      </c>
      <c r="F21" s="28">
        <f>C21-(C21*$E$6)</f>
        <v>72.065265619322219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86.2</v>
      </c>
      <c r="E22" s="29">
        <f>D22/$D$48</f>
        <v>3.1190071281253395E-2</v>
      </c>
      <c r="F22" s="28">
        <f>C22-(C22*$E$6)</f>
        <v>48.345038720912115</v>
      </c>
      <c r="G22" s="27" t="str">
        <f>IF(C22&gt;=F22,"-","+")</f>
        <v>+</v>
      </c>
      <c r="H22" s="26">
        <f>C22*D22</f>
        <v>4146.22</v>
      </c>
      <c r="I22" s="26">
        <f>F22*D22</f>
        <v>4167.3423377426243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43.9</v>
      </c>
      <c r="D23" s="30"/>
      <c r="E23" s="29">
        <f>D23/$D$48</f>
        <v>0</v>
      </c>
      <c r="F23" s="28">
        <f>C23-(C23*$E$6)</f>
        <v>44.123642408483192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48.1</v>
      </c>
      <c r="D24" s="22">
        <f>SUM(D21:D23)</f>
        <v>86.2</v>
      </c>
      <c r="E24" s="21">
        <f>D24/$D$48</f>
        <v>3.1190071281253395E-2</v>
      </c>
      <c r="F24" s="20">
        <f>I24/D24</f>
        <v>48.345038720912115</v>
      </c>
      <c r="G24" s="19">
        <f>F24/C24-1</f>
        <v>5.0943601021229412E-3</v>
      </c>
      <c r="H24" s="18">
        <f>SUM(H21:H23)</f>
        <v>4146.22</v>
      </c>
      <c r="I24" s="18">
        <f>SUM(I21:I23)</f>
        <v>4167.3423377426243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v>517.6</v>
      </c>
      <c r="E26" s="29">
        <f t="shared" ref="E26:E32" si="7">D26/$D$48</f>
        <v>0.18728516119694613</v>
      </c>
      <c r="F26" s="28">
        <f t="shared" ref="F26:F31" si="8">C26-(C26*$E$6)</f>
        <v>38.394604555901097</v>
      </c>
      <c r="G26" s="27" t="str">
        <f t="shared" ref="G26:G31" si="9">IF(C26&gt;=F26,"-","+")</f>
        <v>+</v>
      </c>
      <c r="H26" s="26">
        <f t="shared" ref="H26:H31" si="10">C26*D26</f>
        <v>19772.320000000003</v>
      </c>
      <c r="I26" s="26">
        <f t="shared" ref="I26:I31" si="11">F26*D26</f>
        <v>19873.04731813441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34.1</v>
      </c>
      <c r="D27" s="30">
        <v>477.6</v>
      </c>
      <c r="E27" s="29">
        <f t="shared" si="7"/>
        <v>0.17281181025436917</v>
      </c>
      <c r="F27" s="28">
        <f t="shared" si="8"/>
        <v>34.273717679482395</v>
      </c>
      <c r="G27" s="27" t="str">
        <f t="shared" si="9"/>
        <v>+</v>
      </c>
      <c r="H27" s="26">
        <f t="shared" si="10"/>
        <v>16286.160000000002</v>
      </c>
      <c r="I27" s="26">
        <f t="shared" si="11"/>
        <v>16369.127563720793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34.1</v>
      </c>
      <c r="D28" s="30">
        <v>289.39999999999998</v>
      </c>
      <c r="E28" s="29">
        <f t="shared" si="7"/>
        <v>0.10471469406954445</v>
      </c>
      <c r="F28" s="28">
        <f t="shared" si="8"/>
        <v>34.273717679482395</v>
      </c>
      <c r="G28" s="27" t="str">
        <f t="shared" si="9"/>
        <v>+</v>
      </c>
      <c r="H28" s="26">
        <f t="shared" si="10"/>
        <v>9868.5399999999991</v>
      </c>
      <c r="I28" s="26">
        <f t="shared" si="11"/>
        <v>9918.8138964422051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290.10000000000002</v>
      </c>
      <c r="E29" s="29">
        <f t="shared" si="7"/>
        <v>0.10496797771103956</v>
      </c>
      <c r="F29" s="28">
        <f t="shared" si="8"/>
        <v>33.067604447359841</v>
      </c>
      <c r="G29" s="27" t="str">
        <f t="shared" si="9"/>
        <v>+</v>
      </c>
      <c r="H29" s="26">
        <f t="shared" si="10"/>
        <v>9544.2900000000009</v>
      </c>
      <c r="I29" s="26">
        <f t="shared" si="11"/>
        <v>9592.9120501790912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209.1</v>
      </c>
      <c r="E30" s="29">
        <f t="shared" si="7"/>
        <v>7.5659442052321169E-2</v>
      </c>
      <c r="F30" s="28">
        <f t="shared" si="8"/>
        <v>33.067604447359841</v>
      </c>
      <c r="G30" s="27" t="str">
        <f t="shared" si="9"/>
        <v>+</v>
      </c>
      <c r="H30" s="26">
        <f t="shared" si="10"/>
        <v>6879.3899999999994</v>
      </c>
      <c r="I30" s="26">
        <f t="shared" si="11"/>
        <v>6914.436089942943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52</v>
      </c>
      <c r="E31" s="29">
        <f t="shared" si="7"/>
        <v>1.8815356225350074E-2</v>
      </c>
      <c r="F31" s="28">
        <f t="shared" si="8"/>
        <v>33.670661063421122</v>
      </c>
      <c r="G31" s="27" t="str">
        <f t="shared" si="9"/>
        <v>+</v>
      </c>
      <c r="H31" s="26">
        <f t="shared" si="10"/>
        <v>1742</v>
      </c>
      <c r="I31" s="26">
        <f t="shared" si="11"/>
        <v>1750.8743752978983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34.912681119947713</v>
      </c>
      <c r="D32" s="22">
        <f>SUM(D26:D31)</f>
        <v>1835.7999999999997</v>
      </c>
      <c r="E32" s="21">
        <f t="shared" si="7"/>
        <v>0.66425444150957047</v>
      </c>
      <c r="F32" s="20">
        <f>I32/D32</f>
        <v>35.090538889703318</v>
      </c>
      <c r="G32" s="19">
        <f>F32/C32-1</f>
        <v>5.0943601021229412E-3</v>
      </c>
      <c r="H32" s="18">
        <f>SUM(H26:H31)</f>
        <v>64092.700000000004</v>
      </c>
      <c r="I32" s="18">
        <f>SUM(I26:I31)</f>
        <v>64419.211293717337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390.3</v>
      </c>
      <c r="E34" s="29">
        <f t="shared" ref="E34:E40" si="13">D34/$D$48</f>
        <v>0.14122372182219489</v>
      </c>
      <c r="F34" s="28">
        <f t="shared" ref="F34:F39" si="14">C34-(C34*$E$6)</f>
        <v>20.202396638052672</v>
      </c>
      <c r="G34" s="27" t="str">
        <f t="shared" ref="G34:G39" si="15">IF(C34&gt;=F34,"-","+")</f>
        <v>+</v>
      </c>
      <c r="H34" s="26">
        <f t="shared" ref="H34:H39" si="16">C34*D34</f>
        <v>7845.0300000000007</v>
      </c>
      <c r="I34" s="26">
        <f t="shared" ref="I34:I39" si="17">F34*D34</f>
        <v>7884.9954078319579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15.578962581582905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12.463170065266326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33.067604447359841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33.067604447359841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34.1</v>
      </c>
      <c r="D39" s="30"/>
      <c r="E39" s="29">
        <f t="shared" si="13"/>
        <v>0</v>
      </c>
      <c r="F39" s="28">
        <f t="shared" si="14"/>
        <v>34.273717679482395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390.3</v>
      </c>
      <c r="E40" s="21">
        <f t="shared" si="13"/>
        <v>0.14122372182219489</v>
      </c>
      <c r="F40" s="20">
        <f>I40/D40</f>
        <v>20.202396638052672</v>
      </c>
      <c r="G40" s="19">
        <f>F40/C40-1</f>
        <v>5.0943601021229412E-3</v>
      </c>
      <c r="H40" s="18">
        <f>SUM(H34:H39)</f>
        <v>7845.0300000000007</v>
      </c>
      <c r="I40" s="18">
        <f>SUM(I34:I39)</f>
        <v>7884.9954078319579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420</v>
      </c>
      <c r="E42" s="107">
        <f>D42/$D$48</f>
        <v>0.1519701848970583</v>
      </c>
      <c r="F42" s="28">
        <f>C42-(C42*$E$6)</f>
        <v>0.50254718005106147</v>
      </c>
      <c r="G42" s="27" t="str">
        <f>IF(C42&gt;=F42,"-","+")</f>
        <v>+</v>
      </c>
      <c r="H42" s="26">
        <f>C42*D42</f>
        <v>210</v>
      </c>
      <c r="I42" s="26">
        <f>F42*D42</f>
        <v>211.06981562144583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20.399999999999999</v>
      </c>
      <c r="E43" s="107">
        <f>D43/$D$48</f>
        <v>7.3814089807142597E-3</v>
      </c>
      <c r="F43" s="28">
        <f>C43-(C43*$E$6)</f>
        <v>0.50254718005106147</v>
      </c>
      <c r="G43" s="27" t="str">
        <f>IF(C43&gt;=F43,"-","+")</f>
        <v>+</v>
      </c>
      <c r="H43" s="26">
        <f>C43*D43</f>
        <v>10.199999999999999</v>
      </c>
      <c r="I43" s="26">
        <f>F43*D43</f>
        <v>10.251962473041653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3.3</v>
      </c>
      <c r="E44" s="107">
        <f>D44/$D$48</f>
        <v>1.1940514527626009E-3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7.7</v>
      </c>
      <c r="E45" s="107">
        <f>D45/$D$48</f>
        <v>2.7861200564460687E-3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0.48781568453699603</v>
      </c>
      <c r="D46" s="22">
        <f>SUM(D41:D45)</f>
        <v>451.4</v>
      </c>
      <c r="E46" s="21">
        <f>D46/$D$48</f>
        <v>0.16333176538698121</v>
      </c>
      <c r="F46" s="20">
        <f>I46/D46</f>
        <v>0.49030079329749116</v>
      </c>
      <c r="G46" s="19">
        <f>F46/C46-1</f>
        <v>5.0943601021231633E-3</v>
      </c>
      <c r="H46" s="18">
        <f>SUM(H41:H44)</f>
        <v>220.2</v>
      </c>
      <c r="I46" s="18">
        <f>SUM(I41:I44)</f>
        <v>221.32177809448748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103.60049680448472</v>
      </c>
      <c r="D48" s="13">
        <f>D24+D32+D40+D46</f>
        <v>2763.7</v>
      </c>
      <c r="E48" s="12">
        <f>SUM(E20:E46)/2</f>
        <v>1</v>
      </c>
      <c r="F48" s="11">
        <f>I48/D48</f>
        <v>27.750070853343857</v>
      </c>
      <c r="G48" s="10"/>
      <c r="H48" s="9">
        <f>SUM(H20:H46)/2</f>
        <v>76304.150000000023</v>
      </c>
      <c r="I48" s="9">
        <f>SUM(I20:I46)/2</f>
        <v>76692.870817386414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2989.2</v>
      </c>
      <c r="E50" s="12">
        <f>D50/G2</f>
        <v>1</v>
      </c>
      <c r="F50" s="11">
        <f>I50/D50</f>
        <v>28.5</v>
      </c>
      <c r="G50" s="10"/>
      <c r="H50" s="9">
        <f>H48+H19</f>
        <v>84760.400000000023</v>
      </c>
      <c r="I50" s="9">
        <f>I48+I19</f>
        <v>85192.2</v>
      </c>
      <c r="J50" s="106">
        <f>D50-G2</f>
        <v>0</v>
      </c>
      <c r="K50" s="8"/>
    </row>
    <row r="51" spans="1:11" ht="23.25" x14ac:dyDescent="0.35">
      <c r="A51" s="174" t="s">
        <v>608</v>
      </c>
      <c r="B51" s="169"/>
      <c r="C51" s="170"/>
      <c r="G51" s="7"/>
      <c r="H51" s="6"/>
      <c r="I51" s="6">
        <f>+I50/D50</f>
        <v>28.5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595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606</v>
      </c>
      <c r="D2" s="96" t="s">
        <v>3</v>
      </c>
      <c r="E2" s="95" t="s">
        <v>112</v>
      </c>
      <c r="F2" s="94" t="s">
        <v>5</v>
      </c>
      <c r="G2" s="93">
        <v>5529.2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84</v>
      </c>
      <c r="F3" s="88" t="s">
        <v>8</v>
      </c>
      <c r="G3" s="87">
        <v>24.97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65.823809523809516</v>
      </c>
      <c r="F4" s="81" t="s">
        <v>12</v>
      </c>
      <c r="G4" s="80">
        <f>G2*G3</f>
        <v>138064.12399999998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-9.4965853328922378E-2</v>
      </c>
      <c r="F6" s="69" t="s">
        <v>16</v>
      </c>
      <c r="G6" s="68">
        <f>(I50-I19)/(D50-(SUM(D42:D44)+D19))</f>
        <v>31.934893252839267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27.374146333223059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28.469112186551982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26.060187309228354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28.469112186551982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 t="e">
        <f t="shared" si="1"/>
        <v>#DIV/0!</v>
      </c>
      <c r="F14" s="28">
        <f t="shared" si="2"/>
        <v>31.863506331871644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26.279180479894137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32.799999999999997</v>
      </c>
      <c r="D16" s="30"/>
      <c r="E16" s="29" t="e">
        <f t="shared" si="1"/>
        <v>#DIV/0!</v>
      </c>
      <c r="F16" s="28">
        <f t="shared" si="2"/>
        <v>35.914879989188648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/>
      <c r="E17" s="29" t="e">
        <f t="shared" si="1"/>
        <v>#DIV/0!</v>
      </c>
      <c r="F17" s="28">
        <f t="shared" si="2"/>
        <v>52.886850715786949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42.3</v>
      </c>
      <c r="D18" s="30"/>
      <c r="E18" s="29" t="e">
        <f t="shared" si="1"/>
        <v>#DIV/0!</v>
      </c>
      <c r="F18" s="28">
        <f t="shared" si="2"/>
        <v>46.317055595813414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62.8</v>
      </c>
      <c r="D21" s="30">
        <v>65.3</v>
      </c>
      <c r="E21" s="29">
        <f>D21/$D$48</f>
        <v>1.1810026766982566E-2</v>
      </c>
      <c r="F21" s="28">
        <f>C21-(C21*$E$6)</f>
        <v>68.76385558905632</v>
      </c>
      <c r="G21" s="27" t="str">
        <f>IF(C21&gt;=F21,"-","+")</f>
        <v>+</v>
      </c>
      <c r="H21" s="26">
        <f>C21*D21</f>
        <v>4100.8399999999992</v>
      </c>
      <c r="I21" s="26">
        <f>F21*D21</f>
        <v>4490.2797699653775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134.1</v>
      </c>
      <c r="E22" s="29">
        <f>D22/$D$48</f>
        <v>2.4253056500036171E-2</v>
      </c>
      <c r="F22" s="28">
        <f>C22-(C22*$E$6)</f>
        <v>46.20755901048053</v>
      </c>
      <c r="G22" s="27" t="str">
        <f>IF(C22&gt;=F22,"-","+")</f>
        <v>+</v>
      </c>
      <c r="H22" s="26">
        <f>C22*D22</f>
        <v>5659.02</v>
      </c>
      <c r="I22" s="26">
        <f>F22*D22</f>
        <v>6196.433663305439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>
        <v>96</v>
      </c>
      <c r="E23" s="29">
        <f>D23/$D$48</f>
        <v>1.7362367069377126E-2</v>
      </c>
      <c r="F23" s="28">
        <f>C23-(C23*$E$6)</f>
        <v>42.156185353163508</v>
      </c>
      <c r="G23" s="27" t="str">
        <f>IF(C23&gt;=F23,"-","+")</f>
        <v>+</v>
      </c>
      <c r="H23" s="26">
        <f>C23*D23</f>
        <v>3696</v>
      </c>
      <c r="I23" s="26">
        <f>F23*D23</f>
        <v>4046.9937939036968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45.551320243737308</v>
      </c>
      <c r="D24" s="22">
        <f>SUM(D21:D23)</f>
        <v>295.39999999999998</v>
      </c>
      <c r="E24" s="21">
        <f>D24/$D$48</f>
        <v>5.3425450336395862E-2</v>
      </c>
      <c r="F24" s="20">
        <f>I24/D24</f>
        <v>49.877140240942836</v>
      </c>
      <c r="G24" s="19">
        <f>F24/C24-1</f>
        <v>9.4965853328922378E-2</v>
      </c>
      <c r="H24" s="18">
        <f>SUM(H21:H23)</f>
        <v>13455.86</v>
      </c>
      <c r="I24" s="18">
        <f>SUM(I21:I23)</f>
        <v>14733.707227174513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v>1087.9000000000001</v>
      </c>
      <c r="E26" s="29">
        <f t="shared" ref="E26:E32" si="7">D26/$D$48</f>
        <v>0.19675540765391017</v>
      </c>
      <c r="F26" s="28">
        <f t="shared" ref="F26:F31" si="8">C26-(C26*$E$6)</f>
        <v>36.681356086518903</v>
      </c>
      <c r="G26" s="27" t="str">
        <f t="shared" ref="G26:G31" si="9">IF(C26&gt;=F26,"-","+")</f>
        <v>+</v>
      </c>
      <c r="H26" s="26">
        <f t="shared" ref="H26:H31" si="10">C26*D26</f>
        <v>36444.65</v>
      </c>
      <c r="I26" s="26">
        <f t="shared" ref="I26:I31" si="11">F26*D26</f>
        <v>39905.647286523919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29.8</v>
      </c>
      <c r="D27" s="30">
        <v>952.6</v>
      </c>
      <c r="E27" s="29">
        <f t="shared" si="7"/>
        <v>0.17228532156550677</v>
      </c>
      <c r="F27" s="28">
        <f t="shared" si="8"/>
        <v>32.629982429201888</v>
      </c>
      <c r="G27" s="27" t="str">
        <f t="shared" si="9"/>
        <v>+</v>
      </c>
      <c r="H27" s="26">
        <f t="shared" si="10"/>
        <v>28387.48</v>
      </c>
      <c r="I27" s="26">
        <f t="shared" si="11"/>
        <v>31083.321262057718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29.8</v>
      </c>
      <c r="D28" s="30">
        <v>348</v>
      </c>
      <c r="E28" s="29">
        <f t="shared" si="7"/>
        <v>6.2938580626492074E-2</v>
      </c>
      <c r="F28" s="28">
        <f t="shared" si="8"/>
        <v>32.629982429201888</v>
      </c>
      <c r="G28" s="27" t="str">
        <f t="shared" si="9"/>
        <v>+</v>
      </c>
      <c r="H28" s="26">
        <f t="shared" si="10"/>
        <v>10370.4</v>
      </c>
      <c r="I28" s="26">
        <f t="shared" si="11"/>
        <v>11355.233885362257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28.8</v>
      </c>
      <c r="D29" s="30">
        <v>403</v>
      </c>
      <c r="E29" s="29">
        <f t="shared" si="7"/>
        <v>7.2885770093322727E-2</v>
      </c>
      <c r="F29" s="28">
        <f t="shared" si="8"/>
        <v>31.535016575872966</v>
      </c>
      <c r="G29" s="27" t="str">
        <f t="shared" si="9"/>
        <v>+</v>
      </c>
      <c r="H29" s="26">
        <f t="shared" si="10"/>
        <v>11606.4</v>
      </c>
      <c r="I29" s="26">
        <f t="shared" si="11"/>
        <v>12708.611680076805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28.8</v>
      </c>
      <c r="D30" s="30">
        <v>302</v>
      </c>
      <c r="E30" s="29">
        <f t="shared" si="7"/>
        <v>5.4619113072415543E-2</v>
      </c>
      <c r="F30" s="28">
        <f t="shared" si="8"/>
        <v>31.535016575872966</v>
      </c>
      <c r="G30" s="27" t="str">
        <f t="shared" si="9"/>
        <v>+</v>
      </c>
      <c r="H30" s="26">
        <f t="shared" si="10"/>
        <v>8697.6</v>
      </c>
      <c r="I30" s="26">
        <f t="shared" si="11"/>
        <v>9523.5750059136353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29.3</v>
      </c>
      <c r="D31" s="30">
        <v>55</v>
      </c>
      <c r="E31" s="29">
        <f t="shared" si="7"/>
        <v>9.9471894668306457E-3</v>
      </c>
      <c r="F31" s="28">
        <f t="shared" si="8"/>
        <v>32.082499502537424</v>
      </c>
      <c r="G31" s="27" t="str">
        <f t="shared" si="9"/>
        <v>+</v>
      </c>
      <c r="H31" s="26">
        <f t="shared" si="10"/>
        <v>1611.5</v>
      </c>
      <c r="I31" s="26">
        <f t="shared" si="11"/>
        <v>1764.5374726395582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30.845809115451804</v>
      </c>
      <c r="D32" s="22">
        <f>SUM(D26:D31)</f>
        <v>3148.5</v>
      </c>
      <c r="E32" s="21">
        <f t="shared" si="7"/>
        <v>0.56943138247847791</v>
      </c>
      <c r="F32" s="20">
        <f>I32/D32</f>
        <v>33.775107699721737</v>
      </c>
      <c r="G32" s="19">
        <f>F32/C32-1</f>
        <v>9.4965853328922378E-2</v>
      </c>
      <c r="H32" s="18">
        <f>SUM(H26:H31)</f>
        <v>97118.03</v>
      </c>
      <c r="I32" s="18">
        <f>SUM(I26:I31)</f>
        <v>106340.92659257389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f>403.8+385.1</f>
        <v>788.90000000000009</v>
      </c>
      <c r="E34" s="29">
        <f t="shared" ref="E34:E40" si="13">D34/$D$48</f>
        <v>0.14267886855241266</v>
      </c>
      <c r="F34" s="28">
        <f t="shared" ref="F34:F39" si="14">C34-(C34*$E$6)</f>
        <v>19.271399018589037</v>
      </c>
      <c r="G34" s="27" t="str">
        <f t="shared" ref="G34:G39" si="15">IF(C34&gt;=F34,"-","+")</f>
        <v>+</v>
      </c>
      <c r="H34" s="26">
        <f t="shared" ref="H34:H39" si="16">C34*D34</f>
        <v>13884.640000000003</v>
      </c>
      <c r="I34" s="26">
        <f t="shared" ref="I34:I39" si="17">F34*D34</f>
        <v>15203.206685764893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84.7</v>
      </c>
      <c r="E35" s="29">
        <f t="shared" si="13"/>
        <v>1.5318671778919194E-2</v>
      </c>
      <c r="F35" s="28">
        <f t="shared" si="14"/>
        <v>14.891535605273344</v>
      </c>
      <c r="G35" s="27" t="str">
        <f t="shared" si="15"/>
        <v>+</v>
      </c>
      <c r="H35" s="26">
        <f t="shared" si="16"/>
        <v>1151.92</v>
      </c>
      <c r="I35" s="26">
        <f t="shared" si="17"/>
        <v>1261.3130657666522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11.935127801285255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28.8</v>
      </c>
      <c r="D37" s="30"/>
      <c r="E37" s="29">
        <f t="shared" si="13"/>
        <v>0</v>
      </c>
      <c r="F37" s="28">
        <f t="shared" si="14"/>
        <v>31.535016575872966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28.8</v>
      </c>
      <c r="D38" s="30"/>
      <c r="E38" s="29">
        <f t="shared" si="13"/>
        <v>0</v>
      </c>
      <c r="F38" s="28">
        <f t="shared" si="14"/>
        <v>31.535016575872966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29.8</v>
      </c>
      <c r="D39" s="30"/>
      <c r="E39" s="29">
        <f t="shared" si="13"/>
        <v>0</v>
      </c>
      <c r="F39" s="28">
        <f t="shared" si="14"/>
        <v>32.629982429201888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17.212179487179487</v>
      </c>
      <c r="D40" s="22">
        <f>SUM(D34:D39)</f>
        <v>873.60000000000014</v>
      </c>
      <c r="E40" s="113">
        <f t="shared" si="13"/>
        <v>0.15799754033133187</v>
      </c>
      <c r="F40" s="20">
        <f>I40/D40</f>
        <v>18.846748799830063</v>
      </c>
      <c r="G40" s="19">
        <f>F40/C40-1</f>
        <v>9.49658533289226E-2</v>
      </c>
      <c r="H40" s="18">
        <f>SUM(H34:H39)</f>
        <v>15036.560000000003</v>
      </c>
      <c r="I40" s="18">
        <f>SUM(I34:I39)</f>
        <v>16464.519751531545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68.9+566+534.4</f>
        <v>1169.3</v>
      </c>
      <c r="E42" s="107">
        <f>D42/$D$48</f>
        <v>0.21147724806481949</v>
      </c>
      <c r="F42" s="28">
        <f>C42-(C42*$E$6)</f>
        <v>0.437986341331569</v>
      </c>
      <c r="G42" s="27" t="str">
        <f>IF(C42&gt;=F42,"-","+")</f>
        <v>+</v>
      </c>
      <c r="H42" s="26">
        <f>C42*D42</f>
        <v>467.72</v>
      </c>
      <c r="I42" s="26">
        <f>F42*D42</f>
        <v>512.13742891900358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29.3</v>
      </c>
      <c r="E43" s="107">
        <f>D43/$D$48</f>
        <v>5.2991391159661434E-3</v>
      </c>
      <c r="F43" s="28">
        <f>C43-(C43*$E$6)</f>
        <v>0.437986341331569</v>
      </c>
      <c r="G43" s="27" t="str">
        <f>IF(C43&gt;=F43,"-","+")</f>
        <v>+</v>
      </c>
      <c r="H43" s="26">
        <f>C43*D43</f>
        <v>11.72</v>
      </c>
      <c r="I43" s="26">
        <f>F43*D43</f>
        <v>12.832999801014973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7.3</v>
      </c>
      <c r="E44" s="107">
        <f>D44/$D$48</f>
        <v>1.3202633292338855E-3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5.8</v>
      </c>
      <c r="E45" s="107">
        <f>D45/$D$48</f>
        <v>1.048976343774868E-3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0.39567549723528939</v>
      </c>
      <c r="D46" s="22">
        <f>SUM(D41:D45)</f>
        <v>1211.6999999999998</v>
      </c>
      <c r="E46" s="113">
        <f>D46/$D$48</f>
        <v>0.21914562685379438</v>
      </c>
      <c r="F46" s="20">
        <f>I46/D46</f>
        <v>0.43325115847158419</v>
      </c>
      <c r="G46" s="19">
        <f>F46/C46-1</f>
        <v>9.4965853328922156E-2</v>
      </c>
      <c r="H46" s="18">
        <f>SUM(H41:H44)</f>
        <v>479.44000000000005</v>
      </c>
      <c r="I46" s="18">
        <f>SUM(I41:I44)</f>
        <v>524.9704287200185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94.00498434360388</v>
      </c>
      <c r="D48" s="13">
        <f>D24+D32+D40+D46</f>
        <v>5529.2</v>
      </c>
      <c r="E48" s="12">
        <f>SUM(E20:E46)/2</f>
        <v>1.0000000000000002</v>
      </c>
      <c r="F48" s="11">
        <f>I48/D48</f>
        <v>24.97</v>
      </c>
      <c r="G48" s="10"/>
      <c r="H48" s="9">
        <f>SUM(H20:H46)/2</f>
        <v>126089.89000000001</v>
      </c>
      <c r="I48" s="9">
        <f>SUM(I20:I46)/2</f>
        <v>138064.12399999998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5529.1999999999989</v>
      </c>
      <c r="E50" s="12">
        <f>D50/G2</f>
        <v>0.99999999999999989</v>
      </c>
      <c r="F50" s="11">
        <f>I50/D50</f>
        <v>24.970000000000002</v>
      </c>
      <c r="G50" s="10"/>
      <c r="H50" s="9">
        <f>H48+H19</f>
        <v>126089.89000000001</v>
      </c>
      <c r="I50" s="9">
        <f>I48+I19</f>
        <v>138064.12399999998</v>
      </c>
      <c r="J50" s="106">
        <f>D50-G2</f>
        <v>0</v>
      </c>
      <c r="K50" s="8"/>
    </row>
    <row r="51" spans="1:11" ht="23.25" x14ac:dyDescent="0.35">
      <c r="A51" s="174" t="s">
        <v>609</v>
      </c>
      <c r="B51" s="169"/>
      <c r="C51" s="170"/>
      <c r="G51" s="7"/>
      <c r="H51" s="6"/>
      <c r="I51" s="6">
        <f>+I50/D50</f>
        <v>24.970000000000002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601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606</v>
      </c>
      <c r="D2" s="96" t="s">
        <v>3</v>
      </c>
      <c r="E2" s="95" t="s">
        <v>112</v>
      </c>
      <c r="F2" s="94" t="s">
        <v>5</v>
      </c>
      <c r="G2" s="93">
        <v>3168.8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48</v>
      </c>
      <c r="F3" s="88" t="s">
        <v>8</v>
      </c>
      <c r="G3" s="87">
        <v>25.91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66.016666666666666</v>
      </c>
      <c r="F4" s="81" t="s">
        <v>12</v>
      </c>
      <c r="G4" s="80">
        <f>G2*G3</f>
        <v>82103.608000000007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HATA VAR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-8.159189102564568E-2</v>
      </c>
      <c r="F6" s="69" t="s">
        <v>16</v>
      </c>
      <c r="G6" s="68">
        <f>(I50-I19)/(D50-(SUM(D42:D44)+D19))</f>
        <v>32.945551141607496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28.013229977564222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29.202981057692433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26.715319708333446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29.202981057692433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/>
      <c r="E14" s="29" t="e">
        <f t="shared" si="1"/>
        <v>#DIV/0!</v>
      </c>
      <c r="F14" s="28">
        <f t="shared" si="2"/>
        <v>32.664075108974501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26.931638086538577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34.1</v>
      </c>
      <c r="D16" s="30"/>
      <c r="E16" s="29" t="e">
        <f t="shared" si="1"/>
        <v>#DIV/0!</v>
      </c>
      <c r="F16" s="28">
        <f t="shared" si="2"/>
        <v>36.882283483974518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50.1</v>
      </c>
      <c r="D17" s="30"/>
      <c r="E17" s="29" t="e">
        <f t="shared" si="1"/>
        <v>#DIV/0!</v>
      </c>
      <c r="F17" s="28">
        <f t="shared" si="2"/>
        <v>54.187753740384849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43.9</v>
      </c>
      <c r="D18" s="30"/>
      <c r="E18" s="29" t="e">
        <f t="shared" si="1"/>
        <v>#DIV/0!</v>
      </c>
      <c r="F18" s="28">
        <f t="shared" si="2"/>
        <v>47.481884016025845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65.2</v>
      </c>
      <c r="D21" s="30">
        <v>39.5</v>
      </c>
      <c r="E21" s="29">
        <f>D21/$D$48</f>
        <v>1.246528654380207E-2</v>
      </c>
      <c r="F21" s="28">
        <f>C21-(C21*$E$6)</f>
        <v>70.519791294872107</v>
      </c>
      <c r="G21" s="27" t="str">
        <f>IF(C21&gt;=F21,"-","+")</f>
        <v>+</v>
      </c>
      <c r="H21" s="26">
        <f>C21*D21</f>
        <v>2575.4</v>
      </c>
      <c r="I21" s="26">
        <f>F21*D21</f>
        <v>2785.531756147448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43.8</v>
      </c>
      <c r="D22" s="30">
        <v>83.2</v>
      </c>
      <c r="E22" s="29">
        <f>D22/$D$48</f>
        <v>2.6255995960616004E-2</v>
      </c>
      <c r="F22" s="28">
        <f>C22-(C22*$E$6)</f>
        <v>47.373724826923279</v>
      </c>
      <c r="G22" s="27" t="str">
        <f>IF(C22&gt;=F22,"-","+")</f>
        <v>+</v>
      </c>
      <c r="H22" s="26">
        <f>C22*D22</f>
        <v>3644.16</v>
      </c>
      <c r="I22" s="26">
        <f>F22*D22</f>
        <v>3941.4939056000171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39.9</v>
      </c>
      <c r="D23" s="30">
        <v>66.900000000000006</v>
      </c>
      <c r="E23" s="29">
        <f>D23/$D$48</f>
        <v>2.111209290583186E-2</v>
      </c>
      <c r="F23" s="28">
        <f>C23-(C23*$E$6)</f>
        <v>43.155516451923262</v>
      </c>
      <c r="G23" s="27" t="str">
        <f>IF(C23&gt;=F23,"-","+")</f>
        <v>+</v>
      </c>
      <c r="H23" s="26">
        <f>C23*D23</f>
        <v>2669.31</v>
      </c>
      <c r="I23" s="26">
        <f>F23*D23</f>
        <v>2887.1040506336662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46.882225738396613</v>
      </c>
      <c r="D24" s="22">
        <f>SUM(D21:D23)</f>
        <v>189.60000000000002</v>
      </c>
      <c r="E24" s="21">
        <f>D24/$D$48</f>
        <v>5.9833375410249939E-2</v>
      </c>
      <c r="F24" s="20">
        <f>I24/D24</f>
        <v>50.707435191883597</v>
      </c>
      <c r="G24" s="19">
        <f>F24/C24-1</f>
        <v>8.1591891025645902E-2</v>
      </c>
      <c r="H24" s="18">
        <f>SUM(H21:H23)</f>
        <v>8888.869999999999</v>
      </c>
      <c r="I24" s="18">
        <f>SUM(I21:I23)</f>
        <v>9614.129712381131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34.799999999999997</v>
      </c>
      <c r="D26" s="30">
        <v>621</v>
      </c>
      <c r="E26" s="29">
        <f t="shared" ref="E26:E32" si="7">D26/$D$48</f>
        <v>0.19597323908104014</v>
      </c>
      <c r="F26" s="28">
        <f t="shared" ref="F26:F31" si="8">C26-(C26*$E$6)</f>
        <v>37.639397807692468</v>
      </c>
      <c r="G26" s="27" t="str">
        <f t="shared" ref="G26:G31" si="9">IF(C26&gt;=F26,"-","+")</f>
        <v>+</v>
      </c>
      <c r="H26" s="26">
        <f t="shared" ref="H26:H31" si="10">C26*D26</f>
        <v>21610.799999999999</v>
      </c>
      <c r="I26" s="26">
        <f t="shared" ref="I26:I31" si="11">F26*D26</f>
        <v>23374.066038577024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v>496.2</v>
      </c>
      <c r="E27" s="29">
        <f t="shared" si="7"/>
        <v>0.15658924514011613</v>
      </c>
      <c r="F27" s="28">
        <f t="shared" si="8"/>
        <v>33.529348621795016</v>
      </c>
      <c r="G27" s="27" t="str">
        <f t="shared" si="9"/>
        <v>+</v>
      </c>
      <c r="H27" s="26">
        <f t="shared" si="10"/>
        <v>15382.199999999999</v>
      </c>
      <c r="I27" s="26">
        <f t="shared" si="11"/>
        <v>16637.262786134688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v>226.4</v>
      </c>
      <c r="E28" s="29">
        <f t="shared" si="7"/>
        <v>7.1446604392830085E-2</v>
      </c>
      <c r="F28" s="28">
        <f t="shared" si="8"/>
        <v>33.529348621795016</v>
      </c>
      <c r="G28" s="27" t="str">
        <f t="shared" si="9"/>
        <v>+</v>
      </c>
      <c r="H28" s="26">
        <f t="shared" si="10"/>
        <v>7018.4000000000005</v>
      </c>
      <c r="I28" s="26">
        <f t="shared" si="11"/>
        <v>7591.0445279743917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29.9</v>
      </c>
      <c r="D29" s="30">
        <v>223.3</v>
      </c>
      <c r="E29" s="29">
        <f t="shared" si="7"/>
        <v>7.046831608179753E-2</v>
      </c>
      <c r="F29" s="28">
        <f t="shared" si="8"/>
        <v>32.339597541666805</v>
      </c>
      <c r="G29" s="27" t="str">
        <f t="shared" si="9"/>
        <v>+</v>
      </c>
      <c r="H29" s="26">
        <f t="shared" si="10"/>
        <v>6676.67</v>
      </c>
      <c r="I29" s="26">
        <f t="shared" si="11"/>
        <v>7221.4321310541982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29.9</v>
      </c>
      <c r="D30" s="30">
        <v>193.4</v>
      </c>
      <c r="E30" s="29">
        <f t="shared" si="7"/>
        <v>6.1032567533451147E-2</v>
      </c>
      <c r="F30" s="28">
        <f t="shared" si="8"/>
        <v>32.339597541666805</v>
      </c>
      <c r="G30" s="27" t="str">
        <f t="shared" si="9"/>
        <v>+</v>
      </c>
      <c r="H30" s="26">
        <f t="shared" si="10"/>
        <v>5782.66</v>
      </c>
      <c r="I30" s="26">
        <f t="shared" si="11"/>
        <v>6254.4781645583607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30.4</v>
      </c>
      <c r="D31" s="30">
        <v>53.8</v>
      </c>
      <c r="E31" s="29">
        <f t="shared" si="7"/>
        <v>1.6978035849532943E-2</v>
      </c>
      <c r="F31" s="28">
        <f t="shared" si="8"/>
        <v>32.880393487179624</v>
      </c>
      <c r="G31" s="27" t="str">
        <f t="shared" si="9"/>
        <v>+</v>
      </c>
      <c r="H31" s="26">
        <f t="shared" si="10"/>
        <v>1635.5199999999998</v>
      </c>
      <c r="I31" s="26">
        <f t="shared" si="11"/>
        <v>1768.9651696102637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32.03034562593021</v>
      </c>
      <c r="D32" s="22">
        <f>SUM(D26:D31)</f>
        <v>1814.1000000000001</v>
      </c>
      <c r="E32" s="21">
        <f t="shared" si="7"/>
        <v>0.57248800807876798</v>
      </c>
      <c r="F32" s="20">
        <f>I32/D32</f>
        <v>34.643762095754887</v>
      </c>
      <c r="G32" s="19">
        <f>F32/C32-1</f>
        <v>8.1591891025646124E-2</v>
      </c>
      <c r="H32" s="18">
        <f>SUM(H26:H31)</f>
        <v>58106.249999999993</v>
      </c>
      <c r="I32" s="18">
        <f>SUM(I26:I31)</f>
        <v>62847.248817908941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f>201.2+234.1</f>
        <v>435.29999999999995</v>
      </c>
      <c r="E34" s="29">
        <f t="shared" ref="E34:E40" si="13">D34/$D$48</f>
        <v>0.13737061348144405</v>
      </c>
      <c r="F34" s="28">
        <f t="shared" ref="F34:F39" si="14">C34-(C34*$E$6)</f>
        <v>19.793131605769318</v>
      </c>
      <c r="G34" s="27" t="str">
        <f t="shared" ref="G34:G39" si="15">IF(C34&gt;=F34,"-","+")</f>
        <v>+</v>
      </c>
      <c r="H34" s="26">
        <f t="shared" ref="H34:H39" si="16">C34*D34</f>
        <v>7965.99</v>
      </c>
      <c r="I34" s="26">
        <f t="shared" ref="I34:I39" si="17">F34*D34</f>
        <v>8615.9501879913842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48.2</v>
      </c>
      <c r="E35" s="29">
        <f t="shared" si="13"/>
        <v>1.5210805352183792E-2</v>
      </c>
      <c r="F35" s="28">
        <f t="shared" si="14"/>
        <v>15.250445663461603</v>
      </c>
      <c r="G35" s="27" t="str">
        <f t="shared" si="15"/>
        <v>+</v>
      </c>
      <c r="H35" s="26">
        <f t="shared" si="16"/>
        <v>679.62</v>
      </c>
      <c r="I35" s="26">
        <f t="shared" si="17"/>
        <v>735.07148097884931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12.221988368589797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29.9</v>
      </c>
      <c r="D37" s="30"/>
      <c r="E37" s="29">
        <f t="shared" si="13"/>
        <v>0</v>
      </c>
      <c r="F37" s="28">
        <f t="shared" si="14"/>
        <v>32.339597541666805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29.9</v>
      </c>
      <c r="D38" s="30"/>
      <c r="E38" s="29">
        <f t="shared" si="13"/>
        <v>0</v>
      </c>
      <c r="F38" s="28">
        <f t="shared" si="14"/>
        <v>32.339597541666805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/>
      <c r="E39" s="29">
        <f t="shared" si="13"/>
        <v>0</v>
      </c>
      <c r="F39" s="28">
        <f t="shared" si="14"/>
        <v>33.529348621795016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17.881302998965879</v>
      </c>
      <c r="D40" s="22">
        <f>SUM(D34:D39)</f>
        <v>483.49999999999994</v>
      </c>
      <c r="E40" s="113">
        <f t="shared" si="13"/>
        <v>0.15258141883362786</v>
      </c>
      <c r="F40" s="20">
        <f>I40/D40</f>
        <v>19.340272324654055</v>
      </c>
      <c r="G40" s="19">
        <f>F40/C40-1</f>
        <v>8.159189102564568E-2</v>
      </c>
      <c r="H40" s="18">
        <f>SUM(H34:H39)</f>
        <v>8645.61</v>
      </c>
      <c r="I40" s="18">
        <f>SUM(I34:I39)</f>
        <v>9351.0216689702338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326+34.6+289.4</f>
        <v>650</v>
      </c>
      <c r="E42" s="107">
        <f>D42/$D$48</f>
        <v>0.20512496844231254</v>
      </c>
      <c r="F42" s="28">
        <f>C42-(C42*$E$6)</f>
        <v>0.43263675641025828</v>
      </c>
      <c r="G42" s="27" t="str">
        <f>IF(C42&gt;=F42,"-","+")</f>
        <v>+</v>
      </c>
      <c r="H42" s="26">
        <f>C42*D42</f>
        <v>260</v>
      </c>
      <c r="I42" s="26">
        <f>F42*D42</f>
        <v>281.21389166666791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23.1</v>
      </c>
      <c r="E43" s="107">
        <f>D43/$D$48</f>
        <v>7.289825801565261E-3</v>
      </c>
      <c r="F43" s="28">
        <f>C43-(C43*$E$6)</f>
        <v>0.43263675641025828</v>
      </c>
      <c r="G43" s="27" t="str">
        <f>IF(C43&gt;=F43,"-","+")</f>
        <v>+</v>
      </c>
      <c r="H43" s="26">
        <f>C43*D43</f>
        <v>9.24</v>
      </c>
      <c r="I43" s="26">
        <f>F43*D43</f>
        <v>9.9939090730769671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3.6</v>
      </c>
      <c r="E44" s="107">
        <f>D44/$D$48</f>
        <v>1.1360767482958849E-3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4.9000000000000004</v>
      </c>
      <c r="E45" s="107">
        <f>D45/$D$48</f>
        <v>1.54632668518051E-3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0.3950117370892019</v>
      </c>
      <c r="D46" s="22">
        <f>SUM(D41:D45)</f>
        <v>681.6</v>
      </c>
      <c r="E46" s="113">
        <f>D46/$D$48</f>
        <v>0.21509719767735419</v>
      </c>
      <c r="F46" s="20">
        <f>I46/D46</f>
        <v>0.42724149169563508</v>
      </c>
      <c r="G46" s="19">
        <f>F46/C46-1</f>
        <v>8.159189102564568E-2</v>
      </c>
      <c r="H46" s="18">
        <f>SUM(H41:H44)</f>
        <v>269.24</v>
      </c>
      <c r="I46" s="18">
        <f>SUM(I41:I44)</f>
        <v>291.20780073974487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97.188886100381907</v>
      </c>
      <c r="D48" s="13">
        <f>D24+D32+D40+D46</f>
        <v>3168.8</v>
      </c>
      <c r="E48" s="12">
        <f>SUM(E20:E46)/2</f>
        <v>0.99999999999999989</v>
      </c>
      <c r="F48" s="11">
        <f>I48/D48</f>
        <v>25.910000000000014</v>
      </c>
      <c r="G48" s="10"/>
      <c r="H48" s="9">
        <f>SUM(H20:H46)/2</f>
        <v>75909.969999999972</v>
      </c>
      <c r="I48" s="9">
        <f>SUM(I20:I46)/2</f>
        <v>82103.608000000051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3168.8000000000006</v>
      </c>
      <c r="E50" s="12">
        <f>D50/G2</f>
        <v>1.0000000000000002</v>
      </c>
      <c r="F50" s="11">
        <f>I50/D50</f>
        <v>25.910000000000011</v>
      </c>
      <c r="G50" s="10"/>
      <c r="H50" s="9">
        <f>H48+H19</f>
        <v>75909.969999999972</v>
      </c>
      <c r="I50" s="9">
        <f>I48+I19</f>
        <v>82103.608000000051</v>
      </c>
      <c r="J50" s="106">
        <f>D50-G2</f>
        <v>0</v>
      </c>
      <c r="K50" s="8"/>
    </row>
    <row r="51" spans="1:11" ht="23.25" x14ac:dyDescent="0.35">
      <c r="A51" s="174" t="s">
        <v>610</v>
      </c>
      <c r="B51" s="169"/>
      <c r="C51" s="170"/>
      <c r="G51" s="7"/>
      <c r="H51" s="6"/>
      <c r="I51" s="6">
        <f>+I50/D50</f>
        <v>25.910000000000011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603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606</v>
      </c>
      <c r="D2" s="96" t="s">
        <v>3</v>
      </c>
      <c r="E2" s="95" t="s">
        <v>112</v>
      </c>
      <c r="F2" s="94" t="s">
        <v>5</v>
      </c>
      <c r="G2" s="93">
        <v>2672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48</v>
      </c>
      <c r="F3" s="88" t="s">
        <v>8</v>
      </c>
      <c r="G3" s="87">
        <v>25.15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55.666666666666664</v>
      </c>
      <c r="F4" s="81" t="s">
        <v>12</v>
      </c>
      <c r="G4" s="80">
        <f>G2*G3</f>
        <v>67200.800000000003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-3.507124655596483E-2</v>
      </c>
      <c r="F6" s="69" t="s">
        <v>16</v>
      </c>
      <c r="G6" s="68">
        <f>(I50-I19)/(D50-(SUM(D42:D44)+D19))</f>
        <v>30.995249296619161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25.2</v>
      </c>
      <c r="D10" s="30"/>
      <c r="E10" s="29" t="e">
        <f t="shared" ref="E10:E19" si="1">D10/$D$19</f>
        <v>#DIV/0!</v>
      </c>
      <c r="F10" s="28">
        <f t="shared" ref="F10:F18" si="2">C10-(C10*$E$6)</f>
        <v>26.083795413210314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26.2</v>
      </c>
      <c r="D11" s="30"/>
      <c r="E11" s="29" t="e">
        <f t="shared" si="1"/>
        <v>#DIV/0!</v>
      </c>
      <c r="F11" s="28">
        <f t="shared" si="2"/>
        <v>27.11886665976628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23.9</v>
      </c>
      <c r="D12" s="30"/>
      <c r="E12" s="29" t="e">
        <f t="shared" si="1"/>
        <v>#DIV/0!</v>
      </c>
      <c r="F12" s="28">
        <f t="shared" si="2"/>
        <v>24.738202792687559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26.2</v>
      </c>
      <c r="D13" s="30"/>
      <c r="E13" s="29" t="e">
        <f t="shared" si="1"/>
        <v>#DIV/0!</v>
      </c>
      <c r="F13" s="28">
        <f t="shared" si="2"/>
        <v>27.11886665976628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29.3</v>
      </c>
      <c r="D14" s="30"/>
      <c r="E14" s="29" t="e">
        <f t="shared" si="1"/>
        <v>#DIV/0!</v>
      </c>
      <c r="F14" s="28">
        <f t="shared" si="2"/>
        <v>30.327587524089772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24.1</v>
      </c>
      <c r="D15" s="30"/>
      <c r="E15" s="29" t="e">
        <f t="shared" si="1"/>
        <v>#DIV/0!</v>
      </c>
      <c r="F15" s="28">
        <f t="shared" si="2"/>
        <v>24.945217041998752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33.1</v>
      </c>
      <c r="D16" s="30"/>
      <c r="E16" s="29" t="e">
        <f t="shared" si="1"/>
        <v>#DIV/0!</v>
      </c>
      <c r="F16" s="28">
        <f t="shared" si="2"/>
        <v>34.26085826100244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48.6</v>
      </c>
      <c r="D17" s="30"/>
      <c r="E17" s="29" t="e">
        <f t="shared" si="1"/>
        <v>#DIV/0!</v>
      </c>
      <c r="F17" s="28">
        <f t="shared" si="2"/>
        <v>50.304462582619891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42.6</v>
      </c>
      <c r="D18" s="30"/>
      <c r="E18" s="29" t="e">
        <f t="shared" si="1"/>
        <v>#DIV/0!</v>
      </c>
      <c r="F18" s="28">
        <f t="shared" si="2"/>
        <v>44.094035103284106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63.3</v>
      </c>
      <c r="D21" s="30">
        <v>39.1</v>
      </c>
      <c r="E21" s="29">
        <f>D21/$D$48</f>
        <v>1.4633233532934132E-2</v>
      </c>
      <c r="F21" s="28">
        <f>C21-(C21*$E$6)</f>
        <v>65.52000990699257</v>
      </c>
      <c r="G21" s="27" t="str">
        <f>IF(C21&gt;=F21,"-","+")</f>
        <v>+</v>
      </c>
      <c r="H21" s="26">
        <f>C21*D21</f>
        <v>2475.0300000000002</v>
      </c>
      <c r="I21" s="26">
        <f>F21*D21</f>
        <v>2561.8323873634095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42.5</v>
      </c>
      <c r="D22" s="30">
        <v>70.2</v>
      </c>
      <c r="E22" s="29">
        <f>D22/$D$48</f>
        <v>2.627245508982036E-2</v>
      </c>
      <c r="F22" s="28">
        <f>C22-(C22*$E$6)</f>
        <v>43.990527978628506</v>
      </c>
      <c r="G22" s="27" t="str">
        <f>IF(C22&gt;=F22,"-","+")</f>
        <v>+</v>
      </c>
      <c r="H22" s="26">
        <f>C22*D22</f>
        <v>2983.5</v>
      </c>
      <c r="I22" s="26">
        <f>F22*D22</f>
        <v>3088.1350640997211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38.700000000000003</v>
      </c>
      <c r="D23" s="30">
        <v>55.7</v>
      </c>
      <c r="E23" s="29">
        <f>D23/$D$48</f>
        <v>2.0845808383233536E-2</v>
      </c>
      <c r="F23" s="28">
        <f>C23-(C23*$E$6)</f>
        <v>40.057257241715845</v>
      </c>
      <c r="G23" s="27" t="str">
        <f>IF(C23&gt;=F23,"-","+")</f>
        <v>+</v>
      </c>
      <c r="H23" s="26">
        <f>C23*D23</f>
        <v>2155.59</v>
      </c>
      <c r="I23" s="26">
        <f>F23*D23</f>
        <v>2231.1892283635725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46.146181818181823</v>
      </c>
      <c r="D24" s="22">
        <f>SUM(D21:D23)</f>
        <v>165</v>
      </c>
      <c r="E24" s="21">
        <f>D24/$D$48</f>
        <v>6.1751497005988025E-2</v>
      </c>
      <c r="F24" s="20">
        <f>I24/D24</f>
        <v>47.764585938343657</v>
      </c>
      <c r="G24" s="19">
        <f>F24/C24-1</f>
        <v>3.507124655596483E-2</v>
      </c>
      <c r="H24" s="18">
        <f>SUM(H21:H23)</f>
        <v>7614.1200000000008</v>
      </c>
      <c r="I24" s="18">
        <f>SUM(I21:I23)</f>
        <v>7881.1566798267031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33.799999999999997</v>
      </c>
      <c r="D26" s="30">
        <f>155+420.1+25</f>
        <v>600.1</v>
      </c>
      <c r="E26" s="29">
        <f t="shared" ref="E26:E32" si="7">D26/$D$48</f>
        <v>0.22458832335329343</v>
      </c>
      <c r="F26" s="28">
        <f t="shared" ref="F26:F31" si="8">C26-(C26*$E$6)</f>
        <v>34.985408133591605</v>
      </c>
      <c r="G26" s="27" t="str">
        <f t="shared" ref="G26:G31" si="9">IF(C26&gt;=F26,"-","+")</f>
        <v>+</v>
      </c>
      <c r="H26" s="26">
        <f t="shared" ref="H26:H31" si="10">C26*D26</f>
        <v>20283.379999999997</v>
      </c>
      <c r="I26" s="26">
        <f t="shared" ref="I26:I31" si="11">F26*D26</f>
        <v>20994.743420968323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30.1</v>
      </c>
      <c r="D27" s="30">
        <f>521-100</f>
        <v>421</v>
      </c>
      <c r="E27" s="29">
        <f t="shared" si="7"/>
        <v>0.15755988023952097</v>
      </c>
      <c r="F27" s="28">
        <f t="shared" si="8"/>
        <v>31.155644521334544</v>
      </c>
      <c r="G27" s="27" t="str">
        <f t="shared" si="9"/>
        <v>+</v>
      </c>
      <c r="H27" s="26">
        <f t="shared" si="10"/>
        <v>12672.1</v>
      </c>
      <c r="I27" s="26">
        <f t="shared" si="11"/>
        <v>13116.526343481843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30.1</v>
      </c>
      <c r="D28" s="30">
        <f>186+40+10</f>
        <v>236</v>
      </c>
      <c r="E28" s="29">
        <f t="shared" si="7"/>
        <v>8.8323353293413176E-2</v>
      </c>
      <c r="F28" s="28">
        <f t="shared" si="8"/>
        <v>31.155644521334544</v>
      </c>
      <c r="G28" s="27" t="str">
        <f t="shared" si="9"/>
        <v>+</v>
      </c>
      <c r="H28" s="26">
        <f t="shared" si="10"/>
        <v>7103.6</v>
      </c>
      <c r="I28" s="26">
        <f t="shared" si="11"/>
        <v>7352.7321070349526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</v>
      </c>
      <c r="D29" s="30">
        <f>181.8+25</f>
        <v>206.8</v>
      </c>
      <c r="E29" s="29">
        <f t="shared" si="7"/>
        <v>7.7395209580838328E-2</v>
      </c>
      <c r="F29" s="28">
        <f t="shared" si="8"/>
        <v>30.017066150122979</v>
      </c>
      <c r="G29" s="27" t="str">
        <f t="shared" si="9"/>
        <v>+</v>
      </c>
      <c r="H29" s="26">
        <f t="shared" si="10"/>
        <v>5997.2000000000007</v>
      </c>
      <c r="I29" s="26">
        <f t="shared" si="11"/>
        <v>6207.529279845432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</v>
      </c>
      <c r="D30" s="30">
        <v>122</v>
      </c>
      <c r="E30" s="29">
        <f t="shared" si="7"/>
        <v>4.5658682634730538E-2</v>
      </c>
      <c r="F30" s="28">
        <f t="shared" si="8"/>
        <v>30.017066150122979</v>
      </c>
      <c r="G30" s="27" t="str">
        <f t="shared" si="9"/>
        <v>+</v>
      </c>
      <c r="H30" s="26">
        <f t="shared" si="10"/>
        <v>3538</v>
      </c>
      <c r="I30" s="26">
        <f t="shared" si="11"/>
        <v>3662.0820703150034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29.6</v>
      </c>
      <c r="D31" s="30">
        <v>30.1</v>
      </c>
      <c r="E31" s="29">
        <f t="shared" si="7"/>
        <v>1.1264970059880241E-2</v>
      </c>
      <c r="F31" s="28">
        <f t="shared" si="8"/>
        <v>30.638108898056561</v>
      </c>
      <c r="G31" s="27" t="str">
        <f t="shared" si="9"/>
        <v>+</v>
      </c>
      <c r="H31" s="26">
        <f t="shared" si="10"/>
        <v>890.96</v>
      </c>
      <c r="I31" s="26">
        <f t="shared" si="11"/>
        <v>922.20707783150249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31.240866336633665</v>
      </c>
      <c r="D32" s="22">
        <f>SUM(D26:D31)</f>
        <v>1615.9999999999998</v>
      </c>
      <c r="E32" s="21">
        <f t="shared" si="7"/>
        <v>0.60479041916167653</v>
      </c>
      <c r="F32" s="20">
        <f>I32/D32</f>
        <v>32.336522462547684</v>
      </c>
      <c r="G32" s="19">
        <f>F32/C32-1</f>
        <v>3.507124655596483E-2</v>
      </c>
      <c r="H32" s="18">
        <f>SUM(H26:H31)</f>
        <v>50485.24</v>
      </c>
      <c r="I32" s="18">
        <f>SUM(I26:I31)</f>
        <v>52255.820299477055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140.1+201.9</f>
        <v>342</v>
      </c>
      <c r="E34" s="29">
        <f t="shared" ref="E34:E40" si="13">D34/$D$48</f>
        <v>0.1279940119760479</v>
      </c>
      <c r="F34" s="28">
        <f t="shared" ref="F34:F39" si="14">C34-(C34*$E$6)</f>
        <v>18.424268188696175</v>
      </c>
      <c r="G34" s="27" t="str">
        <f t="shared" ref="G34:G39" si="15">IF(C34&gt;=F34,"-","+")</f>
        <v>+</v>
      </c>
      <c r="H34" s="26">
        <f t="shared" ref="H34:H39" si="16">C34*D34</f>
        <v>6087.6</v>
      </c>
      <c r="I34" s="26">
        <f t="shared" ref="I34:I39" si="17">F34*D34</f>
        <v>6301.0997205340918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39.200000000000003</v>
      </c>
      <c r="E35" s="29">
        <f t="shared" si="13"/>
        <v>1.4670658682634731E-2</v>
      </c>
      <c r="F35" s="28">
        <f t="shared" si="14"/>
        <v>14.180476077816717</v>
      </c>
      <c r="G35" s="27" t="str">
        <f t="shared" si="15"/>
        <v>+</v>
      </c>
      <c r="H35" s="26">
        <f t="shared" si="16"/>
        <v>537.04</v>
      </c>
      <c r="I35" s="26">
        <f t="shared" si="17"/>
        <v>555.87466225041533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11.385783712115613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</v>
      </c>
      <c r="D37" s="30"/>
      <c r="E37" s="29">
        <f t="shared" si="13"/>
        <v>0</v>
      </c>
      <c r="F37" s="28">
        <f t="shared" si="14"/>
        <v>30.017066150122979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</v>
      </c>
      <c r="D38" s="30"/>
      <c r="E38" s="29">
        <f t="shared" si="13"/>
        <v>0</v>
      </c>
      <c r="F38" s="28">
        <f t="shared" si="14"/>
        <v>30.017066150122979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30.1</v>
      </c>
      <c r="D39" s="30"/>
      <c r="E39" s="29">
        <f t="shared" si="13"/>
        <v>0</v>
      </c>
      <c r="F39" s="28">
        <f t="shared" si="14"/>
        <v>31.155644521334544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17.378384050367263</v>
      </c>
      <c r="D40" s="22">
        <f>SUM(D34:D39)</f>
        <v>381.2</v>
      </c>
      <c r="E40" s="113">
        <f t="shared" si="13"/>
        <v>0.14266467065868263</v>
      </c>
      <c r="F40" s="20">
        <f>I40/D40</f>
        <v>17.987865642141937</v>
      </c>
      <c r="G40" s="19">
        <f>F40/C40-1</f>
        <v>3.5071246555964608E-2</v>
      </c>
      <c r="H40" s="18">
        <f>SUM(H34:H39)</f>
        <v>6624.64</v>
      </c>
      <c r="I40" s="18">
        <f>SUM(I34:I39)</f>
        <v>6856.9743827845068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163+31.4+285.4</f>
        <v>479.79999999999995</v>
      </c>
      <c r="E42" s="107">
        <f>D42/$D$48</f>
        <v>0.17956586826347304</v>
      </c>
      <c r="F42" s="28">
        <f>C42-(C42*$E$6)</f>
        <v>0.41402849862238594</v>
      </c>
      <c r="G42" s="27" t="str">
        <f>IF(C42&gt;=F42,"-","+")</f>
        <v>+</v>
      </c>
      <c r="H42" s="26">
        <f>C42*D42</f>
        <v>191.92</v>
      </c>
      <c r="I42" s="26">
        <f>F42*D42</f>
        <v>198.65087363902074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19.8</v>
      </c>
      <c r="E43" s="107">
        <f>D43/$D$48</f>
        <v>7.4101796407185635E-3</v>
      </c>
      <c r="F43" s="28">
        <f>C43-(C43*$E$6)</f>
        <v>0.41402849862238594</v>
      </c>
      <c r="G43" s="27" t="str">
        <f>IF(C43&gt;=F43,"-","+")</f>
        <v>+</v>
      </c>
      <c r="H43" s="26">
        <f>C43*D43</f>
        <v>7.9200000000000008</v>
      </c>
      <c r="I43" s="26">
        <f>F43*D43</f>
        <v>8.1977642727232425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4.3</v>
      </c>
      <c r="E44" s="107">
        <f>D44/$D$48</f>
        <v>1.6092814371257485E-3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5.9</v>
      </c>
      <c r="E45" s="107">
        <f>D45/$D$48</f>
        <v>2.2080838323353296E-3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0.39199686151431934</v>
      </c>
      <c r="D46" s="22">
        <f>SUM(D41:D45)</f>
        <v>509.79999999999995</v>
      </c>
      <c r="E46" s="113">
        <f>D46/$D$48</f>
        <v>0.19079341317365267</v>
      </c>
      <c r="F46" s="20">
        <f>I46/D46</f>
        <v>0.40574468009365244</v>
      </c>
      <c r="G46" s="19">
        <f>F46/C46-1</f>
        <v>3.507124655596483E-2</v>
      </c>
      <c r="H46" s="18">
        <f>SUM(H41:H44)</f>
        <v>199.83999999999997</v>
      </c>
      <c r="I46" s="18">
        <f>SUM(I41:I44)</f>
        <v>206.84863791174399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95.157429066697063</v>
      </c>
      <c r="D48" s="13">
        <f>D24+D32+D40+D46</f>
        <v>2672</v>
      </c>
      <c r="E48" s="12">
        <f>SUM(E20:E46)/2</f>
        <v>1.0000000000000002</v>
      </c>
      <c r="F48" s="11">
        <f>I48/D48</f>
        <v>25.150000000000002</v>
      </c>
      <c r="G48" s="10"/>
      <c r="H48" s="9">
        <f>SUM(H20:H46)/2</f>
        <v>64923.839999999997</v>
      </c>
      <c r="I48" s="9">
        <f>SUM(I20:I46)/2</f>
        <v>67200.800000000003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2672</v>
      </c>
      <c r="E50" s="12">
        <f>D50/G2</f>
        <v>1</v>
      </c>
      <c r="F50" s="11">
        <f>I50/D50</f>
        <v>25.150000000000002</v>
      </c>
      <c r="G50" s="10"/>
      <c r="H50" s="9">
        <f>H48+H19</f>
        <v>64923.839999999997</v>
      </c>
      <c r="I50" s="9">
        <f>I48+I19</f>
        <v>67200.800000000003</v>
      </c>
      <c r="J50" s="106">
        <f>D50-G2</f>
        <v>0</v>
      </c>
      <c r="K50" s="8"/>
    </row>
    <row r="51" spans="1:11" ht="23.25" x14ac:dyDescent="0.35">
      <c r="A51" s="174" t="s">
        <v>611</v>
      </c>
      <c r="B51" s="169"/>
      <c r="C51" s="170"/>
      <c r="G51" s="7"/>
      <c r="H51" s="6"/>
      <c r="I51" s="6">
        <f>+I50/D50</f>
        <v>25.150000000000002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601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606</v>
      </c>
      <c r="D2" s="96" t="s">
        <v>3</v>
      </c>
      <c r="E2" s="95" t="s">
        <v>112</v>
      </c>
      <c r="F2" s="94" t="s">
        <v>5</v>
      </c>
      <c r="G2" s="93">
        <v>8165.5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116</v>
      </c>
      <c r="F3" s="88" t="s">
        <v>8</v>
      </c>
      <c r="G3" s="87">
        <v>25.79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70.392241379310349</v>
      </c>
      <c r="F4" s="81" t="s">
        <v>12</v>
      </c>
      <c r="G4" s="80">
        <f>G2*G3</f>
        <v>210588.245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-8.6477022333714793E-2</v>
      </c>
      <c r="F6" s="69" t="s">
        <v>16</v>
      </c>
      <c r="G6" s="68">
        <f>(I50-I19)/(D50-(SUM(D42:D44)+D19))</f>
        <v>32.809061944972427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25.8</v>
      </c>
      <c r="D10" s="30"/>
      <c r="E10" s="29" t="e">
        <f t="shared" ref="E10:E19" si="1">D10/$D$19</f>
        <v>#DIV/0!</v>
      </c>
      <c r="F10" s="28">
        <f t="shared" ref="F10:F18" si="2">C10-(C10*$E$6)</f>
        <v>28.031107176209844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26.9</v>
      </c>
      <c r="D11" s="30"/>
      <c r="E11" s="29" t="e">
        <f t="shared" si="1"/>
        <v>#DIV/0!</v>
      </c>
      <c r="F11" s="28">
        <f t="shared" si="2"/>
        <v>29.226231900776927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/>
      <c r="E12" s="29" t="e">
        <f t="shared" si="1"/>
        <v>#DIV/0!</v>
      </c>
      <c r="F12" s="28">
        <f t="shared" si="2"/>
        <v>26.618687047176014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26.9</v>
      </c>
      <c r="D13" s="30"/>
      <c r="E13" s="29" t="e">
        <f t="shared" si="1"/>
        <v>#DIV/0!</v>
      </c>
      <c r="F13" s="28">
        <f t="shared" si="2"/>
        <v>29.226231900776927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</v>
      </c>
      <c r="D14" s="30"/>
      <c r="E14" s="29" t="e">
        <f t="shared" si="1"/>
        <v>#DIV/0!</v>
      </c>
      <c r="F14" s="28">
        <f t="shared" si="2"/>
        <v>32.594310670011446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24.8</v>
      </c>
      <c r="D15" s="30"/>
      <c r="E15" s="29" t="e">
        <f t="shared" si="1"/>
        <v>#DIV/0!</v>
      </c>
      <c r="F15" s="28">
        <f t="shared" si="2"/>
        <v>26.944630153876126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33.9</v>
      </c>
      <c r="D16" s="30"/>
      <c r="E16" s="29" t="e">
        <f t="shared" si="1"/>
        <v>#DIV/0!</v>
      </c>
      <c r="F16" s="28">
        <f t="shared" si="2"/>
        <v>36.831571057112932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49.9</v>
      </c>
      <c r="D17" s="30"/>
      <c r="E17" s="29" t="e">
        <f t="shared" si="1"/>
        <v>#DIV/0!</v>
      </c>
      <c r="F17" s="28">
        <f t="shared" si="2"/>
        <v>54.215203414452368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43.7</v>
      </c>
      <c r="D18" s="30"/>
      <c r="E18" s="29" t="e">
        <f t="shared" si="1"/>
        <v>#DIV/0!</v>
      </c>
      <c r="F18" s="28">
        <f t="shared" si="2"/>
        <v>47.479045875983338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64.900000000000006</v>
      </c>
      <c r="D21" s="30">
        <v>103.7</v>
      </c>
      <c r="E21" s="29">
        <f>D21/$D$48</f>
        <v>1.2699773437021616E-2</v>
      </c>
      <c r="F21" s="28">
        <f>C21-(C21*$E$6)</f>
        <v>70.512358749458102</v>
      </c>
      <c r="G21" s="27" t="str">
        <f>IF(C21&gt;=F21,"-","+")</f>
        <v>+</v>
      </c>
      <c r="H21" s="26">
        <f>C21*D21</f>
        <v>6730.130000000001</v>
      </c>
      <c r="I21" s="26">
        <f>F21*D21</f>
        <v>7312.1316023188056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43.6</v>
      </c>
      <c r="D22" s="30">
        <v>190.6</v>
      </c>
      <c r="E22" s="29">
        <f>D22/$D$48</f>
        <v>2.3342110097360848E-2</v>
      </c>
      <c r="F22" s="28">
        <f>C22-(C22*$E$6)</f>
        <v>47.370398173749969</v>
      </c>
      <c r="G22" s="27" t="str">
        <f>IF(C22&gt;=F22,"-","+")</f>
        <v>+</v>
      </c>
      <c r="H22" s="26">
        <f>C22*D22</f>
        <v>8310.16</v>
      </c>
      <c r="I22" s="26">
        <f>F22*D22</f>
        <v>9028.7978919167435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39.700000000000003</v>
      </c>
      <c r="D23" s="30">
        <v>180.6</v>
      </c>
      <c r="E23" s="29">
        <f>D23/$D$48</f>
        <v>2.2117445349335619E-2</v>
      </c>
      <c r="F23" s="28">
        <f>C23-(C23*$E$6)</f>
        <v>43.133137786648483</v>
      </c>
      <c r="G23" s="27" t="str">
        <f>IF(C23&gt;=F23,"-","+")</f>
        <v>+</v>
      </c>
      <c r="H23" s="26">
        <f>C23*D23</f>
        <v>7169.8200000000006</v>
      </c>
      <c r="I23" s="26">
        <f>F23*D23</f>
        <v>7789.8446842687154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46.76797220467467</v>
      </c>
      <c r="D24" s="22">
        <f>SUM(D21:D23)</f>
        <v>474.9</v>
      </c>
      <c r="E24" s="21">
        <f>D24/$D$48</f>
        <v>5.8159328883718081E-2</v>
      </c>
      <c r="F24" s="20">
        <f>I24/D24</f>
        <v>50.812327181520878</v>
      </c>
      <c r="G24" s="19">
        <f>F24/C24-1</f>
        <v>8.6477022333714793E-2</v>
      </c>
      <c r="H24" s="18">
        <f>SUM(H21:H23)</f>
        <v>22210.11</v>
      </c>
      <c r="I24" s="18">
        <f>SUM(I21:I23)</f>
        <v>24130.774178504264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34.6</v>
      </c>
      <c r="D26" s="30">
        <v>1601</v>
      </c>
      <c r="E26" s="29">
        <f t="shared" ref="E26:E32" si="7">D26/$D$48</f>
        <v>0.19606882615883903</v>
      </c>
      <c r="F26" s="28">
        <f t="shared" ref="F26:F31" si="8">C26-(C26*$E$6)</f>
        <v>37.592104972746533</v>
      </c>
      <c r="G26" s="27" t="str">
        <f t="shared" ref="G26:G31" si="9">IF(C26&gt;=F26,"-","+")</f>
        <v>+</v>
      </c>
      <c r="H26" s="26">
        <f t="shared" ref="H26:H31" si="10">C26*D26</f>
        <v>55394.600000000006</v>
      </c>
      <c r="I26" s="26">
        <f t="shared" ref="I26:I31" si="11">F26*D26</f>
        <v>60184.960061367201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30.8</v>
      </c>
      <c r="D27" s="30">
        <v>1220</v>
      </c>
      <c r="E27" s="29">
        <f t="shared" si="7"/>
        <v>0.14940909925907783</v>
      </c>
      <c r="F27" s="28">
        <f t="shared" si="8"/>
        <v>33.463492287878417</v>
      </c>
      <c r="G27" s="27" t="str">
        <f t="shared" si="9"/>
        <v>+</v>
      </c>
      <c r="H27" s="26">
        <f t="shared" si="10"/>
        <v>37576</v>
      </c>
      <c r="I27" s="26">
        <f t="shared" si="11"/>
        <v>40825.460591211668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30.8</v>
      </c>
      <c r="D28" s="30">
        <v>611</v>
      </c>
      <c r="E28" s="29">
        <f t="shared" si="7"/>
        <v>7.4827016104341434E-2</v>
      </c>
      <c r="F28" s="28">
        <f t="shared" si="8"/>
        <v>33.463492287878417</v>
      </c>
      <c r="G28" s="27" t="str">
        <f t="shared" si="9"/>
        <v>+</v>
      </c>
      <c r="H28" s="26">
        <f t="shared" si="10"/>
        <v>18818.8</v>
      </c>
      <c r="I28" s="26">
        <f t="shared" si="11"/>
        <v>20446.193787893713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29.8</v>
      </c>
      <c r="D29" s="30">
        <v>631</v>
      </c>
      <c r="E29" s="29">
        <f t="shared" si="7"/>
        <v>7.7276345600391899E-2</v>
      </c>
      <c r="F29" s="28">
        <f t="shared" si="8"/>
        <v>32.377015265544699</v>
      </c>
      <c r="G29" s="27" t="str">
        <f t="shared" si="9"/>
        <v>+</v>
      </c>
      <c r="H29" s="26">
        <f t="shared" si="10"/>
        <v>18803.8</v>
      </c>
      <c r="I29" s="26">
        <f t="shared" si="11"/>
        <v>20429.896632558706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29.8</v>
      </c>
      <c r="D30" s="30">
        <v>464</v>
      </c>
      <c r="E30" s="29">
        <f t="shared" si="7"/>
        <v>5.6824444308370581E-2</v>
      </c>
      <c r="F30" s="28">
        <f t="shared" si="8"/>
        <v>32.377015265544699</v>
      </c>
      <c r="G30" s="27" t="str">
        <f t="shared" si="9"/>
        <v>+</v>
      </c>
      <c r="H30" s="26">
        <f t="shared" si="10"/>
        <v>13827.2</v>
      </c>
      <c r="I30" s="26">
        <f t="shared" si="11"/>
        <v>15022.93508321274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30.3</v>
      </c>
      <c r="D31" s="30">
        <v>100</v>
      </c>
      <c r="E31" s="29">
        <f t="shared" si="7"/>
        <v>1.2246647480252282E-2</v>
      </c>
      <c r="F31" s="28">
        <f t="shared" si="8"/>
        <v>32.920253776711561</v>
      </c>
      <c r="G31" s="27" t="str">
        <f t="shared" si="9"/>
        <v>+</v>
      </c>
      <c r="H31" s="26">
        <f t="shared" si="10"/>
        <v>3030</v>
      </c>
      <c r="I31" s="26">
        <f t="shared" si="11"/>
        <v>3292.0253776711561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31.867387075859092</v>
      </c>
      <c r="D32" s="22">
        <f>SUM(D26:D31)</f>
        <v>4627</v>
      </c>
      <c r="E32" s="21">
        <f t="shared" si="7"/>
        <v>0.56665237891127307</v>
      </c>
      <c r="F32" s="20">
        <f>I32/D32</f>
        <v>34.623183819735289</v>
      </c>
      <c r="G32" s="19">
        <f>F32/C32-1</f>
        <v>8.647702233371457E-2</v>
      </c>
      <c r="H32" s="18">
        <f>SUM(H26:H31)</f>
        <v>147450.40000000002</v>
      </c>
      <c r="I32" s="18">
        <f>SUM(I26:I31)</f>
        <v>160201.47153391517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f>647.6+569.9</f>
        <v>1217.5</v>
      </c>
      <c r="E34" s="29">
        <f t="shared" ref="E34:E40" si="13">D34/$D$48</f>
        <v>0.14910293307207151</v>
      </c>
      <c r="F34" s="28">
        <f t="shared" ref="F34:F39" si="14">C34-(C34*$E$6)</f>
        <v>19.773881806473607</v>
      </c>
      <c r="G34" s="27" t="str">
        <f t="shared" ref="G34:G39" si="15">IF(C34&gt;=F34,"-","+")</f>
        <v>+</v>
      </c>
      <c r="H34" s="26">
        <f t="shared" ref="H34:H39" si="16">C34*D34</f>
        <v>22158.5</v>
      </c>
      <c r="I34" s="26">
        <f t="shared" ref="I34:I39" si="17">F34*D34</f>
        <v>24074.701099381618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>
        <v>93.8</v>
      </c>
      <c r="E35" s="29">
        <f t="shared" si="13"/>
        <v>1.1487355336476639E-2</v>
      </c>
      <c r="F35" s="28">
        <f t="shared" si="14"/>
        <v>15.210678312672007</v>
      </c>
      <c r="G35" s="27" t="str">
        <f t="shared" si="15"/>
        <v>+</v>
      </c>
      <c r="H35" s="26">
        <f t="shared" si="16"/>
        <v>1313.2</v>
      </c>
      <c r="I35" s="26">
        <f t="shared" si="17"/>
        <v>1426.7616257286343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12.277190352370978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29.8</v>
      </c>
      <c r="D37" s="30"/>
      <c r="E37" s="29">
        <f t="shared" si="13"/>
        <v>0</v>
      </c>
      <c r="F37" s="28">
        <f t="shared" si="14"/>
        <v>32.377015265544699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29.8</v>
      </c>
      <c r="D38" s="30"/>
      <c r="E38" s="29">
        <f t="shared" si="13"/>
        <v>0</v>
      </c>
      <c r="F38" s="28">
        <f t="shared" si="14"/>
        <v>32.377015265544699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30.8</v>
      </c>
      <c r="D39" s="30"/>
      <c r="E39" s="29">
        <f t="shared" si="13"/>
        <v>0</v>
      </c>
      <c r="F39" s="28">
        <f t="shared" si="14"/>
        <v>33.463492287878417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17.899565316861132</v>
      </c>
      <c r="D40" s="22">
        <f>SUM(D34:D39)</f>
        <v>1311.3</v>
      </c>
      <c r="E40" s="113">
        <f t="shared" si="13"/>
        <v>0.16059028840854817</v>
      </c>
      <c r="F40" s="20">
        <f>I40/D40</f>
        <v>19.447466426531118</v>
      </c>
      <c r="G40" s="19">
        <f>F40/C40-1</f>
        <v>8.6477022333714793E-2</v>
      </c>
      <c r="H40" s="18">
        <f>SUM(H34:H39)</f>
        <v>23471.7</v>
      </c>
      <c r="I40" s="18">
        <f>SUM(I34:I39)</f>
        <v>25501.462725110254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821+81.6+765.5</f>
        <v>1668.1</v>
      </c>
      <c r="E42" s="107">
        <f>D42/$D$48</f>
        <v>0.20428632661808829</v>
      </c>
      <c r="F42" s="28">
        <f>C42-(C42*$E$6)</f>
        <v>0.43459080893348595</v>
      </c>
      <c r="G42" s="27" t="str">
        <f>IF(C42&gt;=F42,"-","+")</f>
        <v>+</v>
      </c>
      <c r="H42" s="26">
        <f>C42*D42</f>
        <v>667.24</v>
      </c>
      <c r="I42" s="26">
        <f>F42*D42</f>
        <v>724.94092838194786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68.099999999999994</v>
      </c>
      <c r="E43" s="107">
        <f>D43/$D$48</f>
        <v>8.3399669340518019E-3</v>
      </c>
      <c r="F43" s="28">
        <f>C43-(C43*$E$6)</f>
        <v>0.43459080893348595</v>
      </c>
      <c r="G43" s="27" t="str">
        <f>IF(C43&gt;=F43,"-","+")</f>
        <v>+</v>
      </c>
      <c r="H43" s="26">
        <f>C43*D43</f>
        <v>27.24</v>
      </c>
      <c r="I43" s="26">
        <f>F43*D43</f>
        <v>29.595634088370392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10.7</v>
      </c>
      <c r="E44" s="107">
        <f>D44/$D$48</f>
        <v>1.3103912803869939E-3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6.6131896393362317E-4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0.3963248302231353</v>
      </c>
      <c r="D46" s="22">
        <f>SUM(D41:D45)</f>
        <v>1752.3</v>
      </c>
      <c r="E46" s="113">
        <f>D46/$D$48</f>
        <v>0.21459800379646071</v>
      </c>
      <c r="F46" s="20">
        <f>I46/D46</f>
        <v>0.43059782141774711</v>
      </c>
      <c r="G46" s="19">
        <f>F46/C46-1</f>
        <v>8.6477022333714793E-2</v>
      </c>
      <c r="H46" s="18">
        <f>SUM(H41:H44)</f>
        <v>694.48</v>
      </c>
      <c r="I46" s="18">
        <f>SUM(I41:I44)</f>
        <v>754.53656247031824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96.931249427618027</v>
      </c>
      <c r="D48" s="13">
        <f>D24+D32+D40+D46</f>
        <v>8165.5</v>
      </c>
      <c r="E48" s="12">
        <f>SUM(E20:E46)/2</f>
        <v>1</v>
      </c>
      <c r="F48" s="11">
        <f>I48/D48</f>
        <v>25.79</v>
      </c>
      <c r="G48" s="10"/>
      <c r="H48" s="9">
        <f>SUM(H20:H46)/2</f>
        <v>193826.69</v>
      </c>
      <c r="I48" s="9">
        <f>SUM(I20:I46)/2</f>
        <v>210588.245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8165.4999999999991</v>
      </c>
      <c r="E50" s="12">
        <f>D50/G2</f>
        <v>0.99999999999999989</v>
      </c>
      <c r="F50" s="11">
        <f>I50/D50</f>
        <v>25.790000000000003</v>
      </c>
      <c r="G50" s="10"/>
      <c r="H50" s="9">
        <f>H48+H19</f>
        <v>193826.69</v>
      </c>
      <c r="I50" s="9">
        <f>I48+I19</f>
        <v>210588.245</v>
      </c>
      <c r="J50" s="106">
        <f>D50-G2</f>
        <v>0</v>
      </c>
      <c r="K50" s="8"/>
    </row>
    <row r="51" spans="1:11" ht="23.25" x14ac:dyDescent="0.35">
      <c r="A51" s="174" t="s">
        <v>612</v>
      </c>
      <c r="B51" s="169"/>
      <c r="C51" s="170"/>
      <c r="G51" s="7"/>
      <c r="H51" s="6"/>
      <c r="I51" s="6">
        <f>+I50/D50</f>
        <v>25.790000000000003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595</v>
      </c>
      <c r="D1" s="100" t="s">
        <v>1</v>
      </c>
      <c r="E1" s="168" t="s">
        <v>544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613</v>
      </c>
      <c r="D2" s="96" t="s">
        <v>3</v>
      </c>
      <c r="E2" s="95" t="s">
        <v>107</v>
      </c>
      <c r="F2" s="94" t="s">
        <v>5</v>
      </c>
      <c r="G2" s="93">
        <v>3684.6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48</v>
      </c>
      <c r="F3" s="88" t="s">
        <v>8</v>
      </c>
      <c r="G3" s="87">
        <v>27.75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76.762500000000003</v>
      </c>
      <c r="F4" s="81" t="s">
        <v>12</v>
      </c>
      <c r="G4" s="80">
        <f>G2*G3</f>
        <v>102247.65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-2.4530025015330192E-3</v>
      </c>
      <c r="F6" s="69" t="s">
        <v>16</v>
      </c>
      <c r="G6" s="68">
        <f>(I50-I19)/(D50-(SUM(D42:D44)+D19))</f>
        <v>32.392092495139515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>
        <f t="shared" ref="E10:E19" si="1">D10/$D$19</f>
        <v>0</v>
      </c>
      <c r="F10" s="28">
        <f t="shared" ref="F10:F18" si="2">C10-(C10*$E$6)</f>
        <v>27.868193469542618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30"/>
      <c r="E11" s="29">
        <f t="shared" si="1"/>
        <v>0</v>
      </c>
      <c r="F11" s="28">
        <f t="shared" si="2"/>
        <v>28.970891772294301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/>
      <c r="E12" s="29">
        <f t="shared" si="1"/>
        <v>0</v>
      </c>
      <c r="F12" s="28">
        <f t="shared" si="2"/>
        <v>26.46475926604047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30"/>
      <c r="E13" s="29">
        <f t="shared" si="1"/>
        <v>0</v>
      </c>
      <c r="F13" s="28">
        <f t="shared" si="2"/>
        <v>28.970891772294301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30">
        <v>388.1</v>
      </c>
      <c r="E14" s="29">
        <f t="shared" si="1"/>
        <v>0.90996483001172335</v>
      </c>
      <c r="F14" s="28">
        <f t="shared" si="2"/>
        <v>32.379231980799517</v>
      </c>
      <c r="G14" s="27" t="str">
        <f t="shared" si="3"/>
        <v>+</v>
      </c>
      <c r="H14" s="34">
        <f t="shared" si="4"/>
        <v>12535.63</v>
      </c>
      <c r="I14" s="34">
        <f t="shared" si="5"/>
        <v>12566.379931748294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/>
      <c r="E15" s="29">
        <f t="shared" si="1"/>
        <v>0</v>
      </c>
      <c r="F15" s="28">
        <f t="shared" si="2"/>
        <v>26.66524986654078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>
        <f t="shared" si="1"/>
        <v>0</v>
      </c>
      <c r="F16" s="28">
        <f t="shared" si="2"/>
        <v>36.589534591305956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53.7</v>
      </c>
      <c r="D17" s="30">
        <v>38.4</v>
      </c>
      <c r="E17" s="29">
        <f t="shared" si="1"/>
        <v>9.0035169988276667E-2</v>
      </c>
      <c r="F17" s="28">
        <f t="shared" si="2"/>
        <v>53.831726234332329</v>
      </c>
      <c r="G17" s="27" t="str">
        <f t="shared" si="3"/>
        <v>+</v>
      </c>
      <c r="H17" s="34">
        <f t="shared" si="4"/>
        <v>2062.08</v>
      </c>
      <c r="I17" s="34">
        <f t="shared" si="5"/>
        <v>2067.1382873983612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30"/>
      <c r="E18" s="29">
        <f t="shared" si="1"/>
        <v>0</v>
      </c>
      <c r="F18" s="28">
        <f t="shared" si="2"/>
        <v>47.115291117572049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34.226752637749122</v>
      </c>
      <c r="D19" s="49">
        <f>SUM(D10:D18)</f>
        <v>426.5</v>
      </c>
      <c r="E19" s="48">
        <f t="shared" si="1"/>
        <v>1</v>
      </c>
      <c r="F19" s="47">
        <f>I19/D19</f>
        <v>34.310710947588873</v>
      </c>
      <c r="G19" s="46">
        <f>F19/C19-1</f>
        <v>2.4530025015330192E-3</v>
      </c>
      <c r="H19" s="9">
        <f>SUM(H10:H18)</f>
        <v>14597.71</v>
      </c>
      <c r="I19" s="9">
        <f>SUM(I10:I18)</f>
        <v>14633.518219146656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69.8</v>
      </c>
      <c r="D21" s="30">
        <v>33.299999999999997</v>
      </c>
      <c r="E21" s="29">
        <f>D21/$D$48</f>
        <v>1.0220680764862957E-2</v>
      </c>
      <c r="F21" s="28">
        <f>C21-(C21*$E$6)</f>
        <v>69.971219574607005</v>
      </c>
      <c r="G21" s="27" t="str">
        <f>IF(C21&gt;=F21,"-","+")</f>
        <v>+</v>
      </c>
      <c r="H21" s="26">
        <f>C21*D21</f>
        <v>2324.3399999999997</v>
      </c>
      <c r="I21" s="26">
        <f>F21*D21</f>
        <v>2330.0416118344133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46.9</v>
      </c>
      <c r="D22" s="30">
        <v>86.4</v>
      </c>
      <c r="E22" s="29">
        <f>D22/$D$48</f>
        <v>2.6518523065590376E-2</v>
      </c>
      <c r="F22" s="28">
        <f>C22-(C22*$E$6)</f>
        <v>47.015045817321898</v>
      </c>
      <c r="G22" s="27" t="str">
        <f>IF(C22&gt;=F22,"-","+")</f>
        <v>+</v>
      </c>
      <c r="H22" s="26">
        <f>C22*D22</f>
        <v>4052.1600000000003</v>
      </c>
      <c r="I22" s="26">
        <f>F22*D22</f>
        <v>4062.0999586166122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>
        <v>68.5</v>
      </c>
      <c r="E23" s="29">
        <f>D23/$D$48</f>
        <v>2.1024523495288664E-2</v>
      </c>
      <c r="F23" s="28">
        <f>C23-(C23*$E$6)</f>
        <v>42.804743206815466</v>
      </c>
      <c r="G23" s="27" t="str">
        <f>IF(C23&gt;=F23,"-","+")</f>
        <v>+</v>
      </c>
      <c r="H23" s="26">
        <f>C23*D23</f>
        <v>2924.9500000000003</v>
      </c>
      <c r="I23" s="26">
        <f>F23*D23</f>
        <v>2932.1249096668594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49.423219978746019</v>
      </c>
      <c r="D24" s="22">
        <f>SUM(D21:D23)</f>
        <v>188.2</v>
      </c>
      <c r="E24" s="21">
        <f>D24/$D$48</f>
        <v>5.7763727325741997E-2</v>
      </c>
      <c r="F24" s="20">
        <f>I24/D24</f>
        <v>49.544455260987704</v>
      </c>
      <c r="G24" s="19">
        <f>F24/C24-1</f>
        <v>2.4530025015330192E-3</v>
      </c>
      <c r="H24" s="18">
        <f>SUM(H21:H23)</f>
        <v>9301.4500000000007</v>
      </c>
      <c r="I24" s="18">
        <f>SUM(I21:I23)</f>
        <v>9324.2664801178853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>
        <v>620.20000000000005</v>
      </c>
      <c r="E26" s="29">
        <f t="shared" ref="E26:E32" si="7">D26/$D$48</f>
        <v>0.19035634265369389</v>
      </c>
      <c r="F26" s="28">
        <f t="shared" ref="F26:F31" si="8">C26-(C26*$E$6)</f>
        <v>37.291251693057028</v>
      </c>
      <c r="G26" s="27" t="str">
        <f t="shared" ref="G26:G31" si="9">IF(C26&gt;=F26,"-","+")</f>
        <v>+</v>
      </c>
      <c r="H26" s="26">
        <f t="shared" ref="H26:H31" si="10">C26*D26</f>
        <v>23071.440000000002</v>
      </c>
      <c r="I26" s="26">
        <f t="shared" ref="I26:I31" si="11">F26*D26</f>
        <v>23128.034300033971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482.4</v>
      </c>
      <c r="E27" s="29">
        <f t="shared" si="7"/>
        <v>0.14806175378287958</v>
      </c>
      <c r="F27" s="28">
        <f t="shared" si="8"/>
        <v>33.281439683050898</v>
      </c>
      <c r="G27" s="27" t="str">
        <f t="shared" si="9"/>
        <v>+</v>
      </c>
      <c r="H27" s="26">
        <f t="shared" si="10"/>
        <v>16015.68</v>
      </c>
      <c r="I27" s="26">
        <f t="shared" si="11"/>
        <v>16054.966503103753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317.8</v>
      </c>
      <c r="E28" s="29">
        <f t="shared" si="7"/>
        <v>9.7541511924127564E-2</v>
      </c>
      <c r="F28" s="28">
        <f t="shared" si="8"/>
        <v>33.281439683050898</v>
      </c>
      <c r="G28" s="27" t="str">
        <f t="shared" si="9"/>
        <v>+</v>
      </c>
      <c r="H28" s="26">
        <f t="shared" si="10"/>
        <v>10550.960000000001</v>
      </c>
      <c r="I28" s="26">
        <f t="shared" si="11"/>
        <v>10576.841531273576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318.60000000000002</v>
      </c>
      <c r="E29" s="29">
        <f t="shared" si="7"/>
        <v>9.7787053804364518E-2</v>
      </c>
      <c r="F29" s="28">
        <f t="shared" si="8"/>
        <v>32.178741380299215</v>
      </c>
      <c r="G29" s="27" t="str">
        <f t="shared" si="9"/>
        <v>+</v>
      </c>
      <c r="H29" s="26">
        <f t="shared" si="10"/>
        <v>10227.060000000001</v>
      </c>
      <c r="I29" s="26">
        <f t="shared" si="11"/>
        <v>10252.14700376333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187.4</v>
      </c>
      <c r="E30" s="29">
        <f t="shared" si="7"/>
        <v>5.7518185445505049E-2</v>
      </c>
      <c r="F30" s="28">
        <f t="shared" si="8"/>
        <v>32.178741380299215</v>
      </c>
      <c r="G30" s="27" t="str">
        <f t="shared" si="9"/>
        <v>+</v>
      </c>
      <c r="H30" s="26">
        <f t="shared" si="10"/>
        <v>6015.5400000000009</v>
      </c>
      <c r="I30" s="26">
        <f t="shared" si="11"/>
        <v>6030.2961346680731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30">
        <v>35.799999999999997</v>
      </c>
      <c r="E31" s="29">
        <f t="shared" si="7"/>
        <v>1.0987999140603418E-2</v>
      </c>
      <c r="F31" s="28">
        <f t="shared" si="8"/>
        <v>32.679967881549977</v>
      </c>
      <c r="G31" s="27" t="str">
        <f t="shared" si="9"/>
        <v>+</v>
      </c>
      <c r="H31" s="26">
        <f t="shared" si="10"/>
        <v>1167.08</v>
      </c>
      <c r="I31" s="26">
        <f t="shared" si="11"/>
        <v>1169.9428501594891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34.169687085923961</v>
      </c>
      <c r="D32" s="22">
        <f>SUM(D26:D31)</f>
        <v>1962.2</v>
      </c>
      <c r="E32" s="21">
        <f t="shared" si="7"/>
        <v>0.60225284675117408</v>
      </c>
      <c r="F32" s="20">
        <f>I32/D32</f>
        <v>34.253505413822332</v>
      </c>
      <c r="G32" s="19">
        <f>F32/C32-1</f>
        <v>2.4530025015330192E-3</v>
      </c>
      <c r="H32" s="18">
        <f>SUM(H26:H31)</f>
        <v>67047.759999999995</v>
      </c>
      <c r="I32" s="18">
        <f>SUM(I26:I31)</f>
        <v>67212.228323002186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549.79999999999995</v>
      </c>
      <c r="E34" s="29">
        <f t="shared" ref="E34:E40" si="13">D34/$D$48</f>
        <v>0.16874865719284243</v>
      </c>
      <c r="F34" s="28">
        <f t="shared" ref="F34:F39" si="14">C34-(C34*$E$6)</f>
        <v>19.64807884903005</v>
      </c>
      <c r="G34" s="27" t="str">
        <f t="shared" ref="G34:G39" si="15">IF(C34&gt;=F34,"-","+")</f>
        <v>+</v>
      </c>
      <c r="H34" s="26">
        <f t="shared" ref="H34:H39" si="16">C34*D34</f>
        <v>10776.08</v>
      </c>
      <c r="I34" s="26">
        <f t="shared" ref="I34:I39" si="17">F34*D34</f>
        <v>10802.51375119672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/>
      <c r="E35" s="29">
        <f t="shared" si="13"/>
        <v>0</v>
      </c>
      <c r="F35" s="28">
        <f t="shared" si="14"/>
        <v>15.137040337773149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12.12968133026855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32.178741380299215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32.178741380299215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33.281439683050898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19.600000000000001</v>
      </c>
      <c r="D40" s="22">
        <f>SUM(D34:D39)</f>
        <v>549.79999999999995</v>
      </c>
      <c r="E40" s="113">
        <f t="shared" si="13"/>
        <v>0.16874865719284243</v>
      </c>
      <c r="F40" s="20">
        <f>I40/D40</f>
        <v>19.64807884903005</v>
      </c>
      <c r="G40" s="19">
        <f>F40/C40-1</f>
        <v>2.4530025015330192E-3</v>
      </c>
      <c r="H40" s="18">
        <f>SUM(H34:H39)</f>
        <v>10776.08</v>
      </c>
      <c r="I40" s="18">
        <f>SUM(I34:I39)</f>
        <v>10802.51375119672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530</v>
      </c>
      <c r="E42" s="107">
        <f>D42/$D$48</f>
        <v>0.162671495656978</v>
      </c>
      <c r="F42" s="28">
        <f>C42-(C42*$E$6)</f>
        <v>0.50122650125076651</v>
      </c>
      <c r="G42" s="27" t="str">
        <f>IF(C42&gt;=F42,"-","+")</f>
        <v>+</v>
      </c>
      <c r="H42" s="26">
        <f>C42*D42</f>
        <v>265</v>
      </c>
      <c r="I42" s="26">
        <f>F42*D42</f>
        <v>265.65004566290622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18.899999999999999</v>
      </c>
      <c r="E43" s="107">
        <f>D43/$D$48</f>
        <v>5.8009269205978944E-3</v>
      </c>
      <c r="F43" s="28">
        <f>C43-(C43*$E$6)</f>
        <v>0.50122650125076651</v>
      </c>
      <c r="G43" s="27" t="str">
        <f>IF(C43&gt;=F43,"-","+")</f>
        <v>+</v>
      </c>
      <c r="H43" s="26">
        <f>C43*D43</f>
        <v>9.4499999999999993</v>
      </c>
      <c r="I43" s="26">
        <f>F43*D43</f>
        <v>9.4731808736394871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4.4000000000000004</v>
      </c>
      <c r="E44" s="107">
        <f>D44/$D$48</f>
        <v>1.3504803413032136E-3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4.5999999999999996</v>
      </c>
      <c r="E45" s="107">
        <f>D45/$D$48</f>
        <v>1.4118658113624505E-3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0.49193403835812871</v>
      </c>
      <c r="D46" s="22">
        <f>SUM(D41:D45)</f>
        <v>557.9</v>
      </c>
      <c r="E46" s="113">
        <f>D46/$D$48</f>
        <v>0.17123476873024154</v>
      </c>
      <c r="F46" s="20">
        <f>I46/D46</f>
        <v>0.49314075378481037</v>
      </c>
      <c r="G46" s="19">
        <f>F46/C46-1</f>
        <v>2.4530025015327972E-3</v>
      </c>
      <c r="H46" s="18">
        <f>SUM(H41:H44)</f>
        <v>274.45</v>
      </c>
      <c r="I46" s="18">
        <f>SUM(I41:I44)</f>
        <v>275.1232265365457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103.68484110302811</v>
      </c>
      <c r="D48" s="13">
        <f>D24+D32+D40+D46</f>
        <v>3258.1</v>
      </c>
      <c r="E48" s="12">
        <f>SUM(E20:E46)/2</f>
        <v>0.99999999999999989</v>
      </c>
      <c r="F48" s="11">
        <f>I48/D48</f>
        <v>26.891173315998088</v>
      </c>
      <c r="G48" s="10"/>
      <c r="H48" s="9">
        <f>SUM(H20:H46)/2</f>
        <v>87399.74</v>
      </c>
      <c r="I48" s="9">
        <f>SUM(I20:I46)/2</f>
        <v>87614.131780853364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3684.6</v>
      </c>
      <c r="E50" s="12">
        <f>D50/G2</f>
        <v>1</v>
      </c>
      <c r="F50" s="11">
        <f>I50/D50</f>
        <v>27.750000000000007</v>
      </c>
      <c r="G50" s="10"/>
      <c r="H50" s="9">
        <f>H48+H19</f>
        <v>101997.45000000001</v>
      </c>
      <c r="I50" s="9">
        <f>I48+I19</f>
        <v>102247.65000000002</v>
      </c>
      <c r="J50" s="106">
        <f>D50-G2</f>
        <v>0</v>
      </c>
      <c r="K50" s="8"/>
    </row>
    <row r="51" spans="1:11" ht="23.25" x14ac:dyDescent="0.35">
      <c r="A51" s="174" t="s">
        <v>614</v>
      </c>
      <c r="B51" s="169"/>
      <c r="C51" s="170"/>
      <c r="G51" s="7"/>
      <c r="H51" s="6"/>
      <c r="I51" s="6">
        <f>+I50/D50</f>
        <v>27.750000000000007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595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613</v>
      </c>
      <c r="D2" s="96" t="s">
        <v>3</v>
      </c>
      <c r="E2" s="95" t="s">
        <v>107</v>
      </c>
      <c r="F2" s="94" t="s">
        <v>5</v>
      </c>
      <c r="G2" s="93">
        <v>909.6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12</v>
      </c>
      <c r="F3" s="88" t="s">
        <v>8</v>
      </c>
      <c r="G3" s="87">
        <v>27.75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75.8</v>
      </c>
      <c r="F4" s="81" t="s">
        <v>12</v>
      </c>
      <c r="G4" s="80">
        <f>G2*G3</f>
        <v>25241.4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-3.0979964808119265E-2</v>
      </c>
      <c r="F6" s="69" t="s">
        <v>16</v>
      </c>
      <c r="G6" s="68">
        <f>(I50-I19)/(D50-(SUM(D42:D44)+D19))</f>
        <v>33.885622231171979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 t="e">
        <f t="shared" ref="E10:E19" si="1">D10/$D$19</f>
        <v>#DIV/0!</v>
      </c>
      <c r="F10" s="28">
        <f t="shared" ref="F10:F18" si="2">C10-(C10*$E$6)</f>
        <v>28.661243021665715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30"/>
      <c r="E11" s="29" t="e">
        <f t="shared" si="1"/>
        <v>#DIV/0!</v>
      </c>
      <c r="F11" s="28">
        <f t="shared" si="2"/>
        <v>29.795320982954646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/>
      <c r="E12" s="29" t="e">
        <f t="shared" si="1"/>
        <v>#DIV/0!</v>
      </c>
      <c r="F12" s="28">
        <f t="shared" si="2"/>
        <v>27.217871070934347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30"/>
      <c r="E13" s="29" t="e">
        <f t="shared" si="1"/>
        <v>#DIV/0!</v>
      </c>
      <c r="F13" s="28">
        <f t="shared" si="2"/>
        <v>29.795320982954646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30"/>
      <c r="E14" s="29" t="e">
        <f t="shared" si="1"/>
        <v>#DIV/0!</v>
      </c>
      <c r="F14" s="28">
        <f t="shared" si="2"/>
        <v>33.300652863302247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/>
      <c r="E15" s="29" t="e">
        <f t="shared" si="1"/>
        <v>#DIV/0!</v>
      </c>
      <c r="F15" s="28">
        <f t="shared" si="2"/>
        <v>27.424067063895976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 t="e">
        <f t="shared" si="1"/>
        <v>#DIV/0!</v>
      </c>
      <c r="F16" s="28">
        <f t="shared" si="2"/>
        <v>37.630768715496352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53.7</v>
      </c>
      <c r="D17" s="30"/>
      <c r="E17" s="29" t="e">
        <f t="shared" si="1"/>
        <v>#DIV/0!</v>
      </c>
      <c r="F17" s="28">
        <f t="shared" si="2"/>
        <v>55.363624110196007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30"/>
      <c r="E18" s="29" t="e">
        <f t="shared" si="1"/>
        <v>#DIV/0!</v>
      </c>
      <c r="F18" s="28">
        <f t="shared" si="2"/>
        <v>48.456058345981603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69.8</v>
      </c>
      <c r="D21" s="30">
        <v>12.4</v>
      </c>
      <c r="E21" s="29">
        <f>D21/$D$48</f>
        <v>1.3632365875109938E-2</v>
      </c>
      <c r="F21" s="28">
        <f>C21-(C21*$E$6)</f>
        <v>71.962401543606717</v>
      </c>
      <c r="G21" s="27" t="str">
        <f>IF(C21&gt;=F21,"-","+")</f>
        <v>+</v>
      </c>
      <c r="H21" s="26">
        <f>C21*D21</f>
        <v>865.52</v>
      </c>
      <c r="I21" s="26">
        <f>F21*D21</f>
        <v>892.33377914072332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46.9</v>
      </c>
      <c r="D22" s="30">
        <v>27.1</v>
      </c>
      <c r="E22" s="29">
        <f>D22/$D$48</f>
        <v>2.9793315743183817E-2</v>
      </c>
      <c r="F22" s="28">
        <f>C22-(C22*$E$6)</f>
        <v>48.35296034950079</v>
      </c>
      <c r="G22" s="27" t="str">
        <f>IF(C22&gt;=F22,"-","+")</f>
        <v>+</v>
      </c>
      <c r="H22" s="26">
        <f>C22*D22</f>
        <v>1270.99</v>
      </c>
      <c r="I22" s="26">
        <f>F22*D22</f>
        <v>1310.3652254714716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>
        <v>22.2</v>
      </c>
      <c r="E23" s="29">
        <f>D23/$D$48</f>
        <v>2.4406332453825855E-2</v>
      </c>
      <c r="F23" s="28">
        <f>C23-(C23*$E$6)</f>
        <v>44.022844497306693</v>
      </c>
      <c r="G23" s="27" t="str">
        <f>IF(C23&gt;=F23,"-","+")</f>
        <v>+</v>
      </c>
      <c r="H23" s="26">
        <f>C23*D23</f>
        <v>947.94</v>
      </c>
      <c r="I23" s="26">
        <f>F23*D23</f>
        <v>977.30714784020859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49.991085899513777</v>
      </c>
      <c r="D24" s="22">
        <f>SUM(D21:D23)</f>
        <v>61.7</v>
      </c>
      <c r="E24" s="21">
        <f>D24/$D$48</f>
        <v>6.7832014072119612E-2</v>
      </c>
      <c r="F24" s="20">
        <f>I24/D24</f>
        <v>51.539807981400379</v>
      </c>
      <c r="G24" s="19">
        <f>F24/C24-1</f>
        <v>3.0979964808119265E-2</v>
      </c>
      <c r="H24" s="18">
        <f>SUM(H21:H23)</f>
        <v>3084.4500000000003</v>
      </c>
      <c r="I24" s="18">
        <f>SUM(I21:I23)</f>
        <v>3180.0061524524035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>
        <v>168.2</v>
      </c>
      <c r="E26" s="29">
        <f t="shared" ref="E26:E32" si="7">D26/$D$48</f>
        <v>0.18491644678979768</v>
      </c>
      <c r="F26" s="28">
        <f t="shared" ref="F26:F31" si="8">C26-(C26*$E$6)</f>
        <v>38.352454690862039</v>
      </c>
      <c r="G26" s="27" t="str">
        <f t="shared" ref="G26:G31" si="9">IF(C26&gt;=F26,"-","+")</f>
        <v>+</v>
      </c>
      <c r="H26" s="26">
        <f t="shared" ref="H26:H31" si="10">C26*D26</f>
        <v>6257.04</v>
      </c>
      <c r="I26" s="26">
        <f t="shared" ref="I26:I31" si="11">F26*D26</f>
        <v>6450.8828790029947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131.80000000000001</v>
      </c>
      <c r="E27" s="29">
        <f t="shared" si="7"/>
        <v>0.14489885664028146</v>
      </c>
      <c r="F27" s="28">
        <f t="shared" si="8"/>
        <v>34.22853483162956</v>
      </c>
      <c r="G27" s="27" t="str">
        <f t="shared" si="9"/>
        <v>+</v>
      </c>
      <c r="H27" s="26">
        <f t="shared" si="10"/>
        <v>4375.7600000000011</v>
      </c>
      <c r="I27" s="26">
        <f t="shared" si="11"/>
        <v>4511.3208908087763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102.4</v>
      </c>
      <c r="E28" s="29">
        <f t="shared" si="7"/>
        <v>0.11257695690413369</v>
      </c>
      <c r="F28" s="28">
        <f t="shared" si="8"/>
        <v>34.22853483162956</v>
      </c>
      <c r="G28" s="27" t="str">
        <f t="shared" si="9"/>
        <v>+</v>
      </c>
      <c r="H28" s="26">
        <f t="shared" si="10"/>
        <v>3399.6800000000003</v>
      </c>
      <c r="I28" s="26">
        <f t="shared" si="11"/>
        <v>3505.0019667588672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69.2</v>
      </c>
      <c r="E29" s="29">
        <f t="shared" si="7"/>
        <v>7.6077396657871596E-2</v>
      </c>
      <c r="F29" s="28">
        <f t="shared" si="8"/>
        <v>33.094456870340629</v>
      </c>
      <c r="G29" s="27" t="str">
        <f t="shared" si="9"/>
        <v>+</v>
      </c>
      <c r="H29" s="26">
        <f t="shared" si="10"/>
        <v>2221.3200000000002</v>
      </c>
      <c r="I29" s="26">
        <f t="shared" si="11"/>
        <v>2290.1364154275716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63.2</v>
      </c>
      <c r="E30" s="29">
        <f t="shared" si="7"/>
        <v>6.9481090589270017E-2</v>
      </c>
      <c r="F30" s="28">
        <f t="shared" si="8"/>
        <v>33.094456870340629</v>
      </c>
      <c r="G30" s="27" t="str">
        <f t="shared" si="9"/>
        <v>+</v>
      </c>
      <c r="H30" s="26">
        <f t="shared" si="10"/>
        <v>2028.7200000000003</v>
      </c>
      <c r="I30" s="26">
        <f t="shared" si="11"/>
        <v>2091.5696742055279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30">
        <v>14.8</v>
      </c>
      <c r="E31" s="29">
        <f t="shared" si="7"/>
        <v>1.6270888302550572E-2</v>
      </c>
      <c r="F31" s="28">
        <f t="shared" si="8"/>
        <v>33.609946852744692</v>
      </c>
      <c r="G31" s="27" t="str">
        <f t="shared" si="9"/>
        <v>+</v>
      </c>
      <c r="H31" s="26">
        <f t="shared" si="10"/>
        <v>482.48</v>
      </c>
      <c r="I31" s="26">
        <f t="shared" si="11"/>
        <v>497.42721342062146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34.14301310043669</v>
      </c>
      <c r="D32" s="22">
        <f>SUM(D26:D31)</f>
        <v>549.59999999999991</v>
      </c>
      <c r="E32" s="21">
        <f t="shared" si="7"/>
        <v>0.60422163588390487</v>
      </c>
      <c r="F32" s="20">
        <f>I32/D32</f>
        <v>35.200762444731375</v>
      </c>
      <c r="G32" s="19">
        <f>F32/C32-1</f>
        <v>3.0979964808119265E-2</v>
      </c>
      <c r="H32" s="18">
        <f>SUM(H26:H31)</f>
        <v>18765</v>
      </c>
      <c r="I32" s="18">
        <f>SUM(I26:I31)</f>
        <v>19346.339039624359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130.19999999999999</v>
      </c>
      <c r="E34" s="29">
        <f t="shared" ref="E34:E40" si="13">D34/$D$48</f>
        <v>0.14313984168865435</v>
      </c>
      <c r="F34" s="28">
        <f t="shared" ref="F34:F39" si="14">C34-(C34*$E$6)</f>
        <v>20.207207310239138</v>
      </c>
      <c r="G34" s="27" t="str">
        <f t="shared" ref="G34:G39" si="15">IF(C34&gt;=F34,"-","+")</f>
        <v>+</v>
      </c>
      <c r="H34" s="26">
        <f t="shared" ref="H34:H39" si="16">C34*D34</f>
        <v>2551.92</v>
      </c>
      <c r="I34" s="26">
        <f t="shared" ref="I34:I39" si="17">F34*D34</f>
        <v>2630.9783917931354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/>
      <c r="E35" s="29">
        <f t="shared" si="13"/>
        <v>0</v>
      </c>
      <c r="F35" s="28">
        <f t="shared" si="14"/>
        <v>15.567797468602601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12.474857574178243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33.094456870340629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33.094456870340629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34.22853483162956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19.600000000000001</v>
      </c>
      <c r="D40" s="22">
        <f>SUM(D34:D39)</f>
        <v>130.19999999999999</v>
      </c>
      <c r="E40" s="113">
        <f t="shared" si="13"/>
        <v>0.14313984168865435</v>
      </c>
      <c r="F40" s="20">
        <f>I40/D40</f>
        <v>20.207207310239138</v>
      </c>
      <c r="G40" s="19">
        <f>F40/C40-1</f>
        <v>3.0979964808119265E-2</v>
      </c>
      <c r="H40" s="18">
        <f>SUM(H34:H39)</f>
        <v>2551.92</v>
      </c>
      <c r="I40" s="18">
        <f>SUM(I34:I39)</f>
        <v>2630.9783917931354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156</v>
      </c>
      <c r="E42" s="107">
        <f>D42/$D$48</f>
        <v>0.17150395778364116</v>
      </c>
      <c r="F42" s="28">
        <f>C42-(C42*$E$6)</f>
        <v>0.51548998240405963</v>
      </c>
      <c r="G42" s="27" t="str">
        <f>IF(C42&gt;=F42,"-","+")</f>
        <v>+</v>
      </c>
      <c r="H42" s="26">
        <f>C42*D42</f>
        <v>78</v>
      </c>
      <c r="I42" s="26">
        <f>F42*D42</f>
        <v>80.416437255033301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7.1</v>
      </c>
      <c r="E43" s="107">
        <f>D43/$D$48</f>
        <v>7.8056288478452057E-3</v>
      </c>
      <c r="F43" s="28">
        <f>C43-(C43*$E$6)</f>
        <v>0.51548998240405963</v>
      </c>
      <c r="G43" s="27" t="str">
        <f>IF(C43&gt;=F43,"-","+")</f>
        <v>+</v>
      </c>
      <c r="H43" s="26">
        <f>C43*D43</f>
        <v>3.55</v>
      </c>
      <c r="I43" s="26">
        <f>F43*D43</f>
        <v>3.6599788750688234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1.6</v>
      </c>
      <c r="E44" s="107">
        <f>D44/$D$48</f>
        <v>1.7590149516270889E-3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3.4</v>
      </c>
      <c r="E45" s="107">
        <f>D45/$D$48</f>
        <v>3.7379067722075636E-3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0.48512790005948841</v>
      </c>
      <c r="D46" s="22">
        <f>SUM(D41:D45)</f>
        <v>168.1</v>
      </c>
      <c r="E46" s="113">
        <f>D46/$D$48</f>
        <v>0.184806508355321</v>
      </c>
      <c r="F46" s="20">
        <f>I46/D46</f>
        <v>0.50015714533076816</v>
      </c>
      <c r="G46" s="19">
        <f>F46/C46-1</f>
        <v>3.0979964808119265E-2</v>
      </c>
      <c r="H46" s="18">
        <f>SUM(H41:H44)</f>
        <v>81.55</v>
      </c>
      <c r="I46" s="18">
        <f>SUM(I41:I44)</f>
        <v>84.076416130102132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104.21922690000996</v>
      </c>
      <c r="D48" s="13">
        <f>D24+D32+D40+D46</f>
        <v>909.6</v>
      </c>
      <c r="E48" s="12">
        <f>SUM(E20:E46)/2</f>
        <v>1.0000000000000002</v>
      </c>
      <c r="F48" s="11">
        <f>I48/D48</f>
        <v>27.75</v>
      </c>
      <c r="G48" s="10"/>
      <c r="H48" s="9">
        <f>SUM(H20:H46)/2</f>
        <v>24482.920000000002</v>
      </c>
      <c r="I48" s="9">
        <f>SUM(I20:I46)/2</f>
        <v>25241.4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909.59999999999991</v>
      </c>
      <c r="E50" s="12">
        <f>D50/G2</f>
        <v>0.99999999999999989</v>
      </c>
      <c r="F50" s="11">
        <f>I50/D50</f>
        <v>27.750000000000004</v>
      </c>
      <c r="G50" s="10"/>
      <c r="H50" s="9">
        <f>H48+H19</f>
        <v>24482.920000000002</v>
      </c>
      <c r="I50" s="9">
        <f>I48+I19</f>
        <v>25241.4</v>
      </c>
      <c r="J50" s="106">
        <f>D50-G2</f>
        <v>0</v>
      </c>
      <c r="K50" s="8"/>
    </row>
    <row r="51" spans="1:11" ht="23.25" x14ac:dyDescent="0.35">
      <c r="A51" s="174" t="s">
        <v>615</v>
      </c>
      <c r="B51" s="169"/>
      <c r="C51" s="170"/>
      <c r="G51" s="7"/>
      <c r="H51" s="6"/>
      <c r="I51" s="6">
        <f>+I50/D50</f>
        <v>27.750000000000004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>
    <tabColor rgb="FF92D050"/>
  </sheetPr>
  <dimension ref="A1:K56"/>
  <sheetViews>
    <sheetView workbookViewId="0">
      <selection sqref="A1:XFD1048576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 bestFit="1"/>
  </cols>
  <sheetData>
    <row r="1" spans="1:11" ht="16.5" thickBot="1" x14ac:dyDescent="0.3">
      <c r="A1" s="103" t="s">
        <v>0</v>
      </c>
      <c r="B1" s="102"/>
      <c r="C1" s="101" t="s">
        <v>613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616</v>
      </c>
      <c r="D2" s="96" t="s">
        <v>3</v>
      </c>
      <c r="E2" s="95" t="s">
        <v>71</v>
      </c>
      <c r="F2" s="94" t="s">
        <v>5</v>
      </c>
      <c r="G2" s="93">
        <v>25340.6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312</v>
      </c>
      <c r="F3" s="88" t="s">
        <v>8</v>
      </c>
      <c r="G3" s="87">
        <v>28.3</v>
      </c>
      <c r="H3" s="62"/>
      <c r="I3" s="62"/>
      <c r="J3" s="61"/>
      <c r="K3" s="61"/>
    </row>
    <row r="4" spans="1:11" ht="16.5" thickBot="1" x14ac:dyDescent="0.3">
      <c r="A4" s="86" t="s">
        <v>9</v>
      </c>
      <c r="B4" s="85"/>
      <c r="C4" s="84">
        <v>14</v>
      </c>
      <c r="D4" s="83" t="s">
        <v>11</v>
      </c>
      <c r="E4" s="82">
        <f>G2/E3</f>
        <v>81.219871794871793</v>
      </c>
      <c r="F4" s="81" t="s">
        <v>12</v>
      </c>
      <c r="G4" s="80">
        <f>G2*G3</f>
        <v>717138.98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1.4228090107713864E-2</v>
      </c>
      <c r="F6" s="69" t="s">
        <v>16</v>
      </c>
      <c r="G6" s="68">
        <f>(I50-I19)/(D50-(SUM(D42:D44)+D19))</f>
        <v>32.973498837699914</v>
      </c>
    </row>
    <row r="7" spans="1:11" ht="16.5" thickBot="1" x14ac:dyDescent="0.3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>
        <f t="shared" ref="E10:E19" si="1">D10/$D$19</f>
        <v>0</v>
      </c>
      <c r="F10" s="28">
        <f t="shared" ref="F10:F18" si="2">C10-(C10*$E$6)</f>
        <v>27.897345049951699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29.5</v>
      </c>
      <c r="D11" s="30">
        <v>1461.3</v>
      </c>
      <c r="E11" s="29">
        <f t="shared" si="1"/>
        <v>0.40154429544954934</v>
      </c>
      <c r="F11" s="28">
        <f t="shared" si="2"/>
        <v>29.080271341822442</v>
      </c>
      <c r="G11" s="27" t="str">
        <f t="shared" si="3"/>
        <v>-</v>
      </c>
      <c r="H11" s="34">
        <f t="shared" si="4"/>
        <v>43108.35</v>
      </c>
      <c r="I11" s="34">
        <f t="shared" si="5"/>
        <v>42495.000511805134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>
        <v>1361.3</v>
      </c>
      <c r="E12" s="29">
        <f t="shared" si="1"/>
        <v>0.37406572873158939</v>
      </c>
      <c r="F12" s="28">
        <f t="shared" si="2"/>
        <v>26.517264376102496</v>
      </c>
      <c r="G12" s="27" t="str">
        <f t="shared" si="3"/>
        <v>-</v>
      </c>
      <c r="H12" s="34">
        <f t="shared" si="4"/>
        <v>36618.969999999994</v>
      </c>
      <c r="I12" s="34">
        <f t="shared" si="5"/>
        <v>36097.951995188327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29.5</v>
      </c>
      <c r="D13" s="30">
        <v>458</v>
      </c>
      <c r="E13" s="29">
        <f t="shared" si="1"/>
        <v>0.12585183556825677</v>
      </c>
      <c r="F13" s="28">
        <f t="shared" si="2"/>
        <v>29.080271341822442</v>
      </c>
      <c r="G13" s="27" t="str">
        <f t="shared" si="3"/>
        <v>-</v>
      </c>
      <c r="H13" s="34">
        <f t="shared" si="4"/>
        <v>13511</v>
      </c>
      <c r="I13" s="34">
        <f t="shared" si="5"/>
        <v>13318.764274554678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>
        <f t="shared" si="1"/>
        <v>0</v>
      </c>
      <c r="F14" s="28">
        <f t="shared" si="2"/>
        <v>32.43189583545621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27.2</v>
      </c>
      <c r="D15" s="30"/>
      <c r="E15" s="29">
        <f t="shared" si="1"/>
        <v>0</v>
      </c>
      <c r="F15" s="28">
        <f t="shared" si="2"/>
        <v>26.812995949070181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37.200000000000003</v>
      </c>
      <c r="D16" s="30">
        <v>350</v>
      </c>
      <c r="E16" s="29">
        <f t="shared" si="1"/>
        <v>9.6174983512859968E-2</v>
      </c>
      <c r="F16" s="28">
        <f t="shared" si="2"/>
        <v>36.670715047993049</v>
      </c>
      <c r="G16" s="27" t="str">
        <f t="shared" si="3"/>
        <v>-</v>
      </c>
      <c r="H16" s="34">
        <f t="shared" si="4"/>
        <v>13020.000000000002</v>
      </c>
      <c r="I16" s="34">
        <f t="shared" si="5"/>
        <v>12834.750266797568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54.7</v>
      </c>
      <c r="D17" s="30">
        <v>8.6</v>
      </c>
      <c r="E17" s="29">
        <f t="shared" si="1"/>
        <v>2.3631567377445594E-3</v>
      </c>
      <c r="F17" s="28">
        <f t="shared" si="2"/>
        <v>53.921723471108052</v>
      </c>
      <c r="G17" s="27" t="str">
        <f t="shared" si="3"/>
        <v>-</v>
      </c>
      <c r="H17" s="34">
        <f t="shared" si="4"/>
        <v>470.42</v>
      </c>
      <c r="I17" s="34">
        <f t="shared" si="5"/>
        <v>463.72682185152922</v>
      </c>
      <c r="J17" s="52"/>
      <c r="K17" s="52"/>
    </row>
    <row r="18" spans="1:11" ht="15.75" thickBot="1" x14ac:dyDescent="0.3">
      <c r="A18" s="25" t="s">
        <v>33</v>
      </c>
      <c r="B18" s="32">
        <v>1.6942143999999999</v>
      </c>
      <c r="C18" s="31">
        <f t="shared" si="0"/>
        <v>47.9</v>
      </c>
      <c r="D18" s="30"/>
      <c r="E18" s="29">
        <f t="shared" si="1"/>
        <v>0</v>
      </c>
      <c r="F18" s="28">
        <f t="shared" si="2"/>
        <v>47.218474483840502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ht="16.5" thickTop="1" thickBot="1" x14ac:dyDescent="0.3">
      <c r="A19" s="51" t="s">
        <v>34</v>
      </c>
      <c r="B19" s="50"/>
      <c r="C19" s="47">
        <f>H19/D19</f>
        <v>29.327528028138051</v>
      </c>
      <c r="D19" s="49">
        <f>SUM(D10:D18)</f>
        <v>3639.2</v>
      </c>
      <c r="E19" s="48">
        <f t="shared" si="1"/>
        <v>1</v>
      </c>
      <c r="F19" s="47">
        <f>I19/D19</f>
        <v>28.910253316717199</v>
      </c>
      <c r="G19" s="46">
        <f>F19/C19-1</f>
        <v>-1.4228090107713864E-2</v>
      </c>
      <c r="H19" s="9">
        <f>SUM(H10:H18)</f>
        <v>106728.73999999999</v>
      </c>
      <c r="I19" s="9">
        <f>SUM(I10:I18)</f>
        <v>105210.19387019722</v>
      </c>
      <c r="J19" s="8"/>
      <c r="K19" s="8"/>
    </row>
    <row r="20" spans="1:11" ht="15.75" thickTop="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71.2</v>
      </c>
      <c r="D21" s="30">
        <f>167.6+48</f>
        <v>215.6</v>
      </c>
      <c r="E21" s="29">
        <f>D21/$D$48</f>
        <v>9.9346597978047912E-3</v>
      </c>
      <c r="F21" s="28">
        <f>C21-(C21*$E$6)</f>
        <v>70.18695998433077</v>
      </c>
      <c r="G21" s="27" t="str">
        <f>IF(C21&gt;=F21,"-","+")</f>
        <v>-</v>
      </c>
      <c r="H21" s="26">
        <f>C21*D21</f>
        <v>15350.72</v>
      </c>
      <c r="I21" s="26">
        <f>F21*D21</f>
        <v>15132.308572621714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47.8</v>
      </c>
      <c r="D22" s="30">
        <f>399.6+325</f>
        <v>724.6</v>
      </c>
      <c r="E22" s="29">
        <f>D22/$D$48</f>
        <v>3.3388935480006272E-2</v>
      </c>
      <c r="F22" s="28">
        <f>C22-(C22*$E$6)</f>
        <v>47.119897292851277</v>
      </c>
      <c r="G22" s="27" t="str">
        <f>IF(C22&gt;=F22,"-","+")</f>
        <v>-</v>
      </c>
      <c r="H22" s="26">
        <f>C22*D22</f>
        <v>34635.879999999997</v>
      </c>
      <c r="I22" s="26">
        <f>F22*D22</f>
        <v>34143.077578400036</v>
      </c>
      <c r="J22" s="25"/>
      <c r="K22" s="25"/>
    </row>
    <row r="23" spans="1:11" ht="15.75" thickBot="1" x14ac:dyDescent="0.3">
      <c r="A23" s="25" t="s">
        <v>38</v>
      </c>
      <c r="B23" s="32">
        <v>1.54</v>
      </c>
      <c r="C23" s="31">
        <f>ROUND($G$3*B23,1)</f>
        <v>43.6</v>
      </c>
      <c r="D23" s="30">
        <f>329.9+113</f>
        <v>442.9</v>
      </c>
      <c r="E23" s="29">
        <f>D23/$D$48</f>
        <v>2.0408445382410677E-2</v>
      </c>
      <c r="F23" s="28">
        <f>C23-(C23*$E$6)</f>
        <v>42.979655271303677</v>
      </c>
      <c r="G23" s="27" t="str">
        <f>IF(C23&gt;=F23,"-","+")</f>
        <v>-</v>
      </c>
      <c r="H23" s="26">
        <f>C23*D23</f>
        <v>19310.439999999999</v>
      </c>
      <c r="I23" s="26">
        <f>F23*D23</f>
        <v>19035.689319660396</v>
      </c>
      <c r="J23" s="25"/>
      <c r="K23" s="25"/>
    </row>
    <row r="24" spans="1:11" ht="15.75" thickBot="1" x14ac:dyDescent="0.3">
      <c r="A24" s="24" t="s">
        <v>34</v>
      </c>
      <c r="B24" s="23"/>
      <c r="C24" s="20">
        <f>H24/D24</f>
        <v>50.102696840430916</v>
      </c>
      <c r="D24" s="22">
        <f>SUM(D21:D23)</f>
        <v>1383.1</v>
      </c>
      <c r="E24" s="21">
        <f>D24/$D$48</f>
        <v>6.3732040660221728E-2</v>
      </c>
      <c r="F24" s="20">
        <f>I24/D24</f>
        <v>49.389831155145799</v>
      </c>
      <c r="G24" s="19">
        <f>F24/C24-1</f>
        <v>-1.4228090107713753E-2</v>
      </c>
      <c r="H24" s="18">
        <f>SUM(H21:H23)</f>
        <v>69297.039999999994</v>
      </c>
      <c r="I24" s="18">
        <f>SUM(I21:I23)</f>
        <v>68311.075470682146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</v>
      </c>
      <c r="D26" s="30">
        <f>2433.9+1679</f>
        <v>4112.8999999999996</v>
      </c>
      <c r="E26" s="29">
        <f t="shared" ref="E26:E32" si="7">D26/$D$48</f>
        <v>0.18951884175506178</v>
      </c>
      <c r="F26" s="28">
        <f t="shared" ref="F26:F31" si="8">C26-(C26*$E$6)</f>
        <v>37.45933257590687</v>
      </c>
      <c r="G26" s="27" t="str">
        <f t="shared" ref="G26:G31" si="9">IF(C26&gt;=F26,"-","+")</f>
        <v>-</v>
      </c>
      <c r="H26" s="26">
        <f t="shared" ref="H26:H31" si="10">C26*D26</f>
        <v>156290.19999999998</v>
      </c>
      <c r="I26" s="26">
        <f t="shared" ref="I26:I31" si="11">F26*D26</f>
        <v>154066.48895144736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f>1902.4+1631-160</f>
        <v>3373.4</v>
      </c>
      <c r="E27" s="29">
        <f t="shared" si="7"/>
        <v>0.15544332728160798</v>
      </c>
      <c r="F27" s="28">
        <f t="shared" si="8"/>
        <v>33.319090554359271</v>
      </c>
      <c r="G27" s="27" t="str">
        <f t="shared" si="9"/>
        <v>-</v>
      </c>
      <c r="H27" s="26">
        <f t="shared" si="10"/>
        <v>114020.92</v>
      </c>
      <c r="I27" s="26">
        <f t="shared" si="11"/>
        <v>112398.62007607556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f>1182+1100</f>
        <v>2282</v>
      </c>
      <c r="E28" s="29">
        <f t="shared" si="7"/>
        <v>0.105152567989752</v>
      </c>
      <c r="F28" s="28">
        <f t="shared" si="8"/>
        <v>33.319090554359271</v>
      </c>
      <c r="G28" s="27" t="str">
        <f t="shared" si="9"/>
        <v>-</v>
      </c>
      <c r="H28" s="26">
        <f t="shared" si="10"/>
        <v>77131.599999999991</v>
      </c>
      <c r="I28" s="26">
        <f t="shared" si="11"/>
        <v>76034.164645047858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32.700000000000003</v>
      </c>
      <c r="D29" s="30">
        <f>1261.1+1020</f>
        <v>2281.1</v>
      </c>
      <c r="E29" s="29">
        <f t="shared" si="7"/>
        <v>0.10511109677538269</v>
      </c>
      <c r="F29" s="28">
        <f t="shared" si="8"/>
        <v>32.23474145347776</v>
      </c>
      <c r="G29" s="27" t="str">
        <f t="shared" si="9"/>
        <v>-</v>
      </c>
      <c r="H29" s="26">
        <f t="shared" si="10"/>
        <v>74591.97</v>
      </c>
      <c r="I29" s="26">
        <f t="shared" si="11"/>
        <v>73530.668729528115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32.700000000000003</v>
      </c>
      <c r="D30" s="30">
        <f>770.7+700</f>
        <v>1470.7</v>
      </c>
      <c r="E30" s="29">
        <f t="shared" si="7"/>
        <v>6.7768572192168391E-2</v>
      </c>
      <c r="F30" s="28">
        <f t="shared" si="8"/>
        <v>32.23474145347776</v>
      </c>
      <c r="G30" s="27" t="str">
        <f t="shared" si="9"/>
        <v>-</v>
      </c>
      <c r="H30" s="26">
        <f t="shared" si="10"/>
        <v>48091.890000000007</v>
      </c>
      <c r="I30" s="26">
        <f t="shared" si="11"/>
        <v>47407.634255629746</v>
      </c>
      <c r="J30" s="25"/>
      <c r="K30" s="25"/>
    </row>
    <row r="31" spans="1:11" ht="15.75" thickBot="1" x14ac:dyDescent="0.3">
      <c r="A31" s="25" t="s">
        <v>45</v>
      </c>
      <c r="B31" s="32">
        <v>1.175</v>
      </c>
      <c r="C31" s="31">
        <f t="shared" si="6"/>
        <v>33.299999999999997</v>
      </c>
      <c r="D31" s="30">
        <f>361.7+150</f>
        <v>511.7</v>
      </c>
      <c r="E31" s="29">
        <f t="shared" si="7"/>
        <v>2.3578689325309422E-2</v>
      </c>
      <c r="F31" s="28">
        <f t="shared" si="8"/>
        <v>32.826204599413124</v>
      </c>
      <c r="G31" s="27" t="str">
        <f t="shared" si="9"/>
        <v>-</v>
      </c>
      <c r="H31" s="26">
        <f t="shared" si="10"/>
        <v>17039.609999999997</v>
      </c>
      <c r="I31" s="26">
        <f t="shared" si="11"/>
        <v>16797.168893519694</v>
      </c>
      <c r="J31" s="25"/>
      <c r="K31" s="25"/>
    </row>
    <row r="32" spans="1:11" ht="15.75" thickBot="1" x14ac:dyDescent="0.3">
      <c r="A32" s="24" t="s">
        <v>34</v>
      </c>
      <c r="B32" s="23"/>
      <c r="C32" s="20">
        <f>H32/D32</f>
        <v>34.718723898573231</v>
      </c>
      <c r="D32" s="22">
        <f>SUM(D26:D31)</f>
        <v>14031.800000000001</v>
      </c>
      <c r="E32" s="21">
        <f t="shared" si="7"/>
        <v>0.64657309531928231</v>
      </c>
      <c r="F32" s="20">
        <f>I32/D32</f>
        <v>34.224742766519498</v>
      </c>
      <c r="G32" s="19">
        <f>F32/C32-1</f>
        <v>-1.4228090107713753E-2</v>
      </c>
      <c r="H32" s="18">
        <f>SUM(H26:H31)</f>
        <v>487166.18999999994</v>
      </c>
      <c r="I32" s="18">
        <f>SUM(I26:I31)</f>
        <v>480234.74555124831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f>1561.3+1575</f>
        <v>3136.3</v>
      </c>
      <c r="E34" s="29">
        <f t="shared" ref="E34:E40" si="13">D34/$D$48</f>
        <v>0.14451796625164734</v>
      </c>
      <c r="F34" s="28">
        <f t="shared" ref="F34:F39" si="14">C34-(C34*$E$6)</f>
        <v>19.715438197845721</v>
      </c>
      <c r="G34" s="27" t="str">
        <f t="shared" ref="G34:G39" si="15">IF(C34&gt;=F34,"-","+")</f>
        <v>-</v>
      </c>
      <c r="H34" s="26">
        <f t="shared" ref="H34:H39" si="16">C34*D34</f>
        <v>62726</v>
      </c>
      <c r="I34" s="26">
        <f t="shared" ref="I34:I39" si="17">F34*D34</f>
        <v>61833.528819903535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15.180887412341207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12.223571682664348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32.700000000000003</v>
      </c>
      <c r="D37" s="30"/>
      <c r="E37" s="29">
        <f t="shared" si="13"/>
        <v>0</v>
      </c>
      <c r="F37" s="28">
        <f t="shared" si="14"/>
        <v>32.23474145347776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32.700000000000003</v>
      </c>
      <c r="D38" s="30"/>
      <c r="E38" s="29">
        <f t="shared" si="13"/>
        <v>0</v>
      </c>
      <c r="F38" s="28">
        <f t="shared" si="14"/>
        <v>32.23474145347776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ht="15.75" thickBot="1" x14ac:dyDescent="0.3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33.319090554359271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ht="15.75" thickBot="1" x14ac:dyDescent="0.3">
      <c r="A40" s="24" t="s">
        <v>34</v>
      </c>
      <c r="B40" s="23"/>
      <c r="C40" s="20">
        <f>H40/D40</f>
        <v>20</v>
      </c>
      <c r="D40" s="22">
        <f>SUM(D34:D39)</f>
        <v>3136.3</v>
      </c>
      <c r="E40" s="113">
        <f t="shared" si="13"/>
        <v>0.14451796625164734</v>
      </c>
      <c r="F40" s="20">
        <f>I40/D40</f>
        <v>19.715438197845721</v>
      </c>
      <c r="G40" s="19">
        <f>F40/C40-1</f>
        <v>-1.4228090107713975E-2</v>
      </c>
      <c r="H40" s="18">
        <f>SUM(H34:H39)</f>
        <v>62726</v>
      </c>
      <c r="I40" s="18">
        <f>SUM(I34:I39)</f>
        <v>61833.528819903535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3015</v>
      </c>
      <c r="E42" s="107">
        <f>D42/$D$48</f>
        <v>0.13892856813720522</v>
      </c>
      <c r="F42" s="28">
        <f>C42-(C42*$E$6)</f>
        <v>0.49288595494614307</v>
      </c>
      <c r="G42" s="27" t="str">
        <f>IF(C42&gt;=F42,"-","+")</f>
        <v>-</v>
      </c>
      <c r="H42" s="26">
        <f>C42*D42</f>
        <v>1507.5</v>
      </c>
      <c r="I42" s="26">
        <f>F42*D42</f>
        <v>1486.0511541626213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f>88.6+40</f>
        <v>128.6</v>
      </c>
      <c r="E43" s="107">
        <f>D43/$D$48</f>
        <v>5.9257757421043418E-3</v>
      </c>
      <c r="F43" s="28">
        <f>C43-(C43*$E$6)</f>
        <v>0.49288595494614307</v>
      </c>
      <c r="G43" s="27" t="str">
        <f>IF(C43&gt;=F43,"-","+")</f>
        <v>-</v>
      </c>
      <c r="H43" s="26">
        <f>C43*D43</f>
        <v>64.3</v>
      </c>
      <c r="I43" s="26">
        <f>F43*D43</f>
        <v>63.385133806073995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7</v>
      </c>
      <c r="E45" s="107">
        <f>D45/$D$48</f>
        <v>3.2255388953911657E-4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ht="15.75" thickBot="1" x14ac:dyDescent="0.3">
      <c r="A46" s="24" t="s">
        <v>34</v>
      </c>
      <c r="B46" s="23"/>
      <c r="C46" s="20">
        <f>H46/D46</f>
        <v>0.49888910048879581</v>
      </c>
      <c r="D46" s="22">
        <f>SUM(D41:D45)</f>
        <v>3150.6</v>
      </c>
      <c r="E46" s="113">
        <f>D46/$D$48</f>
        <v>0.14517689776884868</v>
      </c>
      <c r="F46" s="20">
        <f>I46/D46</f>
        <v>0.49179086141328487</v>
      </c>
      <c r="G46" s="19">
        <f>F46/C46-1</f>
        <v>-1.4228090107713975E-2</v>
      </c>
      <c r="H46" s="18">
        <f>SUM(H41:H44)</f>
        <v>1571.8</v>
      </c>
      <c r="I46" s="18">
        <f>SUM(I41:I44)</f>
        <v>1549.4362879686953</v>
      </c>
      <c r="J46" s="17"/>
      <c r="K46" s="17"/>
    </row>
    <row r="47" spans="1:11" ht="15.75" thickBot="1" x14ac:dyDescent="0.3">
      <c r="E47" s="16"/>
    </row>
    <row r="48" spans="1:11" ht="15.75" thickBot="1" x14ac:dyDescent="0.3">
      <c r="A48" s="10" t="s">
        <v>58</v>
      </c>
      <c r="B48" s="15"/>
      <c r="C48" s="11">
        <f>C24+C32+C40+C46</f>
        <v>105.32030983949294</v>
      </c>
      <c r="D48" s="13">
        <f>D24+D32+D40+D46</f>
        <v>21701.8</v>
      </c>
      <c r="E48" s="12">
        <f>SUM(E20:E46)/2</f>
        <v>1</v>
      </c>
      <c r="F48" s="11">
        <f>I48/D48</f>
        <v>28.197144298159724</v>
      </c>
      <c r="G48" s="10"/>
      <c r="H48" s="9">
        <f>SUM(H20:H46)/2</f>
        <v>620761.03</v>
      </c>
      <c r="I48" s="9">
        <f>SUM(I20:I46)/2</f>
        <v>611928.7861298027</v>
      </c>
      <c r="J48" s="8"/>
      <c r="K48" s="8"/>
    </row>
    <row r="49" spans="1:11" ht="15.75" thickBot="1" x14ac:dyDescent="0.3">
      <c r="E49" s="16"/>
    </row>
    <row r="50" spans="1:11" ht="15.75" thickBot="1" x14ac:dyDescent="0.3">
      <c r="A50" s="10" t="s">
        <v>59</v>
      </c>
      <c r="B50" s="15"/>
      <c r="C50" s="14"/>
      <c r="D50" s="13">
        <f>SUM(D10:D47)/2</f>
        <v>25341.000000000004</v>
      </c>
      <c r="E50" s="12">
        <f>D50/G2</f>
        <v>1.0000157849458973</v>
      </c>
      <c r="F50" s="11">
        <f>I50/D50</f>
        <v>28.299553293082351</v>
      </c>
      <c r="G50" s="10"/>
      <c r="H50" s="9">
        <f>H48+H19</f>
        <v>727489.77</v>
      </c>
      <c r="I50" s="9">
        <f>I48+I19</f>
        <v>717138.98</v>
      </c>
      <c r="J50" s="106">
        <f>D50-G2</f>
        <v>0.40000000000509317</v>
      </c>
      <c r="K50" s="8"/>
    </row>
    <row r="51" spans="1:11" ht="23.25" x14ac:dyDescent="0.35">
      <c r="A51" s="174" t="s">
        <v>617</v>
      </c>
      <c r="B51" s="169"/>
      <c r="C51" s="170"/>
      <c r="G51" s="7"/>
      <c r="H51" s="6"/>
      <c r="I51" s="6">
        <f>+I50/D50</f>
        <v>28.299553293082351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>
    <tabColor rgb="FF92D050"/>
  </sheetPr>
  <dimension ref="A1:L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 bestFit="1"/>
  </cols>
  <sheetData>
    <row r="1" spans="1:12" ht="16.5" thickBot="1" x14ac:dyDescent="0.3">
      <c r="A1" s="103" t="s">
        <v>0</v>
      </c>
      <c r="B1" s="102"/>
      <c r="C1" s="101" t="s">
        <v>613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616</v>
      </c>
      <c r="D2" s="96" t="s">
        <v>3</v>
      </c>
      <c r="E2" s="95" t="s">
        <v>112</v>
      </c>
      <c r="F2" s="94" t="s">
        <v>5</v>
      </c>
      <c r="G2" s="116">
        <v>9858.7999999999993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156</v>
      </c>
      <c r="F3" s="88" t="s">
        <v>8</v>
      </c>
      <c r="G3" s="87">
        <v>24.97</v>
      </c>
      <c r="H3" s="62"/>
      <c r="I3" s="62"/>
      <c r="J3" s="61"/>
      <c r="K3" s="61"/>
    </row>
    <row r="4" spans="1:12" ht="16.5" thickBot="1" x14ac:dyDescent="0.3">
      <c r="A4" s="86" t="s">
        <v>9</v>
      </c>
      <c r="B4" s="85"/>
      <c r="C4" s="84">
        <v>7</v>
      </c>
      <c r="D4" s="83" t="s">
        <v>11</v>
      </c>
      <c r="E4" s="82">
        <f>G2/E3</f>
        <v>63.197435897435895</v>
      </c>
      <c r="F4" s="81" t="s">
        <v>12</v>
      </c>
      <c r="G4" s="80">
        <f>G2*G3</f>
        <v>246174.23599999998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-6.8598326283550559E-2</v>
      </c>
      <c r="F6" s="69" t="s">
        <v>16</v>
      </c>
      <c r="G6" s="68">
        <f>(I50-I19)/(D50-(SUM(D42:D44)+D19))</f>
        <v>32.013086946344508</v>
      </c>
    </row>
    <row r="7" spans="1:12" ht="16.5" thickBot="1" x14ac:dyDescent="0.3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26.714958157088763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27.783556483372315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25.432640165548506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27.783556483372315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 t="e">
        <f t="shared" si="1"/>
        <v>#DIV/0!</v>
      </c>
      <c r="F14" s="28">
        <f t="shared" si="2"/>
        <v>31.096211294851322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25.646359830805213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32.799999999999997</v>
      </c>
      <c r="D16" s="30"/>
      <c r="E16" s="29" t="e">
        <f t="shared" si="1"/>
        <v>#DIV/0!</v>
      </c>
      <c r="F16" s="28">
        <f t="shared" si="2"/>
        <v>35.050025102100456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/>
      <c r="E17" s="29" t="e">
        <f t="shared" si="1"/>
        <v>#DIV/0!</v>
      </c>
      <c r="F17" s="28">
        <f t="shared" si="2"/>
        <v>51.61329915949549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ht="15.75" thickBot="1" x14ac:dyDescent="0.3">
      <c r="A18" s="25" t="s">
        <v>33</v>
      </c>
      <c r="B18" s="32">
        <v>1.6942143999999999</v>
      </c>
      <c r="C18" s="31">
        <f t="shared" si="0"/>
        <v>42.3</v>
      </c>
      <c r="D18" s="30"/>
      <c r="E18" s="29" t="e">
        <f t="shared" si="1"/>
        <v>#DIV/0!</v>
      </c>
      <c r="F18" s="28">
        <f t="shared" si="2"/>
        <v>45.201709201794188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ht="16.5" thickTop="1" thickBot="1" x14ac:dyDescent="0.3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ht="15.75" thickTop="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62.8</v>
      </c>
      <c r="D21" s="30">
        <v>126.1</v>
      </c>
      <c r="E21" s="29">
        <f>D21/$D$48</f>
        <v>1.2790603318862337E-2</v>
      </c>
      <c r="F21" s="28">
        <f>C21-(C21*$E$6)</f>
        <v>67.107974890606968</v>
      </c>
      <c r="G21" s="27" t="str">
        <f>IF(C21&gt;=F21,"-","+")</f>
        <v>+</v>
      </c>
      <c r="H21" s="26">
        <f>C21*D21</f>
        <v>7919.079999999999</v>
      </c>
      <c r="I21" s="26">
        <f>F21*D21</f>
        <v>8462.3156337055389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261.60000000000002</v>
      </c>
      <c r="E22" s="29">
        <f>D22/$D$48</f>
        <v>2.6534669533817508E-2</v>
      </c>
      <c r="F22" s="28">
        <f>C22-(C22*$E$6)</f>
        <v>45.094849369165836</v>
      </c>
      <c r="G22" s="27" t="str">
        <f>IF(C22&gt;=F22,"-","+")</f>
        <v>+</v>
      </c>
      <c r="H22" s="26">
        <f>C22*D22</f>
        <v>11039.520000000002</v>
      </c>
      <c r="I22" s="26">
        <f>F22*D22</f>
        <v>11796.812594973784</v>
      </c>
      <c r="J22" s="25"/>
      <c r="K22" s="25"/>
    </row>
    <row r="23" spans="1:11" ht="15.75" thickBot="1" x14ac:dyDescent="0.3">
      <c r="A23" s="25" t="s">
        <v>38</v>
      </c>
      <c r="B23" s="32">
        <v>1.54</v>
      </c>
      <c r="C23" s="31">
        <f>ROUND($G$3*B23,1)</f>
        <v>38.5</v>
      </c>
      <c r="D23" s="30">
        <v>176.1</v>
      </c>
      <c r="E23" s="29">
        <f>D23/$D$48</f>
        <v>1.7862214468292288E-2</v>
      </c>
      <c r="F23" s="28">
        <f>C23-(C23*$E$6)</f>
        <v>41.141035561916695</v>
      </c>
      <c r="G23" s="27" t="str">
        <f>IF(C23&gt;=F23,"-","+")</f>
        <v>+</v>
      </c>
      <c r="H23" s="26">
        <f>C23*D23</f>
        <v>6779.8499999999995</v>
      </c>
      <c r="I23" s="26">
        <f>F23*D23</f>
        <v>7244.9363624535299</v>
      </c>
      <c r="J23" s="25"/>
      <c r="K23" s="25"/>
    </row>
    <row r="24" spans="1:11" ht="15.75" thickBot="1" x14ac:dyDescent="0.3">
      <c r="A24" s="24" t="s">
        <v>34</v>
      </c>
      <c r="B24" s="23"/>
      <c r="C24" s="20">
        <f>H24/D24</f>
        <v>45.65173820503724</v>
      </c>
      <c r="D24" s="22">
        <f>SUM(D21:D23)</f>
        <v>563.80000000000007</v>
      </c>
      <c r="E24" s="21">
        <f>D24/$D$48</f>
        <v>5.718748732097214E-2</v>
      </c>
      <c r="F24" s="20">
        <f>I24/D24</f>
        <v>48.783371037837611</v>
      </c>
      <c r="G24" s="19">
        <f>F24/C24-1</f>
        <v>6.8598326283550559E-2</v>
      </c>
      <c r="H24" s="18">
        <f>SUM(H21:H23)</f>
        <v>25738.45</v>
      </c>
      <c r="I24" s="18">
        <f>SUM(I21:I23)</f>
        <v>27504.06459113285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v>2132.1</v>
      </c>
      <c r="E26" s="29">
        <f t="shared" ref="E26:E32" si="7">D26/$D$48</f>
        <v>0.21626364263399198</v>
      </c>
      <c r="F26" s="28">
        <f t="shared" ref="F26:F31" si="8">C26-(C26*$E$6)</f>
        <v>35.798043930498942</v>
      </c>
      <c r="G26" s="27" t="str">
        <f t="shared" ref="G26:G31" si="9">IF(C26&gt;=F26,"-","+")</f>
        <v>+</v>
      </c>
      <c r="H26" s="26">
        <f t="shared" ref="H26:H31" si="10">C26*D26</f>
        <v>71425.349999999991</v>
      </c>
      <c r="I26" s="26">
        <f t="shared" ref="I26:I31" si="11">F26*D26</f>
        <v>76325.009464216797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29.8</v>
      </c>
      <c r="D27" s="30">
        <v>1294.5999999999999</v>
      </c>
      <c r="E27" s="29">
        <f t="shared" si="7"/>
        <v>0.13131415588104028</v>
      </c>
      <c r="F27" s="28">
        <f t="shared" si="8"/>
        <v>31.844230123249808</v>
      </c>
      <c r="G27" s="27" t="str">
        <f t="shared" si="9"/>
        <v>+</v>
      </c>
      <c r="H27" s="26">
        <f t="shared" si="10"/>
        <v>38579.08</v>
      </c>
      <c r="I27" s="26">
        <f t="shared" si="11"/>
        <v>41225.5403175592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29.8</v>
      </c>
      <c r="D28" s="30">
        <v>837.8</v>
      </c>
      <c r="E28" s="29">
        <f t="shared" si="7"/>
        <v>8.4979916419848256E-2</v>
      </c>
      <c r="F28" s="28">
        <f t="shared" si="8"/>
        <v>31.844230123249808</v>
      </c>
      <c r="G28" s="27" t="str">
        <f t="shared" si="9"/>
        <v>+</v>
      </c>
      <c r="H28" s="26">
        <f t="shared" si="10"/>
        <v>24966.44</v>
      </c>
      <c r="I28" s="26">
        <f t="shared" si="11"/>
        <v>26679.095997258686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28.8</v>
      </c>
      <c r="D29" s="30">
        <v>851</v>
      </c>
      <c r="E29" s="29">
        <f t="shared" si="7"/>
        <v>8.6318821763297776E-2</v>
      </c>
      <c r="F29" s="28">
        <f t="shared" si="8"/>
        <v>30.775631796966255</v>
      </c>
      <c r="G29" s="27" t="str">
        <f t="shared" si="9"/>
        <v>+</v>
      </c>
      <c r="H29" s="26">
        <f t="shared" si="10"/>
        <v>24508.799999999999</v>
      </c>
      <c r="I29" s="26">
        <f t="shared" si="11"/>
        <v>26190.062659218282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28.8</v>
      </c>
      <c r="D30" s="30">
        <v>635.5</v>
      </c>
      <c r="E30" s="29">
        <f t="shared" si="7"/>
        <v>6.4460177709254676E-2</v>
      </c>
      <c r="F30" s="28">
        <f t="shared" si="8"/>
        <v>30.775631796966255</v>
      </c>
      <c r="G30" s="27" t="str">
        <f t="shared" si="9"/>
        <v>+</v>
      </c>
      <c r="H30" s="26">
        <f t="shared" si="10"/>
        <v>18302.400000000001</v>
      </c>
      <c r="I30" s="26">
        <f t="shared" si="11"/>
        <v>19557.914006972056</v>
      </c>
      <c r="J30" s="25"/>
      <c r="K30" s="25"/>
    </row>
    <row r="31" spans="1:11" ht="15.75" thickBot="1" x14ac:dyDescent="0.3">
      <c r="A31" s="25" t="s">
        <v>45</v>
      </c>
      <c r="B31" s="32">
        <v>1.175</v>
      </c>
      <c r="C31" s="31">
        <f t="shared" si="6"/>
        <v>29.3</v>
      </c>
      <c r="D31" s="30">
        <v>159.19999999999999</v>
      </c>
      <c r="E31" s="29">
        <f t="shared" si="7"/>
        <v>1.6148009899784963E-2</v>
      </c>
      <c r="F31" s="28">
        <f t="shared" si="8"/>
        <v>31.309930960108034</v>
      </c>
      <c r="G31" s="27" t="str">
        <f t="shared" si="9"/>
        <v>+</v>
      </c>
      <c r="H31" s="26">
        <f t="shared" si="10"/>
        <v>4664.5599999999995</v>
      </c>
      <c r="I31" s="26">
        <f t="shared" si="11"/>
        <v>4984.541008849199</v>
      </c>
      <c r="J31" s="25"/>
      <c r="K31" s="25"/>
    </row>
    <row r="32" spans="1:11" ht="15.75" thickBot="1" x14ac:dyDescent="0.3">
      <c r="A32" s="24" t="s">
        <v>34</v>
      </c>
      <c r="B32" s="23"/>
      <c r="C32" s="20">
        <f>H32/D32</f>
        <v>30.869789516429222</v>
      </c>
      <c r="D32" s="22">
        <f>SUM(D26:D31)</f>
        <v>5910.2</v>
      </c>
      <c r="E32" s="21">
        <f t="shared" si="7"/>
        <v>0.599484724307218</v>
      </c>
      <c r="F32" s="20">
        <f>I32/D32</f>
        <v>32.987405409981761</v>
      </c>
      <c r="G32" s="19">
        <f>F32/C32-1</f>
        <v>6.8598326283550559E-2</v>
      </c>
      <c r="H32" s="18">
        <f>SUM(H26:H31)</f>
        <v>182446.62999999998</v>
      </c>
      <c r="I32" s="18">
        <f>SUM(I26:I31)</f>
        <v>194962.16345407421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v>1211.5999999999999</v>
      </c>
      <c r="E34" s="29">
        <f t="shared" ref="E34:E40" si="13">D34/$D$48</f>
        <v>0.12289528137298657</v>
      </c>
      <c r="F34" s="28">
        <f t="shared" ref="F34:F39" si="14">C34-(C34*$E$6)</f>
        <v>18.807330542590492</v>
      </c>
      <c r="G34" s="27" t="str">
        <f t="shared" ref="G34:G39" si="15">IF(C34&gt;=F34,"-","+")</f>
        <v>+</v>
      </c>
      <c r="H34" s="26">
        <f t="shared" ref="H34:H39" si="16">C34*D34</f>
        <v>21324.16</v>
      </c>
      <c r="I34" s="26">
        <f t="shared" ref="I34:I39" si="17">F34*D34</f>
        <v>22786.961685402639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/>
      <c r="E35" s="29">
        <f t="shared" si="13"/>
        <v>0</v>
      </c>
      <c r="F35" s="28">
        <f t="shared" si="14"/>
        <v>14.532937237456288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11.647721756490702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28.8</v>
      </c>
      <c r="D37" s="30"/>
      <c r="E37" s="29">
        <f t="shared" si="13"/>
        <v>0</v>
      </c>
      <c r="F37" s="28">
        <f t="shared" si="14"/>
        <v>30.775631796966255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28.8</v>
      </c>
      <c r="D38" s="30"/>
      <c r="E38" s="29">
        <f t="shared" si="13"/>
        <v>0</v>
      </c>
      <c r="F38" s="28">
        <f t="shared" si="14"/>
        <v>30.775631796966255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ht="15.75" thickBot="1" x14ac:dyDescent="0.3">
      <c r="A39" s="25" t="s">
        <v>52</v>
      </c>
      <c r="B39" s="32">
        <v>1.1950000000000001</v>
      </c>
      <c r="C39" s="31">
        <f t="shared" si="12"/>
        <v>29.8</v>
      </c>
      <c r="D39" s="30"/>
      <c r="E39" s="29">
        <f t="shared" si="13"/>
        <v>0</v>
      </c>
      <c r="F39" s="28">
        <f t="shared" si="14"/>
        <v>31.844230123249808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ht="15.75" thickBot="1" x14ac:dyDescent="0.3">
      <c r="A40" s="24" t="s">
        <v>34</v>
      </c>
      <c r="B40" s="23"/>
      <c r="C40" s="20">
        <f>H40/D40</f>
        <v>17.600000000000001</v>
      </c>
      <c r="D40" s="22">
        <f>SUM(D34:D39)</f>
        <v>1211.5999999999999</v>
      </c>
      <c r="E40" s="113">
        <f t="shared" si="13"/>
        <v>0.12289528137298657</v>
      </c>
      <c r="F40" s="20">
        <f>I40/D40</f>
        <v>18.807330542590492</v>
      </c>
      <c r="G40" s="19">
        <f>F40/C40-1</f>
        <v>6.8598326283550559E-2</v>
      </c>
      <c r="H40" s="18">
        <f>SUM(H34:H39)</f>
        <v>21324.16</v>
      </c>
      <c r="I40" s="18">
        <f>SUM(I34:I39)</f>
        <v>22786.961685402639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2057</v>
      </c>
      <c r="E42" s="107">
        <f>D42/$D$48</f>
        <v>0.2086460826875482</v>
      </c>
      <c r="F42" s="28">
        <f>C42-(C42*$E$6)</f>
        <v>0.42743933051342026</v>
      </c>
      <c r="G42" s="27" t="str">
        <f>IF(C42&gt;=F42,"-","+")</f>
        <v>+</v>
      </c>
      <c r="H42" s="26">
        <f>C42*D42</f>
        <v>822.80000000000007</v>
      </c>
      <c r="I42" s="26">
        <f>F42*D42</f>
        <v>879.24270286610545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97.8</v>
      </c>
      <c r="E43" s="107">
        <f>D43/$D$48</f>
        <v>9.9200714082849847E-3</v>
      </c>
      <c r="F43" s="28">
        <f>C43-(C43*$E$6)</f>
        <v>0.42743933051342026</v>
      </c>
      <c r="G43" s="27" t="str">
        <f>IF(C43&gt;=F43,"-","+")</f>
        <v>+</v>
      </c>
      <c r="H43" s="26">
        <f>C43*D43</f>
        <v>39.120000000000005</v>
      </c>
      <c r="I43" s="26">
        <f>F43*D43</f>
        <v>41.803566524212499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14.2</v>
      </c>
      <c r="E44" s="107">
        <f>D44/$D$48</f>
        <v>1.4403375664381061E-3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4.2</v>
      </c>
      <c r="E45" s="107">
        <f>D45/$D$48</f>
        <v>4.2601533655211595E-4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ht="15.75" thickBot="1" x14ac:dyDescent="0.3">
      <c r="A46" s="24" t="s">
        <v>34</v>
      </c>
      <c r="B46" s="23"/>
      <c r="C46" s="20">
        <f>H46/D46</f>
        <v>0.39661328915884414</v>
      </c>
      <c r="D46" s="22">
        <f>SUM(D41:D45)</f>
        <v>2173.1999999999998</v>
      </c>
      <c r="E46" s="113">
        <f>D46/$D$48</f>
        <v>0.22043250699882339</v>
      </c>
      <c r="F46" s="20">
        <f>I46/D46</f>
        <v>0.42382029697695478</v>
      </c>
      <c r="G46" s="19">
        <f>F46/C46-1</f>
        <v>6.8598326283550781E-2</v>
      </c>
      <c r="H46" s="18">
        <f>SUM(H41:H44)</f>
        <v>861.92000000000007</v>
      </c>
      <c r="I46" s="18">
        <f>SUM(I41:I44)</f>
        <v>921.046269390318</v>
      </c>
      <c r="J46" s="17"/>
      <c r="K46" s="17"/>
    </row>
    <row r="47" spans="1:11" ht="15.75" thickBot="1" x14ac:dyDescent="0.3">
      <c r="E47" s="16"/>
    </row>
    <row r="48" spans="1:11" ht="15.75" thickBot="1" x14ac:dyDescent="0.3">
      <c r="A48" s="10" t="s">
        <v>58</v>
      </c>
      <c r="B48" s="15"/>
      <c r="C48" s="11">
        <f>C24+C32+C40+C46</f>
        <v>94.518141010625314</v>
      </c>
      <c r="D48" s="13">
        <f>D24+D32+D40+D46</f>
        <v>9858.7999999999993</v>
      </c>
      <c r="E48" s="12">
        <f>SUM(E20:E46)/2</f>
        <v>1</v>
      </c>
      <c r="F48" s="11">
        <f>I48/D48</f>
        <v>24.970000000000006</v>
      </c>
      <c r="G48" s="10"/>
      <c r="H48" s="9">
        <f>SUM(H20:H46)/2</f>
        <v>230371.15999999995</v>
      </c>
      <c r="I48" s="9">
        <f>SUM(I20:I46)/2</f>
        <v>246174.23600000003</v>
      </c>
      <c r="J48" s="8"/>
      <c r="K48" s="8"/>
    </row>
    <row r="49" spans="1:11" ht="15.75" thickBot="1" x14ac:dyDescent="0.3">
      <c r="E49" s="16"/>
    </row>
    <row r="50" spans="1:11" ht="15.75" thickBot="1" x14ac:dyDescent="0.3">
      <c r="A50" s="10" t="s">
        <v>59</v>
      </c>
      <c r="B50" s="15"/>
      <c r="C50" s="14"/>
      <c r="D50" s="13">
        <f>SUM(D10:D47)/2</f>
        <v>9858.8000000000011</v>
      </c>
      <c r="E50" s="12">
        <f>D50/G2</f>
        <v>1.0000000000000002</v>
      </c>
      <c r="F50" s="11">
        <f>I50/D50</f>
        <v>24.97</v>
      </c>
      <c r="G50" s="10"/>
      <c r="H50" s="9">
        <f>H48+H19</f>
        <v>230371.15999999995</v>
      </c>
      <c r="I50" s="9">
        <f>I48+I19</f>
        <v>246174.23600000003</v>
      </c>
      <c r="J50" s="106">
        <f>D50-G2</f>
        <v>0</v>
      </c>
      <c r="K50" s="8"/>
    </row>
    <row r="51" spans="1:11" ht="23.25" x14ac:dyDescent="0.35">
      <c r="A51" s="174" t="s">
        <v>618</v>
      </c>
      <c r="B51" s="169"/>
      <c r="C51" s="170"/>
      <c r="G51" s="7"/>
      <c r="H51" s="6"/>
      <c r="I51" s="6">
        <f>+I50/D50</f>
        <v>24.97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616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616</v>
      </c>
      <c r="D2" s="96" t="s">
        <v>3</v>
      </c>
      <c r="E2" s="95" t="s">
        <v>71</v>
      </c>
      <c r="F2" s="94" t="s">
        <v>5</v>
      </c>
      <c r="G2" s="93">
        <v>24274.7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324</v>
      </c>
      <c r="F3" s="88" t="s">
        <v>8</v>
      </c>
      <c r="G3" s="87">
        <v>28.5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74.921913580246922</v>
      </c>
      <c r="F4" s="81" t="s">
        <v>12</v>
      </c>
      <c r="G4" s="80">
        <f>G2*G3</f>
        <v>691828.95000000007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-9.021982559468622E-3</v>
      </c>
      <c r="F6" s="69" t="s">
        <v>16</v>
      </c>
      <c r="G6" s="68">
        <f>(I50-I19)/(D50-(SUM(D42:D44)+D19))</f>
        <v>33.756746147559952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28.757126502944857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29.7</v>
      </c>
      <c r="D11" s="30"/>
      <c r="E11" s="29">
        <f t="shared" si="1"/>
        <v>0</v>
      </c>
      <c r="F11" s="28">
        <f t="shared" si="2"/>
        <v>29.967952882016217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/>
      <c r="E12" s="29">
        <f t="shared" si="1"/>
        <v>0</v>
      </c>
      <c r="F12" s="28">
        <f t="shared" si="2"/>
        <v>27.344495727361601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29.7</v>
      </c>
      <c r="D13" s="30"/>
      <c r="E13" s="29">
        <f t="shared" si="1"/>
        <v>0</v>
      </c>
      <c r="F13" s="28">
        <f t="shared" si="2"/>
        <v>29.967952882016217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33.200000000000003</v>
      </c>
      <c r="D14" s="30">
        <v>73.599999999999994</v>
      </c>
      <c r="E14" s="29">
        <f t="shared" si="1"/>
        <v>0.34137291280148419</v>
      </c>
      <c r="F14" s="28">
        <f t="shared" si="2"/>
        <v>33.499529820974359</v>
      </c>
      <c r="G14" s="27" t="str">
        <f t="shared" si="3"/>
        <v>+</v>
      </c>
      <c r="H14" s="34">
        <f t="shared" si="4"/>
        <v>2443.52</v>
      </c>
      <c r="I14" s="34">
        <f t="shared" si="5"/>
        <v>2465.5653948237127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27.4</v>
      </c>
      <c r="D15" s="30">
        <v>142</v>
      </c>
      <c r="E15" s="29">
        <f t="shared" si="1"/>
        <v>0.65862708719851581</v>
      </c>
      <c r="F15" s="28">
        <f t="shared" si="2"/>
        <v>27.647202322129438</v>
      </c>
      <c r="G15" s="27" t="str">
        <f t="shared" si="3"/>
        <v>+</v>
      </c>
      <c r="H15" s="34">
        <f t="shared" si="4"/>
        <v>3890.7999999999997</v>
      </c>
      <c r="I15" s="34">
        <f t="shared" si="5"/>
        <v>3925.90272974238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37.5</v>
      </c>
      <c r="D16" s="30"/>
      <c r="E16" s="29">
        <f t="shared" si="1"/>
        <v>0</v>
      </c>
      <c r="F16" s="28">
        <f t="shared" si="2"/>
        <v>37.838324345980077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>
        <f t="shared" si="1"/>
        <v>0</v>
      </c>
      <c r="F17" s="28">
        <f t="shared" si="2"/>
        <v>55.597111239026724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48.3</v>
      </c>
      <c r="D18" s="30"/>
      <c r="E18" s="29">
        <f t="shared" si="1"/>
        <v>0</v>
      </c>
      <c r="F18" s="28">
        <f t="shared" si="2"/>
        <v>48.735761757622335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29.379962894248607</v>
      </c>
      <c r="D19" s="49">
        <f>SUM(D10:D18)</f>
        <v>215.6</v>
      </c>
      <c r="E19" s="48">
        <f t="shared" si="1"/>
        <v>1</v>
      </c>
      <c r="F19" s="47">
        <f>I19/D19</f>
        <v>29.64502840707835</v>
      </c>
      <c r="G19" s="46">
        <f>F19/C19-1</f>
        <v>9.021982559468622E-3</v>
      </c>
      <c r="H19" s="9">
        <f>SUM(H10:H18)</f>
        <v>6334.32</v>
      </c>
      <c r="I19" s="9">
        <f>SUM(I10:I18)</f>
        <v>6391.4681245660922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71.7</v>
      </c>
      <c r="D21" s="30">
        <v>288.2</v>
      </c>
      <c r="E21" s="29">
        <f>D21/$D$48</f>
        <v>1.1978835451035159E-2</v>
      </c>
      <c r="F21" s="28">
        <f>C21-(C21*$E$6)</f>
        <v>72.346876149513903</v>
      </c>
      <c r="G21" s="27" t="str">
        <f>IF(C21&gt;=F21,"-","+")</f>
        <v>+</v>
      </c>
      <c r="H21" s="26">
        <f>C21*D21</f>
        <v>20663.939999999999</v>
      </c>
      <c r="I21" s="26">
        <f>F21*D21</f>
        <v>20850.369706289905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666.3</v>
      </c>
      <c r="E22" s="29">
        <f>D22/$D$48</f>
        <v>2.7694302779405714E-2</v>
      </c>
      <c r="F22" s="28">
        <f>C22-(C22*$E$6)</f>
        <v>48.533957361110446</v>
      </c>
      <c r="G22" s="27" t="str">
        <f>IF(C22&gt;=F22,"-","+")</f>
        <v>+</v>
      </c>
      <c r="H22" s="26">
        <f>C22*D22</f>
        <v>32049.03</v>
      </c>
      <c r="I22" s="26">
        <f>F22*D22</f>
        <v>32338.175789707886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43.9</v>
      </c>
      <c r="D23" s="30">
        <v>548.6</v>
      </c>
      <c r="E23" s="29">
        <f>D23/$D$48</f>
        <v>2.2802182957799753E-2</v>
      </c>
      <c r="F23" s="28">
        <f>C23-(C23*$E$6)</f>
        <v>44.296065034360673</v>
      </c>
      <c r="G23" s="27" t="str">
        <f>IF(C23&gt;=F23,"-","+")</f>
        <v>+</v>
      </c>
      <c r="H23" s="26">
        <f>C23*D23</f>
        <v>24083.54</v>
      </c>
      <c r="I23" s="26">
        <f>F23*D23</f>
        <v>24300.821277850268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51.092083028407963</v>
      </c>
      <c r="D24" s="22">
        <f>SUM(D21:D23)</f>
        <v>1503.1</v>
      </c>
      <c r="E24" s="21">
        <f>D24/$D$48</f>
        <v>6.2475321188240625E-2</v>
      </c>
      <c r="F24" s="20">
        <f>I24/D24</f>
        <v>51.553034910417182</v>
      </c>
      <c r="G24" s="19">
        <f>F24/C24-1</f>
        <v>9.021982559468622E-3</v>
      </c>
      <c r="H24" s="18">
        <f>SUM(H21:H23)</f>
        <v>76796.510000000009</v>
      </c>
      <c r="I24" s="18">
        <f>SUM(I21:I23)</f>
        <v>77489.366773848058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f>121.5+4719.3</f>
        <v>4840.8</v>
      </c>
      <c r="E26" s="29">
        <f t="shared" ref="E26:E32" si="7">D26/$D$48</f>
        <v>0.20120453383543027</v>
      </c>
      <c r="F26" s="28">
        <f t="shared" ref="F26:F31" si="8">C26-(C26*$E$6)</f>
        <v>38.544639733771703</v>
      </c>
      <c r="G26" s="27" t="str">
        <f t="shared" ref="G26:G31" si="9">IF(C26&gt;=F26,"-","+")</f>
        <v>+</v>
      </c>
      <c r="H26" s="26">
        <f t="shared" ref="H26:H31" si="10">C26*D26</f>
        <v>184918.56000000003</v>
      </c>
      <c r="I26" s="26">
        <f t="shared" ref="I26:I31" si="11">F26*D26</f>
        <v>186586.89202324208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34.1</v>
      </c>
      <c r="D27" s="30">
        <v>3456.4</v>
      </c>
      <c r="E27" s="29">
        <f t="shared" si="7"/>
        <v>0.14366289678333771</v>
      </c>
      <c r="F27" s="28">
        <f t="shared" si="8"/>
        <v>34.407649605277882</v>
      </c>
      <c r="G27" s="27" t="str">
        <f t="shared" si="9"/>
        <v>+</v>
      </c>
      <c r="H27" s="26">
        <f t="shared" si="10"/>
        <v>117863.24</v>
      </c>
      <c r="I27" s="26">
        <f t="shared" si="11"/>
        <v>118926.60009568247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34.1</v>
      </c>
      <c r="D28" s="30">
        <v>2327.1999999999998</v>
      </c>
      <c r="E28" s="29">
        <f t="shared" si="7"/>
        <v>9.6728472802390775E-2</v>
      </c>
      <c r="F28" s="28">
        <f t="shared" si="8"/>
        <v>34.407649605277882</v>
      </c>
      <c r="G28" s="27" t="str">
        <f t="shared" si="9"/>
        <v>+</v>
      </c>
      <c r="H28" s="26">
        <f t="shared" si="10"/>
        <v>79357.52</v>
      </c>
      <c r="I28" s="26">
        <f t="shared" si="11"/>
        <v>80073.482161402688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2165.8000000000002</v>
      </c>
      <c r="E29" s="29">
        <f t="shared" si="7"/>
        <v>9.0019992435294766E-2</v>
      </c>
      <c r="F29" s="28">
        <f t="shared" si="8"/>
        <v>33.196823226206519</v>
      </c>
      <c r="G29" s="27" t="str">
        <f t="shared" si="9"/>
        <v>+</v>
      </c>
      <c r="H29" s="26">
        <f t="shared" si="10"/>
        <v>71254.820000000007</v>
      </c>
      <c r="I29" s="26">
        <f t="shared" si="11"/>
        <v>71897.679743318091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1768</v>
      </c>
      <c r="E30" s="29">
        <f t="shared" si="7"/>
        <v>7.3485708110444706E-2</v>
      </c>
      <c r="F30" s="28">
        <f t="shared" si="8"/>
        <v>33.196823226206519</v>
      </c>
      <c r="G30" s="27" t="str">
        <f t="shared" si="9"/>
        <v>+</v>
      </c>
      <c r="H30" s="26">
        <f t="shared" si="10"/>
        <v>58167.199999999997</v>
      </c>
      <c r="I30" s="26">
        <f t="shared" si="11"/>
        <v>58691.983463933124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339.3</v>
      </c>
      <c r="E31" s="29">
        <f t="shared" si="7"/>
        <v>1.4102771924136814E-2</v>
      </c>
      <c r="F31" s="28">
        <f t="shared" si="8"/>
        <v>33.8022364157422</v>
      </c>
      <c r="G31" s="27" t="str">
        <f t="shared" si="9"/>
        <v>+</v>
      </c>
      <c r="H31" s="26">
        <f t="shared" si="10"/>
        <v>11366.550000000001</v>
      </c>
      <c r="I31" s="26">
        <f t="shared" si="11"/>
        <v>11469.098815861329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35.101721094143315</v>
      </c>
      <c r="D32" s="22">
        <f>SUM(D26:D31)</f>
        <v>14897.5</v>
      </c>
      <c r="E32" s="21">
        <f t="shared" si="7"/>
        <v>0.61920437589103505</v>
      </c>
      <c r="F32" s="20">
        <f>I32/D32</f>
        <v>35.418408209662005</v>
      </c>
      <c r="G32" s="19">
        <f>F32/C32-1</f>
        <v>9.021982559468622E-3</v>
      </c>
      <c r="H32" s="18">
        <f>SUM(H26:H31)</f>
        <v>522927.89000000007</v>
      </c>
      <c r="I32" s="18">
        <f>SUM(I26:I31)</f>
        <v>527645.73630343971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3759.7</v>
      </c>
      <c r="E34" s="29">
        <f t="shared" ref="E34:E40" si="13">D34/$D$48</f>
        <v>0.15626935338395867</v>
      </c>
      <c r="F34" s="28">
        <f t="shared" ref="F34:F39" si="14">C34-(C34*$E$6)</f>
        <v>20.281341849445322</v>
      </c>
      <c r="G34" s="27" t="str">
        <f t="shared" ref="G34:G39" si="15">IF(C34&gt;=F34,"-","+")</f>
        <v>+</v>
      </c>
      <c r="H34" s="26">
        <f t="shared" ref="H34:H39" si="16">C34*D34</f>
        <v>75569.97</v>
      </c>
      <c r="I34" s="26">
        <f t="shared" ref="I34:I39" si="17">F34*D34</f>
        <v>76251.760951359582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>
        <v>137.9</v>
      </c>
      <c r="E35" s="29">
        <f t="shared" si="13"/>
        <v>5.7317189753565189E-3</v>
      </c>
      <c r="F35" s="28">
        <f t="shared" si="14"/>
        <v>15.639840729671764</v>
      </c>
      <c r="G35" s="27" t="str">
        <f t="shared" si="15"/>
        <v>+</v>
      </c>
      <c r="H35" s="26">
        <f t="shared" si="16"/>
        <v>2137.4500000000003</v>
      </c>
      <c r="I35" s="26">
        <f t="shared" si="17"/>
        <v>2156.7340366217363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12.511872583737411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33.196823226206519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33.196823226206519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34.1</v>
      </c>
      <c r="D39" s="30"/>
      <c r="E39" s="29">
        <f t="shared" si="13"/>
        <v>0</v>
      </c>
      <c r="F39" s="28">
        <f t="shared" si="14"/>
        <v>34.407649605277882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19.93724856321839</v>
      </c>
      <c r="D40" s="22">
        <f>SUM(D34:D39)</f>
        <v>3897.6</v>
      </c>
      <c r="E40" s="113">
        <f t="shared" si="13"/>
        <v>0.16200107235931518</v>
      </c>
      <c r="F40" s="20">
        <f>I40/D40</f>
        <v>20.117122072039543</v>
      </c>
      <c r="G40" s="19">
        <f>F40/C40-1</f>
        <v>9.0219825594688441E-3</v>
      </c>
      <c r="H40" s="18">
        <f>SUM(H34:H39)</f>
        <v>77707.42</v>
      </c>
      <c r="I40" s="18">
        <f>SUM(I34:I39)</f>
        <v>78408.494987981321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3623</v>
      </c>
      <c r="E42" s="107">
        <f>D42/$D$48</f>
        <v>0.15058751158605269</v>
      </c>
      <c r="F42" s="28">
        <f>C42-(C42*$E$6)</f>
        <v>0.50451099127973431</v>
      </c>
      <c r="G42" s="27" t="str">
        <f>IF(C42&gt;=F42,"-","+")</f>
        <v>+</v>
      </c>
      <c r="H42" s="26">
        <f>C42*D42</f>
        <v>1811.5</v>
      </c>
      <c r="I42" s="26">
        <f>F42*D42</f>
        <v>1827.8433214064773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130.9</v>
      </c>
      <c r="E43" s="107">
        <f>D43/$D$48</f>
        <v>5.4407687735617714E-3</v>
      </c>
      <c r="F43" s="28">
        <f>C43-(C43*$E$6)</f>
        <v>0.50451099127973431</v>
      </c>
      <c r="G43" s="27" t="str">
        <f>IF(C43&gt;=F43,"-","+")</f>
        <v>+</v>
      </c>
      <c r="H43" s="26">
        <f>C43*D43</f>
        <v>65.45</v>
      </c>
      <c r="I43" s="26">
        <f>F43*D43</f>
        <v>66.040488758517228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</v>
      </c>
      <c r="E45" s="107">
        <f>D45/$D$48</f>
        <v>2.9095020179474714E-4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0.49906937169294585</v>
      </c>
      <c r="D46" s="22">
        <f>SUM(D41:D45)</f>
        <v>3760.9</v>
      </c>
      <c r="E46" s="113">
        <f>D46/$D$48</f>
        <v>0.1563192305614092</v>
      </c>
      <c r="F46" s="20">
        <f>I46/D46</f>
        <v>0.50357196686032457</v>
      </c>
      <c r="G46" s="19">
        <f>F46/C46-1</f>
        <v>9.021982559468622E-3</v>
      </c>
      <c r="H46" s="18">
        <f>SUM(H41:H44)</f>
        <v>1876.95</v>
      </c>
      <c r="I46" s="18">
        <f>SUM(I41:I44)</f>
        <v>1893.8838101649947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106.63012205746261</v>
      </c>
      <c r="D48" s="13">
        <f>D24+D32+D40+D46</f>
        <v>24059.1</v>
      </c>
      <c r="E48" s="12">
        <f>SUM(E20:E46)/2</f>
        <v>1.0000000000000002</v>
      </c>
      <c r="F48" s="11">
        <f>I48/D48</f>
        <v>28.489739095620127</v>
      </c>
      <c r="G48" s="10"/>
      <c r="H48" s="9">
        <f>SUM(H20:H46)/2</f>
        <v>679308.77</v>
      </c>
      <c r="I48" s="9">
        <f>SUM(I20:I46)/2</f>
        <v>685437.48187543417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24274.699999999997</v>
      </c>
      <c r="E50" s="12">
        <f>D50/G2</f>
        <v>0.99999999999999989</v>
      </c>
      <c r="F50" s="11">
        <f>I50/D50</f>
        <v>28.500000000000014</v>
      </c>
      <c r="G50" s="10"/>
      <c r="H50" s="9">
        <f>H48+H19</f>
        <v>685643.09</v>
      </c>
      <c r="I50" s="9">
        <f>I48+I19</f>
        <v>691828.9500000003</v>
      </c>
      <c r="J50" s="106">
        <f>D50-G2</f>
        <v>0</v>
      </c>
      <c r="K50" s="8"/>
    </row>
    <row r="51" spans="1:11" ht="23.25" x14ac:dyDescent="0.35">
      <c r="A51" s="174" t="s">
        <v>619</v>
      </c>
      <c r="B51" s="169"/>
      <c r="C51" s="170"/>
      <c r="G51" s="7"/>
      <c r="H51" s="6"/>
      <c r="I51" s="6">
        <f>+I50/D50</f>
        <v>28.500000000000014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620</v>
      </c>
      <c r="D1" s="100" t="s">
        <v>1</v>
      </c>
      <c r="E1" s="168" t="s">
        <v>544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620</v>
      </c>
      <c r="D2" s="96" t="s">
        <v>3</v>
      </c>
      <c r="E2" s="95" t="s">
        <v>107</v>
      </c>
      <c r="F2" s="94" t="s">
        <v>5</v>
      </c>
      <c r="G2" s="93">
        <v>2224.1999999999998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32</v>
      </c>
      <c r="F3" s="88" t="s">
        <v>8</v>
      </c>
      <c r="G3" s="87">
        <v>27.75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69.506249999999994</v>
      </c>
      <c r="F4" s="81" t="s">
        <v>12</v>
      </c>
      <c r="G4" s="80">
        <f>G2*G3</f>
        <v>61721.549999999996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-3.4956921754559778E-2</v>
      </c>
      <c r="F6" s="69" t="s">
        <v>16</v>
      </c>
      <c r="G6" s="68">
        <f>(I50-I19)/(D50-(SUM(D42:D44)+D19))</f>
        <v>33.838569078947366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 t="e">
        <f t="shared" ref="E10:E19" si="1">D10/$D$19</f>
        <v>#DIV/0!</v>
      </c>
      <c r="F10" s="28">
        <f t="shared" ref="F10:F18" si="2">C10-(C10*$E$6)</f>
        <v>28.771802424776762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30"/>
      <c r="E11" s="29" t="e">
        <f t="shared" si="1"/>
        <v>#DIV/0!</v>
      </c>
      <c r="F11" s="28">
        <f t="shared" si="2"/>
        <v>29.910255038706776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/>
      <c r="E12" s="29" t="e">
        <f t="shared" si="1"/>
        <v>#DIV/0!</v>
      </c>
      <c r="F12" s="28">
        <f t="shared" si="2"/>
        <v>27.322862734320378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30"/>
      <c r="E13" s="29" t="e">
        <f t="shared" si="1"/>
        <v>#DIV/0!</v>
      </c>
      <c r="F13" s="28">
        <f t="shared" si="2"/>
        <v>29.910255038706776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30"/>
      <c r="E14" s="29" t="e">
        <f t="shared" si="1"/>
        <v>#DIV/0!</v>
      </c>
      <c r="F14" s="28">
        <f t="shared" si="2"/>
        <v>33.429108572672277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/>
      <c r="E15" s="29" t="e">
        <f t="shared" si="1"/>
        <v>#DIV/0!</v>
      </c>
      <c r="F15" s="28">
        <f t="shared" si="2"/>
        <v>27.529854118671292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 t="e">
        <f t="shared" si="1"/>
        <v>#DIV/0!</v>
      </c>
      <c r="F16" s="28">
        <f t="shared" si="2"/>
        <v>37.775927644041431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53.7</v>
      </c>
      <c r="D17" s="30"/>
      <c r="E17" s="29" t="e">
        <f t="shared" si="1"/>
        <v>#DIV/0!</v>
      </c>
      <c r="F17" s="28">
        <f t="shared" si="2"/>
        <v>55.577186698219862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30"/>
      <c r="E18" s="29" t="e">
        <f t="shared" si="1"/>
        <v>#DIV/0!</v>
      </c>
      <c r="F18" s="28">
        <f t="shared" si="2"/>
        <v>48.642975322464309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69.8</v>
      </c>
      <c r="D21" s="30">
        <v>28</v>
      </c>
      <c r="E21" s="29">
        <f>D21/$D$48</f>
        <v>1.2588795971585288E-2</v>
      </c>
      <c r="F21" s="28">
        <f>C21-(C21*$E$6)</f>
        <v>72.239993138468265</v>
      </c>
      <c r="G21" s="27" t="str">
        <f>IF(C21&gt;=F21,"-","+")</f>
        <v>+</v>
      </c>
      <c r="H21" s="26">
        <f>C21*D21</f>
        <v>1954.3999999999999</v>
      </c>
      <c r="I21" s="26">
        <f>F21*D21</f>
        <v>2022.7198078771114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46.9</v>
      </c>
      <c r="D22" s="30">
        <v>56.1</v>
      </c>
      <c r="E22" s="29">
        <f>D22/$D$48</f>
        <v>2.5222551928783379E-2</v>
      </c>
      <c r="F22" s="28">
        <f>C22-(C22*$E$6)</f>
        <v>48.539479630288852</v>
      </c>
      <c r="G22" s="27" t="str">
        <f>IF(C22&gt;=F22,"-","+")</f>
        <v>+</v>
      </c>
      <c r="H22" s="26">
        <f>C22*D22</f>
        <v>2631.09</v>
      </c>
      <c r="I22" s="26">
        <f>F22*D22</f>
        <v>2723.0648072592048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>
        <v>50.6</v>
      </c>
      <c r="E23" s="29">
        <f>D23/$D$48</f>
        <v>2.2749752720079126E-2</v>
      </c>
      <c r="F23" s="28">
        <f>C23-(C23*$E$6)</f>
        <v>44.192660558919705</v>
      </c>
      <c r="G23" s="27" t="str">
        <f>IF(C23&gt;=F23,"-","+")</f>
        <v>+</v>
      </c>
      <c r="H23" s="26">
        <f>C23*D23</f>
        <v>2160.6200000000003</v>
      </c>
      <c r="I23" s="26">
        <f>F23*D23</f>
        <v>2236.1486242813371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50.082479584261328</v>
      </c>
      <c r="D24" s="22">
        <f>SUM(D21:D23)</f>
        <v>134.69999999999999</v>
      </c>
      <c r="E24" s="21">
        <f>D24/$D$48</f>
        <v>6.056110062044779E-2</v>
      </c>
      <c r="F24" s="20">
        <f>I24/D24</f>
        <v>51.833208904362685</v>
      </c>
      <c r="G24" s="19">
        <f>F24/C24-1</f>
        <v>3.4956921754559778E-2</v>
      </c>
      <c r="H24" s="18">
        <f>SUM(H21:H23)</f>
        <v>6746.1100000000006</v>
      </c>
      <c r="I24" s="18">
        <f>SUM(I21:I23)</f>
        <v>6981.9332394176536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>
        <v>450</v>
      </c>
      <c r="E26" s="29">
        <f t="shared" ref="E26:E32" si="7">D26/$D$48</f>
        <v>0.20231993525762068</v>
      </c>
      <c r="F26" s="28">
        <f t="shared" ref="F26:F31" si="8">C26-(C26*$E$6)</f>
        <v>38.500397489269623</v>
      </c>
      <c r="G26" s="27" t="str">
        <f t="shared" ref="G26:G31" si="9">IF(C26&gt;=F26,"-","+")</f>
        <v>+</v>
      </c>
      <c r="H26" s="26">
        <f t="shared" ref="H26:H31" si="10">C26*D26</f>
        <v>16740</v>
      </c>
      <c r="I26" s="26">
        <f t="shared" ref="I26:I31" si="11">F26*D26</f>
        <v>17325.17887017133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327</v>
      </c>
      <c r="E27" s="29">
        <f t="shared" si="7"/>
        <v>0.14701915295387102</v>
      </c>
      <c r="F27" s="28">
        <f t="shared" si="8"/>
        <v>34.360569802251391</v>
      </c>
      <c r="G27" s="27" t="str">
        <f t="shared" si="9"/>
        <v>+</v>
      </c>
      <c r="H27" s="26">
        <f t="shared" si="10"/>
        <v>10856.400000000001</v>
      </c>
      <c r="I27" s="26">
        <f t="shared" si="11"/>
        <v>11235.906325336206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196</v>
      </c>
      <c r="E28" s="29">
        <f t="shared" si="7"/>
        <v>8.8121571801097018E-2</v>
      </c>
      <c r="F28" s="28">
        <f t="shared" si="8"/>
        <v>34.360569802251391</v>
      </c>
      <c r="G28" s="27" t="str">
        <f t="shared" si="9"/>
        <v>+</v>
      </c>
      <c r="H28" s="26">
        <f t="shared" si="10"/>
        <v>6507.2000000000007</v>
      </c>
      <c r="I28" s="26">
        <f t="shared" si="11"/>
        <v>6734.6716812412724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186.8</v>
      </c>
      <c r="E29" s="29">
        <f t="shared" si="7"/>
        <v>8.3985253124718995E-2</v>
      </c>
      <c r="F29" s="28">
        <f t="shared" si="8"/>
        <v>33.22211718832137</v>
      </c>
      <c r="G29" s="27" t="str">
        <f t="shared" si="9"/>
        <v>+</v>
      </c>
      <c r="H29" s="26">
        <f t="shared" si="10"/>
        <v>5996.2800000000007</v>
      </c>
      <c r="I29" s="26">
        <f t="shared" si="11"/>
        <v>6205.8914907784319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159</v>
      </c>
      <c r="E30" s="29">
        <f t="shared" si="7"/>
        <v>7.1486377124359318E-2</v>
      </c>
      <c r="F30" s="28">
        <f t="shared" si="8"/>
        <v>33.22211718832137</v>
      </c>
      <c r="G30" s="27" t="str">
        <f t="shared" si="9"/>
        <v>+</v>
      </c>
      <c r="H30" s="26">
        <f t="shared" si="10"/>
        <v>5103.9000000000005</v>
      </c>
      <c r="I30" s="26">
        <f t="shared" si="11"/>
        <v>5282.3166329430978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30">
        <v>25</v>
      </c>
      <c r="E31" s="29">
        <f t="shared" si="7"/>
        <v>1.123999640320115E-2</v>
      </c>
      <c r="F31" s="28">
        <f t="shared" si="8"/>
        <v>33.739595649198648</v>
      </c>
      <c r="G31" s="27" t="str">
        <f t="shared" si="9"/>
        <v>+</v>
      </c>
      <c r="H31" s="26">
        <f t="shared" si="10"/>
        <v>815</v>
      </c>
      <c r="I31" s="26">
        <f t="shared" si="11"/>
        <v>843.48989122996625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34.245259711266563</v>
      </c>
      <c r="D32" s="22">
        <f>SUM(D26:D31)</f>
        <v>1343.8</v>
      </c>
      <c r="E32" s="21">
        <f t="shared" si="7"/>
        <v>0.60417228666486822</v>
      </c>
      <c r="F32" s="20">
        <f>I32/D32</f>
        <v>35.442368575457884</v>
      </c>
      <c r="G32" s="19">
        <f>F32/C32-1</f>
        <v>3.4956921754559778E-2</v>
      </c>
      <c r="H32" s="18">
        <f>SUM(H26:H31)</f>
        <v>46018.780000000006</v>
      </c>
      <c r="I32" s="18">
        <f>SUM(I26:I31)</f>
        <v>47627.454891700305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340.4</v>
      </c>
      <c r="E34" s="29">
        <f t="shared" ref="E34:E40" si="13">D34/$D$48</f>
        <v>0.15304379102598684</v>
      </c>
      <c r="F34" s="28">
        <f t="shared" ref="F34:F39" si="14">C34-(C34*$E$6)</f>
        <v>20.285155666389372</v>
      </c>
      <c r="G34" s="27" t="str">
        <f t="shared" ref="G34:G39" si="15">IF(C34&gt;=F34,"-","+")</f>
        <v>+</v>
      </c>
      <c r="H34" s="26">
        <f t="shared" ref="H34:H39" si="16">C34*D34</f>
        <v>6671.84</v>
      </c>
      <c r="I34" s="26">
        <f t="shared" ref="I34:I39" si="17">F34*D34</f>
        <v>6905.0669888389421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/>
      <c r="E35" s="29">
        <f t="shared" si="13"/>
        <v>0</v>
      </c>
      <c r="F35" s="28">
        <f t="shared" si="14"/>
        <v>15.627849518493852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12.522978753230174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33.22211718832137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33.22211718832137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34.360569802251391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19.600000000000001</v>
      </c>
      <c r="D40" s="22">
        <f>SUM(D34:D39)</f>
        <v>340.4</v>
      </c>
      <c r="E40" s="113">
        <f t="shared" si="13"/>
        <v>0.15304379102598684</v>
      </c>
      <c r="F40" s="20">
        <f>I40/D40</f>
        <v>20.285155666389372</v>
      </c>
      <c r="G40" s="19">
        <f>F40/C40-1</f>
        <v>3.4956921754559778E-2</v>
      </c>
      <c r="H40" s="18">
        <f>SUM(H34:H39)</f>
        <v>6671.84</v>
      </c>
      <c r="I40" s="18">
        <f>SUM(I34:I39)</f>
        <v>6905.0669888389421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386</v>
      </c>
      <c r="E42" s="107">
        <f>D42/$D$48</f>
        <v>0.17354554446542575</v>
      </c>
      <c r="F42" s="28">
        <f>C42-(C42*$E$6)</f>
        <v>0.51747846087727989</v>
      </c>
      <c r="G42" s="27" t="str">
        <f>IF(C42&gt;=F42,"-","+")</f>
        <v>+</v>
      </c>
      <c r="H42" s="26">
        <f>C42*D42</f>
        <v>193</v>
      </c>
      <c r="I42" s="26">
        <f>F42*D42</f>
        <v>199.74668589863003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14.2</v>
      </c>
      <c r="E43" s="107">
        <f>D43/$D$48</f>
        <v>6.3843179570182524E-3</v>
      </c>
      <c r="F43" s="28">
        <f>C43-(C43*$E$6)</f>
        <v>0.51747846087727989</v>
      </c>
      <c r="G43" s="27" t="str">
        <f>IF(C43&gt;=F43,"-","+")</f>
        <v>+</v>
      </c>
      <c r="H43" s="26">
        <f>C43*D43</f>
        <v>7.1</v>
      </c>
      <c r="I43" s="26">
        <f>F43*D43</f>
        <v>7.3481941444573744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2.2929592662530342E-3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0.49370836417468539</v>
      </c>
      <c r="D46" s="22">
        <f>SUM(D41:D45)</f>
        <v>405.3</v>
      </c>
      <c r="E46" s="113">
        <f>D46/$D$48</f>
        <v>0.18222282168869705</v>
      </c>
      <c r="F46" s="20">
        <f>I46/D46</f>
        <v>0.51096688883071162</v>
      </c>
      <c r="G46" s="19">
        <f>F46/C46-1</f>
        <v>3.4956921754559778E-2</v>
      </c>
      <c r="H46" s="18">
        <f>SUM(H41:H44)</f>
        <v>200.1</v>
      </c>
      <c r="I46" s="18">
        <f>SUM(I41:I44)</f>
        <v>207.09488004308741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104.42144765970257</v>
      </c>
      <c r="D48" s="13">
        <f>D24+D32+D40+D46</f>
        <v>2224.2000000000003</v>
      </c>
      <c r="E48" s="12">
        <f>SUM(E20:E46)/2</f>
        <v>0.99999999999999978</v>
      </c>
      <c r="F48" s="11">
        <f>I48/D48</f>
        <v>27.749999999999993</v>
      </c>
      <c r="G48" s="10"/>
      <c r="H48" s="9">
        <f>SUM(H20:H46)/2</f>
        <v>59636.830000000009</v>
      </c>
      <c r="I48" s="9">
        <f>SUM(I20:I46)/2</f>
        <v>61721.549999999988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2224.1999999999998</v>
      </c>
      <c r="E50" s="12">
        <f>D50/G2</f>
        <v>1</v>
      </c>
      <c r="F50" s="11">
        <f>I50/D50</f>
        <v>27.749999999999996</v>
      </c>
      <c r="G50" s="10"/>
      <c r="H50" s="9">
        <f>H48+H19</f>
        <v>59636.830000000009</v>
      </c>
      <c r="I50" s="9">
        <f>I48+I19</f>
        <v>61721.549999999988</v>
      </c>
      <c r="J50" s="106">
        <f>D50-G2</f>
        <v>0</v>
      </c>
      <c r="K50" s="8"/>
    </row>
    <row r="51" spans="1:11" ht="23.25" x14ac:dyDescent="0.35">
      <c r="A51" s="174" t="s">
        <v>621</v>
      </c>
      <c r="B51" s="169"/>
      <c r="C51" s="170"/>
      <c r="G51" s="7"/>
      <c r="H51" s="6"/>
      <c r="I51" s="6">
        <f>+I50/D50</f>
        <v>27.749999999999996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620</v>
      </c>
      <c r="D1" s="100" t="s">
        <v>1</v>
      </c>
      <c r="E1" s="168" t="s">
        <v>544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620</v>
      </c>
      <c r="D2" s="96" t="s">
        <v>3</v>
      </c>
      <c r="E2" s="95" t="s">
        <v>112</v>
      </c>
      <c r="F2" s="94" t="s">
        <v>5</v>
      </c>
      <c r="G2" s="93">
        <v>5281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77</v>
      </c>
      <c r="D3" s="90" t="s">
        <v>7</v>
      </c>
      <c r="E3" s="89">
        <v>92</v>
      </c>
      <c r="F3" s="88" t="s">
        <v>8</v>
      </c>
      <c r="G3" s="87">
        <v>24.75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57.402173913043477</v>
      </c>
      <c r="F4" s="81" t="s">
        <v>12</v>
      </c>
      <c r="G4" s="80">
        <f>G2*G3</f>
        <v>130704.75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-0.10282252399817438</v>
      </c>
      <c r="F6" s="69" t="s">
        <v>16</v>
      </c>
      <c r="G6" s="68">
        <f>(I50-I19)/(D50-(SUM(D42:D44)+D19))</f>
        <v>31.96731234866828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24.8</v>
      </c>
      <c r="D10" s="30"/>
      <c r="E10" s="29" t="e">
        <f t="shared" ref="E10:E19" si="1">D10/$D$19</f>
        <v>#DIV/0!</v>
      </c>
      <c r="F10" s="28">
        <f t="shared" ref="F10:F18" si="2">C10-(C10*$E$6)</f>
        <v>27.349998595154727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25.8</v>
      </c>
      <c r="D11" s="30"/>
      <c r="E11" s="29" t="e">
        <f t="shared" si="1"/>
        <v>#DIV/0!</v>
      </c>
      <c r="F11" s="28">
        <f t="shared" si="2"/>
        <v>28.452821119152901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23.5</v>
      </c>
      <c r="D12" s="30"/>
      <c r="E12" s="29" t="e">
        <f t="shared" si="1"/>
        <v>#DIV/0!</v>
      </c>
      <c r="F12" s="28">
        <f t="shared" si="2"/>
        <v>25.9163293139571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25.8</v>
      </c>
      <c r="D13" s="30"/>
      <c r="E13" s="29" t="e">
        <f t="shared" si="1"/>
        <v>#DIV/0!</v>
      </c>
      <c r="F13" s="28">
        <f t="shared" si="2"/>
        <v>28.452821119152901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28.8</v>
      </c>
      <c r="D14" s="30"/>
      <c r="E14" s="29" t="e">
        <f t="shared" si="1"/>
        <v>#DIV/0!</v>
      </c>
      <c r="F14" s="28">
        <f t="shared" si="2"/>
        <v>31.761288691147424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23.8</v>
      </c>
      <c r="D15" s="30"/>
      <c r="E15" s="29" t="e">
        <f t="shared" si="1"/>
        <v>#DIV/0!</v>
      </c>
      <c r="F15" s="28">
        <f t="shared" si="2"/>
        <v>26.247176071156552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32.5</v>
      </c>
      <c r="D16" s="30"/>
      <c r="E16" s="29" t="e">
        <f t="shared" si="1"/>
        <v>#DIV/0!</v>
      </c>
      <c r="F16" s="28">
        <f t="shared" si="2"/>
        <v>35.841732029940665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47.9</v>
      </c>
      <c r="D17" s="30"/>
      <c r="E17" s="29" t="e">
        <f t="shared" si="1"/>
        <v>#DIV/0!</v>
      </c>
      <c r="F17" s="28">
        <f t="shared" si="2"/>
        <v>52.82519889951255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41.9</v>
      </c>
      <c r="D18" s="30"/>
      <c r="E18" s="29" t="e">
        <f t="shared" si="1"/>
        <v>#DIV/0!</v>
      </c>
      <c r="F18" s="28">
        <f t="shared" si="2"/>
        <v>46.208263755523504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62.2</v>
      </c>
      <c r="D21" s="30">
        <v>66.2</v>
      </c>
      <c r="E21" s="29">
        <f>D21/$D$48</f>
        <v>1.2535504639272865E-2</v>
      </c>
      <c r="F21" s="28">
        <f>C21-(C21*$E$6)</f>
        <v>68.595560992686444</v>
      </c>
      <c r="G21" s="27" t="str">
        <f>IF(C21&gt;=F21,"-","+")</f>
        <v>+</v>
      </c>
      <c r="H21" s="26">
        <f>C21*D21</f>
        <v>4117.6400000000003</v>
      </c>
      <c r="I21" s="26">
        <f>F21*D21</f>
        <v>4541.0261377158431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41.8</v>
      </c>
      <c r="D22" s="30">
        <v>126.6</v>
      </c>
      <c r="E22" s="29">
        <f>D22/$D$48</f>
        <v>2.397273243703844E-2</v>
      </c>
      <c r="F22" s="28">
        <f>C22-(C22*$E$6)</f>
        <v>46.097981503123684</v>
      </c>
      <c r="G22" s="27" t="str">
        <f>IF(C22&gt;=F22,"-","+")</f>
        <v>+</v>
      </c>
      <c r="H22" s="26">
        <f>C22*D22</f>
        <v>5291.8799999999992</v>
      </c>
      <c r="I22" s="26">
        <f>F22*D22</f>
        <v>5836.0044582954579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38.1</v>
      </c>
      <c r="D23" s="30">
        <v>96.3</v>
      </c>
      <c r="E23" s="29">
        <f>D23/$D$48</f>
        <v>1.8235182730543458E-2</v>
      </c>
      <c r="F23" s="28">
        <f>C23-(C23*$E$6)</f>
        <v>42.017538164330446</v>
      </c>
      <c r="G23" s="27" t="str">
        <f>IF(C23&gt;=F23,"-","+")</f>
        <v>+</v>
      </c>
      <c r="H23" s="26">
        <f>C23*D23</f>
        <v>3669.03</v>
      </c>
      <c r="I23" s="26">
        <f>F23*D23</f>
        <v>4046.288925225022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45.238844690418539</v>
      </c>
      <c r="D24" s="22">
        <f>SUM(D21:D23)</f>
        <v>289.10000000000002</v>
      </c>
      <c r="E24" s="21">
        <f>D24/$D$48</f>
        <v>5.4743419806854765E-2</v>
      </c>
      <c r="F24" s="20">
        <f>I24/D24</f>
        <v>49.890416884248779</v>
      </c>
      <c r="G24" s="19">
        <f>F24/C24-1</f>
        <v>0.10282252399817438</v>
      </c>
      <c r="H24" s="18">
        <f>SUM(H21:H23)</f>
        <v>13078.550000000001</v>
      </c>
      <c r="I24" s="18">
        <f>SUM(I21:I23)</f>
        <v>14423.319521236323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33.200000000000003</v>
      </c>
      <c r="D26" s="30">
        <v>973.8</v>
      </c>
      <c r="E26" s="29">
        <f t="shared" ref="E26:E32" si="7">D26/$D$48</f>
        <v>0.18439689452755159</v>
      </c>
      <c r="F26" s="28">
        <f t="shared" ref="F26:F31" si="8">C26-(C26*$E$6)</f>
        <v>36.613707796739391</v>
      </c>
      <c r="G26" s="27" t="str">
        <f t="shared" ref="G26:G31" si="9">IF(C26&gt;=F26,"-","+")</f>
        <v>+</v>
      </c>
      <c r="H26" s="26">
        <f t="shared" ref="H26:H31" si="10">C26*D26</f>
        <v>32330.16</v>
      </c>
      <c r="I26" s="26">
        <f t="shared" ref="I26:I31" si="11">F26*D26</f>
        <v>35654.42865246482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29.6</v>
      </c>
      <c r="D27" s="30">
        <v>732</v>
      </c>
      <c r="E27" s="29">
        <f t="shared" si="7"/>
        <v>0.13861011172126492</v>
      </c>
      <c r="F27" s="28">
        <f t="shared" si="8"/>
        <v>32.643546710345966</v>
      </c>
      <c r="G27" s="27" t="str">
        <f t="shared" si="9"/>
        <v>+</v>
      </c>
      <c r="H27" s="26">
        <f t="shared" si="10"/>
        <v>21667.200000000001</v>
      </c>
      <c r="I27" s="26">
        <f t="shared" si="11"/>
        <v>23895.076191973247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29.6</v>
      </c>
      <c r="D28" s="30">
        <v>523.79999999999995</v>
      </c>
      <c r="E28" s="29">
        <f t="shared" si="7"/>
        <v>9.9185760272675616E-2</v>
      </c>
      <c r="F28" s="28">
        <f t="shared" si="8"/>
        <v>32.643546710345966</v>
      </c>
      <c r="G28" s="27" t="str">
        <f t="shared" si="9"/>
        <v>+</v>
      </c>
      <c r="H28" s="26">
        <f t="shared" si="10"/>
        <v>15504.48</v>
      </c>
      <c r="I28" s="26">
        <f t="shared" si="11"/>
        <v>17098.689766879215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28.6</v>
      </c>
      <c r="D29" s="30">
        <v>337.4</v>
      </c>
      <c r="E29" s="29">
        <f t="shared" si="7"/>
        <v>6.3889414883544784E-2</v>
      </c>
      <c r="F29" s="28">
        <f t="shared" si="8"/>
        <v>31.540724186347788</v>
      </c>
      <c r="G29" s="27" t="str">
        <f t="shared" si="9"/>
        <v>+</v>
      </c>
      <c r="H29" s="26">
        <f t="shared" si="10"/>
        <v>9649.64</v>
      </c>
      <c r="I29" s="26">
        <f t="shared" si="11"/>
        <v>10641.840340473744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28.6</v>
      </c>
      <c r="D30" s="30">
        <v>335.4</v>
      </c>
      <c r="E30" s="29">
        <f t="shared" si="7"/>
        <v>6.3510698731300885E-2</v>
      </c>
      <c r="F30" s="28">
        <f t="shared" si="8"/>
        <v>31.540724186347788</v>
      </c>
      <c r="G30" s="27" t="str">
        <f t="shared" si="9"/>
        <v>+</v>
      </c>
      <c r="H30" s="26">
        <f t="shared" si="10"/>
        <v>9592.44</v>
      </c>
      <c r="I30" s="26">
        <f t="shared" si="11"/>
        <v>10578.758892101047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29.1</v>
      </c>
      <c r="D31" s="30">
        <v>79</v>
      </c>
      <c r="E31" s="29">
        <f t="shared" si="7"/>
        <v>1.4959288013633781E-2</v>
      </c>
      <c r="F31" s="28">
        <f t="shared" si="8"/>
        <v>32.092135448346873</v>
      </c>
      <c r="G31" s="27" t="str">
        <f t="shared" si="9"/>
        <v>+</v>
      </c>
      <c r="H31" s="26">
        <f t="shared" si="10"/>
        <v>2298.9</v>
      </c>
      <c r="I31" s="26">
        <f t="shared" si="11"/>
        <v>2535.2787004194029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30.536935667807068</v>
      </c>
      <c r="D32" s="22">
        <f>SUM(D26:D31)</f>
        <v>2981.4</v>
      </c>
      <c r="E32" s="21">
        <f t="shared" si="7"/>
        <v>0.56455216814997167</v>
      </c>
      <c r="F32" s="20">
        <f>I32/D32</f>
        <v>33.676820468340864</v>
      </c>
      <c r="G32" s="19">
        <f>F32/C32-1</f>
        <v>0.10282252399817438</v>
      </c>
      <c r="H32" s="18">
        <f>SUM(H26:H31)</f>
        <v>91042.819999999992</v>
      </c>
      <c r="I32" s="18">
        <f>SUM(I26:I31)</f>
        <v>100404.07254431146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17.5</v>
      </c>
      <c r="D34" s="30">
        <f>348+386.8</f>
        <v>734.8</v>
      </c>
      <c r="E34" s="29">
        <f t="shared" ref="E34:E40" si="13">D34/$D$48</f>
        <v>0.13914031433440635</v>
      </c>
      <c r="F34" s="28">
        <f t="shared" ref="F34:F39" si="14">C34-(C34*$E$6)</f>
        <v>19.299394169968053</v>
      </c>
      <c r="G34" s="27" t="str">
        <f t="shared" ref="G34:G39" si="15">IF(C34&gt;=F34,"-","+")</f>
        <v>+</v>
      </c>
      <c r="H34" s="26">
        <f t="shared" ref="H34:H39" si="16">C34*D34</f>
        <v>12859</v>
      </c>
      <c r="I34" s="26">
        <f t="shared" ref="I34:I39" si="17">F34*D34</f>
        <v>14181.194836092525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13.5</v>
      </c>
      <c r="D35" s="30">
        <v>78.599999999999994</v>
      </c>
      <c r="E35" s="29">
        <f t="shared" si="13"/>
        <v>1.4883544783185002E-2</v>
      </c>
      <c r="F35" s="28">
        <f t="shared" si="14"/>
        <v>14.888104073975354</v>
      </c>
      <c r="G35" s="27" t="str">
        <f t="shared" si="15"/>
        <v>+</v>
      </c>
      <c r="H35" s="26">
        <f t="shared" si="16"/>
        <v>1061.0999999999999</v>
      </c>
      <c r="I35" s="26">
        <f t="shared" si="17"/>
        <v>1170.2049802144627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11.910483259180284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28.6</v>
      </c>
      <c r="D37" s="30"/>
      <c r="E37" s="29">
        <f t="shared" si="13"/>
        <v>0</v>
      </c>
      <c r="F37" s="28">
        <f t="shared" si="14"/>
        <v>31.540724186347788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28.6</v>
      </c>
      <c r="D38" s="30"/>
      <c r="E38" s="29">
        <f t="shared" si="13"/>
        <v>0</v>
      </c>
      <c r="F38" s="28">
        <f t="shared" si="14"/>
        <v>31.540724186347788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29.6</v>
      </c>
      <c r="D39" s="30"/>
      <c r="E39" s="29">
        <f t="shared" si="13"/>
        <v>0</v>
      </c>
      <c r="F39" s="28">
        <f t="shared" si="14"/>
        <v>32.643546710345966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17.113474305384806</v>
      </c>
      <c r="D40" s="22">
        <f>SUM(D34:D39)</f>
        <v>813.4</v>
      </c>
      <c r="E40" s="113">
        <f t="shared" si="13"/>
        <v>0.15402385911759137</v>
      </c>
      <c r="F40" s="20">
        <f>I40/D40</f>
        <v>18.873124927842376</v>
      </c>
      <c r="G40" s="19">
        <f>F40/C40-1</f>
        <v>0.10282252399817438</v>
      </c>
      <c r="H40" s="18">
        <f>SUM(H34:H39)</f>
        <v>13920.1</v>
      </c>
      <c r="I40" s="18">
        <f>SUM(I34:I39)</f>
        <v>15351.399816306988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556+59.3+529.1</f>
        <v>1144.4000000000001</v>
      </c>
      <c r="E42" s="107">
        <f>D42/$D$48</f>
        <v>0.21670138231395572</v>
      </c>
      <c r="F42" s="28">
        <f>C42-(C42*$E$6)</f>
        <v>0.44112900959926976</v>
      </c>
      <c r="G42" s="27" t="str">
        <f>IF(C42&gt;=F42,"-","+")</f>
        <v>+</v>
      </c>
      <c r="H42" s="26">
        <f>C42*D42</f>
        <v>457.76000000000005</v>
      </c>
      <c r="I42" s="26">
        <f>F42*D42</f>
        <v>504.82803858540433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47.9</v>
      </c>
      <c r="E43" s="107">
        <f>D43/$D$48</f>
        <v>9.0702518462412417E-3</v>
      </c>
      <c r="F43" s="28">
        <f>C43-(C43*$E$6)</f>
        <v>0.44112900959926976</v>
      </c>
      <c r="G43" s="27" t="str">
        <f>IF(C43&gt;=F43,"-","+")</f>
        <v>+</v>
      </c>
      <c r="H43" s="26">
        <f>C43*D43</f>
        <v>19.16</v>
      </c>
      <c r="I43" s="26">
        <f>F43*D43</f>
        <v>21.130079559805022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4.8</v>
      </c>
      <c r="E45" s="107">
        <f>D45/$D$48</f>
        <v>9.0891876538534363E-4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0.39839612396625179</v>
      </c>
      <c r="D46" s="22">
        <f>SUM(D41:D45)</f>
        <v>1197.1000000000001</v>
      </c>
      <c r="E46" s="113">
        <f>D46/$D$48</f>
        <v>0.22668055292558231</v>
      </c>
      <c r="F46" s="20">
        <f>I46/D46</f>
        <v>0.43936021898355132</v>
      </c>
      <c r="G46" s="19">
        <f>F46/C46-1</f>
        <v>0.10282252399817415</v>
      </c>
      <c r="H46" s="18">
        <f>SUM(H41:H44)</f>
        <v>476.92000000000007</v>
      </c>
      <c r="I46" s="18">
        <f>SUM(I41:I44)</f>
        <v>525.95811814520937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93.287650787576666</v>
      </c>
      <c r="D48" s="13">
        <f>D24+D32+D40+D46</f>
        <v>5281</v>
      </c>
      <c r="E48" s="12">
        <f>SUM(E20:E46)/2</f>
        <v>1</v>
      </c>
      <c r="F48" s="11">
        <f>I48/D48</f>
        <v>24.749999999999996</v>
      </c>
      <c r="G48" s="10"/>
      <c r="H48" s="9">
        <f>SUM(H20:H46)/2</f>
        <v>118518.39000000001</v>
      </c>
      <c r="I48" s="9">
        <f>SUM(I20:I46)/2</f>
        <v>130704.74999999999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5281</v>
      </c>
      <c r="E50" s="12">
        <f>D50/G2</f>
        <v>1</v>
      </c>
      <c r="F50" s="11">
        <f>I50/D50</f>
        <v>24.749999999999996</v>
      </c>
      <c r="G50" s="10"/>
      <c r="H50" s="9">
        <f>H48+H19</f>
        <v>118518.39000000001</v>
      </c>
      <c r="I50" s="9">
        <f>I48+I19</f>
        <v>130704.74999999999</v>
      </c>
      <c r="J50" s="106">
        <f>D50-G2</f>
        <v>0</v>
      </c>
      <c r="K50" s="8"/>
    </row>
    <row r="51" spans="1:11" ht="23.25" x14ac:dyDescent="0.35">
      <c r="A51" s="174" t="s">
        <v>622</v>
      </c>
      <c r="B51" s="169"/>
      <c r="C51" s="170"/>
      <c r="G51" s="7"/>
      <c r="H51" s="6"/>
      <c r="I51" s="6">
        <f>+I50/D50</f>
        <v>24.749999999999996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>
    <tabColor rgb="FF92D050"/>
  </sheetPr>
  <dimension ref="A1:K56"/>
  <sheetViews>
    <sheetView workbookViewId="0">
      <selection activeCell="L9" sqref="L9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623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623</v>
      </c>
      <c r="D2" s="96" t="s">
        <v>3</v>
      </c>
      <c r="E2" s="95" t="s">
        <v>71</v>
      </c>
      <c r="F2" s="94" t="s">
        <v>5</v>
      </c>
      <c r="G2" s="93">
        <v>16314.5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222</v>
      </c>
      <c r="F3" s="88" t="s">
        <v>8</v>
      </c>
      <c r="G3" s="87">
        <v>28.5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73.488738738738732</v>
      </c>
      <c r="F4" s="81" t="s">
        <v>12</v>
      </c>
      <c r="G4" s="80">
        <f>G2*G3</f>
        <v>464963.25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-1.8257285073408624E-2</v>
      </c>
      <c r="F6" s="69" t="s">
        <v>16</v>
      </c>
      <c r="G6" s="68">
        <f>(I50-I19)/(D50-(SUM(D42:D44)+D19))</f>
        <v>34.056006416219269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 t="e">
        <f t="shared" ref="E10:E19" si="1">D10/$D$19</f>
        <v>#DIV/0!</v>
      </c>
      <c r="F10" s="28">
        <f t="shared" ref="F10:F18" si="2">C10-(C10*$E$6)</f>
        <v>29.020332624592147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29.7</v>
      </c>
      <c r="D11" s="30"/>
      <c r="E11" s="29" t="e">
        <f t="shared" si="1"/>
        <v>#DIV/0!</v>
      </c>
      <c r="F11" s="28">
        <f t="shared" si="2"/>
        <v>30.242241366680236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/>
      <c r="E12" s="29" t="e">
        <f t="shared" si="1"/>
        <v>#DIV/0!</v>
      </c>
      <c r="F12" s="28">
        <f t="shared" si="2"/>
        <v>27.594772425489374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29.7</v>
      </c>
      <c r="D13" s="30"/>
      <c r="E13" s="29" t="e">
        <f t="shared" si="1"/>
        <v>#DIV/0!</v>
      </c>
      <c r="F13" s="28">
        <f t="shared" si="2"/>
        <v>30.242241366680236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33.200000000000003</v>
      </c>
      <c r="D14" s="30"/>
      <c r="E14" s="29" t="e">
        <f t="shared" si="1"/>
        <v>#DIV/0!</v>
      </c>
      <c r="F14" s="28">
        <f t="shared" si="2"/>
        <v>33.806141864437166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27.4</v>
      </c>
      <c r="D15" s="30"/>
      <c r="E15" s="29" t="e">
        <f t="shared" si="1"/>
        <v>#DIV/0!</v>
      </c>
      <c r="F15" s="28">
        <f t="shared" si="2"/>
        <v>27.900249611011397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37.5</v>
      </c>
      <c r="D16" s="30"/>
      <c r="E16" s="29" t="e">
        <f t="shared" si="1"/>
        <v>#DIV/0!</v>
      </c>
      <c r="F16" s="28">
        <f t="shared" si="2"/>
        <v>38.184648190252823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 t="e">
        <f t="shared" si="1"/>
        <v>#DIV/0!</v>
      </c>
      <c r="F17" s="28">
        <f t="shared" si="2"/>
        <v>56.105976407544816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48.3</v>
      </c>
      <c r="D18" s="30"/>
      <c r="E18" s="29" t="e">
        <f t="shared" si="1"/>
        <v>#DIV/0!</v>
      </c>
      <c r="F18" s="28">
        <f t="shared" si="2"/>
        <v>49.181826869045636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71.7</v>
      </c>
      <c r="D21" s="30">
        <v>189.1</v>
      </c>
      <c r="E21" s="29">
        <f>D21/$D$48</f>
        <v>1.1590916056268963E-2</v>
      </c>
      <c r="F21" s="28">
        <f>C21-(C21*$E$6)</f>
        <v>73.009047339763399</v>
      </c>
      <c r="G21" s="27" t="str">
        <f>IF(C21&gt;=F21,"-","+")</f>
        <v>+</v>
      </c>
      <c r="H21" s="26">
        <f>C21*D21</f>
        <v>13558.47</v>
      </c>
      <c r="I21" s="26">
        <f>F21*D21</f>
        <v>13806.010851949259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483</v>
      </c>
      <c r="E22" s="29">
        <f>D22/$D$48</f>
        <v>2.960556560115235E-2</v>
      </c>
      <c r="F22" s="28">
        <f>C22-(C22*$E$6)</f>
        <v>48.978175412030957</v>
      </c>
      <c r="G22" s="27" t="str">
        <f>IF(C22&gt;=F22,"-","+")</f>
        <v>+</v>
      </c>
      <c r="H22" s="26">
        <f>C22*D22</f>
        <v>23232.3</v>
      </c>
      <c r="I22" s="26">
        <f>F22*D22</f>
        <v>23656.458724010954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43.9</v>
      </c>
      <c r="D23" s="30">
        <v>383</v>
      </c>
      <c r="E23" s="29">
        <f>D23/$D$48</f>
        <v>2.3476048913543168E-2</v>
      </c>
      <c r="F23" s="28">
        <f>C23-(C23*$E$6)</f>
        <v>44.701494814722636</v>
      </c>
      <c r="G23" s="27" t="str">
        <f>IF(C23&gt;=F23,"-","+")</f>
        <v>+</v>
      </c>
      <c r="H23" s="26">
        <f>C23*D23</f>
        <v>16813.7</v>
      </c>
      <c r="I23" s="26">
        <f>F23*D23</f>
        <v>17120.672514038768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50.80510852051939</v>
      </c>
      <c r="D24" s="22">
        <f>SUM(D21:D23)</f>
        <v>1055.0999999999999</v>
      </c>
      <c r="E24" s="21">
        <f>D24/$D$48</f>
        <v>6.4672530570964476E-2</v>
      </c>
      <c r="F24" s="20">
        <f>I24/D24</f>
        <v>51.732671869963966</v>
      </c>
      <c r="G24" s="19">
        <f>F24/C24-1</f>
        <v>1.8257285073408402E-2</v>
      </c>
      <c r="H24" s="18">
        <f>SUM(H21:H23)</f>
        <v>53604.47</v>
      </c>
      <c r="I24" s="18">
        <f>SUM(I21:I23)</f>
        <v>54583.142089998975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v>3077.9</v>
      </c>
      <c r="E26" s="29">
        <f t="shared" ref="E26:E32" si="7">D26/$D$48</f>
        <v>0.18866039412792301</v>
      </c>
      <c r="F26" s="28">
        <f t="shared" ref="F26:F31" si="8">C26-(C26*$E$6)</f>
        <v>38.897428289804211</v>
      </c>
      <c r="G26" s="27" t="str">
        <f t="shared" ref="G26:G31" si="9">IF(C26&gt;=F26,"-","+")</f>
        <v>+</v>
      </c>
      <c r="H26" s="26">
        <f t="shared" ref="H26:H31" si="10">C26*D26</f>
        <v>117575.78000000001</v>
      </c>
      <c r="I26" s="26">
        <f t="shared" ref="I26:I31" si="11">F26*D26</f>
        <v>119722.39453318839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34.1</v>
      </c>
      <c r="D27" s="30">
        <v>2475.6999999999998</v>
      </c>
      <c r="E27" s="29">
        <f t="shared" si="7"/>
        <v>0.15174844463514051</v>
      </c>
      <c r="F27" s="28">
        <f t="shared" si="8"/>
        <v>34.722573421003233</v>
      </c>
      <c r="G27" s="27" t="str">
        <f t="shared" si="9"/>
        <v>+</v>
      </c>
      <c r="H27" s="26">
        <f t="shared" si="10"/>
        <v>84421.37</v>
      </c>
      <c r="I27" s="26">
        <f t="shared" si="11"/>
        <v>85962.675018377704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34.1</v>
      </c>
      <c r="D28" s="30">
        <v>1797.8</v>
      </c>
      <c r="E28" s="29">
        <f t="shared" si="7"/>
        <v>0.11019645100983787</v>
      </c>
      <c r="F28" s="28">
        <f t="shared" si="8"/>
        <v>34.722573421003233</v>
      </c>
      <c r="G28" s="27" t="str">
        <f t="shared" si="9"/>
        <v>+</v>
      </c>
      <c r="H28" s="26">
        <f t="shared" si="10"/>
        <v>61304.98</v>
      </c>
      <c r="I28" s="26">
        <f t="shared" si="11"/>
        <v>62424.242496279614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1353.2</v>
      </c>
      <c r="E29" s="29">
        <f t="shared" si="7"/>
        <v>8.2944619816727461E-2</v>
      </c>
      <c r="F29" s="28">
        <f t="shared" si="8"/>
        <v>33.500664678915143</v>
      </c>
      <c r="G29" s="27" t="str">
        <f t="shared" si="9"/>
        <v>+</v>
      </c>
      <c r="H29" s="26">
        <f t="shared" si="10"/>
        <v>44520.28</v>
      </c>
      <c r="I29" s="26">
        <f t="shared" si="11"/>
        <v>45333.09944350797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782</v>
      </c>
      <c r="E30" s="29">
        <f t="shared" si="7"/>
        <v>4.7932820497103804E-2</v>
      </c>
      <c r="F30" s="28">
        <f t="shared" si="8"/>
        <v>33.500664678915143</v>
      </c>
      <c r="G30" s="27" t="str">
        <f t="shared" si="9"/>
        <v>+</v>
      </c>
      <c r="H30" s="26">
        <f t="shared" si="10"/>
        <v>25727.8</v>
      </c>
      <c r="I30" s="26">
        <f t="shared" si="11"/>
        <v>26197.519778911643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426.3</v>
      </c>
      <c r="E31" s="29">
        <f t="shared" si="7"/>
        <v>2.6130129639277945E-2</v>
      </c>
      <c r="F31" s="28">
        <f t="shared" si="8"/>
        <v>34.111619049959188</v>
      </c>
      <c r="G31" s="27" t="str">
        <f t="shared" si="9"/>
        <v>+</v>
      </c>
      <c r="H31" s="26">
        <f t="shared" si="10"/>
        <v>14281.050000000001</v>
      </c>
      <c r="I31" s="26">
        <f t="shared" si="11"/>
        <v>14541.783200997603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35.088749003823303</v>
      </c>
      <c r="D32" s="22">
        <f>SUM(D26:D31)</f>
        <v>9912.9</v>
      </c>
      <c r="E32" s="21">
        <f t="shared" si="7"/>
        <v>0.60761285972601053</v>
      </c>
      <c r="F32" s="20">
        <f>I32/D32</f>
        <v>35.72937429725539</v>
      </c>
      <c r="G32" s="19">
        <f>F32/C32-1</f>
        <v>1.8257285073408624E-2</v>
      </c>
      <c r="H32" s="18">
        <f>SUM(H26:H31)</f>
        <v>347831.26</v>
      </c>
      <c r="I32" s="18">
        <f>SUM(I26:I31)</f>
        <v>354181.71447126294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2679.6</v>
      </c>
      <c r="E34" s="29">
        <f t="shared" ref="E34:E40" si="13">D34/$D$48</f>
        <v>0.16424652916117563</v>
      </c>
      <c r="F34" s="28">
        <f t="shared" ref="F34:F39" si="14">C34-(C34*$E$6)</f>
        <v>20.466971429975516</v>
      </c>
      <c r="G34" s="27" t="str">
        <f t="shared" ref="G34:G39" si="15">IF(C34&gt;=F34,"-","+")</f>
        <v>+</v>
      </c>
      <c r="H34" s="26">
        <f t="shared" ref="H34:H39" si="16">C34*D34</f>
        <v>53859.96</v>
      </c>
      <c r="I34" s="26">
        <f t="shared" ref="I34:I39" si="17">F34*D34</f>
        <v>54843.296643762391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15.782987918637833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12.626390334910267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33.500664678915143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33.500664678915143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34.1</v>
      </c>
      <c r="D39" s="30"/>
      <c r="E39" s="29">
        <f t="shared" si="13"/>
        <v>0</v>
      </c>
      <c r="F39" s="28">
        <f t="shared" si="14"/>
        <v>34.722573421003233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2679.6</v>
      </c>
      <c r="E40" s="113">
        <f t="shared" si="13"/>
        <v>0.16424652916117563</v>
      </c>
      <c r="F40" s="20">
        <f>I40/D40</f>
        <v>20.466971429975516</v>
      </c>
      <c r="G40" s="19">
        <f>F40/C40-1</f>
        <v>1.8257285073408624E-2</v>
      </c>
      <c r="H40" s="18">
        <f>SUM(H34:H39)</f>
        <v>53859.96</v>
      </c>
      <c r="I40" s="18">
        <f>SUM(I34:I39)</f>
        <v>54843.296643762391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2551</v>
      </c>
      <c r="E42" s="107">
        <f>D42/$D$48</f>
        <v>0.15636397070091024</v>
      </c>
      <c r="F42" s="28">
        <f>C42-(C42*$E$6)</f>
        <v>0.50912864253670431</v>
      </c>
      <c r="G42" s="27" t="str">
        <f>IF(C42&gt;=F42,"-","+")</f>
        <v>+</v>
      </c>
      <c r="H42" s="26">
        <f>C42*D42</f>
        <v>1275.5</v>
      </c>
      <c r="I42" s="26">
        <f>F42*D42</f>
        <v>1298.7871671111327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110.6</v>
      </c>
      <c r="E43" s="107">
        <f>D43/$D$48</f>
        <v>6.779245456495755E-3</v>
      </c>
      <c r="F43" s="28">
        <f>C43-(C43*$E$6)</f>
        <v>0.50912864253670431</v>
      </c>
      <c r="G43" s="27" t="str">
        <f>IF(C43&gt;=F43,"-","+")</f>
        <v>+</v>
      </c>
      <c r="H43" s="26">
        <f>C43*D43</f>
        <v>55.3</v>
      </c>
      <c r="I43" s="26">
        <f>F43*D43</f>
        <v>56.309627864559495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3.2486438444328662E-4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0.49900633694551721</v>
      </c>
      <c r="D46" s="22">
        <f>SUM(D41:D45)</f>
        <v>2666.9</v>
      </c>
      <c r="E46" s="113">
        <f>D46/$D$48</f>
        <v>0.16346808054184928</v>
      </c>
      <c r="F46" s="20">
        <f>I46/D46</f>
        <v>0.5081168378925689</v>
      </c>
      <c r="G46" s="19">
        <f>F46/C46-1</f>
        <v>1.8257285073408624E-2</v>
      </c>
      <c r="H46" s="18">
        <f>SUM(H41:H44)</f>
        <v>1330.8</v>
      </c>
      <c r="I46" s="18">
        <f>SUM(I41:I44)</f>
        <v>1355.0967949756921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106.49286386128821</v>
      </c>
      <c r="D48" s="13">
        <f>D24+D32+D40+D46</f>
        <v>16314.5</v>
      </c>
      <c r="E48" s="12">
        <f>SUM(E20:E46)/2</f>
        <v>1</v>
      </c>
      <c r="F48" s="11">
        <f>I48/D48</f>
        <v>28.5</v>
      </c>
      <c r="G48" s="10"/>
      <c r="H48" s="9">
        <f>SUM(H20:H46)/2</f>
        <v>456626.49</v>
      </c>
      <c r="I48" s="9">
        <f>SUM(I20:I46)/2</f>
        <v>464963.25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16314.499999999998</v>
      </c>
      <c r="E50" s="12">
        <f>D50/G2</f>
        <v>0.99999999999999989</v>
      </c>
      <c r="F50" s="11">
        <f>I50/D50</f>
        <v>28.500000000000004</v>
      </c>
      <c r="G50" s="10"/>
      <c r="H50" s="9">
        <f>H48+H19</f>
        <v>456626.49</v>
      </c>
      <c r="I50" s="9">
        <f>I48+I19</f>
        <v>464963.25</v>
      </c>
      <c r="J50" s="106">
        <f>D50-G2</f>
        <v>0</v>
      </c>
      <c r="K50" s="8"/>
    </row>
    <row r="51" spans="1:11" ht="23.25" x14ac:dyDescent="0.35">
      <c r="A51" s="174" t="s">
        <v>624</v>
      </c>
      <c r="B51" s="169"/>
      <c r="C51" s="170"/>
      <c r="G51" s="7"/>
      <c r="H51" s="6"/>
      <c r="I51" s="6">
        <f>+I50/D50</f>
        <v>28.500000000000004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>
    <tabColor rgb="FF92D050"/>
  </sheetPr>
  <dimension ref="A1:K56"/>
  <sheetViews>
    <sheetView workbookViewId="0"/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625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625</v>
      </c>
      <c r="D2" s="96" t="s">
        <v>3</v>
      </c>
      <c r="E2" s="95" t="s">
        <v>112</v>
      </c>
      <c r="F2" s="94" t="s">
        <v>5</v>
      </c>
      <c r="G2" s="93">
        <v>2898.2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44</v>
      </c>
      <c r="F3" s="88" t="s">
        <v>8</v>
      </c>
      <c r="G3" s="87">
        <v>25.38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65.86818181818181</v>
      </c>
      <c r="F4" s="81" t="s">
        <v>12</v>
      </c>
      <c r="G4" s="80">
        <f>G2*G3</f>
        <v>73556.315999999992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-1.9286430506293195E-2</v>
      </c>
      <c r="F6" s="69" t="s">
        <v>16</v>
      </c>
      <c r="G6" s="68">
        <f>(I50-I19)/(D50-(SUM(D42:D44)+D19))</f>
        <v>31.375326736051875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25.889875334859845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26.4</v>
      </c>
      <c r="D11" s="30"/>
      <c r="E11" s="29" t="e">
        <f t="shared" si="1"/>
        <v>#DIV/0!</v>
      </c>
      <c r="F11" s="28">
        <f t="shared" si="2"/>
        <v>26.909161765366139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 t="e">
        <f t="shared" si="1"/>
        <v>#DIV/0!</v>
      </c>
      <c r="F12" s="28">
        <f t="shared" si="2"/>
        <v>24.564802975201669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26.4</v>
      </c>
      <c r="D13" s="30"/>
      <c r="E13" s="29" t="e">
        <f t="shared" si="1"/>
        <v>#DIV/0!</v>
      </c>
      <c r="F13" s="28">
        <f t="shared" si="2"/>
        <v>26.909161765366139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29.5</v>
      </c>
      <c r="D14" s="30"/>
      <c r="E14" s="29" t="e">
        <f t="shared" si="1"/>
        <v>#DIV/0!</v>
      </c>
      <c r="F14" s="28">
        <f t="shared" si="2"/>
        <v>30.068949699935651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24.870588904353554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34.044166778910188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49.1</v>
      </c>
      <c r="D17" s="30"/>
      <c r="E17" s="29" t="e">
        <f t="shared" si="1"/>
        <v>#DIV/0!</v>
      </c>
      <c r="F17" s="28">
        <f t="shared" si="2"/>
        <v>50.046963737858995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</v>
      </c>
      <c r="D18" s="30"/>
      <c r="E18" s="29" t="e">
        <f t="shared" si="1"/>
        <v>#DIV/0!</v>
      </c>
      <c r="F18" s="28">
        <f t="shared" si="2"/>
        <v>43.829316511770607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63.8</v>
      </c>
      <c r="D21" s="30">
        <v>40</v>
      </c>
      <c r="E21" s="29">
        <f>D21/$D$48</f>
        <v>1.3801670002070252E-2</v>
      </c>
      <c r="F21" s="28">
        <f>C21-(C21*$E$6)</f>
        <v>65.030474266301496</v>
      </c>
      <c r="G21" s="27" t="str">
        <f>IF(C21&gt;=F21,"-","+")</f>
        <v>+</v>
      </c>
      <c r="H21" s="26">
        <f>C21*D21</f>
        <v>2552</v>
      </c>
      <c r="I21" s="26">
        <f>F21*D21</f>
        <v>2601.2189706520599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42.9</v>
      </c>
      <c r="D22" s="30">
        <v>78.5</v>
      </c>
      <c r="E22" s="29">
        <f>D22/$D$48</f>
        <v>2.708577737906287E-2</v>
      </c>
      <c r="F22" s="28">
        <f>C22-(C22*$E$6)</f>
        <v>43.72738786871998</v>
      </c>
      <c r="G22" s="27" t="str">
        <f>IF(C22&gt;=F22,"-","+")</f>
        <v>+</v>
      </c>
      <c r="H22" s="26">
        <f>C22*D22</f>
        <v>3367.65</v>
      </c>
      <c r="I22" s="26">
        <f>F22*D22</f>
        <v>3432.5999476945185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39.1</v>
      </c>
      <c r="D23" s="30">
        <v>72.099999999999994</v>
      </c>
      <c r="E23" s="29">
        <f>D23/$D$48</f>
        <v>2.4877510178731625E-2</v>
      </c>
      <c r="F23" s="28">
        <f>C23-(C23*$E$6)</f>
        <v>39.854099432796062</v>
      </c>
      <c r="G23" s="27" t="str">
        <f>IF(C23&gt;=F23,"-","+")</f>
        <v>+</v>
      </c>
      <c r="H23" s="26">
        <f>C23*D23</f>
        <v>2819.1099999999997</v>
      </c>
      <c r="I23" s="26">
        <f>F23*D23</f>
        <v>2873.4805691045958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45.848688352570825</v>
      </c>
      <c r="D24" s="22">
        <f>SUM(D21:D23)</f>
        <v>190.6</v>
      </c>
      <c r="E24" s="21">
        <f>D24/$D$48</f>
        <v>6.5764957559864751E-2</v>
      </c>
      <c r="F24" s="20">
        <f>I24/D24</f>
        <v>46.732945894287383</v>
      </c>
      <c r="G24" s="19">
        <f>F24/C24-1</f>
        <v>1.9286430506293417E-2</v>
      </c>
      <c r="H24" s="18">
        <f>SUM(H21:H23)</f>
        <v>8738.7599999999984</v>
      </c>
      <c r="I24" s="18">
        <f>SUM(I21:I23)</f>
        <v>8907.2994874511751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v>697.5</v>
      </c>
      <c r="E26" s="29">
        <f t="shared" ref="E26:E32" si="7">D26/$D$48</f>
        <v>0.24066662066110001</v>
      </c>
      <c r="F26" s="28">
        <f t="shared" ref="F26:F31" si="8">C26-(C26*$E$6)</f>
        <v>34.757667280264599</v>
      </c>
      <c r="G26" s="27" t="str">
        <f t="shared" ref="G26:G31" si="9">IF(C26&gt;=F26,"-","+")</f>
        <v>+</v>
      </c>
      <c r="H26" s="26">
        <f t="shared" ref="H26:H31" si="10">C26*D26</f>
        <v>23784.75</v>
      </c>
      <c r="I26" s="26">
        <f t="shared" ref="I26:I31" si="11">F26*D26</f>
        <v>24243.472927984556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30.3</v>
      </c>
      <c r="D27" s="30">
        <v>377.8</v>
      </c>
      <c r="E27" s="29">
        <f t="shared" si="7"/>
        <v>0.13035677316955352</v>
      </c>
      <c r="F27" s="28">
        <f t="shared" si="8"/>
        <v>30.884378844340684</v>
      </c>
      <c r="G27" s="27" t="str">
        <f t="shared" si="9"/>
        <v>+</v>
      </c>
      <c r="H27" s="26">
        <f t="shared" si="10"/>
        <v>11447.34</v>
      </c>
      <c r="I27" s="26">
        <f t="shared" si="11"/>
        <v>11668.11832739191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30.3</v>
      </c>
      <c r="D28" s="30">
        <v>237.3</v>
      </c>
      <c r="E28" s="29">
        <f t="shared" si="7"/>
        <v>8.1878407287281768E-2</v>
      </c>
      <c r="F28" s="28">
        <f t="shared" si="8"/>
        <v>30.884378844340684</v>
      </c>
      <c r="G28" s="27" t="str">
        <f t="shared" si="9"/>
        <v>+</v>
      </c>
      <c r="H28" s="26">
        <f t="shared" si="10"/>
        <v>7190.1900000000005</v>
      </c>
      <c r="I28" s="26">
        <f t="shared" si="11"/>
        <v>7328.8630997620448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255.6</v>
      </c>
      <c r="E29" s="29">
        <f t="shared" si="7"/>
        <v>8.8192671313228901E-2</v>
      </c>
      <c r="F29" s="28">
        <f t="shared" si="8"/>
        <v>29.86509241383439</v>
      </c>
      <c r="G29" s="27" t="str">
        <f t="shared" si="9"/>
        <v>+</v>
      </c>
      <c r="H29" s="26">
        <f t="shared" si="10"/>
        <v>7489.08</v>
      </c>
      <c r="I29" s="26">
        <f t="shared" si="11"/>
        <v>7633.5176209760702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199.8</v>
      </c>
      <c r="E30" s="29">
        <f t="shared" si="7"/>
        <v>6.8939341660340908E-2</v>
      </c>
      <c r="F30" s="28">
        <f t="shared" si="8"/>
        <v>29.86509241383439</v>
      </c>
      <c r="G30" s="27" t="str">
        <f t="shared" si="9"/>
        <v>+</v>
      </c>
      <c r="H30" s="26">
        <f t="shared" si="10"/>
        <v>5854.14</v>
      </c>
      <c r="I30" s="26">
        <f t="shared" si="11"/>
        <v>5967.0454642841114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29.8</v>
      </c>
      <c r="D31" s="30">
        <v>50.8</v>
      </c>
      <c r="E31" s="29">
        <f t="shared" si="7"/>
        <v>1.7528120902629219E-2</v>
      </c>
      <c r="F31" s="28">
        <f t="shared" si="8"/>
        <v>30.374735629087539</v>
      </c>
      <c r="G31" s="27" t="str">
        <f t="shared" si="9"/>
        <v>+</v>
      </c>
      <c r="H31" s="26">
        <f t="shared" si="10"/>
        <v>1513.84</v>
      </c>
      <c r="I31" s="26">
        <f t="shared" si="11"/>
        <v>1543.0365699576469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31.492929404002641</v>
      </c>
      <c r="D32" s="22">
        <f>SUM(D26:D31)</f>
        <v>1818.7999999999997</v>
      </c>
      <c r="E32" s="21">
        <f t="shared" si="7"/>
        <v>0.62756193499413426</v>
      </c>
      <c r="F32" s="20">
        <f>I32/D32</f>
        <v>32.100315598392541</v>
      </c>
      <c r="G32" s="19">
        <f>F32/C32-1</f>
        <v>1.9286430506293417E-2</v>
      </c>
      <c r="H32" s="18">
        <f>SUM(H26:H31)</f>
        <v>57279.34</v>
      </c>
      <c r="I32" s="18">
        <f>SUM(I26:I31)</f>
        <v>58384.05401035634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v>331</v>
      </c>
      <c r="E34" s="29">
        <f t="shared" ref="E34:E40" si="13">D34/$D$48</f>
        <v>0.11420881926713133</v>
      </c>
      <c r="F34" s="28">
        <f t="shared" ref="F34:F39" si="14">C34-(C34*$E$6)</f>
        <v>18.245227106062647</v>
      </c>
      <c r="G34" s="27" t="str">
        <f t="shared" ref="G34:G39" si="15">IF(C34&gt;=F34,"-","+")</f>
        <v>+</v>
      </c>
      <c r="H34" s="26">
        <f t="shared" ref="H34:H39" si="16">C34*D34</f>
        <v>5924.9</v>
      </c>
      <c r="I34" s="26">
        <f t="shared" ref="I34:I39" si="17">F34*D34</f>
        <v>6039.1701721067357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/>
      <c r="E35" s="29">
        <f t="shared" si="13"/>
        <v>0</v>
      </c>
      <c r="F35" s="28">
        <f t="shared" si="14"/>
        <v>14.066152740986848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11.314079378619853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29.86509241383439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29.86509241383439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30.3</v>
      </c>
      <c r="D39" s="30"/>
      <c r="E39" s="29">
        <f t="shared" si="13"/>
        <v>0</v>
      </c>
      <c r="F39" s="28">
        <f t="shared" si="14"/>
        <v>30.884378844340684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17.899999999999999</v>
      </c>
      <c r="D40" s="22">
        <f>SUM(D34:D39)</f>
        <v>331</v>
      </c>
      <c r="E40" s="113">
        <f t="shared" si="13"/>
        <v>0.11420881926713133</v>
      </c>
      <c r="F40" s="20">
        <f>I40/D40</f>
        <v>18.245227106062647</v>
      </c>
      <c r="G40" s="19">
        <f>F40/C40-1</f>
        <v>1.9286430506293195E-2</v>
      </c>
      <c r="H40" s="18">
        <f>SUM(H34:H39)</f>
        <v>5924.9</v>
      </c>
      <c r="I40" s="18">
        <f>SUM(I34:I39)</f>
        <v>6039.1701721067357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535</v>
      </c>
      <c r="E42" s="107">
        <f>D42/$D$48</f>
        <v>0.18459733627768962</v>
      </c>
      <c r="F42" s="28">
        <f>C42-(C42*$E$6)</f>
        <v>0.40771457220251728</v>
      </c>
      <c r="G42" s="27" t="str">
        <f>IF(C42&gt;=F42,"-","+")</f>
        <v>+</v>
      </c>
      <c r="H42" s="26">
        <f>C42*D42</f>
        <v>214</v>
      </c>
      <c r="I42" s="26">
        <f>F42*D42</f>
        <v>218.12729612834676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18.8</v>
      </c>
      <c r="E43" s="107">
        <f>D43/$D$48</f>
        <v>6.4867849009730182E-3</v>
      </c>
      <c r="F43" s="28">
        <f>C43-(C43*$E$6)</f>
        <v>0.40771457220251728</v>
      </c>
      <c r="G43" s="27" t="str">
        <f>IF(C43&gt;=F43,"-","+")</f>
        <v>+</v>
      </c>
      <c r="H43" s="26">
        <f>C43*D43</f>
        <v>7.5200000000000005</v>
      </c>
      <c r="I43" s="26">
        <f>F43*D43</f>
        <v>7.6650339574073252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1.3801670002070252E-3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0.397131588382933</v>
      </c>
      <c r="D46" s="22">
        <f>SUM(D41:D45)</f>
        <v>557.79999999999995</v>
      </c>
      <c r="E46" s="113">
        <f>D46/$D$48</f>
        <v>0.19246428817886965</v>
      </c>
      <c r="F46" s="20">
        <f>I46/D46</f>
        <v>0.40479083916413428</v>
      </c>
      <c r="G46" s="19">
        <f>F46/C46-1</f>
        <v>1.9286430506293195E-2</v>
      </c>
      <c r="H46" s="18">
        <f>SUM(H41:H44)</f>
        <v>221.52</v>
      </c>
      <c r="I46" s="18">
        <f>SUM(I41:I44)</f>
        <v>225.79233008575409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95.638749344956409</v>
      </c>
      <c r="D48" s="13">
        <f>D24+D32+D40+D46</f>
        <v>2898.2</v>
      </c>
      <c r="E48" s="12">
        <f>SUM(E20:E46)/2</f>
        <v>1</v>
      </c>
      <c r="F48" s="11">
        <f>I48/D48</f>
        <v>25.380000000000003</v>
      </c>
      <c r="G48" s="10"/>
      <c r="H48" s="9">
        <f>SUM(H20:H46)/2</f>
        <v>72164.51999999999</v>
      </c>
      <c r="I48" s="9">
        <f>SUM(I20:I46)/2</f>
        <v>73556.316000000006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2898.2</v>
      </c>
      <c r="E50" s="12">
        <f>D50/G2</f>
        <v>1</v>
      </c>
      <c r="F50" s="11">
        <f>I50/D50</f>
        <v>25.380000000000003</v>
      </c>
      <c r="G50" s="10"/>
      <c r="H50" s="9">
        <f>H48+H19</f>
        <v>72164.51999999999</v>
      </c>
      <c r="I50" s="9">
        <f>I48+I19</f>
        <v>73556.316000000006</v>
      </c>
      <c r="J50" s="106">
        <f>D50-G2</f>
        <v>0</v>
      </c>
      <c r="K50" s="8"/>
    </row>
    <row r="51" spans="1:11" ht="23.25" x14ac:dyDescent="0.35">
      <c r="A51" s="174" t="s">
        <v>626</v>
      </c>
      <c r="B51" s="169"/>
      <c r="C51" s="170"/>
      <c r="G51" s="7"/>
      <c r="H51" s="6"/>
      <c r="I51" s="6">
        <f>+I50/D50</f>
        <v>25.380000000000003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>
    <tabColor rgb="FF92D050"/>
  </sheetPr>
  <dimension ref="A1:L56"/>
  <sheetViews>
    <sheetView workbookViewId="0">
      <selection sqref="A1:XFD1048576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627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627</v>
      </c>
      <c r="D2" s="96" t="s">
        <v>3</v>
      </c>
      <c r="E2" s="95" t="s">
        <v>112</v>
      </c>
      <c r="F2" s="94" t="s">
        <v>5</v>
      </c>
      <c r="G2" s="116">
        <v>9872.2999999999993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152</v>
      </c>
      <c r="F3" s="88" t="s">
        <v>8</v>
      </c>
      <c r="G3" s="87">
        <v>24.59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64.949342105263156</v>
      </c>
      <c r="F4" s="81" t="s">
        <v>12</v>
      </c>
      <c r="G4" s="80">
        <f>G2*G3</f>
        <v>242759.85699999999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-0.12451608166411376</v>
      </c>
      <c r="F6" s="69" t="s">
        <v>16</v>
      </c>
      <c r="G6" s="68">
        <f>(I50-I19)/(D50-(SUM(D42:D44)+D19))</f>
        <v>32.065284646272502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24.6</v>
      </c>
      <c r="D10" s="30"/>
      <c r="E10" s="29" t="e">
        <f t="shared" ref="E10:E19" si="1">D10/$D$19</f>
        <v>#DIV/0!</v>
      </c>
      <c r="F10" s="28">
        <f t="shared" ref="F10:F18" si="2">C10-(C10*$E$6)</f>
        <v>27.663095608937201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25.6</v>
      </c>
      <c r="D11" s="30"/>
      <c r="E11" s="29" t="e">
        <f t="shared" si="1"/>
        <v>#DIV/0!</v>
      </c>
      <c r="F11" s="28">
        <f t="shared" si="2"/>
        <v>28.787611690601313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23.4</v>
      </c>
      <c r="D12" s="30"/>
      <c r="E12" s="29" t="e">
        <f t="shared" si="1"/>
        <v>#DIV/0!</v>
      </c>
      <c r="F12" s="28">
        <f t="shared" si="2"/>
        <v>26.313676310940259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25.6</v>
      </c>
      <c r="D13" s="30"/>
      <c r="E13" s="29" t="e">
        <f t="shared" si="1"/>
        <v>#DIV/0!</v>
      </c>
      <c r="F13" s="28">
        <f t="shared" si="2"/>
        <v>28.787611690601313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28.6</v>
      </c>
      <c r="D14" s="30"/>
      <c r="E14" s="29" t="e">
        <f t="shared" si="1"/>
        <v>#DIV/0!</v>
      </c>
      <c r="F14" s="28">
        <f t="shared" si="2"/>
        <v>32.161159935593652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23.6</v>
      </c>
      <c r="D15" s="30"/>
      <c r="E15" s="29" t="e">
        <f t="shared" si="1"/>
        <v>#DIV/0!</v>
      </c>
      <c r="F15" s="28">
        <f t="shared" si="2"/>
        <v>26.538579527273086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32.299999999999997</v>
      </c>
      <c r="D16" s="30"/>
      <c r="E16" s="29" t="e">
        <f t="shared" si="1"/>
        <v>#DIV/0!</v>
      </c>
      <c r="F16" s="28">
        <f t="shared" si="2"/>
        <v>36.32186943775087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47.6</v>
      </c>
      <c r="D17" s="30"/>
      <c r="E17" s="29" t="e">
        <f t="shared" si="1"/>
        <v>#DIV/0!</v>
      </c>
      <c r="F17" s="28">
        <f t="shared" si="2"/>
        <v>53.526965487211818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41.7</v>
      </c>
      <c r="D18" s="30"/>
      <c r="E18" s="29" t="e">
        <f t="shared" si="1"/>
        <v>#DIV/0!</v>
      </c>
      <c r="F18" s="28">
        <f t="shared" si="2"/>
        <v>46.89232060539355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61.8</v>
      </c>
      <c r="D21" s="30">
        <v>122.7</v>
      </c>
      <c r="E21" s="29">
        <f>D21/$D$48</f>
        <v>1.2429344192548472E-2</v>
      </c>
      <c r="F21" s="28">
        <f>C21-(C21*$E$6)</f>
        <v>69.495093846842224</v>
      </c>
      <c r="G21" s="27" t="str">
        <f>IF(C21&gt;=F21,"-","+")</f>
        <v>+</v>
      </c>
      <c r="H21" s="26">
        <f>C21*D21</f>
        <v>7582.86</v>
      </c>
      <c r="I21" s="26">
        <f>F21*D21</f>
        <v>8527.0480150075418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41.5</v>
      </c>
      <c r="D22" s="30">
        <v>195</v>
      </c>
      <c r="E22" s="29">
        <f>D22/$D$48</f>
        <v>1.9753236491825199E-2</v>
      </c>
      <c r="F22" s="28">
        <f>C22-(C22*$E$6)</f>
        <v>46.667417389060724</v>
      </c>
      <c r="G22" s="27" t="str">
        <f>IF(C22&gt;=F22,"-","+")</f>
        <v>+</v>
      </c>
      <c r="H22" s="26">
        <f>C22*D22</f>
        <v>8092.5</v>
      </c>
      <c r="I22" s="26">
        <f>F22*D22</f>
        <v>9100.1463908668411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37.9</v>
      </c>
      <c r="D23" s="30">
        <v>178</v>
      </c>
      <c r="E23" s="29">
        <f>D23/$D$48</f>
        <v>1.8031159464332747E-2</v>
      </c>
      <c r="F23" s="28">
        <f>C23-(C23*$E$6)</f>
        <v>42.619159495069908</v>
      </c>
      <c r="G23" s="27" t="str">
        <f>IF(C23&gt;=F23,"-","+")</f>
        <v>+</v>
      </c>
      <c r="H23" s="26">
        <f>C23*D23</f>
        <v>6746.2</v>
      </c>
      <c r="I23" s="26">
        <f>F23*D23</f>
        <v>7586.2103901224436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45.232116199314106</v>
      </c>
      <c r="D24" s="22">
        <f>SUM(D21:D23)</f>
        <v>495.7</v>
      </c>
      <c r="E24" s="21">
        <f>D24/$D$48</f>
        <v>5.0213740148706422E-2</v>
      </c>
      <c r="F24" s="20">
        <f>I24/D24</f>
        <v>50.864242073828578</v>
      </c>
      <c r="G24" s="19">
        <f>F24/C24-1</f>
        <v>0.12451608166411354</v>
      </c>
      <c r="H24" s="18">
        <f>SUM(H21:H23)</f>
        <v>22421.56</v>
      </c>
      <c r="I24" s="18">
        <f>SUM(I21:I23)</f>
        <v>25213.404795996827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</v>
      </c>
      <c r="D26" s="30">
        <v>1909</v>
      </c>
      <c r="E26" s="29">
        <f t="shared" ref="E26:E32" si="7">D26/$D$48</f>
        <v>0.1933791203225349</v>
      </c>
      <c r="F26" s="28">
        <f t="shared" ref="F26:F31" si="8">C26-(C26*$E$6)</f>
        <v>37.109030694915752</v>
      </c>
      <c r="G26" s="27" t="str">
        <f t="shared" ref="G26:G31" si="9">IF(C26&gt;=F26,"-","+")</f>
        <v>+</v>
      </c>
      <c r="H26" s="26">
        <f t="shared" ref="H26:H31" si="10">C26*D26</f>
        <v>62997</v>
      </c>
      <c r="I26" s="26">
        <f t="shared" ref="I26:I31" si="11">F26*D26</f>
        <v>70841.139596594177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29.4</v>
      </c>
      <c r="D27" s="30">
        <v>1483</v>
      </c>
      <c r="E27" s="29">
        <f t="shared" si="7"/>
        <v>0.15022589598654756</v>
      </c>
      <c r="F27" s="28">
        <f t="shared" si="8"/>
        <v>33.060772800924944</v>
      </c>
      <c r="G27" s="27" t="str">
        <f t="shared" si="9"/>
        <v>+</v>
      </c>
      <c r="H27" s="26">
        <f t="shared" si="10"/>
        <v>43600.2</v>
      </c>
      <c r="I27" s="26">
        <f t="shared" si="11"/>
        <v>49029.126063771691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29.4</v>
      </c>
      <c r="D28" s="30">
        <v>700</v>
      </c>
      <c r="E28" s="29">
        <f t="shared" si="7"/>
        <v>7.0909054073218666E-2</v>
      </c>
      <c r="F28" s="28">
        <f t="shared" si="8"/>
        <v>33.060772800924944</v>
      </c>
      <c r="G28" s="27" t="str">
        <f t="shared" si="9"/>
        <v>+</v>
      </c>
      <c r="H28" s="26">
        <f t="shared" si="10"/>
        <v>20580</v>
      </c>
      <c r="I28" s="26">
        <f t="shared" si="11"/>
        <v>23142.54096064746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28.4</v>
      </c>
      <c r="D29" s="30">
        <v>698</v>
      </c>
      <c r="E29" s="29">
        <f t="shared" si="7"/>
        <v>7.0706456775866622E-2</v>
      </c>
      <c r="F29" s="28">
        <f t="shared" si="8"/>
        <v>31.936256719260829</v>
      </c>
      <c r="G29" s="27" t="str">
        <f t="shared" si="9"/>
        <v>+</v>
      </c>
      <c r="H29" s="26">
        <f t="shared" si="10"/>
        <v>19823.2</v>
      </c>
      <c r="I29" s="26">
        <f t="shared" si="11"/>
        <v>22291.50719004406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28.4</v>
      </c>
      <c r="D30" s="30">
        <f>237.4+150.6+41</f>
        <v>429</v>
      </c>
      <c r="E30" s="29">
        <f t="shared" si="7"/>
        <v>4.3457120282015441E-2</v>
      </c>
      <c r="F30" s="28">
        <f t="shared" si="8"/>
        <v>31.936256719260829</v>
      </c>
      <c r="G30" s="27" t="str">
        <f t="shared" si="9"/>
        <v>+</v>
      </c>
      <c r="H30" s="26">
        <f t="shared" si="10"/>
        <v>12183.599999999999</v>
      </c>
      <c r="I30" s="26">
        <f t="shared" si="11"/>
        <v>13700.654132562895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28.9</v>
      </c>
      <c r="D31" s="30">
        <v>148.6</v>
      </c>
      <c r="E31" s="29">
        <f t="shared" si="7"/>
        <v>1.5052979193257562E-2</v>
      </c>
      <c r="F31" s="28">
        <f t="shared" si="8"/>
        <v>32.498514760092888</v>
      </c>
      <c r="G31" s="27" t="str">
        <f t="shared" si="9"/>
        <v>+</v>
      </c>
      <c r="H31" s="26">
        <f t="shared" si="10"/>
        <v>4294.54</v>
      </c>
      <c r="I31" s="26">
        <f t="shared" si="11"/>
        <v>4829.2792933498031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30.45654296147254</v>
      </c>
      <c r="D32" s="22">
        <f>SUM(D26:D31)</f>
        <v>5367.6</v>
      </c>
      <c r="E32" s="21">
        <f t="shared" si="7"/>
        <v>0.54373062663344074</v>
      </c>
      <c r="F32" s="20">
        <f>I32/D32</f>
        <v>34.248872352069839</v>
      </c>
      <c r="G32" s="19">
        <f>F32/C32-1</f>
        <v>0.12451608166411354</v>
      </c>
      <c r="H32" s="18">
        <f>SUM(H26:H31)</f>
        <v>163478.54</v>
      </c>
      <c r="I32" s="18">
        <f>SUM(I26:I31)</f>
        <v>183834.24723697008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17.399999999999999</v>
      </c>
      <c r="D34" s="30">
        <f>808.2+756.5</f>
        <v>1564.7</v>
      </c>
      <c r="E34" s="29">
        <f t="shared" ref="E34:E40" si="13">D34/$D$48</f>
        <v>0.15850199558337894</v>
      </c>
      <c r="F34" s="28">
        <f t="shared" ref="F34:F39" si="14">C34-(C34*$E$6)</f>
        <v>19.566579820955578</v>
      </c>
      <c r="G34" s="27" t="str">
        <f t="shared" ref="G34:G39" si="15">IF(C34&gt;=F34,"-","+")</f>
        <v>+</v>
      </c>
      <c r="H34" s="26">
        <f t="shared" ref="H34:H39" si="16">C34*D34</f>
        <v>27225.78</v>
      </c>
      <c r="I34" s="26">
        <f t="shared" ref="I34:I39" si="17">F34*D34</f>
        <v>30615.827445849194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>
        <v>136.80000000000001</v>
      </c>
      <c r="E35" s="29">
        <f t="shared" si="13"/>
        <v>1.3857655138880449E-2</v>
      </c>
      <c r="F35" s="28">
        <f t="shared" si="14"/>
        <v>15.068515494299124</v>
      </c>
      <c r="G35" s="27" t="str">
        <f t="shared" si="15"/>
        <v>+</v>
      </c>
      <c r="H35" s="26">
        <f t="shared" si="16"/>
        <v>1833.1200000000001</v>
      </c>
      <c r="I35" s="26">
        <f t="shared" si="17"/>
        <v>2061.3729196201202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12.032322073806016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28.4</v>
      </c>
      <c r="D37" s="30"/>
      <c r="E37" s="29">
        <f t="shared" si="13"/>
        <v>0</v>
      </c>
      <c r="F37" s="28">
        <f t="shared" si="14"/>
        <v>31.936256719260829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28.4</v>
      </c>
      <c r="D38" s="30"/>
      <c r="E38" s="29">
        <f t="shared" si="13"/>
        <v>0</v>
      </c>
      <c r="F38" s="28">
        <f t="shared" si="14"/>
        <v>31.936256719260829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29.4</v>
      </c>
      <c r="D39" s="30"/>
      <c r="E39" s="29">
        <f t="shared" si="13"/>
        <v>0</v>
      </c>
      <c r="F39" s="28">
        <f t="shared" si="14"/>
        <v>33.060772800924944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17.078401410520129</v>
      </c>
      <c r="D40" s="22">
        <f>SUM(D34:D39)</f>
        <v>1701.5</v>
      </c>
      <c r="E40" s="113">
        <f t="shared" si="13"/>
        <v>0.17235965072225937</v>
      </c>
      <c r="F40" s="20">
        <f>I40/D40</f>
        <v>19.204937035244967</v>
      </c>
      <c r="G40" s="19">
        <f>F40/C40-1</f>
        <v>0.12451608166411354</v>
      </c>
      <c r="H40" s="18">
        <f>SUM(H34:H39)</f>
        <v>29058.899999999998</v>
      </c>
      <c r="I40" s="18">
        <f>SUM(I34:I39)</f>
        <v>32677.200365469314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1099+119.1+1003.5</f>
        <v>2221.6</v>
      </c>
      <c r="E42" s="107">
        <f>D42/$D$48</f>
        <v>0.22504507789866085</v>
      </c>
      <c r="F42" s="28">
        <f>C42-(C42*$E$6)</f>
        <v>0.44980643266564552</v>
      </c>
      <c r="G42" s="27" t="str">
        <f>IF(C42&gt;=F42,"-","+")</f>
        <v>+</v>
      </c>
      <c r="H42" s="26">
        <f>C42*D42</f>
        <v>888.64</v>
      </c>
      <c r="I42" s="26">
        <f>F42*D42</f>
        <v>999.28997080999807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79.400000000000006</v>
      </c>
      <c r="E43" s="107">
        <f>D43/$D$48</f>
        <v>8.0431127048765181E-3</v>
      </c>
      <c r="F43" s="28">
        <f>C43-(C43*$E$6)</f>
        <v>0.44980643266564552</v>
      </c>
      <c r="G43" s="27" t="str">
        <f>IF(C43&gt;=F43,"-","+")</f>
        <v>+</v>
      </c>
      <c r="H43" s="26">
        <f>C43*D43</f>
        <v>31.760000000000005</v>
      </c>
      <c r="I43" s="26">
        <f>F43*D43</f>
        <v>35.714630753652258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6.0779189205616006E-4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0.39895968790637193</v>
      </c>
      <c r="D46" s="22">
        <f>SUM(D41:D45)</f>
        <v>2307</v>
      </c>
      <c r="E46" s="113">
        <f>D46/$D$48</f>
        <v>0.23369598249559353</v>
      </c>
      <c r="F46" s="20">
        <f>I46/D46</f>
        <v>0.44863658498641107</v>
      </c>
      <c r="G46" s="19">
        <f>F46/C46-1</f>
        <v>0.12451608166411376</v>
      </c>
      <c r="H46" s="18">
        <f>SUM(H41:H44)</f>
        <v>920.4</v>
      </c>
      <c r="I46" s="18">
        <f>SUM(I41:I44)</f>
        <v>1035.0046015636503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93.166020259213141</v>
      </c>
      <c r="D48" s="13">
        <f>D24+D32+D40+D46</f>
        <v>9871.7999999999993</v>
      </c>
      <c r="E48" s="12">
        <f>SUM(E20:E46)/2</f>
        <v>1</v>
      </c>
      <c r="F48" s="11">
        <f>I48/D48</f>
        <v>24.591245466885464</v>
      </c>
      <c r="G48" s="10"/>
      <c r="H48" s="9">
        <f>SUM(H20:H46)/2</f>
        <v>215879.40000000008</v>
      </c>
      <c r="I48" s="9">
        <f>SUM(I20:I46)/2</f>
        <v>242759.8569999999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9871.8000000000011</v>
      </c>
      <c r="E50" s="12">
        <f>D50/G2</f>
        <v>0.9999493532408863</v>
      </c>
      <c r="F50" s="11">
        <f>I50/D50</f>
        <v>24.591245466885461</v>
      </c>
      <c r="G50" s="10"/>
      <c r="H50" s="9">
        <f>H48+H19</f>
        <v>215879.40000000008</v>
      </c>
      <c r="I50" s="9">
        <f>I48+I19</f>
        <v>242759.8569999999</v>
      </c>
      <c r="J50" s="106">
        <f>D50-G2</f>
        <v>-0.49999999999818101</v>
      </c>
      <c r="K50" s="8"/>
    </row>
    <row r="51" spans="1:11" ht="23.25" x14ac:dyDescent="0.35">
      <c r="A51" s="174" t="s">
        <v>628</v>
      </c>
      <c r="B51" s="169"/>
      <c r="C51" s="170"/>
      <c r="G51" s="7"/>
      <c r="H51" s="6"/>
      <c r="I51" s="6">
        <f>+I50/D50</f>
        <v>24.591245466885461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629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629</v>
      </c>
      <c r="D2" s="96" t="s">
        <v>3</v>
      </c>
      <c r="E2" s="95" t="s">
        <v>71</v>
      </c>
      <c r="F2" s="94" t="s">
        <v>5</v>
      </c>
      <c r="G2" s="93">
        <v>18449.2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230</v>
      </c>
      <c r="F3" s="88" t="s">
        <v>8</v>
      </c>
      <c r="G3" s="87">
        <v>28.5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80.213913043478257</v>
      </c>
      <c r="F4" s="81" t="s">
        <v>12</v>
      </c>
      <c r="G4" s="80">
        <f>G2*G3</f>
        <v>525802.20000000007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-8.2071128695031526E-3</v>
      </c>
      <c r="F6" s="69" t="s">
        <v>16</v>
      </c>
      <c r="G6" s="68">
        <f>(I50-I19)/(D50-(SUM(D42:D44)+D19))</f>
        <v>34.551788037692702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 t="e">
        <f t="shared" ref="E10:E19" si="1">D10/$D$19</f>
        <v>#DIV/0!</v>
      </c>
      <c r="F10" s="28">
        <f t="shared" ref="F10:F18" si="2">C10-(C10*$E$6)</f>
        <v>28.73390271678084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29.7</v>
      </c>
      <c r="D11" s="30"/>
      <c r="E11" s="29" t="e">
        <f t="shared" si="1"/>
        <v>#DIV/0!</v>
      </c>
      <c r="F11" s="28">
        <f t="shared" si="2"/>
        <v>29.943751252224242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/>
      <c r="E12" s="29" t="e">
        <f t="shared" si="1"/>
        <v>#DIV/0!</v>
      </c>
      <c r="F12" s="28">
        <f t="shared" si="2"/>
        <v>27.322412758763537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29.7</v>
      </c>
      <c r="D13" s="30"/>
      <c r="E13" s="29" t="e">
        <f t="shared" si="1"/>
        <v>#DIV/0!</v>
      </c>
      <c r="F13" s="28">
        <f t="shared" si="2"/>
        <v>29.943751252224242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33.200000000000003</v>
      </c>
      <c r="D14" s="30"/>
      <c r="E14" s="29" t="e">
        <f t="shared" si="1"/>
        <v>#DIV/0!</v>
      </c>
      <c r="F14" s="28">
        <f t="shared" si="2"/>
        <v>33.472476147267507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27.4</v>
      </c>
      <c r="D15" s="30"/>
      <c r="E15" s="29" t="e">
        <f t="shared" si="1"/>
        <v>#DIV/0!</v>
      </c>
      <c r="F15" s="28">
        <f t="shared" si="2"/>
        <v>27.624874892624383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37.5</v>
      </c>
      <c r="D16" s="30"/>
      <c r="E16" s="29" t="e">
        <f t="shared" si="1"/>
        <v>#DIV/0!</v>
      </c>
      <c r="F16" s="28">
        <f t="shared" si="2"/>
        <v>37.807766732606368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 t="e">
        <f t="shared" si="1"/>
        <v>#DIV/0!</v>
      </c>
      <c r="F17" s="28">
        <f t="shared" si="2"/>
        <v>55.552211919109624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48.3</v>
      </c>
      <c r="D18" s="30"/>
      <c r="E18" s="29" t="e">
        <f t="shared" si="1"/>
        <v>#DIV/0!</v>
      </c>
      <c r="F18" s="28">
        <f t="shared" si="2"/>
        <v>48.696403551597001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71.7</v>
      </c>
      <c r="D21" s="30">
        <v>241.8</v>
      </c>
      <c r="E21" s="29">
        <f>D21/$D$48</f>
        <v>1.3106259349998914E-2</v>
      </c>
      <c r="F21" s="28">
        <f>C21-(C21*$E$6)</f>
        <v>72.288449992743381</v>
      </c>
      <c r="G21" s="27" t="str">
        <f>IF(C21&gt;=F21,"-","+")</f>
        <v>+</v>
      </c>
      <c r="H21" s="26">
        <f>C21*D21</f>
        <v>17337.060000000001</v>
      </c>
      <c r="I21" s="26">
        <f>F21*D21</f>
        <v>17479.347208245352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535.79999999999995</v>
      </c>
      <c r="E22" s="29">
        <f>D22/$D$48</f>
        <v>2.9041909676300319E-2</v>
      </c>
      <c r="F22" s="28">
        <f>C22-(C22*$E$6)</f>
        <v>48.494762129023101</v>
      </c>
      <c r="G22" s="27" t="str">
        <f>IF(C22&gt;=F22,"-","+")</f>
        <v>+</v>
      </c>
      <c r="H22" s="26">
        <f>C22*D22</f>
        <v>25771.98</v>
      </c>
      <c r="I22" s="26">
        <f>F22*D22</f>
        <v>25983.493548730574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43.9</v>
      </c>
      <c r="D23" s="30">
        <v>454.3</v>
      </c>
      <c r="E23" s="29">
        <f>D23/$D$48</f>
        <v>2.4624373956594319E-2</v>
      </c>
      <c r="F23" s="28">
        <f>C23-(C23*$E$6)</f>
        <v>44.260292254971183</v>
      </c>
      <c r="G23" s="27" t="str">
        <f>IF(C23&gt;=F23,"-","+")</f>
        <v>+</v>
      </c>
      <c r="H23" s="26">
        <f>C23*D23</f>
        <v>19943.77</v>
      </c>
      <c r="I23" s="26">
        <f>F23*D23</f>
        <v>20107.45077143341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51.183383391509054</v>
      </c>
      <c r="D24" s="22">
        <f>SUM(D21:D23)</f>
        <v>1231.8999999999999</v>
      </c>
      <c r="E24" s="21">
        <f>D24/$D$48</f>
        <v>6.6772542982893549E-2</v>
      </c>
      <c r="F24" s="20">
        <f>I24/D24</f>
        <v>51.60345119604623</v>
      </c>
      <c r="G24" s="19">
        <f>F24/C24-1</f>
        <v>8.2071128695033746E-3</v>
      </c>
      <c r="H24" s="18">
        <f>SUM(H21:H23)</f>
        <v>63052.81</v>
      </c>
      <c r="I24" s="18">
        <f>SUM(I21:I23)</f>
        <v>63570.29152840934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v>3756.6</v>
      </c>
      <c r="E26" s="29">
        <f t="shared" ref="E26:E32" si="7">D26/$D$48</f>
        <v>0.20361858508770023</v>
      </c>
      <c r="F26" s="28">
        <f t="shared" ref="F26:F31" si="8">C26-(C26*$E$6)</f>
        <v>38.513511711615024</v>
      </c>
      <c r="G26" s="27" t="str">
        <f t="shared" ref="G26:G31" si="9">IF(C26&gt;=F26,"-","+")</f>
        <v>+</v>
      </c>
      <c r="H26" s="26">
        <f t="shared" ref="H26:H31" si="10">C26*D26</f>
        <v>143502.12</v>
      </c>
      <c r="I26" s="26">
        <f t="shared" ref="I26:I31" si="11">F26*D26</f>
        <v>144679.85809585301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34.1</v>
      </c>
      <c r="D27" s="30">
        <v>2737</v>
      </c>
      <c r="E27" s="29">
        <f t="shared" si="7"/>
        <v>0.14835331613294883</v>
      </c>
      <c r="F27" s="28">
        <f t="shared" si="8"/>
        <v>34.379862548850056</v>
      </c>
      <c r="G27" s="27" t="str">
        <f t="shared" si="9"/>
        <v>+</v>
      </c>
      <c r="H27" s="26">
        <f t="shared" si="10"/>
        <v>93331.7</v>
      </c>
      <c r="I27" s="26">
        <f t="shared" si="11"/>
        <v>94097.683796202604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34.1</v>
      </c>
      <c r="D28" s="30">
        <v>1801.7</v>
      </c>
      <c r="E28" s="29">
        <f t="shared" si="7"/>
        <v>9.7657350996249143E-2</v>
      </c>
      <c r="F28" s="28">
        <f t="shared" si="8"/>
        <v>34.379862548850056</v>
      </c>
      <c r="G28" s="27" t="str">
        <f t="shared" si="9"/>
        <v>+</v>
      </c>
      <c r="H28" s="26">
        <f t="shared" si="10"/>
        <v>61437.97</v>
      </c>
      <c r="I28" s="26">
        <f t="shared" si="11"/>
        <v>61942.19835426315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1831.7</v>
      </c>
      <c r="E29" s="29">
        <f t="shared" si="7"/>
        <v>9.9283437764239077E-2</v>
      </c>
      <c r="F29" s="28">
        <f t="shared" si="8"/>
        <v>33.17001401340665</v>
      </c>
      <c r="G29" s="27" t="str">
        <f t="shared" si="9"/>
        <v>+</v>
      </c>
      <c r="H29" s="26">
        <f t="shared" si="10"/>
        <v>60262.93</v>
      </c>
      <c r="I29" s="26">
        <f t="shared" si="11"/>
        <v>60757.514668356962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1071.5</v>
      </c>
      <c r="E30" s="29">
        <f t="shared" si="7"/>
        <v>5.807839906337401E-2</v>
      </c>
      <c r="F30" s="28">
        <f t="shared" si="8"/>
        <v>33.17001401340665</v>
      </c>
      <c r="G30" s="27" t="str">
        <f t="shared" si="9"/>
        <v>+</v>
      </c>
      <c r="H30" s="26">
        <f t="shared" si="10"/>
        <v>35252.35</v>
      </c>
      <c r="I30" s="26">
        <f t="shared" si="11"/>
        <v>35541.670015365227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536.6</v>
      </c>
      <c r="E31" s="29">
        <f t="shared" si="7"/>
        <v>2.9085271990113386E-2</v>
      </c>
      <c r="F31" s="28">
        <f t="shared" si="8"/>
        <v>33.774938281128357</v>
      </c>
      <c r="G31" s="27" t="str">
        <f t="shared" si="9"/>
        <v>+</v>
      </c>
      <c r="H31" s="26">
        <f t="shared" si="10"/>
        <v>17976.100000000002</v>
      </c>
      <c r="I31" s="26">
        <f t="shared" si="11"/>
        <v>18123.631881653477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35.088168826852765</v>
      </c>
      <c r="D32" s="22">
        <f>SUM(D26:D31)</f>
        <v>11735.100000000002</v>
      </c>
      <c r="E32" s="21">
        <f t="shared" si="7"/>
        <v>0.63607636103462473</v>
      </c>
      <c r="F32" s="20">
        <f>I32/D32</f>
        <v>35.376141388798928</v>
      </c>
      <c r="G32" s="19">
        <f>F32/C32-1</f>
        <v>8.2071128695031526E-3</v>
      </c>
      <c r="H32" s="18">
        <f>SUM(H26:H31)</f>
        <v>411763.17</v>
      </c>
      <c r="I32" s="18">
        <f>SUM(I26:I31)</f>
        <v>415142.55681169441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2243.3000000000002</v>
      </c>
      <c r="E34" s="29">
        <f t="shared" ref="E34:E40" si="13">D34/$D$48</f>
        <v>0.12159334822106106</v>
      </c>
      <c r="F34" s="28">
        <f t="shared" ref="F34:F39" si="14">C34-(C34*$E$6)</f>
        <v>20.264962968677015</v>
      </c>
      <c r="G34" s="27" t="str">
        <f t="shared" ref="G34:G39" si="15">IF(C34&gt;=F34,"-","+")</f>
        <v>+</v>
      </c>
      <c r="H34" s="26">
        <f t="shared" ref="H34:H39" si="16">C34*D34</f>
        <v>45090.330000000009</v>
      </c>
      <c r="I34" s="26">
        <f t="shared" ref="I34:I39" si="17">F34*D34</f>
        <v>45460.391427633149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15.627210249477299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12.501768199581839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33.17001401340665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33.17001401340665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34.1</v>
      </c>
      <c r="D39" s="30"/>
      <c r="E39" s="29">
        <f t="shared" si="13"/>
        <v>0</v>
      </c>
      <c r="F39" s="28">
        <f t="shared" si="14"/>
        <v>34.379862548850056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2243.3000000000002</v>
      </c>
      <c r="E40" s="113">
        <f t="shared" si="13"/>
        <v>0.12159334822106106</v>
      </c>
      <c r="F40" s="20">
        <f>I40/D40</f>
        <v>20.264962968677015</v>
      </c>
      <c r="G40" s="19">
        <f>F40/C40-1</f>
        <v>8.2071128695031526E-3</v>
      </c>
      <c r="H40" s="18">
        <f>SUM(H34:H39)</f>
        <v>45090.330000000009</v>
      </c>
      <c r="I40" s="18">
        <f>SUM(I34:I39)</f>
        <v>45460.391427633149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3105</v>
      </c>
      <c r="E42" s="107">
        <f>D42/$D$48</f>
        <v>0.16829998048695874</v>
      </c>
      <c r="F42" s="28">
        <f>C42-(C42*$E$6)</f>
        <v>0.50410355643475158</v>
      </c>
      <c r="G42" s="27" t="str">
        <f>IF(C42&gt;=F42,"-","+")</f>
        <v>+</v>
      </c>
      <c r="H42" s="26">
        <f>C42*D42</f>
        <v>1552.5</v>
      </c>
      <c r="I42" s="26">
        <f>F42*D42</f>
        <v>1565.2415427299036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126.4</v>
      </c>
      <c r="E43" s="107">
        <f>D43/$D$48</f>
        <v>6.8512455824642788E-3</v>
      </c>
      <c r="F43" s="28">
        <f>C43-(C43*$E$6)</f>
        <v>0.50410355643475158</v>
      </c>
      <c r="G43" s="27" t="str">
        <f>IF(C43&gt;=F43,"-","+")</f>
        <v>+</v>
      </c>
      <c r="H43" s="26">
        <f>C43*D43</f>
        <v>63.2</v>
      </c>
      <c r="I43" s="26">
        <f>F43*D43</f>
        <v>63.718689533352602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7.5</v>
      </c>
      <c r="E45" s="107">
        <f>D45/$D$48</f>
        <v>4.0652169199748489E-4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0.49884219951218006</v>
      </c>
      <c r="D46" s="22">
        <f>SUM(D41:D45)</f>
        <v>3238.9</v>
      </c>
      <c r="E46" s="113">
        <f>D46/$D$48</f>
        <v>0.17555774776142052</v>
      </c>
      <c r="F46" s="20">
        <f>I46/D46</f>
        <v>0.50293625374764772</v>
      </c>
      <c r="G46" s="19">
        <f>F46/C46-1</f>
        <v>8.2071128695031526E-3</v>
      </c>
      <c r="H46" s="18">
        <f>SUM(H41:H44)</f>
        <v>1615.7</v>
      </c>
      <c r="I46" s="18">
        <f>SUM(I41:I44)</f>
        <v>1628.9602322632561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106.870394417874</v>
      </c>
      <c r="D48" s="13">
        <f>D24+D32+D40+D46</f>
        <v>18449.200000000004</v>
      </c>
      <c r="E48" s="12">
        <f>SUM(E20:E46)/2</f>
        <v>0.99999999999999989</v>
      </c>
      <c r="F48" s="11">
        <f>I48/D48</f>
        <v>28.500000000000004</v>
      </c>
      <c r="G48" s="10"/>
      <c r="H48" s="9">
        <f>SUM(H20:H46)/2</f>
        <v>521522.00999999989</v>
      </c>
      <c r="I48" s="9">
        <f>SUM(I20:I46)/2</f>
        <v>525802.20000000019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18449.200000000004</v>
      </c>
      <c r="E50" s="12">
        <f>D50/G2</f>
        <v>1.0000000000000002</v>
      </c>
      <c r="F50" s="11">
        <f>I50/D50</f>
        <v>28.500000000000004</v>
      </c>
      <c r="G50" s="10"/>
      <c r="H50" s="9">
        <f>H48+H19</f>
        <v>521522.00999999989</v>
      </c>
      <c r="I50" s="9">
        <f>I48+I19</f>
        <v>525802.20000000019</v>
      </c>
      <c r="J50" s="106">
        <f>D50-G2</f>
        <v>0</v>
      </c>
      <c r="K50" s="8"/>
    </row>
    <row r="51" spans="1:11" ht="23.25" x14ac:dyDescent="0.35">
      <c r="A51" s="174" t="s">
        <v>630</v>
      </c>
      <c r="B51" s="169"/>
      <c r="C51" s="170"/>
      <c r="G51" s="7"/>
      <c r="H51" s="6"/>
      <c r="I51" s="6">
        <f>+I50/D50</f>
        <v>28.500000000000004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629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629</v>
      </c>
      <c r="D2" s="96" t="s">
        <v>3</v>
      </c>
      <c r="E2" s="95" t="s">
        <v>112</v>
      </c>
      <c r="F2" s="94" t="s">
        <v>5</v>
      </c>
      <c r="G2" s="93">
        <v>11781.7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58</v>
      </c>
      <c r="F3" s="88" t="s">
        <v>8</v>
      </c>
      <c r="G3" s="87">
        <v>25.04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203.13275862068966</v>
      </c>
      <c r="F4" s="81" t="s">
        <v>12</v>
      </c>
      <c r="G4" s="80">
        <f>G2*G3</f>
        <v>295013.76799999998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-8.2654612744811562E-2</v>
      </c>
      <c r="F6" s="69" t="s">
        <v>16</v>
      </c>
      <c r="G6" s="68">
        <f>(I50-I19)/(D50-(SUM(D42:D44)+D19))</f>
        <v>31.471827947812542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27.066365318620289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26.1</v>
      </c>
      <c r="D11" s="30"/>
      <c r="E11" s="29" t="e">
        <f t="shared" si="1"/>
        <v>#DIV/0!</v>
      </c>
      <c r="F11" s="28">
        <f t="shared" si="2"/>
        <v>28.257285392639584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25.767179783326515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26.1</v>
      </c>
      <c r="D13" s="30"/>
      <c r="E13" s="29" t="e">
        <f t="shared" si="1"/>
        <v>#DIV/0!</v>
      </c>
      <c r="F13" s="28">
        <f t="shared" si="2"/>
        <v>28.257285392639584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29.2</v>
      </c>
      <c r="D14" s="30"/>
      <c r="E14" s="29" t="e">
        <f t="shared" si="1"/>
        <v>#DIV/0!</v>
      </c>
      <c r="F14" s="28">
        <f t="shared" si="2"/>
        <v>31.613514692148495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25.983710705875477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32.9</v>
      </c>
      <c r="D16" s="30"/>
      <c r="E16" s="29" t="e">
        <f t="shared" si="1"/>
        <v>#DIV/0!</v>
      </c>
      <c r="F16" s="28">
        <f t="shared" si="2"/>
        <v>35.619336759304296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48.4</v>
      </c>
      <c r="D17" s="30"/>
      <c r="E17" s="29" t="e">
        <f t="shared" si="1"/>
        <v>#DIV/0!</v>
      </c>
      <c r="F17" s="28">
        <f t="shared" si="2"/>
        <v>52.400483256848879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42.4</v>
      </c>
      <c r="D18" s="30"/>
      <c r="E18" s="29" t="e">
        <f t="shared" si="1"/>
        <v>#DIV/0!</v>
      </c>
      <c r="F18" s="28">
        <f t="shared" si="2"/>
        <v>45.904555580380006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</v>
      </c>
      <c r="D21" s="30">
        <v>131.1</v>
      </c>
      <c r="E21" s="29">
        <f>D21/$D$48</f>
        <v>1.1127426432518227E-2</v>
      </c>
      <c r="F21" s="28">
        <f>C21-(C21*$E$6)</f>
        <v>68.207240602923122</v>
      </c>
      <c r="G21" s="27" t="str">
        <f>IF(C21&gt;=F21,"-","+")</f>
        <v>+</v>
      </c>
      <c r="H21" s="26">
        <f>C21*D21</f>
        <v>8259.2999999999993</v>
      </c>
      <c r="I21" s="26">
        <f>F21*D21</f>
        <v>8941.9692430432206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42.3</v>
      </c>
      <c r="D22" s="30">
        <v>311</v>
      </c>
      <c r="E22" s="29">
        <f>D22/$D$48</f>
        <v>2.6396869721687026E-2</v>
      </c>
      <c r="F22" s="28">
        <f>C22-(C22*$E$6)</f>
        <v>45.796290119105528</v>
      </c>
      <c r="G22" s="27" t="str">
        <f>IF(C22&gt;=F22,"-","+")</f>
        <v>+</v>
      </c>
      <c r="H22" s="26">
        <f>C22*D22</f>
        <v>13155.3</v>
      </c>
      <c r="I22" s="26">
        <f>F22*D22</f>
        <v>14242.64622704182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38.6</v>
      </c>
      <c r="D23" s="30">
        <v>253.3</v>
      </c>
      <c r="E23" s="29">
        <f>D23/$D$48</f>
        <v>2.149944405306535E-2</v>
      </c>
      <c r="F23" s="28">
        <f>C23-(C23*$E$6)</f>
        <v>41.79046805194973</v>
      </c>
      <c r="G23" s="27" t="str">
        <f>IF(C23&gt;=F23,"-","+")</f>
        <v>+</v>
      </c>
      <c r="H23" s="26">
        <f>C23*D23</f>
        <v>9777.380000000001</v>
      </c>
      <c r="I23" s="26">
        <f>F23*D23</f>
        <v>10585.525557558867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44.854731090020124</v>
      </c>
      <c r="D24" s="22">
        <f>SUM(D21:D23)</f>
        <v>695.40000000000009</v>
      </c>
      <c r="E24" s="21">
        <f>D24/$D$48</f>
        <v>5.9023740207270609E-2</v>
      </c>
      <c r="F24" s="20">
        <f>I24/D24</f>
        <v>48.562181518038393</v>
      </c>
      <c r="G24" s="19">
        <f>F24/C24-1</f>
        <v>8.2654612744811562E-2</v>
      </c>
      <c r="H24" s="18">
        <f>SUM(H21:H23)</f>
        <v>31191.98</v>
      </c>
      <c r="I24" s="18">
        <f>SUM(I21:I23)</f>
        <v>33770.141027643906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33.6</v>
      </c>
      <c r="D26" s="30">
        <v>2302.8000000000002</v>
      </c>
      <c r="E26" s="29">
        <f t="shared" ref="E26:E32" si="7">D26/$D$48</f>
        <v>0.1954556642929289</v>
      </c>
      <c r="F26" s="28">
        <f t="shared" ref="F26:F31" si="8">C26-(C26*$E$6)</f>
        <v>36.377194988225668</v>
      </c>
      <c r="G26" s="27" t="str">
        <f t="shared" ref="G26:G31" si="9">IF(C26&gt;=F26,"-","+")</f>
        <v>+</v>
      </c>
      <c r="H26" s="26">
        <f t="shared" ref="H26:H31" si="10">C26*D26</f>
        <v>77374.080000000016</v>
      </c>
      <c r="I26" s="26">
        <f t="shared" ref="I26:I31" si="11">F26*D26</f>
        <v>83769.404618886081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1723</v>
      </c>
      <c r="E27" s="29">
        <f t="shared" si="7"/>
        <v>0.14624375090182234</v>
      </c>
      <c r="F27" s="28">
        <f t="shared" si="8"/>
        <v>32.371372921069863</v>
      </c>
      <c r="G27" s="27" t="str">
        <f t="shared" si="9"/>
        <v>+</v>
      </c>
      <c r="H27" s="26">
        <f t="shared" si="10"/>
        <v>51517.7</v>
      </c>
      <c r="I27" s="26">
        <f t="shared" si="11"/>
        <v>55775.875543003371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857.2</v>
      </c>
      <c r="E28" s="29">
        <f t="shared" si="7"/>
        <v>7.2756902654116135E-2</v>
      </c>
      <c r="F28" s="28">
        <f t="shared" si="8"/>
        <v>32.371372921069863</v>
      </c>
      <c r="G28" s="27" t="str">
        <f t="shared" si="9"/>
        <v>+</v>
      </c>
      <c r="H28" s="26">
        <f t="shared" si="10"/>
        <v>25630.28</v>
      </c>
      <c r="I28" s="26">
        <f t="shared" si="11"/>
        <v>27748.740867941087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948.2</v>
      </c>
      <c r="E29" s="29">
        <f t="shared" si="7"/>
        <v>8.0480745563034209E-2</v>
      </c>
      <c r="F29" s="28">
        <f t="shared" si="8"/>
        <v>31.288718308325052</v>
      </c>
      <c r="G29" s="27" t="str">
        <f t="shared" si="9"/>
        <v>+</v>
      </c>
      <c r="H29" s="26">
        <f t="shared" si="10"/>
        <v>27402.98</v>
      </c>
      <c r="I29" s="26">
        <f t="shared" si="11"/>
        <v>29667.962699953816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604.5</v>
      </c>
      <c r="E30" s="29">
        <f t="shared" si="7"/>
        <v>5.1308385037812883E-2</v>
      </c>
      <c r="F30" s="28">
        <f t="shared" si="8"/>
        <v>31.288718308325052</v>
      </c>
      <c r="G30" s="27" t="str">
        <f t="shared" si="9"/>
        <v>+</v>
      </c>
      <c r="H30" s="26">
        <f t="shared" si="10"/>
        <v>17470.05</v>
      </c>
      <c r="I30" s="26">
        <f t="shared" si="11"/>
        <v>18914.030217382493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168.2</v>
      </c>
      <c r="E31" s="29">
        <f t="shared" si="7"/>
        <v>1.4276377772307901E-2</v>
      </c>
      <c r="F31" s="28">
        <f t="shared" si="8"/>
        <v>31.830045614697458</v>
      </c>
      <c r="G31" s="27" t="str">
        <f t="shared" si="9"/>
        <v>+</v>
      </c>
      <c r="H31" s="26">
        <f t="shared" si="10"/>
        <v>4945.079999999999</v>
      </c>
      <c r="I31" s="26">
        <f t="shared" si="11"/>
        <v>5353.8136723921116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30.942347703629672</v>
      </c>
      <c r="D32" s="22">
        <f>SUM(D26:D31)</f>
        <v>6603.9</v>
      </c>
      <c r="E32" s="21">
        <f t="shared" si="7"/>
        <v>0.56052182622202229</v>
      </c>
      <c r="F32" s="20">
        <f>I32/D32</f>
        <v>33.499875470488497</v>
      </c>
      <c r="G32" s="19">
        <f>F32/C32-1</f>
        <v>8.2654612744811784E-2</v>
      </c>
      <c r="H32" s="18">
        <f>SUM(H26:H31)</f>
        <v>204340.16999999998</v>
      </c>
      <c r="I32" s="18">
        <f>SUM(I26:I31)</f>
        <v>221229.82761955896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1050+870.1</f>
        <v>1920.1</v>
      </c>
      <c r="E34" s="29">
        <f t="shared" ref="E34:E40" si="13">D34/$D$48</f>
        <v>0.16297308537817123</v>
      </c>
      <c r="F34" s="28">
        <f t="shared" ref="F34:F39" si="14">C34-(C34*$E$6)</f>
        <v>19.162986645583164</v>
      </c>
      <c r="G34" s="27" t="str">
        <f t="shared" ref="G34:G39" si="15">IF(C34&gt;=F34,"-","+")</f>
        <v>+</v>
      </c>
      <c r="H34" s="26">
        <f t="shared" ref="H34:H39" si="16">C34*D34</f>
        <v>33985.769999999997</v>
      </c>
      <c r="I34" s="26">
        <f t="shared" ref="I34:I39" si="17">F34*D34</f>
        <v>36794.85065818423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147.80000000000001</v>
      </c>
      <c r="E35" s="29">
        <f t="shared" si="13"/>
        <v>1.2544878922396601E-2</v>
      </c>
      <c r="F35" s="28">
        <f t="shared" si="14"/>
        <v>14.724102733329437</v>
      </c>
      <c r="G35" s="27" t="str">
        <f t="shared" si="15"/>
        <v>+</v>
      </c>
      <c r="H35" s="26">
        <f t="shared" si="16"/>
        <v>2010.0800000000002</v>
      </c>
      <c r="I35" s="26">
        <f t="shared" si="17"/>
        <v>2176.2223839860908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11.800935278918447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31.288718308325052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31.288718308325052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32.371372921069863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17.406958750423133</v>
      </c>
      <c r="D40" s="22">
        <f>SUM(D34:D39)</f>
        <v>2067.9</v>
      </c>
      <c r="E40" s="113">
        <f t="shared" si="13"/>
        <v>0.17551796430056785</v>
      </c>
      <c r="F40" s="20">
        <f>I40/D40</f>
        <v>18.845724185004265</v>
      </c>
      <c r="G40" s="19">
        <f>F40/C40-1</f>
        <v>8.2654612744811562E-2</v>
      </c>
      <c r="H40" s="18">
        <f>SUM(H34:H39)</f>
        <v>35995.85</v>
      </c>
      <c r="I40" s="18">
        <f>SUM(I34:I39)</f>
        <v>38971.073042170319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1139+114.8+1063.8</f>
        <v>2317.6</v>
      </c>
      <c r="E42" s="107">
        <f>D42/$D$48</f>
        <v>0.19671184973306061</v>
      </c>
      <c r="F42" s="28">
        <f>C42-(C42*$E$6)</f>
        <v>0.43306184509792467</v>
      </c>
      <c r="G42" s="27" t="str">
        <f>IF(C42&gt;=F42,"-","+")</f>
        <v>+</v>
      </c>
      <c r="H42" s="26">
        <f>C42*D42</f>
        <v>927.04</v>
      </c>
      <c r="I42" s="26">
        <f>F42*D42</f>
        <v>1003.6641321989501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90.2</v>
      </c>
      <c r="E43" s="107">
        <f>D43/$D$48</f>
        <v>7.6559409932352726E-3</v>
      </c>
      <c r="F43" s="28">
        <f>C43-(C43*$E$6)</f>
        <v>0.43306184509792467</v>
      </c>
      <c r="G43" s="27" t="str">
        <f>IF(C43&gt;=F43,"-","+")</f>
        <v>+</v>
      </c>
      <c r="H43" s="26">
        <f>C43*D43</f>
        <v>36.080000000000005</v>
      </c>
      <c r="I43" s="26">
        <f>F43*D43</f>
        <v>39.062178427832805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6.7</v>
      </c>
      <c r="E45" s="107">
        <f>D45/$D$48</f>
        <v>5.686785438434183E-4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0.39889003934562028</v>
      </c>
      <c r="D46" s="22">
        <f>SUM(D41:D45)</f>
        <v>2414.4999999999995</v>
      </c>
      <c r="E46" s="113">
        <f>D46/$D$48</f>
        <v>0.20493646927013925</v>
      </c>
      <c r="F46" s="20">
        <f>I46/D46</f>
        <v>0.43186014107549514</v>
      </c>
      <c r="G46" s="19">
        <f>F46/C46-1</f>
        <v>8.2654612744811562E-2</v>
      </c>
      <c r="H46" s="18">
        <f>SUM(H41:H44)</f>
        <v>963.12</v>
      </c>
      <c r="I46" s="18">
        <f>SUM(I41:I44)</f>
        <v>1042.7263106267828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93.602927583418548</v>
      </c>
      <c r="D48" s="13">
        <f>D24+D32+D40+D46</f>
        <v>11781.699999999999</v>
      </c>
      <c r="E48" s="12">
        <f>SUM(E20:E46)/2</f>
        <v>1</v>
      </c>
      <c r="F48" s="11">
        <f>I48/D48</f>
        <v>25.04</v>
      </c>
      <c r="G48" s="10"/>
      <c r="H48" s="9">
        <f>SUM(H20:H46)/2</f>
        <v>272491.12</v>
      </c>
      <c r="I48" s="9">
        <f>SUM(I20:I46)/2</f>
        <v>295013.76799999998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11781.699999999999</v>
      </c>
      <c r="E50" s="12">
        <f>D50/G2</f>
        <v>0.99999999999999989</v>
      </c>
      <c r="F50" s="11">
        <f>I50/D50</f>
        <v>25.04</v>
      </c>
      <c r="G50" s="10"/>
      <c r="H50" s="9">
        <f>H48+H19</f>
        <v>272491.12</v>
      </c>
      <c r="I50" s="9">
        <f>I48+I19</f>
        <v>295013.76799999998</v>
      </c>
      <c r="J50" s="106">
        <f>D50-G2</f>
        <v>0</v>
      </c>
      <c r="K50" s="8"/>
    </row>
    <row r="51" spans="1:11" ht="23.25" x14ac:dyDescent="0.35">
      <c r="A51" s="174" t="s">
        <v>631</v>
      </c>
      <c r="B51" s="169"/>
      <c r="C51" s="170"/>
      <c r="G51" s="7"/>
      <c r="H51" s="6"/>
      <c r="I51" s="6">
        <f>+I50/D50</f>
        <v>25.04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629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632</v>
      </c>
      <c r="D2" s="96" t="s">
        <v>3</v>
      </c>
      <c r="E2" s="95" t="s">
        <v>112</v>
      </c>
      <c r="F2" s="94" t="s">
        <v>5</v>
      </c>
      <c r="G2" s="93">
        <v>2952.4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32</v>
      </c>
      <c r="F3" s="88" t="s">
        <v>8</v>
      </c>
      <c r="G3" s="87">
        <v>25.04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92.262500000000003</v>
      </c>
      <c r="F4" s="81" t="s">
        <v>12</v>
      </c>
      <c r="G4" s="80">
        <f>G2*G3</f>
        <v>73928.096000000005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-1.6766922494729108E-2</v>
      </c>
      <c r="F6" s="69" t="s">
        <v>16</v>
      </c>
      <c r="G6" s="68">
        <f>(I50-I19)/(D50-(SUM(D42:D44)+D19))</f>
        <v>30.606978554276751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25.419173062368227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26.1</v>
      </c>
      <c r="D11" s="30"/>
      <c r="E11" s="29" t="e">
        <f t="shared" si="1"/>
        <v>#DIV/0!</v>
      </c>
      <c r="F11" s="28">
        <f t="shared" si="2"/>
        <v>26.537616677112432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24.199052755374552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26.1</v>
      </c>
      <c r="D13" s="30"/>
      <c r="E13" s="29" t="e">
        <f t="shared" si="1"/>
        <v>#DIV/0!</v>
      </c>
      <c r="F13" s="28">
        <f t="shared" si="2"/>
        <v>26.537616677112432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29.2</v>
      </c>
      <c r="D14" s="30"/>
      <c r="E14" s="29" t="e">
        <f t="shared" si="1"/>
        <v>#DIV/0!</v>
      </c>
      <c r="F14" s="28">
        <f t="shared" si="2"/>
        <v>29.68959413684609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24.402406139873499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32.9</v>
      </c>
      <c r="D16" s="30"/>
      <c r="E16" s="29" t="e">
        <f t="shared" si="1"/>
        <v>#DIV/0!</v>
      </c>
      <c r="F16" s="28">
        <f t="shared" si="2"/>
        <v>33.451631750076587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48.4</v>
      </c>
      <c r="D17" s="30"/>
      <c r="E17" s="29" t="e">
        <f t="shared" si="1"/>
        <v>#DIV/0!</v>
      </c>
      <c r="F17" s="28">
        <f t="shared" si="2"/>
        <v>49.21151904874489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42.4</v>
      </c>
      <c r="D18" s="30"/>
      <c r="E18" s="29" t="e">
        <f t="shared" si="1"/>
        <v>#DIV/0!</v>
      </c>
      <c r="F18" s="28">
        <f t="shared" si="2"/>
        <v>43.110917513776513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</v>
      </c>
      <c r="D21" s="30">
        <v>33.5</v>
      </c>
      <c r="E21" s="29">
        <f>D21/$D$48</f>
        <v>1.1346700989025878E-2</v>
      </c>
      <c r="F21" s="28">
        <f>C21-(C21*$E$6)</f>
        <v>64.056316117167938</v>
      </c>
      <c r="G21" s="27" t="str">
        <f>IF(C21&gt;=F21,"-","+")</f>
        <v>+</v>
      </c>
      <c r="H21" s="26">
        <f>C21*D21</f>
        <v>2110.5</v>
      </c>
      <c r="I21" s="26">
        <f>F21*D21</f>
        <v>2145.8865899251259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42.3</v>
      </c>
      <c r="D22" s="30">
        <v>85.5</v>
      </c>
      <c r="E22" s="29">
        <f>D22/$D$48</f>
        <v>2.895949058393172E-2</v>
      </c>
      <c r="F22" s="28">
        <f>C22-(C22*$E$6)</f>
        <v>43.009240821527037</v>
      </c>
      <c r="G22" s="27" t="str">
        <f>IF(C22&gt;=F22,"-","+")</f>
        <v>+</v>
      </c>
      <c r="H22" s="26">
        <f>C22*D22</f>
        <v>3616.6499999999996</v>
      </c>
      <c r="I22" s="26">
        <f>F22*D22</f>
        <v>3677.2900902405618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38.6</v>
      </c>
      <c r="D23" s="30">
        <v>63.2</v>
      </c>
      <c r="E23" s="29">
        <f>D23/$D$48</f>
        <v>2.1406313507654793E-2</v>
      </c>
      <c r="F23" s="28">
        <f>C23-(C23*$E$6)</f>
        <v>39.247203208296547</v>
      </c>
      <c r="G23" s="27" t="str">
        <f>IF(C23&gt;=F23,"-","+")</f>
        <v>+</v>
      </c>
      <c r="H23" s="26">
        <f>C23*D23</f>
        <v>2439.52</v>
      </c>
      <c r="I23" s="26">
        <f>F23*D23</f>
        <v>2480.4232427643419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44.822557628979148</v>
      </c>
      <c r="D24" s="22">
        <f>SUM(D21:D23)</f>
        <v>182.2</v>
      </c>
      <c r="E24" s="21">
        <f>D24/$D$48</f>
        <v>6.1712505080612386E-2</v>
      </c>
      <c r="F24" s="20">
        <f>I24/D24</f>
        <v>45.574093978759763</v>
      </c>
      <c r="G24" s="19">
        <f>F24/C24-1</f>
        <v>1.6766922494728886E-2</v>
      </c>
      <c r="H24" s="18">
        <f>SUM(H21:H23)</f>
        <v>8166.67</v>
      </c>
      <c r="I24" s="18">
        <f>SUM(I21:I23)</f>
        <v>8303.5999229300287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33.6</v>
      </c>
      <c r="D26" s="30">
        <v>670</v>
      </c>
      <c r="E26" s="29">
        <f t="shared" ref="E26:E32" si="7">D26/$D$48</f>
        <v>0.22693401978051758</v>
      </c>
      <c r="F26" s="28">
        <f t="shared" ref="F26:F31" si="8">C26-(C26*$E$6)</f>
        <v>34.163368595822902</v>
      </c>
      <c r="G26" s="27" t="str">
        <f t="shared" ref="G26:G31" si="9">IF(C26&gt;=F26,"-","+")</f>
        <v>+</v>
      </c>
      <c r="H26" s="26">
        <f t="shared" ref="H26:H31" si="10">C26*D26</f>
        <v>22512</v>
      </c>
      <c r="I26" s="26">
        <f t="shared" ref="I26:I31" si="11">F26*D26</f>
        <v>22889.456959201343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459.1</v>
      </c>
      <c r="E27" s="29">
        <f t="shared" si="7"/>
        <v>0.155500609673486</v>
      </c>
      <c r="F27" s="28">
        <f t="shared" si="8"/>
        <v>30.401330982592398</v>
      </c>
      <c r="G27" s="27" t="str">
        <f t="shared" si="9"/>
        <v>+</v>
      </c>
      <c r="H27" s="26">
        <f t="shared" si="10"/>
        <v>13727.09</v>
      </c>
      <c r="I27" s="26">
        <f t="shared" si="11"/>
        <v>13957.25105410817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250.8</v>
      </c>
      <c r="E28" s="29">
        <f t="shared" si="7"/>
        <v>8.4947839046199722E-2</v>
      </c>
      <c r="F28" s="28">
        <f t="shared" si="8"/>
        <v>30.401330982592398</v>
      </c>
      <c r="G28" s="27" t="str">
        <f t="shared" si="9"/>
        <v>+</v>
      </c>
      <c r="H28" s="26">
        <f t="shared" si="10"/>
        <v>7498.92</v>
      </c>
      <c r="I28" s="26">
        <f t="shared" si="11"/>
        <v>7624.6538104341735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258.5</v>
      </c>
      <c r="E29" s="29">
        <f t="shared" si="7"/>
        <v>8.7555886736214616E-2</v>
      </c>
      <c r="F29" s="28">
        <f t="shared" si="8"/>
        <v>29.38456406009767</v>
      </c>
      <c r="G29" s="27" t="str">
        <f t="shared" si="9"/>
        <v>+</v>
      </c>
      <c r="H29" s="26">
        <f t="shared" si="10"/>
        <v>7470.65</v>
      </c>
      <c r="I29" s="26">
        <f t="shared" si="11"/>
        <v>7595.9098095352474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199.2</v>
      </c>
      <c r="E30" s="29">
        <f t="shared" si="7"/>
        <v>6.7470532448177759E-2</v>
      </c>
      <c r="F30" s="28">
        <f t="shared" si="8"/>
        <v>29.38456406009767</v>
      </c>
      <c r="G30" s="27" t="str">
        <f t="shared" si="9"/>
        <v>+</v>
      </c>
      <c r="H30" s="26">
        <f t="shared" si="10"/>
        <v>5756.8799999999992</v>
      </c>
      <c r="I30" s="26">
        <f t="shared" si="11"/>
        <v>5853.4051607714555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36</v>
      </c>
      <c r="E31" s="29">
        <f t="shared" si="7"/>
        <v>1.2193469719550197E-2</v>
      </c>
      <c r="F31" s="28">
        <f t="shared" si="8"/>
        <v>29.892947521345036</v>
      </c>
      <c r="G31" s="27" t="str">
        <f t="shared" si="9"/>
        <v>+</v>
      </c>
      <c r="H31" s="26">
        <f t="shared" si="10"/>
        <v>1058.3999999999999</v>
      </c>
      <c r="I31" s="26">
        <f t="shared" si="11"/>
        <v>1076.1461107684213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30.969225021349274</v>
      </c>
      <c r="D32" s="22">
        <f>SUM(D26:D31)</f>
        <v>1873.6</v>
      </c>
      <c r="E32" s="21">
        <f t="shared" si="7"/>
        <v>0.63460235740414583</v>
      </c>
      <c r="F32" s="20">
        <f>I32/D32</f>
        <v>31.488483617004064</v>
      </c>
      <c r="G32" s="19">
        <f>F32/C32-1</f>
        <v>1.6766922494729108E-2</v>
      </c>
      <c r="H32" s="18">
        <f>SUM(H26:H31)</f>
        <v>58023.939999999995</v>
      </c>
      <c r="I32" s="18">
        <f>SUM(I26:I31)</f>
        <v>58996.822904818815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v>356.2</v>
      </c>
      <c r="E34" s="29">
        <f t="shared" ref="E34:E40" si="13">D34/$D$48</f>
        <v>0.12064760872510501</v>
      </c>
      <c r="F34" s="28">
        <f t="shared" ref="F34:F39" si="14">C34-(C34*$E$6)</f>
        <v>17.996774528156706</v>
      </c>
      <c r="G34" s="27" t="str">
        <f t="shared" ref="G34:G39" si="15">IF(C34&gt;=F34,"-","+")</f>
        <v>+</v>
      </c>
      <c r="H34" s="26">
        <f t="shared" ref="H34:H39" si="16">C34*D34</f>
        <v>6304.74</v>
      </c>
      <c r="I34" s="26">
        <f t="shared" ref="I34:I39" si="17">F34*D34</f>
        <v>6410.4510869294181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/>
      <c r="E35" s="29">
        <f t="shared" si="13"/>
        <v>0</v>
      </c>
      <c r="F35" s="28">
        <f t="shared" si="14"/>
        <v>13.828030145928315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11.082759455192548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29.38456406009767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29.38456406009767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30.401330982592398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17.7</v>
      </c>
      <c r="D40" s="22">
        <f>SUM(D34:D39)</f>
        <v>356.2</v>
      </c>
      <c r="E40" s="113">
        <f t="shared" si="13"/>
        <v>0.12064760872510501</v>
      </c>
      <c r="F40" s="20">
        <f>I40/D40</f>
        <v>17.996774528156706</v>
      </c>
      <c r="G40" s="19">
        <f>F40/C40-1</f>
        <v>1.6766922494729108E-2</v>
      </c>
      <c r="H40" s="18">
        <f>SUM(H34:H39)</f>
        <v>6304.74</v>
      </c>
      <c r="I40" s="18">
        <f>SUM(I34:I39)</f>
        <v>6410.4510869294181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521</v>
      </c>
      <c r="E42" s="107">
        <f>D42/$D$48</f>
        <v>0.17646660344126813</v>
      </c>
      <c r="F42" s="28">
        <f>C42-(C42*$E$6)</f>
        <v>0.40670676899789165</v>
      </c>
      <c r="G42" s="27" t="str">
        <f>IF(C42&gt;=F42,"-","+")</f>
        <v>+</v>
      </c>
      <c r="H42" s="26">
        <f>C42*D42</f>
        <v>208.4</v>
      </c>
      <c r="I42" s="26">
        <f>F42*D42</f>
        <v>211.89422664790155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13.1</v>
      </c>
      <c r="E43" s="107">
        <f>D43/$D$48</f>
        <v>4.4370681479474327E-3</v>
      </c>
      <c r="F43" s="28">
        <f>C43-(C43*$E$6)</f>
        <v>0.40670676899789165</v>
      </c>
      <c r="G43" s="27" t="str">
        <f>IF(C43&gt;=F43,"-","+")</f>
        <v>+</v>
      </c>
      <c r="H43" s="26">
        <f>C43*D43</f>
        <v>5.24</v>
      </c>
      <c r="I43" s="26">
        <f>F43*D43</f>
        <v>5.3278586738723801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2.9</v>
      </c>
      <c r="E44" s="107">
        <f>D44/$D$48</f>
        <v>9.8225172740821045E-4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3.4</v>
      </c>
      <c r="E45" s="107">
        <f>D45/$D$48</f>
        <v>1.1516054735130742E-3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0.39533678756476687</v>
      </c>
      <c r="D46" s="22">
        <f>SUM(D41:D45)</f>
        <v>540.4</v>
      </c>
      <c r="E46" s="113">
        <f>D46/$D$48</f>
        <v>0.18303752879013685</v>
      </c>
      <c r="F46" s="20">
        <f>I46/D46</f>
        <v>0.4019653688411805</v>
      </c>
      <c r="G46" s="19">
        <f>F46/C46-1</f>
        <v>1.6766922494729108E-2</v>
      </c>
      <c r="H46" s="18">
        <f>SUM(H41:H44)</f>
        <v>213.64000000000001</v>
      </c>
      <c r="I46" s="18">
        <f>SUM(I41:I44)</f>
        <v>217.22208532177393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93.887119437893205</v>
      </c>
      <c r="D48" s="13">
        <f>D24+D32+D40+D46</f>
        <v>2952.3999999999996</v>
      </c>
      <c r="E48" s="12">
        <f>SUM(E20:E46)/2</f>
        <v>1</v>
      </c>
      <c r="F48" s="11">
        <f>I48/D48</f>
        <v>25.04000000000002</v>
      </c>
      <c r="G48" s="10"/>
      <c r="H48" s="9">
        <f>SUM(H20:H46)/2</f>
        <v>72708.989999999976</v>
      </c>
      <c r="I48" s="9">
        <f>SUM(I20:I46)/2</f>
        <v>73928.096000000049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2952.3999999999996</v>
      </c>
      <c r="E50" s="12">
        <f>D50/G2</f>
        <v>0.99999999999999989</v>
      </c>
      <c r="F50" s="11">
        <f>I50/D50</f>
        <v>25.04000000000002</v>
      </c>
      <c r="G50" s="10"/>
      <c r="H50" s="9">
        <f>H48+H19</f>
        <v>72708.989999999976</v>
      </c>
      <c r="I50" s="9">
        <f>I48+I19</f>
        <v>73928.096000000049</v>
      </c>
      <c r="J50" s="106">
        <f>D50-G2</f>
        <v>0</v>
      </c>
      <c r="K50" s="8"/>
    </row>
    <row r="51" spans="1:11" ht="23.25" x14ac:dyDescent="0.35">
      <c r="A51" s="174" t="s">
        <v>633</v>
      </c>
      <c r="B51" s="169"/>
      <c r="C51" s="170"/>
      <c r="G51" s="7"/>
      <c r="H51" s="6"/>
      <c r="I51" s="6">
        <f>+I50/D50</f>
        <v>25.04000000000002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634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632</v>
      </c>
      <c r="D2" s="96" t="s">
        <v>3</v>
      </c>
      <c r="E2" s="95" t="s">
        <v>71</v>
      </c>
      <c r="F2" s="94" t="s">
        <v>5</v>
      </c>
      <c r="G2" s="93">
        <v>4451.8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60</v>
      </c>
      <c r="F3" s="88" t="s">
        <v>8</v>
      </c>
      <c r="G3" s="87">
        <v>28.4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74.196666666666673</v>
      </c>
      <c r="F4" s="81" t="s">
        <v>12</v>
      </c>
      <c r="G4" s="80">
        <f>G2*G3</f>
        <v>126431.12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-1.1096596130619751E-3</v>
      </c>
      <c r="F6" s="69" t="s">
        <v>16</v>
      </c>
      <c r="G6" s="68">
        <f>(I50-I19)/(D50-(SUM(D42:D44)+D19))</f>
        <v>32.576320260482383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>
        <f t="shared" ref="E10:E19" si="1">D10/$D$19</f>
        <v>0</v>
      </c>
      <c r="F10" s="28">
        <f t="shared" ref="F10:F18" si="2">C10-(C10*$E$6)</f>
        <v>28.431514333010959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>
        <v>671.7</v>
      </c>
      <c r="E11" s="29">
        <f t="shared" si="1"/>
        <v>0.27656771112117595</v>
      </c>
      <c r="F11" s="28">
        <f t="shared" si="2"/>
        <v>29.632845924546636</v>
      </c>
      <c r="G11" s="27" t="str">
        <f t="shared" si="3"/>
        <v>+</v>
      </c>
      <c r="H11" s="34">
        <f t="shared" si="4"/>
        <v>19882.320000000003</v>
      </c>
      <c r="I11" s="34">
        <f t="shared" si="5"/>
        <v>19904.382607517979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>
        <v>799.8</v>
      </c>
      <c r="E12" s="29">
        <f t="shared" si="1"/>
        <v>0.3293119776011858</v>
      </c>
      <c r="F12" s="28">
        <f t="shared" si="2"/>
        <v>27.029960809552673</v>
      </c>
      <c r="G12" s="27" t="str">
        <f t="shared" si="3"/>
        <v>+</v>
      </c>
      <c r="H12" s="34">
        <f t="shared" si="4"/>
        <v>21594.6</v>
      </c>
      <c r="I12" s="34">
        <f t="shared" si="5"/>
        <v>21618.562655480226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>
        <v>936.2</v>
      </c>
      <c r="E13" s="29">
        <f t="shared" si="1"/>
        <v>0.3854737102153416</v>
      </c>
      <c r="F13" s="28">
        <f t="shared" si="2"/>
        <v>29.632845924546636</v>
      </c>
      <c r="G13" s="27" t="str">
        <f t="shared" si="3"/>
        <v>+</v>
      </c>
      <c r="H13" s="34">
        <f t="shared" si="4"/>
        <v>27711.520000000004</v>
      </c>
      <c r="I13" s="34">
        <f t="shared" si="5"/>
        <v>27742.270354560562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>
        <f t="shared" si="1"/>
        <v>0</v>
      </c>
      <c r="F14" s="28">
        <f t="shared" si="2"/>
        <v>33.136729733192354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/>
      <c r="E15" s="29">
        <f t="shared" si="1"/>
        <v>0</v>
      </c>
      <c r="F15" s="28">
        <f t="shared" si="2"/>
        <v>27.330293707436592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>
        <f t="shared" si="1"/>
        <v>0</v>
      </c>
      <c r="F16" s="28">
        <f t="shared" si="2"/>
        <v>37.341390303567209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54.9</v>
      </c>
      <c r="D17" s="30">
        <v>21</v>
      </c>
      <c r="E17" s="29">
        <f t="shared" si="1"/>
        <v>8.6466010622967028E-3</v>
      </c>
      <c r="F17" s="28">
        <f t="shared" si="2"/>
        <v>54.960920312757104</v>
      </c>
      <c r="G17" s="27" t="str">
        <f t="shared" si="3"/>
        <v>+</v>
      </c>
      <c r="H17" s="34">
        <f t="shared" si="4"/>
        <v>1152.8999999999999</v>
      </c>
      <c r="I17" s="34">
        <f t="shared" si="5"/>
        <v>1154.1793265678991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48.1</v>
      </c>
      <c r="D18" s="30"/>
      <c r="E18" s="29">
        <f t="shared" si="1"/>
        <v>0</v>
      </c>
      <c r="F18" s="28">
        <f t="shared" si="2"/>
        <v>48.153374627388281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28.962547865113024</v>
      </c>
      <c r="D19" s="49">
        <f>SUM(D10:D18)</f>
        <v>2428.6999999999998</v>
      </c>
      <c r="E19" s="48">
        <f t="shared" si="1"/>
        <v>1</v>
      </c>
      <c r="F19" s="47">
        <f>I19/D19</f>
        <v>28.994686434770323</v>
      </c>
      <c r="G19" s="46">
        <f>F19/C19-1</f>
        <v>1.1096596130621972E-3</v>
      </c>
      <c r="H19" s="9">
        <f>SUM(H10:H18)</f>
        <v>70341.34</v>
      </c>
      <c r="I19" s="9">
        <f>SUM(I10:I18)</f>
        <v>70419.394944126674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71.400000000000006</v>
      </c>
      <c r="D21" s="30">
        <v>37</v>
      </c>
      <c r="E21" s="29">
        <f>D21/$D$48</f>
        <v>1.8286053177819513E-2</v>
      </c>
      <c r="F21" s="28">
        <f>C21-(C21*$E$6)</f>
        <v>71.479229696372627</v>
      </c>
      <c r="G21" s="27" t="str">
        <f>IF(C21&gt;=F21,"-","+")</f>
        <v>+</v>
      </c>
      <c r="H21" s="26">
        <f>C21*D21</f>
        <v>2641.8</v>
      </c>
      <c r="I21" s="26">
        <f>F21*D21</f>
        <v>2644.7314987657874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</v>
      </c>
      <c r="D22" s="30">
        <v>90</v>
      </c>
      <c r="E22" s="29">
        <f>D22/$D$48</f>
        <v>4.4479588810912331E-2</v>
      </c>
      <c r="F22" s="28">
        <f>C22-(C22*$E$6)</f>
        <v>48.053263661426975</v>
      </c>
      <c r="G22" s="27" t="str">
        <f>IF(C22&gt;=F22,"-","+")</f>
        <v>+</v>
      </c>
      <c r="H22" s="26">
        <f>C22*D22</f>
        <v>4320</v>
      </c>
      <c r="I22" s="26">
        <f>F22*D22</f>
        <v>4324.7937295284273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76</v>
      </c>
      <c r="E23" s="29">
        <f>D23/$D$48</f>
        <v>3.7560541662548186E-2</v>
      </c>
      <c r="F23" s="28">
        <f>C23-(C23*$E$6)</f>
        <v>43.748492125090813</v>
      </c>
      <c r="G23" s="27" t="str">
        <f>IF(C23&gt;=F23,"-","+")</f>
        <v>+</v>
      </c>
      <c r="H23" s="26">
        <f>C23*D23</f>
        <v>3321.2000000000003</v>
      </c>
      <c r="I23" s="26">
        <f>F23*D23</f>
        <v>3324.8854015069019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50.655172413793103</v>
      </c>
      <c r="D24" s="22">
        <f>SUM(D21:D23)</f>
        <v>203</v>
      </c>
      <c r="E24" s="21">
        <f>D24/$D$48</f>
        <v>0.10032618365128003</v>
      </c>
      <c r="F24" s="20">
        <f>I24/D24</f>
        <v>50.711382412813386</v>
      </c>
      <c r="G24" s="19">
        <f>F24/C24-1</f>
        <v>1.1096596130619751E-3</v>
      </c>
      <c r="H24" s="18">
        <f>SUM(H21:H23)</f>
        <v>10283</v>
      </c>
      <c r="I24" s="18">
        <f>SUM(I21:I23)</f>
        <v>10294.410629801117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38.1</v>
      </c>
      <c r="D26" s="30"/>
      <c r="E26" s="29">
        <f t="shared" ref="E26:E32" si="7">D26/$D$48</f>
        <v>0</v>
      </c>
      <c r="F26" s="28">
        <f t="shared" ref="F26:F31" si="8">C26-(C26*$E$6)</f>
        <v>38.142278031257661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420.4</v>
      </c>
      <c r="E27" s="29">
        <f t="shared" si="7"/>
        <v>0.20776910151230601</v>
      </c>
      <c r="F27" s="28">
        <f t="shared" si="8"/>
        <v>33.937617460882798</v>
      </c>
      <c r="G27" s="27" t="str">
        <f t="shared" si="9"/>
        <v>+</v>
      </c>
      <c r="H27" s="26">
        <f t="shared" si="10"/>
        <v>14251.56</v>
      </c>
      <c r="I27" s="26">
        <f t="shared" si="11"/>
        <v>14267.374380555128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253.4</v>
      </c>
      <c r="E28" s="29">
        <f t="shared" si="7"/>
        <v>0.12523475338539095</v>
      </c>
      <c r="F28" s="28">
        <f t="shared" si="8"/>
        <v>33.937617460882798</v>
      </c>
      <c r="G28" s="27" t="str">
        <f t="shared" si="9"/>
        <v>+</v>
      </c>
      <c r="H28" s="26">
        <f t="shared" si="10"/>
        <v>8590.26</v>
      </c>
      <c r="I28" s="26">
        <f t="shared" si="11"/>
        <v>8599.7922645877006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32.799999999999997</v>
      </c>
      <c r="D29" s="30">
        <v>259</v>
      </c>
      <c r="E29" s="29">
        <f t="shared" si="7"/>
        <v>0.1280023722447366</v>
      </c>
      <c r="F29" s="28">
        <f t="shared" si="8"/>
        <v>32.836396835308427</v>
      </c>
      <c r="G29" s="27" t="str">
        <f t="shared" si="9"/>
        <v>+</v>
      </c>
      <c r="H29" s="26">
        <f t="shared" si="10"/>
        <v>8495.1999999999989</v>
      </c>
      <c r="I29" s="26">
        <f t="shared" si="11"/>
        <v>8504.6267803448827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32.799999999999997</v>
      </c>
      <c r="D30" s="30">
        <v>205.2</v>
      </c>
      <c r="E30" s="29">
        <f t="shared" si="7"/>
        <v>0.1014134624888801</v>
      </c>
      <c r="F30" s="28">
        <f t="shared" si="8"/>
        <v>32.836396835308427</v>
      </c>
      <c r="G30" s="27" t="str">
        <f t="shared" si="9"/>
        <v>+</v>
      </c>
      <c r="H30" s="26">
        <f t="shared" si="10"/>
        <v>6730.5599999999995</v>
      </c>
      <c r="I30" s="26">
        <f t="shared" si="11"/>
        <v>6738.0286306052885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/>
      <c r="E31" s="29">
        <f t="shared" si="7"/>
        <v>0</v>
      </c>
      <c r="F31" s="28">
        <f t="shared" si="8"/>
        <v>33.437062631076266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33.451300527240768</v>
      </c>
      <c r="D32" s="22">
        <f>SUM(D26:D31)</f>
        <v>1138</v>
      </c>
      <c r="E32" s="21">
        <f t="shared" si="7"/>
        <v>0.56241968963131361</v>
      </c>
      <c r="F32" s="20">
        <f>I32/D32</f>
        <v>33.488420084440243</v>
      </c>
      <c r="G32" s="19">
        <f>F32/C32-1</f>
        <v>1.1096596130619751E-3</v>
      </c>
      <c r="H32" s="18">
        <f>SUM(H26:H31)</f>
        <v>38067.579999999994</v>
      </c>
      <c r="I32" s="18">
        <f>SUM(I26:I31)</f>
        <v>38109.822056092999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370.6</v>
      </c>
      <c r="E34" s="29">
        <f t="shared" ref="E34:E40" si="13">D34/$D$48</f>
        <v>0.18315706237026788</v>
      </c>
      <c r="F34" s="28">
        <f t="shared" ref="F34:F39" si="14">C34-(C34*$E$6)</f>
        <v>20.122304158222548</v>
      </c>
      <c r="G34" s="27" t="str">
        <f t="shared" ref="G34:G39" si="15">IF(C34&gt;=F34,"-","+")</f>
        <v>+</v>
      </c>
      <c r="H34" s="26">
        <f t="shared" ref="H34:H39" si="16">C34*D34</f>
        <v>7449.0600000000013</v>
      </c>
      <c r="I34" s="26">
        <f t="shared" ref="I34:I39" si="17">F34*D34</f>
        <v>7457.3259210372762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15.417088758041155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12.413759779201969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32.799999999999997</v>
      </c>
      <c r="D37" s="30"/>
      <c r="E37" s="29">
        <f t="shared" si="13"/>
        <v>0</v>
      </c>
      <c r="F37" s="28">
        <f t="shared" si="14"/>
        <v>32.836396835308427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32.799999999999997</v>
      </c>
      <c r="D38" s="30"/>
      <c r="E38" s="29">
        <f t="shared" si="13"/>
        <v>0</v>
      </c>
      <c r="F38" s="28">
        <f t="shared" si="14"/>
        <v>32.836396835308427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33.937617460882798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370.6</v>
      </c>
      <c r="E40" s="21">
        <f t="shared" si="13"/>
        <v>0.18315706237026788</v>
      </c>
      <c r="F40" s="20">
        <f>I40/D40</f>
        <v>20.122304158222548</v>
      </c>
      <c r="G40" s="19">
        <f>F40/C40-1</f>
        <v>1.1096596130619751E-3</v>
      </c>
      <c r="H40" s="18">
        <f>SUM(H34:H39)</f>
        <v>7449.0600000000013</v>
      </c>
      <c r="I40" s="18">
        <f>SUM(I34:I39)</f>
        <v>7457.3259210372762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292</v>
      </c>
      <c r="E42" s="107">
        <f>D42/$D$48</f>
        <v>0.14431155480873778</v>
      </c>
      <c r="F42" s="28">
        <f>C42-(C42*$E$6)</f>
        <v>0.50055482980653099</v>
      </c>
      <c r="G42" s="27" t="str">
        <f>IF(C42&gt;=F42,"-","+")</f>
        <v>+</v>
      </c>
      <c r="H42" s="26">
        <f>C42*D42</f>
        <v>146</v>
      </c>
      <c r="I42" s="26">
        <f>F42*D42</f>
        <v>146.16201030350706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</v>
      </c>
      <c r="E43" s="107">
        <f>D43/$D$48</f>
        <v>3.953741227636651E-3</v>
      </c>
      <c r="F43" s="28">
        <f>C43-(C43*$E$6)</f>
        <v>0.50055482980653099</v>
      </c>
      <c r="G43" s="27" t="str">
        <f>IF(C43&gt;=F43,"-","+")</f>
        <v>+</v>
      </c>
      <c r="H43" s="26">
        <f>C43*D43</f>
        <v>4</v>
      </c>
      <c r="I43" s="26">
        <f>F43*D43</f>
        <v>4.0044386384522479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</v>
      </c>
      <c r="E44" s="107">
        <f>D44/$D$48</f>
        <v>1.9768706138183255E-3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7.8</v>
      </c>
      <c r="E45" s="107">
        <f>D45/$D$48</f>
        <v>3.854897696945735E-3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0.48107761385503528</v>
      </c>
      <c r="D46" s="22">
        <f>SUM(D41:D45)</f>
        <v>311.8</v>
      </c>
      <c r="E46" s="21">
        <f>D46/$D$48</f>
        <v>0.15409706434713849</v>
      </c>
      <c r="F46" s="20">
        <f>I46/D46</f>
        <v>0.48161144625387847</v>
      </c>
      <c r="G46" s="19">
        <f>F46/C46-1</f>
        <v>1.1096596130619751E-3</v>
      </c>
      <c r="H46" s="18">
        <f>SUM(H41:H44)</f>
        <v>150</v>
      </c>
      <c r="I46" s="18">
        <f>SUM(I41:I44)</f>
        <v>150.16644894195932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104.6875505548889</v>
      </c>
      <c r="D48" s="13">
        <f>D24+D32+D40+D46</f>
        <v>2023.3999999999999</v>
      </c>
      <c r="E48" s="12">
        <f>SUM(E20:E46)/2</f>
        <v>0.99999999999999989</v>
      </c>
      <c r="F48" s="11">
        <f>I48/D48</f>
        <v>27.681983323056919</v>
      </c>
      <c r="G48" s="10"/>
      <c r="H48" s="9">
        <f>SUM(H20:H46)/2</f>
        <v>55949.639999999992</v>
      </c>
      <c r="I48" s="9">
        <f>SUM(I20:I46)/2</f>
        <v>56011.725055873365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4452.0999999999985</v>
      </c>
      <c r="E50" s="12">
        <f>D50/G2</f>
        <v>1.0000673884720783</v>
      </c>
      <c r="F50" s="11">
        <f>I50/D50</f>
        <v>28.398086296354549</v>
      </c>
      <c r="G50" s="10"/>
      <c r="H50" s="9">
        <f>H48+H19</f>
        <v>126290.97999999998</v>
      </c>
      <c r="I50" s="9">
        <f>I48+I19</f>
        <v>126431.12000000004</v>
      </c>
      <c r="J50" s="106">
        <f>D50-G2</f>
        <v>0.29999999999836291</v>
      </c>
      <c r="K50" s="8"/>
    </row>
    <row r="51" spans="1:11" ht="23.25" x14ac:dyDescent="0.35">
      <c r="A51" s="174" t="s">
        <v>635</v>
      </c>
      <c r="B51" s="169"/>
      <c r="C51" s="170"/>
      <c r="G51" s="7"/>
      <c r="H51" s="6"/>
      <c r="I51" s="6">
        <f>+I50/D50</f>
        <v>28.398086296354549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>
    <tabColor rgb="FFFF0000"/>
  </sheetPr>
  <dimension ref="A1:K56"/>
  <sheetViews>
    <sheetView topLeftCell="A40" workbookViewId="0"/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636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BO31-19052527'!G2+'MİR31-19052530-S'!G2+'MİR30-19052930-S'!G2+'YIL30-19052930'!G2+'ÜN29-19052829-S'!G2+'EM28-19052728-S'!G2+'YIL27-19052527'!G2+'BEŞ24-19052324-S'!G2+'BEŞ24-19052324-D'!G2+'G23-19052123'!G2+'ÜN23-19052122-S'!G2+'EMM23-19052122'!G2+'ÖB22-19051517-D'!G2+'BEŞ22-19051617-D'!G2+'MRZ21-19051718-S'!G2+'AYG21-19051920-S'!G2+'EMR21-19051617-S'!G2+'ÖB21-19051517-S'!G2+'BO21-19051820'!G2+'G21-19051820-1'!G2+'ÖA20-19051920'!G2+'G20-19051820'!G2+'BEŞ18-19051617-S'!G2+'EMM17-19051315-S'!G2+'SK17-19051213-S'!G2+'AYG17-19051517-S'!G2+'ÖA17-19051516'!G2+'ÜN16-19051415-S'!G2+'YIL16-19051516'!G2+'G15-19051014'!G2+'EMM15-19051315'!G2+'ÖB15-19051214-S'!G2+'ÖB15-19051214-D'!G2+'AYG14-19051213-S'!G2+'BO14-19051113-S'!G2+'EM14-19050610-S'!G2+'EB14-19051213-S'!G2+'BAY14-19050910-D'!G2+'ÖB14-19050810-K'!G2+'BO13-19051113'!G2+'ÖB13-19050810-S'!G2+'BAY13-19050910-S'!G2+'YIL13-19051213'!G2+'G11-19050910'!G2+'MİR11-19050910-S'!G2+'BEŞ11-19050910-S'!G2+'BEŞ11-19050910-D'!G2+'ÖB11-19050810-D'!G2+'ÜN10-19050708-S'!G2+'ÖA10-19050809'!G2+'YI10-19050708-S'!G2+'ÖB10-19050810'!G2+'G09-19050709-1'!G2+'G09-19050709'!G2+'G08-19050708'!G2+'ÖA08-19050607'!G2+'ÖB08-19050506-D'!G2+'ÖB07-19050506-S'!G2+'ÖB07-19050506'!G2+'MİR07-19050305-S'!G2+'EM07-19050406-S'!G2+'AYG07-19050506-S'!G2+'BO07-19050406-S'!G2+'BO07-19050406'!G2+'G06-19050406'!G2+'BEŞ06-19050204-D'!G2+'BEŞ06-19050204-S'!G2+'MOL06-19050406'!G2+'ÖB06-19050102-D'!G2+'ANK04-19050102-S'!G2+'G04-19050203'!G2+'ÖB04-19050102-S'!G2+'ÖA03-19050203'!G2+'BA03-19053001-S'!G2+'ÖB03-19050102'!G2+'YI03-19053001-S'!G2+'G02-19053002-1'!G2+'G02-19053002'!G2+'ÜN02-19053001-S'!G2+'BA02-19053001'!G2</f>
        <v>824169.79999999946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BO31-19052527'!E3+'MİR31-19052530-S'!E3+'MİR30-19052930-S'!E3+'YIL30-19052930'!E3+'ÜN29-19052829-S'!E3+'EM28-19052728-S'!E3+'YIL27-19052527'!E3+'BEŞ24-19052324-S'!E3+'BEŞ24-19052324-D'!E3+'G23-19052123'!E3+'ÜN23-19052122-S'!E3+'EMM23-19052122'!E3+'ÖB22-19051517-D'!E3+'BEŞ22-19051617-D'!E3+'MRZ21-19051718-S'!E3+'AYG21-19051920-S'!E3+'EMR21-19051617-S'!E3+'ÖB21-19051517-S'!E3+'BO21-19051820'!E3+'G21-19051820-1'!E3+'ÖA20-19051920'!E3+'G20-19051820'!E3+'BEŞ18-19051617-S'!E3+'EMM17-19051315-S'!E3+'SK17-19051213-S'!E3+'AYG17-19051517-S'!E3+'ÖA17-19051516'!E3+'ÜN16-19051415-S'!E3+'YIL16-19051516'!E3+'G15-19051014'!E3+'EMM15-19051315'!E3+'ÖB15-19051214-S'!E3+'ÖB15-19051214-D'!E3+'AYG14-19051213-S'!E3+'BO14-19051113-S'!E3+'EM14-19050610-S'!E3+'EB14-19051213-S'!E3+'BAY14-19050910-D'!E3+'ÖB14-19050810-K'!E3+'BO13-19051113'!E3+'ÖB13-19050810-S'!E3+'BAY13-19050910-S'!E3+'YIL13-19051213'!E3+'G11-19050910'!E3+'MİR11-19050910-S'!E3+'BEŞ11-19050910-S'!E3+'BEŞ11-19050910-D'!E3+'ÖB11-19050810-D'!E3+'ÜN10-19050708-S'!E3+'ÖA10-19050809'!E3+'YI10-19050708-S'!E3+'ÖB10-19050810'!E3+'G09-19050709-1'!E3+'G09-19050709'!E3+'G08-19050708'!E3+'ÖA08-19050607'!E3+'ÖB08-19050506-D'!E3+'ÖB07-19050506-S'!E3+'ÖB07-19050506'!E3+'MİR07-19050305-S'!E3+'EM07-19050406-S'!E3+'AYG07-19050506-S'!E3+'BO07-19050406-S'!E3+'BO07-19050406'!E3+'G06-19050406'!E3+'BEŞ06-19050204-D'!E3+'BEŞ06-19050204-S'!E3+'MOL06-19050406'!E3+'ÖB06-19050102-D'!E3+'ANK04-19050102-S'!E3+'G04-19050203'!E3+'ÖB04-19050102-S'!E3+'ÖA03-19050203'!E3+'BA03-19053001-S'!E3+'ÖB03-19050102'!E3+'YI03-19053001-S'!E3+'G02-19053002-1'!E3+'G02-19053002'!E3+'ÜN02-19053001-S'!E3+'BA02-19053001'!E3</f>
        <v>11194</v>
      </c>
      <c r="F3" s="111" t="s">
        <v>8</v>
      </c>
      <c r="G3" s="114">
        <v>27.17</v>
      </c>
      <c r="H3" s="118" t="s">
        <v>523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73.626031802751427</v>
      </c>
      <c r="F4" s="81" t="s">
        <v>12</v>
      </c>
      <c r="G4" s="112">
        <f>G2*G3</f>
        <v>22392693.465999987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-2.9459595636084357E-2</v>
      </c>
      <c r="F6" s="69" t="s">
        <v>16</v>
      </c>
      <c r="G6" s="68">
        <f>(I50-I19)/(D50-(SUM(D42:D44)+D19))</f>
        <v>32.881850756247125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117">
        <f>'BO31-19052527'!D10+'MİR31-19052530-S'!D10+'MİR30-19052930-S'!D10+'YIL30-19052930'!D10+'ÜN29-19052829-S'!D10+'EM28-19052728-S'!D10+'YIL27-19052527'!D10+'BEŞ24-19052324-S'!D10+'BEŞ24-19052324-D'!D10+'G23-19052123'!D10+'ÜN23-19052122-S'!D10+'EMM23-19052122'!D10+'ÖB22-19051517-D'!D10+'BEŞ22-19051617-D'!D10+'MRZ21-19051718-S'!D10+'AYG21-19051920-S'!D10+'EMR21-19051617-S'!D10+'ÖB21-19051517-S'!D10+'BO21-19051820'!D10+'G21-19051820-1'!D10+'ÖA20-19051920'!D10+'G20-19051820'!D10+'BEŞ18-19051617-S'!D10+'EMM17-19051315-S'!D10+'SK17-19051213-S'!D10+'AYG17-19051517-S'!D10+'ÖA17-19051516'!D10+'ÜN16-19051415-S'!D10+'YIL16-19051516'!D10+'G15-19051014'!D10+'EMM15-19051315'!D10+'ÖB15-19051214-S'!D10+'ÖB15-19051214-D'!D10+'AYG14-19051213-S'!D10+'BO14-19051113-S'!D10+'EM14-19050610-S'!D10+'EB14-19051213-S'!D10+'BAY14-19050910-D'!D10+'ÖB14-19050810-K'!D10+'BO13-19051113'!D10+'ÖB13-19050810-S'!D10+'BAY13-19050910-S'!D10+'YIL13-19051213'!D10+'G11-19050910'!D10+'MİR11-19050910-S'!D10+'BEŞ11-19050910-S'!D10+'BEŞ11-19050910-D'!D10+'ÖB11-19050810-D'!D10+'ÜN10-19050708-S'!D10+'ÖA10-19050809'!D10+'YI10-19050708-S'!D10+'ÖB10-19050810'!D10+'G09-19050709-1'!D10+'G09-19050709'!D10+'G08-19050708'!D10+'ÖA08-19050607'!D10+'ÖB08-19050506-D'!D10+'ÖB07-19050506-S'!D10+'ÖB07-19050506'!D10+'MİR07-19050305-S'!D10+'EM07-19050406-S'!D10+'AYG07-19050506-S'!D10+'BO07-19050406-S'!D10+'BO07-19050406'!D10+'G06-19050406'!D10+'BEŞ06-19050204-D'!D10+'BEŞ06-19050204-S'!D10+'MOL06-19050406'!D10+'ÖB06-19050102-D'!D10+'ANK04-19050102-S'!D10+'G04-19050203'!D10+'ÖB04-19050102-S'!D10+'ÖA03-19050203'!D10+'BA03-19053001-S'!D10+'ÖB03-19050102'!D10+'YI03-19053001-S'!D10+'G02-19053002-1'!D10+'G02-19053002'!D10+'ÜN02-19053001-S'!D10+'BA02-19053001'!D10</f>
        <v>0</v>
      </c>
      <c r="E10" s="29">
        <f t="shared" ref="E10:E19" si="1">D10/$D$19</f>
        <v>0</v>
      </c>
      <c r="F10" s="28">
        <f t="shared" ref="F10:F18" si="2">C10-(C10*$E$6)</f>
        <v>28.001301001301492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28.3</v>
      </c>
      <c r="D11" s="117">
        <f>'BO31-19052527'!D11+'MİR31-19052530-S'!D11+'MİR30-19052930-S'!D11+'YIL30-19052930'!D11+'ÜN29-19052829-S'!D11+'EM28-19052728-S'!D11+'YIL27-19052527'!D11+'BEŞ24-19052324-S'!D11+'BEŞ24-19052324-D'!D11+'G23-19052123'!D11+'ÜN23-19052122-S'!D11+'EMM23-19052122'!D11+'ÖB22-19051517-D'!D11+'BEŞ22-19051617-D'!D11+'MRZ21-19051718-S'!D11+'AYG21-19051920-S'!D11+'EMR21-19051617-S'!D11+'ÖB21-19051517-S'!D11+'BO21-19051820'!D11+'G21-19051820-1'!D11+'ÖA20-19051920'!D11+'G20-19051820'!D11+'BEŞ18-19051617-S'!D11+'EMM17-19051315-S'!D11+'SK17-19051213-S'!D11+'AYG17-19051517-S'!D11+'ÖA17-19051516'!D11+'ÜN16-19051415-S'!D11+'YIL16-19051516'!D11+'G15-19051014'!D11+'EMM15-19051315'!D11+'ÖB15-19051214-S'!D11+'ÖB15-19051214-D'!D11+'AYG14-19051213-S'!D11+'BO14-19051113-S'!D11+'EM14-19050610-S'!D11+'EB14-19051213-S'!D11+'BAY14-19050910-D'!D11+'ÖB14-19050810-K'!D11+'BO13-19051113'!D11+'ÖB13-19050810-S'!D11+'BAY13-19050910-S'!D11+'YIL13-19051213'!D11+'G11-19050910'!D11+'MİR11-19050910-S'!D11+'BEŞ11-19050910-S'!D11+'BEŞ11-19050910-D'!D11+'ÖB11-19050810-D'!D11+'ÜN10-19050708-S'!D11+'ÖA10-19050809'!D11+'YI10-19050708-S'!D11+'ÖB10-19050810'!D11+'G09-19050709-1'!D11+'G09-19050709'!D11+'G08-19050708'!D11+'ÖA08-19050607'!D11+'ÖB08-19050506-D'!D11+'ÖB07-19050506-S'!D11+'ÖB07-19050506'!D11+'MİR07-19050305-S'!D11+'EM07-19050406-S'!D11+'AYG07-19050506-S'!D11+'BO07-19050406-S'!D11+'BO07-19050406'!D11+'G06-19050406'!D11+'BEŞ06-19050204-D'!D11+'BEŞ06-19050204-S'!D11+'MOL06-19050406'!D11+'ÖB06-19050102-D'!D11+'ANK04-19050102-S'!D11+'G04-19050203'!D11+'ÖB04-19050102-S'!D11+'ÖA03-19050203'!D11+'BA03-19053001-S'!D11+'ÖB03-19050102'!D11+'YI03-19053001-S'!D11+'G02-19053002-1'!D11+'G02-19053002'!D11+'ÜN02-19053001-S'!D11+'BA02-19053001'!D11</f>
        <v>14360.199999999997</v>
      </c>
      <c r="E11" s="29">
        <f t="shared" si="1"/>
        <v>0.41511986563716824</v>
      </c>
      <c r="F11" s="28">
        <f t="shared" si="2"/>
        <v>29.133706556501188</v>
      </c>
      <c r="G11" s="27" t="str">
        <f t="shared" si="3"/>
        <v>+</v>
      </c>
      <c r="H11" s="34">
        <f t="shared" si="4"/>
        <v>406393.65999999992</v>
      </c>
      <c r="I11" s="34">
        <f t="shared" si="5"/>
        <v>418365.85289266828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25.8</v>
      </c>
      <c r="D12" s="117">
        <f>'BO31-19052527'!D12+'MİR31-19052530-S'!D12+'MİR30-19052930-S'!D12+'YIL30-19052930'!D12+'ÜN29-19052829-S'!D12+'EM28-19052728-S'!D12+'YIL27-19052527'!D12+'BEŞ24-19052324-S'!D12+'BEŞ24-19052324-D'!D12+'G23-19052123'!D12+'ÜN23-19052122-S'!D12+'EMM23-19052122'!D12+'ÖB22-19051517-D'!D12+'BEŞ22-19051617-D'!D12+'MRZ21-19051718-S'!D12+'AYG21-19051920-S'!D12+'EMR21-19051617-S'!D12+'ÖB21-19051517-S'!D12+'BO21-19051820'!D12+'G21-19051820-1'!D12+'ÖA20-19051920'!D12+'G20-19051820'!D12+'BEŞ18-19051617-S'!D12+'EMM17-19051315-S'!D12+'SK17-19051213-S'!D12+'AYG17-19051517-S'!D12+'ÖA17-19051516'!D12+'ÜN16-19051415-S'!D12+'YIL16-19051516'!D12+'G15-19051014'!D12+'EMM15-19051315'!D12+'ÖB15-19051214-S'!D12+'ÖB15-19051214-D'!D12+'AYG14-19051213-S'!D12+'BO14-19051113-S'!D12+'EM14-19050610-S'!D12+'EB14-19051213-S'!D12+'BAY14-19050910-D'!D12+'ÖB14-19050810-K'!D12+'BO13-19051113'!D12+'ÖB13-19050810-S'!D12+'BAY13-19050910-S'!D12+'YIL13-19051213'!D12+'G11-19050910'!D12+'MİR11-19050910-S'!D12+'BEŞ11-19050910-S'!D12+'BEŞ11-19050910-D'!D12+'ÖB11-19050810-D'!D12+'ÜN10-19050708-S'!D12+'ÖA10-19050809'!D12+'YI10-19050708-S'!D12+'ÖB10-19050810'!D12+'G09-19050709-1'!D12+'G09-19050709'!D12+'G08-19050708'!D12+'ÖA08-19050607'!D12+'ÖB08-19050506-D'!D12+'ÖB07-19050506-S'!D12+'ÖB07-19050506'!D12+'MİR07-19050305-S'!D12+'EM07-19050406-S'!D12+'AYG07-19050506-S'!D12+'BO07-19050406-S'!D12+'BO07-19050406'!D12+'G06-19050406'!D12+'BEŞ06-19050204-D'!D12+'BEŞ06-19050204-S'!D12+'MOL06-19050406'!D12+'ÖB06-19050102-D'!D12+'ANK04-19050102-S'!D12+'G04-19050203'!D12+'ÖB04-19050102-S'!D12+'ÖA03-19050203'!D12+'BA03-19053001-S'!D12+'ÖB03-19050102'!D12+'YI03-19053001-S'!D12+'G02-19053002-1'!D12+'G02-19053002'!D12+'ÜN02-19053001-S'!D12+'BA02-19053001'!D12</f>
        <v>12454.3</v>
      </c>
      <c r="E12" s="29">
        <f t="shared" si="1"/>
        <v>0.36002474496211645</v>
      </c>
      <c r="F12" s="28">
        <f t="shared" si="2"/>
        <v>26.560057567410976</v>
      </c>
      <c r="G12" s="27" t="str">
        <f>IF(C12&gt;=F12,"-","+")</f>
        <v>+</v>
      </c>
      <c r="H12" s="34">
        <f t="shared" si="4"/>
        <v>321320.94</v>
      </c>
      <c r="I12" s="34">
        <f t="shared" si="5"/>
        <v>330786.92496180651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28.3</v>
      </c>
      <c r="D13" s="117">
        <f>'BO31-19052527'!D13+'MİR31-19052530-S'!D13+'MİR30-19052930-S'!D13+'YIL30-19052930'!D13+'ÜN29-19052829-S'!D13+'EM28-19052728-S'!D13+'YIL27-19052527'!D13+'BEŞ24-19052324-S'!D13+'BEŞ24-19052324-D'!D13+'G23-19052123'!D13+'ÜN23-19052122-S'!D13+'EMM23-19052122'!D13+'ÖB22-19051517-D'!D13+'BEŞ22-19051617-D'!D13+'MRZ21-19051718-S'!D13+'AYG21-19051920-S'!D13+'EMR21-19051617-S'!D13+'ÖB21-19051517-S'!D13+'BO21-19051820'!D13+'G21-19051820-1'!D13+'ÖA20-19051920'!D13+'G20-19051820'!D13+'BEŞ18-19051617-S'!D13+'EMM17-19051315-S'!D13+'SK17-19051213-S'!D13+'AYG17-19051517-S'!D13+'ÖA17-19051516'!D13+'ÜN16-19051415-S'!D13+'YIL16-19051516'!D13+'G15-19051014'!D13+'EMM15-19051315'!D13+'ÖB15-19051214-S'!D13+'ÖB15-19051214-D'!D13+'AYG14-19051213-S'!D13+'BO14-19051113-S'!D13+'EM14-19050610-S'!D13+'EB14-19051213-S'!D13+'BAY14-19050910-D'!D13+'ÖB14-19050810-K'!D13+'BO13-19051113'!D13+'ÖB13-19050810-S'!D13+'BAY13-19050910-S'!D13+'YIL13-19051213'!D13+'G11-19050910'!D13+'MİR11-19050910-S'!D13+'BEŞ11-19050910-S'!D13+'BEŞ11-19050910-D'!D13+'ÖB11-19050810-D'!D13+'ÜN10-19050708-S'!D13+'ÖA10-19050809'!D13+'YI10-19050708-S'!D13+'ÖB10-19050810'!D13+'G09-19050709-1'!D13+'G09-19050709'!D13+'G08-19050708'!D13+'ÖA08-19050607'!D13+'ÖB08-19050506-D'!D13+'ÖB07-19050506-S'!D13+'ÖB07-19050506'!D13+'MİR07-19050305-S'!D13+'EM07-19050406-S'!D13+'AYG07-19050506-S'!D13+'BO07-19050406-S'!D13+'BO07-19050406'!D13+'G06-19050406'!D13+'BEŞ06-19050204-D'!D13+'BEŞ06-19050204-S'!D13+'MOL06-19050406'!D13+'ÖB06-19050102-D'!D13+'ANK04-19050102-S'!D13+'G04-19050203'!D13+'ÖB04-19050102-S'!D13+'ÖA03-19050203'!D13+'BA03-19053001-S'!D13+'ÖB03-19050102'!D13+'YI03-19053001-S'!D13+'G02-19053002-1'!D13+'G02-19053002'!D13+'ÜN02-19053001-S'!D13+'BA02-19053001'!D13</f>
        <v>2440.6000000000004</v>
      </c>
      <c r="E13" s="29">
        <f t="shared" si="1"/>
        <v>7.0552049698059435E-2</v>
      </c>
      <c r="F13" s="28">
        <f t="shared" si="2"/>
        <v>29.133706556501188</v>
      </c>
      <c r="G13" s="27" t="str">
        <f t="shared" si="3"/>
        <v>+</v>
      </c>
      <c r="H13" s="34">
        <f t="shared" si="4"/>
        <v>69068.98000000001</v>
      </c>
      <c r="I13" s="34">
        <f t="shared" si="5"/>
        <v>71103.724221796816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31.6</v>
      </c>
      <c r="D14" s="117">
        <f>'BO31-19052527'!D14+'MİR31-19052530-S'!D14+'MİR30-19052930-S'!D14+'YIL30-19052930'!D14+'ÜN29-19052829-S'!D14+'EM28-19052728-S'!D14+'YIL27-19052527'!D14+'BEŞ24-19052324-S'!D14+'BEŞ24-19052324-D'!D14+'G23-19052123'!D14+'ÜN23-19052122-S'!D14+'EMM23-19052122'!D14+'ÖB22-19051517-D'!D14+'BEŞ22-19051617-D'!D14+'MRZ21-19051718-S'!D14+'AYG21-19051920-S'!D14+'EMR21-19051617-S'!D14+'ÖB21-19051517-S'!D14+'BO21-19051820'!D14+'G21-19051820-1'!D14+'ÖA20-19051920'!D14+'G20-19051820'!D14+'BEŞ18-19051617-S'!D14+'EMM17-19051315-S'!D14+'SK17-19051213-S'!D14+'AYG17-19051517-S'!D14+'ÖA17-19051516'!D14+'ÜN16-19051415-S'!D14+'YIL16-19051516'!D14+'G15-19051014'!D14+'EMM15-19051315'!D14+'ÖB15-19051214-S'!D14+'ÖB15-19051214-D'!D14+'AYG14-19051213-S'!D14+'BO14-19051113-S'!D14+'EM14-19050610-S'!D14+'EB14-19051213-S'!D14+'BAY14-19050910-D'!D14+'ÖB14-19050810-K'!D14+'BO13-19051113'!D14+'ÖB13-19050810-S'!D14+'BAY13-19050910-S'!D14+'YIL13-19051213'!D14+'G11-19050910'!D14+'MİR11-19050910-S'!D14+'BEŞ11-19050910-S'!D14+'BEŞ11-19050910-D'!D14+'ÖB11-19050810-D'!D14+'ÜN10-19050708-S'!D14+'ÖA10-19050809'!D14+'YI10-19050708-S'!D14+'ÖB10-19050810'!D14+'G09-19050709-1'!D14+'G09-19050709'!D14+'G08-19050708'!D14+'ÖA08-19050607'!D14+'ÖB08-19050506-D'!D14+'ÖB07-19050506-S'!D14+'ÖB07-19050506'!D14+'MİR07-19050305-S'!D14+'EM07-19050406-S'!D14+'AYG07-19050506-S'!D14+'BO07-19050406-S'!D14+'BO07-19050406'!D14+'G06-19050406'!D14+'BEŞ06-19050204-D'!D14+'BEŞ06-19050204-S'!D14+'MOL06-19050406'!D14+'ÖB06-19050102-D'!D14+'ANK04-19050102-S'!D14+'G04-19050203'!D14+'ÖB04-19050102-S'!D14+'ÖA03-19050203'!D14+'BA03-19053001-S'!D14+'ÖB03-19050102'!D14+'YI03-19053001-S'!D14+'G02-19053002-1'!D14+'G02-19053002'!D14+'ÜN02-19053001-S'!D14+'BA02-19053001'!D14</f>
        <v>689</v>
      </c>
      <c r="E14" s="29">
        <f t="shared" si="1"/>
        <v>1.991738189050354E-2</v>
      </c>
      <c r="F14" s="28">
        <f t="shared" si="2"/>
        <v>32.53092322210027</v>
      </c>
      <c r="G14" s="27" t="str">
        <f t="shared" si="3"/>
        <v>+</v>
      </c>
      <c r="H14" s="34">
        <f t="shared" si="4"/>
        <v>21772.400000000001</v>
      </c>
      <c r="I14" s="34">
        <f t="shared" si="5"/>
        <v>22413.806100027086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26.1</v>
      </c>
      <c r="D15" s="117">
        <f>'BO31-19052527'!D15+'MİR31-19052530-S'!D15+'MİR30-19052930-S'!D15+'YIL30-19052930'!D15+'ÜN29-19052829-S'!D15+'EM28-19052728-S'!D15+'YIL27-19052527'!D15+'BEŞ24-19052324-S'!D15+'BEŞ24-19052324-D'!D15+'G23-19052123'!D15+'ÜN23-19052122-S'!D15+'EMM23-19052122'!D15+'ÖB22-19051517-D'!D15+'BEŞ22-19051617-D'!D15+'MRZ21-19051718-S'!D15+'AYG21-19051920-S'!D15+'EMR21-19051617-S'!D15+'ÖB21-19051517-S'!D15+'BO21-19051820'!D15+'G21-19051820-1'!D15+'ÖA20-19051920'!D15+'G20-19051820'!D15+'BEŞ18-19051617-S'!D15+'EMM17-19051315-S'!D15+'SK17-19051213-S'!D15+'AYG17-19051517-S'!D15+'ÖA17-19051516'!D15+'ÜN16-19051415-S'!D15+'YIL16-19051516'!D15+'G15-19051014'!D15+'EMM15-19051315'!D15+'ÖB15-19051214-S'!D15+'ÖB15-19051214-D'!D15+'AYG14-19051213-S'!D15+'BO14-19051113-S'!D15+'EM14-19050610-S'!D15+'EB14-19051213-S'!D15+'BAY14-19050910-D'!D15+'ÖB14-19050810-K'!D15+'BO13-19051113'!D15+'ÖB13-19050810-S'!D15+'BAY13-19050910-S'!D15+'YIL13-19051213'!D15+'G11-19050910'!D15+'MİR11-19050910-S'!D15+'BEŞ11-19050910-S'!D15+'BEŞ11-19050910-D'!D15+'ÖB11-19050810-D'!D15+'ÜN10-19050708-S'!D15+'ÖA10-19050809'!D15+'YI10-19050708-S'!D15+'ÖB10-19050810'!D15+'G09-19050709-1'!D15+'G09-19050709'!D15+'G08-19050708'!D15+'ÖA08-19050607'!D15+'ÖB08-19050506-D'!D15+'ÖB07-19050506-S'!D15+'ÖB07-19050506'!D15+'MİR07-19050305-S'!D15+'EM07-19050406-S'!D15+'AYG07-19050506-S'!D15+'BO07-19050406-S'!D15+'BO07-19050406'!D15+'G06-19050406'!D15+'BEŞ06-19050204-D'!D15+'BEŞ06-19050204-S'!D15+'MOL06-19050406'!D15+'ÖB06-19050102-D'!D15+'ANK04-19050102-S'!D15+'G04-19050203'!D15+'ÖB04-19050102-S'!D15+'ÖA03-19050203'!D15+'BA03-19053001-S'!D15+'ÖB03-19050102'!D15+'YI03-19053001-S'!D15+'G02-19053002-1'!D15+'G02-19053002'!D15+'ÜN02-19053001-S'!D15+'BA02-19053001'!D15</f>
        <v>1320.1</v>
      </c>
      <c r="E15" s="29">
        <f t="shared" si="1"/>
        <v>3.8161009918220211E-2</v>
      </c>
      <c r="F15" s="28">
        <f t="shared" si="2"/>
        <v>26.868895446101803</v>
      </c>
      <c r="G15" s="27" t="str">
        <f t="shared" si="3"/>
        <v>+</v>
      </c>
      <c r="H15" s="34">
        <f t="shared" si="4"/>
        <v>34454.61</v>
      </c>
      <c r="I15" s="34">
        <f t="shared" si="5"/>
        <v>35469.628878398988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35.700000000000003</v>
      </c>
      <c r="D16" s="117">
        <f>'BO31-19052527'!D16+'MİR31-19052530-S'!D16+'MİR30-19052930-S'!D16+'YIL30-19052930'!D16+'ÜN29-19052829-S'!D16+'EM28-19052728-S'!D16+'YIL27-19052527'!D16+'BEŞ24-19052324-S'!D16+'BEŞ24-19052324-D'!D16+'G23-19052123'!D16+'ÜN23-19052122-S'!D16+'EMM23-19052122'!D16+'ÖB22-19051517-D'!D16+'BEŞ22-19051617-D'!D16+'MRZ21-19051718-S'!D16+'AYG21-19051920-S'!D16+'EMR21-19051617-S'!D16+'ÖB21-19051517-S'!D16+'BO21-19051820'!D16+'G21-19051820-1'!D16+'ÖA20-19051920'!D16+'G20-19051820'!D16+'BEŞ18-19051617-S'!D16+'EMM17-19051315-S'!D16+'SK17-19051213-S'!D16+'AYG17-19051517-S'!D16+'ÖA17-19051516'!D16+'ÜN16-19051415-S'!D16+'YIL16-19051516'!D16+'G15-19051014'!D16+'EMM15-19051315'!D16+'ÖB15-19051214-S'!D16+'ÖB15-19051214-D'!D16+'AYG14-19051213-S'!D16+'BO14-19051113-S'!D16+'EM14-19050610-S'!D16+'EB14-19051213-S'!D16+'BAY14-19050910-D'!D16+'ÖB14-19050810-K'!D16+'BO13-19051113'!D16+'ÖB13-19050810-S'!D16+'BAY13-19050910-S'!D16+'YIL13-19051213'!D16+'G11-19050910'!D16+'MİR11-19050910-S'!D16+'BEŞ11-19050910-S'!D16+'BEŞ11-19050910-D'!D16+'ÖB11-19050810-D'!D16+'ÜN10-19050708-S'!D16+'ÖA10-19050809'!D16+'YI10-19050708-S'!D16+'ÖB10-19050810'!D16+'G09-19050709-1'!D16+'G09-19050709'!D16+'G08-19050708'!D16+'ÖA08-19050607'!D16+'ÖB08-19050506-D'!D16+'ÖB07-19050506-S'!D16+'ÖB07-19050506'!D16+'MİR07-19050305-S'!D16+'EM07-19050406-S'!D16+'AYG07-19050506-S'!D16+'BO07-19050406-S'!D16+'BO07-19050406'!D16+'G06-19050406'!D16+'BEŞ06-19050204-D'!D16+'BEŞ06-19050204-S'!D16+'MOL06-19050406'!D16+'ÖB06-19050102-D'!D16+'ANK04-19050102-S'!D16+'G04-19050203'!D16+'ÖB04-19050102-S'!D16+'ÖA03-19050203'!D16+'BA03-19053001-S'!D16+'ÖB03-19050102'!D16+'YI03-19053001-S'!D16+'G02-19053002-1'!D16+'G02-19053002'!D16+'ÜN02-19053001-S'!D16+'BA02-19053001'!D16</f>
        <v>2974.9</v>
      </c>
      <c r="E16" s="29">
        <f t="shared" si="1"/>
        <v>8.5997415654657461E-2</v>
      </c>
      <c r="F16" s="28">
        <f t="shared" si="2"/>
        <v>36.751707564208218</v>
      </c>
      <c r="G16" s="27" t="str">
        <f t="shared" si="3"/>
        <v>+</v>
      </c>
      <c r="H16" s="34">
        <f t="shared" si="4"/>
        <v>106203.93000000001</v>
      </c>
      <c r="I16" s="34">
        <f t="shared" si="5"/>
        <v>109332.65483276303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52.6</v>
      </c>
      <c r="D17" s="117">
        <f>'BO31-19052527'!D17+'MİR31-19052530-S'!D17+'MİR30-19052930-S'!D17+'YIL30-19052930'!D17+'ÜN29-19052829-S'!D17+'EM28-19052728-S'!D17+'YIL27-19052527'!D17+'BEŞ24-19052324-S'!D17+'BEŞ24-19052324-D'!D17+'G23-19052123'!D17+'ÜN23-19052122-S'!D17+'EMM23-19052122'!D17+'ÖB22-19051517-D'!D17+'BEŞ22-19051617-D'!D17+'MRZ21-19051718-S'!D17+'AYG21-19051920-S'!D17+'EMR21-19051617-S'!D17+'ÖB21-19051517-S'!D17+'BO21-19051820'!D17+'G21-19051820-1'!D17+'ÖA20-19051920'!D17+'G20-19051820'!D17+'BEŞ18-19051617-S'!D17+'EMM17-19051315-S'!D17+'SK17-19051213-S'!D17+'AYG17-19051517-S'!D17+'ÖA17-19051516'!D17+'ÜN16-19051415-S'!D17+'YIL16-19051516'!D17+'G15-19051014'!D17+'EMM15-19051315'!D17+'ÖB15-19051214-S'!D17+'ÖB15-19051214-D'!D17+'AYG14-19051213-S'!D17+'BO14-19051113-S'!D17+'EM14-19050610-S'!D17+'EB14-19051213-S'!D17+'BAY14-19050910-D'!D17+'ÖB14-19050810-K'!D17+'BO13-19051113'!D17+'ÖB13-19050810-S'!D17+'BAY13-19050910-S'!D17+'YIL13-19051213'!D17+'G11-19050910'!D17+'MİR11-19050910-S'!D17+'BEŞ11-19050910-S'!D17+'BEŞ11-19050910-D'!D17+'ÖB11-19050810-D'!D17+'ÜN10-19050708-S'!D17+'ÖA10-19050809'!D17+'YI10-19050708-S'!D17+'ÖB10-19050810'!D17+'G09-19050709-1'!D17+'G09-19050709'!D17+'G08-19050708'!D17+'ÖA08-19050607'!D17+'ÖB08-19050506-D'!D17+'ÖB07-19050506-S'!D17+'ÖB07-19050506'!D17+'MİR07-19050305-S'!D17+'EM07-19050406-S'!D17+'AYG07-19050506-S'!D17+'BO07-19050406-S'!D17+'BO07-19050406'!D17+'G06-19050406'!D17+'BEŞ06-19050204-D'!D17+'BEŞ06-19050204-S'!D17+'MOL06-19050406'!D17+'ÖB06-19050102-D'!D17+'ANK04-19050102-S'!D17+'G04-19050203'!D17+'ÖB04-19050102-S'!D17+'ÖA03-19050203'!D17+'BA03-19053001-S'!D17+'ÖB03-19050102'!D17+'YI03-19053001-S'!D17+'G02-19053002-1'!D17+'G02-19053002'!D17+'ÜN02-19053001-S'!D17+'BA02-19053001'!D17</f>
        <v>353.8</v>
      </c>
      <c r="E17" s="29">
        <f t="shared" si="1"/>
        <v>1.0227532239274533E-2</v>
      </c>
      <c r="F17" s="28">
        <f t="shared" si="2"/>
        <v>54.149574730458042</v>
      </c>
      <c r="G17" s="27" t="str">
        <f t="shared" si="3"/>
        <v>+</v>
      </c>
      <c r="H17" s="34">
        <f t="shared" si="4"/>
        <v>18609.88</v>
      </c>
      <c r="I17" s="34">
        <f t="shared" si="5"/>
        <v>19158.119539636056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</v>
      </c>
      <c r="D18" s="117">
        <f>'BO31-19052527'!D18+'MİR31-19052530-S'!D18+'MİR30-19052930-S'!D18+'YIL30-19052930'!D18+'ÜN29-19052829-S'!D18+'EM28-19052728-S'!D18+'YIL27-19052527'!D18+'BEŞ24-19052324-S'!D18+'BEŞ24-19052324-D'!D18+'G23-19052123'!D18+'ÜN23-19052122-S'!D18+'EMM23-19052122'!D18+'ÖB22-19051517-D'!D18+'BEŞ22-19051617-D'!D18+'MRZ21-19051718-S'!D18+'AYG21-19051920-S'!D18+'EMR21-19051617-S'!D18+'ÖB21-19051517-S'!D18+'BO21-19051820'!D18+'G21-19051820-1'!D18+'ÖA20-19051920'!D18+'G20-19051820'!D18+'BEŞ18-19051617-S'!D18+'EMM17-19051315-S'!D18+'SK17-19051213-S'!D18+'AYG17-19051517-S'!D18+'ÖA17-19051516'!D18+'ÜN16-19051415-S'!D18+'YIL16-19051516'!D18+'G15-19051014'!D18+'EMM15-19051315'!D18+'ÖB15-19051214-S'!D18+'ÖB15-19051214-D'!D18+'AYG14-19051213-S'!D18+'BO14-19051113-S'!D18+'EM14-19050610-S'!D18+'EB14-19051213-S'!D18+'BAY14-19050910-D'!D18+'ÖB14-19050810-K'!D18+'BO13-19051113'!D18+'ÖB13-19050810-S'!D18+'BAY13-19050910-S'!D18+'YIL13-19051213'!D18+'G11-19050910'!D18+'MİR11-19050910-S'!D18+'BEŞ11-19050910-S'!D18+'BEŞ11-19050910-D'!D18+'ÖB11-19050810-D'!D18+'ÜN10-19050708-S'!D18+'ÖA10-19050809'!D18+'YI10-19050708-S'!D18+'ÖB10-19050810'!D18+'G09-19050709-1'!D18+'G09-19050709'!D18+'G08-19050708'!D18+'ÖA08-19050607'!D18+'ÖB08-19050506-D'!D18+'ÖB07-19050506-S'!D18+'ÖB07-19050506'!D18+'MİR07-19050305-S'!D18+'EM07-19050406-S'!D18+'AYG07-19050506-S'!D18+'BO07-19050406-S'!D18+'BO07-19050406'!D18+'G06-19050406'!D18+'BEŞ06-19050204-D'!D18+'BEŞ06-19050204-S'!D18+'MOL06-19050406'!D18+'ÖB06-19050102-D'!D18+'ANK04-19050102-S'!D18+'G04-19050203'!D18+'ÖB04-19050102-S'!D18+'ÖA03-19050203'!D18+'BA03-19053001-S'!D18+'ÖB03-19050102'!D18+'YI03-19053001-S'!D18+'G02-19053002-1'!D18+'G02-19053002'!D18+'ÜN02-19053001-S'!D18+'BA02-19053001'!D18</f>
        <v>0</v>
      </c>
      <c r="E18" s="29">
        <f t="shared" si="1"/>
        <v>0</v>
      </c>
      <c r="F18" s="28">
        <f t="shared" si="2"/>
        <v>47.355141399259878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28.266621185272118</v>
      </c>
      <c r="D19" s="49">
        <f>SUM(D10:D18)</f>
        <v>34592.9</v>
      </c>
      <c r="E19" s="48">
        <f t="shared" si="1"/>
        <v>1</v>
      </c>
      <c r="F19" s="47">
        <f>I19/D19</f>
        <v>29.099344415388611</v>
      </c>
      <c r="G19" s="46">
        <f>F19/C19-1</f>
        <v>2.9459595636084357E-2</v>
      </c>
      <c r="H19" s="9">
        <f>SUM(H10:H18)</f>
        <v>977824.39999999991</v>
      </c>
      <c r="I19" s="9">
        <f>SUM(I10:I18)</f>
        <v>1006630.7114270967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68.3</v>
      </c>
      <c r="D21" s="117">
        <f>'BO31-19052527'!D21+'MİR31-19052530-S'!D21+'MİR30-19052930-S'!D21+'YIL30-19052930'!D21+'ÜN29-19052829-S'!D21+'EM28-19052728-S'!D21+'YIL27-19052527'!D21+'BEŞ24-19052324-S'!D21+'BEŞ24-19052324-D'!D21+'G23-19052123'!D21+'ÜN23-19052122-S'!D21+'EMM23-19052122'!D21+'ÖB22-19051517-D'!D21+'BEŞ22-19051617-D'!D21+'MRZ21-19051718-S'!D21+'AYG21-19051920-S'!D21+'EMR21-19051617-S'!D21+'ÖB21-19051517-S'!D21+'BO21-19051820'!D21+'G21-19051820-1'!D21+'ÖA20-19051920'!D21+'G20-19051820'!D21+'BEŞ18-19051617-S'!D21+'EMM17-19051315-S'!D21+'SK17-19051213-S'!D21+'AYG17-19051517-S'!D21+'ÖA17-19051516'!D21+'ÜN16-19051415-S'!D21+'YIL16-19051516'!D21+'G15-19051014'!D21+'EMM15-19051315'!D21+'ÖB15-19051214-S'!D21+'ÖB15-19051214-D'!D21+'AYG14-19051213-S'!D21+'BO14-19051113-S'!D21+'EM14-19050610-S'!D21+'EB14-19051213-S'!D21+'BAY14-19050910-D'!D21+'ÖB14-19050810-K'!D21+'BO13-19051113'!D21+'ÖB13-19050810-S'!D21+'BAY13-19050910-S'!D21+'YIL13-19051213'!D21+'G11-19050910'!D21+'MİR11-19050910-S'!D21+'BEŞ11-19050910-S'!D21+'BEŞ11-19050910-D'!D21+'ÖB11-19050810-D'!D21+'ÜN10-19050708-S'!D21+'ÖA10-19050809'!D21+'YI10-19050708-S'!D21+'ÖB10-19050810'!D21+'G09-19050709-1'!D21+'G09-19050709'!D21+'G08-19050708'!D21+'ÖA08-19050607'!D21+'ÖB08-19050506-D'!D21+'ÖB07-19050506-S'!D21+'ÖB07-19050506'!D21+'MİR07-19050305-S'!D21+'EM07-19050406-S'!D21+'AYG07-19050506-S'!D21+'BO07-19050406-S'!D21+'BO07-19050406'!D21+'G06-19050406'!D21+'BEŞ06-19050204-D'!D21+'BEŞ06-19050204-S'!D21+'MOL06-19050406'!D21+'ÖB06-19050102-D'!D21+'ANK04-19050102-S'!D21+'G04-19050203'!D21+'ÖB04-19050102-S'!D21+'ÖA03-19050203'!D21+'BA03-19053001-S'!D21+'ÖB03-19050102'!D21+'YI03-19053001-S'!D21+'G02-19053002-1'!D21+'G02-19053002'!D21+'ÜN02-19053001-S'!D21+'BA02-19053001'!D21</f>
        <v>8873.590000000002</v>
      </c>
      <c r="E21" s="29">
        <f>D21/$D$48</f>
        <v>1.1238418615835261E-2</v>
      </c>
      <c r="F21" s="28">
        <f>C21-(C21*$E$6)</f>
        <v>70.312090381944557</v>
      </c>
      <c r="G21" s="27" t="str">
        <f>IF(C21&gt;=F21,"-","+")</f>
        <v>+</v>
      </c>
      <c r="H21" s="26">
        <f>C21*D21</f>
        <v>606066.19700000016</v>
      </c>
      <c r="I21" s="26">
        <f>F21*D21</f>
        <v>623920.66209231957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117">
        <f>'BO31-19052527'!D22+'MİR31-19052530-S'!D22+'MİR30-19052930-S'!D22+'YIL30-19052930'!D22+'ÜN29-19052829-S'!D22+'EM28-19052728-S'!D22+'YIL27-19052527'!D22+'BEŞ24-19052324-S'!D22+'BEŞ24-19052324-D'!D22+'G23-19052123'!D22+'ÜN23-19052122-S'!D22+'EMM23-19052122'!D22+'ÖB22-19051517-D'!D22+'BEŞ22-19051617-D'!D22+'MRZ21-19051718-S'!D22+'AYG21-19051920-S'!D22+'EMR21-19051617-S'!D22+'ÖB21-19051517-S'!D22+'BO21-19051820'!D22+'G21-19051820-1'!D22+'ÖA20-19051920'!D22+'G20-19051820'!D22+'BEŞ18-19051617-S'!D22+'EMM17-19051315-S'!D22+'SK17-19051213-S'!D22+'AYG17-19051517-S'!D22+'ÖA17-19051516'!D22+'ÜN16-19051415-S'!D22+'YIL16-19051516'!D22+'G15-19051014'!D22+'EMM15-19051315'!D22+'ÖB15-19051214-S'!D22+'ÖB15-19051214-D'!D22+'AYG14-19051213-S'!D22+'BO14-19051113-S'!D22+'EM14-19050610-S'!D22+'EB14-19051213-S'!D22+'BAY14-19050910-D'!D22+'ÖB14-19050810-K'!D22+'BO13-19051113'!D22+'ÖB13-19050810-S'!D22+'BAY13-19050910-S'!D22+'YIL13-19051213'!D22+'G11-19050910'!D22+'MİR11-19050910-S'!D22+'BEŞ11-19050910-S'!D22+'BEŞ11-19050910-D'!D22+'ÖB11-19050810-D'!D22+'ÜN10-19050708-S'!D22+'ÖA10-19050809'!D22+'YI10-19050708-S'!D22+'ÖB10-19050810'!D22+'G09-19050709-1'!D22+'G09-19050709'!D22+'G08-19050708'!D22+'ÖA08-19050607'!D22+'ÖB08-19050506-D'!D22+'ÖB07-19050506-S'!D22+'ÖB07-19050506'!D22+'MİR07-19050305-S'!D22+'EM07-19050406-S'!D22+'AYG07-19050506-S'!D22+'BO07-19050406-S'!D22+'BO07-19050406'!D22+'G06-19050406'!D22+'BEŞ06-19050204-D'!D22+'BEŞ06-19050204-S'!D22+'MOL06-19050406'!D22+'ÖB06-19050102-D'!D22+'ANK04-19050102-S'!D22+'G04-19050203'!D22+'ÖB04-19050102-S'!D22+'ÖA03-19050203'!D22+'BA03-19053001-S'!D22+'ÖB03-19050102'!D22+'YI03-19053001-S'!D22+'G02-19053002-1'!D22+'G02-19053002'!D22+'ÜN02-19053001-S'!D22+'BA02-19053001'!D22</f>
        <v>22601.499999999996</v>
      </c>
      <c r="E22" s="29">
        <f>D22/$D$48</f>
        <v>2.8624842746374418E-2</v>
      </c>
      <c r="F22" s="28">
        <f>C22-(C22*$E$6)</f>
        <v>47.252195439696273</v>
      </c>
      <c r="G22" s="27" t="str">
        <f>IF(C22&gt;=F22,"-","+")</f>
        <v>+</v>
      </c>
      <c r="H22" s="26">
        <f>C22*D22</f>
        <v>1037408.8499999997</v>
      </c>
      <c r="I22" s="26">
        <f>F22*D22</f>
        <v>1067970.4952302952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41.8</v>
      </c>
      <c r="D23" s="117">
        <f>'BO31-19052527'!D23+'MİR31-19052530-S'!D23+'MİR30-19052930-S'!D23+'YIL30-19052930'!D23+'ÜN29-19052829-S'!D23+'EM28-19052728-S'!D23+'YIL27-19052527'!D23+'BEŞ24-19052324-S'!D23+'BEŞ24-19052324-D'!D23+'G23-19052123'!D23+'ÜN23-19052122-S'!D23+'EMM23-19052122'!D23+'ÖB22-19051517-D'!D23+'BEŞ22-19051617-D'!D23+'MRZ21-19051718-S'!D23+'AYG21-19051920-S'!D23+'EMR21-19051617-S'!D23+'ÖB21-19051517-S'!D23+'BO21-19051820'!D23+'G21-19051820-1'!D23+'ÖA20-19051920'!D23+'G20-19051820'!D23+'BEŞ18-19051617-S'!D23+'EMM17-19051315-S'!D23+'SK17-19051213-S'!D23+'AYG17-19051517-S'!D23+'ÖA17-19051516'!D23+'ÜN16-19051415-S'!D23+'YIL16-19051516'!D23+'G15-19051014'!D23+'EMM15-19051315'!D23+'ÖB15-19051214-S'!D23+'ÖB15-19051214-D'!D23+'AYG14-19051213-S'!D23+'BO14-19051113-S'!D23+'EM14-19050610-S'!D23+'EB14-19051213-S'!D23+'BAY14-19050910-D'!D23+'ÖB14-19050810-K'!D23+'BO13-19051113'!D23+'ÖB13-19050810-S'!D23+'BAY13-19050910-S'!D23+'YIL13-19051213'!D23+'G11-19050910'!D23+'MİR11-19050910-S'!D23+'BEŞ11-19050910-S'!D23+'BEŞ11-19050910-D'!D23+'ÖB11-19050810-D'!D23+'ÜN10-19050708-S'!D23+'ÖA10-19050809'!D23+'YI10-19050708-S'!D23+'ÖB10-19050810'!D23+'G09-19050709-1'!D23+'G09-19050709'!D23+'G08-19050708'!D23+'ÖA08-19050607'!D23+'ÖB08-19050506-D'!D23+'ÖB07-19050506-S'!D23+'ÖB07-19050506'!D23+'MİR07-19050305-S'!D23+'EM07-19050406-S'!D23+'AYG07-19050506-S'!D23+'BO07-19050406-S'!D23+'BO07-19050406'!D23+'G06-19050406'!D23+'BEŞ06-19050204-D'!D23+'BEŞ06-19050204-S'!D23+'MOL06-19050406'!D23+'ÖB06-19050102-D'!D23+'ANK04-19050102-S'!D23+'G04-19050203'!D23+'ÖB04-19050102-S'!D23+'ÖA03-19050203'!D23+'BA03-19053001-S'!D23+'ÖB03-19050102'!D23+'YI03-19053001-S'!D23+'G02-19053002-1'!D23+'G02-19053002'!D23+'ÜN02-19053001-S'!D23+'BA02-19053001'!D23</f>
        <v>16817.999999999996</v>
      </c>
      <c r="E23" s="29">
        <f>D23/$D$48</f>
        <v>2.1300028994028049E-2</v>
      </c>
      <c r="F23" s="28">
        <f>C23-(C23*$E$6)</f>
        <v>43.031411097588325</v>
      </c>
      <c r="G23" s="27" t="str">
        <f>IF(C23&gt;=F23,"-","+")</f>
        <v>+</v>
      </c>
      <c r="H23" s="26">
        <f>C23*D23</f>
        <v>702992.39999999979</v>
      </c>
      <c r="I23" s="26">
        <f>F23*D23</f>
        <v>723702.27183924033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48.588057773896843</v>
      </c>
      <c r="D24" s="22">
        <f>SUM(D21:D23)</f>
        <v>48293.09</v>
      </c>
      <c r="E24" s="21">
        <f>D24/$D$48</f>
        <v>6.1163290356237736E-2</v>
      </c>
      <c r="F24" s="20">
        <f>I24/D24</f>
        <v>50.019442308658554</v>
      </c>
      <c r="G24" s="19">
        <f>F24/C24-1</f>
        <v>2.9459595636084579E-2</v>
      </c>
      <c r="H24" s="18">
        <f>SUM(H21:H23)</f>
        <v>2346467.4469999997</v>
      </c>
      <c r="I24" s="18">
        <f>SUM(I21:I23)</f>
        <v>2415593.429161855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36.5</v>
      </c>
      <c r="D26" s="117">
        <f>'BO31-19052527'!D26+'MİR31-19052530-S'!D26+'MİR30-19052930-S'!D26+'YIL30-19052930'!D26+'ÜN29-19052829-S'!D26+'EM28-19052728-S'!D26+'YIL27-19052527'!D26+'BEŞ24-19052324-S'!D26+'BEŞ24-19052324-D'!D26+'G23-19052123'!D26+'ÜN23-19052122-S'!D26+'EMM23-19052122'!D26+'ÖB22-19051517-D'!D26+'BEŞ22-19051617-D'!D26+'MRZ21-19051718-S'!D26+'AYG21-19051920-S'!D26+'EMR21-19051617-S'!D26+'ÖB21-19051517-S'!D26+'BO21-19051820'!D26+'G21-19051820-1'!D26+'ÖA20-19051920'!D26+'G20-19051820'!D26+'BEŞ18-19051617-S'!D26+'EMM17-19051315-S'!D26+'SK17-19051213-S'!D26+'AYG17-19051517-S'!D26+'ÖA17-19051516'!D26+'ÜN16-19051415-S'!D26+'YIL16-19051516'!D26+'G15-19051014'!D26+'EMM15-19051315'!D26+'ÖB15-19051214-S'!D26+'ÖB15-19051214-D'!D26+'AYG14-19051213-S'!D26+'BO14-19051113-S'!D26+'EM14-19050610-S'!D26+'EB14-19051213-S'!D26+'BAY14-19050910-D'!D26+'ÖB14-19050810-K'!D26+'BO13-19051113'!D26+'ÖB13-19050810-S'!D26+'BAY13-19050910-S'!D26+'YIL13-19051213'!D26+'G11-19050910'!D26+'MİR11-19050910-S'!D26+'BEŞ11-19050910-S'!D26+'BEŞ11-19050910-D'!D26+'ÖB11-19050810-D'!D26+'ÜN10-19050708-S'!D26+'ÖA10-19050809'!D26+'YI10-19050708-S'!D26+'ÖB10-19050810'!D26+'G09-19050709-1'!D26+'G09-19050709'!D26+'G08-19050708'!D26+'ÖA08-19050607'!D26+'ÖB08-19050506-D'!D26+'ÖB07-19050506-S'!D26+'ÖB07-19050506'!D26+'MİR07-19050305-S'!D26+'EM07-19050406-S'!D26+'AYG07-19050506-S'!D26+'BO07-19050406-S'!D26+'BO07-19050406'!D26+'G06-19050406'!D26+'BEŞ06-19050204-D'!D26+'BEŞ06-19050204-S'!D26+'MOL06-19050406'!D26+'ÖB06-19050102-D'!D26+'ANK04-19050102-S'!D26+'G04-19050203'!D26+'ÖB04-19050102-S'!D26+'ÖA03-19050203'!D26+'BA03-19053001-S'!D26+'ÖB03-19050102'!D26+'YI03-19053001-S'!D26+'G02-19053002-1'!D26+'G02-19053002'!D26+'ÜN02-19053001-S'!D26+'BA02-19053001'!D26</f>
        <v>155298.19999999998</v>
      </c>
      <c r="E26" s="29">
        <f t="shared" ref="E26:E32" si="7">D26/$D$48</f>
        <v>0.19668546573435408</v>
      </c>
      <c r="F26" s="28">
        <f t="shared" ref="F26:F31" si="8">C26-(C26*$E$6)</f>
        <v>37.575275240717076</v>
      </c>
      <c r="G26" s="27" t="str">
        <f t="shared" ref="G26:G31" si="9">IF(C26&gt;=F26,"-","+")</f>
        <v>+</v>
      </c>
      <c r="H26" s="26">
        <f t="shared" ref="H26:H31" si="10">C26*D26</f>
        <v>5668384.2999999998</v>
      </c>
      <c r="I26" s="26">
        <f t="shared" ref="I26:I31" si="11">F26*D26</f>
        <v>5835372.6093879277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32.5</v>
      </c>
      <c r="D27" s="117">
        <f>'BO31-19052527'!D27+'MİR31-19052530-S'!D27+'MİR30-19052930-S'!D27+'YIL30-19052930'!D27+'ÜN29-19052829-S'!D27+'EM28-19052728-S'!D27+'YIL27-19052527'!D27+'BEŞ24-19052324-S'!D27+'BEŞ24-19052324-D'!D27+'G23-19052123'!D27+'ÜN23-19052122-S'!D27+'EMM23-19052122'!D27+'ÖB22-19051517-D'!D27+'BEŞ22-19051617-D'!D27+'MRZ21-19051718-S'!D27+'AYG21-19051920-S'!D27+'EMR21-19051617-S'!D27+'ÖB21-19051517-S'!D27+'BO21-19051820'!D27+'G21-19051820-1'!D27+'ÖA20-19051920'!D27+'G20-19051820'!D27+'BEŞ18-19051617-S'!D27+'EMM17-19051315-S'!D27+'SK17-19051213-S'!D27+'AYG17-19051517-S'!D27+'ÖA17-19051516'!D27+'ÜN16-19051415-S'!D27+'YIL16-19051516'!D27+'G15-19051014'!D27+'EMM15-19051315'!D27+'ÖB15-19051214-S'!D27+'ÖB15-19051214-D'!D27+'AYG14-19051213-S'!D27+'BO14-19051113-S'!D27+'EM14-19050610-S'!D27+'EB14-19051213-S'!D27+'BAY14-19050910-D'!D27+'ÖB14-19050810-K'!D27+'BO13-19051113'!D27+'ÖB13-19050810-S'!D27+'BAY13-19050910-S'!D27+'YIL13-19051213'!D27+'G11-19050910'!D27+'MİR11-19050910-S'!D27+'BEŞ11-19050910-S'!D27+'BEŞ11-19050910-D'!D27+'ÖB11-19050810-D'!D27+'ÜN10-19050708-S'!D27+'ÖA10-19050809'!D27+'YI10-19050708-S'!D27+'ÖB10-19050810'!D27+'G09-19050709-1'!D27+'G09-19050709'!D27+'G08-19050708'!D27+'ÖA08-19050607'!D27+'ÖB08-19050506-D'!D27+'ÖB07-19050506-S'!D27+'ÖB07-19050506'!D27+'MİR07-19050305-S'!D27+'EM07-19050406-S'!D27+'AYG07-19050506-S'!D27+'BO07-19050406-S'!D27+'BO07-19050406'!D27+'G06-19050406'!D27+'BEŞ06-19050204-D'!D27+'BEŞ06-19050204-S'!D27+'MOL06-19050406'!D27+'ÖB06-19050102-D'!D27+'ANK04-19050102-S'!D27+'G04-19050203'!D27+'ÖB04-19050102-S'!D27+'ÖA03-19050203'!D27+'BA03-19053001-S'!D27+'ÖB03-19050102'!D27+'YI03-19053001-S'!D27+'G02-19053002-1'!D27+'G02-19053002'!D27+'ÜN02-19053001-S'!D27+'BA02-19053001'!D27</f>
        <v>118774.1</v>
      </c>
      <c r="E27" s="29">
        <f t="shared" si="7"/>
        <v>0.15042762360206846</v>
      </c>
      <c r="F27" s="28">
        <f t="shared" si="8"/>
        <v>33.457436858172741</v>
      </c>
      <c r="G27" s="27" t="str">
        <f t="shared" si="9"/>
        <v>+</v>
      </c>
      <c r="H27" s="26">
        <f t="shared" si="10"/>
        <v>3860158.25</v>
      </c>
      <c r="I27" s="26">
        <f t="shared" si="11"/>
        <v>3973876.9511362952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32.5</v>
      </c>
      <c r="D28" s="117">
        <f>'BO31-19052527'!D28+'MİR31-19052530-S'!D28+'MİR30-19052930-S'!D28+'YIL30-19052930'!D28+'ÜN29-19052829-S'!D28+'EM28-19052728-S'!D28+'YIL27-19052527'!D28+'BEŞ24-19052324-S'!D28+'BEŞ24-19052324-D'!D28+'G23-19052123'!D28+'ÜN23-19052122-S'!D28+'EMM23-19052122'!D28+'ÖB22-19051517-D'!D28+'BEŞ22-19051617-D'!D28+'MRZ21-19051718-S'!D28+'AYG21-19051920-S'!D28+'EMR21-19051617-S'!D28+'ÖB21-19051517-S'!D28+'BO21-19051820'!D28+'G21-19051820-1'!D28+'ÖA20-19051920'!D28+'G20-19051820'!D28+'BEŞ18-19051617-S'!D28+'EMM17-19051315-S'!D28+'SK17-19051213-S'!D28+'AYG17-19051517-S'!D28+'ÖA17-19051516'!D28+'ÜN16-19051415-S'!D28+'YIL16-19051516'!D28+'G15-19051014'!D28+'EMM15-19051315'!D28+'ÖB15-19051214-S'!D28+'ÖB15-19051214-D'!D28+'AYG14-19051213-S'!D28+'BO14-19051113-S'!D28+'EM14-19050610-S'!D28+'EB14-19051213-S'!D28+'BAY14-19050910-D'!D28+'ÖB14-19050810-K'!D28+'BO13-19051113'!D28+'ÖB13-19050810-S'!D28+'BAY13-19050910-S'!D28+'YIL13-19051213'!D28+'G11-19050910'!D28+'MİR11-19050910-S'!D28+'BEŞ11-19050910-S'!D28+'BEŞ11-19050910-D'!D28+'ÖB11-19050810-D'!D28+'ÜN10-19050708-S'!D28+'ÖA10-19050809'!D28+'YI10-19050708-S'!D28+'ÖB10-19050810'!D28+'G09-19050709-1'!D28+'G09-19050709'!D28+'G08-19050708'!D28+'ÖA08-19050607'!D28+'ÖB08-19050506-D'!D28+'ÖB07-19050506-S'!D28+'ÖB07-19050506'!D28+'MİR07-19050305-S'!D28+'EM07-19050406-S'!D28+'AYG07-19050506-S'!D28+'BO07-19050406-S'!D28+'BO07-19050406'!D28+'G06-19050406'!D28+'BEŞ06-19050204-D'!D28+'BEŞ06-19050204-S'!D28+'MOL06-19050406'!D28+'ÖB06-19050102-D'!D28+'ANK04-19050102-S'!D28+'G04-19050203'!D28+'ÖB04-19050102-S'!D28+'ÖA03-19050203'!D28+'BA03-19053001-S'!D28+'ÖB03-19050102'!D28+'YI03-19053001-S'!D28+'G02-19053002-1'!D28+'G02-19053002'!D28+'ÜN02-19053001-S'!D28+'BA02-19053001'!D28</f>
        <v>71454.899999999994</v>
      </c>
      <c r="E28" s="29">
        <f t="shared" si="7"/>
        <v>9.0497766783528069E-2</v>
      </c>
      <c r="F28" s="28">
        <f t="shared" si="8"/>
        <v>33.457436858172741</v>
      </c>
      <c r="G28" s="27" t="str">
        <f t="shared" si="9"/>
        <v>+</v>
      </c>
      <c r="H28" s="26">
        <f t="shared" si="10"/>
        <v>2322284.25</v>
      </c>
      <c r="I28" s="26">
        <f t="shared" si="11"/>
        <v>2390697.8049570471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117">
        <f>'BO31-19052527'!D29+'MİR31-19052530-S'!D29+'MİR30-19052930-S'!D29+'YIL30-19052930'!D29+'ÜN29-19052829-S'!D29+'EM28-19052728-S'!D29+'YIL27-19052527'!D29+'BEŞ24-19052324-S'!D29+'BEŞ24-19052324-D'!D29+'G23-19052123'!D29+'ÜN23-19052122-S'!D29+'EMM23-19052122'!D29+'ÖB22-19051517-D'!D29+'BEŞ22-19051617-D'!D29+'MRZ21-19051718-S'!D29+'AYG21-19051920-S'!D29+'EMR21-19051617-S'!D29+'ÖB21-19051517-S'!D29+'BO21-19051820'!D29+'G21-19051820-1'!D29+'ÖA20-19051920'!D29+'G20-19051820'!D29+'BEŞ18-19051617-S'!D29+'EMM17-19051315-S'!D29+'SK17-19051213-S'!D29+'AYG17-19051517-S'!D29+'ÖA17-19051516'!D29+'ÜN16-19051415-S'!D29+'YIL16-19051516'!D29+'G15-19051014'!D29+'EMM15-19051315'!D29+'ÖB15-19051214-S'!D29+'ÖB15-19051214-D'!D29+'AYG14-19051213-S'!D29+'BO14-19051113-S'!D29+'EM14-19050610-S'!D29+'EB14-19051213-S'!D29+'BAY14-19050910-D'!D29+'ÖB14-19050810-K'!D29+'BO13-19051113'!D29+'ÖB13-19050810-S'!D29+'BAY13-19050910-S'!D29+'YIL13-19051213'!D29+'G11-19050910'!D29+'MİR11-19050910-S'!D29+'BEŞ11-19050910-S'!D29+'BEŞ11-19050910-D'!D29+'ÖB11-19050810-D'!D29+'ÜN10-19050708-S'!D29+'ÖA10-19050809'!D29+'YI10-19050708-S'!D29+'ÖB10-19050810'!D29+'G09-19050709-1'!D29+'G09-19050709'!D29+'G08-19050708'!D29+'ÖA08-19050607'!D29+'ÖB08-19050506-D'!D29+'ÖB07-19050506-S'!D29+'ÖB07-19050506'!D29+'MİR07-19050305-S'!D29+'EM07-19050406-S'!D29+'AYG07-19050506-S'!D29+'BO07-19050406-S'!D29+'BO07-19050406'!D29+'G06-19050406'!D29+'BEŞ06-19050204-D'!D29+'BEŞ06-19050204-S'!D29+'MOL06-19050406'!D29+'ÖB06-19050102-D'!D29+'ANK04-19050102-S'!D29+'G04-19050203'!D29+'ÖB04-19050102-S'!D29+'ÖA03-19050203'!D29+'BA03-19053001-S'!D29+'ÖB03-19050102'!D29+'YI03-19053001-S'!D29+'G02-19053002-1'!D29+'G02-19053002'!D29+'ÜN02-19053001-S'!D29+'BA02-19053001'!D29</f>
        <v>68718.600000000006</v>
      </c>
      <c r="E29" s="29">
        <f t="shared" si="7"/>
        <v>8.7032237628078032E-2</v>
      </c>
      <c r="F29" s="28">
        <f t="shared" si="8"/>
        <v>32.325031302973045</v>
      </c>
      <c r="G29" s="27" t="str">
        <f t="shared" si="9"/>
        <v>+</v>
      </c>
      <c r="H29" s="26">
        <f t="shared" si="10"/>
        <v>2157764.04</v>
      </c>
      <c r="I29" s="26">
        <f t="shared" si="11"/>
        <v>2221330.8960964838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117">
        <f>'BO31-19052527'!D30+'MİR31-19052530-S'!D30+'MİR30-19052930-S'!D30+'YIL30-19052930'!D30+'ÜN29-19052829-S'!D30+'EM28-19052728-S'!D30+'YIL27-19052527'!D30+'BEŞ24-19052324-S'!D30+'BEŞ24-19052324-D'!D30+'G23-19052123'!D30+'ÜN23-19052122-S'!D30+'EMM23-19052122'!D30+'ÖB22-19051517-D'!D30+'BEŞ22-19051617-D'!D30+'MRZ21-19051718-S'!D30+'AYG21-19051920-S'!D30+'EMR21-19051617-S'!D30+'ÖB21-19051517-S'!D30+'BO21-19051820'!D30+'G21-19051820-1'!D30+'ÖA20-19051920'!D30+'G20-19051820'!D30+'BEŞ18-19051617-S'!D30+'EMM17-19051315-S'!D30+'SK17-19051213-S'!D30+'AYG17-19051517-S'!D30+'ÖA17-19051516'!D30+'ÜN16-19051415-S'!D30+'YIL16-19051516'!D30+'G15-19051014'!D30+'EMM15-19051315'!D30+'ÖB15-19051214-S'!D30+'ÖB15-19051214-D'!D30+'AYG14-19051213-S'!D30+'BO14-19051113-S'!D30+'EM14-19050610-S'!D30+'EB14-19051213-S'!D30+'BAY14-19050910-D'!D30+'ÖB14-19050810-K'!D30+'BO13-19051113'!D30+'ÖB13-19050810-S'!D30+'BAY13-19050910-S'!D30+'YIL13-19051213'!D30+'G11-19050910'!D30+'MİR11-19050910-S'!D30+'BEŞ11-19050910-S'!D30+'BEŞ11-19050910-D'!D30+'ÖB11-19050810-D'!D30+'ÜN10-19050708-S'!D30+'ÖA10-19050809'!D30+'YI10-19050708-S'!D30+'ÖB10-19050810'!D30+'G09-19050709-1'!D30+'G09-19050709'!D30+'G08-19050708'!D30+'ÖA08-19050607'!D30+'ÖB08-19050506-D'!D30+'ÖB07-19050506-S'!D30+'ÖB07-19050506'!D30+'MİR07-19050305-S'!D30+'EM07-19050406-S'!D30+'AYG07-19050506-S'!D30+'BO07-19050406-S'!D30+'BO07-19050406'!D30+'G06-19050406'!D30+'BEŞ06-19050204-D'!D30+'BEŞ06-19050204-S'!D30+'MOL06-19050406'!D30+'ÖB06-19050102-D'!D30+'ANK04-19050102-S'!D30+'G04-19050203'!D30+'ÖB04-19050102-S'!D30+'ÖA03-19050203'!D30+'BA03-19053001-S'!D30+'ÖB03-19050102'!D30+'YI03-19053001-S'!D30+'G02-19053002-1'!D30+'G02-19053002'!D30+'ÜN02-19053001-S'!D30+'BA02-19053001'!D30</f>
        <v>50620.299999999996</v>
      </c>
      <c r="E30" s="29">
        <f t="shared" si="7"/>
        <v>6.4110706248447988E-2</v>
      </c>
      <c r="F30" s="28">
        <f t="shared" si="8"/>
        <v>32.325031302973045</v>
      </c>
      <c r="G30" s="27" t="str">
        <f t="shared" si="9"/>
        <v>+</v>
      </c>
      <c r="H30" s="26">
        <f t="shared" si="10"/>
        <v>1589477.4199999997</v>
      </c>
      <c r="I30" s="26">
        <f t="shared" si="11"/>
        <v>1636302.7820658863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31.9</v>
      </c>
      <c r="D31" s="117">
        <f>'BO31-19052527'!D31+'MİR31-19052530-S'!D31+'MİR30-19052930-S'!D31+'YIL30-19052930'!D31+'ÜN29-19052829-S'!D31+'EM28-19052728-S'!D31+'YIL27-19052527'!D31+'BEŞ24-19052324-S'!D31+'BEŞ24-19052324-D'!D31+'G23-19052123'!D31+'ÜN23-19052122-S'!D31+'EMM23-19052122'!D31+'ÖB22-19051517-D'!D31+'BEŞ22-19051617-D'!D31+'MRZ21-19051718-S'!D31+'AYG21-19051920-S'!D31+'EMR21-19051617-S'!D31+'ÖB21-19051517-S'!D31+'BO21-19051820'!D31+'G21-19051820-1'!D31+'ÖA20-19051920'!D31+'G20-19051820'!D31+'BEŞ18-19051617-S'!D31+'EMM17-19051315-S'!D31+'SK17-19051213-S'!D31+'AYG17-19051517-S'!D31+'ÖA17-19051516'!D31+'ÜN16-19051415-S'!D31+'YIL16-19051516'!D31+'G15-19051014'!D31+'EMM15-19051315'!D31+'ÖB15-19051214-S'!D31+'ÖB15-19051214-D'!D31+'AYG14-19051213-S'!D31+'BO14-19051113-S'!D31+'EM14-19050610-S'!D31+'EB14-19051213-S'!D31+'BAY14-19050910-D'!D31+'ÖB14-19050810-K'!D31+'BO13-19051113'!D31+'ÖB13-19050810-S'!D31+'BAY13-19050910-S'!D31+'YIL13-19051213'!D31+'G11-19050910'!D31+'MİR11-19050910-S'!D31+'BEŞ11-19050910-S'!D31+'BEŞ11-19050910-D'!D31+'ÖB11-19050810-D'!D31+'ÜN10-19050708-S'!D31+'ÖA10-19050809'!D31+'YI10-19050708-S'!D31+'ÖB10-19050810'!D31+'G09-19050709-1'!D31+'G09-19050709'!D31+'G08-19050708'!D31+'ÖA08-19050607'!D31+'ÖB08-19050506-D'!D31+'ÖB07-19050506-S'!D31+'ÖB07-19050506'!D31+'MİR07-19050305-S'!D31+'EM07-19050406-S'!D31+'AYG07-19050506-S'!D31+'BO07-19050406-S'!D31+'BO07-19050406'!D31+'G06-19050406'!D31+'BEŞ06-19050204-D'!D31+'BEŞ06-19050204-S'!D31+'MOL06-19050406'!D31+'ÖB06-19050102-D'!D31+'ANK04-19050102-S'!D31+'G04-19050203'!D31+'ÖB04-19050102-S'!D31+'ÖA03-19050203'!D31+'BA03-19053001-S'!D31+'ÖB03-19050102'!D31+'YI03-19053001-S'!D31+'G02-19053002-1'!D31+'G02-19053002'!D31+'ÜN02-19053001-S'!D31+'BA02-19053001'!D31</f>
        <v>13451.699999999997</v>
      </c>
      <c r="E31" s="29">
        <f t="shared" si="7"/>
        <v>1.7036603640086044E-2</v>
      </c>
      <c r="F31" s="28">
        <f t="shared" si="8"/>
        <v>32.839761100791087</v>
      </c>
      <c r="G31" s="27" t="str">
        <f t="shared" si="9"/>
        <v>+</v>
      </c>
      <c r="H31" s="26">
        <f t="shared" si="10"/>
        <v>429109.22999999986</v>
      </c>
      <c r="I31" s="26">
        <f t="shared" si="11"/>
        <v>441750.61439951137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33.507382518484576</v>
      </c>
      <c r="D32" s="22">
        <f>SUM(D26:D31)</f>
        <v>478317.79999999993</v>
      </c>
      <c r="E32" s="21">
        <f t="shared" si="7"/>
        <v>0.60579040363656267</v>
      </c>
      <c r="F32" s="20">
        <f>I32/D32</f>
        <v>34.494496458302734</v>
      </c>
      <c r="G32" s="19">
        <f>F32/C32-1</f>
        <v>2.9459595636084357E-2</v>
      </c>
      <c r="H32" s="18">
        <f>SUM(H26:H31)</f>
        <v>16027177.49</v>
      </c>
      <c r="I32" s="18">
        <f>SUM(I26:I31)</f>
        <v>16499331.658043154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117">
        <f>'BO31-19052527'!D34+'MİR31-19052530-S'!D34+'MİR30-19052930-S'!D34+'YIL30-19052930'!D34+'ÜN29-19052829-S'!D34+'EM28-19052728-S'!D34+'YIL27-19052527'!D34+'BEŞ24-19052324-S'!D34+'BEŞ24-19052324-D'!D34+'G23-19052123'!D34+'ÜN23-19052122-S'!D34+'EMM23-19052122'!D34+'ÖB22-19051517-D'!D34+'BEŞ22-19051617-D'!D34+'MRZ21-19051718-S'!D34+'AYG21-19051920-S'!D34+'EMR21-19051617-S'!D34+'ÖB21-19051517-S'!D34+'BO21-19051820'!D34+'G21-19051820-1'!D34+'ÖA20-19051920'!D34+'G20-19051820'!D34+'BEŞ18-19051617-S'!D34+'EMM17-19051315-S'!D34+'SK17-19051213-S'!D34+'AYG17-19051517-S'!D34+'ÖA17-19051516'!D34+'ÜN16-19051415-S'!D34+'YIL16-19051516'!D34+'G15-19051014'!D34+'EMM15-19051315'!D34+'ÖB15-19051214-S'!D34+'ÖB15-19051214-D'!D34+'AYG14-19051213-S'!D34+'BO14-19051113-S'!D34+'EM14-19050610-S'!D34+'EB14-19051213-S'!D34+'BAY14-19050910-D'!D34+'ÖB14-19050810-K'!D34+'BO13-19051113'!D34+'ÖB13-19050810-S'!D34+'BAY13-19050910-S'!D34+'YIL13-19051213'!D34+'G11-19050910'!D34+'MİR11-19050910-S'!D34+'BEŞ11-19050910-S'!D34+'BEŞ11-19050910-D'!D34+'ÖB11-19050810-D'!D34+'ÜN10-19050708-S'!D34+'ÖA10-19050809'!D34+'YI10-19050708-S'!D34+'ÖB10-19050810'!D34+'G09-19050709-1'!D34+'G09-19050709'!D34+'G08-19050708'!D34+'ÖA08-19050607'!D34+'ÖB08-19050506-D'!D34+'ÖB07-19050506-S'!D34+'ÖB07-19050506'!D34+'MİR07-19050305-S'!D34+'EM07-19050406-S'!D34+'AYG07-19050506-S'!D34+'BO07-19050406-S'!D34+'BO07-19050406'!D34+'G06-19050406'!D34+'BEŞ06-19050204-D'!D34+'BEŞ06-19050204-S'!D34+'MOL06-19050406'!D34+'ÖB06-19050102-D'!D34+'ANK04-19050102-S'!D34+'G04-19050203'!D34+'ÖB04-19050102-S'!D34+'ÖA03-19050203'!D34+'BA03-19053001-S'!D34+'ÖB03-19050102'!D34+'YI03-19053001-S'!D34+'G02-19053002-1'!D34+'G02-19053002'!D34+'ÜN02-19053001-S'!D34+'BA02-19053001'!D34</f>
        <v>118147.20000000001</v>
      </c>
      <c r="E34" s="29">
        <f t="shared" ref="E34:E40" si="13">D34/$D$48</f>
        <v>0.14963365355947386</v>
      </c>
      <c r="F34" s="28">
        <f t="shared" ref="F34:F39" si="14">C34-(C34*$E$6)</f>
        <v>19.765624236212819</v>
      </c>
      <c r="G34" s="27" t="str">
        <f t="shared" ref="G34:G39" si="15">IF(C34&gt;=F34,"-","+")</f>
        <v>+</v>
      </c>
      <c r="H34" s="26">
        <f t="shared" ref="H34:H39" si="16">C34*D34</f>
        <v>2268426.2400000002</v>
      </c>
      <c r="I34" s="26">
        <f t="shared" ref="I34:I39" si="17">F34*D34</f>
        <v>2335253.1597606833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117">
        <f>'BO31-19052527'!D35+'MİR31-19052530-S'!D35+'MİR30-19052930-S'!D35+'YIL30-19052930'!D35+'ÜN29-19052829-S'!D35+'EM28-19052728-S'!D35+'YIL27-19052527'!D35+'BEŞ24-19052324-S'!D35+'BEŞ24-19052324-D'!D35+'G23-19052123'!D35+'ÜN23-19052122-S'!D35+'EMM23-19052122'!D35+'ÖB22-19051517-D'!D35+'BEŞ22-19051617-D'!D35+'MRZ21-19051718-S'!D35+'AYG21-19051920-S'!D35+'EMR21-19051617-S'!D35+'ÖB21-19051517-S'!D35+'BO21-19051820'!D35+'G21-19051820-1'!D35+'ÖA20-19051920'!D35+'G20-19051820'!D35+'BEŞ18-19051617-S'!D35+'EMM17-19051315-S'!D35+'SK17-19051213-S'!D35+'AYG17-19051517-S'!D35+'ÖA17-19051516'!D35+'ÜN16-19051415-S'!D35+'YIL16-19051516'!D35+'G15-19051014'!D35+'EMM15-19051315'!D35+'ÖB15-19051214-S'!D35+'ÖB15-19051214-D'!D35+'AYG14-19051213-S'!D35+'BO14-19051113-S'!D35+'EM14-19050610-S'!D35+'EB14-19051213-S'!D35+'BAY14-19050910-D'!D35+'ÖB14-19050810-K'!D35+'BO13-19051113'!D35+'ÖB13-19050810-S'!D35+'BAY13-19050910-S'!D35+'YIL13-19051213'!D35+'G11-19050910'!D35+'MİR11-19050910-S'!D35+'BEŞ11-19050910-S'!D35+'BEŞ11-19050910-D'!D35+'ÖB11-19050810-D'!D35+'ÜN10-19050708-S'!D35+'ÖA10-19050809'!D35+'YI10-19050708-S'!D35+'ÖB10-19050810'!D35+'G09-19050709-1'!D35+'G09-19050709'!D35+'G08-19050708'!D35+'ÖA08-19050607'!D35+'ÖB08-19050506-D'!D35+'ÖB07-19050506-S'!D35+'ÖB07-19050506'!D35+'MİR07-19050305-S'!D35+'EM07-19050406-S'!D35+'AYG07-19050506-S'!D35+'BO07-19050406-S'!D35+'BO07-19050406'!D35+'G06-19050406'!D35+'BEŞ06-19050204-D'!D35+'BEŞ06-19050204-S'!D35+'MOL06-19050406'!D35+'ÖB06-19050102-D'!D35+'ANK04-19050102-S'!D35+'G04-19050203'!D35+'ÖB04-19050102-S'!D35+'ÖA03-19050203'!D35+'BA03-19053001-S'!D35+'ÖB03-19050102'!D35+'YI03-19053001-S'!D35+'G02-19053002-1'!D35+'G02-19053002'!D35+'ÜN02-19053001-S'!D35+'BA02-19053001'!D35</f>
        <v>5171.7999999999993</v>
      </c>
      <c r="E35" s="29">
        <f t="shared" si="13"/>
        <v>6.550094538667753E-3</v>
      </c>
      <c r="F35" s="28">
        <f t="shared" si="14"/>
        <v>15.23600201541405</v>
      </c>
      <c r="G35" s="27" t="str">
        <f t="shared" si="15"/>
        <v>+</v>
      </c>
      <c r="H35" s="26">
        <f t="shared" si="16"/>
        <v>76542.64</v>
      </c>
      <c r="I35" s="26">
        <f t="shared" si="17"/>
        <v>78797.55522331837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117">
        <f>'BO31-19052527'!D36+'MİR31-19052530-S'!D36+'MİR30-19052930-S'!D36+'YIL30-19052930'!D36+'ÜN29-19052829-S'!D36+'EM28-19052728-S'!D36+'YIL27-19052527'!D36+'BEŞ24-19052324-S'!D36+'BEŞ24-19052324-D'!D36+'G23-19052123'!D36+'ÜN23-19052122-S'!D36+'EMM23-19052122'!D36+'ÖB22-19051517-D'!D36+'BEŞ22-19051617-D'!D36+'MRZ21-19051718-S'!D36+'AYG21-19051920-S'!D36+'EMR21-19051617-S'!D36+'ÖB21-19051517-S'!D36+'BO21-19051820'!D36+'G21-19051820-1'!D36+'ÖA20-19051920'!D36+'G20-19051820'!D36+'BEŞ18-19051617-S'!D36+'EMM17-19051315-S'!D36+'SK17-19051213-S'!D36+'AYG17-19051517-S'!D36+'ÖA17-19051516'!D36+'ÜN16-19051415-S'!D36+'YIL16-19051516'!D36+'G15-19051014'!D36+'EMM15-19051315'!D36+'ÖB15-19051214-S'!D36+'ÖB15-19051214-D'!D36+'AYG14-19051213-S'!D36+'BO14-19051113-S'!D36+'EM14-19050610-S'!D36+'EB14-19051213-S'!D36+'BAY14-19050910-D'!D36+'ÖB14-19050810-K'!D36+'BO13-19051113'!D36+'ÖB13-19050810-S'!D36+'BAY13-19050910-S'!D36+'YIL13-19051213'!D36+'G11-19050910'!D36+'MİR11-19050910-S'!D36+'BEŞ11-19050910-S'!D36+'BEŞ11-19050910-D'!D36+'ÖB11-19050810-D'!D36+'ÜN10-19050708-S'!D36+'ÖA10-19050809'!D36+'YI10-19050708-S'!D36+'ÖB10-19050810'!D36+'G09-19050709-1'!D36+'G09-19050709'!D36+'G08-19050708'!D36+'ÖA08-19050607'!D36+'ÖB08-19050506-D'!D36+'ÖB07-19050506-S'!D36+'ÖB07-19050506'!D36+'MİR07-19050305-S'!D36+'EM07-19050406-S'!D36+'AYG07-19050506-S'!D36+'BO07-19050406-S'!D36+'BO07-19050406'!D36+'G06-19050406'!D36+'BEŞ06-19050204-D'!D36+'BEŞ06-19050204-S'!D36+'MOL06-19050406'!D36+'ÖB06-19050102-D'!D36+'ANK04-19050102-S'!D36+'G04-19050203'!D36+'ÖB04-19050102-S'!D36+'ÖA03-19050203'!D36+'BA03-19053001-S'!D36+'ÖB03-19050102'!D36+'YI03-19053001-S'!D36+'G02-19053002-1'!D36+'G02-19053002'!D36+'ÜN02-19053001-S'!D36+'BA02-19053001'!D36</f>
        <v>0</v>
      </c>
      <c r="E36" s="29">
        <f t="shared" si="13"/>
        <v>0</v>
      </c>
      <c r="F36" s="28">
        <f t="shared" si="14"/>
        <v>12.250569188069404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117">
        <f>'BO31-19052527'!D37+'MİR31-19052530-S'!D37+'MİR30-19052930-S'!D37+'YIL30-19052930'!D37+'ÜN29-19052829-S'!D37+'EM28-19052728-S'!D37+'YIL27-19052527'!D37+'BEŞ24-19052324-S'!D37+'BEŞ24-19052324-D'!D37+'G23-19052123'!D37+'ÜN23-19052122-S'!D37+'EMM23-19052122'!D37+'ÖB22-19051517-D'!D37+'BEŞ22-19051617-D'!D37+'MRZ21-19051718-S'!D37+'AYG21-19051920-S'!D37+'EMR21-19051617-S'!D37+'ÖB21-19051517-S'!D37+'BO21-19051820'!D37+'G21-19051820-1'!D37+'ÖA20-19051920'!D37+'G20-19051820'!D37+'BEŞ18-19051617-S'!D37+'EMM17-19051315-S'!D37+'SK17-19051213-S'!D37+'AYG17-19051517-S'!D37+'ÖA17-19051516'!D37+'ÜN16-19051415-S'!D37+'YIL16-19051516'!D37+'G15-19051014'!D37+'EMM15-19051315'!D37+'ÖB15-19051214-S'!D37+'ÖB15-19051214-D'!D37+'AYG14-19051213-S'!D37+'BO14-19051113-S'!D37+'EM14-19050610-S'!D37+'EB14-19051213-S'!D37+'BAY14-19050910-D'!D37+'ÖB14-19050810-K'!D37+'BO13-19051113'!D37+'ÖB13-19050810-S'!D37+'BAY13-19050910-S'!D37+'YIL13-19051213'!D37+'G11-19050910'!D37+'MİR11-19050910-S'!D37+'BEŞ11-19050910-S'!D37+'BEŞ11-19050910-D'!D37+'ÖB11-19050810-D'!D37+'ÜN10-19050708-S'!D37+'ÖA10-19050809'!D37+'YI10-19050708-S'!D37+'ÖB10-19050810'!D37+'G09-19050709-1'!D37+'G09-19050709'!D37+'G08-19050708'!D37+'ÖA08-19050607'!D37+'ÖB08-19050506-D'!D37+'ÖB07-19050506-S'!D37+'ÖB07-19050506'!D37+'MİR07-19050305-S'!D37+'EM07-19050406-S'!D37+'AYG07-19050506-S'!D37+'BO07-19050406-S'!D37+'BO07-19050406'!D37+'G06-19050406'!D37+'BEŞ06-19050204-D'!D37+'BEŞ06-19050204-S'!D37+'MOL06-19050406'!D37+'ÖB06-19050102-D'!D37+'ANK04-19050102-S'!D37+'G04-19050203'!D37+'ÖB04-19050102-S'!D37+'ÖA03-19050203'!D37+'BA03-19053001-S'!D37+'ÖB03-19050102'!D37+'YI03-19053001-S'!D37+'G02-19053002-1'!D37+'G02-19053002'!D37+'ÜN02-19053001-S'!D37+'BA02-19053001'!D37</f>
        <v>0</v>
      </c>
      <c r="E37" s="29">
        <f t="shared" si="13"/>
        <v>0</v>
      </c>
      <c r="F37" s="28">
        <f t="shared" si="14"/>
        <v>32.325031302973045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117">
        <f>'BO31-19052527'!D38+'MİR31-19052530-S'!D38+'MİR30-19052930-S'!D38+'YIL30-19052930'!D38+'ÜN29-19052829-S'!D38+'EM28-19052728-S'!D38+'YIL27-19052527'!D38+'BEŞ24-19052324-S'!D38+'BEŞ24-19052324-D'!D38+'G23-19052123'!D38+'ÜN23-19052122-S'!D38+'EMM23-19052122'!D38+'ÖB22-19051517-D'!D38+'BEŞ22-19051617-D'!D38+'MRZ21-19051718-S'!D38+'AYG21-19051920-S'!D38+'EMR21-19051617-S'!D38+'ÖB21-19051517-S'!D38+'BO21-19051820'!D38+'G21-19051820-1'!D38+'ÖA20-19051920'!D38+'G20-19051820'!D38+'BEŞ18-19051617-S'!D38+'EMM17-19051315-S'!D38+'SK17-19051213-S'!D38+'AYG17-19051517-S'!D38+'ÖA17-19051516'!D38+'ÜN16-19051415-S'!D38+'YIL16-19051516'!D38+'G15-19051014'!D38+'EMM15-19051315'!D38+'ÖB15-19051214-S'!D38+'ÖB15-19051214-D'!D38+'AYG14-19051213-S'!D38+'BO14-19051113-S'!D38+'EM14-19050610-S'!D38+'EB14-19051213-S'!D38+'BAY14-19050910-D'!D38+'ÖB14-19050810-K'!D38+'BO13-19051113'!D38+'ÖB13-19050810-S'!D38+'BAY13-19050910-S'!D38+'YIL13-19051213'!D38+'G11-19050910'!D38+'MİR11-19050910-S'!D38+'BEŞ11-19050910-S'!D38+'BEŞ11-19050910-D'!D38+'ÖB11-19050810-D'!D38+'ÜN10-19050708-S'!D38+'ÖA10-19050809'!D38+'YI10-19050708-S'!D38+'ÖB10-19050810'!D38+'G09-19050709-1'!D38+'G09-19050709'!D38+'G08-19050708'!D38+'ÖA08-19050607'!D38+'ÖB08-19050506-D'!D38+'ÖB07-19050506-S'!D38+'ÖB07-19050506'!D38+'MİR07-19050305-S'!D38+'EM07-19050406-S'!D38+'AYG07-19050506-S'!D38+'BO07-19050406-S'!D38+'BO07-19050406'!D38+'G06-19050406'!D38+'BEŞ06-19050204-D'!D38+'BEŞ06-19050204-S'!D38+'MOL06-19050406'!D38+'ÖB06-19050102-D'!D38+'ANK04-19050102-S'!D38+'G04-19050203'!D38+'ÖB04-19050102-S'!D38+'ÖA03-19050203'!D38+'BA03-19053001-S'!D38+'ÖB03-19050102'!D38+'YI03-19053001-S'!D38+'G02-19053002-1'!D38+'G02-19053002'!D38+'ÜN02-19053001-S'!D38+'BA02-19053001'!D38</f>
        <v>0</v>
      </c>
      <c r="E38" s="29">
        <f t="shared" si="13"/>
        <v>0</v>
      </c>
      <c r="F38" s="28">
        <f t="shared" si="14"/>
        <v>32.325031302973045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32.5</v>
      </c>
      <c r="D39" s="117">
        <f>'BO31-19052527'!D39+'MİR31-19052530-S'!D39+'MİR30-19052930-S'!D39+'YIL30-19052930'!D39+'ÜN29-19052829-S'!D39+'EM28-19052728-S'!D39+'YIL27-19052527'!D39+'BEŞ24-19052324-S'!D39+'BEŞ24-19052324-D'!D39+'G23-19052123'!D39+'ÜN23-19052122-S'!D39+'EMM23-19052122'!D39+'ÖB22-19051517-D'!D39+'BEŞ22-19051617-D'!D39+'MRZ21-19051718-S'!D39+'AYG21-19051920-S'!D39+'EMR21-19051617-S'!D39+'ÖB21-19051517-S'!D39+'BO21-19051820'!D39+'G21-19051820-1'!D39+'ÖA20-19051920'!D39+'G20-19051820'!D39+'BEŞ18-19051617-S'!D39+'EMM17-19051315-S'!D39+'SK17-19051213-S'!D39+'AYG17-19051517-S'!D39+'ÖA17-19051516'!D39+'ÜN16-19051415-S'!D39+'YIL16-19051516'!D39+'G15-19051014'!D39+'EMM15-19051315'!D39+'ÖB15-19051214-S'!D39+'ÖB15-19051214-D'!D39+'AYG14-19051213-S'!D39+'BO14-19051113-S'!D39+'EM14-19050610-S'!D39+'EB14-19051213-S'!D39+'BAY14-19050910-D'!D39+'ÖB14-19050810-K'!D39+'BO13-19051113'!D39+'ÖB13-19050810-S'!D39+'BAY13-19050910-S'!D39+'YIL13-19051213'!D39+'G11-19050910'!D39+'MİR11-19050910-S'!D39+'BEŞ11-19050910-S'!D39+'BEŞ11-19050910-D'!D39+'ÖB11-19050810-D'!D39+'ÜN10-19050708-S'!D39+'ÖA10-19050809'!D39+'YI10-19050708-S'!D39+'ÖB10-19050810'!D39+'G09-19050709-1'!D39+'G09-19050709'!D39+'G08-19050708'!D39+'ÖA08-19050607'!D39+'ÖB08-19050506-D'!D39+'ÖB07-19050506-S'!D39+'ÖB07-19050506'!D39+'MİR07-19050305-S'!D39+'EM07-19050406-S'!D39+'AYG07-19050506-S'!D39+'BO07-19050406-S'!D39+'BO07-19050406'!D39+'G06-19050406'!D39+'BEŞ06-19050204-D'!D39+'BEŞ06-19050204-S'!D39+'MOL06-19050406'!D39+'ÖB06-19050102-D'!D39+'ANK04-19050102-S'!D39+'G04-19050203'!D39+'ÖB04-19050102-S'!D39+'ÖA03-19050203'!D39+'BA03-19053001-S'!D39+'ÖB03-19050102'!D39+'YI03-19053001-S'!D39+'G02-19053002-1'!D39+'G02-19053002'!D39+'ÜN02-19053001-S'!D39+'BA02-19053001'!D39</f>
        <v>0</v>
      </c>
      <c r="E39" s="29">
        <f t="shared" si="13"/>
        <v>0</v>
      </c>
      <c r="F39" s="28">
        <f t="shared" si="14"/>
        <v>33.457436858172741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19.015471095289453</v>
      </c>
      <c r="D40" s="22">
        <f>SUM(D34:D39)</f>
        <v>123319.00000000001</v>
      </c>
      <c r="E40" s="21">
        <f t="shared" si="13"/>
        <v>0.15618374809814162</v>
      </c>
      <c r="F40" s="20">
        <f>I40/D40</f>
        <v>19.575659184586328</v>
      </c>
      <c r="G40" s="19">
        <f>F40/C40-1</f>
        <v>2.9459595636084357E-2</v>
      </c>
      <c r="H40" s="18">
        <f>SUM(H34:H39)</f>
        <v>2344968.8800000004</v>
      </c>
      <c r="I40" s="18">
        <f>SUM(I34:I39)</f>
        <v>2414050.7149840016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117">
        <f>'BO31-19052527'!D42+'MİR31-19052530-S'!D42+'MİR30-19052930-S'!D42+'YIL30-19052930'!D42+'ÜN29-19052829-S'!D42+'EM28-19052728-S'!D42+'YIL27-19052527'!D42+'BEŞ24-19052324-S'!D42+'BEŞ24-19052324-D'!D42+'G23-19052123'!D42+'ÜN23-19052122-S'!D42+'EMM23-19052122'!D42+'ÖB22-19051517-D'!D42+'BEŞ22-19051617-D'!D42+'MRZ21-19051718-S'!D42+'AYG21-19051920-S'!D42+'EMR21-19051617-S'!D42+'ÖB21-19051517-S'!D42+'BO21-19051820'!D42+'G21-19051820-1'!D42+'ÖA20-19051920'!D42+'G20-19051820'!D42+'BEŞ18-19051617-S'!D42+'EMM17-19051315-S'!D42+'SK17-19051213-S'!D42+'AYG17-19051517-S'!D42+'ÖA17-19051516'!D42+'ÜN16-19051415-S'!D42+'YIL16-19051516'!D42+'G15-19051014'!D42+'EMM15-19051315'!D42+'ÖB15-19051214-S'!D42+'ÖB15-19051214-D'!D42+'AYG14-19051213-S'!D42+'BO14-19051113-S'!D42+'EM14-19050610-S'!D42+'EB14-19051213-S'!D42+'BAY14-19050910-D'!D42+'ÖB14-19050810-K'!D42+'BO13-19051113'!D42+'ÖB13-19050810-S'!D42+'BAY13-19050910-S'!D42+'YIL13-19051213'!D42+'G11-19050910'!D42+'MİR11-19050910-S'!D42+'BEŞ11-19050910-S'!D42+'BEŞ11-19050910-D'!D42+'ÖB11-19050810-D'!D42+'ÜN10-19050708-S'!D42+'ÖA10-19050809'!D42+'YI10-19050708-S'!D42+'ÖB10-19050810'!D42+'G09-19050709-1'!D42+'G09-19050709'!D42+'G08-19050708'!D42+'ÖA08-19050607'!D42+'ÖB08-19050506-D'!D42+'ÖB07-19050506-S'!D42+'ÖB07-19050506'!D42+'MİR07-19050305-S'!D42+'EM07-19050406-S'!D42+'AYG07-19050506-S'!D42+'BO07-19050406-S'!D42+'BO07-19050406'!D42+'G06-19050406'!D42+'BEŞ06-19050204-D'!D42+'BEŞ06-19050204-S'!D42+'MOL06-19050406'!D42+'ÖB06-19050102-D'!D42+'ANK04-19050102-S'!D42+'G04-19050203'!D42+'ÖB04-19050102-S'!D42+'ÖA03-19050203'!D42+'BA03-19053001-S'!D42+'ÖB03-19050102'!D42+'YI03-19053001-S'!D42+'G02-19053002-1'!D42+'G02-19053002'!D42+'ÜN02-19053001-S'!D42+'BA02-19053001'!D42</f>
        <v>133736.39999999997</v>
      </c>
      <c r="E42" s="107">
        <f>D42/$D$48</f>
        <v>0.16937740501587184</v>
      </c>
      <c r="F42" s="28">
        <f>C42-(C42*$E$6)</f>
        <v>0.41178383825443376</v>
      </c>
      <c r="G42" s="27" t="str">
        <f>IF(C42&gt;=F42,"-","+")</f>
        <v>+</v>
      </c>
      <c r="H42" s="26">
        <f>C42*D42</f>
        <v>53494.55999999999</v>
      </c>
      <c r="I42" s="26">
        <f>F42*D42</f>
        <v>55070.488106330238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117">
        <f>'BO31-19052527'!D43+'MİR31-19052530-S'!D43+'MİR30-19052930-S'!D43+'YIL30-19052930'!D43+'ÜN29-19052829-S'!D43+'EM28-19052728-S'!D43+'YIL27-19052527'!D43+'BEŞ24-19052324-S'!D43+'BEŞ24-19052324-D'!D43+'G23-19052123'!D43+'ÜN23-19052122-S'!D43+'EMM23-19052122'!D43+'ÖB22-19051517-D'!D43+'BEŞ22-19051617-D'!D43+'MRZ21-19051718-S'!D43+'AYG21-19051920-S'!D43+'EMR21-19051617-S'!D43+'ÖB21-19051517-S'!D43+'BO21-19051820'!D43+'G21-19051820-1'!D43+'ÖA20-19051920'!D43+'G20-19051820'!D43+'BEŞ18-19051617-S'!D43+'EMM17-19051315-S'!D43+'SK17-19051213-S'!D43+'AYG17-19051517-S'!D43+'ÖA17-19051516'!D43+'ÜN16-19051415-S'!D43+'YIL16-19051516'!D43+'G15-19051014'!D43+'EMM15-19051315'!D43+'ÖB15-19051214-S'!D43+'ÖB15-19051214-D'!D43+'AYG14-19051213-S'!D43+'BO14-19051113-S'!D43+'EM14-19050610-S'!D43+'EB14-19051213-S'!D43+'BAY14-19050910-D'!D43+'ÖB14-19050810-K'!D43+'BO13-19051113'!D43+'ÖB13-19050810-S'!D43+'BAY13-19050910-S'!D43+'YIL13-19051213'!D43+'G11-19050910'!D43+'MİR11-19050910-S'!D43+'BEŞ11-19050910-S'!D43+'BEŞ11-19050910-D'!D43+'ÖB11-19050810-D'!D43+'ÜN10-19050708-S'!D43+'ÖA10-19050809'!D43+'YI10-19050708-S'!D43+'ÖB10-19050810'!D43+'G09-19050709-1'!D43+'G09-19050709'!D43+'G08-19050708'!D43+'ÖA08-19050607'!D43+'ÖB08-19050506-D'!D43+'ÖB07-19050506-S'!D43+'ÖB07-19050506'!D43+'MİR07-19050305-S'!D43+'EM07-19050406-S'!D43+'AYG07-19050506-S'!D43+'BO07-19050406-S'!D43+'BO07-19050406'!D43+'G06-19050406'!D43+'BEŞ06-19050204-D'!D43+'BEŞ06-19050204-S'!D43+'MOL06-19050406'!D43+'ÖB06-19050102-D'!D43+'ANK04-19050102-S'!D43+'G04-19050203'!D43+'ÖB04-19050102-S'!D43+'ÖA03-19050203'!D43+'BA03-19053001-S'!D43+'ÖB03-19050102'!D43+'YI03-19053001-S'!D43+'G02-19053002-1'!D43+'G02-19053002'!D43+'ÜN02-19053001-S'!D43+'BA02-19053001'!D43</f>
        <v>4896.8999999999996</v>
      </c>
      <c r="E43" s="107">
        <f>D43/$D$48</f>
        <v>6.2019331657067406E-3</v>
      </c>
      <c r="F43" s="28">
        <f>C43-(C43*$E$6)</f>
        <v>0.41178383825443376</v>
      </c>
      <c r="G43" s="27" t="str">
        <f>IF(C43&gt;=F43,"-","+")</f>
        <v>+</v>
      </c>
      <c r="H43" s="26">
        <f>C43*D43</f>
        <v>1958.76</v>
      </c>
      <c r="I43" s="26">
        <f>F43*D43</f>
        <v>2016.4642775481366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BO31-19052527'!D44+'MİR31-19052530-S'!D44+'MİR30-19052930-S'!D44+'YIL30-19052930'!D44+'ÜN29-19052829-S'!D44+'EM28-19052728-S'!D44+'YIL27-19052527'!D44+'BEŞ24-19052324-S'!D44+'BEŞ24-19052324-D'!D44+'G23-19052123'!D44+'ÜN23-19052122-S'!D44+'EMM23-19052122'!D44+'ÖB22-19051517-D'!D44+'BEŞ22-19051617-D'!D44+'MRZ21-19051718-S'!D44+'AYG21-19051920-S'!D44+'EMR21-19051617-S'!D44+'ÖB21-19051517-S'!D44+'BO21-19051820'!D44+'G21-19051820-1'!D44+'ÖA20-19051920'!D44+'G20-19051820'!D44+'BEŞ18-19051617-S'!D44+'EMM17-19051315-S'!D44+'SK17-19051213-S'!D44+'AYG17-19051517-S'!D44+'ÖA17-19051516'!D44+'ÜN16-19051415-S'!D44+'YIL16-19051516'!D44+'G15-19051014'!D44+'EMM15-19051315'!D44+'ÖB15-19051214-S'!D44+'ÖB15-19051214-D'!D44+'AYG14-19051213-S'!D44+'BO14-19051113-S'!D44+'EM14-19050610-S'!D44+'EB14-19051213-S'!D44+'BAY14-19050910-D'!D44+'ÖB14-19050810-K'!D44+'BO13-19051113'!D44+'ÖB13-19050810-S'!D44+'BAY13-19050910-S'!D44+'YIL13-19051213'!D44+'G11-19050910'!D44+'MİR11-19050910-S'!D44+'BEŞ11-19050910-S'!D44+'BEŞ11-19050910-D'!D44+'ÖB11-19050810-D'!D44+'ÜN10-19050708-S'!D44+'ÖA10-19050809'!D44+'YI10-19050708-S'!D44+'ÖB10-19050810'!D44+'G09-19050709-1'!D44+'G09-19050709'!D44+'G08-19050708'!D44+'ÖA08-19050607'!D44+'ÖB08-19050506-D'!D44+'ÖB07-19050506-S'!D44+'ÖB07-19050506'!D44+'MİR07-19050305-S'!D44+'EM07-19050406-S'!D44+'AYG07-19050506-S'!D44+'BO07-19050406-S'!D44+'BO07-19050406'!D44+'G06-19050406'!D44+'BEŞ06-19050204-D'!D44+'BEŞ06-19050204-S'!D44+'MOL06-19050406'!D44+'ÖB06-19050102-D'!D44+'ANK04-19050102-S'!D44+'G04-19050203'!D44+'ÖB04-19050102-S'!D44+'ÖA03-19050203'!D44+'BA03-19053001-S'!D44+'ÖB03-19050102'!D44+'YI03-19053001-S'!D44+'G02-19053002-1'!D44+'G02-19053002'!D44+'ÜN02-19053001-S'!D44+'BA02-19053001'!D44</f>
        <v>551.99999999999977</v>
      </c>
      <c r="E44" s="107">
        <f>D44/$D$48</f>
        <v>6.9910905010723515E-4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BO31-19052527'!D45+'MİR31-19052530-S'!D45+'MİR30-19052930-S'!D45+'YIL30-19052930'!D45+'ÜN29-19052829-S'!D45+'EM28-19052728-S'!D45+'YIL27-19052527'!D45+'BEŞ24-19052324-S'!D45+'BEŞ24-19052324-D'!D45+'G23-19052123'!D45+'ÜN23-19052122-S'!D45+'EMM23-19052122'!D45+'ÖB22-19051517-D'!D45+'BEŞ22-19051617-D'!D45+'MRZ21-19051718-S'!D45+'AYG21-19051920-S'!D45+'EMR21-19051617-S'!D45+'ÖB21-19051517-S'!D45+'BO21-19051820'!D45+'G21-19051820-1'!D45+'ÖA20-19051920'!D45+'G20-19051820'!D45+'BEŞ18-19051617-S'!D45+'EMM17-19051315-S'!D45+'SK17-19051213-S'!D45+'AYG17-19051517-S'!D45+'ÖA17-19051516'!D45+'ÜN16-19051415-S'!D45+'YIL16-19051516'!D45+'G15-19051014'!D45+'EMM15-19051315'!D45+'ÖB15-19051214-S'!D45+'ÖB15-19051214-D'!D45+'AYG14-19051213-S'!D45+'BO14-19051113-S'!D45+'EM14-19050610-S'!D45+'EB14-19051213-S'!D45+'BAY14-19050910-D'!D45+'ÖB14-19050810-K'!D45+'BO13-19051113'!D45+'ÖB13-19050810-S'!D45+'BAY13-19050910-S'!D45+'YIL13-19051213'!D45+'G11-19050910'!D45+'MİR11-19050910-S'!D45+'BEŞ11-19050910-S'!D45+'BEŞ11-19050910-D'!D45+'ÖB11-19050810-D'!D45+'ÜN10-19050708-S'!D45+'ÖA10-19050809'!D45+'YI10-19050708-S'!D45+'ÖB10-19050810'!D45+'G09-19050709-1'!D45+'G09-19050709'!D45+'G08-19050708'!D45+'ÖA08-19050607'!D45+'ÖB08-19050506-D'!D45+'ÖB07-19050506-S'!D45+'ÖB07-19050506'!D45+'MİR07-19050305-S'!D45+'EM07-19050406-S'!D45+'AYG07-19050506-S'!D45+'BO07-19050406-S'!D45+'BO07-19050406'!D45+'G06-19050406'!D45+'BEŞ06-19050204-D'!D45+'BEŞ06-19050204-S'!D45+'MOL06-19050406'!D45+'ÖB06-19050102-D'!D45+'ANK04-19050102-S'!D45+'G04-19050203'!D45+'ÖB04-19050102-S'!D45+'ÖA03-19050203'!D45+'BA03-19053001-S'!D45+'ÖB03-19050102'!D45+'YI03-19053001-S'!D45+'G02-19053002-1'!D45+'G02-19053002'!D45+'ÜN02-19053001-S'!D45+'BA02-19053001'!D45</f>
        <v>461.19999999999987</v>
      </c>
      <c r="E45" s="107">
        <f>D45/$D$48</f>
        <v>5.8411067737220454E-4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0.39709781483961293</v>
      </c>
      <c r="D46" s="22">
        <f>SUM(D41:D45)</f>
        <v>139646.49999999997</v>
      </c>
      <c r="E46" s="21">
        <f>D46/$D$48</f>
        <v>0.17686255790905803</v>
      </c>
      <c r="F46" s="20">
        <f>I46/D46</f>
        <v>0.40879615589276053</v>
      </c>
      <c r="G46" s="19">
        <f>F46/C46-1</f>
        <v>2.9459595636084135E-2</v>
      </c>
      <c r="H46" s="18">
        <f>SUM(H41:H44)</f>
        <v>55453.319999999992</v>
      </c>
      <c r="I46" s="18">
        <f>SUM(I41:I44)</f>
        <v>57086.952383878372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101.50800920251049</v>
      </c>
      <c r="D48" s="13">
        <f>D24+D32+D40+D46</f>
        <v>789576.3899999999</v>
      </c>
      <c r="E48" s="12">
        <f>SUM(E20:E46)/2</f>
        <v>1.0000000000000002</v>
      </c>
      <c r="F48" s="11">
        <f>I48/D48</f>
        <v>27.085489162831845</v>
      </c>
      <c r="G48" s="10"/>
      <c r="H48" s="9">
        <f>SUM(H20:H46)/2</f>
        <v>20774067.137000002</v>
      </c>
      <c r="I48" s="9">
        <f>SUM(I20:I46)/2</f>
        <v>21386062.754572887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824169.2899999998</v>
      </c>
      <c r="E50" s="12">
        <f>D50/G2</f>
        <v>0.99999938119547738</v>
      </c>
      <c r="F50" s="11">
        <f>I50/D50</f>
        <v>27.17001681292928</v>
      </c>
      <c r="G50" s="10"/>
      <c r="H50" s="9">
        <f>H48+H19</f>
        <v>21751891.537</v>
      </c>
      <c r="I50" s="9">
        <f>I48+I19</f>
        <v>22392693.465999983</v>
      </c>
      <c r="J50" s="106">
        <f>D50-G2</f>
        <v>-0.50999999966006726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27.17001681292928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637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637</v>
      </c>
      <c r="D2" s="96" t="s">
        <v>3</v>
      </c>
      <c r="E2" s="95" t="s">
        <v>112</v>
      </c>
      <c r="F2" s="94" t="s">
        <v>5</v>
      </c>
      <c r="G2" s="93">
        <v>2931.1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44</v>
      </c>
      <c r="F3" s="88" t="s">
        <v>8</v>
      </c>
      <c r="G3" s="87">
        <v>25.38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66.615909090909085</v>
      </c>
      <c r="F4" s="81" t="s">
        <v>12</v>
      </c>
      <c r="G4" s="80">
        <f>G2*G3</f>
        <v>74391.317999999999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-5.0990101597677251E-2</v>
      </c>
      <c r="F6" s="69" t="s">
        <v>16</v>
      </c>
      <c r="G6" s="68">
        <f>(I50-I19)/(D50-(SUM(D42:D44)+D19))</f>
        <v>31.14562193845509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26.695148580581002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26.4</v>
      </c>
      <c r="D11" s="30"/>
      <c r="E11" s="29" t="e">
        <f t="shared" si="1"/>
        <v>#DIV/0!</v>
      </c>
      <c r="F11" s="28">
        <f t="shared" si="2"/>
        <v>27.746138682178678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 t="e">
        <f t="shared" si="1"/>
        <v>#DIV/0!</v>
      </c>
      <c r="F12" s="28">
        <f t="shared" si="2"/>
        <v>25.328861448504025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26.4</v>
      </c>
      <c r="D13" s="30"/>
      <c r="E13" s="29" t="e">
        <f t="shared" si="1"/>
        <v>#DIV/0!</v>
      </c>
      <c r="F13" s="28">
        <f t="shared" si="2"/>
        <v>27.746138682178678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29.5</v>
      </c>
      <c r="D14" s="30"/>
      <c r="E14" s="29" t="e">
        <f t="shared" si="1"/>
        <v>#DIV/0!</v>
      </c>
      <c r="F14" s="28">
        <f t="shared" si="2"/>
        <v>31.004207997131481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25.644158478983325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35.103069393362418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49.1</v>
      </c>
      <c r="D17" s="30"/>
      <c r="E17" s="29" t="e">
        <f t="shared" si="1"/>
        <v>#DIV/0!</v>
      </c>
      <c r="F17" s="28">
        <f t="shared" si="2"/>
        <v>51.603613988445957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</v>
      </c>
      <c r="D18" s="30"/>
      <c r="E18" s="29" t="e">
        <f t="shared" si="1"/>
        <v>#DIV/0!</v>
      </c>
      <c r="F18" s="28">
        <f t="shared" si="2"/>
        <v>45.192574368700122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63.8</v>
      </c>
      <c r="D21" s="30">
        <v>38.200000000000003</v>
      </c>
      <c r="E21" s="29">
        <f>D21/$D$48</f>
        <v>1.303264985841493E-2</v>
      </c>
      <c r="F21" s="28">
        <f>C21-(C21*$E$6)</f>
        <v>67.053168481931806</v>
      </c>
      <c r="G21" s="27" t="str">
        <f>IF(C21&gt;=F21,"-","+")</f>
        <v>+</v>
      </c>
      <c r="H21" s="26">
        <f>C21*D21</f>
        <v>2437.16</v>
      </c>
      <c r="I21" s="26">
        <f>F21*D21</f>
        <v>2561.4310360097952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42.9</v>
      </c>
      <c r="D22" s="30">
        <v>72.3</v>
      </c>
      <c r="E22" s="29">
        <f>D22/$D$48</f>
        <v>2.4666507454539247E-2</v>
      </c>
      <c r="F22" s="28">
        <f>C22-(C22*$E$6)</f>
        <v>45.087475358540352</v>
      </c>
      <c r="G22" s="27" t="str">
        <f>IF(C22&gt;=F22,"-","+")</f>
        <v>+</v>
      </c>
      <c r="H22" s="26">
        <f>C22*D22</f>
        <v>3101.6699999999996</v>
      </c>
      <c r="I22" s="26">
        <f>F22*D22</f>
        <v>3259.8244684224674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39.1</v>
      </c>
      <c r="D23" s="30">
        <v>62.1</v>
      </c>
      <c r="E23" s="29">
        <f>D23/$D$48</f>
        <v>2.1186585241035786E-2</v>
      </c>
      <c r="F23" s="28">
        <f>C23-(C23*$E$6)</f>
        <v>41.093712972469184</v>
      </c>
      <c r="G23" s="27" t="str">
        <f>IF(C23&gt;=F23,"-","+")</f>
        <v>+</v>
      </c>
      <c r="H23" s="26">
        <f>C23*D23</f>
        <v>2428.11</v>
      </c>
      <c r="I23" s="26">
        <f>F23*D23</f>
        <v>2551.9195755903365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46.158400926998844</v>
      </c>
      <c r="D24" s="22">
        <f>SUM(D21:D23)</f>
        <v>172.6</v>
      </c>
      <c r="E24" s="21">
        <f>D24/$D$48</f>
        <v>5.8885742553989963E-2</v>
      </c>
      <c r="F24" s="20">
        <f>I24/D24</f>
        <v>48.512022479852838</v>
      </c>
      <c r="G24" s="19">
        <f>F24/C24-1</f>
        <v>5.0990101597677251E-2</v>
      </c>
      <c r="H24" s="18">
        <f>SUM(H21:H23)</f>
        <v>7966.9400000000005</v>
      </c>
      <c r="I24" s="18">
        <f>SUM(I21:I23)</f>
        <v>8373.1750800226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v>598.1</v>
      </c>
      <c r="E26" s="29">
        <f t="shared" ref="E26:E32" si="7">D26/$D$48</f>
        <v>0.20405308587219814</v>
      </c>
      <c r="F26" s="28">
        <f t="shared" ref="F26:F31" si="8">C26-(C26*$E$6)</f>
        <v>35.838762464480794</v>
      </c>
      <c r="G26" s="27" t="str">
        <f t="shared" ref="G26:G31" si="9">IF(C26&gt;=F26,"-","+")</f>
        <v>+</v>
      </c>
      <c r="H26" s="26">
        <f t="shared" ref="H26:H31" si="10">C26*D26</f>
        <v>20395.210000000003</v>
      </c>
      <c r="I26" s="26">
        <f t="shared" ref="I26:I31" si="11">F26*D26</f>
        <v>21435.163830005964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30.3</v>
      </c>
      <c r="D27" s="30">
        <v>429</v>
      </c>
      <c r="E27" s="29">
        <f t="shared" si="7"/>
        <v>0.14636143427382209</v>
      </c>
      <c r="F27" s="28">
        <f t="shared" si="8"/>
        <v>31.845000078409623</v>
      </c>
      <c r="G27" s="27" t="str">
        <f t="shared" si="9"/>
        <v>+</v>
      </c>
      <c r="H27" s="26">
        <f t="shared" si="10"/>
        <v>12998.7</v>
      </c>
      <c r="I27" s="26">
        <f t="shared" si="11"/>
        <v>13661.505033637728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30.3</v>
      </c>
      <c r="D28" s="30">
        <v>227</v>
      </c>
      <c r="E28" s="29">
        <f t="shared" si="7"/>
        <v>7.7445327692675092E-2</v>
      </c>
      <c r="F28" s="28">
        <f t="shared" si="8"/>
        <v>31.845000078409623</v>
      </c>
      <c r="G28" s="27" t="str">
        <f t="shared" si="9"/>
        <v>+</v>
      </c>
      <c r="H28" s="26">
        <f t="shared" si="10"/>
        <v>6878.1</v>
      </c>
      <c r="I28" s="26">
        <f t="shared" si="11"/>
        <v>7228.8150177989846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246</v>
      </c>
      <c r="E29" s="29">
        <f t="shared" si="7"/>
        <v>8.3927535737436443E-2</v>
      </c>
      <c r="F29" s="28">
        <f t="shared" si="8"/>
        <v>30.794009976811942</v>
      </c>
      <c r="G29" s="27" t="str">
        <f t="shared" si="9"/>
        <v>+</v>
      </c>
      <c r="H29" s="26">
        <f t="shared" si="10"/>
        <v>7207.8</v>
      </c>
      <c r="I29" s="26">
        <f t="shared" si="11"/>
        <v>7575.3264542957377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177.4</v>
      </c>
      <c r="E30" s="29">
        <f t="shared" si="7"/>
        <v>6.0523353007403358E-2</v>
      </c>
      <c r="F30" s="28">
        <f t="shared" si="8"/>
        <v>30.794009976811942</v>
      </c>
      <c r="G30" s="27" t="str">
        <f t="shared" si="9"/>
        <v>+</v>
      </c>
      <c r="H30" s="26">
        <f t="shared" si="10"/>
        <v>5197.8200000000006</v>
      </c>
      <c r="I30" s="26">
        <f t="shared" si="11"/>
        <v>5462.8573698864384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29.8</v>
      </c>
      <c r="D31" s="30">
        <v>43.4</v>
      </c>
      <c r="E31" s="29">
        <f t="shared" si="7"/>
        <v>1.4806727849612771E-2</v>
      </c>
      <c r="F31" s="28">
        <f t="shared" si="8"/>
        <v>31.319505027610784</v>
      </c>
      <c r="G31" s="27" t="str">
        <f t="shared" si="9"/>
        <v>+</v>
      </c>
      <c r="H31" s="26">
        <f t="shared" si="10"/>
        <v>1293.32</v>
      </c>
      <c r="I31" s="26">
        <f t="shared" si="11"/>
        <v>1359.2665181983079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31.362048927886573</v>
      </c>
      <c r="D32" s="22">
        <f>SUM(D26:D31)</f>
        <v>1720.9</v>
      </c>
      <c r="E32" s="21">
        <f t="shared" si="7"/>
        <v>0.58711746443314794</v>
      </c>
      <c r="F32" s="20">
        <f>I32/D32</f>
        <v>32.961202989030838</v>
      </c>
      <c r="G32" s="19">
        <f>F32/C32-1</f>
        <v>5.0990101597677473E-2</v>
      </c>
      <c r="H32" s="18">
        <f>SUM(H26:H31)</f>
        <v>53970.950000000004</v>
      </c>
      <c r="I32" s="18">
        <f>SUM(I26:I31)</f>
        <v>56722.934223823169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268+187.6</f>
        <v>455.6</v>
      </c>
      <c r="E34" s="29">
        <f t="shared" ref="E34:E40" si="13">D34/$D$48</f>
        <v>0.15543652553648798</v>
      </c>
      <c r="F34" s="28">
        <f t="shared" ref="F34:F39" si="14">C34-(C34*$E$6)</f>
        <v>18.81272281859842</v>
      </c>
      <c r="G34" s="27" t="str">
        <f t="shared" ref="G34:G39" si="15">IF(C34&gt;=F34,"-","+")</f>
        <v>+</v>
      </c>
      <c r="H34" s="26">
        <f t="shared" ref="H34:H39" si="16">C34*D34</f>
        <v>8155.24</v>
      </c>
      <c r="I34" s="26">
        <f t="shared" ref="I34:I39" si="17">F34*D34</f>
        <v>8571.07651615344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34.200000000000003</v>
      </c>
      <c r="E35" s="29">
        <f t="shared" si="13"/>
        <v>1.1667974480570434E-2</v>
      </c>
      <c r="F35" s="28">
        <f t="shared" si="14"/>
        <v>14.503663402047946</v>
      </c>
      <c r="G35" s="27" t="str">
        <f t="shared" si="15"/>
        <v>+</v>
      </c>
      <c r="H35" s="26">
        <f t="shared" si="16"/>
        <v>471.96000000000004</v>
      </c>
      <c r="I35" s="26">
        <f t="shared" si="17"/>
        <v>496.02528835003983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11.665990127734217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30.794009976811942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30.794009976811942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30.3</v>
      </c>
      <c r="D39" s="30"/>
      <c r="E39" s="29">
        <f t="shared" si="13"/>
        <v>0</v>
      </c>
      <c r="F39" s="28">
        <f t="shared" si="14"/>
        <v>31.845000078409623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17.613719885667621</v>
      </c>
      <c r="D40" s="22">
        <f>SUM(D34:D39)</f>
        <v>489.8</v>
      </c>
      <c r="E40" s="113">
        <f t="shared" si="13"/>
        <v>0.16710450001705843</v>
      </c>
      <c r="F40" s="20">
        <f>I40/D40</f>
        <v>18.511845252150835</v>
      </c>
      <c r="G40" s="19">
        <f>F40/C40-1</f>
        <v>5.0990101597676807E-2</v>
      </c>
      <c r="H40" s="18">
        <f>SUM(H34:H39)</f>
        <v>8627.2000000000007</v>
      </c>
      <c r="I40" s="18">
        <f>SUM(I34:I39)</f>
        <v>9067.1018045034798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272+38.3+219.2</f>
        <v>529.5</v>
      </c>
      <c r="E42" s="107">
        <f>D42/$D$48</f>
        <v>0.18064890314216503</v>
      </c>
      <c r="F42" s="28">
        <f>C42-(C42*$E$6)</f>
        <v>0.42039604063907093</v>
      </c>
      <c r="G42" s="27" t="str">
        <f>IF(C42&gt;=F42,"-","+")</f>
        <v>+</v>
      </c>
      <c r="H42" s="26">
        <f>C42*D42</f>
        <v>211.8</v>
      </c>
      <c r="I42" s="26">
        <f>F42*D42</f>
        <v>222.59970351838805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13.1</v>
      </c>
      <c r="E43" s="107">
        <f>D43/$D$48</f>
        <v>4.4693118624407214E-3</v>
      </c>
      <c r="F43" s="28">
        <f>C43-(C43*$E$6)</f>
        <v>0.42039604063907093</v>
      </c>
      <c r="G43" s="27" t="str">
        <f>IF(C43&gt;=F43,"-","+")</f>
        <v>+</v>
      </c>
      <c r="H43" s="26">
        <f>C43*D43</f>
        <v>5.24</v>
      </c>
      <c r="I43" s="26">
        <f>F43*D43</f>
        <v>5.5071881323718292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1.7740779911978436E-3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0.39620299379335522</v>
      </c>
      <c r="D46" s="22">
        <f>SUM(D41:D45)</f>
        <v>547.80000000000007</v>
      </c>
      <c r="E46" s="113">
        <f>D46/$D$48</f>
        <v>0.18689229299580362</v>
      </c>
      <c r="F46" s="20">
        <f>I46/D46</f>
        <v>0.41640542470018227</v>
      </c>
      <c r="G46" s="19">
        <f>F46/C46-1</f>
        <v>5.0990101597677251E-2</v>
      </c>
      <c r="H46" s="18">
        <f>SUM(H41:H44)</f>
        <v>217.04000000000002</v>
      </c>
      <c r="I46" s="18">
        <f>SUM(I41:I44)</f>
        <v>228.10689165075988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95.530372734346386</v>
      </c>
      <c r="D48" s="13">
        <f>D24+D32+D40+D46</f>
        <v>2931.1000000000004</v>
      </c>
      <c r="E48" s="12">
        <f>SUM(E20:E46)/2</f>
        <v>0.99999999999999989</v>
      </c>
      <c r="F48" s="11">
        <f>I48/D48</f>
        <v>25.379999999999995</v>
      </c>
      <c r="G48" s="10"/>
      <c r="H48" s="9">
        <f>SUM(H20:H46)/2</f>
        <v>70782.13</v>
      </c>
      <c r="I48" s="9">
        <f>SUM(I20:I46)/2</f>
        <v>74391.317999999999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2931.1000000000004</v>
      </c>
      <c r="E50" s="12">
        <f>D50/G2</f>
        <v>1.0000000000000002</v>
      </c>
      <c r="F50" s="11">
        <f>I50/D50</f>
        <v>25.379999999999995</v>
      </c>
      <c r="G50" s="10"/>
      <c r="H50" s="9">
        <f>H48+H19</f>
        <v>70782.13</v>
      </c>
      <c r="I50" s="9">
        <f>I48+I19</f>
        <v>74391.317999999999</v>
      </c>
      <c r="J50" s="106">
        <f>D50-G2</f>
        <v>0</v>
      </c>
      <c r="K50" s="8"/>
    </row>
    <row r="51" spans="1:11" ht="23.25" x14ac:dyDescent="0.35">
      <c r="A51" s="174" t="s">
        <v>638</v>
      </c>
      <c r="B51" s="169"/>
      <c r="C51" s="170"/>
      <c r="G51" s="7"/>
      <c r="H51" s="6"/>
      <c r="I51" s="6">
        <f>+I50/D50</f>
        <v>25.379999999999995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>
    <tabColor rgb="FF92D050"/>
  </sheetPr>
  <dimension ref="A1:K56"/>
  <sheetViews>
    <sheetView topLeftCell="A38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637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637</v>
      </c>
      <c r="D2" s="96" t="s">
        <v>3</v>
      </c>
      <c r="E2" s="95" t="s">
        <v>71</v>
      </c>
      <c r="F2" s="94" t="s">
        <v>5</v>
      </c>
      <c r="G2" s="93">
        <v>13288.5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189</v>
      </c>
      <c r="F3" s="88" t="s">
        <v>8</v>
      </c>
      <c r="G3" s="87">
        <v>28.4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70.30952380952381</v>
      </c>
      <c r="F4" s="81" t="s">
        <v>12</v>
      </c>
      <c r="G4" s="80">
        <f>G2*G3</f>
        <v>377393.39999999997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-1.1740198374249111E-2</v>
      </c>
      <c r="F6" s="69" t="s">
        <v>16</v>
      </c>
      <c r="G6" s="68">
        <f>(I50-I19)/(D50-(SUM(D42:D44)+D19))</f>
        <v>34.10849112024944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 t="e">
        <f t="shared" ref="E10:E19" si="1">D10/$D$19</f>
        <v>#DIV/0!</v>
      </c>
      <c r="F10" s="28">
        <f t="shared" ref="F10:F18" si="2">C10-(C10*$E$6)</f>
        <v>28.733421633828673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/>
      <c r="E11" s="29" t="e">
        <f t="shared" si="1"/>
        <v>#DIV/0!</v>
      </c>
      <c r="F11" s="28">
        <f t="shared" si="2"/>
        <v>29.947509871877774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/>
      <c r="E12" s="29" t="e">
        <f t="shared" si="1"/>
        <v>#DIV/0!</v>
      </c>
      <c r="F12" s="28">
        <f t="shared" si="2"/>
        <v>27.316985356104727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/>
      <c r="E13" s="29" t="e">
        <f t="shared" si="1"/>
        <v>#DIV/0!</v>
      </c>
      <c r="F13" s="28">
        <f t="shared" si="2"/>
        <v>29.947509871877774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 t="e">
        <f t="shared" si="1"/>
        <v>#DIV/0!</v>
      </c>
      <c r="F14" s="28">
        <f t="shared" si="2"/>
        <v>33.48860056618765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/>
      <c r="E15" s="29" t="e">
        <f t="shared" si="1"/>
        <v>#DIV/0!</v>
      </c>
      <c r="F15" s="28">
        <f t="shared" si="2"/>
        <v>27.620507415617002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 t="e">
        <f t="shared" si="1"/>
        <v>#DIV/0!</v>
      </c>
      <c r="F16" s="28">
        <f t="shared" si="2"/>
        <v>37.737909399359488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54.9</v>
      </c>
      <c r="D17" s="30"/>
      <c r="E17" s="29" t="e">
        <f t="shared" si="1"/>
        <v>#DIV/0!</v>
      </c>
      <c r="F17" s="28">
        <f t="shared" si="2"/>
        <v>55.544536890746272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48.1</v>
      </c>
      <c r="D18" s="30"/>
      <c r="E18" s="29" t="e">
        <f t="shared" si="1"/>
        <v>#DIV/0!</v>
      </c>
      <c r="F18" s="28">
        <f t="shared" si="2"/>
        <v>48.664703541801387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71.400000000000006</v>
      </c>
      <c r="D21" s="30">
        <v>164</v>
      </c>
      <c r="E21" s="29">
        <f>D21/$D$48</f>
        <v>1.2341776914856791E-2</v>
      </c>
      <c r="F21" s="28">
        <f>C21-(C21*$E$6)</f>
        <v>72.238250163921393</v>
      </c>
      <c r="G21" s="27" t="str">
        <f>IF(C21&gt;=F21,"-","+")</f>
        <v>+</v>
      </c>
      <c r="H21" s="26">
        <f>C21*D21</f>
        <v>11709.6</v>
      </c>
      <c r="I21" s="26">
        <f>F21*D21</f>
        <v>11847.073026883108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</v>
      </c>
      <c r="D22" s="30">
        <v>384.7</v>
      </c>
      <c r="E22" s="29">
        <f>D22/$D$48</f>
        <v>2.8950497433813459E-2</v>
      </c>
      <c r="F22" s="28">
        <f>C22-(C22*$E$6)</f>
        <v>48.563529521963957</v>
      </c>
      <c r="G22" s="27" t="str">
        <f>IF(C22&gt;=F22,"-","+")</f>
        <v>+</v>
      </c>
      <c r="H22" s="26">
        <f>C22*D22</f>
        <v>18465.599999999999</v>
      </c>
      <c r="I22" s="26">
        <f>F22*D22</f>
        <v>18682.389807099535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320.5</v>
      </c>
      <c r="E23" s="29">
        <f>D23/$D$48</f>
        <v>2.4119143300070742E-2</v>
      </c>
      <c r="F23" s="28">
        <f>C23-(C23*$E$6)</f>
        <v>44.213046668954689</v>
      </c>
      <c r="G23" s="27" t="str">
        <f>IF(C23&gt;=F23,"-","+")</f>
        <v>+</v>
      </c>
      <c r="H23" s="26">
        <f>C23*D23</f>
        <v>14005.85</v>
      </c>
      <c r="I23" s="26">
        <f>F23*D23</f>
        <v>14170.281457399979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50.829555913483652</v>
      </c>
      <c r="D24" s="22">
        <f>SUM(D21:D23)</f>
        <v>869.2</v>
      </c>
      <c r="E24" s="21">
        <f>D24/$D$48</f>
        <v>6.5411417648740991E-2</v>
      </c>
      <c r="F24" s="20">
        <f>I24/D24</f>
        <v>51.426304983182952</v>
      </c>
      <c r="G24" s="19">
        <f>F24/C24-1</f>
        <v>1.1740198374249333E-2</v>
      </c>
      <c r="H24" s="18">
        <f>SUM(H21:H23)</f>
        <v>44181.049999999996</v>
      </c>
      <c r="I24" s="18">
        <f>SUM(I21:I23)</f>
        <v>44699.744291382623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38.1</v>
      </c>
      <c r="D26" s="30">
        <v>2617.4</v>
      </c>
      <c r="E26" s="29">
        <f t="shared" ref="E26:E32" si="7">D26/$D$48</f>
        <v>0.19697174937162296</v>
      </c>
      <c r="F26" s="28">
        <f t="shared" ref="F26:F31" si="8">C26-(C26*$E$6)</f>
        <v>38.547301558058891</v>
      </c>
      <c r="G26" s="27" t="str">
        <f t="shared" ref="G26:G31" si="9">IF(C26&gt;=F26,"-","+")</f>
        <v>+</v>
      </c>
      <c r="H26" s="26">
        <f t="shared" ref="H26:H31" si="10">C26*D26</f>
        <v>99722.94</v>
      </c>
      <c r="I26" s="26">
        <f t="shared" ref="I26:I31" si="11">F26*D26</f>
        <v>100893.70709806334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1947</v>
      </c>
      <c r="E27" s="29">
        <f t="shared" si="7"/>
        <v>0.14652097349528154</v>
      </c>
      <c r="F27" s="28">
        <f t="shared" si="8"/>
        <v>34.297992724887045</v>
      </c>
      <c r="G27" s="27" t="str">
        <f t="shared" si="9"/>
        <v>+</v>
      </c>
      <c r="H27" s="26">
        <f t="shared" si="10"/>
        <v>66003.3</v>
      </c>
      <c r="I27" s="26">
        <f t="shared" si="11"/>
        <v>66778.191835355072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1337.2</v>
      </c>
      <c r="E28" s="29">
        <f t="shared" si="7"/>
        <v>0.10063063469845428</v>
      </c>
      <c r="F28" s="28">
        <f t="shared" si="8"/>
        <v>34.297992724887045</v>
      </c>
      <c r="G28" s="27" t="str">
        <f t="shared" si="9"/>
        <v>+</v>
      </c>
      <c r="H28" s="26">
        <f t="shared" si="10"/>
        <v>45331.08</v>
      </c>
      <c r="I28" s="26">
        <f t="shared" si="11"/>
        <v>45863.275871718957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32.799999999999997</v>
      </c>
      <c r="D29" s="30">
        <v>1150.5999999999999</v>
      </c>
      <c r="E29" s="29">
        <f t="shared" si="7"/>
        <v>8.6588100720940378E-2</v>
      </c>
      <c r="F29" s="28">
        <f t="shared" si="8"/>
        <v>33.185078506675367</v>
      </c>
      <c r="G29" s="27" t="str">
        <f t="shared" si="9"/>
        <v>+</v>
      </c>
      <c r="H29" s="26">
        <f t="shared" si="10"/>
        <v>37739.679999999993</v>
      </c>
      <c r="I29" s="26">
        <f t="shared" si="11"/>
        <v>38182.751329780673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32.799999999999997</v>
      </c>
      <c r="D30" s="30">
        <v>840.8</v>
      </c>
      <c r="E30" s="29">
        <f t="shared" si="7"/>
        <v>6.327418310982677E-2</v>
      </c>
      <c r="F30" s="28">
        <f t="shared" si="8"/>
        <v>33.185078506675367</v>
      </c>
      <c r="G30" s="27" t="str">
        <f t="shared" si="9"/>
        <v>+</v>
      </c>
      <c r="H30" s="26">
        <f t="shared" si="10"/>
        <v>27578.239999999994</v>
      </c>
      <c r="I30" s="26">
        <f t="shared" si="11"/>
        <v>27902.014008412647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389.8</v>
      </c>
      <c r="E31" s="29">
        <f t="shared" si="7"/>
        <v>2.9334296593970594E-2</v>
      </c>
      <c r="F31" s="28">
        <f t="shared" si="8"/>
        <v>33.792122625699918</v>
      </c>
      <c r="G31" s="27" t="str">
        <f t="shared" si="9"/>
        <v>+</v>
      </c>
      <c r="H31" s="26">
        <f t="shared" si="10"/>
        <v>13019.32</v>
      </c>
      <c r="I31" s="26">
        <f t="shared" si="11"/>
        <v>13172.169399497829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34.939218621722127</v>
      </c>
      <c r="D32" s="22">
        <f>SUM(D26:D31)</f>
        <v>8282.7999999999993</v>
      </c>
      <c r="E32" s="21">
        <f t="shared" si="7"/>
        <v>0.62331993799009644</v>
      </c>
      <c r="F32" s="20">
        <f>I32/D32</f>
        <v>35.34941197938241</v>
      </c>
      <c r="G32" s="19">
        <f>F32/C32-1</f>
        <v>1.1740198374249333E-2</v>
      </c>
      <c r="H32" s="18">
        <f>SUM(H26:H31)</f>
        <v>289394.56</v>
      </c>
      <c r="I32" s="18">
        <f>SUM(I26:I31)</f>
        <v>292792.10954282858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1906.8</v>
      </c>
      <c r="E34" s="29">
        <f t="shared" ref="E34:E40" si="13">D34/$D$48</f>
        <v>0.1434957330563959</v>
      </c>
      <c r="F34" s="28">
        <f t="shared" ref="F34:F39" si="14">C34-(C34*$E$6)</f>
        <v>20.335977987322408</v>
      </c>
      <c r="G34" s="27" t="str">
        <f t="shared" ref="G34:G39" si="15">IF(C34&gt;=F34,"-","+")</f>
        <v>+</v>
      </c>
      <c r="H34" s="26">
        <f t="shared" ref="H34:H39" si="16">C34*D34</f>
        <v>38326.68</v>
      </c>
      <c r="I34" s="26">
        <f t="shared" ref="I34:I39" si="17">F34*D34</f>
        <v>38776.642826226365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15.580799054963437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12.545578459840689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32.799999999999997</v>
      </c>
      <c r="D37" s="30"/>
      <c r="E37" s="29">
        <f t="shared" si="13"/>
        <v>0</v>
      </c>
      <c r="F37" s="28">
        <f t="shared" si="14"/>
        <v>33.185078506675367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32.799999999999997</v>
      </c>
      <c r="D38" s="30"/>
      <c r="E38" s="29">
        <f t="shared" si="13"/>
        <v>0</v>
      </c>
      <c r="F38" s="28">
        <f t="shared" si="14"/>
        <v>33.185078506675367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34.297992724887045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1906.8</v>
      </c>
      <c r="E40" s="113">
        <f t="shared" si="13"/>
        <v>0.1434957330563959</v>
      </c>
      <c r="F40" s="20">
        <f>I40/D40</f>
        <v>20.335977987322408</v>
      </c>
      <c r="G40" s="19">
        <f>F40/C40-1</f>
        <v>1.1740198374249111E-2</v>
      </c>
      <c r="H40" s="18">
        <f>SUM(H34:H39)</f>
        <v>38326.68</v>
      </c>
      <c r="I40" s="18">
        <f>SUM(I34:I39)</f>
        <v>38776.642826226365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2109</v>
      </c>
      <c r="E42" s="107">
        <f>D42/$D$48</f>
        <v>0.15871224093556691</v>
      </c>
      <c r="F42" s="28">
        <f>C42-(C42*$E$6)</f>
        <v>0.50587009918712456</v>
      </c>
      <c r="G42" s="27" t="str">
        <f>IF(C42&gt;=F42,"-","+")</f>
        <v>+</v>
      </c>
      <c r="H42" s="26">
        <f>C42*D42</f>
        <v>1054.5</v>
      </c>
      <c r="I42" s="26">
        <f>F42*D42</f>
        <v>1066.8800391856457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114.7</v>
      </c>
      <c r="E43" s="107">
        <f>D43/$D$48</f>
        <v>8.631718366671183E-3</v>
      </c>
      <c r="F43" s="28">
        <f>C43-(C43*$E$6)</f>
        <v>0.50587009918712456</v>
      </c>
      <c r="G43" s="27" t="str">
        <f>IF(C43&gt;=F43,"-","+")</f>
        <v>+</v>
      </c>
      <c r="H43" s="26">
        <f>C43*D43</f>
        <v>57.35</v>
      </c>
      <c r="I43" s="26">
        <f>F43*D43</f>
        <v>58.023300376763189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4.289520025285592E-4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0.49872162913788465</v>
      </c>
      <c r="D46" s="22">
        <f>SUM(D41:D45)</f>
        <v>2229.3999999999996</v>
      </c>
      <c r="E46" s="113">
        <f>D46/$D$48</f>
        <v>0.16777291130476663</v>
      </c>
      <c r="F46" s="20">
        <f>I46/D46</f>
        <v>0.50457671999749221</v>
      </c>
      <c r="G46" s="19">
        <f>F46/C46-1</f>
        <v>1.1740198374249333E-2</v>
      </c>
      <c r="H46" s="18">
        <f>SUM(H41:H44)</f>
        <v>1111.8499999999999</v>
      </c>
      <c r="I46" s="18">
        <f>SUM(I41:I44)</f>
        <v>1124.903339562409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106.36749616434366</v>
      </c>
      <c r="D48" s="13">
        <f>D24+D32+D40+D46</f>
        <v>13288.199999999999</v>
      </c>
      <c r="E48" s="12">
        <f>SUM(E20:E46)/2</f>
        <v>1</v>
      </c>
      <c r="F48" s="11">
        <f>I48/D48</f>
        <v>28.40064117036167</v>
      </c>
      <c r="G48" s="10"/>
      <c r="H48" s="9">
        <f>SUM(H20:H46)/2</f>
        <v>373014.14</v>
      </c>
      <c r="I48" s="9">
        <f>SUM(I20:I46)/2</f>
        <v>377393.39999999991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13288.2</v>
      </c>
      <c r="E50" s="12">
        <f>D50/G2</f>
        <v>0.99997742408849766</v>
      </c>
      <c r="F50" s="11">
        <f>I50/D50</f>
        <v>28.400641170361666</v>
      </c>
      <c r="G50" s="10"/>
      <c r="H50" s="9">
        <f>H48+H19</f>
        <v>373014.14</v>
      </c>
      <c r="I50" s="9">
        <f>I48+I19</f>
        <v>377393.39999999991</v>
      </c>
      <c r="J50" s="106">
        <f>D50-G2</f>
        <v>-0.2999999999992724</v>
      </c>
      <c r="K50" s="8"/>
    </row>
    <row r="51" spans="1:11" ht="23.25" x14ac:dyDescent="0.35">
      <c r="A51" s="174" t="s">
        <v>639</v>
      </c>
      <c r="B51" s="169"/>
      <c r="C51" s="170"/>
      <c r="G51" s="7"/>
      <c r="H51" s="6"/>
      <c r="I51" s="6">
        <f>+I50/D50</f>
        <v>28.400641170361666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637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637</v>
      </c>
      <c r="D2" s="96" t="s">
        <v>3</v>
      </c>
      <c r="E2" s="95" t="s">
        <v>71</v>
      </c>
      <c r="F2" s="94" t="s">
        <v>5</v>
      </c>
      <c r="G2" s="93">
        <v>25252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351</v>
      </c>
      <c r="F3" s="88" t="s">
        <v>8</v>
      </c>
      <c r="G3" s="87">
        <v>28.4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71.943019943019948</v>
      </c>
      <c r="F4" s="81" t="s">
        <v>12</v>
      </c>
      <c r="G4" s="80">
        <f>G2*G3</f>
        <v>717156.79999999993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-3.1583369874374601E-2</v>
      </c>
      <c r="F6" s="69" t="s">
        <v>16</v>
      </c>
      <c r="G6" s="68">
        <f>(I50-I19)/(D50-(SUM(D42:D44)+D19))</f>
        <v>34.090646819671619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>
        <f t="shared" ref="E10:E19" si="1">D10/$D$19</f>
        <v>0</v>
      </c>
      <c r="F10" s="28">
        <f t="shared" ref="F10:F18" si="2">C10-(C10*$E$6)</f>
        <v>29.296967704432237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>
        <v>490.9</v>
      </c>
      <c r="E11" s="29">
        <f t="shared" si="1"/>
        <v>0.16368243806475274</v>
      </c>
      <c r="F11" s="28">
        <f t="shared" si="2"/>
        <v>30.534867748281489</v>
      </c>
      <c r="G11" s="27" t="str">
        <f t="shared" si="3"/>
        <v>+</v>
      </c>
      <c r="H11" s="34">
        <f t="shared" si="4"/>
        <v>14530.64</v>
      </c>
      <c r="I11" s="34">
        <f t="shared" si="5"/>
        <v>14989.566577631382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>
        <v>2092.8000000000002</v>
      </c>
      <c r="E12" s="29">
        <f t="shared" si="1"/>
        <v>0.69780934280284079</v>
      </c>
      <c r="F12" s="28">
        <f t="shared" si="2"/>
        <v>27.852750986608115</v>
      </c>
      <c r="G12" s="27" t="str">
        <f t="shared" si="3"/>
        <v>+</v>
      </c>
      <c r="H12" s="34">
        <f t="shared" si="4"/>
        <v>56505.600000000006</v>
      </c>
      <c r="I12" s="34">
        <f t="shared" si="5"/>
        <v>58290.237264773466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/>
      <c r="E13" s="29">
        <f t="shared" si="1"/>
        <v>0</v>
      </c>
      <c r="F13" s="28">
        <f t="shared" si="2"/>
        <v>30.534867748281489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>
        <v>182.8</v>
      </c>
      <c r="E14" s="29">
        <f t="shared" si="1"/>
        <v>6.0951618818979023E-2</v>
      </c>
      <c r="F14" s="28">
        <f t="shared" si="2"/>
        <v>34.145409542841804</v>
      </c>
      <c r="G14" s="27" t="str">
        <f t="shared" si="3"/>
        <v>+</v>
      </c>
      <c r="H14" s="34">
        <f t="shared" si="4"/>
        <v>6050.68</v>
      </c>
      <c r="I14" s="34">
        <f t="shared" si="5"/>
        <v>6241.7808644314819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>
        <v>186</v>
      </c>
      <c r="E15" s="29">
        <f t="shared" si="1"/>
        <v>6.2018605581674498E-2</v>
      </c>
      <c r="F15" s="28">
        <f t="shared" si="2"/>
        <v>28.162225997570427</v>
      </c>
      <c r="G15" s="27" t="str">
        <f t="shared" si="3"/>
        <v>+</v>
      </c>
      <c r="H15" s="34">
        <f t="shared" si="4"/>
        <v>5077.8</v>
      </c>
      <c r="I15" s="34">
        <f t="shared" si="5"/>
        <v>5238.1740355480997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>
        <v>9.5</v>
      </c>
      <c r="E16" s="29">
        <f t="shared" si="1"/>
        <v>3.1676169517521921E-3</v>
      </c>
      <c r="F16" s="28">
        <f t="shared" si="2"/>
        <v>38.478059696314169</v>
      </c>
      <c r="G16" s="27" t="str">
        <f t="shared" si="3"/>
        <v>+</v>
      </c>
      <c r="H16" s="34">
        <f t="shared" si="4"/>
        <v>354.34999999999997</v>
      </c>
      <c r="I16" s="34">
        <f t="shared" si="5"/>
        <v>365.54156711498462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54.9</v>
      </c>
      <c r="D17" s="30">
        <v>37.1</v>
      </c>
      <c r="E17" s="29">
        <f t="shared" si="1"/>
        <v>1.2370377780000667E-2</v>
      </c>
      <c r="F17" s="28">
        <f t="shared" si="2"/>
        <v>56.633927006103164</v>
      </c>
      <c r="G17" s="27" t="str">
        <f t="shared" si="3"/>
        <v>+</v>
      </c>
      <c r="H17" s="34">
        <f t="shared" si="4"/>
        <v>2036.79</v>
      </c>
      <c r="I17" s="34">
        <f t="shared" si="5"/>
        <v>2101.1186919264273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48.1</v>
      </c>
      <c r="D18" s="30"/>
      <c r="E18" s="29">
        <f t="shared" si="1"/>
        <v>0</v>
      </c>
      <c r="F18" s="28">
        <f t="shared" si="2"/>
        <v>49.619160090957422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28.1937447901037</v>
      </c>
      <c r="D19" s="49">
        <f>SUM(D10:D18)</f>
        <v>2999.1000000000004</v>
      </c>
      <c r="E19" s="48">
        <f t="shared" si="1"/>
        <v>1</v>
      </c>
      <c r="F19" s="47">
        <f>I19/D19</f>
        <v>29.084198259953261</v>
      </c>
      <c r="G19" s="46">
        <f>F19/C19-1</f>
        <v>3.1583369874374378E-2</v>
      </c>
      <c r="H19" s="9">
        <f>SUM(H10:H18)</f>
        <v>84555.860000000015</v>
      </c>
      <c r="I19" s="9">
        <f>SUM(I10:I18)</f>
        <v>87226.419001425835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71.400000000000006</v>
      </c>
      <c r="D21" s="30">
        <v>251.6</v>
      </c>
      <c r="E21" s="29">
        <f>D21/$D$48</f>
        <v>1.1306594764633186E-2</v>
      </c>
      <c r="F21" s="28">
        <f>C21-(C21*$E$6)</f>
        <v>73.655052609030349</v>
      </c>
      <c r="G21" s="27" t="str">
        <f>IF(C21&gt;=F21,"-","+")</f>
        <v>+</v>
      </c>
      <c r="H21" s="26">
        <f>C21*D21</f>
        <v>17964.240000000002</v>
      </c>
      <c r="I21" s="26">
        <f>F21*D21</f>
        <v>18531.611236432036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</v>
      </c>
      <c r="D22" s="30">
        <v>482.3</v>
      </c>
      <c r="E22" s="29">
        <f>D22/$D$48</f>
        <v>2.1673969216941917E-2</v>
      </c>
      <c r="F22" s="28">
        <f>C22-(C22*$E$6)</f>
        <v>49.516001753969981</v>
      </c>
      <c r="G22" s="27" t="str">
        <f>IF(C22&gt;=F22,"-","+")</f>
        <v>+</v>
      </c>
      <c r="H22" s="26">
        <f>C22*D22</f>
        <v>23150.400000000001</v>
      </c>
      <c r="I22" s="26">
        <f>F22*D22</f>
        <v>23881.567645939722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599.4</v>
      </c>
      <c r="E23" s="29">
        <f>D23/$D$48</f>
        <v>2.6936299292214357E-2</v>
      </c>
      <c r="F23" s="28">
        <f>C23-(C23*$E$6)</f>
        <v>45.080193263510175</v>
      </c>
      <c r="G23" s="27" t="str">
        <f>IF(C23&gt;=F23,"-","+")</f>
        <v>+</v>
      </c>
      <c r="H23" s="26">
        <f>C23*D23</f>
        <v>26193.780000000002</v>
      </c>
      <c r="I23" s="26">
        <f>F23*D23</f>
        <v>27021.067842147997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50.482577064426614</v>
      </c>
      <c r="D24" s="22">
        <f>SUM(D21:D23)</f>
        <v>1333.3</v>
      </c>
      <c r="E24" s="21">
        <f>D24/$D$48</f>
        <v>5.9916863273789457E-2</v>
      </c>
      <c r="F24" s="20">
        <f>I24/D24</f>
        <v>52.076986968064027</v>
      </c>
      <c r="G24" s="19">
        <f>F24/C24-1</f>
        <v>3.1583369874374823E-2</v>
      </c>
      <c r="H24" s="18">
        <f>SUM(H21:H23)</f>
        <v>67308.42</v>
      </c>
      <c r="I24" s="18">
        <f>SUM(I21:I23)</f>
        <v>69434.246724519762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38.1</v>
      </c>
      <c r="D26" s="30">
        <f>245+87.4+3826.6</f>
        <v>4159</v>
      </c>
      <c r="E26" s="29">
        <f t="shared" ref="E26:E32" si="7">D26/$D$48</f>
        <v>0.18690034827547466</v>
      </c>
      <c r="F26" s="28">
        <f t="shared" ref="F26:F31" si="8">C26-(C26*$E$6)</f>
        <v>39.303326392213677</v>
      </c>
      <c r="G26" s="27" t="str">
        <f t="shared" ref="G26:G31" si="9">IF(C26&gt;=F26,"-","+")</f>
        <v>+</v>
      </c>
      <c r="H26" s="26">
        <f t="shared" ref="H26:H31" si="10">C26*D26</f>
        <v>158457.9</v>
      </c>
      <c r="I26" s="26">
        <f t="shared" ref="I26:I31" si="11">F26*D26</f>
        <v>163462.53446521668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3365.2</v>
      </c>
      <c r="E27" s="29">
        <f t="shared" si="7"/>
        <v>0.15122795191551511</v>
      </c>
      <c r="F27" s="28">
        <f t="shared" si="8"/>
        <v>34.970676238741298</v>
      </c>
      <c r="G27" s="27" t="str">
        <f t="shared" si="9"/>
        <v>+</v>
      </c>
      <c r="H27" s="26">
        <f t="shared" si="10"/>
        <v>114080.27999999998</v>
      </c>
      <c r="I27" s="26">
        <f t="shared" si="11"/>
        <v>117683.31967861221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2098.1999999999998</v>
      </c>
      <c r="E28" s="29">
        <f t="shared" si="7"/>
        <v>9.4290529154027636E-2</v>
      </c>
      <c r="F28" s="28">
        <f t="shared" si="8"/>
        <v>34.970676238741298</v>
      </c>
      <c r="G28" s="27" t="str">
        <f t="shared" si="9"/>
        <v>+</v>
      </c>
      <c r="H28" s="26">
        <f t="shared" si="10"/>
        <v>71128.98</v>
      </c>
      <c r="I28" s="26">
        <f t="shared" si="11"/>
        <v>73375.472884126983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32.799999999999997</v>
      </c>
      <c r="D29" s="30">
        <v>2094</v>
      </c>
      <c r="E29" s="29">
        <f t="shared" si="7"/>
        <v>9.4101786316144256E-2</v>
      </c>
      <c r="F29" s="28">
        <f t="shared" si="8"/>
        <v>33.835934531879481</v>
      </c>
      <c r="G29" s="27" t="str">
        <f t="shared" si="9"/>
        <v>+</v>
      </c>
      <c r="H29" s="26">
        <f t="shared" si="10"/>
        <v>68683.199999999997</v>
      </c>
      <c r="I29" s="26">
        <f t="shared" si="11"/>
        <v>70852.446909755628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32.799999999999997</v>
      </c>
      <c r="D30" s="30">
        <f>1146.5+206.7</f>
        <v>1353.2</v>
      </c>
      <c r="E30" s="29">
        <f t="shared" si="7"/>
        <v>6.0811144815189309E-2</v>
      </c>
      <c r="F30" s="28">
        <f t="shared" si="8"/>
        <v>33.835934531879481</v>
      </c>
      <c r="G30" s="27" t="str">
        <f t="shared" si="9"/>
        <v>+</v>
      </c>
      <c r="H30" s="26">
        <f t="shared" si="10"/>
        <v>44384.959999999999</v>
      </c>
      <c r="I30" s="26">
        <f t="shared" si="11"/>
        <v>45786.786608539318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312.7</v>
      </c>
      <c r="E31" s="29">
        <f t="shared" si="7"/>
        <v>1.4052353668127177E-2</v>
      </c>
      <c r="F31" s="28">
        <f t="shared" si="8"/>
        <v>34.454884553804114</v>
      </c>
      <c r="G31" s="27" t="str">
        <f t="shared" si="9"/>
        <v>+</v>
      </c>
      <c r="H31" s="26">
        <f t="shared" si="10"/>
        <v>10444.179999999998</v>
      </c>
      <c r="I31" s="26">
        <f t="shared" si="11"/>
        <v>10774.042399974545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34.910254590018155</v>
      </c>
      <c r="D32" s="22">
        <f>SUM(D26:D31)</f>
        <v>13382.300000000001</v>
      </c>
      <c r="E32" s="21">
        <f t="shared" si="7"/>
        <v>0.60138411414447823</v>
      </c>
      <c r="F32" s="20">
        <f>I32/D32</f>
        <v>36.012838073143286</v>
      </c>
      <c r="G32" s="19">
        <f>F32/C32-1</f>
        <v>3.1583369874374601E-2</v>
      </c>
      <c r="H32" s="18">
        <f>SUM(H26:H31)</f>
        <v>467179.5</v>
      </c>
      <c r="I32" s="18">
        <f>SUM(I26:I31)</f>
        <v>481934.60294622544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f>1104+2392.4</f>
        <v>3496.4</v>
      </c>
      <c r="E34" s="29">
        <f t="shared" ref="E34:E40" si="13">D34/$D$48</f>
        <v>0.15712391866082462</v>
      </c>
      <c r="F34" s="28">
        <f t="shared" ref="F34:F39" si="14">C34-(C34*$E$6)</f>
        <v>20.734825734474931</v>
      </c>
      <c r="G34" s="27" t="str">
        <f t="shared" ref="G34:G39" si="15">IF(C34&gt;=F34,"-","+")</f>
        <v>+</v>
      </c>
      <c r="H34" s="26">
        <f t="shared" ref="H34:H39" si="16">C34*D34</f>
        <v>70277.640000000014</v>
      </c>
      <c r="I34" s="26">
        <f t="shared" ref="I34:I39" si="17">F34*D34</f>
        <v>72497.244698018156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>
        <v>259.8</v>
      </c>
      <c r="E35" s="29">
        <f t="shared" si="13"/>
        <v>1.1675092686215032E-2</v>
      </c>
      <c r="F35" s="28">
        <f t="shared" si="14"/>
        <v>15.88638389606537</v>
      </c>
      <c r="G35" s="27" t="str">
        <f t="shared" si="15"/>
        <v>+</v>
      </c>
      <c r="H35" s="26">
        <f t="shared" si="16"/>
        <v>4000.92</v>
      </c>
      <c r="I35" s="26">
        <f t="shared" si="17"/>
        <v>4127.282536197783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12.791633786442246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32.799999999999997</v>
      </c>
      <c r="D37" s="30"/>
      <c r="E37" s="29">
        <f t="shared" si="13"/>
        <v>0</v>
      </c>
      <c r="F37" s="28">
        <f t="shared" si="14"/>
        <v>33.835934531879481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32.799999999999997</v>
      </c>
      <c r="D38" s="30"/>
      <c r="E38" s="29">
        <f t="shared" si="13"/>
        <v>0</v>
      </c>
      <c r="F38" s="28">
        <f t="shared" si="14"/>
        <v>33.835934531879481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34.970676238741298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19.774921463180878</v>
      </c>
      <c r="D40" s="22">
        <f>SUM(D34:D39)</f>
        <v>3756.2000000000003</v>
      </c>
      <c r="E40" s="113">
        <f t="shared" si="13"/>
        <v>0.16879901134703967</v>
      </c>
      <c r="F40" s="20">
        <f>I40/D40</f>
        <v>20.399480121989228</v>
      </c>
      <c r="G40" s="19">
        <f>F40/C40-1</f>
        <v>3.1583369874374601E-2</v>
      </c>
      <c r="H40" s="18">
        <f>SUM(H34:H39)</f>
        <v>74278.560000000012</v>
      </c>
      <c r="I40" s="18">
        <f>SUM(I34:I39)</f>
        <v>76624.527234215944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254.9+1633.5+1718</f>
        <v>3606.4</v>
      </c>
      <c r="E42" s="107">
        <f>D42/$D$48</f>
        <v>0.16206718346253229</v>
      </c>
      <c r="F42" s="28">
        <f>C42-(C42*$E$6)</f>
        <v>0.5157916849371873</v>
      </c>
      <c r="G42" s="27" t="str">
        <f>IF(C42&gt;=F42,"-","+")</f>
        <v>+</v>
      </c>
      <c r="H42" s="26">
        <f>C42*D42</f>
        <v>1803.2</v>
      </c>
      <c r="I42" s="26">
        <f>F42*D42</f>
        <v>1860.1511325574722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149</v>
      </c>
      <c r="E43" s="107">
        <f>D43/$D$48</f>
        <v>6.6958768677676667E-3</v>
      </c>
      <c r="F43" s="28">
        <f>C43-(C43*$E$6)</f>
        <v>0.5157916849371873</v>
      </c>
      <c r="G43" s="27" t="str">
        <f>IF(C43&gt;=F43,"-","+")</f>
        <v>+</v>
      </c>
      <c r="H43" s="26">
        <f>C43*D43</f>
        <v>74.5</v>
      </c>
      <c r="I43" s="26">
        <f>F43*D43</f>
        <v>76.852961055640904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19</v>
      </c>
      <c r="E44" s="107">
        <f>D44/$D$48</f>
        <v>8.5383664756768899E-4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6.3</v>
      </c>
      <c r="E45" s="107">
        <f>D45/$D$48</f>
        <v>2.831142568250758E-4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0.49665405877218505</v>
      </c>
      <c r="D46" s="22">
        <f>SUM(D41:D45)</f>
        <v>3780.7000000000003</v>
      </c>
      <c r="E46" s="113">
        <f>D46/$D$48</f>
        <v>0.16990001123469275</v>
      </c>
      <c r="F46" s="20">
        <f>I46/D46</f>
        <v>0.51234006760999629</v>
      </c>
      <c r="G46" s="19">
        <f>F46/C46-1</f>
        <v>3.1583369874374378E-2</v>
      </c>
      <c r="H46" s="18">
        <f>SUM(H41:H44)</f>
        <v>1877.7</v>
      </c>
      <c r="I46" s="18">
        <f>SUM(I41:I44)</f>
        <v>1937.0040936131131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105.66440717639782</v>
      </c>
      <c r="D48" s="13">
        <f>D24+D32+D40+D46</f>
        <v>22252.5</v>
      </c>
      <c r="E48" s="12">
        <f>SUM(E20:E46)/2</f>
        <v>1</v>
      </c>
      <c r="F48" s="11">
        <f>I48/D48</f>
        <v>28.308297090150507</v>
      </c>
      <c r="G48" s="10"/>
      <c r="H48" s="9">
        <f>SUM(H20:H46)/2</f>
        <v>610644.17999999993</v>
      </c>
      <c r="I48" s="9">
        <f>SUM(I20:I46)/2</f>
        <v>629930.3809985742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25251.600000000002</v>
      </c>
      <c r="E50" s="12">
        <f>D50/G2</f>
        <v>0.99998415967052123</v>
      </c>
      <c r="F50" s="11">
        <f>I50/D50</f>
        <v>28.400449872483328</v>
      </c>
      <c r="G50" s="10"/>
      <c r="H50" s="9">
        <f>H48+H19</f>
        <v>695200.03999999992</v>
      </c>
      <c r="I50" s="9">
        <f>I48+I19</f>
        <v>717156.8</v>
      </c>
      <c r="J50" s="106">
        <f>D50-G2</f>
        <v>-0.39999999999781721</v>
      </c>
      <c r="K50" s="8"/>
    </row>
    <row r="51" spans="1:11" ht="23.25" x14ac:dyDescent="0.35">
      <c r="A51" s="174" t="s">
        <v>640</v>
      </c>
      <c r="B51" s="169"/>
      <c r="C51" s="170"/>
      <c r="G51" s="7"/>
      <c r="H51" s="6"/>
      <c r="I51" s="6">
        <f>+I50/D50</f>
        <v>28.400449872483328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641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641</v>
      </c>
      <c r="D2" s="96" t="s">
        <v>3</v>
      </c>
      <c r="E2" s="95" t="s">
        <v>71</v>
      </c>
      <c r="F2" s="94" t="s">
        <v>5</v>
      </c>
      <c r="G2" s="93">
        <v>11511.4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167</v>
      </c>
      <c r="F3" s="88" t="s">
        <v>8</v>
      </c>
      <c r="G3" s="87">
        <v>28.4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68.930538922155691</v>
      </c>
      <c r="F4" s="81" t="s">
        <v>12</v>
      </c>
      <c r="G4" s="80">
        <f>G2*G3</f>
        <v>326923.75999999995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-1.443052254059829E-4</v>
      </c>
      <c r="F6" s="69" t="s">
        <v>16</v>
      </c>
      <c r="G6" s="68">
        <f>(I50-I19)/(D50-(SUM(D42:D44)+D19))</f>
        <v>33.894618104154347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 t="e">
        <f t="shared" ref="E10:E19" si="1">D10/$D$19</f>
        <v>#DIV/0!</v>
      </c>
      <c r="F10" s="28">
        <f t="shared" ref="F10:F18" si="2">C10-(C10*$E$6)</f>
        <v>28.40409826840153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/>
      <c r="E11" s="29" t="e">
        <f t="shared" si="1"/>
        <v>#DIV/0!</v>
      </c>
      <c r="F11" s="28">
        <f t="shared" si="2"/>
        <v>29.604271434672018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/>
      <c r="E12" s="29" t="e">
        <f t="shared" si="1"/>
        <v>#DIV/0!</v>
      </c>
      <c r="F12" s="28">
        <f t="shared" si="2"/>
        <v>27.003896241085961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/>
      <c r="E13" s="29" t="e">
        <f t="shared" si="1"/>
        <v>#DIV/0!</v>
      </c>
      <c r="F13" s="28">
        <f t="shared" si="2"/>
        <v>29.604271434672018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 t="e">
        <f t="shared" si="1"/>
        <v>#DIV/0!</v>
      </c>
      <c r="F14" s="28">
        <f t="shared" si="2"/>
        <v>33.104776502960938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/>
      <c r="E15" s="29" t="e">
        <f t="shared" si="1"/>
        <v>#DIV/0!</v>
      </c>
      <c r="F15" s="28">
        <f t="shared" si="2"/>
        <v>27.303939532653583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 t="e">
        <f t="shared" si="1"/>
        <v>#DIV/0!</v>
      </c>
      <c r="F16" s="28">
        <f t="shared" si="2"/>
        <v>37.30538258490764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54.9</v>
      </c>
      <c r="D17" s="30"/>
      <c r="E17" s="29" t="e">
        <f t="shared" si="1"/>
        <v>#DIV/0!</v>
      </c>
      <c r="F17" s="28">
        <f t="shared" si="2"/>
        <v>54.907922356874785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48.1</v>
      </c>
      <c r="D18" s="30"/>
      <c r="E18" s="29" t="e">
        <f t="shared" si="1"/>
        <v>#DIV/0!</v>
      </c>
      <c r="F18" s="28">
        <f t="shared" si="2"/>
        <v>48.106941081342029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71.400000000000006</v>
      </c>
      <c r="D21" s="30">
        <v>170.6</v>
      </c>
      <c r="E21" s="29">
        <f>D21/$D$48</f>
        <v>1.4820091387667874E-2</v>
      </c>
      <c r="F21" s="28">
        <f>C21-(C21*$E$6)</f>
        <v>71.410303393093997</v>
      </c>
      <c r="G21" s="27" t="str">
        <f>IF(C21&gt;=F21,"-","+")</f>
        <v>+</v>
      </c>
      <c r="H21" s="26">
        <f>C21*D21</f>
        <v>12180.84</v>
      </c>
      <c r="I21" s="26">
        <f>F21*D21</f>
        <v>12182.597758861835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</v>
      </c>
      <c r="D22" s="30">
        <v>293.5</v>
      </c>
      <c r="E22" s="29">
        <f>D22/$D$48</f>
        <v>2.5496464374446196E-2</v>
      </c>
      <c r="F22" s="28">
        <f>C22-(C22*$E$6)</f>
        <v>48.006926650819487</v>
      </c>
      <c r="G22" s="27" t="str">
        <f>IF(C22&gt;=F22,"-","+")</f>
        <v>+</v>
      </c>
      <c r="H22" s="26">
        <f>C22*D22</f>
        <v>14088</v>
      </c>
      <c r="I22" s="26">
        <f>F22*D22</f>
        <v>14090.032972015519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336</v>
      </c>
      <c r="E23" s="29">
        <f>D23/$D$48</f>
        <v>2.9188456660354078E-2</v>
      </c>
      <c r="F23" s="28">
        <f>C23-(C23*$E$6)</f>
        <v>43.706306138350243</v>
      </c>
      <c r="G23" s="27" t="str">
        <f>IF(C23&gt;=F23,"-","+")</f>
        <v>+</v>
      </c>
      <c r="H23" s="26">
        <f>C23*D23</f>
        <v>14683.2</v>
      </c>
      <c r="I23" s="26">
        <f>F23*D23</f>
        <v>14685.318862485681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51.183652043494561</v>
      </c>
      <c r="D24" s="22">
        <f>SUM(D21:D23)</f>
        <v>800.1</v>
      </c>
      <c r="E24" s="21">
        <f>D24/$D$48</f>
        <v>6.9505012422468149E-2</v>
      </c>
      <c r="F24" s="20">
        <f>I24/D24</f>
        <v>51.191038111939804</v>
      </c>
      <c r="G24" s="19">
        <f>F24/C24-1</f>
        <v>1.443052254059829E-4</v>
      </c>
      <c r="H24" s="18">
        <f>SUM(H21:H23)</f>
        <v>40952.04</v>
      </c>
      <c r="I24" s="18">
        <f>SUM(I21:I23)</f>
        <v>40957.949593363039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38.1</v>
      </c>
      <c r="D26" s="30">
        <v>2599.4</v>
      </c>
      <c r="E26" s="29">
        <f t="shared" ref="E26:E32" si="7">D26/$D$48</f>
        <v>0.22581093524679879</v>
      </c>
      <c r="F26" s="28">
        <f t="shared" ref="F26:F31" si="8">C26-(C26*$E$6)</f>
        <v>38.105498029087968</v>
      </c>
      <c r="G26" s="27" t="str">
        <f t="shared" ref="G26:G31" si="9">IF(C26&gt;=F26,"-","+")</f>
        <v>+</v>
      </c>
      <c r="H26" s="26">
        <f t="shared" ref="H26:H31" si="10">C26*D26</f>
        <v>99037.140000000014</v>
      </c>
      <c r="I26" s="26">
        <f t="shared" ref="I26:I31" si="11">F26*D26</f>
        <v>99051.431576811272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1433.4</v>
      </c>
      <c r="E27" s="29">
        <f t="shared" si="7"/>
        <v>0.12452004100283197</v>
      </c>
      <c r="F27" s="28">
        <f t="shared" si="8"/>
        <v>33.904891947141259</v>
      </c>
      <c r="G27" s="27" t="str">
        <f t="shared" si="9"/>
        <v>+</v>
      </c>
      <c r="H27" s="26">
        <f t="shared" si="10"/>
        <v>48592.26</v>
      </c>
      <c r="I27" s="26">
        <f t="shared" si="11"/>
        <v>48599.272117032284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970</v>
      </c>
      <c r="E28" s="29">
        <f t="shared" si="7"/>
        <v>8.4264294525426955E-2</v>
      </c>
      <c r="F28" s="28">
        <f t="shared" si="8"/>
        <v>33.904891947141259</v>
      </c>
      <c r="G28" s="27" t="str">
        <f t="shared" si="9"/>
        <v>+</v>
      </c>
      <c r="H28" s="26">
        <f t="shared" si="10"/>
        <v>32883</v>
      </c>
      <c r="I28" s="26">
        <f t="shared" si="11"/>
        <v>32887.745188727022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32.799999999999997</v>
      </c>
      <c r="D29" s="30">
        <v>911.2</v>
      </c>
      <c r="E29" s="29">
        <f t="shared" si="7"/>
        <v>7.9156314609864997E-2</v>
      </c>
      <c r="F29" s="28">
        <f t="shared" si="8"/>
        <v>32.804733211393312</v>
      </c>
      <c r="G29" s="27" t="str">
        <f t="shared" si="9"/>
        <v>+</v>
      </c>
      <c r="H29" s="26">
        <f t="shared" si="10"/>
        <v>29887.360000000001</v>
      </c>
      <c r="I29" s="26">
        <f t="shared" si="11"/>
        <v>29891.672902221588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32.799999999999997</v>
      </c>
      <c r="D30" s="30">
        <v>838.8</v>
      </c>
      <c r="E30" s="29">
        <f t="shared" si="7"/>
        <v>7.28668971628125E-2</v>
      </c>
      <c r="F30" s="28">
        <f t="shared" si="8"/>
        <v>32.804733211393312</v>
      </c>
      <c r="G30" s="27" t="str">
        <f t="shared" si="9"/>
        <v>+</v>
      </c>
      <c r="H30" s="26">
        <f t="shared" si="10"/>
        <v>27512.639999999996</v>
      </c>
      <c r="I30" s="26">
        <f t="shared" si="11"/>
        <v>27516.610217716709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386.5</v>
      </c>
      <c r="E31" s="29">
        <f t="shared" si="7"/>
        <v>3.3575412200079917E-2</v>
      </c>
      <c r="F31" s="28">
        <f t="shared" si="8"/>
        <v>33.404819794528557</v>
      </c>
      <c r="G31" s="27" t="str">
        <f t="shared" si="9"/>
        <v>+</v>
      </c>
      <c r="H31" s="26">
        <f t="shared" si="10"/>
        <v>12909.099999999999</v>
      </c>
      <c r="I31" s="26">
        <f t="shared" si="11"/>
        <v>12910.962850585287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35.132505987982015</v>
      </c>
      <c r="D32" s="22">
        <f>SUM(D26:D31)</f>
        <v>7139.3</v>
      </c>
      <c r="E32" s="21">
        <f t="shared" si="7"/>
        <v>0.62019389474781517</v>
      </c>
      <c r="F32" s="20">
        <f>I32/D32</f>
        <v>35.137575792177685</v>
      </c>
      <c r="G32" s="19">
        <f>F32/C32-1</f>
        <v>1.443052254059829E-4</v>
      </c>
      <c r="H32" s="18">
        <f>SUM(H26:H31)</f>
        <v>250821.5</v>
      </c>
      <c r="I32" s="18">
        <f>SUM(I26:I31)</f>
        <v>250857.69485309417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1700</v>
      </c>
      <c r="E34" s="29">
        <f t="shared" ref="E34:E40" si="13">D34/$D$48</f>
        <v>0.14767969143631529</v>
      </c>
      <c r="F34" s="28">
        <f t="shared" ref="F34:F39" si="14">C34-(C34*$E$6)</f>
        <v>20.102900535030663</v>
      </c>
      <c r="G34" s="27" t="str">
        <f t="shared" ref="G34:G39" si="15">IF(C34&gt;=F34,"-","+")</f>
        <v>+</v>
      </c>
      <c r="H34" s="26">
        <f t="shared" ref="H34:H39" si="16">C34*D34</f>
        <v>34170</v>
      </c>
      <c r="I34" s="26">
        <f t="shared" ref="I34:I39" si="17">F34*D34</f>
        <v>34174.930909552131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15.402222300471253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12.401789384795034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32.799999999999997</v>
      </c>
      <c r="D37" s="30"/>
      <c r="E37" s="29">
        <f t="shared" si="13"/>
        <v>0</v>
      </c>
      <c r="F37" s="28">
        <f t="shared" si="14"/>
        <v>32.804733211393312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32.799999999999997</v>
      </c>
      <c r="D38" s="30"/>
      <c r="E38" s="29">
        <f t="shared" si="13"/>
        <v>0</v>
      </c>
      <c r="F38" s="28">
        <f t="shared" si="14"/>
        <v>32.804733211393312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33.904891947141259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1700</v>
      </c>
      <c r="E40" s="113">
        <f t="shared" si="13"/>
        <v>0.14767969143631529</v>
      </c>
      <c r="F40" s="20">
        <f>I40/D40</f>
        <v>20.102900535030667</v>
      </c>
      <c r="G40" s="19">
        <f>F40/C40-1</f>
        <v>1.4430522540620494E-4</v>
      </c>
      <c r="H40" s="18">
        <f>SUM(H34:H39)</f>
        <v>34170</v>
      </c>
      <c r="I40" s="18">
        <f>SUM(I34:I39)</f>
        <v>34174.930909552131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1776</v>
      </c>
      <c r="E42" s="107">
        <f>D42/$D$48</f>
        <v>0.15428184234758585</v>
      </c>
      <c r="F42" s="28">
        <f>C42-(C42*$E$6)</f>
        <v>0.50007215261270299</v>
      </c>
      <c r="G42" s="27" t="str">
        <f>IF(C42&gt;=F42,"-","+")</f>
        <v>+</v>
      </c>
      <c r="H42" s="26">
        <f>C42*D42</f>
        <v>888</v>
      </c>
      <c r="I42" s="26">
        <f>F42*D42</f>
        <v>888.12814304016047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90.1</v>
      </c>
      <c r="E43" s="107">
        <f>D43/$D$48</f>
        <v>7.82702364612471E-3</v>
      </c>
      <c r="F43" s="28">
        <f>C43-(C43*$E$6)</f>
        <v>0.50007215261270299</v>
      </c>
      <c r="G43" s="27" t="str">
        <f>IF(C43&gt;=F43,"-","+")</f>
        <v>+</v>
      </c>
      <c r="H43" s="26">
        <f>C43*D43</f>
        <v>45.05</v>
      </c>
      <c r="I43" s="26">
        <f>F43*D43</f>
        <v>45.056500950404534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5.9</v>
      </c>
      <c r="E45" s="107">
        <f>D45/$D$48</f>
        <v>5.1253539969074128E-4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0.49842414529914525</v>
      </c>
      <c r="D46" s="22">
        <f>SUM(D41:D45)</f>
        <v>1872</v>
      </c>
      <c r="E46" s="113">
        <f>D46/$D$48</f>
        <v>0.16262140139340131</v>
      </c>
      <c r="F46" s="20">
        <f>I46/D46</f>
        <v>0.49849607050778044</v>
      </c>
      <c r="G46" s="19">
        <f>F46/C46-1</f>
        <v>1.443052254059829E-4</v>
      </c>
      <c r="H46" s="18">
        <f>SUM(H41:H44)</f>
        <v>933.05</v>
      </c>
      <c r="I46" s="18">
        <f>SUM(I41:I44)</f>
        <v>933.18464399056495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106.91458217677572</v>
      </c>
      <c r="D48" s="13">
        <f>D24+D32+D40+D46</f>
        <v>11511.400000000001</v>
      </c>
      <c r="E48" s="12">
        <f>SUM(E20:E46)/2</f>
        <v>0.99999999999999967</v>
      </c>
      <c r="F48" s="11">
        <f>I48/D48</f>
        <v>28.399999999999988</v>
      </c>
      <c r="G48" s="10"/>
      <c r="H48" s="9">
        <f>SUM(H20:H46)/2</f>
        <v>326876.59000000008</v>
      </c>
      <c r="I48" s="9">
        <f>SUM(I20:I46)/2</f>
        <v>326923.75999999989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11511.4</v>
      </c>
      <c r="E50" s="12">
        <f>D50/G2</f>
        <v>1</v>
      </c>
      <c r="F50" s="11">
        <f>I50/D50</f>
        <v>28.399999999999991</v>
      </c>
      <c r="G50" s="10"/>
      <c r="H50" s="9">
        <f>H48+H19</f>
        <v>326876.59000000008</v>
      </c>
      <c r="I50" s="9">
        <f>I48+I19</f>
        <v>326923.75999999989</v>
      </c>
      <c r="J50" s="106">
        <f>D50-G2</f>
        <v>0</v>
      </c>
      <c r="K50" s="8"/>
    </row>
    <row r="51" spans="1:11" ht="23.25" x14ac:dyDescent="0.35">
      <c r="A51" s="174" t="s">
        <v>642</v>
      </c>
      <c r="B51" s="169"/>
      <c r="C51" s="170"/>
      <c r="G51" s="7"/>
      <c r="H51" s="6"/>
      <c r="I51" s="6">
        <f>+I50/D50</f>
        <v>28.399999999999991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>
    <tabColor rgb="FF92D050"/>
  </sheetPr>
  <dimension ref="A1:K56"/>
  <sheetViews>
    <sheetView topLeftCell="A6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641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641</v>
      </c>
      <c r="D2" s="96" t="s">
        <v>3</v>
      </c>
      <c r="E2" s="95" t="s">
        <v>71</v>
      </c>
      <c r="F2" s="94" t="s">
        <v>5</v>
      </c>
      <c r="G2" s="93">
        <v>7479.8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109</v>
      </c>
      <c r="F3" s="88" t="s">
        <v>8</v>
      </c>
      <c r="G3" s="87">
        <v>28.4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68.622018348623854</v>
      </c>
      <c r="F4" s="81" t="s">
        <v>12</v>
      </c>
      <c r="G4" s="80">
        <f>G2*G3</f>
        <v>212426.32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-2.384008326972098E-2</v>
      </c>
      <c r="F6" s="69" t="s">
        <v>16</v>
      </c>
      <c r="G6" s="68">
        <f>(I50-I19)/(D50-(SUM(D42:D44)+D19))</f>
        <v>33.689694972328304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>
        <f t="shared" ref="E10:E19" si="1">D10/$D$19</f>
        <v>0</v>
      </c>
      <c r="F10" s="28">
        <f t="shared" ref="F10:F18" si="2">C10-(C10*$E$6)</f>
        <v>29.077058364860076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>
        <v>479.7</v>
      </c>
      <c r="E11" s="29">
        <f t="shared" si="1"/>
        <v>0.29026987776836499</v>
      </c>
      <c r="F11" s="28">
        <f t="shared" si="2"/>
        <v>30.305666464783741</v>
      </c>
      <c r="G11" s="27" t="str">
        <f t="shared" si="3"/>
        <v>+</v>
      </c>
      <c r="H11" s="34">
        <f t="shared" si="4"/>
        <v>14199.12</v>
      </c>
      <c r="I11" s="34">
        <f t="shared" si="5"/>
        <v>14537.628203156761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>
        <v>601.1</v>
      </c>
      <c r="E12" s="29">
        <f t="shared" si="1"/>
        <v>0.36372988018879343</v>
      </c>
      <c r="F12" s="28">
        <f t="shared" si="2"/>
        <v>27.643682248282467</v>
      </c>
      <c r="G12" s="27" t="str">
        <f t="shared" si="3"/>
        <v>+</v>
      </c>
      <c r="H12" s="34">
        <f t="shared" si="4"/>
        <v>16229.7</v>
      </c>
      <c r="I12" s="34">
        <f t="shared" si="5"/>
        <v>16616.617399442592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>
        <v>187.3</v>
      </c>
      <c r="E13" s="29">
        <f t="shared" si="1"/>
        <v>0.11333656057122111</v>
      </c>
      <c r="F13" s="28">
        <f t="shared" si="2"/>
        <v>30.305666464783741</v>
      </c>
      <c r="G13" s="27" t="str">
        <f t="shared" si="3"/>
        <v>+</v>
      </c>
      <c r="H13" s="34">
        <f t="shared" si="4"/>
        <v>5544.0800000000008</v>
      </c>
      <c r="I13" s="34">
        <f t="shared" si="5"/>
        <v>5676.2513288539949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>
        <v>186</v>
      </c>
      <c r="E14" s="29">
        <f t="shared" si="1"/>
        <v>0.1125499213360765</v>
      </c>
      <c r="F14" s="28">
        <f t="shared" si="2"/>
        <v>33.889106756227768</v>
      </c>
      <c r="G14" s="27" t="str">
        <f t="shared" si="3"/>
        <v>+</v>
      </c>
      <c r="H14" s="34">
        <f t="shared" si="4"/>
        <v>6156.6</v>
      </c>
      <c r="I14" s="34">
        <f t="shared" si="5"/>
        <v>6303.3738566583652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>
        <v>169</v>
      </c>
      <c r="E15" s="29">
        <f t="shared" si="1"/>
        <v>0.10226310056880068</v>
      </c>
      <c r="F15" s="28">
        <f t="shared" si="2"/>
        <v>27.950834273263382</v>
      </c>
      <c r="G15" s="27" t="str">
        <f t="shared" si="3"/>
        <v>+</v>
      </c>
      <c r="H15" s="34">
        <f t="shared" si="4"/>
        <v>4613.7</v>
      </c>
      <c r="I15" s="34">
        <f t="shared" si="5"/>
        <v>4723.6909921815113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>
        <v>8</v>
      </c>
      <c r="E16" s="29">
        <f t="shared" si="1"/>
        <v>4.8408568316592043E-3</v>
      </c>
      <c r="F16" s="28">
        <f t="shared" si="2"/>
        <v>38.189235105960591</v>
      </c>
      <c r="G16" s="27" t="str">
        <f t="shared" si="3"/>
        <v>+</v>
      </c>
      <c r="H16" s="34">
        <f t="shared" si="4"/>
        <v>298.39999999999998</v>
      </c>
      <c r="I16" s="34">
        <f t="shared" si="5"/>
        <v>305.51388084768473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54.9</v>
      </c>
      <c r="D17" s="30">
        <v>21.5</v>
      </c>
      <c r="E17" s="29">
        <f t="shared" si="1"/>
        <v>1.3009802735084111E-2</v>
      </c>
      <c r="F17" s="28">
        <f t="shared" si="2"/>
        <v>56.20882057150768</v>
      </c>
      <c r="G17" s="27" t="str">
        <f t="shared" si="3"/>
        <v>+</v>
      </c>
      <c r="H17" s="34">
        <f t="shared" si="4"/>
        <v>1180.3499999999999</v>
      </c>
      <c r="I17" s="34">
        <f t="shared" si="5"/>
        <v>1208.4896422874151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48.1</v>
      </c>
      <c r="D18" s="30"/>
      <c r="E18" s="29">
        <f t="shared" si="1"/>
        <v>0</v>
      </c>
      <c r="F18" s="28">
        <f t="shared" si="2"/>
        <v>49.246708005273582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29.179444511678568</v>
      </c>
      <c r="D19" s="49">
        <f>SUM(D10:D18)</f>
        <v>1652.6</v>
      </c>
      <c r="E19" s="48">
        <f t="shared" si="1"/>
        <v>1</v>
      </c>
      <c r="F19" s="47">
        <f>I19/D19</f>
        <v>29.875084898601187</v>
      </c>
      <c r="G19" s="46">
        <f>F19/C19-1</f>
        <v>2.384008326972098E-2</v>
      </c>
      <c r="H19" s="9">
        <f>SUM(H10:H18)</f>
        <v>48221.95</v>
      </c>
      <c r="I19" s="9">
        <f>SUM(I10:I18)</f>
        <v>49371.565303428317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71.400000000000006</v>
      </c>
      <c r="D21" s="30">
        <v>50</v>
      </c>
      <c r="E21" s="29">
        <f>D21/$D$48</f>
        <v>8.5808920695395492E-3</v>
      </c>
      <c r="F21" s="28">
        <f>C21-(C21*$E$6)</f>
        <v>73.102181945458085</v>
      </c>
      <c r="G21" s="27" t="str">
        <f>IF(C21&gt;=F21,"-","+")</f>
        <v>+</v>
      </c>
      <c r="H21" s="26">
        <f>C21*D21</f>
        <v>3570.0000000000005</v>
      </c>
      <c r="I21" s="26">
        <f>F21*D21</f>
        <v>3655.1090972729044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</v>
      </c>
      <c r="D22" s="30">
        <v>216.6</v>
      </c>
      <c r="E22" s="29">
        <f>D22/$D$48</f>
        <v>3.7172424445245329E-2</v>
      </c>
      <c r="F22" s="28">
        <f>C22-(C22*$E$6)</f>
        <v>49.144323996946611</v>
      </c>
      <c r="G22" s="27" t="str">
        <f>IF(C22&gt;=F22,"-","+")</f>
        <v>+</v>
      </c>
      <c r="H22" s="26">
        <f>C22*D22</f>
        <v>10396.799999999999</v>
      </c>
      <c r="I22" s="26">
        <f>F22*D22</f>
        <v>10644.660577738636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88.3</v>
      </c>
      <c r="E23" s="29">
        <f>D23/$D$48</f>
        <v>1.5153855394806844E-2</v>
      </c>
      <c r="F23" s="28">
        <f>C23-(C23*$E$6)</f>
        <v>44.741811638886809</v>
      </c>
      <c r="G23" s="27" t="str">
        <f>IF(C23&gt;=F23,"-","+")</f>
        <v>+</v>
      </c>
      <c r="H23" s="26">
        <f>C23*D23</f>
        <v>3858.71</v>
      </c>
      <c r="I23" s="26">
        <f>F23*D23</f>
        <v>3950.701967713705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50.226852634544933</v>
      </c>
      <c r="D24" s="22">
        <f>SUM(D21:D23)</f>
        <v>354.90000000000003</v>
      </c>
      <c r="E24" s="21">
        <f>D24/$D$48</f>
        <v>6.0907171909591731E-2</v>
      </c>
      <c r="F24" s="20">
        <f>I24/D24</f>
        <v>51.424264983728492</v>
      </c>
      <c r="G24" s="19">
        <f>F24/C24-1</f>
        <v>2.384008326972098E-2</v>
      </c>
      <c r="H24" s="18">
        <f>SUM(H21:H23)</f>
        <v>17825.509999999998</v>
      </c>
      <c r="I24" s="18">
        <f>SUM(I21:I23)</f>
        <v>18250.471642725242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38.1</v>
      </c>
      <c r="D26" s="30">
        <v>996</v>
      </c>
      <c r="E26" s="29">
        <f t="shared" ref="E26:E32" si="7">D26/$D$48</f>
        <v>0.17093137002522785</v>
      </c>
      <c r="F26" s="28">
        <f t="shared" ref="F26:F31" si="8">C26-(C26*$E$6)</f>
        <v>39.008307172576373</v>
      </c>
      <c r="G26" s="27" t="str">
        <f t="shared" ref="G26:G31" si="9">IF(C26&gt;=F26,"-","+")</f>
        <v>+</v>
      </c>
      <c r="H26" s="26">
        <f t="shared" ref="H26:H31" si="10">C26*D26</f>
        <v>37947.599999999999</v>
      </c>
      <c r="I26" s="26">
        <f t="shared" ref="I26:I31" si="11">F26*D26</f>
        <v>38852.273943886066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942.8</v>
      </c>
      <c r="E27" s="29">
        <f t="shared" si="7"/>
        <v>0.16180130086323774</v>
      </c>
      <c r="F27" s="28">
        <f t="shared" si="8"/>
        <v>34.708178822843543</v>
      </c>
      <c r="G27" s="27" t="str">
        <f t="shared" si="9"/>
        <v>+</v>
      </c>
      <c r="H27" s="26">
        <f t="shared" si="10"/>
        <v>31960.92</v>
      </c>
      <c r="I27" s="26">
        <f t="shared" si="11"/>
        <v>32722.87099417689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549.79999999999995</v>
      </c>
      <c r="E28" s="29">
        <f t="shared" si="7"/>
        <v>9.4355489196656886E-2</v>
      </c>
      <c r="F28" s="28">
        <f t="shared" si="8"/>
        <v>34.708178822843543</v>
      </c>
      <c r="G28" s="27" t="str">
        <f t="shared" si="9"/>
        <v>+</v>
      </c>
      <c r="H28" s="26">
        <f t="shared" si="10"/>
        <v>18638.219999999998</v>
      </c>
      <c r="I28" s="26">
        <f t="shared" si="11"/>
        <v>19082.55671679938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32.799999999999997</v>
      </c>
      <c r="D29" s="30">
        <v>486</v>
      </c>
      <c r="E29" s="29">
        <f t="shared" si="7"/>
        <v>8.3406270915924424E-2</v>
      </c>
      <c r="F29" s="28">
        <f t="shared" si="8"/>
        <v>33.581954731246846</v>
      </c>
      <c r="G29" s="27" t="str">
        <f t="shared" si="9"/>
        <v>+</v>
      </c>
      <c r="H29" s="26">
        <f t="shared" si="10"/>
        <v>15940.8</v>
      </c>
      <c r="I29" s="26">
        <f t="shared" si="11"/>
        <v>16320.829999385967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32.799999999999997</v>
      </c>
      <c r="D30" s="30">
        <v>440</v>
      </c>
      <c r="E30" s="29">
        <f t="shared" si="7"/>
        <v>7.5511850211948034E-2</v>
      </c>
      <c r="F30" s="28">
        <f t="shared" si="8"/>
        <v>33.581954731246846</v>
      </c>
      <c r="G30" s="27" t="str">
        <f t="shared" si="9"/>
        <v>+</v>
      </c>
      <c r="H30" s="26">
        <f t="shared" si="10"/>
        <v>14431.999999999998</v>
      </c>
      <c r="I30" s="26">
        <f t="shared" si="11"/>
        <v>14776.060081748612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47.6</v>
      </c>
      <c r="E31" s="29">
        <f t="shared" si="7"/>
        <v>8.1690092502016524E-3</v>
      </c>
      <c r="F31" s="28">
        <f t="shared" si="8"/>
        <v>34.196258781208677</v>
      </c>
      <c r="G31" s="27" t="str">
        <f t="shared" si="9"/>
        <v>+</v>
      </c>
      <c r="H31" s="26">
        <f t="shared" si="10"/>
        <v>1589.84</v>
      </c>
      <c r="I31" s="26">
        <f t="shared" si="11"/>
        <v>1627.7419179855331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34.807168852174918</v>
      </c>
      <c r="D32" s="22">
        <f>SUM(D26:D31)</f>
        <v>3462.2</v>
      </c>
      <c r="E32" s="21">
        <f t="shared" si="7"/>
        <v>0.59417529046319661</v>
      </c>
      <c r="F32" s="20">
        <f>I32/D32</f>
        <v>35.636974655994017</v>
      </c>
      <c r="G32" s="19">
        <f>F32/C32-1</f>
        <v>2.3840083269721202E-2</v>
      </c>
      <c r="H32" s="18">
        <f>SUM(H26:H31)</f>
        <v>120509.37999999999</v>
      </c>
      <c r="I32" s="18">
        <f>SUM(I26:I31)</f>
        <v>123382.33365398247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1016.4</v>
      </c>
      <c r="E34" s="29">
        <f t="shared" ref="E34:E40" si="13">D34/$D$48</f>
        <v>0.17443237398959996</v>
      </c>
      <c r="F34" s="28">
        <f t="shared" ref="F34:F39" si="14">C34-(C34*$E$6)</f>
        <v>20.579185673721394</v>
      </c>
      <c r="G34" s="27" t="str">
        <f t="shared" ref="G34:G39" si="15">IF(C34&gt;=F34,"-","+")</f>
        <v>+</v>
      </c>
      <c r="H34" s="26">
        <f t="shared" ref="H34:H39" si="16">C34*D34</f>
        <v>20429.64</v>
      </c>
      <c r="I34" s="26">
        <f t="shared" ref="I34:I39" si="17">F34*D34</f>
        <v>20916.684318770425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15.767137282353703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12.69561703254454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32.799999999999997</v>
      </c>
      <c r="D37" s="30"/>
      <c r="E37" s="29">
        <f t="shared" si="13"/>
        <v>0</v>
      </c>
      <c r="F37" s="28">
        <f t="shared" si="14"/>
        <v>33.581954731246846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32.799999999999997</v>
      </c>
      <c r="D38" s="30"/>
      <c r="E38" s="29">
        <f t="shared" si="13"/>
        <v>0</v>
      </c>
      <c r="F38" s="28">
        <f t="shared" si="14"/>
        <v>33.581954731246846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34.708178822843543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1016.4</v>
      </c>
      <c r="E40" s="113">
        <f t="shared" si="13"/>
        <v>0.17443237398959996</v>
      </c>
      <c r="F40" s="20">
        <f>I40/D40</f>
        <v>20.579185673721394</v>
      </c>
      <c r="G40" s="19">
        <f>F40/C40-1</f>
        <v>2.384008326972098E-2</v>
      </c>
      <c r="H40" s="18">
        <f>SUM(H34:H39)</f>
        <v>20429.64</v>
      </c>
      <c r="I40" s="18">
        <f>SUM(I34:I39)</f>
        <v>20916.684318770425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958</v>
      </c>
      <c r="E42" s="107">
        <f>D42/$D$48</f>
        <v>0.16440989205237777</v>
      </c>
      <c r="F42" s="28">
        <f>C42-(C42*$E$6)</f>
        <v>0.51192004163486049</v>
      </c>
      <c r="G42" s="27" t="str">
        <f>IF(C42&gt;=F42,"-","+")</f>
        <v>+</v>
      </c>
      <c r="H42" s="26">
        <f>C42*D42</f>
        <v>479</v>
      </c>
      <c r="I42" s="26">
        <f>F42*D42</f>
        <v>490.41939988619635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29</v>
      </c>
      <c r="E43" s="107">
        <f>D43/$D$48</f>
        <v>4.9769174003329386E-3</v>
      </c>
      <c r="F43" s="28">
        <f>C43-(C43*$E$6)</f>
        <v>0.51192004163486049</v>
      </c>
      <c r="G43" s="27" t="str">
        <f>IF(C43&gt;=F43,"-","+")</f>
        <v>+</v>
      </c>
      <c r="H43" s="26">
        <f>C43*D43</f>
        <v>14.5</v>
      </c>
      <c r="I43" s="26">
        <f>F43*D43</f>
        <v>14.845681207410955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6.4</v>
      </c>
      <c r="E45" s="107">
        <f>D45/$D$48</f>
        <v>1.0983541849010625E-3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0.49677873968190056</v>
      </c>
      <c r="D46" s="22">
        <f>SUM(D41:D45)</f>
        <v>993.4</v>
      </c>
      <c r="E46" s="113">
        <f>D46/$D$48</f>
        <v>0.17048516363761176</v>
      </c>
      <c r="F46" s="20">
        <f>I46/D46</f>
        <v>0.50862198620254406</v>
      </c>
      <c r="G46" s="19">
        <f>F46/C46-1</f>
        <v>2.384008326972098E-2</v>
      </c>
      <c r="H46" s="18">
        <f>SUM(H41:H44)</f>
        <v>493.5</v>
      </c>
      <c r="I46" s="18">
        <f>SUM(I41:I44)</f>
        <v>505.26508109360731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105.63080022640176</v>
      </c>
      <c r="D48" s="13">
        <f>D24+D32+D40+D46</f>
        <v>5826.9</v>
      </c>
      <c r="E48" s="12">
        <f>SUM(E20:E46)/2</f>
        <v>1</v>
      </c>
      <c r="F48" s="11">
        <f>I48/D48</f>
        <v>27.983105029530581</v>
      </c>
      <c r="G48" s="10"/>
      <c r="H48" s="9">
        <f>SUM(H20:H46)/2</f>
        <v>159258.03</v>
      </c>
      <c r="I48" s="9">
        <f>SUM(I20:I46)/2</f>
        <v>163054.75469657173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7479.5</v>
      </c>
      <c r="E50" s="12">
        <f>D50/G2</f>
        <v>0.99995989197572122</v>
      </c>
      <c r="F50" s="11">
        <f>I50/D50</f>
        <v>28.40113911357712</v>
      </c>
      <c r="G50" s="10"/>
      <c r="H50" s="9">
        <f>H48+H19</f>
        <v>207479.97999999998</v>
      </c>
      <c r="I50" s="9">
        <f>I48+I19</f>
        <v>212426.32000000007</v>
      </c>
      <c r="J50" s="106">
        <f>D50-G2</f>
        <v>-0.3000000000001819</v>
      </c>
      <c r="K50" s="8"/>
    </row>
    <row r="51" spans="1:11" ht="23.25" x14ac:dyDescent="0.35">
      <c r="A51" s="174" t="s">
        <v>643</v>
      </c>
      <c r="B51" s="169"/>
      <c r="C51" s="170"/>
      <c r="G51" s="7"/>
      <c r="H51" s="6"/>
      <c r="I51" s="6">
        <f>+I50/D50</f>
        <v>28.40113911357712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>
    <tabColor rgb="FF92D050"/>
  </sheetPr>
  <dimension ref="A1:K56"/>
  <sheetViews>
    <sheetView topLeftCell="A35" workbookViewId="0">
      <selection activeCell="D26" sqref="D2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641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641</v>
      </c>
      <c r="D2" s="96" t="s">
        <v>3</v>
      </c>
      <c r="E2" s="95" t="s">
        <v>112</v>
      </c>
      <c r="F2" s="94" t="s">
        <v>5</v>
      </c>
      <c r="G2" s="93">
        <f>186.5+4034.4</f>
        <v>4220.8999999999996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76</v>
      </c>
      <c r="F3" s="88" t="s">
        <v>8</v>
      </c>
      <c r="G3" s="87">
        <v>25.28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55.538157894736834</v>
      </c>
      <c r="F4" s="81" t="s">
        <v>12</v>
      </c>
      <c r="G4" s="80">
        <f>G2*G3</f>
        <v>106704.352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-8.7553140907809635E-2</v>
      </c>
      <c r="F6" s="69" t="s">
        <v>16</v>
      </c>
      <c r="G6" s="68">
        <f>(I50-I19)/(D50-(SUM(D42:D44)+D19))</f>
        <v>32.062605769230771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27.515094464967586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 t="e">
        <f t="shared" si="1"/>
        <v>#DIV/0!</v>
      </c>
      <c r="F11" s="28">
        <f t="shared" si="2"/>
        <v>28.602647605875394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 t="e">
        <f t="shared" si="1"/>
        <v>#DIV/0!</v>
      </c>
      <c r="F12" s="28">
        <f t="shared" si="2"/>
        <v>26.210030695878213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 t="e">
        <f t="shared" si="1"/>
        <v>#DIV/0!</v>
      </c>
      <c r="F13" s="28">
        <f t="shared" si="2"/>
        <v>28.602647605875394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 t="e">
        <f t="shared" si="1"/>
        <v>#DIV/0!</v>
      </c>
      <c r="F14" s="28">
        <f t="shared" si="2"/>
        <v>31.974062342689603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24.3</v>
      </c>
      <c r="D15" s="30"/>
      <c r="E15" s="29" t="e">
        <f t="shared" si="1"/>
        <v>#DIV/0!</v>
      </c>
      <c r="F15" s="28">
        <f t="shared" si="2"/>
        <v>26.427541324059774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 t="e">
        <f t="shared" si="1"/>
        <v>#DIV/0!</v>
      </c>
      <c r="F16" s="28">
        <f t="shared" si="2"/>
        <v>36.106764278139281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48.9</v>
      </c>
      <c r="D17" s="30"/>
      <c r="E17" s="29" t="e">
        <f t="shared" si="1"/>
        <v>#DIV/0!</v>
      </c>
      <c r="F17" s="28">
        <f t="shared" si="2"/>
        <v>53.181348590391892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 t="e">
        <f t="shared" si="1"/>
        <v>#DIV/0!</v>
      </c>
      <c r="F18" s="28">
        <f t="shared" si="2"/>
        <v>46.547274430854252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63.6</v>
      </c>
      <c r="D21" s="30">
        <f>55.6+4.6</f>
        <v>60.2</v>
      </c>
      <c r="E21" s="29">
        <f>D21/$D$48</f>
        <v>1.4263374875610102E-2</v>
      </c>
      <c r="F21" s="28">
        <f>C21-(C21*$E$6)</f>
        <v>69.168379761736688</v>
      </c>
      <c r="G21" s="27" t="str">
        <f>IF(C21&gt;=F21,"-","+")</f>
        <v>+</v>
      </c>
      <c r="H21" s="26">
        <f>C21*D21</f>
        <v>3828.7200000000003</v>
      </c>
      <c r="I21" s="26">
        <f>F21*D21</f>
        <v>4163.936461656549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42.7</v>
      </c>
      <c r="D22" s="30">
        <v>106.6</v>
      </c>
      <c r="E22" s="29">
        <f>D22/$D$48</f>
        <v>2.5257072454153436E-2</v>
      </c>
      <c r="F22" s="28">
        <f>C22-(C22*$E$6)</f>
        <v>46.438519116763473</v>
      </c>
      <c r="G22" s="27" t="str">
        <f>IF(C22&gt;=F22,"-","+")</f>
        <v>+</v>
      </c>
      <c r="H22" s="26">
        <f>C22*D22</f>
        <v>4551.82</v>
      </c>
      <c r="I22" s="26">
        <f>F22*D22</f>
        <v>4950.3461378469856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f>78+10</f>
        <v>88</v>
      </c>
      <c r="E23" s="29">
        <f>D23/$D$48</f>
        <v>2.0850116097237359E-2</v>
      </c>
      <c r="F23" s="28">
        <f>C23-(C23*$E$6)</f>
        <v>42.305817181313792</v>
      </c>
      <c r="G23" s="27" t="str">
        <f>IF(C23&gt;=F23,"-","+")</f>
        <v>+</v>
      </c>
      <c r="H23" s="26">
        <f>C23*D23</f>
        <v>3423.2</v>
      </c>
      <c r="I23" s="26">
        <f>F23*D23</f>
        <v>3722.9119119556135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46.325510204081638</v>
      </c>
      <c r="D24" s="22">
        <f>SUM(D21:D23)</f>
        <v>254.8</v>
      </c>
      <c r="E24" s="21">
        <f>D24/$D$48</f>
        <v>6.0370563427000895E-2</v>
      </c>
      <c r="F24" s="20">
        <f>I24/D24</f>
        <v>50.381454126605753</v>
      </c>
      <c r="G24" s="19">
        <f>F24/C24-1</f>
        <v>8.755314090780919E-2</v>
      </c>
      <c r="H24" s="18">
        <f>SUM(H21:H23)</f>
        <v>11803.740000000002</v>
      </c>
      <c r="I24" s="18">
        <f>SUM(I21:I23)</f>
        <v>12837.194511459147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f>652.8+75.1+87.2</f>
        <v>815.1</v>
      </c>
      <c r="E26" s="29">
        <f t="shared" ref="E26:E32" si="7">D26/$D$48</f>
        <v>0.19312420035066102</v>
      </c>
      <c r="F26" s="28">
        <f t="shared" ref="F26:F31" si="8">C26-(C26*$E$6)</f>
        <v>36.868051476774745</v>
      </c>
      <c r="G26" s="27" t="str">
        <f t="shared" ref="G26:G31" si="9">IF(C26&gt;=F26,"-","+")</f>
        <v>+</v>
      </c>
      <c r="H26" s="26">
        <f t="shared" ref="H26:H31" si="10">C26*D26</f>
        <v>27631.89</v>
      </c>
      <c r="I26" s="26">
        <f t="shared" ref="I26:I31" si="11">F26*D26</f>
        <v>30051.148758719097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604</v>
      </c>
      <c r="E27" s="29">
        <f t="shared" si="7"/>
        <v>0.14310761503103822</v>
      </c>
      <c r="F27" s="28">
        <f t="shared" si="8"/>
        <v>32.84410485541585</v>
      </c>
      <c r="G27" s="27" t="str">
        <f t="shared" si="9"/>
        <v>+</v>
      </c>
      <c r="H27" s="26">
        <f t="shared" si="10"/>
        <v>18240.8</v>
      </c>
      <c r="I27" s="26">
        <f t="shared" si="11"/>
        <v>19837.839332671174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293</v>
      </c>
      <c r="E28" s="29">
        <f t="shared" si="7"/>
        <v>6.9421409278301663E-2</v>
      </c>
      <c r="F28" s="28">
        <f t="shared" si="8"/>
        <v>32.84410485541585</v>
      </c>
      <c r="G28" s="27" t="str">
        <f t="shared" si="9"/>
        <v>+</v>
      </c>
      <c r="H28" s="26">
        <f t="shared" si="10"/>
        <v>8848.6</v>
      </c>
      <c r="I28" s="26">
        <f t="shared" si="11"/>
        <v>9623.3227226368435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255</v>
      </c>
      <c r="E29" s="29">
        <f t="shared" si="7"/>
        <v>6.0417950054494615E-2</v>
      </c>
      <c r="F29" s="28">
        <f t="shared" si="8"/>
        <v>31.756551714508042</v>
      </c>
      <c r="G29" s="27" t="str">
        <f t="shared" si="9"/>
        <v>+</v>
      </c>
      <c r="H29" s="26">
        <f t="shared" si="10"/>
        <v>7446</v>
      </c>
      <c r="I29" s="26">
        <f t="shared" si="11"/>
        <v>8097.9206871995511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f>243.8+58</f>
        <v>301.8</v>
      </c>
      <c r="E30" s="29">
        <f t="shared" si="7"/>
        <v>7.150642088802539E-2</v>
      </c>
      <c r="F30" s="28">
        <f t="shared" si="8"/>
        <v>31.756551714508042</v>
      </c>
      <c r="G30" s="27" t="str">
        <f t="shared" si="9"/>
        <v>+</v>
      </c>
      <c r="H30" s="26">
        <f t="shared" si="10"/>
        <v>8812.56</v>
      </c>
      <c r="I30" s="26">
        <f t="shared" si="11"/>
        <v>9584.1273074385281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f>70.4+8</f>
        <v>78.400000000000006</v>
      </c>
      <c r="E31" s="29">
        <f t="shared" si="7"/>
        <v>1.8575557977538737E-2</v>
      </c>
      <c r="F31" s="28">
        <f t="shared" si="8"/>
        <v>32.300328284961942</v>
      </c>
      <c r="G31" s="27" t="str">
        <f t="shared" si="9"/>
        <v>+</v>
      </c>
      <c r="H31" s="26">
        <f t="shared" si="10"/>
        <v>2328.48</v>
      </c>
      <c r="I31" s="26">
        <f t="shared" si="11"/>
        <v>2532.3457375410167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31.230916372001872</v>
      </c>
      <c r="D32" s="22">
        <f>SUM(D26:D31)</f>
        <v>2347.3000000000002</v>
      </c>
      <c r="E32" s="21">
        <f t="shared" si="7"/>
        <v>0.55615315358005968</v>
      </c>
      <c r="F32" s="20">
        <f>I32/D32</f>
        <v>33.965281193799775</v>
      </c>
      <c r="G32" s="19">
        <f>F32/C32-1</f>
        <v>8.7553140907809857E-2</v>
      </c>
      <c r="H32" s="18">
        <f>SUM(H26:H31)</f>
        <v>73308.33</v>
      </c>
      <c r="I32" s="18">
        <f>SUM(I26:I31)</f>
        <v>79726.704546206223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330+313.1+18.4</f>
        <v>661.5</v>
      </c>
      <c r="E34" s="29">
        <f t="shared" ref="E34:E40" si="13">D34/$D$48</f>
        <v>0.1567312704354831</v>
      </c>
      <c r="F34" s="28">
        <f t="shared" ref="F34:F39" si="14">C34-(C34*$E$6)</f>
        <v>19.467201222249791</v>
      </c>
      <c r="G34" s="27" t="str">
        <f t="shared" ref="G34:G39" si="15">IF(C34&gt;=F34,"-","+")</f>
        <v>+</v>
      </c>
      <c r="H34" s="26">
        <f t="shared" ref="H34:H39" si="16">C34*D34</f>
        <v>11840.849999999999</v>
      </c>
      <c r="I34" s="26">
        <f t="shared" ref="I34:I39" si="17">F34*D34</f>
        <v>12877.553608518238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58.7</v>
      </c>
      <c r="E35" s="29">
        <f t="shared" si="13"/>
        <v>1.3907975169407193E-2</v>
      </c>
      <c r="F35" s="28">
        <f t="shared" si="14"/>
        <v>14.899478030436992</v>
      </c>
      <c r="G35" s="27" t="str">
        <f t="shared" si="15"/>
        <v>+</v>
      </c>
      <c r="H35" s="26">
        <f t="shared" si="16"/>
        <v>804.18999999999994</v>
      </c>
      <c r="I35" s="26">
        <f t="shared" si="17"/>
        <v>874.59936038665148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11.963084549985906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31.756551714508042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31.756551714508042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32.84410485541585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17.55767842266037</v>
      </c>
      <c r="D40" s="22">
        <f>SUM(D34:D39)</f>
        <v>720.2</v>
      </c>
      <c r="E40" s="113">
        <f t="shared" si="13"/>
        <v>0.1706392456048903</v>
      </c>
      <c r="F40" s="20">
        <f>I40/D40</f>
        <v>19.094908315613562</v>
      </c>
      <c r="G40" s="19">
        <f>F40/C40-1</f>
        <v>8.7553140907809635E-2</v>
      </c>
      <c r="H40" s="18">
        <f>SUM(H34:H39)</f>
        <v>12645.039999999999</v>
      </c>
      <c r="I40" s="18">
        <f>SUM(I34:I39)</f>
        <v>13752.152968904889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465+402.9</f>
        <v>867.9</v>
      </c>
      <c r="E42" s="107">
        <f>D42/$D$48</f>
        <v>0.20563427000900344</v>
      </c>
      <c r="F42" s="28">
        <f>C42-(C42*$E$6)</f>
        <v>0.43502125636312389</v>
      </c>
      <c r="G42" s="27" t="str">
        <f>IF(C42&gt;=F42,"-","+")</f>
        <v>+</v>
      </c>
      <c r="H42" s="26">
        <f>C42*D42</f>
        <v>347.16</v>
      </c>
      <c r="I42" s="26">
        <f>F42*D42</f>
        <v>377.55494839755522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24.7</v>
      </c>
      <c r="E43" s="107">
        <f>D43/$D$48</f>
        <v>5.8522484954745763E-3</v>
      </c>
      <c r="F43" s="28">
        <f>C43-(C43*$E$6)</f>
        <v>0.43502125636312389</v>
      </c>
      <c r="G43" s="27" t="str">
        <f>IF(C43&gt;=F43,"-","+")</f>
        <v>+</v>
      </c>
      <c r="H43" s="26">
        <f>C43*D43</f>
        <v>9.8800000000000008</v>
      </c>
      <c r="I43" s="26">
        <f>F43*D43</f>
        <v>10.74502503216916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1.3505188835710562E-3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0.39746187242569297</v>
      </c>
      <c r="D46" s="22">
        <f>SUM(D41:D45)</f>
        <v>898.30000000000007</v>
      </c>
      <c r="E46" s="113">
        <f>D46/$D$48</f>
        <v>0.2128370373880491</v>
      </c>
      <c r="F46" s="20">
        <f>I46/D46</f>
        <v>0.43226090774766152</v>
      </c>
      <c r="G46" s="19">
        <f>F46/C46-1</f>
        <v>8.7553140907809635E-2</v>
      </c>
      <c r="H46" s="18">
        <f>SUM(H41:H44)</f>
        <v>357.04</v>
      </c>
      <c r="I46" s="18">
        <f>SUM(I41:I44)</f>
        <v>388.29997342972439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95.511566871169578</v>
      </c>
      <c r="D48" s="13">
        <f>D24+D32+D40+D46</f>
        <v>4220.6000000000004</v>
      </c>
      <c r="E48" s="12">
        <f>SUM(E20:E46)/2</f>
        <v>0.99999999999999978</v>
      </c>
      <c r="F48" s="11">
        <f>I48/D48</f>
        <v>25.281796900914557</v>
      </c>
      <c r="G48" s="10"/>
      <c r="H48" s="9">
        <f>SUM(H20:H46)/2</f>
        <v>98114.150000000023</v>
      </c>
      <c r="I48" s="9">
        <f>SUM(I20:I46)/2</f>
        <v>106704.35199999998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4220.5999999999995</v>
      </c>
      <c r="E50" s="12">
        <f>D50/G2</f>
        <v>0.99992892511075837</v>
      </c>
      <c r="F50" s="11">
        <f>I50/D50</f>
        <v>25.281796900914561</v>
      </c>
      <c r="G50" s="10"/>
      <c r="H50" s="9">
        <f>H48+H19</f>
        <v>98114.150000000023</v>
      </c>
      <c r="I50" s="9">
        <f>I48+I19</f>
        <v>106704.35199999998</v>
      </c>
      <c r="J50" s="106">
        <f>D50-G2</f>
        <v>-0.3000000000001819</v>
      </c>
      <c r="K50" s="8"/>
    </row>
    <row r="51" spans="1:11" ht="23.25" x14ac:dyDescent="0.35">
      <c r="A51" s="174" t="s">
        <v>644</v>
      </c>
      <c r="B51" s="169"/>
      <c r="C51" s="170"/>
      <c r="G51" s="7"/>
      <c r="H51" s="6"/>
      <c r="I51" s="6">
        <f>+I50/D50</f>
        <v>25.281796900914561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645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645</v>
      </c>
      <c r="D2" s="96" t="s">
        <v>3</v>
      </c>
      <c r="E2" s="95" t="s">
        <v>71</v>
      </c>
      <c r="F2" s="94" t="s">
        <v>5</v>
      </c>
      <c r="G2" s="93">
        <v>22312.799999999999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292</v>
      </c>
      <c r="F3" s="88" t="s">
        <v>8</v>
      </c>
      <c r="G3" s="87">
        <v>28.4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76.413698630136977</v>
      </c>
      <c r="F4" s="81" t="s">
        <v>12</v>
      </c>
      <c r="G4" s="80">
        <f>G2*G3</f>
        <v>633683.5199999999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-3.5005474957124472E-2</v>
      </c>
      <c r="F6" s="69" t="s">
        <v>16</v>
      </c>
      <c r="G6" s="68">
        <f>(I50-I19)/(D50-(SUM(D42:D44)+D19))</f>
        <v>33.962619196303514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>
        <f t="shared" ref="E10:E19" si="1">D10/$D$19</f>
        <v>0</v>
      </c>
      <c r="F10" s="28">
        <f t="shared" ref="F10:F18" si="2">C10-(C10*$E$6)</f>
        <v>29.394155488782335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/>
      <c r="E11" s="29">
        <f t="shared" si="1"/>
        <v>0</v>
      </c>
      <c r="F11" s="28">
        <f t="shared" si="2"/>
        <v>30.636162058730886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/>
      <c r="E12" s="29">
        <f t="shared" si="1"/>
        <v>0</v>
      </c>
      <c r="F12" s="28">
        <f t="shared" si="2"/>
        <v>27.945147823842362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>
        <v>47.6</v>
      </c>
      <c r="E13" s="29">
        <f t="shared" si="1"/>
        <v>0.19224555735056545</v>
      </c>
      <c r="F13" s="28">
        <f t="shared" si="2"/>
        <v>30.636162058730886</v>
      </c>
      <c r="G13" s="27" t="str">
        <f t="shared" si="3"/>
        <v>+</v>
      </c>
      <c r="H13" s="34">
        <f t="shared" si="4"/>
        <v>1408.96</v>
      </c>
      <c r="I13" s="34">
        <f t="shared" si="5"/>
        <v>1458.2813139955902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>
        <v>135</v>
      </c>
      <c r="E14" s="29">
        <f t="shared" si="1"/>
        <v>0.54523424878836835</v>
      </c>
      <c r="F14" s="28">
        <f t="shared" si="2"/>
        <v>34.25868122108082</v>
      </c>
      <c r="G14" s="27" t="str">
        <f t="shared" si="3"/>
        <v>+</v>
      </c>
      <c r="H14" s="34">
        <f t="shared" si="4"/>
        <v>4468.5</v>
      </c>
      <c r="I14" s="34">
        <f t="shared" si="5"/>
        <v>4624.9219648459111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/>
      <c r="E15" s="29">
        <f t="shared" si="1"/>
        <v>0</v>
      </c>
      <c r="F15" s="28">
        <f t="shared" si="2"/>
        <v>28.255649466329498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>
        <f t="shared" si="1"/>
        <v>0</v>
      </c>
      <c r="F16" s="28">
        <f t="shared" si="2"/>
        <v>38.605704215900737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54.9</v>
      </c>
      <c r="D17" s="30">
        <v>65</v>
      </c>
      <c r="E17" s="29">
        <f t="shared" si="1"/>
        <v>0.26252019386106623</v>
      </c>
      <c r="F17" s="28">
        <f t="shared" si="2"/>
        <v>56.821800575146135</v>
      </c>
      <c r="G17" s="27" t="str">
        <f t="shared" si="3"/>
        <v>+</v>
      </c>
      <c r="H17" s="34">
        <f t="shared" si="4"/>
        <v>3568.5</v>
      </c>
      <c r="I17" s="34">
        <f t="shared" si="5"/>
        <v>3693.4170373844986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48.1</v>
      </c>
      <c r="D18" s="30"/>
      <c r="E18" s="29">
        <f t="shared" si="1"/>
        <v>0</v>
      </c>
      <c r="F18" s="28">
        <f t="shared" si="2"/>
        <v>49.783763345437691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38.150080775444259</v>
      </c>
      <c r="D19" s="49">
        <f>SUM(D10:D18)</f>
        <v>247.6</v>
      </c>
      <c r="E19" s="48">
        <f t="shared" si="1"/>
        <v>1</v>
      </c>
      <c r="F19" s="47">
        <f>I19/D19</f>
        <v>39.485542472641363</v>
      </c>
      <c r="G19" s="46">
        <f>F19/C19-1</f>
        <v>3.5005474957124916E-2</v>
      </c>
      <c r="H19" s="9">
        <f>SUM(H10:H18)</f>
        <v>9445.9599999999991</v>
      </c>
      <c r="I19" s="9">
        <f>SUM(I10:I18)</f>
        <v>9776.6203162260008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71.400000000000006</v>
      </c>
      <c r="D21" s="30">
        <v>257.89999999999998</v>
      </c>
      <c r="E21" s="29">
        <f>D21/$D$48</f>
        <v>1.1688088030020121E-2</v>
      </c>
      <c r="F21" s="28">
        <f>C21-(C21*$E$6)</f>
        <v>73.899390911938696</v>
      </c>
      <c r="G21" s="27" t="str">
        <f>IF(C21&gt;=F21,"-","+")</f>
        <v>+</v>
      </c>
      <c r="H21" s="26">
        <f>C21*D21</f>
        <v>18414.060000000001</v>
      </c>
      <c r="I21" s="26">
        <f>F21*D21</f>
        <v>19058.652916188988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</v>
      </c>
      <c r="D22" s="30">
        <v>585.6</v>
      </c>
      <c r="E22" s="29">
        <f>D22/$D$48</f>
        <v>2.6539528307017383E-2</v>
      </c>
      <c r="F22" s="28">
        <f>C22-(C22*$E$6)</f>
        <v>49.680262797941978</v>
      </c>
      <c r="G22" s="27" t="str">
        <f>IF(C22&gt;=F22,"-","+")</f>
        <v>+</v>
      </c>
      <c r="H22" s="26">
        <f>C22*D22</f>
        <v>28108.800000000003</v>
      </c>
      <c r="I22" s="26">
        <f>F22*D22</f>
        <v>29092.761894474825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519.9</v>
      </c>
      <c r="E23" s="29">
        <f>D23/$D$48</f>
        <v>2.3561989014375576E-2</v>
      </c>
      <c r="F23" s="28">
        <f>C23-(C23*$E$6)</f>
        <v>45.229739255626342</v>
      </c>
      <c r="G23" s="27" t="str">
        <f>IF(C23&gt;=F23,"-","+")</f>
        <v>+</v>
      </c>
      <c r="H23" s="26">
        <f>C23*D23</f>
        <v>22719.63</v>
      </c>
      <c r="I23" s="26">
        <f>F23*D23</f>
        <v>23514.941439000133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50.786629015696057</v>
      </c>
      <c r="D24" s="22">
        <f>SUM(D21:D23)</f>
        <v>1363.4</v>
      </c>
      <c r="E24" s="21">
        <f>D24/$D$48</f>
        <v>6.1789605351413084E-2</v>
      </c>
      <c r="F24" s="20">
        <f>I24/D24</f>
        <v>52.564439085861778</v>
      </c>
      <c r="G24" s="19">
        <f>F24/C24-1</f>
        <v>3.5005474957124472E-2</v>
      </c>
      <c r="H24" s="18">
        <f>SUM(H21:H23)</f>
        <v>69242.490000000005</v>
      </c>
      <c r="I24" s="18">
        <f>SUM(I21:I23)</f>
        <v>71666.35624966395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38.1</v>
      </c>
      <c r="D26" s="30">
        <f>842.5+28.2+3157</f>
        <v>4027.7</v>
      </c>
      <c r="E26" s="29">
        <f t="shared" ref="E26:E32" si="7">D26/$D$48</f>
        <v>0.18253630150644451</v>
      </c>
      <c r="F26" s="28">
        <f t="shared" ref="F26:F31" si="8">C26-(C26*$E$6)</f>
        <v>39.433708595866442</v>
      </c>
      <c r="G26" s="27" t="str">
        <f t="shared" ref="G26:G31" si="9">IF(C26&gt;=F26,"-","+")</f>
        <v>+</v>
      </c>
      <c r="H26" s="26">
        <f t="shared" ref="H26:H31" si="10">C26*D26</f>
        <v>153455.37</v>
      </c>
      <c r="I26" s="26">
        <f t="shared" ref="I26:I31" si="11">F26*D26</f>
        <v>158827.14811157127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3355.7</v>
      </c>
      <c r="E27" s="29">
        <f t="shared" si="7"/>
        <v>0.15208110508855571</v>
      </c>
      <c r="F27" s="28">
        <f t="shared" si="8"/>
        <v>35.086685601046518</v>
      </c>
      <c r="G27" s="27" t="str">
        <f t="shared" si="9"/>
        <v>+</v>
      </c>
      <c r="H27" s="26">
        <f t="shared" si="10"/>
        <v>113758.23</v>
      </c>
      <c r="I27" s="26">
        <f t="shared" si="11"/>
        <v>117740.39087143179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1871.7</v>
      </c>
      <c r="E28" s="29">
        <f t="shared" si="7"/>
        <v>8.482587966571796E-2</v>
      </c>
      <c r="F28" s="28">
        <f t="shared" si="8"/>
        <v>35.086685601046518</v>
      </c>
      <c r="G28" s="27" t="str">
        <f t="shared" si="9"/>
        <v>+</v>
      </c>
      <c r="H28" s="26">
        <f t="shared" si="10"/>
        <v>63450.63</v>
      </c>
      <c r="I28" s="26">
        <f t="shared" si="11"/>
        <v>65671.749439478765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32.799999999999997</v>
      </c>
      <c r="D29" s="30">
        <v>1839.8</v>
      </c>
      <c r="E29" s="29">
        <f t="shared" si="7"/>
        <v>8.3380164240523538E-2</v>
      </c>
      <c r="F29" s="28">
        <f t="shared" si="8"/>
        <v>33.948179578593681</v>
      </c>
      <c r="G29" s="27" t="str">
        <f t="shared" si="9"/>
        <v>+</v>
      </c>
      <c r="H29" s="26">
        <f t="shared" si="10"/>
        <v>60345.439999999995</v>
      </c>
      <c r="I29" s="26">
        <f t="shared" si="11"/>
        <v>62457.860788696657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32.799999999999997</v>
      </c>
      <c r="D30" s="30">
        <v>1506</v>
      </c>
      <c r="E30" s="29">
        <f t="shared" si="7"/>
        <v>6.8252270543661508E-2</v>
      </c>
      <c r="F30" s="28">
        <f t="shared" si="8"/>
        <v>33.948179578593681</v>
      </c>
      <c r="G30" s="27" t="str">
        <f t="shared" si="9"/>
        <v>+</v>
      </c>
      <c r="H30" s="26">
        <f t="shared" si="10"/>
        <v>49396.799999999996</v>
      </c>
      <c r="I30" s="26">
        <f t="shared" si="11"/>
        <v>51125.958445362085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294.60000000000002</v>
      </c>
      <c r="E31" s="29">
        <f t="shared" si="7"/>
        <v>1.3351340572485181E-2</v>
      </c>
      <c r="F31" s="28">
        <f t="shared" si="8"/>
        <v>34.569182863567953</v>
      </c>
      <c r="G31" s="27" t="str">
        <f t="shared" si="9"/>
        <v>+</v>
      </c>
      <c r="H31" s="26">
        <f t="shared" si="10"/>
        <v>9839.6400000000012</v>
      </c>
      <c r="I31" s="26">
        <f t="shared" si="11"/>
        <v>10184.08127160712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34.914978868597572</v>
      </c>
      <c r="D32" s="22">
        <f>SUM(D26:D31)</f>
        <v>12895.5</v>
      </c>
      <c r="E32" s="21">
        <f t="shared" si="7"/>
        <v>0.58442706161738844</v>
      </c>
      <c r="F32" s="20">
        <f>I32/D32</f>
        <v>36.1371942870108</v>
      </c>
      <c r="G32" s="19">
        <f>F32/C32-1</f>
        <v>3.5005474957124694E-2</v>
      </c>
      <c r="H32" s="18">
        <f>SUM(H26:H31)</f>
        <v>450246.11</v>
      </c>
      <c r="I32" s="18">
        <f>SUM(I26:I31)</f>
        <v>466007.18892814778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f>1296.2+2579.1</f>
        <v>3875.3</v>
      </c>
      <c r="E34" s="29">
        <f t="shared" ref="E34:E40" si="13">D34/$D$48</f>
        <v>0.17562949803310191</v>
      </c>
      <c r="F34" s="28">
        <f t="shared" ref="F34:F39" si="14">C34-(C34*$E$6)</f>
        <v>20.803610046638202</v>
      </c>
      <c r="G34" s="27" t="str">
        <f t="shared" ref="G34:G39" si="15">IF(C34&gt;=F34,"-","+")</f>
        <v>+</v>
      </c>
      <c r="H34" s="26">
        <f t="shared" ref="H34:H39" si="16">C34*D34</f>
        <v>77893.530000000013</v>
      </c>
      <c r="I34" s="26">
        <f t="shared" ref="I34:I39" si="17">F34*D34</f>
        <v>80620.230013737033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>
        <v>232.2</v>
      </c>
      <c r="E35" s="29">
        <f t="shared" si="13"/>
        <v>1.0523358047966934E-2</v>
      </c>
      <c r="F35" s="28">
        <f t="shared" si="14"/>
        <v>15.939084314339718</v>
      </c>
      <c r="G35" s="27" t="str">
        <f t="shared" si="15"/>
        <v>+</v>
      </c>
      <c r="H35" s="26">
        <f t="shared" si="16"/>
        <v>3575.88</v>
      </c>
      <c r="I35" s="26">
        <f t="shared" si="17"/>
        <v>3701.0553777896826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12.834067889468344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32.799999999999997</v>
      </c>
      <c r="D37" s="30"/>
      <c r="E37" s="29">
        <f t="shared" si="13"/>
        <v>0</v>
      </c>
      <c r="F37" s="28">
        <f t="shared" si="14"/>
        <v>33.948179578593681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32.799999999999997</v>
      </c>
      <c r="D38" s="30"/>
      <c r="E38" s="29">
        <f t="shared" si="13"/>
        <v>0</v>
      </c>
      <c r="F38" s="28">
        <f t="shared" si="14"/>
        <v>33.948179578593681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35.086685601046518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19.834305538648817</v>
      </c>
      <c r="D40" s="22">
        <f>SUM(D34:D39)</f>
        <v>4107.5</v>
      </c>
      <c r="E40" s="113">
        <f t="shared" si="13"/>
        <v>0.18615285608106882</v>
      </c>
      <c r="F40" s="20">
        <f>I40/D40</f>
        <v>20.528614824473941</v>
      </c>
      <c r="G40" s="19">
        <f>F40/C40-1</f>
        <v>3.500547495712425E-2</v>
      </c>
      <c r="H40" s="18">
        <f>SUM(H34:H39)</f>
        <v>81469.410000000018</v>
      </c>
      <c r="I40" s="18">
        <f>SUM(I34:I39)</f>
        <v>84321.285391526719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199.2+1615.1+1750</f>
        <v>3564.3</v>
      </c>
      <c r="E42" s="107">
        <f>D42/$D$48</f>
        <v>0.16153490564327538</v>
      </c>
      <c r="F42" s="28">
        <f>C42-(C42*$E$6)</f>
        <v>0.51750273747856224</v>
      </c>
      <c r="G42" s="27" t="str">
        <f>IF(C42&gt;=F42,"-","+")</f>
        <v>+</v>
      </c>
      <c r="H42" s="26">
        <f>C42*D42</f>
        <v>1782.15</v>
      </c>
      <c r="I42" s="26">
        <f>F42*D42</f>
        <v>1844.5350071948394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130.5</v>
      </c>
      <c r="E43" s="107">
        <f>D43/$D$48</f>
        <v>5.9142903757953696E-3</v>
      </c>
      <c r="F43" s="28">
        <f>C43-(C43*$E$6)</f>
        <v>0.51750273747856224</v>
      </c>
      <c r="G43" s="27" t="str">
        <f>IF(C43&gt;=F43,"-","+")</f>
        <v>+</v>
      </c>
      <c r="H43" s="26">
        <f>C43*D43</f>
        <v>65.25</v>
      </c>
      <c r="I43" s="26">
        <f>F43*D43</f>
        <v>67.534107240952366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1.8128093105886192E-4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0.49945928409213797</v>
      </c>
      <c r="D46" s="22">
        <f>SUM(D41:D45)</f>
        <v>3698.8</v>
      </c>
      <c r="E46" s="113">
        <f>D46/$D$48</f>
        <v>0.16763047695012961</v>
      </c>
      <c r="F46" s="20">
        <f>I46/D46</f>
        <v>0.51694309355352863</v>
      </c>
      <c r="G46" s="19">
        <f>F46/C46-1</f>
        <v>3.5005474957124472E-2</v>
      </c>
      <c r="H46" s="18">
        <f>SUM(H41:H44)</f>
        <v>1847.4</v>
      </c>
      <c r="I46" s="18">
        <f>SUM(I41:I44)</f>
        <v>1912.0691144357918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106.03537270703458</v>
      </c>
      <c r="D48" s="13">
        <f>D24+D32+D40+D46</f>
        <v>22065.200000000001</v>
      </c>
      <c r="E48" s="12">
        <f>SUM(E20:E46)/2</f>
        <v>0.99999999999999978</v>
      </c>
      <c r="F48" s="11">
        <f>I48/D48</f>
        <v>28.275605917180631</v>
      </c>
      <c r="G48" s="10"/>
      <c r="H48" s="9">
        <f>SUM(H20:H46)/2</f>
        <v>602805.4099999998</v>
      </c>
      <c r="I48" s="9">
        <f>SUM(I20:I46)/2</f>
        <v>623906.8996837741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22312.800000000003</v>
      </c>
      <c r="E50" s="12">
        <f>D50/G2</f>
        <v>1.0000000000000002</v>
      </c>
      <c r="F50" s="11">
        <f>I50/D50</f>
        <v>28.400000000000002</v>
      </c>
      <c r="G50" s="10"/>
      <c r="H50" s="9">
        <f>H48+H19</f>
        <v>612251.36999999976</v>
      </c>
      <c r="I50" s="9">
        <f>I48+I19</f>
        <v>633683.52000000014</v>
      </c>
      <c r="J50" s="106">
        <f>D50-G2</f>
        <v>0</v>
      </c>
      <c r="K50" s="8"/>
    </row>
    <row r="51" spans="1:11" ht="23.25" x14ac:dyDescent="0.35">
      <c r="A51" s="174" t="s">
        <v>646</v>
      </c>
      <c r="B51" s="169"/>
      <c r="C51" s="170"/>
      <c r="G51" s="7"/>
      <c r="H51" s="6"/>
      <c r="I51" s="6">
        <f>+I50/D50</f>
        <v>28.400000000000002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647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647</v>
      </c>
      <c r="D2" s="96" t="s">
        <v>3</v>
      </c>
      <c r="E2" s="95" t="s">
        <v>71</v>
      </c>
      <c r="F2" s="94" t="s">
        <v>5</v>
      </c>
      <c r="G2" s="93">
        <v>18307.900000000001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248</v>
      </c>
      <c r="F3" s="88" t="s">
        <v>8</v>
      </c>
      <c r="G3" s="87">
        <v>28.5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73.822177419354844</v>
      </c>
      <c r="F4" s="81" t="s">
        <v>12</v>
      </c>
      <c r="G4" s="80">
        <f>G2*G3</f>
        <v>521775.15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-2.8472948286496935E-2</v>
      </c>
      <c r="F6" s="69" t="s">
        <v>16</v>
      </c>
      <c r="G6" s="68">
        <f>(I50-I19)/(D50-(SUM(D42:D44)+D19))</f>
        <v>34.378517602172195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29.311479026165163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29.7</v>
      </c>
      <c r="D11" s="30">
        <v>664.9</v>
      </c>
      <c r="E11" s="29">
        <f t="shared" si="1"/>
        <v>0.35967759385480907</v>
      </c>
      <c r="F11" s="28">
        <f t="shared" si="2"/>
        <v>30.545646564108957</v>
      </c>
      <c r="G11" s="27" t="str">
        <f t="shared" si="3"/>
        <v>+</v>
      </c>
      <c r="H11" s="34">
        <f t="shared" si="4"/>
        <v>19747.53</v>
      </c>
      <c r="I11" s="34">
        <f t="shared" si="5"/>
        <v>20309.800400476044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>
        <v>779.8</v>
      </c>
      <c r="E12" s="29">
        <f t="shared" si="1"/>
        <v>0.42183273828843448</v>
      </c>
      <c r="F12" s="28">
        <f t="shared" si="2"/>
        <v>27.871616898564067</v>
      </c>
      <c r="G12" s="27" t="str">
        <f t="shared" si="3"/>
        <v>+</v>
      </c>
      <c r="H12" s="34">
        <f t="shared" si="4"/>
        <v>21132.579999999998</v>
      </c>
      <c r="I12" s="34">
        <f t="shared" si="5"/>
        <v>21734.286857500258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29.7</v>
      </c>
      <c r="D13" s="30">
        <v>47.4</v>
      </c>
      <c r="E13" s="29">
        <f t="shared" si="1"/>
        <v>2.564102564102564E-2</v>
      </c>
      <c r="F13" s="28">
        <f t="shared" si="2"/>
        <v>30.545646564108957</v>
      </c>
      <c r="G13" s="27" t="str">
        <f t="shared" si="3"/>
        <v>+</v>
      </c>
      <c r="H13" s="34">
        <f t="shared" si="4"/>
        <v>1407.78</v>
      </c>
      <c r="I13" s="34">
        <f t="shared" si="5"/>
        <v>1447.8636471387645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33.200000000000003</v>
      </c>
      <c r="D14" s="30">
        <v>151.5</v>
      </c>
      <c r="E14" s="29">
        <f t="shared" si="1"/>
        <v>8.1953911067835117E-2</v>
      </c>
      <c r="F14" s="28">
        <f t="shared" si="2"/>
        <v>34.145301883111699</v>
      </c>
      <c r="G14" s="27" t="str">
        <f t="shared" si="3"/>
        <v>+</v>
      </c>
      <c r="H14" s="34">
        <f t="shared" si="4"/>
        <v>5029.8</v>
      </c>
      <c r="I14" s="34">
        <f t="shared" si="5"/>
        <v>5173.0132352914225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27.4</v>
      </c>
      <c r="D15" s="30">
        <v>178</v>
      </c>
      <c r="E15" s="29">
        <f t="shared" si="1"/>
        <v>9.6289083630855782E-2</v>
      </c>
      <c r="F15" s="28">
        <f t="shared" si="2"/>
        <v>28.180158783050015</v>
      </c>
      <c r="G15" s="27" t="str">
        <f t="shared" si="3"/>
        <v>+</v>
      </c>
      <c r="H15" s="34">
        <f t="shared" si="4"/>
        <v>4877.2</v>
      </c>
      <c r="I15" s="34">
        <f t="shared" si="5"/>
        <v>5016.0682633829028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37.5</v>
      </c>
      <c r="D16" s="30">
        <v>27</v>
      </c>
      <c r="E16" s="29">
        <f t="shared" si="1"/>
        <v>1.4605647517039922E-2</v>
      </c>
      <c r="F16" s="28">
        <f t="shared" si="2"/>
        <v>38.567735560743635</v>
      </c>
      <c r="G16" s="27" t="str">
        <f t="shared" si="3"/>
        <v>+</v>
      </c>
      <c r="H16" s="34">
        <f t="shared" si="4"/>
        <v>1012.5</v>
      </c>
      <c r="I16" s="34">
        <f t="shared" si="5"/>
        <v>1041.3288601400782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>
        <f t="shared" si="1"/>
        <v>0</v>
      </c>
      <c r="F17" s="28">
        <f t="shared" si="2"/>
        <v>56.668859450585984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48.3</v>
      </c>
      <c r="D18" s="30"/>
      <c r="E18" s="29">
        <f t="shared" si="1"/>
        <v>0</v>
      </c>
      <c r="F18" s="28">
        <f t="shared" si="2"/>
        <v>49.675243402237797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28.782532727469437</v>
      </c>
      <c r="D19" s="49">
        <f>SUM(D10:D18)</f>
        <v>1848.6</v>
      </c>
      <c r="E19" s="48">
        <f t="shared" si="1"/>
        <v>1</v>
      </c>
      <c r="F19" s="47">
        <f>I19/D19</f>
        <v>29.602056293373082</v>
      </c>
      <c r="G19" s="46">
        <f>F19/C19-1</f>
        <v>2.8472948286496935E-2</v>
      </c>
      <c r="H19" s="9">
        <f>SUM(H10:H18)</f>
        <v>53207.39</v>
      </c>
      <c r="I19" s="9">
        <f>SUM(I10:I18)</f>
        <v>54722.361263929473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71.7</v>
      </c>
      <c r="D21" s="30">
        <v>194.9</v>
      </c>
      <c r="E21" s="29">
        <f>D21/$D$48</f>
        <v>1.1841473713629541E-2</v>
      </c>
      <c r="F21" s="28">
        <f>C21-(C21*$E$6)</f>
        <v>73.741510392141834</v>
      </c>
      <c r="G21" s="27" t="str">
        <f>IF(C21&gt;=F21,"-","+")</f>
        <v>+</v>
      </c>
      <c r="H21" s="26">
        <f>C21*D21</f>
        <v>13974.330000000002</v>
      </c>
      <c r="I21" s="26">
        <f>F21*D21</f>
        <v>14372.220375428444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484</v>
      </c>
      <c r="E22" s="29">
        <f>D22/$D$48</f>
        <v>2.9406225127740881E-2</v>
      </c>
      <c r="F22" s="28">
        <f>C22-(C22*$E$6)</f>
        <v>49.469548812580506</v>
      </c>
      <c r="G22" s="27" t="str">
        <f>IF(C22&gt;=F22,"-","+")</f>
        <v>+</v>
      </c>
      <c r="H22" s="26">
        <f>C22*D22</f>
        <v>23280.400000000001</v>
      </c>
      <c r="I22" s="26">
        <f>F22*D22</f>
        <v>23943.261625288964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43.9</v>
      </c>
      <c r="D23" s="30">
        <v>431.5</v>
      </c>
      <c r="E23" s="29">
        <f>D23/$D$48</f>
        <v>2.6216500294669813E-2</v>
      </c>
      <c r="F23" s="28">
        <f>C23-(C23*$E$6)</f>
        <v>45.149962429777212</v>
      </c>
      <c r="G23" s="27" t="str">
        <f>IF(C23&gt;=F23,"-","+")</f>
        <v>+</v>
      </c>
      <c r="H23" s="26">
        <f>C23*D23</f>
        <v>18942.849999999999</v>
      </c>
      <c r="I23" s="26">
        <f>F23*D23</f>
        <v>19482.208788448868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50.610212536023049</v>
      </c>
      <c r="D24" s="22">
        <f>SUM(D21:D23)</f>
        <v>1110.4000000000001</v>
      </c>
      <c r="E24" s="21">
        <f>D24/$D$48</f>
        <v>6.7464199136040237E-2</v>
      </c>
      <c r="F24" s="20">
        <f>I24/D24</f>
        <v>52.051234500329848</v>
      </c>
      <c r="G24" s="19">
        <f>F24/C24-1</f>
        <v>2.8472948286496935E-2</v>
      </c>
      <c r="H24" s="18">
        <f>SUM(H21:H23)</f>
        <v>56197.58</v>
      </c>
      <c r="I24" s="18">
        <f>SUM(I21:I23)</f>
        <v>57797.69078916627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f>206.1+830.6+2089</f>
        <v>3125.7</v>
      </c>
      <c r="E26" s="29">
        <f t="shared" ref="E26:E32" si="7">D26/$D$48</f>
        <v>0.18990710306152825</v>
      </c>
      <c r="F26" s="28">
        <f t="shared" ref="F26:F31" si="8">C26-(C26*$E$6)</f>
        <v>39.287666624544187</v>
      </c>
      <c r="G26" s="27" t="str">
        <f t="shared" ref="G26:G31" si="9">IF(C26&gt;=F26,"-","+")</f>
        <v>+</v>
      </c>
      <c r="H26" s="26">
        <f t="shared" ref="H26:H31" si="10">C26*D26</f>
        <v>119401.74</v>
      </c>
      <c r="I26" s="26">
        <f t="shared" ref="I26:I31" si="11">F26*D26</f>
        <v>122801.45956833776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34.1</v>
      </c>
      <c r="D27" s="30">
        <v>2549</v>
      </c>
      <c r="E27" s="29">
        <f t="shared" si="7"/>
        <v>0.15486873522853617</v>
      </c>
      <c r="F27" s="28">
        <f t="shared" si="8"/>
        <v>35.070927536569549</v>
      </c>
      <c r="G27" s="27" t="str">
        <f t="shared" si="9"/>
        <v>+</v>
      </c>
      <c r="H27" s="26">
        <f t="shared" si="10"/>
        <v>86920.900000000009</v>
      </c>
      <c r="I27" s="26">
        <f t="shared" si="11"/>
        <v>89395.794290715785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34.1</v>
      </c>
      <c r="D28" s="30">
        <v>1377</v>
      </c>
      <c r="E28" s="29">
        <f t="shared" si="7"/>
        <v>8.3661925621692543E-2</v>
      </c>
      <c r="F28" s="28">
        <f t="shared" si="8"/>
        <v>35.070927536569549</v>
      </c>
      <c r="G28" s="27" t="str">
        <f t="shared" si="9"/>
        <v>+</v>
      </c>
      <c r="H28" s="26">
        <f t="shared" si="10"/>
        <v>46955.700000000004</v>
      </c>
      <c r="I28" s="26">
        <f t="shared" si="11"/>
        <v>48292.667217856266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1280.3</v>
      </c>
      <c r="E29" s="29">
        <f t="shared" si="7"/>
        <v>7.7786756262493081E-2</v>
      </c>
      <c r="F29" s="28">
        <f t="shared" si="8"/>
        <v>33.836759998625745</v>
      </c>
      <c r="G29" s="27" t="str">
        <f t="shared" si="9"/>
        <v>+</v>
      </c>
      <c r="H29" s="26">
        <f t="shared" si="10"/>
        <v>42121.869999999995</v>
      </c>
      <c r="I29" s="26">
        <f t="shared" si="11"/>
        <v>43321.20382624054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1187.4000000000001</v>
      </c>
      <c r="E30" s="29">
        <f t="shared" si="7"/>
        <v>7.2142462224544471E-2</v>
      </c>
      <c r="F30" s="28">
        <f t="shared" si="8"/>
        <v>33.836759998625745</v>
      </c>
      <c r="G30" s="27" t="str">
        <f t="shared" si="9"/>
        <v>+</v>
      </c>
      <c r="H30" s="26">
        <f t="shared" si="10"/>
        <v>39065.46</v>
      </c>
      <c r="I30" s="26">
        <f t="shared" si="11"/>
        <v>40177.768822368213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265.60000000000002</v>
      </c>
      <c r="E31" s="29">
        <f t="shared" si="7"/>
        <v>1.6136969822165247E-2</v>
      </c>
      <c r="F31" s="28">
        <f t="shared" si="8"/>
        <v>34.453843767597647</v>
      </c>
      <c r="G31" s="27" t="str">
        <f t="shared" si="9"/>
        <v>+</v>
      </c>
      <c r="H31" s="26">
        <f t="shared" si="10"/>
        <v>8897.6</v>
      </c>
      <c r="I31" s="26">
        <f t="shared" si="11"/>
        <v>9150.9409046739365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35.090778742973939</v>
      </c>
      <c r="D32" s="22">
        <f>SUM(D26:D31)</f>
        <v>9785</v>
      </c>
      <c r="E32" s="21">
        <f t="shared" si="7"/>
        <v>0.59450395222095975</v>
      </c>
      <c r="F32" s="20">
        <f>I32/D32</f>
        <v>36.089916671455548</v>
      </c>
      <c r="G32" s="19">
        <f>F32/C32-1</f>
        <v>2.8472948286497157E-2</v>
      </c>
      <c r="H32" s="18">
        <f>SUM(H26:H31)</f>
        <v>343363.27</v>
      </c>
      <c r="I32" s="18">
        <f>SUM(I26:I31)</f>
        <v>353139.83463019255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f>1549.3+953</f>
        <v>2502.3000000000002</v>
      </c>
      <c r="E34" s="29">
        <f t="shared" ref="E34:E40" si="13">D34/$D$48</f>
        <v>0.15203139904369012</v>
      </c>
      <c r="F34" s="28">
        <f t="shared" ref="F34:F39" si="14">C34-(C34*$E$6)</f>
        <v>20.672306260558589</v>
      </c>
      <c r="G34" s="27" t="str">
        <f t="shared" ref="G34:G39" si="15">IF(C34&gt;=F34,"-","+")</f>
        <v>+</v>
      </c>
      <c r="H34" s="26">
        <f t="shared" ref="H34:H39" si="16">C34*D34</f>
        <v>50296.23000000001</v>
      </c>
      <c r="I34" s="26">
        <f t="shared" ref="I34:I39" si="17">F34*D34</f>
        <v>51728.311955795762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>
        <v>182.5</v>
      </c>
      <c r="E35" s="29">
        <f t="shared" si="13"/>
        <v>1.1088091086389898E-2</v>
      </c>
      <c r="F35" s="28">
        <f t="shared" si="14"/>
        <v>15.941330698440703</v>
      </c>
      <c r="G35" s="27" t="str">
        <f t="shared" si="15"/>
        <v>+</v>
      </c>
      <c r="H35" s="26">
        <f t="shared" si="16"/>
        <v>2828.75</v>
      </c>
      <c r="I35" s="26">
        <f t="shared" si="17"/>
        <v>2909.2928524654285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12.753064558752563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33.836759998625745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33.836759998625745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34.1</v>
      </c>
      <c r="D39" s="30"/>
      <c r="E39" s="29">
        <f t="shared" si="13"/>
        <v>0</v>
      </c>
      <c r="F39" s="28">
        <f t="shared" si="14"/>
        <v>35.070927536569549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19.787313766388561</v>
      </c>
      <c r="D40" s="22">
        <f>SUM(D34:D39)</f>
        <v>2684.8</v>
      </c>
      <c r="E40" s="113">
        <f t="shared" si="13"/>
        <v>0.16311949013008001</v>
      </c>
      <c r="F40" s="20">
        <f>I40/D40</f>
        <v>20.35071692798763</v>
      </c>
      <c r="G40" s="19">
        <f>F40/C40-1</f>
        <v>2.8472948286496935E-2</v>
      </c>
      <c r="H40" s="18">
        <f>SUM(H34:H39)</f>
        <v>53124.98000000001</v>
      </c>
      <c r="I40" s="18">
        <f>SUM(I34:I39)</f>
        <v>54637.604808261189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189.8+1247.4+1321.4</f>
        <v>2758.6000000000004</v>
      </c>
      <c r="E42" s="107">
        <f>D42/$D$48</f>
        <v>0.16760333189542562</v>
      </c>
      <c r="F42" s="28">
        <f>C42-(C42*$E$6)</f>
        <v>0.51423647414324847</v>
      </c>
      <c r="G42" s="27" t="str">
        <f>IF(C42&gt;=F42,"-","+")</f>
        <v>+</v>
      </c>
      <c r="H42" s="26">
        <f>C42*D42</f>
        <v>1379.3000000000002</v>
      </c>
      <c r="I42" s="26">
        <f>F42*D42</f>
        <v>1418.5727375715653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114.9</v>
      </c>
      <c r="E43" s="107">
        <f>D43/$D$48</f>
        <v>6.9809406346641066E-3</v>
      </c>
      <c r="F43" s="28">
        <f>C43-(C43*$E$6)</f>
        <v>0.51423647414324847</v>
      </c>
      <c r="G43" s="27" t="str">
        <f>IF(C43&gt;=F43,"-","+")</f>
        <v>+</v>
      </c>
      <c r="H43" s="26">
        <f>C43*D43</f>
        <v>57.45</v>
      </c>
      <c r="I43" s="26">
        <f>F43*D43</f>
        <v>59.085770879059254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3.280859828301669E-4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0.49906214179026709</v>
      </c>
      <c r="D46" s="22">
        <f>SUM(D41:D45)</f>
        <v>2878.9000000000005</v>
      </c>
      <c r="E46" s="113">
        <f>D46/$D$48</f>
        <v>0.17491235851291992</v>
      </c>
      <c r="F46" s="20">
        <f>I46/D46</f>
        <v>0.51327191234520975</v>
      </c>
      <c r="G46" s="19">
        <f>F46/C46-1</f>
        <v>2.8472948286496935E-2</v>
      </c>
      <c r="H46" s="18">
        <f>SUM(H41:H44)</f>
        <v>1436.7500000000002</v>
      </c>
      <c r="I46" s="18">
        <f>SUM(I41:I44)</f>
        <v>1477.6585084506246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105.98736718717581</v>
      </c>
      <c r="D48" s="13">
        <f>D24+D32+D40+D46</f>
        <v>16459.100000000002</v>
      </c>
      <c r="E48" s="12">
        <f>SUM(E20:E46)/2</f>
        <v>0.99999999999999989</v>
      </c>
      <c r="F48" s="11">
        <f>I48/D48</f>
        <v>28.376569115934075</v>
      </c>
      <c r="G48" s="10"/>
      <c r="H48" s="9">
        <f>SUM(H20:H46)/2</f>
        <v>454122.58</v>
      </c>
      <c r="I48" s="9">
        <f>SUM(I20:I46)/2</f>
        <v>467052.78873607056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18307.7</v>
      </c>
      <c r="E50" s="12">
        <f>D50/G2</f>
        <v>0.99998907575418261</v>
      </c>
      <c r="F50" s="11">
        <f>I50/D50</f>
        <v>28.500311344406999</v>
      </c>
      <c r="G50" s="10"/>
      <c r="H50" s="9">
        <f>H48+H19</f>
        <v>507329.97000000003</v>
      </c>
      <c r="I50" s="9">
        <f>I48+I19</f>
        <v>521775.15</v>
      </c>
      <c r="J50" s="106">
        <f>D50-G2</f>
        <v>-0.2000000000007276</v>
      </c>
      <c r="K50" s="8"/>
    </row>
    <row r="51" spans="1:11" ht="23.25" x14ac:dyDescent="0.35">
      <c r="A51" s="174" t="s">
        <v>648</v>
      </c>
      <c r="B51" s="169"/>
      <c r="C51" s="170"/>
      <c r="G51" s="7"/>
      <c r="H51" s="6"/>
      <c r="I51" s="6">
        <f>+I50/D50</f>
        <v>28.500311344406999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647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647</v>
      </c>
      <c r="D2" s="96" t="s">
        <v>3</v>
      </c>
      <c r="E2" s="95" t="s">
        <v>112</v>
      </c>
      <c r="F2" s="94" t="s">
        <v>5</v>
      </c>
      <c r="G2" s="93">
        <v>8730.2999999999993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128</v>
      </c>
      <c r="F3" s="88" t="s">
        <v>8</v>
      </c>
      <c r="G3" s="87">
        <v>25.2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68.205468749999994</v>
      </c>
      <c r="F4" s="81" t="s">
        <v>12</v>
      </c>
      <c r="G4" s="80">
        <f>G2*G3</f>
        <v>220003.55999999997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-0.11274419977562355</v>
      </c>
      <c r="F6" s="69" t="s">
        <v>16</v>
      </c>
      <c r="G6" s="68">
        <f>(I50-I19)/(D50-(SUM(D42:D44)+D19))</f>
        <v>31.867485551226139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25.2</v>
      </c>
      <c r="D10" s="30"/>
      <c r="E10" s="29" t="e">
        <f t="shared" ref="E10:E19" si="1">D10/$D$19</f>
        <v>#DIV/0!</v>
      </c>
      <c r="F10" s="28">
        <f t="shared" ref="F10:F18" si="2">C10-(C10*$E$6)</f>
        <v>28.041153834345714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26.2</v>
      </c>
      <c r="D11" s="30"/>
      <c r="E11" s="29" t="e">
        <f t="shared" si="1"/>
        <v>#DIV/0!</v>
      </c>
      <c r="F11" s="28">
        <f t="shared" si="2"/>
        <v>29.153898034121337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 t="e">
        <f t="shared" si="1"/>
        <v>#DIV/0!</v>
      </c>
      <c r="F12" s="28">
        <f t="shared" si="2"/>
        <v>26.705860794614964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26.2</v>
      </c>
      <c r="D13" s="30"/>
      <c r="E13" s="29" t="e">
        <f t="shared" si="1"/>
        <v>#DIV/0!</v>
      </c>
      <c r="F13" s="28">
        <f t="shared" si="2"/>
        <v>29.153898034121337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29.3</v>
      </c>
      <c r="D14" s="30"/>
      <c r="E14" s="29" t="e">
        <f t="shared" si="1"/>
        <v>#DIV/0!</v>
      </c>
      <c r="F14" s="28">
        <f t="shared" si="2"/>
        <v>32.603405053425774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 t="e">
        <f t="shared" si="1"/>
        <v>#DIV/0!</v>
      </c>
      <c r="F15" s="28">
        <f t="shared" si="2"/>
        <v>26.928409634570087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33.1</v>
      </c>
      <c r="D16" s="30"/>
      <c r="E16" s="29" t="e">
        <f t="shared" si="1"/>
        <v>#DIV/0!</v>
      </c>
      <c r="F16" s="28">
        <f t="shared" si="2"/>
        <v>36.831833012573142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48.7</v>
      </c>
      <c r="D17" s="30"/>
      <c r="E17" s="29" t="e">
        <f t="shared" si="1"/>
        <v>#DIV/0!</v>
      </c>
      <c r="F17" s="28">
        <f t="shared" si="2"/>
        <v>54.190642529072868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42.7</v>
      </c>
      <c r="D18" s="30"/>
      <c r="E18" s="29" t="e">
        <f t="shared" si="1"/>
        <v>#DIV/0!</v>
      </c>
      <c r="F18" s="28">
        <f t="shared" si="2"/>
        <v>47.51417733041913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63.4</v>
      </c>
      <c r="D21" s="30">
        <v>108</v>
      </c>
      <c r="E21" s="29">
        <f>D21/$D$48</f>
        <v>1.2370992313948295E-2</v>
      </c>
      <c r="F21" s="28">
        <f>C21-(C21*$E$6)</f>
        <v>70.547982265774536</v>
      </c>
      <c r="G21" s="27" t="str">
        <f>IF(C21&gt;=F21,"-","+")</f>
        <v>+</v>
      </c>
      <c r="H21" s="26">
        <f>C21*D21</f>
        <v>6847.2</v>
      </c>
      <c r="I21" s="26">
        <f>F21*D21</f>
        <v>7619.1820847036497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42.6</v>
      </c>
      <c r="D22" s="30">
        <v>219.9</v>
      </c>
      <c r="E22" s="29">
        <f>D22/$D$48</f>
        <v>2.5188714905900279E-2</v>
      </c>
      <c r="F22" s="28">
        <f>C22-(C22*$E$6)</f>
        <v>47.402902910441568</v>
      </c>
      <c r="G22" s="27" t="str">
        <f>IF(C22&gt;=F22,"-","+")</f>
        <v>+</v>
      </c>
      <c r="H22" s="26">
        <f>C22*D22</f>
        <v>9367.74</v>
      </c>
      <c r="I22" s="26">
        <f>F22*D22</f>
        <v>10423.8983500061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38.799999999999997</v>
      </c>
      <c r="D23" s="30">
        <v>180.5</v>
      </c>
      <c r="E23" s="29">
        <f>D23/$D$48</f>
        <v>2.0675593635811736E-2</v>
      </c>
      <c r="F23" s="28">
        <f>C23-(C23*$E$6)</f>
        <v>43.174474951294194</v>
      </c>
      <c r="G23" s="27" t="str">
        <f>IF(C23&gt;=F23,"-","+")</f>
        <v>+</v>
      </c>
      <c r="H23" s="26">
        <f>C23*D23</f>
        <v>7003.4</v>
      </c>
      <c r="I23" s="26">
        <f>F23*D23</f>
        <v>7792.992728708602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45.669433516915809</v>
      </c>
      <c r="D24" s="22">
        <f>SUM(D21:D23)</f>
        <v>508.4</v>
      </c>
      <c r="E24" s="21">
        <f>D24/$D$48</f>
        <v>5.823530085566031E-2</v>
      </c>
      <c r="F24" s="20">
        <f>I24/D24</f>
        <v>50.818397252986536</v>
      </c>
      <c r="G24" s="19">
        <f>F24/C24-1</f>
        <v>0.11274419977562378</v>
      </c>
      <c r="H24" s="18">
        <f>SUM(H21:H23)</f>
        <v>23218.339999999997</v>
      </c>
      <c r="I24" s="18">
        <f>SUM(I21:I23)</f>
        <v>25836.073163418354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33.799999999999997</v>
      </c>
      <c r="D26" s="30">
        <v>1369.9</v>
      </c>
      <c r="E26" s="29">
        <f t="shared" ref="E26:E32" si="7">D26/$D$48</f>
        <v>0.15691687380442382</v>
      </c>
      <c r="F26" s="28">
        <f t="shared" ref="F26:F31" si="8">C26-(C26*$E$6)</f>
        <v>37.610753952416076</v>
      </c>
      <c r="G26" s="27" t="str">
        <f t="shared" ref="G26:G31" si="9">IF(C26&gt;=F26,"-","+")</f>
        <v>+</v>
      </c>
      <c r="H26" s="26">
        <f t="shared" ref="H26:H31" si="10">C26*D26</f>
        <v>46302.62</v>
      </c>
      <c r="I26" s="26">
        <f t="shared" ref="I26:I31" si="11">F26*D26</f>
        <v>51522.971839414786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30.1</v>
      </c>
      <c r="D27" s="30">
        <v>1409.8</v>
      </c>
      <c r="E27" s="29">
        <f t="shared" si="7"/>
        <v>0.16148726818707693</v>
      </c>
      <c r="F27" s="28">
        <f t="shared" si="8"/>
        <v>33.49360041324627</v>
      </c>
      <c r="G27" s="27" t="str">
        <f t="shared" si="9"/>
        <v>+</v>
      </c>
      <c r="H27" s="26">
        <f t="shared" si="10"/>
        <v>42434.98</v>
      </c>
      <c r="I27" s="26">
        <f t="shared" si="11"/>
        <v>47219.277862594587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30.1</v>
      </c>
      <c r="D28" s="30">
        <v>569</v>
      </c>
      <c r="E28" s="29">
        <f t="shared" si="7"/>
        <v>6.517680209848685E-2</v>
      </c>
      <c r="F28" s="28">
        <f t="shared" si="8"/>
        <v>33.49360041324627</v>
      </c>
      <c r="G28" s="27" t="str">
        <f t="shared" si="9"/>
        <v>+</v>
      </c>
      <c r="H28" s="26">
        <f t="shared" si="10"/>
        <v>17126.900000000001</v>
      </c>
      <c r="I28" s="26">
        <f t="shared" si="11"/>
        <v>19057.858635137127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29.1</v>
      </c>
      <c r="D29" s="30">
        <v>610.20000000000005</v>
      </c>
      <c r="E29" s="29">
        <f t="shared" si="7"/>
        <v>6.9896106573807876E-2</v>
      </c>
      <c r="F29" s="28">
        <f t="shared" si="8"/>
        <v>32.380856213470651</v>
      </c>
      <c r="G29" s="27" t="str">
        <f t="shared" si="9"/>
        <v>+</v>
      </c>
      <c r="H29" s="26">
        <f t="shared" si="10"/>
        <v>17756.820000000003</v>
      </c>
      <c r="I29" s="26">
        <f t="shared" si="11"/>
        <v>19758.798461459792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29.1</v>
      </c>
      <c r="D30" s="30">
        <v>516.79999999999995</v>
      </c>
      <c r="E30" s="29">
        <f t="shared" si="7"/>
        <v>5.9197489146745171E-2</v>
      </c>
      <c r="F30" s="28">
        <f t="shared" si="8"/>
        <v>32.380856213470651</v>
      </c>
      <c r="G30" s="27" t="str">
        <f t="shared" si="9"/>
        <v>+</v>
      </c>
      <c r="H30" s="26">
        <f t="shared" si="10"/>
        <v>15038.88</v>
      </c>
      <c r="I30" s="26">
        <f t="shared" si="11"/>
        <v>16734.426491121631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29.6</v>
      </c>
      <c r="D31" s="30">
        <v>118.4</v>
      </c>
      <c r="E31" s="29">
        <f t="shared" si="7"/>
        <v>1.3562273055291466E-2</v>
      </c>
      <c r="F31" s="28">
        <f t="shared" si="8"/>
        <v>32.93722831335846</v>
      </c>
      <c r="G31" s="27" t="str">
        <f t="shared" si="9"/>
        <v>+</v>
      </c>
      <c r="H31" s="26">
        <f t="shared" si="10"/>
        <v>3504.6400000000003</v>
      </c>
      <c r="I31" s="26">
        <f t="shared" si="11"/>
        <v>3899.7678323016421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30.945090442088777</v>
      </c>
      <c r="D32" s="22">
        <f>SUM(D26:D31)</f>
        <v>4594.0999999999995</v>
      </c>
      <c r="E32" s="21">
        <f t="shared" si="7"/>
        <v>0.52623681286583202</v>
      </c>
      <c r="F32" s="20">
        <f>I32/D32</f>
        <v>34.433969900966368</v>
      </c>
      <c r="G32" s="19">
        <f>F32/C32-1</f>
        <v>0.11274419977562333</v>
      </c>
      <c r="H32" s="18">
        <f>SUM(H26:H31)</f>
        <v>142164.84000000003</v>
      </c>
      <c r="I32" s="18">
        <f>SUM(I26:I31)</f>
        <v>158193.10112202956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671.3+1031.8</f>
        <v>1703.1</v>
      </c>
      <c r="E34" s="29">
        <f t="shared" ref="E34:E40" si="13">D34/$D$48</f>
        <v>0.19508367601745685</v>
      </c>
      <c r="F34" s="28">
        <f t="shared" ref="F34:F39" si="14">C34-(C34*$E$6)</f>
        <v>19.806846756006099</v>
      </c>
      <c r="G34" s="27" t="str">
        <f t="shared" ref="G34:G39" si="15">IF(C34&gt;=F34,"-","+")</f>
        <v>+</v>
      </c>
      <c r="H34" s="26">
        <f t="shared" ref="H34:H39" si="16">C34*D34</f>
        <v>30315.18</v>
      </c>
      <c r="I34" s="26">
        <f t="shared" ref="I34:I39" si="17">F34*D34</f>
        <v>33733.040710153982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93.7</v>
      </c>
      <c r="E35" s="29">
        <f t="shared" si="13"/>
        <v>1.0732981294601438E-2</v>
      </c>
      <c r="F35" s="28">
        <f t="shared" si="14"/>
        <v>15.244595536926042</v>
      </c>
      <c r="G35" s="27" t="str">
        <f t="shared" si="15"/>
        <v>+</v>
      </c>
      <c r="H35" s="26">
        <f t="shared" si="16"/>
        <v>1283.69</v>
      </c>
      <c r="I35" s="26">
        <f t="shared" si="17"/>
        <v>1428.4186018099701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12.240186197531859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29.1</v>
      </c>
      <c r="D37" s="30"/>
      <c r="E37" s="29">
        <f t="shared" si="13"/>
        <v>0</v>
      </c>
      <c r="F37" s="28">
        <f t="shared" si="14"/>
        <v>32.380856213470651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29.1</v>
      </c>
      <c r="D38" s="30"/>
      <c r="E38" s="29">
        <f t="shared" si="13"/>
        <v>0</v>
      </c>
      <c r="F38" s="28">
        <f t="shared" si="14"/>
        <v>32.380856213470651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30.1</v>
      </c>
      <c r="D39" s="30"/>
      <c r="E39" s="29">
        <f t="shared" si="13"/>
        <v>0</v>
      </c>
      <c r="F39" s="28">
        <f t="shared" si="14"/>
        <v>33.49360041324627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17.58619211932324</v>
      </c>
      <c r="D40" s="22">
        <f>SUM(D34:D39)</f>
        <v>1796.8</v>
      </c>
      <c r="E40" s="113">
        <f t="shared" si="13"/>
        <v>0.20581665731205831</v>
      </c>
      <c r="F40" s="20">
        <f>I40/D40</f>
        <v>19.568933276916717</v>
      </c>
      <c r="G40" s="19">
        <f>F40/C40-1</f>
        <v>0.11274419977562355</v>
      </c>
      <c r="H40" s="18">
        <f>SUM(H34:H39)</f>
        <v>31598.87</v>
      </c>
      <c r="I40" s="18">
        <f>SUM(I34:I39)</f>
        <v>35161.459311963954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814.3+107+835</f>
        <v>1756.3</v>
      </c>
      <c r="E42" s="107">
        <f>D42/$D$48</f>
        <v>0.20117753519432771</v>
      </c>
      <c r="F42" s="28">
        <f>C42-(C42*$E$6)</f>
        <v>0.44509767991024946</v>
      </c>
      <c r="G42" s="27" t="str">
        <f>IF(C42&gt;=F42,"-","+")</f>
        <v>+</v>
      </c>
      <c r="H42" s="26">
        <f>C42*D42</f>
        <v>702.52</v>
      </c>
      <c r="I42" s="26">
        <f>F42*D42</f>
        <v>781.72505522637107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70.099999999999994</v>
      </c>
      <c r="E43" s="107">
        <f>D43/$D$48</f>
        <v>8.0296903815534771E-3</v>
      </c>
      <c r="F43" s="28">
        <f>C43-(C43*$E$6)</f>
        <v>0.44509767991024946</v>
      </c>
      <c r="G43" s="27" t="str">
        <f>IF(C43&gt;=F43,"-","+")</f>
        <v>+</v>
      </c>
      <c r="H43" s="26">
        <f>C43*D43</f>
        <v>28.04</v>
      </c>
      <c r="I43" s="26">
        <f>F43*D43</f>
        <v>31.201347361708486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4.4000000000000004</v>
      </c>
      <c r="E45" s="107">
        <f>D45/$D$48</f>
        <v>5.0400339056826397E-4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0.39903867161896439</v>
      </c>
      <c r="D46" s="22">
        <f>SUM(D41:D45)</f>
        <v>1830.8</v>
      </c>
      <c r="E46" s="113">
        <f>D46/$D$48</f>
        <v>0.20971122896644945</v>
      </c>
      <c r="F46" s="20">
        <f>I46/D46</f>
        <v>0.44402796733017236</v>
      </c>
      <c r="G46" s="19">
        <f>F46/C46-1</f>
        <v>0.11274419977562355</v>
      </c>
      <c r="H46" s="18">
        <f>SUM(H41:H44)</f>
        <v>730.56</v>
      </c>
      <c r="I46" s="18">
        <f>SUM(I41:I44)</f>
        <v>812.92640258807955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94.599754749946797</v>
      </c>
      <c r="D48" s="13">
        <f>D24+D32+D40+D46</f>
        <v>8730.0999999999985</v>
      </c>
      <c r="E48" s="12">
        <f>SUM(E20:E46)/2</f>
        <v>1.0000000000000002</v>
      </c>
      <c r="F48" s="11">
        <f>I48/D48</f>
        <v>25.200577312974644</v>
      </c>
      <c r="G48" s="10"/>
      <c r="H48" s="9">
        <f>SUM(H20:H46)/2</f>
        <v>197712.61000000002</v>
      </c>
      <c r="I48" s="9">
        <f>SUM(I20:I46)/2</f>
        <v>220003.55999999991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8730.1</v>
      </c>
      <c r="E50" s="12">
        <f>D50/G2</f>
        <v>0.99997709127979573</v>
      </c>
      <c r="F50" s="11">
        <f>I50/D50</f>
        <v>25.200577312974641</v>
      </c>
      <c r="G50" s="10"/>
      <c r="H50" s="9">
        <f>H48+H19</f>
        <v>197712.61000000002</v>
      </c>
      <c r="I50" s="9">
        <f>I48+I19</f>
        <v>220003.55999999991</v>
      </c>
      <c r="J50" s="106">
        <f>D50-G2</f>
        <v>-0.19999999999890861</v>
      </c>
      <c r="K50" s="8"/>
    </row>
    <row r="51" spans="1:11" ht="23.25" x14ac:dyDescent="0.35">
      <c r="A51" s="174" t="s">
        <v>649</v>
      </c>
      <c r="B51" s="169"/>
      <c r="C51" s="170"/>
      <c r="G51" s="7"/>
      <c r="H51" s="6"/>
      <c r="I51" s="6">
        <f>+I50/D50</f>
        <v>25.200577312974641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>
    <tabColor rgb="FF92D050"/>
  </sheetPr>
  <dimension ref="A1:L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647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647</v>
      </c>
      <c r="D2" s="96" t="s">
        <v>3</v>
      </c>
      <c r="E2" s="95" t="s">
        <v>112</v>
      </c>
      <c r="F2" s="94" t="s">
        <v>5</v>
      </c>
      <c r="G2" s="116">
        <v>10527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172</v>
      </c>
      <c r="F3" s="88" t="s">
        <v>8</v>
      </c>
      <c r="G3" s="87">
        <v>25.38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61.203488372093027</v>
      </c>
      <c r="F4" s="81" t="s">
        <v>12</v>
      </c>
      <c r="G4" s="80">
        <f>G2*G3</f>
        <v>267175.26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-0.1106923180532482</v>
      </c>
      <c r="F6" s="69" t="s">
        <v>16</v>
      </c>
      <c r="G6" s="68">
        <f>(I50-I19)/(D50-(SUM(D42:D44)+D19))</f>
        <v>32.766962643184783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28.211584878552504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26.4</v>
      </c>
      <c r="D11" s="30"/>
      <c r="E11" s="29" t="e">
        <f t="shared" si="1"/>
        <v>#DIV/0!</v>
      </c>
      <c r="F11" s="28">
        <f t="shared" si="2"/>
        <v>29.32227719660575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 t="e">
        <f t="shared" si="1"/>
        <v>#DIV/0!</v>
      </c>
      <c r="F12" s="28">
        <f t="shared" si="2"/>
        <v>26.767684865083282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26.4</v>
      </c>
      <c r="D13" s="30"/>
      <c r="E13" s="29" t="e">
        <f t="shared" si="1"/>
        <v>#DIV/0!</v>
      </c>
      <c r="F13" s="28">
        <f t="shared" si="2"/>
        <v>29.32227719660575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29.5</v>
      </c>
      <c r="D14" s="30"/>
      <c r="E14" s="29" t="e">
        <f t="shared" si="1"/>
        <v>#DIV/0!</v>
      </c>
      <c r="F14" s="28">
        <f t="shared" si="2"/>
        <v>32.765423382570823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27.100892560499254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37.097123422978491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49.1</v>
      </c>
      <c r="D17" s="30"/>
      <c r="E17" s="29" t="e">
        <f t="shared" si="1"/>
        <v>#DIV/0!</v>
      </c>
      <c r="F17" s="28">
        <f t="shared" si="2"/>
        <v>54.534992816414487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</v>
      </c>
      <c r="D18" s="30"/>
      <c r="E18" s="29" t="e">
        <f t="shared" si="1"/>
        <v>#DIV/0!</v>
      </c>
      <c r="F18" s="28">
        <f t="shared" si="2"/>
        <v>47.759769676289672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63.8</v>
      </c>
      <c r="D21" s="30">
        <v>113.8</v>
      </c>
      <c r="E21" s="29">
        <f>D21/$D$48</f>
        <v>1.0810297330673506E-2</v>
      </c>
      <c r="F21" s="28">
        <f>C21-(C21*$E$6)</f>
        <v>70.862169891797237</v>
      </c>
      <c r="G21" s="27" t="str">
        <f>IF(C21&gt;=F21,"-","+")</f>
        <v>+</v>
      </c>
      <c r="H21" s="26">
        <f>C21*D21</f>
        <v>7260.44</v>
      </c>
      <c r="I21" s="26">
        <f>F21*D21</f>
        <v>8064.1149336865255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42.9</v>
      </c>
      <c r="D22" s="30">
        <v>255.8</v>
      </c>
      <c r="E22" s="29">
        <f>D22/$D$48</f>
        <v>2.4299420537665053E-2</v>
      </c>
      <c r="F22" s="28">
        <f>C22-(C22*$E$6)</f>
        <v>47.648700444484348</v>
      </c>
      <c r="G22" s="27" t="str">
        <f>IF(C22&gt;=F22,"-","+")</f>
        <v>+</v>
      </c>
      <c r="H22" s="26">
        <f>C22*D22</f>
        <v>10973.82</v>
      </c>
      <c r="I22" s="26">
        <f>F22*D22</f>
        <v>12188.537573699097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39.1</v>
      </c>
      <c r="D23" s="30">
        <v>172.4</v>
      </c>
      <c r="E23" s="29">
        <f>D23/$D$48</f>
        <v>1.6376935499192554E-2</v>
      </c>
      <c r="F23" s="28">
        <f>C23-(C23*$E$6)</f>
        <v>43.428069635882004</v>
      </c>
      <c r="G23" s="27" t="str">
        <f>IF(C23&gt;=F23,"-","+")</f>
        <v>+</v>
      </c>
      <c r="H23" s="26">
        <f>C23*D23</f>
        <v>6740.84</v>
      </c>
      <c r="I23" s="26">
        <f>F23*D23</f>
        <v>7486.9992052260577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46.079520295202947</v>
      </c>
      <c r="D24" s="22">
        <f>SUM(D21:D23)</f>
        <v>542</v>
      </c>
      <c r="E24" s="21">
        <f>D24/$D$48</f>
        <v>5.148665336753111E-2</v>
      </c>
      <c r="F24" s="20">
        <f>I24/D24</f>
        <v>51.180169211460665</v>
      </c>
      <c r="G24" s="19">
        <f>F24/C24-1</f>
        <v>0.11069231805324842</v>
      </c>
      <c r="H24" s="18">
        <f>SUM(H21:H23)</f>
        <v>24975.1</v>
      </c>
      <c r="I24" s="18">
        <f>SUM(I21:I23)</f>
        <v>27739.651712611681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f>288.8+1781</f>
        <v>2069.8000000000002</v>
      </c>
      <c r="E26" s="29">
        <f t="shared" ref="E26:E32" si="7">D26/$D$48</f>
        <v>0.19661821981571201</v>
      </c>
      <c r="F26" s="28">
        <f t="shared" ref="F26:F31" si="8">C26-(C26*$E$6)</f>
        <v>37.874608045615766</v>
      </c>
      <c r="G26" s="27" t="str">
        <f t="shared" ref="G26:G31" si="9">IF(C26&gt;=F26,"-","+")</f>
        <v>+</v>
      </c>
      <c r="H26" s="26">
        <f t="shared" ref="H26:H31" si="10">C26*D26</f>
        <v>70580.180000000008</v>
      </c>
      <c r="I26" s="26">
        <f t="shared" ref="I26:I31" si="11">F26*D26</f>
        <v>78392.863732815516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30.3</v>
      </c>
      <c r="D27" s="30">
        <v>1548</v>
      </c>
      <c r="E27" s="29">
        <f t="shared" si="7"/>
        <v>0.14705044172128812</v>
      </c>
      <c r="F27" s="28">
        <f t="shared" si="8"/>
        <v>33.653977237013422</v>
      </c>
      <c r="G27" s="27" t="str">
        <f t="shared" si="9"/>
        <v>+</v>
      </c>
      <c r="H27" s="26">
        <f t="shared" si="10"/>
        <v>46904.4</v>
      </c>
      <c r="I27" s="26">
        <f t="shared" si="11"/>
        <v>52096.356762896779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30.3</v>
      </c>
      <c r="D28" s="30">
        <v>783</v>
      </c>
      <c r="E28" s="29">
        <f t="shared" si="7"/>
        <v>7.43801652892562E-2</v>
      </c>
      <c r="F28" s="28">
        <f t="shared" si="8"/>
        <v>33.653977237013422</v>
      </c>
      <c r="G28" s="27" t="str">
        <f t="shared" si="9"/>
        <v>+</v>
      </c>
      <c r="H28" s="26">
        <f t="shared" si="10"/>
        <v>23724.9</v>
      </c>
      <c r="I28" s="26">
        <f t="shared" si="11"/>
        <v>26351.064176581509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736.5</v>
      </c>
      <c r="E29" s="29">
        <f t="shared" si="7"/>
        <v>6.9962952408093471E-2</v>
      </c>
      <c r="F29" s="28">
        <f t="shared" si="8"/>
        <v>32.543284918960175</v>
      </c>
      <c r="G29" s="27" t="str">
        <f t="shared" si="9"/>
        <v>+</v>
      </c>
      <c r="H29" s="26">
        <f t="shared" si="10"/>
        <v>21579.45</v>
      </c>
      <c r="I29" s="26">
        <f t="shared" si="11"/>
        <v>23968.129342814169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580</v>
      </c>
      <c r="E30" s="29">
        <f t="shared" si="7"/>
        <v>5.5096418732782371E-2</v>
      </c>
      <c r="F30" s="28">
        <f t="shared" si="8"/>
        <v>32.543284918960175</v>
      </c>
      <c r="G30" s="27" t="str">
        <f t="shared" si="9"/>
        <v>+</v>
      </c>
      <c r="H30" s="26">
        <f t="shared" si="10"/>
        <v>16994</v>
      </c>
      <c r="I30" s="26">
        <f t="shared" si="11"/>
        <v>18875.105252996902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29.8</v>
      </c>
      <c r="D31" s="30">
        <v>141</v>
      </c>
      <c r="E31" s="29">
        <f t="shared" si="7"/>
        <v>1.3394129381590196E-2</v>
      </c>
      <c r="F31" s="28">
        <f t="shared" si="8"/>
        <v>33.098631077986795</v>
      </c>
      <c r="G31" s="27" t="str">
        <f t="shared" si="9"/>
        <v>+</v>
      </c>
      <c r="H31" s="26">
        <f t="shared" si="10"/>
        <v>4201.8</v>
      </c>
      <c r="I31" s="26">
        <f t="shared" si="11"/>
        <v>4666.9069819961378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31.405822508236177</v>
      </c>
      <c r="D32" s="22">
        <f>SUM(D26:D31)</f>
        <v>5858.3</v>
      </c>
      <c r="E32" s="21">
        <f t="shared" si="7"/>
        <v>0.5565023273487224</v>
      </c>
      <c r="F32" s="20">
        <f>I32/D32</f>
        <v>34.882205802041724</v>
      </c>
      <c r="G32" s="19">
        <f>F32/C32-1</f>
        <v>0.11069231805324842</v>
      </c>
      <c r="H32" s="18">
        <f>SUM(H26:H31)</f>
        <v>183984.73</v>
      </c>
      <c r="I32" s="18">
        <f>SUM(I26:I31)</f>
        <v>204350.42625010104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782.7+815.2</f>
        <v>1597.9</v>
      </c>
      <c r="E34" s="29">
        <f t="shared" ref="E34:E40" si="13">D34/$D$48</f>
        <v>0.15179063360881542</v>
      </c>
      <c r="F34" s="28">
        <f t="shared" ref="F34:F39" si="14">C34-(C34*$E$6)</f>
        <v>19.88139249315314</v>
      </c>
      <c r="G34" s="27" t="str">
        <f t="shared" ref="G34:G39" si="15">IF(C34&gt;=F34,"-","+")</f>
        <v>+</v>
      </c>
      <c r="H34" s="26">
        <f t="shared" ref="H34:H39" si="16">C34*D34</f>
        <v>28602.41</v>
      </c>
      <c r="I34" s="26">
        <f t="shared" ref="I34:I39" si="17">F34*D34</f>
        <v>31768.477064809402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147.6</v>
      </c>
      <c r="E35" s="29">
        <f t="shared" si="13"/>
        <v>1.4021088629239099E-2</v>
      </c>
      <c r="F35" s="28">
        <f t="shared" si="14"/>
        <v>15.327553989134826</v>
      </c>
      <c r="G35" s="27" t="str">
        <f t="shared" si="15"/>
        <v>+</v>
      </c>
      <c r="H35" s="26">
        <f t="shared" si="16"/>
        <v>2036.88</v>
      </c>
      <c r="I35" s="26">
        <f t="shared" si="17"/>
        <v>2262.3469687963002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12.328684730391055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32.543284918960175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32.543284918960175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30.3</v>
      </c>
      <c r="D39" s="30"/>
      <c r="E39" s="29">
        <f t="shared" si="13"/>
        <v>0</v>
      </c>
      <c r="F39" s="28">
        <f t="shared" si="14"/>
        <v>33.653977237013422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17.553302778573475</v>
      </c>
      <c r="D40" s="22">
        <f>SUM(D34:D39)</f>
        <v>1745.5</v>
      </c>
      <c r="E40" s="113">
        <f t="shared" si="13"/>
        <v>0.16581172223805452</v>
      </c>
      <c r="F40" s="20">
        <f>I40/D40</f>
        <v>19.496318552624292</v>
      </c>
      <c r="G40" s="19">
        <f>F40/C40-1</f>
        <v>0.11069231805324797</v>
      </c>
      <c r="H40" s="18">
        <f>SUM(H34:H39)</f>
        <v>30639.29</v>
      </c>
      <c r="I40" s="18">
        <f>SUM(I34:I39)</f>
        <v>34030.824033605699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137.3+1078.4+1100</f>
        <v>2315.6999999999998</v>
      </c>
      <c r="E42" s="107">
        <f>D42/$D$48</f>
        <v>0.21997720148190367</v>
      </c>
      <c r="F42" s="28">
        <f>C42-(C42*$E$6)</f>
        <v>0.4442769272212993</v>
      </c>
      <c r="G42" s="27" t="str">
        <f>IF(C42&gt;=F42,"-","+")</f>
        <v>+</v>
      </c>
      <c r="H42" s="26">
        <f>C42*D42</f>
        <v>926.28</v>
      </c>
      <c r="I42" s="26">
        <f>F42*D42</f>
        <v>1028.8120803663628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57.5</v>
      </c>
      <c r="E43" s="107">
        <f>D43/$D$48</f>
        <v>5.4621449605775623E-3</v>
      </c>
      <c r="F43" s="28">
        <f>C43-(C43*$E$6)</f>
        <v>0.4442769272212993</v>
      </c>
      <c r="G43" s="27" t="str">
        <f>IF(C43&gt;=F43,"-","+")</f>
        <v>+</v>
      </c>
      <c r="H43" s="26">
        <f>C43*D43</f>
        <v>23</v>
      </c>
      <c r="I43" s="26">
        <f>F43*D43</f>
        <v>25.545923315224709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7.5995060321079133E-4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0.3986561397614648</v>
      </c>
      <c r="D46" s="22">
        <f>SUM(D41:D45)</f>
        <v>2381.1999999999998</v>
      </c>
      <c r="E46" s="113">
        <f>D46/$D$48</f>
        <v>0.226199297045692</v>
      </c>
      <c r="F46" s="20">
        <f>I46/D46</f>
        <v>0.44278431197782109</v>
      </c>
      <c r="G46" s="19">
        <f>F46/C46-1</f>
        <v>0.11069231805324842</v>
      </c>
      <c r="H46" s="18">
        <f>SUM(H41:H44)</f>
        <v>949.28</v>
      </c>
      <c r="I46" s="18">
        <f>SUM(I41:I44)</f>
        <v>1054.3580036815874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95.437301721774077</v>
      </c>
      <c r="D48" s="13">
        <f>D24+D32+D40+D46</f>
        <v>10527</v>
      </c>
      <c r="E48" s="12">
        <f>SUM(E20:E46)/2</f>
        <v>1.0000000000000002</v>
      </c>
      <c r="F48" s="11">
        <f>I48/D48</f>
        <v>25.380000000000006</v>
      </c>
      <c r="G48" s="10"/>
      <c r="H48" s="9">
        <f>SUM(H20:H46)/2</f>
        <v>240548.40000000002</v>
      </c>
      <c r="I48" s="9">
        <f>SUM(I20:I46)/2</f>
        <v>267175.26000000007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10527</v>
      </c>
      <c r="E50" s="12">
        <f>D50/G2</f>
        <v>1</v>
      </c>
      <c r="F50" s="11">
        <f>I50/D50</f>
        <v>25.380000000000006</v>
      </c>
      <c r="G50" s="10"/>
      <c r="H50" s="9">
        <f>H48+H19</f>
        <v>240548.40000000002</v>
      </c>
      <c r="I50" s="9">
        <f>I48+I19</f>
        <v>267175.26000000007</v>
      </c>
      <c r="J50" s="106">
        <f>D50-G2</f>
        <v>0</v>
      </c>
      <c r="K50" s="8"/>
    </row>
    <row r="51" spans="1:11" ht="23.25" x14ac:dyDescent="0.35">
      <c r="A51" s="174" t="s">
        <v>650</v>
      </c>
      <c r="B51" s="169"/>
      <c r="C51" s="170"/>
      <c r="G51" s="7"/>
      <c r="H51" s="6"/>
      <c r="I51" s="6">
        <f>+I50/D50</f>
        <v>25.380000000000006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647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647</v>
      </c>
      <c r="D2" s="96" t="s">
        <v>3</v>
      </c>
      <c r="E2" s="95" t="s">
        <v>112</v>
      </c>
      <c r="F2" s="94" t="s">
        <v>5</v>
      </c>
      <c r="G2" s="93">
        <v>12198.2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156</v>
      </c>
      <c r="F3" s="88" t="s">
        <v>8</v>
      </c>
      <c r="G3" s="87">
        <v>25.62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78.193589743589754</v>
      </c>
      <c r="F4" s="81" t="s">
        <v>12</v>
      </c>
      <c r="G4" s="80">
        <f>G2*G3</f>
        <v>312517.88400000002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-9.5332894150422787E-2</v>
      </c>
      <c r="F6" s="69" t="s">
        <v>16</v>
      </c>
      <c r="G6" s="68">
        <f>(I50-I19)/(D50-(SUM(D42:D44)+D19))</f>
        <v>32.344381610813272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25.6</v>
      </c>
      <c r="D10" s="30"/>
      <c r="E10" s="29" t="e">
        <f t="shared" ref="E10:E19" si="1">D10/$D$19</f>
        <v>#DIV/0!</v>
      </c>
      <c r="F10" s="28">
        <f t="shared" ref="F10:F18" si="2">C10-(C10*$E$6)</f>
        <v>28.040522090250825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26.7</v>
      </c>
      <c r="D11" s="30"/>
      <c r="E11" s="29" t="e">
        <f t="shared" si="1"/>
        <v>#DIV/0!</v>
      </c>
      <c r="F11" s="28">
        <f t="shared" si="2"/>
        <v>29.245388273816289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24.4</v>
      </c>
      <c r="D12" s="30"/>
      <c r="E12" s="29" t="e">
        <f t="shared" si="1"/>
        <v>#DIV/0!</v>
      </c>
      <c r="F12" s="28">
        <f t="shared" si="2"/>
        <v>26.726122617270313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26.7</v>
      </c>
      <c r="D13" s="30"/>
      <c r="E13" s="29" t="e">
        <f t="shared" si="1"/>
        <v>#DIV/0!</v>
      </c>
      <c r="F13" s="28">
        <f t="shared" si="2"/>
        <v>29.245388273816289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29.8</v>
      </c>
      <c r="D14" s="30"/>
      <c r="E14" s="29" t="e">
        <f t="shared" si="1"/>
        <v>#DIV/0!</v>
      </c>
      <c r="F14" s="28">
        <f t="shared" si="2"/>
        <v>32.640920245682601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24.6</v>
      </c>
      <c r="D15" s="30"/>
      <c r="E15" s="29" t="e">
        <f t="shared" si="1"/>
        <v>#DIV/0!</v>
      </c>
      <c r="F15" s="28">
        <f t="shared" si="2"/>
        <v>26.945189196100401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33.700000000000003</v>
      </c>
      <c r="D16" s="30"/>
      <c r="E16" s="29" t="e">
        <f t="shared" si="1"/>
        <v>#DIV/0!</v>
      </c>
      <c r="F16" s="28">
        <f t="shared" si="2"/>
        <v>36.912718532869249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49.6</v>
      </c>
      <c r="D17" s="30"/>
      <c r="E17" s="29" t="e">
        <f t="shared" si="1"/>
        <v>#DIV/0!</v>
      </c>
      <c r="F17" s="28">
        <f t="shared" si="2"/>
        <v>54.32851154986097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43.4</v>
      </c>
      <c r="D18" s="30"/>
      <c r="E18" s="29" t="e">
        <f t="shared" si="1"/>
        <v>#DIV/0!</v>
      </c>
      <c r="F18" s="28">
        <f t="shared" si="2"/>
        <v>47.537447606128346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64.400000000000006</v>
      </c>
      <c r="D21" s="30">
        <v>138.4</v>
      </c>
      <c r="E21" s="29">
        <f>D21/$D$48</f>
        <v>1.1345936285681497E-2</v>
      </c>
      <c r="F21" s="28">
        <f>C21-(C21*$E$6)</f>
        <v>70.539438383287234</v>
      </c>
      <c r="G21" s="27" t="str">
        <f>IF(C21&gt;=F21,"-","+")</f>
        <v>+</v>
      </c>
      <c r="H21" s="26">
        <f>C21*D21</f>
        <v>8912.9600000000009</v>
      </c>
      <c r="I21" s="26">
        <f>F21*D21</f>
        <v>9762.6582722469539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43.3</v>
      </c>
      <c r="D22" s="30">
        <v>339</v>
      </c>
      <c r="E22" s="29">
        <f>D22/$D$48</f>
        <v>2.7790985555245864E-2</v>
      </c>
      <c r="F22" s="28">
        <f>C22-(C22*$E$6)</f>
        <v>47.427914316713306</v>
      </c>
      <c r="G22" s="27" t="str">
        <f>IF(C22&gt;=F22,"-","+")</f>
        <v>+</v>
      </c>
      <c r="H22" s="26">
        <f>C22*D22</f>
        <v>14678.699999999999</v>
      </c>
      <c r="I22" s="26">
        <f>F22*D22</f>
        <v>16078.06295336581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39.5</v>
      </c>
      <c r="D23" s="30">
        <v>241</v>
      </c>
      <c r="E23" s="29">
        <f>D23/$D$48</f>
        <v>1.9757013329835555E-2</v>
      </c>
      <c r="F23" s="28">
        <f>C23-(C23*$E$6)</f>
        <v>43.265649318941698</v>
      </c>
      <c r="G23" s="27" t="str">
        <f>IF(C23&gt;=F23,"-","+")</f>
        <v>+</v>
      </c>
      <c r="H23" s="26">
        <f>C23*D23</f>
        <v>9519.5</v>
      </c>
      <c r="I23" s="26">
        <f>F23*D23</f>
        <v>10427.021485864949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46.090144766146999</v>
      </c>
      <c r="D24" s="22">
        <f>SUM(D21:D23)</f>
        <v>718.4</v>
      </c>
      <c r="E24" s="21">
        <f>D24/$D$48</f>
        <v>5.8893935170762912E-2</v>
      </c>
      <c r="F24" s="20">
        <f>I24/D24</f>
        <v>50.484051658515746</v>
      </c>
      <c r="G24" s="19">
        <f>F24/C24-1</f>
        <v>9.5332894150422565E-2</v>
      </c>
      <c r="H24" s="18">
        <f>SUM(H21:H23)</f>
        <v>33111.160000000003</v>
      </c>
      <c r="I24" s="18">
        <f>SUM(I21:I23)</f>
        <v>36267.742711477709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34.4</v>
      </c>
      <c r="D26" s="30">
        <f>1485+656</f>
        <v>2141</v>
      </c>
      <c r="E26" s="29">
        <f t="shared" ref="E26:E32" si="7">D26/$D$48</f>
        <v>0.17551769933268846</v>
      </c>
      <c r="F26" s="28">
        <f t="shared" ref="F26:F31" si="8">C26-(C26*$E$6)</f>
        <v>37.679451558774545</v>
      </c>
      <c r="G26" s="27" t="str">
        <f t="shared" ref="G26:G31" si="9">IF(C26&gt;=F26,"-","+")</f>
        <v>+</v>
      </c>
      <c r="H26" s="26">
        <f t="shared" ref="H26:H31" si="10">C26*D26</f>
        <v>73650.399999999994</v>
      </c>
      <c r="I26" s="26">
        <f t="shared" ref="I26:I31" si="11">F26*D26</f>
        <v>80671.705787336308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30.6</v>
      </c>
      <c r="D27" s="30">
        <v>1819.8</v>
      </c>
      <c r="E27" s="29">
        <f t="shared" si="7"/>
        <v>0.14918594546736408</v>
      </c>
      <c r="F27" s="28">
        <f t="shared" si="8"/>
        <v>33.517186561002937</v>
      </c>
      <c r="G27" s="27" t="str">
        <f t="shared" si="9"/>
        <v>+</v>
      </c>
      <c r="H27" s="26">
        <f t="shared" si="10"/>
        <v>55685.880000000005</v>
      </c>
      <c r="I27" s="26">
        <f t="shared" si="11"/>
        <v>60994.576103713145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30.6</v>
      </c>
      <c r="D28" s="30">
        <v>776.4</v>
      </c>
      <c r="E28" s="29">
        <f t="shared" si="7"/>
        <v>6.3648735059271058E-2</v>
      </c>
      <c r="F28" s="28">
        <f t="shared" si="8"/>
        <v>33.517186561002937</v>
      </c>
      <c r="G28" s="27" t="str">
        <f t="shared" si="9"/>
        <v>+</v>
      </c>
      <c r="H28" s="26">
        <f t="shared" si="10"/>
        <v>23757.84</v>
      </c>
      <c r="I28" s="26">
        <f t="shared" si="11"/>
        <v>26022.743645962681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29.6</v>
      </c>
      <c r="D29" s="30">
        <v>1046.5999999999999</v>
      </c>
      <c r="E29" s="29">
        <f t="shared" si="7"/>
        <v>8.579954419504518E-2</v>
      </c>
      <c r="F29" s="28">
        <f t="shared" si="8"/>
        <v>32.421853666852513</v>
      </c>
      <c r="G29" s="27" t="str">
        <f t="shared" si="9"/>
        <v>+</v>
      </c>
      <c r="H29" s="26">
        <f t="shared" si="10"/>
        <v>30979.360000000001</v>
      </c>
      <c r="I29" s="26">
        <f t="shared" si="11"/>
        <v>33932.712047727837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29.6</v>
      </c>
      <c r="D30" s="30">
        <v>751.2</v>
      </c>
      <c r="E30" s="29">
        <f t="shared" si="7"/>
        <v>6.1582856487022691E-2</v>
      </c>
      <c r="F30" s="28">
        <f t="shared" si="8"/>
        <v>32.421853666852513</v>
      </c>
      <c r="G30" s="27" t="str">
        <f t="shared" si="9"/>
        <v>+</v>
      </c>
      <c r="H30" s="26">
        <f t="shared" si="10"/>
        <v>22235.520000000004</v>
      </c>
      <c r="I30" s="26">
        <f t="shared" si="11"/>
        <v>24355.296474539609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30.1</v>
      </c>
      <c r="D31" s="30">
        <v>165</v>
      </c>
      <c r="E31" s="29">
        <f t="shared" si="7"/>
        <v>1.3526585889721438E-2</v>
      </c>
      <c r="F31" s="28">
        <f t="shared" si="8"/>
        <v>32.969520113927729</v>
      </c>
      <c r="G31" s="27" t="str">
        <f t="shared" si="9"/>
        <v>+</v>
      </c>
      <c r="H31" s="26">
        <f t="shared" si="10"/>
        <v>4966.5</v>
      </c>
      <c r="I31" s="26">
        <f t="shared" si="11"/>
        <v>5439.970818798075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31.533656716417916</v>
      </c>
      <c r="D32" s="22">
        <f>SUM(D26:D31)</f>
        <v>6699.9999999999991</v>
      </c>
      <c r="E32" s="21">
        <f t="shared" si="7"/>
        <v>0.5492613664311129</v>
      </c>
      <c r="F32" s="20">
        <f>I32/D32</f>
        <v>34.539851474339955</v>
      </c>
      <c r="G32" s="19">
        <f>F32/C32-1</f>
        <v>9.5332894150422787E-2</v>
      </c>
      <c r="H32" s="18">
        <f>SUM(H26:H31)</f>
        <v>211275.5</v>
      </c>
      <c r="I32" s="18">
        <f>SUM(I26:I31)</f>
        <v>231417.00487807769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18.100000000000001</v>
      </c>
      <c r="D34" s="30">
        <f>1845.5+907.3-656</f>
        <v>2096.8000000000002</v>
      </c>
      <c r="E34" s="29">
        <f t="shared" ref="E34:E40" si="13">D34/$D$48</f>
        <v>0.1718942139004116</v>
      </c>
      <c r="F34" s="28">
        <f t="shared" ref="F34:F39" si="14">C34-(C34*$E$6)</f>
        <v>19.825525384122653</v>
      </c>
      <c r="G34" s="27" t="str">
        <f t="shared" ref="G34:G39" si="15">IF(C34&gt;=F34,"-","+")</f>
        <v>+</v>
      </c>
      <c r="H34" s="26">
        <f t="shared" ref="H34:H39" si="16">C34*D34</f>
        <v>37952.080000000009</v>
      </c>
      <c r="I34" s="26">
        <f t="shared" ref="I34:I39" si="17">F34*D34</f>
        <v>41570.16162542838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>
        <v>142.19999999999999</v>
      </c>
      <c r="E35" s="29">
        <f t="shared" si="13"/>
        <v>1.1657457657687201E-2</v>
      </c>
      <c r="F35" s="28">
        <f t="shared" si="14"/>
        <v>15.225127228690877</v>
      </c>
      <c r="G35" s="27" t="str">
        <f t="shared" si="15"/>
        <v>+</v>
      </c>
      <c r="H35" s="26">
        <f t="shared" si="16"/>
        <v>1976.58</v>
      </c>
      <c r="I35" s="26">
        <f t="shared" si="17"/>
        <v>2165.0130919198423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12.267728414484735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29.6</v>
      </c>
      <c r="D37" s="30"/>
      <c r="E37" s="29">
        <f t="shared" si="13"/>
        <v>0</v>
      </c>
      <c r="F37" s="28">
        <f t="shared" si="14"/>
        <v>32.421853666852513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29.6</v>
      </c>
      <c r="D38" s="30"/>
      <c r="E38" s="29">
        <f t="shared" si="13"/>
        <v>0</v>
      </c>
      <c r="F38" s="28">
        <f t="shared" si="14"/>
        <v>32.421853666852513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30.6</v>
      </c>
      <c r="D39" s="30"/>
      <c r="E39" s="29">
        <f t="shared" si="13"/>
        <v>0</v>
      </c>
      <c r="F39" s="28">
        <f t="shared" si="14"/>
        <v>33.517186561002937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17.833255917820459</v>
      </c>
      <c r="D40" s="22">
        <f>SUM(D34:D39)</f>
        <v>2239</v>
      </c>
      <c r="E40" s="113">
        <f t="shared" si="13"/>
        <v>0.18355167155809879</v>
      </c>
      <c r="F40" s="20">
        <f>I40/D40</f>
        <v>19.533351816591434</v>
      </c>
      <c r="G40" s="19">
        <f>F40/C40-1</f>
        <v>9.5332894150422565E-2</v>
      </c>
      <c r="H40" s="18">
        <f>SUM(H34:H39)</f>
        <v>39928.660000000011</v>
      </c>
      <c r="I40" s="18">
        <f>SUM(I34:I39)</f>
        <v>43735.174717348222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1139.9+153.4+1162</f>
        <v>2455.3000000000002</v>
      </c>
      <c r="E42" s="107">
        <f>D42/$D$48</f>
        <v>0.20128379596989726</v>
      </c>
      <c r="F42" s="28">
        <f>C42-(C42*$E$6)</f>
        <v>0.43813315766016914</v>
      </c>
      <c r="G42" s="27" t="str">
        <f>IF(C42&gt;=F42,"-","+")</f>
        <v>+</v>
      </c>
      <c r="H42" s="26">
        <f>C42*D42</f>
        <v>982.12000000000012</v>
      </c>
      <c r="I42" s="26">
        <f>F42*D42</f>
        <v>1075.7483420030132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50.7</v>
      </c>
      <c r="E43" s="107">
        <f>D43/$D$48</f>
        <v>4.1563509370234966E-3</v>
      </c>
      <c r="F43" s="28">
        <f>C43-(C43*$E$6)</f>
        <v>0.43813315766016914</v>
      </c>
      <c r="G43" s="27" t="str">
        <f>IF(C43&gt;=F43,"-","+")</f>
        <v>+</v>
      </c>
      <c r="H43" s="26">
        <f>C43*D43</f>
        <v>20.28</v>
      </c>
      <c r="I43" s="26">
        <f>F43*D43</f>
        <v>22.213351093370576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30</v>
      </c>
      <c r="E44" s="107">
        <f>D44/$D$48</f>
        <v>2.4593792526766251E-3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4.8</v>
      </c>
      <c r="E45" s="107">
        <f>D45/$D$48</f>
        <v>3.9350068042825998E-4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0.39452141057934509</v>
      </c>
      <c r="D46" s="22">
        <f>SUM(D41:D45)</f>
        <v>2540.8000000000002</v>
      </c>
      <c r="E46" s="113">
        <f>D46/$D$48</f>
        <v>0.20829302684002565</v>
      </c>
      <c r="F46" s="20">
        <f>I46/D46</f>
        <v>0.43213227845418128</v>
      </c>
      <c r="G46" s="19">
        <f>F46/C46-1</f>
        <v>9.5332894150422787E-2</v>
      </c>
      <c r="H46" s="18">
        <f>SUM(H41:H44)</f>
        <v>1002.4000000000001</v>
      </c>
      <c r="I46" s="18">
        <f>SUM(I41:I44)</f>
        <v>1097.9616930963839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95.85157881096471</v>
      </c>
      <c r="D48" s="13">
        <f>D24+D32+D40+D46</f>
        <v>12198.199999999997</v>
      </c>
      <c r="E48" s="12">
        <f>SUM(E20:E46)/2</f>
        <v>1.0000000000000002</v>
      </c>
      <c r="F48" s="11">
        <f>I48/D48</f>
        <v>25.620000000000005</v>
      </c>
      <c r="G48" s="10"/>
      <c r="H48" s="9">
        <f>SUM(H20:H46)/2</f>
        <v>285317.72000000003</v>
      </c>
      <c r="I48" s="9">
        <f>SUM(I20:I46)/2</f>
        <v>312517.88399999996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12198.199999999999</v>
      </c>
      <c r="E50" s="12">
        <f>D50/G2</f>
        <v>0.99999999999999989</v>
      </c>
      <c r="F50" s="11">
        <f>I50/D50</f>
        <v>25.619999999999997</v>
      </c>
      <c r="G50" s="10"/>
      <c r="H50" s="9">
        <f>H48+H19</f>
        <v>285317.72000000003</v>
      </c>
      <c r="I50" s="9">
        <f>I48+I19</f>
        <v>312517.88399999996</v>
      </c>
      <c r="J50" s="106">
        <f>D50-G2</f>
        <v>0</v>
      </c>
      <c r="K50" s="8"/>
    </row>
    <row r="51" spans="1:11" ht="23.25" x14ac:dyDescent="0.35">
      <c r="A51" s="174" t="s">
        <v>651</v>
      </c>
      <c r="B51" s="169"/>
      <c r="C51" s="170"/>
      <c r="G51" s="7"/>
      <c r="H51" s="6"/>
      <c r="I51" s="6">
        <f>+I50/D50</f>
        <v>25.619999999999997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>
    <tabColor rgb="FF92D050"/>
  </sheetPr>
  <dimension ref="A1:K56"/>
  <sheetViews>
    <sheetView topLeftCell="A5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652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652</v>
      </c>
      <c r="D2" s="96" t="s">
        <v>3</v>
      </c>
      <c r="E2" s="95" t="s">
        <v>71</v>
      </c>
      <c r="F2" s="94" t="s">
        <v>5</v>
      </c>
      <c r="G2" s="93">
        <v>18357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234</v>
      </c>
      <c r="F3" s="88" t="s">
        <v>8</v>
      </c>
      <c r="G3" s="87">
        <v>28.4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78.448717948717942</v>
      </c>
      <c r="F4" s="81" t="s">
        <v>12</v>
      </c>
      <c r="G4" s="80">
        <f>G2*G3</f>
        <v>521338.8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-5.4980235420618584E-3</v>
      </c>
      <c r="F6" s="69" t="s">
        <v>16</v>
      </c>
      <c r="G6" s="68">
        <f>(I50-I19)/(D50-(SUM(D42:D44)+D19))</f>
        <v>33.731821887495627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 t="e">
        <f t="shared" ref="E10:E19" si="1">D10/$D$19</f>
        <v>#DIV/0!</v>
      </c>
      <c r="F10" s="28">
        <f t="shared" ref="F10:F18" si="2">C10-(C10*$E$6)</f>
        <v>28.556143868594557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/>
      <c r="E11" s="29" t="e">
        <f t="shared" si="1"/>
        <v>#DIV/0!</v>
      </c>
      <c r="F11" s="28">
        <f t="shared" si="2"/>
        <v>29.762741496845031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/>
      <c r="E12" s="29" t="e">
        <f t="shared" si="1"/>
        <v>#DIV/0!</v>
      </c>
      <c r="F12" s="28">
        <f t="shared" si="2"/>
        <v>27.148446635635672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/>
      <c r="E13" s="29" t="e">
        <f t="shared" si="1"/>
        <v>#DIV/0!</v>
      </c>
      <c r="F13" s="28">
        <f t="shared" si="2"/>
        <v>29.762741496845031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 t="e">
        <f t="shared" si="1"/>
        <v>#DIV/0!</v>
      </c>
      <c r="F14" s="28">
        <f t="shared" si="2"/>
        <v>33.281984579242248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/>
      <c r="E15" s="29" t="e">
        <f t="shared" si="1"/>
        <v>#DIV/0!</v>
      </c>
      <c r="F15" s="28">
        <f t="shared" si="2"/>
        <v>27.450096042698288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 t="e">
        <f t="shared" si="1"/>
        <v>#DIV/0!</v>
      </c>
      <c r="F16" s="28">
        <f t="shared" si="2"/>
        <v>37.505076278118906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54.9</v>
      </c>
      <c r="D17" s="30"/>
      <c r="E17" s="29" t="e">
        <f t="shared" si="1"/>
        <v>#DIV/0!</v>
      </c>
      <c r="F17" s="28">
        <f t="shared" si="2"/>
        <v>55.201841492459195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48.1</v>
      </c>
      <c r="D18" s="30"/>
      <c r="E18" s="29" t="e">
        <f t="shared" si="1"/>
        <v>#DIV/0!</v>
      </c>
      <c r="F18" s="28">
        <f t="shared" si="2"/>
        <v>48.364454932373178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71.400000000000006</v>
      </c>
      <c r="D21" s="30">
        <v>225.2</v>
      </c>
      <c r="E21" s="29">
        <f>D21/$D$48</f>
        <v>1.2267799749414391E-2</v>
      </c>
      <c r="F21" s="28">
        <f>C21-(C21*$E$6)</f>
        <v>71.792558880903229</v>
      </c>
      <c r="G21" s="27" t="str">
        <f>IF(C21&gt;=F21,"-","+")</f>
        <v>+</v>
      </c>
      <c r="H21" s="26">
        <f>C21*D21</f>
        <v>16079.28</v>
      </c>
      <c r="I21" s="26">
        <f>F21*D21</f>
        <v>16167.684259979407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</v>
      </c>
      <c r="D22" s="30">
        <v>532.1</v>
      </c>
      <c r="E22" s="29">
        <f>D22/$D$48</f>
        <v>2.8986217791578145E-2</v>
      </c>
      <c r="F22" s="28">
        <f>C22-(C22*$E$6)</f>
        <v>48.263905130018969</v>
      </c>
      <c r="G22" s="27" t="str">
        <f>IF(C22&gt;=F22,"-","+")</f>
        <v>+</v>
      </c>
      <c r="H22" s="26">
        <f>C22*D22</f>
        <v>25540.800000000003</v>
      </c>
      <c r="I22" s="26">
        <f>F22*D22</f>
        <v>25681.223919683096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445.5</v>
      </c>
      <c r="E23" s="29">
        <f>D23/$D$48</f>
        <v>2.4268671351528028E-2</v>
      </c>
      <c r="F23" s="28">
        <f>C23-(C23*$E$6)</f>
        <v>43.940263628788109</v>
      </c>
      <c r="G23" s="27" t="str">
        <f>IF(C23&gt;=F23,"-","+")</f>
        <v>+</v>
      </c>
      <c r="H23" s="26">
        <f>C23*D23</f>
        <v>19468.350000000002</v>
      </c>
      <c r="I23" s="26">
        <f>F23*D23</f>
        <v>19575.387446625104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50.788518456933829</v>
      </c>
      <c r="D24" s="22">
        <f>SUM(D21:D23)</f>
        <v>1202.8</v>
      </c>
      <c r="E24" s="21">
        <f>D24/$D$48</f>
        <v>6.5522688892520567E-2</v>
      </c>
      <c r="F24" s="20">
        <f>I24/D24</f>
        <v>51.0677549270765</v>
      </c>
      <c r="G24" s="19">
        <f>F24/C24-1</f>
        <v>5.4980235420618584E-3</v>
      </c>
      <c r="H24" s="18">
        <f>SUM(H21:H23)</f>
        <v>61088.430000000008</v>
      </c>
      <c r="I24" s="18">
        <f>SUM(I21:I23)</f>
        <v>61424.295626287611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38.1</v>
      </c>
      <c r="D26" s="30">
        <v>3510.6</v>
      </c>
      <c r="E26" s="29">
        <f t="shared" ref="E26:E32" si="7">D26/$D$48</f>
        <v>0.19124039875796697</v>
      </c>
      <c r="F26" s="28">
        <f t="shared" ref="F26:F31" si="8">C26-(C26*$E$6)</f>
        <v>38.309474696952556</v>
      </c>
      <c r="G26" s="27" t="str">
        <f t="shared" ref="G26:G31" si="9">IF(C26&gt;=F26,"-","+")</f>
        <v>+</v>
      </c>
      <c r="H26" s="26">
        <f t="shared" ref="H26:H31" si="10">C26*D26</f>
        <v>133753.86000000002</v>
      </c>
      <c r="I26" s="26">
        <f t="shared" ref="I26:I31" si="11">F26*D26</f>
        <v>134489.24187112163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2613.6</v>
      </c>
      <c r="E27" s="29">
        <f t="shared" si="7"/>
        <v>0.14237620526229774</v>
      </c>
      <c r="F27" s="28">
        <f t="shared" si="8"/>
        <v>34.086382998075898</v>
      </c>
      <c r="G27" s="27" t="str">
        <f t="shared" si="9"/>
        <v>+</v>
      </c>
      <c r="H27" s="26">
        <f t="shared" si="10"/>
        <v>88601.04</v>
      </c>
      <c r="I27" s="26">
        <f t="shared" si="11"/>
        <v>89088.17060377117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1980.4</v>
      </c>
      <c r="E28" s="29">
        <f t="shared" si="7"/>
        <v>0.10788255161518767</v>
      </c>
      <c r="F28" s="28">
        <f t="shared" si="8"/>
        <v>34.086382998075898</v>
      </c>
      <c r="G28" s="27" t="str">
        <f t="shared" si="9"/>
        <v>+</v>
      </c>
      <c r="H28" s="26">
        <f t="shared" si="10"/>
        <v>67135.56</v>
      </c>
      <c r="I28" s="26">
        <f t="shared" si="11"/>
        <v>67504.672889389505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32.799999999999997</v>
      </c>
      <c r="D29" s="30">
        <v>1633.2</v>
      </c>
      <c r="E29" s="29">
        <f t="shared" si="7"/>
        <v>8.8968785749305446E-2</v>
      </c>
      <c r="F29" s="28">
        <f t="shared" si="8"/>
        <v>32.980335172179629</v>
      </c>
      <c r="G29" s="27" t="str">
        <f t="shared" si="9"/>
        <v>+</v>
      </c>
      <c r="H29" s="26">
        <f t="shared" si="10"/>
        <v>53568.959999999999</v>
      </c>
      <c r="I29" s="26">
        <f t="shared" si="11"/>
        <v>53863.483403203769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32.799999999999997</v>
      </c>
      <c r="D30" s="30">
        <v>1229.9000000000001</v>
      </c>
      <c r="E30" s="29">
        <f t="shared" si="7"/>
        <v>6.6998964972490069E-2</v>
      </c>
      <c r="F30" s="28">
        <f t="shared" si="8"/>
        <v>32.980335172179629</v>
      </c>
      <c r="G30" s="27" t="str">
        <f t="shared" si="9"/>
        <v>+</v>
      </c>
      <c r="H30" s="26">
        <f t="shared" si="10"/>
        <v>40340.720000000001</v>
      </c>
      <c r="I30" s="26">
        <f t="shared" si="11"/>
        <v>40562.514228263732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497.5</v>
      </c>
      <c r="E31" s="29">
        <f t="shared" si="7"/>
        <v>2.7101378220842187E-2</v>
      </c>
      <c r="F31" s="28">
        <f t="shared" si="8"/>
        <v>33.583633986304868</v>
      </c>
      <c r="G31" s="27" t="str">
        <f t="shared" si="9"/>
        <v>+</v>
      </c>
      <c r="H31" s="26">
        <f t="shared" si="10"/>
        <v>16616.5</v>
      </c>
      <c r="I31" s="26">
        <f t="shared" si="11"/>
        <v>16707.85790818667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34.889634720720089</v>
      </c>
      <c r="D32" s="22">
        <f>SUM(D26:D31)</f>
        <v>11465.2</v>
      </c>
      <c r="E32" s="21">
        <f t="shared" si="7"/>
        <v>0.6245682845780901</v>
      </c>
      <c r="F32" s="20">
        <f>I32/D32</f>
        <v>35.081458753788553</v>
      </c>
      <c r="G32" s="19">
        <f>F32/C32-1</f>
        <v>5.4980235420620804E-3</v>
      </c>
      <c r="H32" s="18">
        <f>SUM(H26:H31)</f>
        <v>400016.64000000001</v>
      </c>
      <c r="I32" s="18">
        <f>SUM(I26:I31)</f>
        <v>402215.94090393651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2782.7</v>
      </c>
      <c r="E34" s="29">
        <f t="shared" ref="E34:E40" si="13">D34/$D$48</f>
        <v>0.151587950100779</v>
      </c>
      <c r="F34" s="28">
        <f t="shared" ref="F34:F39" si="14">C34-(C34*$E$6)</f>
        <v>20.210510273195446</v>
      </c>
      <c r="G34" s="27" t="str">
        <f t="shared" ref="G34:G39" si="15">IF(C34&gt;=F34,"-","+")</f>
        <v>+</v>
      </c>
      <c r="H34" s="26">
        <f t="shared" ref="H34:H39" si="16">C34*D34</f>
        <v>55932.27</v>
      </c>
      <c r="I34" s="26">
        <f t="shared" ref="I34:I39" si="17">F34*D34</f>
        <v>56239.786937220961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15.484669562547753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12.468175491921567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32.799999999999997</v>
      </c>
      <c r="D37" s="30"/>
      <c r="E37" s="29">
        <f t="shared" si="13"/>
        <v>0</v>
      </c>
      <c r="F37" s="28">
        <f t="shared" si="14"/>
        <v>32.980335172179629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32.799999999999997</v>
      </c>
      <c r="D38" s="30"/>
      <c r="E38" s="29">
        <f t="shared" si="13"/>
        <v>0</v>
      </c>
      <c r="F38" s="28">
        <f t="shared" si="14"/>
        <v>32.980335172179629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34.086382998075898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2782.7</v>
      </c>
      <c r="E40" s="113">
        <f t="shared" si="13"/>
        <v>0.151587950100779</v>
      </c>
      <c r="F40" s="20">
        <f>I40/D40</f>
        <v>20.210510273195446</v>
      </c>
      <c r="G40" s="19">
        <f>F40/C40-1</f>
        <v>5.4980235420618584E-3</v>
      </c>
      <c r="H40" s="18">
        <f>SUM(H34:H39)</f>
        <v>55932.27</v>
      </c>
      <c r="I40" s="18">
        <f>SUM(I34:I39)</f>
        <v>56239.786937220961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2743</v>
      </c>
      <c r="E42" s="107">
        <f>D42/$D$48</f>
        <v>0.14942528735632185</v>
      </c>
      <c r="F42" s="28">
        <f>C42-(C42*$E$6)</f>
        <v>0.50274901177103093</v>
      </c>
      <c r="G42" s="27" t="str">
        <f>IF(C42&gt;=F42,"-","+")</f>
        <v>+</v>
      </c>
      <c r="H42" s="26">
        <f>C42*D42</f>
        <v>1371.5</v>
      </c>
      <c r="I42" s="26">
        <f>F42*D42</f>
        <v>1379.0405392879379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158.6</v>
      </c>
      <c r="E43" s="107">
        <f>D43/$D$48</f>
        <v>8.6397559514081821E-3</v>
      </c>
      <c r="F43" s="28">
        <f>C43-(C43*$E$6)</f>
        <v>0.50274901177103093</v>
      </c>
      <c r="G43" s="27" t="str">
        <f>IF(C43&gt;=F43,"-","+")</f>
        <v>+</v>
      </c>
      <c r="H43" s="26">
        <f>C43*D43</f>
        <v>79.3</v>
      </c>
      <c r="I43" s="26">
        <f>F43*D43</f>
        <v>79.735993266885501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2.5603312088031815E-4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0.4991914117606579</v>
      </c>
      <c r="D46" s="22">
        <f>SUM(D41:D45)</f>
        <v>2906.2999999999997</v>
      </c>
      <c r="E46" s="113">
        <f>D46/$D$48</f>
        <v>0.15832107642861032</v>
      </c>
      <c r="F46" s="20">
        <f>I46/D46</f>
        <v>0.50193597789451316</v>
      </c>
      <c r="G46" s="19">
        <f>F46/C46-1</f>
        <v>5.4980235420620804E-3</v>
      </c>
      <c r="H46" s="18">
        <f>SUM(H41:H44)</f>
        <v>1450.8</v>
      </c>
      <c r="I46" s="18">
        <f>SUM(I41:I44)</f>
        <v>1458.7765325548235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106.27734458941457</v>
      </c>
      <c r="D48" s="13">
        <f>D24+D32+D40+D46</f>
        <v>18357</v>
      </c>
      <c r="E48" s="12">
        <f>SUM(E20:E46)/2</f>
        <v>1</v>
      </c>
      <c r="F48" s="11">
        <f>I48/D48</f>
        <v>28.399999999999991</v>
      </c>
      <c r="G48" s="10"/>
      <c r="H48" s="9">
        <f>SUM(H20:H46)/2</f>
        <v>518488.14000000007</v>
      </c>
      <c r="I48" s="9">
        <f>SUM(I20:I46)/2</f>
        <v>521338.79999999987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18357</v>
      </c>
      <c r="E50" s="12">
        <f>D50/G2</f>
        <v>1</v>
      </c>
      <c r="F50" s="11">
        <f>I50/D50</f>
        <v>28.399999999999991</v>
      </c>
      <c r="G50" s="10"/>
      <c r="H50" s="9">
        <f>H48+H19</f>
        <v>518488.14000000007</v>
      </c>
      <c r="I50" s="9">
        <f>I48+I19</f>
        <v>521338.79999999987</v>
      </c>
      <c r="J50" s="106">
        <f>D50-G2</f>
        <v>0</v>
      </c>
      <c r="K50" s="8"/>
    </row>
    <row r="51" spans="1:11" ht="23.25" x14ac:dyDescent="0.35">
      <c r="A51" s="174" t="s">
        <v>653</v>
      </c>
      <c r="B51" s="169"/>
      <c r="C51" s="170"/>
      <c r="G51" s="7"/>
      <c r="H51" s="6"/>
      <c r="I51" s="6">
        <f>+I50/D50</f>
        <v>28.399999999999991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652</v>
      </c>
      <c r="D1" s="100" t="s">
        <v>1</v>
      </c>
      <c r="E1" s="168" t="s">
        <v>539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652</v>
      </c>
      <c r="D2" s="96" t="s">
        <v>3</v>
      </c>
      <c r="E2" s="95" t="s">
        <v>112</v>
      </c>
      <c r="F2" s="94" t="s">
        <v>5</v>
      </c>
      <c r="G2" s="93">
        <v>16566.8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114</v>
      </c>
      <c r="F3" s="88" t="s">
        <v>8</v>
      </c>
      <c r="G3" s="87">
        <v>25.99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145.32280701754385</v>
      </c>
      <c r="F4" s="81" t="s">
        <v>12</v>
      </c>
      <c r="G4" s="80">
        <f>G2*G3</f>
        <v>430571.13199999998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-4.4319394752809105E-2</v>
      </c>
      <c r="F6" s="69" t="s">
        <v>16</v>
      </c>
      <c r="G6" s="68">
        <f>(I50-I19)/(D50-(SUM(D42:D44)+D19))</f>
        <v>32.158064721799768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>
        <f t="shared" ref="E10:E19" si="1">D10/$D$19</f>
        <v>0</v>
      </c>
      <c r="F10" s="28">
        <f t="shared" ref="F10:F18" si="2">C10-(C10*$E$6)</f>
        <v>27.152304263573036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/>
      <c r="E11" s="29">
        <f t="shared" si="1"/>
        <v>0</v>
      </c>
      <c r="F11" s="28">
        <f t="shared" si="2"/>
        <v>28.301055597801128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>
        <f t="shared" si="1"/>
        <v>0</v>
      </c>
      <c r="F12" s="28">
        <f t="shared" si="2"/>
        <v>25.794689050394386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>
        <f t="shared" si="1"/>
        <v>0</v>
      </c>
      <c r="F13" s="28">
        <f t="shared" si="2"/>
        <v>28.301055597801128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>
        <f t="shared" si="1"/>
        <v>0</v>
      </c>
      <c r="F14" s="28">
        <f t="shared" si="2"/>
        <v>31.642877661010118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>
        <f t="shared" si="1"/>
        <v>0</v>
      </c>
      <c r="F15" s="28">
        <f t="shared" si="2"/>
        <v>26.107984868820228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/>
      <c r="E16" s="29">
        <f t="shared" si="1"/>
        <v>0</v>
      </c>
      <c r="F16" s="28">
        <f t="shared" si="2"/>
        <v>35.715723300546074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>
        <v>84</v>
      </c>
      <c r="E17" s="29">
        <f t="shared" si="1"/>
        <v>1</v>
      </c>
      <c r="F17" s="28">
        <f t="shared" si="2"/>
        <v>52.529265556066292</v>
      </c>
      <c r="G17" s="27" t="str">
        <f t="shared" si="3"/>
        <v>+</v>
      </c>
      <c r="H17" s="34">
        <f t="shared" si="4"/>
        <v>4225.2</v>
      </c>
      <c r="I17" s="34">
        <f t="shared" si="5"/>
        <v>4412.4583067095682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>
        <f t="shared" si="1"/>
        <v>0</v>
      </c>
      <c r="F18" s="28">
        <f t="shared" si="2"/>
        <v>45.950053369123601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50.3</v>
      </c>
      <c r="D19" s="49">
        <f>SUM(D10:D18)</f>
        <v>84</v>
      </c>
      <c r="E19" s="48">
        <f t="shared" si="1"/>
        <v>1</v>
      </c>
      <c r="F19" s="47">
        <f>I19/D19</f>
        <v>52.529265556066285</v>
      </c>
      <c r="G19" s="46">
        <f>F19/C19-1</f>
        <v>4.4319394752808883E-2</v>
      </c>
      <c r="H19" s="9">
        <f>SUM(H10:H18)</f>
        <v>4225.2</v>
      </c>
      <c r="I19" s="9">
        <f>SUM(I10:I18)</f>
        <v>4412.4583067095682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192.1</v>
      </c>
      <c r="E21" s="29">
        <f>D21/$D$48</f>
        <v>1.1654573252117356E-2</v>
      </c>
      <c r="F21" s="28">
        <f>C21-(C21*$E$6)</f>
        <v>68.29848841683372</v>
      </c>
      <c r="G21" s="27" t="str">
        <f>IF(C21&gt;=F21,"-","+")</f>
        <v>+</v>
      </c>
      <c r="H21" s="26">
        <f>C21*D21</f>
        <v>12563.34</v>
      </c>
      <c r="I21" s="26">
        <f>F21*D21</f>
        <v>13120.139624873756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398.6</v>
      </c>
      <c r="E22" s="29">
        <f>D22/$D$48</f>
        <v>2.4182784478365322E-2</v>
      </c>
      <c r="F22" s="28">
        <f>C22-(C22*$E$6)</f>
        <v>45.845621429648318</v>
      </c>
      <c r="G22" s="27" t="str">
        <f>IF(C22&gt;=F22,"-","+")</f>
        <v>+</v>
      </c>
      <c r="H22" s="26">
        <f>C22*D22</f>
        <v>17498.54</v>
      </c>
      <c r="I22" s="26">
        <f>F22*D22</f>
        <v>18274.06470185782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288</v>
      </c>
      <c r="E23" s="29">
        <f>D23/$D$48</f>
        <v>1.7472759482612173E-2</v>
      </c>
      <c r="F23" s="28">
        <f>C23-(C23*$E$6)</f>
        <v>41.772775790112362</v>
      </c>
      <c r="G23" s="27" t="str">
        <f>IF(C23&gt;=F23,"-","+")</f>
        <v>+</v>
      </c>
      <c r="H23" s="26">
        <f>C23*D23</f>
        <v>11520</v>
      </c>
      <c r="I23" s="26">
        <f>F23*D23</f>
        <v>12030.55942755236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47.322043928530789</v>
      </c>
      <c r="D24" s="22">
        <f>SUM(D21:D23)</f>
        <v>878.7</v>
      </c>
      <c r="E24" s="21">
        <f>D24/$D$48</f>
        <v>5.3310117213094858E-2</v>
      </c>
      <c r="F24" s="20">
        <f>I24/D24</f>
        <v>49.419328273909109</v>
      </c>
      <c r="G24" s="19">
        <f>F24/C24-1</f>
        <v>4.4319394752808883E-2</v>
      </c>
      <c r="H24" s="18">
        <f>SUM(H21:H23)</f>
        <v>41581.880000000005</v>
      </c>
      <c r="I24" s="18">
        <f>SUM(I21:I23)</f>
        <v>43424.763754283937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f>864+42+2588-375</f>
        <v>3119</v>
      </c>
      <c r="E26" s="29">
        <f t="shared" ref="E26:E32" si="7">D26/$D$48</f>
        <v>0.18922755842453948</v>
      </c>
      <c r="F26" s="28">
        <f t="shared" ref="F26:F31" si="8">C26-(C26*$E$6)</f>
        <v>36.446746876873036</v>
      </c>
      <c r="G26" s="27" t="str">
        <f t="shared" ref="G26:G31" si="9">IF(C26&gt;=F26,"-","+")</f>
        <v>+</v>
      </c>
      <c r="H26" s="26">
        <f t="shared" ref="H26:H31" si="10">C26*D26</f>
        <v>108853.09999999999</v>
      </c>
      <c r="I26" s="26">
        <f t="shared" ref="I26:I31" si="11">F26*D26</f>
        <v>113677.40350896699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2510.5</v>
      </c>
      <c r="E27" s="29">
        <f t="shared" si="7"/>
        <v>0.15231028708714536</v>
      </c>
      <c r="F27" s="28">
        <f t="shared" si="8"/>
        <v>32.478333176812363</v>
      </c>
      <c r="G27" s="27" t="str">
        <f t="shared" si="9"/>
        <v>+</v>
      </c>
      <c r="H27" s="26">
        <f t="shared" si="10"/>
        <v>78076.55</v>
      </c>
      <c r="I27" s="26">
        <f t="shared" si="11"/>
        <v>81536.855440387444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1636.8</v>
      </c>
      <c r="E28" s="29">
        <f t="shared" si="7"/>
        <v>9.9303516392845861E-2</v>
      </c>
      <c r="F28" s="28">
        <f t="shared" si="8"/>
        <v>32.478333176812363</v>
      </c>
      <c r="G28" s="27" t="str">
        <f t="shared" si="9"/>
        <v>+</v>
      </c>
      <c r="H28" s="26">
        <f t="shared" si="10"/>
        <v>50904.480000000003</v>
      </c>
      <c r="I28" s="26">
        <f t="shared" si="11"/>
        <v>53160.535743806475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1604.2</v>
      </c>
      <c r="E29" s="29">
        <f t="shared" si="7"/>
        <v>9.7325697090300173E-2</v>
      </c>
      <c r="F29" s="28">
        <f t="shared" si="8"/>
        <v>31.329581842584272</v>
      </c>
      <c r="G29" s="27" t="str">
        <f t="shared" si="9"/>
        <v>+</v>
      </c>
      <c r="H29" s="26">
        <f t="shared" si="10"/>
        <v>48126</v>
      </c>
      <c r="I29" s="26">
        <f t="shared" si="11"/>
        <v>50258.91519187369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1085</v>
      </c>
      <c r="E30" s="29">
        <f t="shared" si="7"/>
        <v>6.5826194578590999E-2</v>
      </c>
      <c r="F30" s="28">
        <f t="shared" si="8"/>
        <v>31.329581842584272</v>
      </c>
      <c r="G30" s="27" t="str">
        <f t="shared" si="9"/>
        <v>+</v>
      </c>
      <c r="H30" s="26">
        <f t="shared" si="10"/>
        <v>32550</v>
      </c>
      <c r="I30" s="26">
        <f t="shared" si="11"/>
        <v>33992.596299203935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30.5</v>
      </c>
      <c r="D31" s="30">
        <v>251.2</v>
      </c>
      <c r="E31" s="29">
        <f t="shared" si="7"/>
        <v>1.5240129104278397E-2</v>
      </c>
      <c r="F31" s="28">
        <f t="shared" si="8"/>
        <v>31.851741539960678</v>
      </c>
      <c r="G31" s="27" t="str">
        <f t="shared" si="9"/>
        <v>+</v>
      </c>
      <c r="H31" s="26">
        <f t="shared" si="10"/>
        <v>7661.5999999999995</v>
      </c>
      <c r="I31" s="26">
        <f t="shared" si="11"/>
        <v>8001.1574748381217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31.956629468878283</v>
      </c>
      <c r="D32" s="22">
        <f>SUM(D26:D31)</f>
        <v>10206.700000000001</v>
      </c>
      <c r="E32" s="21">
        <f t="shared" si="7"/>
        <v>0.61923338267770034</v>
      </c>
      <c r="F32" s="20">
        <f>I32/D32</f>
        <v>33.372927945278754</v>
      </c>
      <c r="G32" s="19">
        <f>F32/C32-1</f>
        <v>4.4319394752809105E-2</v>
      </c>
      <c r="H32" s="18">
        <f>SUM(H26:H31)</f>
        <v>326171.73</v>
      </c>
      <c r="I32" s="18">
        <f>SUM(I26:I31)</f>
        <v>340627.46365907666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f>2578.9-578</f>
        <v>2000.9</v>
      </c>
      <c r="E34" s="29">
        <f t="shared" ref="E34:E40" si="13">D34/$D$48</f>
        <v>0.12139320989152327</v>
      </c>
      <c r="F34" s="28">
        <f t="shared" ref="F34:F39" si="14">C34-(C34*$E$6)</f>
        <v>19.215476863451688</v>
      </c>
      <c r="G34" s="27" t="str">
        <f t="shared" ref="G34:G39" si="15">IF(C34&gt;=F34,"-","+")</f>
        <v>+</v>
      </c>
      <c r="H34" s="26">
        <f t="shared" ref="H34:H39" si="16">C34*D34</f>
        <v>36816.559999999998</v>
      </c>
      <c r="I34" s="26">
        <f t="shared" ref="I34:I39" si="17">F34*D34</f>
        <v>38448.247656080486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>
        <v>157.1</v>
      </c>
      <c r="E35" s="29">
        <f t="shared" si="13"/>
        <v>9.5311476205499051E-3</v>
      </c>
      <c r="F35" s="28">
        <f t="shared" si="14"/>
        <v>14.724903466014608</v>
      </c>
      <c r="G35" s="27" t="str">
        <f t="shared" si="15"/>
        <v>+</v>
      </c>
      <c r="H35" s="26">
        <f t="shared" si="16"/>
        <v>2215.1099999999997</v>
      </c>
      <c r="I35" s="26">
        <f t="shared" si="17"/>
        <v>2313.282334510895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11.800809160706743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31.329581842584272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31.329581842584272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32.478333176812363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18.086964782205744</v>
      </c>
      <c r="D40" s="22">
        <f>SUM(D34:D39)</f>
        <v>2158</v>
      </c>
      <c r="E40" s="113">
        <f t="shared" si="13"/>
        <v>0.13092435751207318</v>
      </c>
      <c r="F40" s="20">
        <f>I40/D40</f>
        <v>18.88856811426848</v>
      </c>
      <c r="G40" s="19">
        <f>F40/C40-1</f>
        <v>4.4319394752809327E-2</v>
      </c>
      <c r="H40" s="18">
        <f>SUM(H34:H39)</f>
        <v>39031.67</v>
      </c>
      <c r="I40" s="18">
        <f>SUM(I34:I39)</f>
        <v>40761.529990591378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3089</v>
      </c>
      <c r="E42" s="107">
        <f>D42/$D$48</f>
        <v>0.18740747931176738</v>
      </c>
      <c r="F42" s="28">
        <f>C42-(C42*$E$6)</f>
        <v>0.41772775790112365</v>
      </c>
      <c r="G42" s="27" t="str">
        <f>IF(C42&gt;=F42,"-","+")</f>
        <v>+</v>
      </c>
      <c r="H42" s="26">
        <f>C42*D42</f>
        <v>1235.6000000000001</v>
      </c>
      <c r="I42" s="26">
        <f>F42*D42</f>
        <v>1290.3610441565709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130.6</v>
      </c>
      <c r="E43" s="107">
        <f>D43/$D$48</f>
        <v>7.9234110709345482E-3</v>
      </c>
      <c r="F43" s="28">
        <f>C43-(C43*$E$6)</f>
        <v>0.41772775790112365</v>
      </c>
      <c r="G43" s="27" t="str">
        <f>IF(C43&gt;=F43,"-","+")</f>
        <v>+</v>
      </c>
      <c r="H43" s="26">
        <f>C43*D43</f>
        <v>52.24</v>
      </c>
      <c r="I43" s="26">
        <f>F43*D43</f>
        <v>54.555245181886747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11.2</v>
      </c>
      <c r="E44" s="107">
        <f>D44/$D$48</f>
        <v>6.7949620210158452E-4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8.6</v>
      </c>
      <c r="E45" s="107">
        <f>D45/$D$48</f>
        <v>5.217560123280024E-4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0.39755510279681433</v>
      </c>
      <c r="D46" s="22">
        <f>SUM(D41:D45)</f>
        <v>3239.3999999999996</v>
      </c>
      <c r="E46" s="113">
        <f>D46/$D$48</f>
        <v>0.1965321425971315</v>
      </c>
      <c r="F46" s="20">
        <f>I46/D46</f>
        <v>0.41517450433365982</v>
      </c>
      <c r="G46" s="19">
        <f>F46/C46-1</f>
        <v>4.4319394752808883E-2</v>
      </c>
      <c r="H46" s="18">
        <f>SUM(H41:H44)</f>
        <v>1287.8400000000001</v>
      </c>
      <c r="I46" s="18">
        <f>SUM(I41:I44)</f>
        <v>1344.9162893384575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97.763193282411635</v>
      </c>
      <c r="D48" s="13">
        <f>D24+D32+D40+D46</f>
        <v>16482.800000000003</v>
      </c>
      <c r="E48" s="12">
        <f>SUM(E20:E46)/2</f>
        <v>0.99999999999999978</v>
      </c>
      <c r="F48" s="11">
        <f>I48/D48</f>
        <v>25.854750023860657</v>
      </c>
      <c r="G48" s="10"/>
      <c r="H48" s="9">
        <f>SUM(H20:H46)/2</f>
        <v>408073.12</v>
      </c>
      <c r="I48" s="9">
        <f>SUM(I20:I46)/2</f>
        <v>426158.6736932905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16566.8</v>
      </c>
      <c r="E50" s="12">
        <f>D50/G2</f>
        <v>1</v>
      </c>
      <c r="F50" s="11">
        <f>I50/D50</f>
        <v>25.990000000000006</v>
      </c>
      <c r="G50" s="10"/>
      <c r="H50" s="9">
        <f>H48+H19</f>
        <v>412298.32</v>
      </c>
      <c r="I50" s="9">
        <f>I48+I19</f>
        <v>430571.1320000001</v>
      </c>
      <c r="J50" s="106">
        <f>D50-G2</f>
        <v>0</v>
      </c>
      <c r="K50" s="8"/>
    </row>
    <row r="51" spans="1:11" ht="23.25" x14ac:dyDescent="0.35">
      <c r="A51" s="174" t="s">
        <v>654</v>
      </c>
      <c r="B51" s="169"/>
      <c r="C51" s="170"/>
      <c r="G51" s="7"/>
      <c r="H51" s="6"/>
      <c r="I51" s="6">
        <f>+I50/D50</f>
        <v>25.990000000000006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652</v>
      </c>
      <c r="D1" s="100" t="s">
        <v>1</v>
      </c>
      <c r="E1" s="168" t="s">
        <v>539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655</v>
      </c>
      <c r="D2" s="96" t="s">
        <v>3</v>
      </c>
      <c r="E2" s="95" t="s">
        <v>71</v>
      </c>
      <c r="F2" s="94" t="s">
        <v>5</v>
      </c>
      <c r="G2" s="93">
        <v>206.2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4</v>
      </c>
      <c r="F3" s="88" t="s">
        <v>8</v>
      </c>
      <c r="G3" s="87">
        <v>28.5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51.55</v>
      </c>
      <c r="F4" s="81" t="s">
        <v>12</v>
      </c>
      <c r="G4" s="80">
        <f>G2*G3</f>
        <v>5876.7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1.8277311977227595E-2</v>
      </c>
      <c r="F6" s="69" t="s">
        <v>16</v>
      </c>
      <c r="G6" s="68">
        <f>(I50-I19)/(D50-(SUM(D42:D44)+D19))</f>
        <v>34.528202115158628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 t="e">
        <f t="shared" ref="E10:E19" si="1">D10/$D$19</f>
        <v>#DIV/0!</v>
      </c>
      <c r="F10" s="28">
        <f t="shared" ref="F10:F18" si="2">C10-(C10*$E$6)</f>
        <v>27.979096608649012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29.7</v>
      </c>
      <c r="D11" s="30"/>
      <c r="E11" s="29" t="e">
        <f t="shared" si="1"/>
        <v>#DIV/0!</v>
      </c>
      <c r="F11" s="28">
        <f t="shared" si="2"/>
        <v>29.157163834276339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/>
      <c r="E12" s="29" t="e">
        <f t="shared" si="1"/>
        <v>#DIV/0!</v>
      </c>
      <c r="F12" s="28">
        <f t="shared" si="2"/>
        <v>26.604684845417133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29.7</v>
      </c>
      <c r="D13" s="30"/>
      <c r="E13" s="29" t="e">
        <f t="shared" si="1"/>
        <v>#DIV/0!</v>
      </c>
      <c r="F13" s="28">
        <f t="shared" si="2"/>
        <v>29.157163834276339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33.200000000000003</v>
      </c>
      <c r="D14" s="30"/>
      <c r="E14" s="29" t="e">
        <f t="shared" si="1"/>
        <v>#DIV/0!</v>
      </c>
      <c r="F14" s="28">
        <f t="shared" si="2"/>
        <v>32.593193242356044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27.4</v>
      </c>
      <c r="D15" s="30"/>
      <c r="E15" s="29" t="e">
        <f t="shared" si="1"/>
        <v>#DIV/0!</v>
      </c>
      <c r="F15" s="28">
        <f t="shared" si="2"/>
        <v>26.899201651823962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37.5</v>
      </c>
      <c r="D16" s="30"/>
      <c r="E16" s="29" t="e">
        <f t="shared" si="1"/>
        <v>#DIV/0!</v>
      </c>
      <c r="F16" s="28">
        <f t="shared" si="2"/>
        <v>36.814600800853967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 t="e">
        <f t="shared" si="1"/>
        <v>#DIV/0!</v>
      </c>
      <c r="F17" s="28">
        <f t="shared" si="2"/>
        <v>54.092920110054763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48.3</v>
      </c>
      <c r="D18" s="30"/>
      <c r="E18" s="29" t="e">
        <f t="shared" si="1"/>
        <v>#DIV/0!</v>
      </c>
      <c r="F18" s="28">
        <f t="shared" si="2"/>
        <v>47.417205831499906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71.7</v>
      </c>
      <c r="D21" s="30">
        <v>2.9</v>
      </c>
      <c r="E21" s="29">
        <f>D21/$D$48</f>
        <v>1.408450704225352E-2</v>
      </c>
      <c r="F21" s="28">
        <f>C21-(C21*$E$6)</f>
        <v>70.389516731232789</v>
      </c>
      <c r="G21" s="27" t="str">
        <f>IF(C21&gt;=F21,"-","+")</f>
        <v>-</v>
      </c>
      <c r="H21" s="26">
        <f>C21*D21</f>
        <v>207.93</v>
      </c>
      <c r="I21" s="26">
        <f>F21*D21</f>
        <v>204.12959852057509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6.7</v>
      </c>
      <c r="E22" s="29">
        <f>D22/$D$48</f>
        <v>3.2540067994171931E-2</v>
      </c>
      <c r="F22" s="28">
        <f>C22-(C22*$E$6)</f>
        <v>47.220861293895354</v>
      </c>
      <c r="G22" s="27" t="str">
        <f>IF(C22&gt;=F22,"-","+")</f>
        <v>-</v>
      </c>
      <c r="H22" s="26">
        <f>C22*D22</f>
        <v>322.27000000000004</v>
      </c>
      <c r="I22" s="26">
        <f>F22*D22</f>
        <v>316.37977066909889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43.9</v>
      </c>
      <c r="D23" s="30">
        <v>5.7</v>
      </c>
      <c r="E23" s="29">
        <f>D23/$D$48</f>
        <v>2.7683341427877612E-2</v>
      </c>
      <c r="F23" s="28">
        <f>C23-(C23*$E$6)</f>
        <v>43.097626004199711</v>
      </c>
      <c r="G23" s="27" t="str">
        <f>IF(C23&gt;=F23,"-","+")</f>
        <v>-</v>
      </c>
      <c r="H23" s="26">
        <f>C23*D23</f>
        <v>250.23</v>
      </c>
      <c r="I23" s="26">
        <f>F23*D23</f>
        <v>245.65646822393836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51.008496732026146</v>
      </c>
      <c r="D24" s="22">
        <f>SUM(D21:D23)</f>
        <v>15.3</v>
      </c>
      <c r="E24" s="21">
        <f>D24/$D$48</f>
        <v>7.4307916464303056E-2</v>
      </c>
      <c r="F24" s="20">
        <f>I24/D24</f>
        <v>50.076198523765505</v>
      </c>
      <c r="G24" s="19">
        <f>F24/C24-1</f>
        <v>-1.8277311977227706E-2</v>
      </c>
      <c r="H24" s="18">
        <f>SUM(H21:H23)</f>
        <v>780.43000000000006</v>
      </c>
      <c r="I24" s="18">
        <f>SUM(I21:I23)</f>
        <v>766.16583741361228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v>45</v>
      </c>
      <c r="E26" s="29">
        <f t="shared" ref="E26:E32" si="7">D26/$D$48</f>
        <v>0.2185526954832443</v>
      </c>
      <c r="F26" s="28">
        <f t="shared" ref="F26:F31" si="8">C26-(C26*$E$6)</f>
        <v>37.501806682469912</v>
      </c>
      <c r="G26" s="27" t="str">
        <f t="shared" ref="G26:G31" si="9">IF(C26&gt;=F26,"-","+")</f>
        <v>-</v>
      </c>
      <c r="H26" s="26">
        <f t="shared" ref="H26:H31" si="10">C26*D26</f>
        <v>1719.0000000000002</v>
      </c>
      <c r="I26" s="26">
        <f t="shared" ref="I26:I31" si="11">F26*D26</f>
        <v>1687.581300711146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34.1</v>
      </c>
      <c r="D27" s="30">
        <v>28.1</v>
      </c>
      <c r="E27" s="29">
        <f t="shared" si="7"/>
        <v>0.13647401651287033</v>
      </c>
      <c r="F27" s="28">
        <f t="shared" si="8"/>
        <v>33.476743661576542</v>
      </c>
      <c r="G27" s="27" t="str">
        <f t="shared" si="9"/>
        <v>-</v>
      </c>
      <c r="H27" s="26">
        <f t="shared" si="10"/>
        <v>958.21</v>
      </c>
      <c r="I27" s="26">
        <f t="shared" si="11"/>
        <v>940.69649689030086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34.1</v>
      </c>
      <c r="D28" s="30">
        <v>22.6</v>
      </c>
      <c r="E28" s="29">
        <f t="shared" si="7"/>
        <v>0.10976202039825159</v>
      </c>
      <c r="F28" s="28">
        <f t="shared" si="8"/>
        <v>33.476743661576542</v>
      </c>
      <c r="G28" s="27" t="str">
        <f t="shared" si="9"/>
        <v>-</v>
      </c>
      <c r="H28" s="26">
        <f t="shared" si="10"/>
        <v>770.66000000000008</v>
      </c>
      <c r="I28" s="26">
        <f t="shared" si="11"/>
        <v>756.57440675162991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20</v>
      </c>
      <c r="E29" s="29">
        <f t="shared" si="7"/>
        <v>9.7134531325886356E-2</v>
      </c>
      <c r="F29" s="28">
        <f t="shared" si="8"/>
        <v>32.298676435949211</v>
      </c>
      <c r="G29" s="27" t="str">
        <f t="shared" si="9"/>
        <v>-</v>
      </c>
      <c r="H29" s="26">
        <f t="shared" si="10"/>
        <v>658</v>
      </c>
      <c r="I29" s="26">
        <f t="shared" si="11"/>
        <v>645.9735287189842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16.899999999999999</v>
      </c>
      <c r="E30" s="29">
        <f t="shared" si="7"/>
        <v>8.2078678970373964E-2</v>
      </c>
      <c r="F30" s="28">
        <f t="shared" si="8"/>
        <v>32.298676435949211</v>
      </c>
      <c r="G30" s="27" t="str">
        <f t="shared" si="9"/>
        <v>-</v>
      </c>
      <c r="H30" s="26">
        <f t="shared" si="10"/>
        <v>556.00999999999988</v>
      </c>
      <c r="I30" s="26">
        <f t="shared" si="11"/>
        <v>545.84763176754166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6.1</v>
      </c>
      <c r="E31" s="29">
        <f t="shared" si="7"/>
        <v>2.9626032054395336E-2</v>
      </c>
      <c r="F31" s="28">
        <f t="shared" si="8"/>
        <v>32.887710048762877</v>
      </c>
      <c r="G31" s="27" t="str">
        <f t="shared" si="9"/>
        <v>-</v>
      </c>
      <c r="H31" s="26">
        <f t="shared" si="10"/>
        <v>204.35</v>
      </c>
      <c r="I31" s="26">
        <f t="shared" si="11"/>
        <v>200.61503129745353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35.084571016582558</v>
      </c>
      <c r="D32" s="22">
        <f>SUM(D26:D31)</f>
        <v>138.69999999999999</v>
      </c>
      <c r="E32" s="21">
        <f t="shared" si="7"/>
        <v>0.67362797474502178</v>
      </c>
      <c r="F32" s="20">
        <f>I32/D32</f>
        <v>34.443319366525273</v>
      </c>
      <c r="G32" s="19">
        <f>F32/C32-1</f>
        <v>-1.8277311977227817E-2</v>
      </c>
      <c r="H32" s="18">
        <f>SUM(H26:H31)</f>
        <v>4866.2300000000005</v>
      </c>
      <c r="I32" s="18">
        <f>SUM(I26:I31)</f>
        <v>4777.2883961370553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16</v>
      </c>
      <c r="E34" s="29">
        <f t="shared" ref="E34:E40" si="13">D34/$D$48</f>
        <v>7.7707625060709079E-2</v>
      </c>
      <c r="F34" s="28">
        <f t="shared" ref="F34:F39" si="14">C34-(C34*$E$6)</f>
        <v>19.732626029257727</v>
      </c>
      <c r="G34" s="27" t="str">
        <f t="shared" ref="G34:G39" si="15">IF(C34&gt;=F34,"-","+")</f>
        <v>-</v>
      </c>
      <c r="H34" s="26">
        <f t="shared" ref="H34:H39" si="16">C34*D34</f>
        <v>321.60000000000002</v>
      </c>
      <c r="I34" s="26">
        <f t="shared" ref="I34:I39" si="17">F34*D34</f>
        <v>315.72201646812363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15.216701664352973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12.173361331482377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32.298676435949211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32.298676435949211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34.1</v>
      </c>
      <c r="D39" s="30"/>
      <c r="E39" s="29">
        <f t="shared" si="13"/>
        <v>0</v>
      </c>
      <c r="F39" s="28">
        <f t="shared" si="14"/>
        <v>33.476743661576542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16</v>
      </c>
      <c r="E40" s="113">
        <f t="shared" si="13"/>
        <v>7.7707625060709079E-2</v>
      </c>
      <c r="F40" s="20">
        <f>I40/D40</f>
        <v>19.732626029257727</v>
      </c>
      <c r="G40" s="19">
        <f>F40/C40-1</f>
        <v>-1.8277311977227595E-2</v>
      </c>
      <c r="H40" s="18">
        <f>SUM(H34:H39)</f>
        <v>321.60000000000002</v>
      </c>
      <c r="I40" s="18">
        <f>SUM(I34:I39)</f>
        <v>315.72201646812363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35</v>
      </c>
      <c r="E42" s="107">
        <f>D42/$D$48</f>
        <v>0.16998542982030113</v>
      </c>
      <c r="F42" s="28">
        <f>C42-(C42*$E$6)</f>
        <v>0.4908613440113862</v>
      </c>
      <c r="G42" s="27" t="str">
        <f>IF(C42&gt;=F42,"-","+")</f>
        <v>-</v>
      </c>
      <c r="H42" s="26">
        <f>C42*D42</f>
        <v>17.5</v>
      </c>
      <c r="I42" s="26">
        <f>F42*D42</f>
        <v>17.180147040398516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0.7</v>
      </c>
      <c r="E43" s="107">
        <f>D43/$D$48</f>
        <v>3.3997085964060222E-3</v>
      </c>
      <c r="F43" s="28">
        <f>C43-(C43*$E$6)</f>
        <v>0.4908613440113862</v>
      </c>
      <c r="G43" s="27" t="str">
        <f>IF(C43&gt;=F43,"-","+")</f>
        <v>-</v>
      </c>
      <c r="H43" s="26">
        <f>C43*D43</f>
        <v>0.35</v>
      </c>
      <c r="I43" s="26">
        <f>F43*D43</f>
        <v>0.34360294080797033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0.2</v>
      </c>
      <c r="E45" s="107">
        <f>D45/$D$48</f>
        <v>9.713453132588636E-4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0.49721448467966572</v>
      </c>
      <c r="D46" s="22">
        <f>SUM(D41:D45)</f>
        <v>35.900000000000006</v>
      </c>
      <c r="E46" s="113">
        <f>D46/$D$48</f>
        <v>0.17435648372996604</v>
      </c>
      <c r="F46" s="20">
        <f>I46/D46</f>
        <v>0.4881267404235789</v>
      </c>
      <c r="G46" s="19">
        <f>F46/C46-1</f>
        <v>-1.8277311977227817E-2</v>
      </c>
      <c r="H46" s="18">
        <f>SUM(H41:H44)</f>
        <v>17.850000000000001</v>
      </c>
      <c r="I46" s="18">
        <f>SUM(I41:I44)</f>
        <v>17.523749981206485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106.69028223328837</v>
      </c>
      <c r="D48" s="13">
        <f>D24+D32+D40+D46</f>
        <v>205.9</v>
      </c>
      <c r="E48" s="12">
        <f>SUM(E20:E46)/2</f>
        <v>1</v>
      </c>
      <c r="F48" s="11">
        <f>I48/D48</f>
        <v>28.541525012141808</v>
      </c>
      <c r="G48" s="10"/>
      <c r="H48" s="9">
        <f>SUM(H20:H46)/2</f>
        <v>5986.1100000000015</v>
      </c>
      <c r="I48" s="9">
        <f>SUM(I20:I46)/2</f>
        <v>5876.699999999998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205.89999999999998</v>
      </c>
      <c r="E50" s="12">
        <f>D50/G2</f>
        <v>0.99854510184287093</v>
      </c>
      <c r="F50" s="11">
        <f>I50/D50</f>
        <v>28.541525012141811</v>
      </c>
      <c r="G50" s="10"/>
      <c r="H50" s="9">
        <f>H48+H19</f>
        <v>5986.1100000000015</v>
      </c>
      <c r="I50" s="9">
        <f>I48+I19</f>
        <v>5876.699999999998</v>
      </c>
      <c r="J50" s="106">
        <f>D50-G2</f>
        <v>-0.30000000000001137</v>
      </c>
      <c r="K50" s="8"/>
    </row>
    <row r="51" spans="1:11" ht="23.25" x14ac:dyDescent="0.35">
      <c r="A51" s="174" t="s">
        <v>656</v>
      </c>
      <c r="B51" s="169"/>
      <c r="C51" s="170"/>
      <c r="G51" s="7"/>
      <c r="H51" s="6"/>
      <c r="I51" s="6">
        <f>+I50/D50</f>
        <v>28.541525012141811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>
    <tabColor rgb="FF92D050"/>
  </sheetPr>
  <dimension ref="A1:K56"/>
  <sheetViews>
    <sheetView topLeftCell="A40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652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655</v>
      </c>
      <c r="D2" s="96" t="s">
        <v>3</v>
      </c>
      <c r="E2" s="95" t="s">
        <v>71</v>
      </c>
      <c r="F2" s="94" t="s">
        <v>5</v>
      </c>
      <c r="G2" s="93">
        <v>2569.1999999999998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34</v>
      </c>
      <c r="F3" s="88" t="s">
        <v>8</v>
      </c>
      <c r="G3" s="87">
        <v>28.4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75.564705882352939</v>
      </c>
      <c r="F4" s="81" t="s">
        <v>12</v>
      </c>
      <c r="G4" s="80">
        <f>G2*G3</f>
        <v>72965.279999999984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-9.2245522581699824E-3</v>
      </c>
      <c r="F6" s="69" t="s">
        <v>16</v>
      </c>
      <c r="G6" s="68">
        <f>(I50-I19)/(D50-(SUM(D42:D44)+D19))</f>
        <v>33.418949672586756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>
        <f t="shared" ref="E10:E19" si="1">D10/$D$19</f>
        <v>0</v>
      </c>
      <c r="F10" s="28">
        <f t="shared" ref="F10:F18" si="2">C10-(C10*$E$6)</f>
        <v>28.661977284132025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/>
      <c r="E11" s="29">
        <f t="shared" si="1"/>
        <v>0</v>
      </c>
      <c r="F11" s="28">
        <f t="shared" si="2"/>
        <v>29.873046746841833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/>
      <c r="E12" s="29">
        <f t="shared" si="1"/>
        <v>0</v>
      </c>
      <c r="F12" s="28">
        <f t="shared" si="2"/>
        <v>27.24906291097059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>
        <v>540.5</v>
      </c>
      <c r="E13" s="29">
        <f t="shared" si="1"/>
        <v>1</v>
      </c>
      <c r="F13" s="28">
        <f t="shared" si="2"/>
        <v>29.873046746841833</v>
      </c>
      <c r="G13" s="27" t="str">
        <f t="shared" si="3"/>
        <v>+</v>
      </c>
      <c r="H13" s="34">
        <f t="shared" si="4"/>
        <v>15998.800000000001</v>
      </c>
      <c r="I13" s="34">
        <f t="shared" si="5"/>
        <v>16146.381766668012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>
        <f t="shared" si="1"/>
        <v>0</v>
      </c>
      <c r="F14" s="28">
        <f t="shared" si="2"/>
        <v>33.405332679745428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/>
      <c r="E15" s="29">
        <f t="shared" si="1"/>
        <v>0</v>
      </c>
      <c r="F15" s="28">
        <f t="shared" si="2"/>
        <v>27.55183027664804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>
        <f t="shared" si="1"/>
        <v>0</v>
      </c>
      <c r="F16" s="28">
        <f t="shared" si="2"/>
        <v>37.644075799229739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54.9</v>
      </c>
      <c r="D17" s="30"/>
      <c r="E17" s="29">
        <f t="shared" si="1"/>
        <v>0</v>
      </c>
      <c r="F17" s="28">
        <f t="shared" si="2"/>
        <v>55.406427918973527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48.1</v>
      </c>
      <c r="D18" s="30"/>
      <c r="E18" s="29">
        <f t="shared" si="1"/>
        <v>0</v>
      </c>
      <c r="F18" s="28">
        <f t="shared" si="2"/>
        <v>48.543700963617979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29.6</v>
      </c>
      <c r="D19" s="49">
        <f>SUM(D10:D18)</f>
        <v>540.5</v>
      </c>
      <c r="E19" s="48">
        <f t="shared" si="1"/>
        <v>1</v>
      </c>
      <c r="F19" s="47">
        <f>I19/D19</f>
        <v>29.873046746841833</v>
      </c>
      <c r="G19" s="46">
        <f>F19/C19-1</f>
        <v>9.2245522581699824E-3</v>
      </c>
      <c r="H19" s="9">
        <f>SUM(H10:H18)</f>
        <v>15998.800000000001</v>
      </c>
      <c r="I19" s="9">
        <f>SUM(I10:I18)</f>
        <v>16146.381766668012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71.400000000000006</v>
      </c>
      <c r="D21" s="30">
        <v>22.5</v>
      </c>
      <c r="E21" s="29">
        <f>D21/$D$48</f>
        <v>1.1089206505667817E-2</v>
      </c>
      <c r="F21" s="28">
        <f>C21-(C21*$E$6)</f>
        <v>72.058633031233342</v>
      </c>
      <c r="G21" s="27" t="str">
        <f>IF(C21&gt;=F21,"-","+")</f>
        <v>+</v>
      </c>
      <c r="H21" s="26">
        <f>C21*D21</f>
        <v>1606.5000000000002</v>
      </c>
      <c r="I21" s="26">
        <f>F21*D21</f>
        <v>1621.3192432027502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</v>
      </c>
      <c r="D22" s="30">
        <v>102.2</v>
      </c>
      <c r="E22" s="29">
        <f>D22/$D$48</f>
        <v>5.0369640216855596E-2</v>
      </c>
      <c r="F22" s="28">
        <f>C22-(C22*$E$6)</f>
        <v>48.442778508392159</v>
      </c>
      <c r="G22" s="27" t="str">
        <f>IF(C22&gt;=F22,"-","+")</f>
        <v>+</v>
      </c>
      <c r="H22" s="26">
        <f>C22*D22</f>
        <v>4905.6000000000004</v>
      </c>
      <c r="I22" s="26">
        <f>F22*D22</f>
        <v>4950.8519635576786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42.9</v>
      </c>
      <c r="E23" s="29">
        <f>D23/$D$48</f>
        <v>2.1143420404139971E-2</v>
      </c>
      <c r="F23" s="28">
        <f>C23-(C23*$E$6)</f>
        <v>44.103112933682034</v>
      </c>
      <c r="G23" s="27" t="str">
        <f>IF(C23&gt;=F23,"-","+")</f>
        <v>+</v>
      </c>
      <c r="H23" s="26">
        <f>C23*D23</f>
        <v>1874.73</v>
      </c>
      <c r="I23" s="26">
        <f>F23*D23</f>
        <v>1892.0235448549593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50.040751789976134</v>
      </c>
      <c r="D24" s="22">
        <f>SUM(D21:D23)</f>
        <v>167.6</v>
      </c>
      <c r="E24" s="21">
        <f>D24/$D$48</f>
        <v>8.2602267126663381E-2</v>
      </c>
      <c r="F24" s="20">
        <f>I24/D24</f>
        <v>50.502355319900886</v>
      </c>
      <c r="G24" s="19">
        <f>F24/C24-1</f>
        <v>9.2245522581699824E-3</v>
      </c>
      <c r="H24" s="18">
        <f>SUM(H21:H23)</f>
        <v>8386.83</v>
      </c>
      <c r="I24" s="18">
        <f>SUM(I21:I23)</f>
        <v>8464.1947516153887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38.1</v>
      </c>
      <c r="D26" s="30"/>
      <c r="E26" s="29">
        <f t="shared" ref="E26:E32" si="7">D26/$D$48</f>
        <v>0</v>
      </c>
      <c r="F26" s="28">
        <f t="shared" ref="F26:F31" si="8">C26-(C26*$E$6)</f>
        <v>38.451455441036281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508.9</v>
      </c>
      <c r="E27" s="29">
        <f t="shared" si="7"/>
        <v>0.25081320847708227</v>
      </c>
      <c r="F27" s="28">
        <f t="shared" si="8"/>
        <v>34.212712321551962</v>
      </c>
      <c r="G27" s="27" t="str">
        <f t="shared" si="9"/>
        <v>+</v>
      </c>
      <c r="H27" s="26">
        <f t="shared" si="10"/>
        <v>17251.71</v>
      </c>
      <c r="I27" s="26">
        <f t="shared" si="11"/>
        <v>17410.849300437792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331.6</v>
      </c>
      <c r="E28" s="29">
        <f t="shared" si="7"/>
        <v>0.16343026121241994</v>
      </c>
      <c r="F28" s="28">
        <f t="shared" si="8"/>
        <v>34.212712321551962</v>
      </c>
      <c r="G28" s="27" t="str">
        <f t="shared" si="9"/>
        <v>+</v>
      </c>
      <c r="H28" s="26">
        <f t="shared" si="10"/>
        <v>11241.24</v>
      </c>
      <c r="I28" s="26">
        <f t="shared" si="11"/>
        <v>11344.935405826631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32.799999999999997</v>
      </c>
      <c r="D29" s="30">
        <v>338.7</v>
      </c>
      <c r="E29" s="29">
        <f t="shared" si="7"/>
        <v>0.16692952193198621</v>
      </c>
      <c r="F29" s="28">
        <f t="shared" si="8"/>
        <v>33.102565314067974</v>
      </c>
      <c r="G29" s="27" t="str">
        <f t="shared" si="9"/>
        <v>+</v>
      </c>
      <c r="H29" s="26">
        <f t="shared" si="10"/>
        <v>11109.359999999999</v>
      </c>
      <c r="I29" s="26">
        <f t="shared" si="11"/>
        <v>11211.838871874823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32.799999999999997</v>
      </c>
      <c r="D30" s="30">
        <v>88</v>
      </c>
      <c r="E30" s="29">
        <f t="shared" si="7"/>
        <v>4.3371118777723018E-2</v>
      </c>
      <c r="F30" s="28">
        <f t="shared" si="8"/>
        <v>33.102565314067974</v>
      </c>
      <c r="G30" s="27" t="str">
        <f t="shared" si="9"/>
        <v>+</v>
      </c>
      <c r="H30" s="26">
        <f t="shared" si="10"/>
        <v>2886.3999999999996</v>
      </c>
      <c r="I30" s="26">
        <f t="shared" si="11"/>
        <v>2913.0257476379816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/>
      <c r="E31" s="29">
        <f t="shared" si="7"/>
        <v>0</v>
      </c>
      <c r="F31" s="28">
        <f t="shared" si="8"/>
        <v>33.708100045422874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33.52960069444444</v>
      </c>
      <c r="D32" s="22">
        <f>SUM(D26:D31)</f>
        <v>1267.2</v>
      </c>
      <c r="E32" s="21">
        <f t="shared" si="7"/>
        <v>0.62454411039921143</v>
      </c>
      <c r="F32" s="20">
        <f>I32/D32</f>
        <v>33.838896248245916</v>
      </c>
      <c r="G32" s="19">
        <f>F32/C32-1</f>
        <v>9.2245522581699824E-3</v>
      </c>
      <c r="H32" s="18">
        <f>SUM(H26:H31)</f>
        <v>42488.71</v>
      </c>
      <c r="I32" s="18">
        <f>SUM(I26:I31)</f>
        <v>42880.649325777231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261.7</v>
      </c>
      <c r="E34" s="29">
        <f t="shared" ref="E34:E40" si="13">D34/$D$48</f>
        <v>0.12897979300147855</v>
      </c>
      <c r="F34" s="28">
        <f t="shared" ref="F34:F39" si="14">C34-(C34*$E$6)</f>
        <v>20.285413500389218</v>
      </c>
      <c r="G34" s="27" t="str">
        <f t="shared" ref="G34:G39" si="15">IF(C34&gt;=F34,"-","+")</f>
        <v>+</v>
      </c>
      <c r="H34" s="26">
        <f t="shared" ref="H34:H39" si="16">C34*D34</f>
        <v>5260.17</v>
      </c>
      <c r="I34" s="26">
        <f t="shared" ref="I34:I39" si="17">F34*D34</f>
        <v>5308.6927130518579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15.542058104775817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12.514384448001309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32.799999999999997</v>
      </c>
      <c r="D37" s="30"/>
      <c r="E37" s="29">
        <f t="shared" si="13"/>
        <v>0</v>
      </c>
      <c r="F37" s="28">
        <f t="shared" si="14"/>
        <v>33.102565314067974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32.799999999999997</v>
      </c>
      <c r="D38" s="30"/>
      <c r="E38" s="29">
        <f t="shared" si="13"/>
        <v>0</v>
      </c>
      <c r="F38" s="28">
        <f t="shared" si="14"/>
        <v>33.102565314067974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34.212712321551962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261.7</v>
      </c>
      <c r="E40" s="113">
        <f t="shared" si="13"/>
        <v>0.12897979300147855</v>
      </c>
      <c r="F40" s="20">
        <f>I40/D40</f>
        <v>20.285413500389218</v>
      </c>
      <c r="G40" s="19">
        <f>F40/C40-1</f>
        <v>9.2245522581699824E-3</v>
      </c>
      <c r="H40" s="18">
        <f>SUM(H34:H39)</f>
        <v>5260.17</v>
      </c>
      <c r="I40" s="18">
        <f>SUM(I34:I39)</f>
        <v>5308.6927130518579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317</v>
      </c>
      <c r="E42" s="107">
        <f>D42/$D$48</f>
        <v>0.15623459832429767</v>
      </c>
      <c r="F42" s="28">
        <f>C42-(C42*$E$6)</f>
        <v>0.50461227612908499</v>
      </c>
      <c r="G42" s="27" t="str">
        <f>IF(C42&gt;=F42,"-","+")</f>
        <v>+</v>
      </c>
      <c r="H42" s="26">
        <f>C42*D42</f>
        <v>158.5</v>
      </c>
      <c r="I42" s="26">
        <f>F42*D42</f>
        <v>159.96209153291994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10.7</v>
      </c>
      <c r="E43" s="107">
        <f>D43/$D$48</f>
        <v>5.2735337604731388E-3</v>
      </c>
      <c r="F43" s="28">
        <f>C43-(C43*$E$6)</f>
        <v>0.50461227612908499</v>
      </c>
      <c r="G43" s="27" t="str">
        <f>IF(C43&gt;=F43,"-","+")</f>
        <v>+</v>
      </c>
      <c r="H43" s="26">
        <f>C43*D43</f>
        <v>5.35</v>
      </c>
      <c r="I43" s="26">
        <f>F43*D43</f>
        <v>5.3993513545812091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1.1000000000000001</v>
      </c>
      <c r="E44" s="107">
        <f>D44/$D$48</f>
        <v>5.4213898472153777E-4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3.7</v>
      </c>
      <c r="E45" s="107">
        <f>D45/$D$48</f>
        <v>1.8235584031542633E-3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0.49278195488721804</v>
      </c>
      <c r="D46" s="22">
        <f>SUM(D41:D45)</f>
        <v>332.5</v>
      </c>
      <c r="E46" s="113">
        <f>D46/$D$48</f>
        <v>0.16387382947264661</v>
      </c>
      <c r="F46" s="20">
        <f>I46/D46</f>
        <v>0.49732764778195832</v>
      </c>
      <c r="G46" s="19">
        <f>F46/C46-1</f>
        <v>9.2245522581699824E-3</v>
      </c>
      <c r="H46" s="18">
        <f>SUM(H41:H44)</f>
        <v>163.85</v>
      </c>
      <c r="I46" s="18">
        <f>SUM(I41:I44)</f>
        <v>165.36144288750114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104.16313443930778</v>
      </c>
      <c r="D48" s="13">
        <f>D24+D32+D40+D46</f>
        <v>2029</v>
      </c>
      <c r="E48" s="12">
        <f>SUM(E20:E46)/2</f>
        <v>1</v>
      </c>
      <c r="F48" s="11">
        <f>I48/D48</f>
        <v>28.00339981928634</v>
      </c>
      <c r="G48" s="10"/>
      <c r="H48" s="9">
        <f>SUM(H20:H46)/2</f>
        <v>56299.56</v>
      </c>
      <c r="I48" s="9">
        <f>SUM(I20:I46)/2</f>
        <v>56818.898233331987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2569.4999999999995</v>
      </c>
      <c r="E50" s="12">
        <f>D50/G2</f>
        <v>1.0001167678654832</v>
      </c>
      <c r="F50" s="11">
        <f>I50/D50</f>
        <v>28.396684179801522</v>
      </c>
      <c r="G50" s="10"/>
      <c r="H50" s="9">
        <f>H48+H19</f>
        <v>72298.36</v>
      </c>
      <c r="I50" s="9">
        <f>I48+I19</f>
        <v>72965.279999999999</v>
      </c>
      <c r="J50" s="106">
        <f>D50-G2</f>
        <v>0.29999999999972715</v>
      </c>
      <c r="K50" s="8"/>
    </row>
    <row r="51" spans="1:11" ht="23.25" x14ac:dyDescent="0.35">
      <c r="A51" s="174" t="s">
        <v>657</v>
      </c>
      <c r="B51" s="169"/>
      <c r="C51" s="170"/>
      <c r="G51" s="7"/>
      <c r="H51" s="6"/>
      <c r="I51" s="6">
        <f>+I50/D50</f>
        <v>28.396684179801522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655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655</v>
      </c>
      <c r="D2" s="96" t="s">
        <v>3</v>
      </c>
      <c r="E2" s="95" t="s">
        <v>71</v>
      </c>
      <c r="F2" s="94" t="s">
        <v>5</v>
      </c>
      <c r="G2" s="93">
        <v>18629.099999999999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260</v>
      </c>
      <c r="F3" s="88" t="s">
        <v>8</v>
      </c>
      <c r="G3" s="87">
        <v>28.4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71.65038461538461</v>
      </c>
      <c r="F4" s="81" t="s">
        <v>12</v>
      </c>
      <c r="G4" s="80">
        <f>G2*G3</f>
        <v>529066.43999999994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-2.7411309224474323E-2</v>
      </c>
      <c r="F6" s="69" t="s">
        <v>16</v>
      </c>
      <c r="G6" s="68">
        <f>(I50-I19)/(D50-(SUM(D42:D44)+D19))</f>
        <v>34.199781323375291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>
        <f t="shared" ref="E10:E19" si="1">D10/$D$19</f>
        <v>0</v>
      </c>
      <c r="F10" s="28">
        <f t="shared" ref="F10:F18" si="2">C10-(C10*$E$6)</f>
        <v>29.178481181975069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>
        <v>120.3</v>
      </c>
      <c r="E11" s="29">
        <f t="shared" si="1"/>
        <v>0.24258923169993948</v>
      </c>
      <c r="F11" s="28">
        <f t="shared" si="2"/>
        <v>30.411374753044441</v>
      </c>
      <c r="G11" s="27" t="str">
        <f t="shared" si="3"/>
        <v>+</v>
      </c>
      <c r="H11" s="34">
        <f t="shared" si="4"/>
        <v>3560.88</v>
      </c>
      <c r="I11" s="34">
        <f t="shared" si="5"/>
        <v>3658.4883827912463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>
        <v>144.80000000000001</v>
      </c>
      <c r="E12" s="29">
        <f t="shared" si="1"/>
        <v>0.29199435370034282</v>
      </c>
      <c r="F12" s="28">
        <f t="shared" si="2"/>
        <v>27.740105349060805</v>
      </c>
      <c r="G12" s="27" t="str">
        <f t="shared" si="3"/>
        <v>+</v>
      </c>
      <c r="H12" s="34">
        <f t="shared" si="4"/>
        <v>3909.6000000000004</v>
      </c>
      <c r="I12" s="34">
        <f t="shared" si="5"/>
        <v>4016.767254544005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/>
      <c r="E13" s="29">
        <f t="shared" si="1"/>
        <v>0</v>
      </c>
      <c r="F13" s="28">
        <f t="shared" si="2"/>
        <v>30.411374753044441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>
        <f t="shared" si="1"/>
        <v>0</v>
      </c>
      <c r="F14" s="28">
        <f t="shared" si="2"/>
        <v>34.007314335330101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>
        <v>223</v>
      </c>
      <c r="E15" s="29">
        <f t="shared" si="1"/>
        <v>0.44968743698326274</v>
      </c>
      <c r="F15" s="28">
        <f t="shared" si="2"/>
        <v>28.048328741828151</v>
      </c>
      <c r="G15" s="27" t="str">
        <f t="shared" si="3"/>
        <v>+</v>
      </c>
      <c r="H15" s="34">
        <f t="shared" si="4"/>
        <v>6087.9000000000005</v>
      </c>
      <c r="I15" s="34">
        <f t="shared" si="5"/>
        <v>6254.7773094276772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>
        <f t="shared" si="1"/>
        <v>0</v>
      </c>
      <c r="F16" s="28">
        <f t="shared" si="2"/>
        <v>38.32244183407289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54.9</v>
      </c>
      <c r="D17" s="30">
        <v>7.8</v>
      </c>
      <c r="E17" s="29">
        <f t="shared" si="1"/>
        <v>1.572897761645493E-2</v>
      </c>
      <c r="F17" s="28">
        <f t="shared" si="2"/>
        <v>56.40488087642364</v>
      </c>
      <c r="G17" s="27" t="str">
        <f t="shared" si="3"/>
        <v>+</v>
      </c>
      <c r="H17" s="34">
        <f t="shared" si="4"/>
        <v>428.21999999999997</v>
      </c>
      <c r="I17" s="34">
        <f t="shared" si="5"/>
        <v>439.95807083610435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48.1</v>
      </c>
      <c r="D18" s="30"/>
      <c r="E18" s="29">
        <f t="shared" si="1"/>
        <v>0</v>
      </c>
      <c r="F18" s="28">
        <f t="shared" si="2"/>
        <v>49.418483973697214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28.204476709013914</v>
      </c>
      <c r="D19" s="49">
        <f>SUM(D10:D18)</f>
        <v>495.90000000000003</v>
      </c>
      <c r="E19" s="48">
        <f t="shared" si="1"/>
        <v>1</v>
      </c>
      <c r="F19" s="47">
        <f>I19/D19</f>
        <v>28.977598341599176</v>
      </c>
      <c r="G19" s="46">
        <f>F19/C19-1</f>
        <v>2.7411309224474323E-2</v>
      </c>
      <c r="H19" s="9">
        <f>SUM(H10:H18)</f>
        <v>13986.6</v>
      </c>
      <c r="I19" s="9">
        <f>SUM(I10:I18)</f>
        <v>14369.991017599032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71.400000000000006</v>
      </c>
      <c r="D21" s="30">
        <v>228.4</v>
      </c>
      <c r="E21" s="29">
        <f>D21/$D$48</f>
        <v>1.259588924000022E-2</v>
      </c>
      <c r="F21" s="28">
        <f>C21-(C21*$E$6)</f>
        <v>73.357167478627474</v>
      </c>
      <c r="G21" s="27" t="str">
        <f>IF(C21&gt;=F21,"-","+")</f>
        <v>+</v>
      </c>
      <c r="H21" s="26">
        <f>C21*D21</f>
        <v>16307.760000000002</v>
      </c>
      <c r="I21" s="26">
        <f>F21*D21</f>
        <v>16754.777052118516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</v>
      </c>
      <c r="D22" s="30">
        <v>488</v>
      </c>
      <c r="E22" s="29">
        <f>D22/$D$48</f>
        <v>2.6912407833275424E-2</v>
      </c>
      <c r="F22" s="28">
        <f>C22-(C22*$E$6)</f>
        <v>49.315742842774767</v>
      </c>
      <c r="G22" s="27" t="str">
        <f>IF(C22&gt;=F22,"-","+")</f>
        <v>+</v>
      </c>
      <c r="H22" s="26">
        <f>C22*D22</f>
        <v>23424</v>
      </c>
      <c r="I22" s="26">
        <f>F22*D22</f>
        <v>24066.082507274088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433.8</v>
      </c>
      <c r="E23" s="29">
        <f>D23/$D$48</f>
        <v>2.3923365815727213E-2</v>
      </c>
      <c r="F23" s="28">
        <f>C23-(C23*$E$6)</f>
        <v>44.897874213109532</v>
      </c>
      <c r="G23" s="27" t="str">
        <f>IF(C23&gt;=F23,"-","+")</f>
        <v>+</v>
      </c>
      <c r="H23" s="26">
        <f>C23*D23</f>
        <v>18957.060000000001</v>
      </c>
      <c r="I23" s="26">
        <f>F23*D23</f>
        <v>19476.697833646915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51.024882629107985</v>
      </c>
      <c r="D24" s="22">
        <f>SUM(D21:D23)</f>
        <v>1150.2</v>
      </c>
      <c r="E24" s="21">
        <f>D24/$D$48</f>
        <v>6.3431662889002857E-2</v>
      </c>
      <c r="F24" s="20">
        <f>I24/D24</f>
        <v>52.423541464996973</v>
      </c>
      <c r="G24" s="19">
        <f>F24/C24-1</f>
        <v>2.7411309224474323E-2</v>
      </c>
      <c r="H24" s="18">
        <f>SUM(H21:H23)</f>
        <v>58688.820000000007</v>
      </c>
      <c r="I24" s="18">
        <f>SUM(I21:I23)</f>
        <v>60297.557393039519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38.1</v>
      </c>
      <c r="D26" s="30">
        <f>636.8+236.2+2763</f>
        <v>3636</v>
      </c>
      <c r="E26" s="29">
        <f t="shared" ref="E26:E32" si="7">D26/$D$48</f>
        <v>0.20051949770858493</v>
      </c>
      <c r="F26" s="28">
        <f t="shared" ref="F26:F31" si="8">C26-(C26*$E$6)</f>
        <v>39.144370881452474</v>
      </c>
      <c r="G26" s="27" t="str">
        <f t="shared" ref="G26:G31" si="9">IF(C26&gt;=F26,"-","+")</f>
        <v>+</v>
      </c>
      <c r="H26" s="26">
        <f t="shared" ref="H26:H31" si="10">C26*D26</f>
        <v>138531.6</v>
      </c>
      <c r="I26" s="26">
        <f t="shared" ref="I26:I31" si="11">F26*D26</f>
        <v>142328.93252496119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f>2560.4+249</f>
        <v>2809.4</v>
      </c>
      <c r="E27" s="29">
        <f t="shared" si="7"/>
        <v>0.15493384952213932</v>
      </c>
      <c r="F27" s="28">
        <f t="shared" si="8"/>
        <v>34.829243382709677</v>
      </c>
      <c r="G27" s="27" t="str">
        <f t="shared" si="9"/>
        <v>+</v>
      </c>
      <c r="H27" s="26">
        <f t="shared" si="10"/>
        <v>95238.66</v>
      </c>
      <c r="I27" s="26">
        <f t="shared" si="11"/>
        <v>97849.276359384574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1484.4</v>
      </c>
      <c r="E28" s="29">
        <f t="shared" si="7"/>
        <v>8.1862250384659926E-2</v>
      </c>
      <c r="F28" s="28">
        <f t="shared" si="8"/>
        <v>34.829243382709677</v>
      </c>
      <c r="G28" s="27" t="str">
        <f t="shared" si="9"/>
        <v>+</v>
      </c>
      <c r="H28" s="26">
        <f t="shared" si="10"/>
        <v>50321.16</v>
      </c>
      <c r="I28" s="26">
        <f t="shared" si="11"/>
        <v>51700.528877294251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32.799999999999997</v>
      </c>
      <c r="D29" s="30">
        <v>1539.7</v>
      </c>
      <c r="E29" s="29">
        <f t="shared" si="7"/>
        <v>8.4911955616586418E-2</v>
      </c>
      <c r="F29" s="28">
        <f t="shared" si="8"/>
        <v>33.699090942562755</v>
      </c>
      <c r="G29" s="27" t="str">
        <f t="shared" si="9"/>
        <v>+</v>
      </c>
      <c r="H29" s="26">
        <f t="shared" si="10"/>
        <v>50502.159999999996</v>
      </c>
      <c r="I29" s="26">
        <f t="shared" si="11"/>
        <v>51886.490324263876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32.799999999999997</v>
      </c>
      <c r="D30" s="30">
        <v>1201.5</v>
      </c>
      <c r="E30" s="29">
        <f t="shared" si="7"/>
        <v>6.6260774614099224E-2</v>
      </c>
      <c r="F30" s="28">
        <f t="shared" si="8"/>
        <v>33.699090942562755</v>
      </c>
      <c r="G30" s="27" t="str">
        <f t="shared" si="9"/>
        <v>+</v>
      </c>
      <c r="H30" s="26">
        <f t="shared" si="10"/>
        <v>39409.199999999997</v>
      </c>
      <c r="I30" s="26">
        <f t="shared" si="11"/>
        <v>40489.457767489148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216</v>
      </c>
      <c r="E31" s="29">
        <f t="shared" si="7"/>
        <v>1.1912049368826828E-2</v>
      </c>
      <c r="F31" s="28">
        <f t="shared" si="8"/>
        <v>34.315537728097439</v>
      </c>
      <c r="G31" s="27" t="str">
        <f t="shared" si="9"/>
        <v>+</v>
      </c>
      <c r="H31" s="26">
        <f t="shared" si="10"/>
        <v>7214.4</v>
      </c>
      <c r="I31" s="26">
        <f t="shared" si="11"/>
        <v>7412.1561492690471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35.015815192431347</v>
      </c>
      <c r="D32" s="22">
        <f>SUM(D26:D31)</f>
        <v>10887</v>
      </c>
      <c r="E32" s="21">
        <f t="shared" si="7"/>
        <v>0.60040037721489659</v>
      </c>
      <c r="F32" s="20">
        <f>I32/D32</f>
        <v>35.975644530418123</v>
      </c>
      <c r="G32" s="19">
        <f>F32/C32-1</f>
        <v>2.7411309224474101E-2</v>
      </c>
      <c r="H32" s="18">
        <f>SUM(H26:H31)</f>
        <v>381217.18000000005</v>
      </c>
      <c r="I32" s="18">
        <f>SUM(I26:I31)</f>
        <v>391666.84200266207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f>1099.4+1720.4</f>
        <v>2819.8</v>
      </c>
      <c r="E34" s="29">
        <f t="shared" ref="E34:E40" si="13">D34/$D$48</f>
        <v>0.15550739263989763</v>
      </c>
      <c r="F34" s="28">
        <f t="shared" ref="F34:F39" si="14">C34-(C34*$E$6)</f>
        <v>20.650967315411936</v>
      </c>
      <c r="G34" s="27" t="str">
        <f t="shared" ref="G34:G39" si="15">IF(C34&gt;=F34,"-","+")</f>
        <v>+</v>
      </c>
      <c r="H34" s="26">
        <f t="shared" ref="H34:H39" si="16">C34*D34</f>
        <v>56677.98000000001</v>
      </c>
      <c r="I34" s="26">
        <f t="shared" ref="I34:I39" si="17">F34*D34</f>
        <v>58231.59763599858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>
        <v>184.7</v>
      </c>
      <c r="E35" s="29">
        <f t="shared" si="13"/>
        <v>1.0185905177881087E-2</v>
      </c>
      <c r="F35" s="28">
        <f t="shared" si="14"/>
        <v>15.822134162056905</v>
      </c>
      <c r="G35" s="27" t="str">
        <f t="shared" si="15"/>
        <v>+</v>
      </c>
      <c r="H35" s="26">
        <f t="shared" si="16"/>
        <v>2844.38</v>
      </c>
      <c r="I35" s="26">
        <f t="shared" si="17"/>
        <v>2922.34817973191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12.739900234383482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32.799999999999997</v>
      </c>
      <c r="D37" s="30"/>
      <c r="E37" s="29">
        <f t="shared" si="13"/>
        <v>0</v>
      </c>
      <c r="F37" s="28">
        <f t="shared" si="14"/>
        <v>33.699090942562755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32.799999999999997</v>
      </c>
      <c r="D38" s="30"/>
      <c r="E38" s="29">
        <f t="shared" si="13"/>
        <v>0</v>
      </c>
      <c r="F38" s="28">
        <f t="shared" si="14"/>
        <v>33.699090942562755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34.829243382709677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19.811070061574309</v>
      </c>
      <c r="D40" s="22">
        <f>SUM(D34:D39)</f>
        <v>3004.5</v>
      </c>
      <c r="E40" s="113">
        <f t="shared" si="13"/>
        <v>0.16569329781777872</v>
      </c>
      <c r="F40" s="20">
        <f>I40/D40</f>
        <v>20.354117429099848</v>
      </c>
      <c r="G40" s="19">
        <f>F40/C40-1</f>
        <v>2.7411309224474323E-2</v>
      </c>
      <c r="H40" s="18">
        <f>SUM(H34:H39)</f>
        <v>59522.360000000008</v>
      </c>
      <c r="I40" s="18">
        <f>SUM(I34:I39)</f>
        <v>61153.945815730491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173.4+1310.6+1464</f>
        <v>2948</v>
      </c>
      <c r="E42" s="107">
        <f>D42/$D$48</f>
        <v>0.16257741453380317</v>
      </c>
      <c r="F42" s="28">
        <f>C42-(C42*$E$6)</f>
        <v>0.51370565461223716</v>
      </c>
      <c r="G42" s="27" t="str">
        <f>IF(C42&gt;=F42,"-","+")</f>
        <v>+</v>
      </c>
      <c r="H42" s="26">
        <f>C42*D42</f>
        <v>1474</v>
      </c>
      <c r="I42" s="26">
        <f>F42*D42</f>
        <v>1514.404269796875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124</v>
      </c>
      <c r="E43" s="107">
        <f>D43/$D$48</f>
        <v>6.8383987117339199E-3</v>
      </c>
      <c r="F43" s="28">
        <f>C43-(C43*$E$6)</f>
        <v>0.51370565461223716</v>
      </c>
      <c r="G43" s="27" t="str">
        <f>IF(C43&gt;=F43,"-","+")</f>
        <v>+</v>
      </c>
      <c r="H43" s="26">
        <f>C43*D43</f>
        <v>62</v>
      </c>
      <c r="I43" s="26">
        <f>F43*D43</f>
        <v>63.699501171917404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11.2</v>
      </c>
      <c r="E44" s="107">
        <f>D44/$D$48</f>
        <v>6.1766181912435399E-4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4.4118701366025289E-4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0.49689440993788825</v>
      </c>
      <c r="D46" s="22">
        <f>SUM(D41:D45)</f>
        <v>3091.2</v>
      </c>
      <c r="E46" s="113">
        <f>D46/$D$48</f>
        <v>0.17047466207832171</v>
      </c>
      <c r="F46" s="20">
        <f>I46/D46</f>
        <v>0.5105149362606084</v>
      </c>
      <c r="G46" s="19">
        <f>F46/C46-1</f>
        <v>2.7411309224474323E-2</v>
      </c>
      <c r="H46" s="18">
        <f>SUM(H41:H44)</f>
        <v>1536</v>
      </c>
      <c r="I46" s="18">
        <f>SUM(I41:I44)</f>
        <v>1578.1037709687926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106.34866229305155</v>
      </c>
      <c r="D48" s="13">
        <f>D24+D32+D40+D46</f>
        <v>18132.900000000001</v>
      </c>
      <c r="E48" s="12">
        <f>SUM(E20:E46)/2</f>
        <v>0.99999999999999978</v>
      </c>
      <c r="F48" s="11">
        <f>I48/D48</f>
        <v>28.384673658510266</v>
      </c>
      <c r="G48" s="10"/>
      <c r="H48" s="9">
        <f>SUM(H20:H46)/2</f>
        <v>500964.36000000004</v>
      </c>
      <c r="I48" s="9">
        <f>SUM(I20:I46)/2</f>
        <v>514696.44898240088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18628.799999999996</v>
      </c>
      <c r="E50" s="12">
        <f>D50/G2</f>
        <v>0.99998389616245531</v>
      </c>
      <c r="F50" s="11">
        <f>I50/D50</f>
        <v>28.40045735635146</v>
      </c>
      <c r="G50" s="10"/>
      <c r="H50" s="9">
        <f>H48+H19</f>
        <v>514950.96</v>
      </c>
      <c r="I50" s="9">
        <f>I48+I19</f>
        <v>529066.43999999994</v>
      </c>
      <c r="J50" s="106">
        <f>D50-G2</f>
        <v>-0.30000000000291038</v>
      </c>
      <c r="K50" s="8"/>
    </row>
    <row r="51" spans="1:11" ht="23.25" x14ac:dyDescent="0.35">
      <c r="A51" s="174" t="s">
        <v>658</v>
      </c>
      <c r="B51" s="169"/>
      <c r="C51" s="170"/>
      <c r="G51" s="7"/>
      <c r="H51" s="6"/>
      <c r="I51" s="6">
        <f>+I50/D50</f>
        <v>28.40045735635146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652</v>
      </c>
      <c r="D1" s="100" t="s">
        <v>1</v>
      </c>
      <c r="E1" s="168" t="s">
        <v>338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655</v>
      </c>
      <c r="D2" s="96" t="s">
        <v>3</v>
      </c>
      <c r="E2" s="95" t="s">
        <v>112</v>
      </c>
      <c r="F2" s="94" t="s">
        <v>5</v>
      </c>
      <c r="G2" s="93">
        <v>4836.1000000000004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80</v>
      </c>
      <c r="F3" s="88" t="s">
        <v>8</v>
      </c>
      <c r="G3" s="87">
        <v>24.44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60.451250000000002</v>
      </c>
      <c r="F4" s="81" t="s">
        <v>12</v>
      </c>
      <c r="G4" s="80">
        <f>G2*G3</f>
        <v>118194.28400000001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-0.12415968328740767</v>
      </c>
      <c r="F6" s="69" t="s">
        <v>16</v>
      </c>
      <c r="G6" s="68">
        <f>(I50-I19)/(D50-(SUM(D42:D44)+D19))</f>
        <v>31.978972943722948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24.4</v>
      </c>
      <c r="D10" s="30"/>
      <c r="E10" s="29" t="e">
        <f t="shared" ref="E10:E19" si="1">D10/$D$19</f>
        <v>#DIV/0!</v>
      </c>
      <c r="F10" s="28">
        <f t="shared" ref="F10:F18" si="2">C10-(C10*$E$6)</f>
        <v>27.429496272212745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25.5</v>
      </c>
      <c r="D11" s="30"/>
      <c r="E11" s="29" t="e">
        <f t="shared" si="1"/>
        <v>#DIV/0!</v>
      </c>
      <c r="F11" s="28">
        <f t="shared" si="2"/>
        <v>28.666071923828895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23.3</v>
      </c>
      <c r="D12" s="30"/>
      <c r="E12" s="29" t="e">
        <f t="shared" si="1"/>
        <v>#DIV/0!</v>
      </c>
      <c r="F12" s="28">
        <f t="shared" si="2"/>
        <v>26.192920620596599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25.5</v>
      </c>
      <c r="D13" s="30"/>
      <c r="E13" s="29" t="e">
        <f t="shared" si="1"/>
        <v>#DIV/0!</v>
      </c>
      <c r="F13" s="28">
        <f t="shared" si="2"/>
        <v>28.666071923828895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28.5</v>
      </c>
      <c r="D14" s="30"/>
      <c r="E14" s="29" t="e">
        <f t="shared" si="1"/>
        <v>#DIV/0!</v>
      </c>
      <c r="F14" s="28">
        <f t="shared" si="2"/>
        <v>32.038550973691116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23.5</v>
      </c>
      <c r="D15" s="30"/>
      <c r="E15" s="29" t="e">
        <f t="shared" si="1"/>
        <v>#DIV/0!</v>
      </c>
      <c r="F15" s="28">
        <f t="shared" si="2"/>
        <v>26.417752557254079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32.1</v>
      </c>
      <c r="D16" s="30"/>
      <c r="E16" s="29" t="e">
        <f t="shared" si="1"/>
        <v>#DIV/0!</v>
      </c>
      <c r="F16" s="28">
        <f t="shared" si="2"/>
        <v>36.085525833525786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47.3</v>
      </c>
      <c r="D17" s="30"/>
      <c r="E17" s="29" t="e">
        <f t="shared" si="1"/>
        <v>#DIV/0!</v>
      </c>
      <c r="F17" s="28">
        <f t="shared" si="2"/>
        <v>53.17275301949438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41.4</v>
      </c>
      <c r="D18" s="30"/>
      <c r="E18" s="29" t="e">
        <f t="shared" si="1"/>
        <v>#DIV/0!</v>
      </c>
      <c r="F18" s="28">
        <f t="shared" si="2"/>
        <v>46.540210888098677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61.5</v>
      </c>
      <c r="D21" s="30">
        <v>62.3</v>
      </c>
      <c r="E21" s="29">
        <f>D21/$D$48</f>
        <v>1.2882281176981451E-2</v>
      </c>
      <c r="F21" s="28">
        <f>C21-(C21*$E$6)</f>
        <v>69.135820522175578</v>
      </c>
      <c r="G21" s="27" t="str">
        <f>IF(C21&gt;=F21,"-","+")</f>
        <v>+</v>
      </c>
      <c r="H21" s="26">
        <f>C21*D21</f>
        <v>3831.45</v>
      </c>
      <c r="I21" s="26">
        <f>F21*D21</f>
        <v>4307.1616185315379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41.3</v>
      </c>
      <c r="D22" s="30">
        <v>110.1</v>
      </c>
      <c r="E22" s="29">
        <f>D22/$D$48</f>
        <v>2.2766278612931904E-2</v>
      </c>
      <c r="F22" s="28">
        <f>C22-(C22*$E$6)</f>
        <v>46.427794919769937</v>
      </c>
      <c r="G22" s="27" t="str">
        <f>IF(C22&gt;=F22,"-","+")</f>
        <v>+</v>
      </c>
      <c r="H22" s="26">
        <f>C22*D22</f>
        <v>4547.1299999999992</v>
      </c>
      <c r="I22" s="26">
        <f>F22*D22</f>
        <v>5111.7002206666702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37.6</v>
      </c>
      <c r="D23" s="30">
        <v>93.2</v>
      </c>
      <c r="E23" s="29">
        <f>D23/$D$48</f>
        <v>1.9271727218213023E-2</v>
      </c>
      <c r="F23" s="28">
        <f>C23-(C23*$E$6)</f>
        <v>42.268404091606527</v>
      </c>
      <c r="G23" s="27" t="str">
        <f>IF(C23&gt;=F23,"-","+")</f>
        <v>+</v>
      </c>
      <c r="H23" s="26">
        <f>C23*D23</f>
        <v>3504.32</v>
      </c>
      <c r="I23" s="26">
        <f>F23*D23</f>
        <v>3939.4152613377282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44.739834337349393</v>
      </c>
      <c r="D24" s="22">
        <f>SUM(D21:D23)</f>
        <v>265.59999999999997</v>
      </c>
      <c r="E24" s="21">
        <f>D24/$D$48</f>
        <v>5.4920287008126373E-2</v>
      </c>
      <c r="F24" s="20">
        <f>I24/D24</f>
        <v>50.294717999005798</v>
      </c>
      <c r="G24" s="19">
        <f>F24/C24-1</f>
        <v>0.12415968328740812</v>
      </c>
      <c r="H24" s="18">
        <f>SUM(H21:H23)</f>
        <v>11882.899999999998</v>
      </c>
      <c r="I24" s="18">
        <f>SUM(I21:I23)</f>
        <v>13358.277100535937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32.799999999999997</v>
      </c>
      <c r="D26" s="30">
        <v>891</v>
      </c>
      <c r="E26" s="29">
        <f t="shared" ref="E26:E32" si="7">D26/$D$48</f>
        <v>0.18423936643162878</v>
      </c>
      <c r="F26" s="28">
        <f t="shared" ref="F26:F31" si="8">C26-(C26*$E$6)</f>
        <v>36.872437611826967</v>
      </c>
      <c r="G26" s="27" t="str">
        <f t="shared" ref="G26:G31" si="9">IF(C26&gt;=F26,"-","+")</f>
        <v>+</v>
      </c>
      <c r="H26" s="26">
        <f t="shared" ref="H26:H31" si="10">C26*D26</f>
        <v>29224.799999999999</v>
      </c>
      <c r="I26" s="26">
        <f t="shared" ref="I26:I31" si="11">F26*D26</f>
        <v>32853.341912137825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29.2</v>
      </c>
      <c r="D27" s="30">
        <v>742</v>
      </c>
      <c r="E27" s="29">
        <f t="shared" si="7"/>
        <v>0.15342941626517234</v>
      </c>
      <c r="F27" s="28">
        <f t="shared" si="8"/>
        <v>32.825462751992305</v>
      </c>
      <c r="G27" s="27" t="str">
        <f t="shared" si="9"/>
        <v>+</v>
      </c>
      <c r="H27" s="26">
        <f t="shared" si="10"/>
        <v>21666.399999999998</v>
      </c>
      <c r="I27" s="26">
        <f t="shared" si="11"/>
        <v>24356.49336197829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29.2</v>
      </c>
      <c r="D28" s="30">
        <v>329.6</v>
      </c>
      <c r="E28" s="29">
        <f t="shared" si="7"/>
        <v>6.8154091106470083E-2</v>
      </c>
      <c r="F28" s="28">
        <f t="shared" si="8"/>
        <v>32.825462751992305</v>
      </c>
      <c r="G28" s="27" t="str">
        <f t="shared" si="9"/>
        <v>+</v>
      </c>
      <c r="H28" s="26">
        <f t="shared" si="10"/>
        <v>9624.32</v>
      </c>
      <c r="I28" s="26">
        <f t="shared" si="11"/>
        <v>10819.272523056665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28.2</v>
      </c>
      <c r="D29" s="30">
        <v>320</v>
      </c>
      <c r="E29" s="29">
        <f t="shared" si="7"/>
        <v>6.6169020491718522E-2</v>
      </c>
      <c r="F29" s="28">
        <f t="shared" si="8"/>
        <v>31.701303068704895</v>
      </c>
      <c r="G29" s="27" t="str">
        <f t="shared" si="9"/>
        <v>+</v>
      </c>
      <c r="H29" s="26">
        <f t="shared" si="10"/>
        <v>9024</v>
      </c>
      <c r="I29" s="26">
        <f t="shared" si="11"/>
        <v>10144.416981985567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28.2</v>
      </c>
      <c r="D30" s="30">
        <v>272.60000000000002</v>
      </c>
      <c r="E30" s="29">
        <f t="shared" si="7"/>
        <v>5.6367734331382729E-2</v>
      </c>
      <c r="F30" s="28">
        <f t="shared" si="8"/>
        <v>31.701303068704895</v>
      </c>
      <c r="G30" s="27" t="str">
        <f t="shared" si="9"/>
        <v>+</v>
      </c>
      <c r="H30" s="26">
        <f t="shared" si="10"/>
        <v>7687.3200000000006</v>
      </c>
      <c r="I30" s="26">
        <f t="shared" si="11"/>
        <v>8641.7752165289548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28.7</v>
      </c>
      <c r="D31" s="30">
        <v>68.8</v>
      </c>
      <c r="E31" s="29">
        <f t="shared" si="7"/>
        <v>1.4226339405719483E-2</v>
      </c>
      <c r="F31" s="28">
        <f t="shared" si="8"/>
        <v>32.263382910348597</v>
      </c>
      <c r="G31" s="27" t="str">
        <f t="shared" si="9"/>
        <v>+</v>
      </c>
      <c r="H31" s="26">
        <f t="shared" si="10"/>
        <v>1974.56</v>
      </c>
      <c r="I31" s="26">
        <f t="shared" si="11"/>
        <v>2219.7207442319832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30.183460365853655</v>
      </c>
      <c r="D32" s="22">
        <f>SUM(D26:D31)</f>
        <v>2624</v>
      </c>
      <c r="E32" s="21">
        <f t="shared" si="7"/>
        <v>0.54258596803209191</v>
      </c>
      <c r="F32" s="20">
        <f>I32/D32</f>
        <v>33.931029245396068</v>
      </c>
      <c r="G32" s="19">
        <f>F32/C32-1</f>
        <v>0.12415968328740767</v>
      </c>
      <c r="H32" s="18">
        <f>SUM(H26:H31)</f>
        <v>79201.399999999994</v>
      </c>
      <c r="I32" s="18">
        <f>SUM(I26:I31)</f>
        <v>89035.020739919288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</v>
      </c>
      <c r="D34" s="30">
        <f>379+355.7</f>
        <v>734.7</v>
      </c>
      <c r="E34" s="29">
        <f t="shared" ref="E34:E40" si="13">D34/$D$48</f>
        <v>0.15191993548520502</v>
      </c>
      <c r="F34" s="28">
        <f t="shared" ref="F34:F39" si="14">C34-(C34*$E$6)</f>
        <v>19.447962520872153</v>
      </c>
      <c r="G34" s="27" t="str">
        <f t="shared" ref="G34:G39" si="15">IF(C34&gt;=F34,"-","+")</f>
        <v>+</v>
      </c>
      <c r="H34" s="26">
        <f t="shared" ref="H34:H39" si="16">C34*D34</f>
        <v>12710.310000000001</v>
      </c>
      <c r="I34" s="26">
        <f t="shared" ref="I34:I39" si="17">F34*D34</f>
        <v>14288.418064084772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>
        <v>67.099999999999994</v>
      </c>
      <c r="E35" s="29">
        <f t="shared" si="13"/>
        <v>1.3874816484357228E-2</v>
      </c>
      <c r="F35" s="28">
        <f t="shared" si="14"/>
        <v>14.951323787722522</v>
      </c>
      <c r="G35" s="27" t="str">
        <f t="shared" si="15"/>
        <v>+</v>
      </c>
      <c r="H35" s="26">
        <f t="shared" si="16"/>
        <v>892.43</v>
      </c>
      <c r="I35" s="26">
        <f t="shared" si="17"/>
        <v>1003.2338261561812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12.028508611175262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28.2</v>
      </c>
      <c r="D37" s="30"/>
      <c r="E37" s="29">
        <f t="shared" si="13"/>
        <v>0</v>
      </c>
      <c r="F37" s="28">
        <f t="shared" si="14"/>
        <v>31.701303068704895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28.2</v>
      </c>
      <c r="D38" s="30"/>
      <c r="E38" s="29">
        <f t="shared" si="13"/>
        <v>0</v>
      </c>
      <c r="F38" s="28">
        <f t="shared" si="14"/>
        <v>31.701303068704895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29.2</v>
      </c>
      <c r="D39" s="30"/>
      <c r="E39" s="29">
        <f t="shared" si="13"/>
        <v>0</v>
      </c>
      <c r="F39" s="28">
        <f t="shared" si="14"/>
        <v>32.825462751992305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16.965253180344227</v>
      </c>
      <c r="D40" s="22">
        <f>SUM(D34:D39)</f>
        <v>801.80000000000007</v>
      </c>
      <c r="E40" s="113">
        <f t="shared" si="13"/>
        <v>0.16579475196956225</v>
      </c>
      <c r="F40" s="20">
        <f>I40/D40</f>
        <v>19.071653642106451</v>
      </c>
      <c r="G40" s="19">
        <f>F40/C40-1</f>
        <v>0.12415968328740767</v>
      </c>
      <c r="H40" s="18">
        <f>SUM(H34:H39)</f>
        <v>13602.740000000002</v>
      </c>
      <c r="I40" s="18">
        <f>SUM(I34:I39)</f>
        <v>15291.651890240953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536+64.8+492.8</f>
        <v>1093.5999999999999</v>
      </c>
      <c r="E42" s="107">
        <f>D42/$D$48</f>
        <v>0.22613262753044805</v>
      </c>
      <c r="F42" s="28">
        <f>C42-(C42*$E$6)</f>
        <v>0.4496638733149631</v>
      </c>
      <c r="G42" s="27" t="str">
        <f>IF(C42&gt;=F42,"-","+")</f>
        <v>+</v>
      </c>
      <c r="H42" s="26">
        <f>C42*D42</f>
        <v>437.44</v>
      </c>
      <c r="I42" s="26">
        <f>F42*D42</f>
        <v>491.7524118572436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39.1</v>
      </c>
      <c r="E43" s="107">
        <f>D43/$D$48</f>
        <v>8.0850271913318582E-3</v>
      </c>
      <c r="F43" s="28">
        <f>C43-(C43*$E$6)</f>
        <v>0.4496638733149631</v>
      </c>
      <c r="G43" s="27" t="str">
        <f>IF(C43&gt;=F43,"-","+")</f>
        <v>+</v>
      </c>
      <c r="H43" s="26">
        <f>C43*D43</f>
        <v>15.64</v>
      </c>
      <c r="I43" s="26">
        <f>F43*D43</f>
        <v>17.581857446615057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7.4</v>
      </c>
      <c r="E44" s="107">
        <f>D44/$D$48</f>
        <v>1.530158598870991E-3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4.5999999999999996</v>
      </c>
      <c r="E45" s="107">
        <f>D45/$D$48</f>
        <v>9.5117966956845376E-4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0.39580676159692502</v>
      </c>
      <c r="D46" s="22">
        <f>SUM(D41:D45)</f>
        <v>1144.6999999999998</v>
      </c>
      <c r="E46" s="113">
        <f>D46/$D$48</f>
        <v>0.23669899299021935</v>
      </c>
      <c r="F46" s="20">
        <f>I46/D46</f>
        <v>0.44495000375981369</v>
      </c>
      <c r="G46" s="19">
        <f>F46/C46-1</f>
        <v>0.12415968328740767</v>
      </c>
      <c r="H46" s="18">
        <f>SUM(H41:H44)</f>
        <v>453.08</v>
      </c>
      <c r="I46" s="18">
        <f>SUM(I41:I44)</f>
        <v>509.33426930385866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92.284354645144219</v>
      </c>
      <c r="D48" s="13">
        <f>D24+D32+D40+D46</f>
        <v>4836.1000000000004</v>
      </c>
      <c r="E48" s="12">
        <f>SUM(E20:E46)/2</f>
        <v>0.99999999999999978</v>
      </c>
      <c r="F48" s="11">
        <f>I48/D48</f>
        <v>24.440000000000005</v>
      </c>
      <c r="G48" s="10"/>
      <c r="H48" s="9">
        <f>SUM(H20:H46)/2</f>
        <v>105140.11999999998</v>
      </c>
      <c r="I48" s="9">
        <f>SUM(I20:I46)/2</f>
        <v>118194.28400000003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4836.1000000000004</v>
      </c>
      <c r="E50" s="12">
        <f>D50/G2</f>
        <v>1</v>
      </c>
      <c r="F50" s="11">
        <f>I50/D50</f>
        <v>24.440000000000005</v>
      </c>
      <c r="G50" s="10"/>
      <c r="H50" s="9">
        <f>H48+H19</f>
        <v>105140.11999999998</v>
      </c>
      <c r="I50" s="9">
        <f>I48+I19</f>
        <v>118194.28400000003</v>
      </c>
      <c r="J50" s="106">
        <f>D50-G2</f>
        <v>0</v>
      </c>
      <c r="K50" s="8"/>
    </row>
    <row r="51" spans="1:11" ht="23.25" x14ac:dyDescent="0.35">
      <c r="A51" s="174" t="s">
        <v>660</v>
      </c>
      <c r="B51" s="169"/>
      <c r="C51" s="170"/>
      <c r="G51" s="7"/>
      <c r="H51" s="6"/>
      <c r="I51" s="6">
        <f>+I50/D50</f>
        <v>24.440000000000005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652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655</v>
      </c>
      <c r="D2" s="96" t="s">
        <v>3</v>
      </c>
      <c r="E2" s="95" t="s">
        <v>112</v>
      </c>
      <c r="F2" s="94" t="s">
        <v>5</v>
      </c>
      <c r="G2" s="93">
        <v>4341.5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64</v>
      </c>
      <c r="F3" s="88" t="s">
        <v>8</v>
      </c>
      <c r="G3" s="87">
        <v>25.11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67.8359375</v>
      </c>
      <c r="F4" s="81" t="s">
        <v>12</v>
      </c>
      <c r="G4" s="80">
        <f>G2*G3</f>
        <v>109015.065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-0.10995603959694433</v>
      </c>
      <c r="F6" s="69" t="s">
        <v>16</v>
      </c>
      <c r="G6" s="68">
        <f>(I50-I19)/(D50-(SUM(D42:D44)+D19))</f>
        <v>32.483630810488684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25.1</v>
      </c>
      <c r="D10" s="30"/>
      <c r="E10" s="29" t="e">
        <f t="shared" ref="E10:E19" si="1">D10/$D$19</f>
        <v>#DIV/0!</v>
      </c>
      <c r="F10" s="28">
        <f t="shared" ref="F10:F18" si="2">C10-(C10*$E$6)</f>
        <v>27.859896593883306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26.1</v>
      </c>
      <c r="D11" s="30"/>
      <c r="E11" s="29" t="e">
        <f t="shared" si="1"/>
        <v>#DIV/0!</v>
      </c>
      <c r="F11" s="28">
        <f t="shared" si="2"/>
        <v>28.969852633480247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23.9</v>
      </c>
      <c r="D12" s="30"/>
      <c r="E12" s="29" t="e">
        <f t="shared" si="1"/>
        <v>#DIV/0!</v>
      </c>
      <c r="F12" s="28">
        <f t="shared" si="2"/>
        <v>26.527949346366967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26.1</v>
      </c>
      <c r="D13" s="30"/>
      <c r="E13" s="29" t="e">
        <f t="shared" si="1"/>
        <v>#DIV/0!</v>
      </c>
      <c r="F13" s="28">
        <f t="shared" si="2"/>
        <v>28.969852633480247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29.2</v>
      </c>
      <c r="D14" s="30"/>
      <c r="E14" s="29" t="e">
        <f t="shared" si="1"/>
        <v>#DIV/0!</v>
      </c>
      <c r="F14" s="28">
        <f t="shared" si="2"/>
        <v>32.410716356230772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24.1</v>
      </c>
      <c r="D15" s="30"/>
      <c r="E15" s="29" t="e">
        <f t="shared" si="1"/>
        <v>#DIV/0!</v>
      </c>
      <c r="F15" s="28">
        <f t="shared" si="2"/>
        <v>26.749940554286361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</v>
      </c>
      <c r="D16" s="30"/>
      <c r="E16" s="29" t="e">
        <f t="shared" si="1"/>
        <v>#DIV/0!</v>
      </c>
      <c r="F16" s="28">
        <f t="shared" si="2"/>
        <v>36.628549306699163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48.6</v>
      </c>
      <c r="D17" s="30"/>
      <c r="E17" s="29" t="e">
        <f t="shared" si="1"/>
        <v>#DIV/0!</v>
      </c>
      <c r="F17" s="28">
        <f t="shared" si="2"/>
        <v>53.943863524411498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42.5</v>
      </c>
      <c r="D18" s="30"/>
      <c r="E18" s="29" t="e">
        <f t="shared" si="1"/>
        <v>#DIV/0!</v>
      </c>
      <c r="F18" s="28">
        <f t="shared" si="2"/>
        <v>47.173131682870135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63.2</v>
      </c>
      <c r="D21" s="30">
        <v>51.8</v>
      </c>
      <c r="E21" s="29">
        <f>D21/$D$48</f>
        <v>1.1931360128987677E-2</v>
      </c>
      <c r="F21" s="28">
        <f>C21-(C21*$E$6)</f>
        <v>70.149221702526887</v>
      </c>
      <c r="G21" s="27" t="str">
        <f>IF(C21&gt;=F21,"-","+")</f>
        <v>+</v>
      </c>
      <c r="H21" s="26">
        <f>C21*D21</f>
        <v>3273.7599999999998</v>
      </c>
      <c r="I21" s="26">
        <f>F21*D21</f>
        <v>3633.7296841908924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42.4</v>
      </c>
      <c r="D22" s="30">
        <v>71.099999999999994</v>
      </c>
      <c r="E22" s="29">
        <f>D22/$D$48</f>
        <v>1.6376828285154899E-2</v>
      </c>
      <c r="F22" s="28">
        <f>C22-(C22*$E$6)</f>
        <v>47.062136078910441</v>
      </c>
      <c r="G22" s="27" t="str">
        <f>IF(C22&gt;=F22,"-","+")</f>
        <v>+</v>
      </c>
      <c r="H22" s="26">
        <f>C22*D22</f>
        <v>3014.64</v>
      </c>
      <c r="I22" s="26">
        <f>F22*D22</f>
        <v>3346.117875210532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38.700000000000003</v>
      </c>
      <c r="D23" s="30">
        <v>75.099999999999994</v>
      </c>
      <c r="E23" s="29">
        <f>D23/$D$48</f>
        <v>1.7298168835655877E-2</v>
      </c>
      <c r="F23" s="28">
        <f>C23-(C23*$E$6)</f>
        <v>42.955298732401751</v>
      </c>
      <c r="G23" s="27" t="str">
        <f>IF(C23&gt;=F23,"-","+")</f>
        <v>+</v>
      </c>
      <c r="H23" s="26">
        <f>C23*D23</f>
        <v>2906.37</v>
      </c>
      <c r="I23" s="26">
        <f>F23*D23</f>
        <v>3225.9429348033714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46.438232323232327</v>
      </c>
      <c r="D24" s="22">
        <f>SUM(D21:D23)</f>
        <v>198</v>
      </c>
      <c r="E24" s="21">
        <f>D24/$D$48</f>
        <v>4.560635724979846E-2</v>
      </c>
      <c r="F24" s="20">
        <f>I24/D24</f>
        <v>51.544396435377756</v>
      </c>
      <c r="G24" s="19">
        <f>F24/C24-1</f>
        <v>0.10995603959694411</v>
      </c>
      <c r="H24" s="18">
        <f>SUM(H21:H23)</f>
        <v>9194.77</v>
      </c>
      <c r="I24" s="18">
        <f>SUM(I21:I23)</f>
        <v>10205.790494204795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33.700000000000003</v>
      </c>
      <c r="D26" s="30">
        <v>878.4</v>
      </c>
      <c r="E26" s="29">
        <f t="shared" ref="E26:E32" si="7">D26/$D$48</f>
        <v>0.20232638489001498</v>
      </c>
      <c r="F26" s="28">
        <f t="shared" ref="F26:F31" si="8">C26-(C26*$E$6)</f>
        <v>37.405518534417027</v>
      </c>
      <c r="G26" s="27" t="str">
        <f t="shared" ref="G26:G31" si="9">IF(C26&gt;=F26,"-","+")</f>
        <v>+</v>
      </c>
      <c r="H26" s="26">
        <f t="shared" ref="H26:H31" si="10">C26*D26</f>
        <v>29602.080000000002</v>
      </c>
      <c r="I26" s="26">
        <f t="shared" ref="I26:I31" si="11">F26*D26</f>
        <v>32857.007480631917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</v>
      </c>
      <c r="D27" s="30">
        <v>669.1</v>
      </c>
      <c r="E27" s="29">
        <f t="shared" si="7"/>
        <v>0.15411724058505125</v>
      </c>
      <c r="F27" s="28">
        <f t="shared" si="8"/>
        <v>33.298681187908329</v>
      </c>
      <c r="G27" s="27" t="str">
        <f t="shared" si="9"/>
        <v>+</v>
      </c>
      <c r="H27" s="26">
        <f t="shared" si="10"/>
        <v>20073</v>
      </c>
      <c r="I27" s="26">
        <f t="shared" si="11"/>
        <v>22280.147582829464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</v>
      </c>
      <c r="D28" s="30">
        <v>330</v>
      </c>
      <c r="E28" s="29">
        <f t="shared" si="7"/>
        <v>7.6010595416330762E-2</v>
      </c>
      <c r="F28" s="28">
        <f t="shared" si="8"/>
        <v>33.298681187908329</v>
      </c>
      <c r="G28" s="27" t="str">
        <f t="shared" si="9"/>
        <v>+</v>
      </c>
      <c r="H28" s="26">
        <f t="shared" si="10"/>
        <v>9900</v>
      </c>
      <c r="I28" s="26">
        <f t="shared" si="11"/>
        <v>10988.564792009749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</v>
      </c>
      <c r="D29" s="30">
        <v>318.8</v>
      </c>
      <c r="E29" s="29">
        <f t="shared" si="7"/>
        <v>7.343084187492803E-2</v>
      </c>
      <c r="F29" s="28">
        <f t="shared" si="8"/>
        <v>32.188725148311384</v>
      </c>
      <c r="G29" s="27" t="str">
        <f t="shared" si="9"/>
        <v>+</v>
      </c>
      <c r="H29" s="26">
        <f t="shared" si="10"/>
        <v>9245.2000000000007</v>
      </c>
      <c r="I29" s="26">
        <f t="shared" si="11"/>
        <v>10261.765577281669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</v>
      </c>
      <c r="D30" s="30">
        <v>208.4</v>
      </c>
      <c r="E30" s="29">
        <f t="shared" si="7"/>
        <v>4.8001842681101005E-2</v>
      </c>
      <c r="F30" s="28">
        <f t="shared" si="8"/>
        <v>32.188725148311384</v>
      </c>
      <c r="G30" s="27" t="str">
        <f t="shared" si="9"/>
        <v>+</v>
      </c>
      <c r="H30" s="26">
        <f t="shared" si="10"/>
        <v>6043.6</v>
      </c>
      <c r="I30" s="26">
        <f t="shared" si="11"/>
        <v>6708.1303209080925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29.5</v>
      </c>
      <c r="D31" s="30">
        <v>63</v>
      </c>
      <c r="E31" s="29">
        <f t="shared" si="7"/>
        <v>1.4511113670390418E-2</v>
      </c>
      <c r="F31" s="28">
        <f t="shared" si="8"/>
        <v>32.74370316810986</v>
      </c>
      <c r="G31" s="27" t="str">
        <f t="shared" si="9"/>
        <v>+</v>
      </c>
      <c r="H31" s="26">
        <f t="shared" si="10"/>
        <v>1858.5</v>
      </c>
      <c r="I31" s="26">
        <f t="shared" si="11"/>
        <v>2062.8532995909213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31.090643108967864</v>
      </c>
      <c r="D32" s="22">
        <f>SUM(D26:D31)</f>
        <v>2467.7000000000003</v>
      </c>
      <c r="E32" s="21">
        <f t="shared" si="7"/>
        <v>0.56839801911781651</v>
      </c>
      <c r="F32" s="20">
        <f>I32/D32</f>
        <v>34.509247093751995</v>
      </c>
      <c r="G32" s="19">
        <f>F32/C32-1</f>
        <v>0.10995603959694411</v>
      </c>
      <c r="H32" s="18">
        <f>SUM(H26:H31)</f>
        <v>76722.38</v>
      </c>
      <c r="I32" s="18">
        <f>SUM(I26:I31)</f>
        <v>85158.469053251814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307+323.3</f>
        <v>630.29999999999995</v>
      </c>
      <c r="E34" s="29">
        <f t="shared" ref="E34:E40" si="13">D34/$D$48</f>
        <v>0.14518023724519175</v>
      </c>
      <c r="F34" s="28">
        <f t="shared" ref="F34:F39" si="14">C34-(C34*$E$6)</f>
        <v>19.646221900865914</v>
      </c>
      <c r="G34" s="27" t="str">
        <f t="shared" ref="G34:G39" si="15">IF(C34&gt;=F34,"-","+")</f>
        <v>+</v>
      </c>
      <c r="H34" s="26">
        <f t="shared" ref="H34:H39" si="16">C34*D34</f>
        <v>11156.31</v>
      </c>
      <c r="I34" s="26">
        <f t="shared" ref="I34:I39" si="17">F34*D34</f>
        <v>12383.013664115784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55</v>
      </c>
      <c r="E35" s="29">
        <f t="shared" si="13"/>
        <v>1.266843256938846E-2</v>
      </c>
      <c r="F35" s="28">
        <f t="shared" si="14"/>
        <v>15.095402138518443</v>
      </c>
      <c r="G35" s="27" t="str">
        <f t="shared" si="15"/>
        <v>+</v>
      </c>
      <c r="H35" s="26">
        <f t="shared" si="16"/>
        <v>748</v>
      </c>
      <c r="I35" s="26">
        <f t="shared" si="17"/>
        <v>830.24711761851438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12.209516435566387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</v>
      </c>
      <c r="D37" s="30"/>
      <c r="E37" s="29">
        <f t="shared" si="13"/>
        <v>0</v>
      </c>
      <c r="F37" s="28">
        <f t="shared" si="14"/>
        <v>32.188725148311384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</v>
      </c>
      <c r="D38" s="30"/>
      <c r="E38" s="29">
        <f t="shared" si="13"/>
        <v>0</v>
      </c>
      <c r="F38" s="28">
        <f t="shared" si="14"/>
        <v>32.188725148311384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</v>
      </c>
      <c r="D39" s="30"/>
      <c r="E39" s="29">
        <f t="shared" si="13"/>
        <v>0</v>
      </c>
      <c r="F39" s="28">
        <f t="shared" si="14"/>
        <v>33.298681187908329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17.370947030497593</v>
      </c>
      <c r="D40" s="22">
        <f>SUM(D34:D39)</f>
        <v>685.3</v>
      </c>
      <c r="E40" s="113">
        <f t="shared" si="13"/>
        <v>0.15784866981458021</v>
      </c>
      <c r="F40" s="20">
        <f>I40/D40</f>
        <v>19.280987570019406</v>
      </c>
      <c r="G40" s="19">
        <f>F40/C40-1</f>
        <v>0.10995603959694411</v>
      </c>
      <c r="H40" s="18">
        <f>SUM(H34:H39)</f>
        <v>11904.31</v>
      </c>
      <c r="I40" s="18">
        <f>SUM(I34:I39)</f>
        <v>13213.260781734298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458+56.8+442.9</f>
        <v>957.69999999999993</v>
      </c>
      <c r="E42" s="107">
        <f>D42/$D$48</f>
        <v>0.22059196130369688</v>
      </c>
      <c r="F42" s="28">
        <f>C42-(C42*$E$6)</f>
        <v>0.44398241583877773</v>
      </c>
      <c r="G42" s="27" t="str">
        <f>IF(C42&gt;=F42,"-","+")</f>
        <v>+</v>
      </c>
      <c r="H42" s="26">
        <f>C42*D42</f>
        <v>383.08</v>
      </c>
      <c r="I42" s="26">
        <f>F42*D42</f>
        <v>425.20195964879741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27.8</v>
      </c>
      <c r="E43" s="107">
        <f>D43/$D$48</f>
        <v>6.4033168259818038E-3</v>
      </c>
      <c r="F43" s="28">
        <f>C43-(C43*$E$6)</f>
        <v>0.44398241583877773</v>
      </c>
      <c r="G43" s="27" t="str">
        <f>IF(C43&gt;=F43,"-","+")</f>
        <v>+</v>
      </c>
      <c r="H43" s="26">
        <f>C43*D43</f>
        <v>11.120000000000001</v>
      </c>
      <c r="I43" s="26">
        <f>F43*D43</f>
        <v>12.342711160318022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1.1516756881262238E-3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0.39798081776880367</v>
      </c>
      <c r="D46" s="22">
        <f>SUM(D41:D45)</f>
        <v>990.49999999999989</v>
      </c>
      <c r="E46" s="113">
        <f>D46/$D$48</f>
        <v>0.22814695381780489</v>
      </c>
      <c r="F46" s="20">
        <f>I46/D46</f>
        <v>0.44174121232621449</v>
      </c>
      <c r="G46" s="19">
        <f>F46/C46-1</f>
        <v>0.10995603959694433</v>
      </c>
      <c r="H46" s="18">
        <f>SUM(H41:H44)</f>
        <v>394.2</v>
      </c>
      <c r="I46" s="18">
        <f>SUM(I41:I44)</f>
        <v>437.54467080911542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95.297803280466582</v>
      </c>
      <c r="D48" s="13">
        <f>D24+D32+D40+D46</f>
        <v>4341.5</v>
      </c>
      <c r="E48" s="12">
        <f>SUM(E20:E46)/2</f>
        <v>1</v>
      </c>
      <c r="F48" s="11">
        <f>I48/D48</f>
        <v>25.110000000000003</v>
      </c>
      <c r="G48" s="10"/>
      <c r="H48" s="9">
        <f>SUM(H20:H46)/2</f>
        <v>98215.659999999989</v>
      </c>
      <c r="I48" s="9">
        <f>SUM(I20:I46)/2</f>
        <v>109015.06500000002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4341.5</v>
      </c>
      <c r="E50" s="12">
        <f>D50/G2</f>
        <v>1</v>
      </c>
      <c r="F50" s="11">
        <f>I50/D50</f>
        <v>25.110000000000003</v>
      </c>
      <c r="G50" s="10"/>
      <c r="H50" s="9">
        <f>H48+H19</f>
        <v>98215.659999999989</v>
      </c>
      <c r="I50" s="9">
        <f>I48+I19</f>
        <v>109015.06500000002</v>
      </c>
      <c r="J50" s="106">
        <f>D50-G2</f>
        <v>0</v>
      </c>
      <c r="K50" s="8"/>
    </row>
    <row r="51" spans="1:11" ht="23.25" x14ac:dyDescent="0.35">
      <c r="A51" s="174" t="s">
        <v>663</v>
      </c>
      <c r="B51" s="169"/>
      <c r="C51" s="170"/>
      <c r="G51" s="7"/>
      <c r="H51" s="6"/>
      <c r="I51" s="6">
        <f>+I50/D50</f>
        <v>25.110000000000003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655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664</v>
      </c>
      <c r="D2" s="96" t="s">
        <v>3</v>
      </c>
      <c r="E2" s="95" t="s">
        <v>112</v>
      </c>
      <c r="F2" s="94" t="s">
        <v>5</v>
      </c>
      <c r="G2" s="93">
        <v>3594.3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56</v>
      </c>
      <c r="F3" s="88" t="s">
        <v>8</v>
      </c>
      <c r="G3" s="87">
        <v>24.85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64.183928571428581</v>
      </c>
      <c r="F4" s="81" t="s">
        <v>12</v>
      </c>
      <c r="G4" s="80">
        <f>G2*G3</f>
        <v>89318.35500000001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-8.6011784150088477E-2</v>
      </c>
      <c r="F6" s="69" t="s">
        <v>16</v>
      </c>
      <c r="G6" s="68">
        <f>(I50-I19)/(D50-(SUM(D42:D44)+D19))</f>
        <v>31.555680975092745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24.9</v>
      </c>
      <c r="D10" s="30"/>
      <c r="E10" s="29" t="e">
        <f t="shared" ref="E10:E19" si="1">D10/$D$19</f>
        <v>#DIV/0!</v>
      </c>
      <c r="F10" s="28">
        <f t="shared" ref="F10:F18" si="2">C10-(C10*$E$6)</f>
        <v>27.041693425337201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25.9</v>
      </c>
      <c r="D11" s="30"/>
      <c r="E11" s="29" t="e">
        <f t="shared" si="1"/>
        <v>#DIV/0!</v>
      </c>
      <c r="F11" s="28">
        <f t="shared" si="2"/>
        <v>28.127705209487289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23.6</v>
      </c>
      <c r="D12" s="30"/>
      <c r="E12" s="29" t="e">
        <f t="shared" si="1"/>
        <v>#DIV/0!</v>
      </c>
      <c r="F12" s="28">
        <f t="shared" si="2"/>
        <v>25.62987810594209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25.9</v>
      </c>
      <c r="D13" s="30"/>
      <c r="E13" s="29" t="e">
        <f t="shared" si="1"/>
        <v>#DIV/0!</v>
      </c>
      <c r="F13" s="28">
        <f t="shared" si="2"/>
        <v>28.127705209487289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28.9</v>
      </c>
      <c r="D14" s="30"/>
      <c r="E14" s="29" t="e">
        <f t="shared" si="1"/>
        <v>#DIV/0!</v>
      </c>
      <c r="F14" s="28">
        <f t="shared" si="2"/>
        <v>31.385740561937556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23.9</v>
      </c>
      <c r="D15" s="30"/>
      <c r="E15" s="29" t="e">
        <f t="shared" si="1"/>
        <v>#DIV/0!</v>
      </c>
      <c r="F15" s="28">
        <f t="shared" si="2"/>
        <v>25.955681641187113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32.700000000000003</v>
      </c>
      <c r="D16" s="30"/>
      <c r="E16" s="29" t="e">
        <f t="shared" si="1"/>
        <v>#DIV/0!</v>
      </c>
      <c r="F16" s="28">
        <f t="shared" si="2"/>
        <v>35.512585341707897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48.1</v>
      </c>
      <c r="D17" s="30"/>
      <c r="E17" s="29" t="e">
        <f t="shared" si="1"/>
        <v>#DIV/0!</v>
      </c>
      <c r="F17" s="28">
        <f t="shared" si="2"/>
        <v>52.237166817619254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42.1</v>
      </c>
      <c r="D18" s="30"/>
      <c r="E18" s="29" t="e">
        <f t="shared" si="1"/>
        <v>#DIV/0!</v>
      </c>
      <c r="F18" s="28">
        <f t="shared" si="2"/>
        <v>45.721096112718726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62.5</v>
      </c>
      <c r="D21" s="30">
        <v>44.8</v>
      </c>
      <c r="E21" s="29">
        <f>D21/$D$48</f>
        <v>1.2464179395153437E-2</v>
      </c>
      <c r="F21" s="28">
        <f>C21-(C21*$E$6)</f>
        <v>67.87573650938053</v>
      </c>
      <c r="G21" s="27" t="str">
        <f>IF(C21&gt;=F21,"-","+")</f>
        <v>+</v>
      </c>
      <c r="H21" s="26">
        <f>C21*D21</f>
        <v>2800</v>
      </c>
      <c r="I21" s="26">
        <f>F21*D21</f>
        <v>3040.8329956202474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</v>
      </c>
      <c r="D22" s="30">
        <v>85</v>
      </c>
      <c r="E22" s="29">
        <f>D22/$D$48</f>
        <v>2.3648554655983083E-2</v>
      </c>
      <c r="F22" s="28">
        <f>C22-(C22*$E$6)</f>
        <v>45.612494934303719</v>
      </c>
      <c r="G22" s="27" t="str">
        <f>IF(C22&gt;=F22,"-","+")</f>
        <v>+</v>
      </c>
      <c r="H22" s="26">
        <f>C22*D22</f>
        <v>3570</v>
      </c>
      <c r="I22" s="26">
        <f>F22*D22</f>
        <v>3877.062069415816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38.299999999999997</v>
      </c>
      <c r="D23" s="30">
        <v>62</v>
      </c>
      <c r="E23" s="29">
        <f>D23/$D$48</f>
        <v>1.7249533984364133E-2</v>
      </c>
      <c r="F23" s="28">
        <f>C23-(C23*$E$6)</f>
        <v>41.594251332948389</v>
      </c>
      <c r="G23" s="27" t="str">
        <f>IF(C23&gt;=F23,"-","+")</f>
        <v>+</v>
      </c>
      <c r="H23" s="26">
        <f>C23*D23</f>
        <v>2374.6</v>
      </c>
      <c r="I23" s="26">
        <f>F23*D23</f>
        <v>2578.8435826427999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45.592283628779981</v>
      </c>
      <c r="D24" s="22">
        <f>SUM(D21:D23)</f>
        <v>191.8</v>
      </c>
      <c r="E24" s="21">
        <f>D24/$D$48</f>
        <v>5.3362268035500655E-2</v>
      </c>
      <c r="F24" s="20">
        <f>I24/D24</f>
        <v>49.513757287168211</v>
      </c>
      <c r="G24" s="19">
        <f>F24/C24-1</f>
        <v>8.6011784150088255E-2</v>
      </c>
      <c r="H24" s="18">
        <f>SUM(H21:H23)</f>
        <v>8744.6</v>
      </c>
      <c r="I24" s="18">
        <f>SUM(I21:I23)</f>
        <v>9496.7386476788633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33.299999999999997</v>
      </c>
      <c r="D26" s="30">
        <v>634.1</v>
      </c>
      <c r="E26" s="29">
        <f t="shared" ref="E26:E32" si="7">D26/$D$48</f>
        <v>0.17641821773363381</v>
      </c>
      <c r="F26" s="28">
        <f t="shared" ref="F26:F31" si="8">C26-(C26*$E$6)</f>
        <v>36.164192412197941</v>
      </c>
      <c r="G26" s="27" t="str">
        <f t="shared" ref="G26:G31" si="9">IF(C26&gt;=F26,"-","+")</f>
        <v>+</v>
      </c>
      <c r="H26" s="26">
        <f t="shared" ref="H26:H31" si="10">C26*D26</f>
        <v>21115.53</v>
      </c>
      <c r="I26" s="26">
        <f t="shared" ref="I26:I31" si="11">F26*D26</f>
        <v>22931.714408574717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29.7</v>
      </c>
      <c r="D27" s="30">
        <v>540</v>
      </c>
      <c r="E27" s="29">
        <f t="shared" si="7"/>
        <v>0.15023787663801016</v>
      </c>
      <c r="F27" s="28">
        <f t="shared" si="8"/>
        <v>32.254549989257626</v>
      </c>
      <c r="G27" s="27" t="str">
        <f t="shared" si="9"/>
        <v>+</v>
      </c>
      <c r="H27" s="26">
        <f t="shared" si="10"/>
        <v>16038</v>
      </c>
      <c r="I27" s="26">
        <f t="shared" si="11"/>
        <v>17417.456994199118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29.7</v>
      </c>
      <c r="D28" s="30">
        <v>337</v>
      </c>
      <c r="E28" s="29">
        <f t="shared" si="7"/>
        <v>9.3759563753721159E-2</v>
      </c>
      <c r="F28" s="28">
        <f t="shared" si="8"/>
        <v>32.254549989257626</v>
      </c>
      <c r="G28" s="27" t="str">
        <f t="shared" si="9"/>
        <v>+</v>
      </c>
      <c r="H28" s="26">
        <f t="shared" si="10"/>
        <v>10008.9</v>
      </c>
      <c r="I28" s="26">
        <f t="shared" si="11"/>
        <v>10869.78334637982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28.7</v>
      </c>
      <c r="D29" s="30">
        <v>284</v>
      </c>
      <c r="E29" s="29">
        <f t="shared" si="7"/>
        <v>7.9013994379990543E-2</v>
      </c>
      <c r="F29" s="28">
        <f t="shared" si="8"/>
        <v>31.168538205107538</v>
      </c>
      <c r="G29" s="27" t="str">
        <f t="shared" si="9"/>
        <v>+</v>
      </c>
      <c r="H29" s="26">
        <f t="shared" si="10"/>
        <v>8150.8</v>
      </c>
      <c r="I29" s="26">
        <f t="shared" si="11"/>
        <v>8851.8648502505403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28.7</v>
      </c>
      <c r="D30" s="30">
        <v>197</v>
      </c>
      <c r="E30" s="29">
        <f t="shared" si="7"/>
        <v>5.4809003143866677E-2</v>
      </c>
      <c r="F30" s="28">
        <f t="shared" si="8"/>
        <v>31.168538205107538</v>
      </c>
      <c r="G30" s="27" t="str">
        <f t="shared" si="9"/>
        <v>+</v>
      </c>
      <c r="H30" s="26">
        <f t="shared" si="10"/>
        <v>5653.9</v>
      </c>
      <c r="I30" s="26">
        <f t="shared" si="11"/>
        <v>6140.2020264061848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29.2</v>
      </c>
      <c r="D31" s="30">
        <v>80.599999999999994</v>
      </c>
      <c r="E31" s="29">
        <f t="shared" si="7"/>
        <v>2.242439417967337E-2</v>
      </c>
      <c r="F31" s="28">
        <f t="shared" si="8"/>
        <v>31.711544097182582</v>
      </c>
      <c r="G31" s="27" t="str">
        <f t="shared" si="9"/>
        <v>+</v>
      </c>
      <c r="H31" s="26">
        <f t="shared" si="10"/>
        <v>2353.52</v>
      </c>
      <c r="I31" s="26">
        <f t="shared" si="11"/>
        <v>2555.9504542329159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30.549838375066344</v>
      </c>
      <c r="D32" s="22">
        <f>SUM(D26:D31)</f>
        <v>2072.6999999999998</v>
      </c>
      <c r="E32" s="21">
        <f t="shared" si="7"/>
        <v>0.57666304982889571</v>
      </c>
      <c r="F32" s="20">
        <f>I32/D32</f>
        <v>33.177484479202633</v>
      </c>
      <c r="G32" s="19">
        <f>F32/C32-1</f>
        <v>8.6011784150088255E-2</v>
      </c>
      <c r="H32" s="18">
        <f>SUM(H26:H31)</f>
        <v>63320.65</v>
      </c>
      <c r="I32" s="18">
        <f>SUM(I26:I31)</f>
        <v>68766.972080043284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v>561</v>
      </c>
      <c r="E34" s="29">
        <f t="shared" ref="E34:E40" si="13">D34/$D$48</f>
        <v>0.15608046072948834</v>
      </c>
      <c r="F34" s="28">
        <f t="shared" ref="F34:F39" si="14">C34-(C34*$E$6)</f>
        <v>19.113807401041559</v>
      </c>
      <c r="G34" s="27" t="str">
        <f t="shared" ref="G34:G39" si="15">IF(C34&gt;=F34,"-","+")</f>
        <v>+</v>
      </c>
      <c r="H34" s="26">
        <f t="shared" ref="H34:H39" si="16">C34*D34</f>
        <v>9873.6</v>
      </c>
      <c r="I34" s="26">
        <f t="shared" ref="I34:I39" si="17">F34*D34</f>
        <v>10722.845951984315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13.5</v>
      </c>
      <c r="D35" s="30"/>
      <c r="E35" s="29">
        <f t="shared" si="13"/>
        <v>0</v>
      </c>
      <c r="F35" s="28">
        <f t="shared" si="14"/>
        <v>14.661159086026194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11.837528447235965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28.7</v>
      </c>
      <c r="D37" s="30"/>
      <c r="E37" s="29">
        <f t="shared" si="13"/>
        <v>0</v>
      </c>
      <c r="F37" s="28">
        <f t="shared" si="14"/>
        <v>31.168538205107538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28.7</v>
      </c>
      <c r="D38" s="30"/>
      <c r="E38" s="29">
        <f t="shared" si="13"/>
        <v>0</v>
      </c>
      <c r="F38" s="28">
        <f t="shared" si="14"/>
        <v>31.168538205107538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29.7</v>
      </c>
      <c r="D39" s="30"/>
      <c r="E39" s="29">
        <f t="shared" si="13"/>
        <v>0</v>
      </c>
      <c r="F39" s="28">
        <f t="shared" si="14"/>
        <v>32.254549989257626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17.600000000000001</v>
      </c>
      <c r="D40" s="22">
        <f>SUM(D34:D39)</f>
        <v>561</v>
      </c>
      <c r="E40" s="113">
        <f t="shared" si="13"/>
        <v>0.15608046072948834</v>
      </c>
      <c r="F40" s="20">
        <f>I40/D40</f>
        <v>19.113807401041559</v>
      </c>
      <c r="G40" s="19">
        <f>F40/C40-1</f>
        <v>8.6011784150088477E-2</v>
      </c>
      <c r="H40" s="18">
        <f>SUM(H34:H39)</f>
        <v>9873.6</v>
      </c>
      <c r="I40" s="18">
        <f>SUM(I34:I39)</f>
        <v>10722.845951984315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746</v>
      </c>
      <c r="E42" s="107">
        <f>D42/$D$48</f>
        <v>0.20755084439251034</v>
      </c>
      <c r="F42" s="28">
        <f>C42-(C42*$E$6)</f>
        <v>0.43440471366003541</v>
      </c>
      <c r="G42" s="27" t="str">
        <f>IF(C42&gt;=F42,"-","+")</f>
        <v>+</v>
      </c>
      <c r="H42" s="26">
        <f>C42*D42</f>
        <v>298.40000000000003</v>
      </c>
      <c r="I42" s="26">
        <f>F42*D42</f>
        <v>324.06591639038641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17.8</v>
      </c>
      <c r="E43" s="107">
        <f>D43/$D$48</f>
        <v>4.9522855632529285E-3</v>
      </c>
      <c r="F43" s="28">
        <f>C43-(C43*$E$6)</f>
        <v>0.43440471366003541</v>
      </c>
      <c r="G43" s="27" t="str">
        <f>IF(C43&gt;=F43,"-","+")</f>
        <v>+</v>
      </c>
      <c r="H43" s="26">
        <f>C43*D43</f>
        <v>7.120000000000001</v>
      </c>
      <c r="I43" s="26">
        <f>F43*D43</f>
        <v>7.7324039031486302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1.3910914503519462E-3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0.39739854318418322</v>
      </c>
      <c r="D46" s="22">
        <f>SUM(D41:D45)</f>
        <v>768.8</v>
      </c>
      <c r="E46" s="113">
        <f>D46/$D$48</f>
        <v>0.21389422140611522</v>
      </c>
      <c r="F46" s="20">
        <f>I46/D46</f>
        <v>0.43157950090210073</v>
      </c>
      <c r="G46" s="19">
        <f>F46/C46-1</f>
        <v>8.6011784150088255E-2</v>
      </c>
      <c r="H46" s="18">
        <f>SUM(H41:H44)</f>
        <v>305.52000000000004</v>
      </c>
      <c r="I46" s="18">
        <f>SUM(I41:I44)</f>
        <v>331.79832029353503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94.139520547030514</v>
      </c>
      <c r="D48" s="13">
        <f>D24+D32+D40+D46</f>
        <v>3594.3</v>
      </c>
      <c r="E48" s="12">
        <f>SUM(E20:E46)/2</f>
        <v>0.99999999999999989</v>
      </c>
      <c r="F48" s="11">
        <f>I48/D48</f>
        <v>24.85</v>
      </c>
      <c r="G48" s="10"/>
      <c r="H48" s="9">
        <f>SUM(H20:H46)/2</f>
        <v>82244.37</v>
      </c>
      <c r="I48" s="9">
        <f>SUM(I20:I46)/2</f>
        <v>89318.35500000001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3594.3</v>
      </c>
      <c r="E50" s="12">
        <f>D50/G2</f>
        <v>1</v>
      </c>
      <c r="F50" s="11">
        <f>I50/D50</f>
        <v>24.85</v>
      </c>
      <c r="G50" s="10"/>
      <c r="H50" s="9">
        <f>H48+H19</f>
        <v>82244.37</v>
      </c>
      <c r="I50" s="9">
        <f>I48+I19</f>
        <v>89318.35500000001</v>
      </c>
      <c r="J50" s="106">
        <f>D50-G2</f>
        <v>0</v>
      </c>
      <c r="K50" s="8"/>
    </row>
    <row r="51" spans="1:11" ht="23.25" x14ac:dyDescent="0.35">
      <c r="A51" s="174" t="s">
        <v>665</v>
      </c>
      <c r="B51" s="169"/>
      <c r="C51" s="170"/>
      <c r="G51" s="7"/>
      <c r="H51" s="6"/>
      <c r="I51" s="6">
        <f>+I50/D50</f>
        <v>24.85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664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664</v>
      </c>
      <c r="D2" s="96" t="s">
        <v>3</v>
      </c>
      <c r="E2" s="95" t="s">
        <v>112</v>
      </c>
      <c r="F2" s="94" t="s">
        <v>5</v>
      </c>
      <c r="G2" s="93">
        <v>8287.2000000000007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144</v>
      </c>
      <c r="F3" s="88" t="s">
        <v>8</v>
      </c>
      <c r="G3" s="87">
        <v>24.16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57.550000000000004</v>
      </c>
      <c r="F4" s="81" t="s">
        <v>12</v>
      </c>
      <c r="G4" s="80">
        <f>G2*G3</f>
        <v>200218.75200000001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-0.11809764735643813</v>
      </c>
      <c r="F6" s="69" t="s">
        <v>16</v>
      </c>
      <c r="G6" s="68">
        <f>(I50-I19)/(D50-(SUM(D42:D44)+D19))</f>
        <v>31.418691272008285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24.2</v>
      </c>
      <c r="D10" s="30"/>
      <c r="E10" s="29" t="e">
        <f t="shared" ref="E10:E19" si="1">D10/$D$19</f>
        <v>#DIV/0!</v>
      </c>
      <c r="F10" s="28">
        <f t="shared" ref="F10:F18" si="2">C10-(C10*$E$6)</f>
        <v>27.057963066025803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25.2</v>
      </c>
      <c r="D11" s="30"/>
      <c r="E11" s="29" t="e">
        <f t="shared" si="1"/>
        <v>#DIV/0!</v>
      </c>
      <c r="F11" s="28">
        <f t="shared" si="2"/>
        <v>28.176060713382242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</v>
      </c>
      <c r="D12" s="30"/>
      <c r="E12" s="29" t="e">
        <f t="shared" si="1"/>
        <v>#DIV/0!</v>
      </c>
      <c r="F12" s="28">
        <f t="shared" si="2"/>
        <v>25.716245889198078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25.2</v>
      </c>
      <c r="D13" s="30"/>
      <c r="E13" s="29" t="e">
        <f t="shared" si="1"/>
        <v>#DIV/0!</v>
      </c>
      <c r="F13" s="28">
        <f t="shared" si="2"/>
        <v>28.176060713382242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28.1</v>
      </c>
      <c r="D14" s="30"/>
      <c r="E14" s="29" t="e">
        <f t="shared" si="1"/>
        <v>#DIV/0!</v>
      </c>
      <c r="F14" s="28">
        <f t="shared" si="2"/>
        <v>31.418543890715913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23.2</v>
      </c>
      <c r="D15" s="30"/>
      <c r="E15" s="29" t="e">
        <f t="shared" si="1"/>
        <v>#DIV/0!</v>
      </c>
      <c r="F15" s="28">
        <f t="shared" si="2"/>
        <v>25.939865418669363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31.8</v>
      </c>
      <c r="D16" s="30"/>
      <c r="E16" s="29" t="e">
        <f t="shared" si="1"/>
        <v>#DIV/0!</v>
      </c>
      <c r="F16" s="28">
        <f t="shared" si="2"/>
        <v>35.555505185934734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46.7</v>
      </c>
      <c r="D17" s="30"/>
      <c r="E17" s="29" t="e">
        <f t="shared" si="1"/>
        <v>#DIV/0!</v>
      </c>
      <c r="F17" s="28">
        <f t="shared" si="2"/>
        <v>52.215160131545666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40.9</v>
      </c>
      <c r="D18" s="30"/>
      <c r="E18" s="29" t="e">
        <f t="shared" si="1"/>
        <v>#DIV/0!</v>
      </c>
      <c r="F18" s="28">
        <f t="shared" si="2"/>
        <v>45.730193776878316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60.8</v>
      </c>
      <c r="D21" s="30">
        <v>103.1</v>
      </c>
      <c r="E21" s="29">
        <f>D21/$D$48</f>
        <v>1.244087267110725E-2</v>
      </c>
      <c r="F21" s="28">
        <f>C21-(C21*$E$6)</f>
        <v>67.98033695927144</v>
      </c>
      <c r="G21" s="27" t="str">
        <f>IF(C21&gt;=F21,"-","+")</f>
        <v>+</v>
      </c>
      <c r="H21" s="26">
        <f>C21*D21</f>
        <v>6268.48</v>
      </c>
      <c r="I21" s="26">
        <f>F21*D21</f>
        <v>7008.7727405008854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40.799999999999997</v>
      </c>
      <c r="D22" s="30">
        <v>195</v>
      </c>
      <c r="E22" s="29">
        <f>D22/$D$48</f>
        <v>2.3530263538951639E-2</v>
      </c>
      <c r="F22" s="28">
        <f>C22-(C22*$E$6)</f>
        <v>45.61838401214267</v>
      </c>
      <c r="G22" s="27" t="str">
        <f>IF(C22&gt;=F22,"-","+")</f>
        <v>+</v>
      </c>
      <c r="H22" s="26">
        <f>C22*D22</f>
        <v>7955.9999999999991</v>
      </c>
      <c r="I22" s="26">
        <f>F22*D22</f>
        <v>8895.5848823678207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37.200000000000003</v>
      </c>
      <c r="D23" s="30">
        <v>137.80000000000001</v>
      </c>
      <c r="E23" s="29">
        <f>D23/$D$48</f>
        <v>1.6628052900859159E-2</v>
      </c>
      <c r="F23" s="28">
        <f>C23-(C23*$E$6)</f>
        <v>41.593232481659498</v>
      </c>
      <c r="G23" s="27" t="str">
        <f>IF(C23&gt;=F23,"-","+")</f>
        <v>+</v>
      </c>
      <c r="H23" s="26">
        <f>C23*D23</f>
        <v>5126.1600000000008</v>
      </c>
      <c r="I23" s="26">
        <f>F23*D23</f>
        <v>5731.5474359726795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44.392383574214264</v>
      </c>
      <c r="D24" s="22">
        <f>SUM(D21:D23)</f>
        <v>435.90000000000003</v>
      </c>
      <c r="E24" s="21">
        <f>D24/$D$48</f>
        <v>5.259918911091805E-2</v>
      </c>
      <c r="F24" s="20">
        <f>I24/D24</f>
        <v>49.635019634873558</v>
      </c>
      <c r="G24" s="19">
        <f>F24/C24-1</f>
        <v>0.11809764735643813</v>
      </c>
      <c r="H24" s="18">
        <f>SUM(H21:H23)</f>
        <v>19350.64</v>
      </c>
      <c r="I24" s="18">
        <f>SUM(I21:I23)</f>
        <v>21635.905058841385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32.4</v>
      </c>
      <c r="D26" s="30">
        <v>1539.1</v>
      </c>
      <c r="E26" s="29">
        <f t="shared" ref="E26:E32" si="7">D26/$D$48</f>
        <v>0.18572014673231008</v>
      </c>
      <c r="F26" s="28">
        <f t="shared" ref="F26:F31" si="8">C26-(C26*$E$6)</f>
        <v>36.226363774348592</v>
      </c>
      <c r="G26" s="27" t="str">
        <f t="shared" ref="G26:G31" si="9">IF(C26&gt;=F26,"-","+")</f>
        <v>+</v>
      </c>
      <c r="H26" s="26">
        <f t="shared" ref="H26:H31" si="10">C26*D26</f>
        <v>49866.84</v>
      </c>
      <c r="I26" s="26">
        <f t="shared" ref="I26:I31" si="11">F26*D26</f>
        <v>55755.996485099917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28.9</v>
      </c>
      <c r="D27" s="30">
        <v>1188.4000000000001</v>
      </c>
      <c r="E27" s="29">
        <f t="shared" si="7"/>
        <v>0.14340187276764169</v>
      </c>
      <c r="F27" s="28">
        <f t="shared" si="8"/>
        <v>32.31302200860106</v>
      </c>
      <c r="G27" s="27" t="str">
        <f t="shared" si="9"/>
        <v>+</v>
      </c>
      <c r="H27" s="26">
        <f t="shared" si="10"/>
        <v>34344.76</v>
      </c>
      <c r="I27" s="26">
        <f t="shared" si="11"/>
        <v>38400.795355021502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28.9</v>
      </c>
      <c r="D28" s="30">
        <v>617</v>
      </c>
      <c r="E28" s="29">
        <f t="shared" si="7"/>
        <v>7.4452167197605959E-2</v>
      </c>
      <c r="F28" s="28">
        <f t="shared" si="8"/>
        <v>32.31302200860106</v>
      </c>
      <c r="G28" s="27" t="str">
        <f t="shared" si="9"/>
        <v>+</v>
      </c>
      <c r="H28" s="26">
        <f t="shared" si="10"/>
        <v>17831.3</v>
      </c>
      <c r="I28" s="26">
        <f t="shared" si="11"/>
        <v>19937.134579306854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27.9</v>
      </c>
      <c r="D29" s="30">
        <v>629.20000000000005</v>
      </c>
      <c r="E29" s="29">
        <f t="shared" si="7"/>
        <v>7.5924317019017293E-2</v>
      </c>
      <c r="F29" s="28">
        <f t="shared" si="8"/>
        <v>31.194924361244624</v>
      </c>
      <c r="G29" s="27" t="str">
        <f t="shared" si="9"/>
        <v>+</v>
      </c>
      <c r="H29" s="26">
        <f t="shared" si="10"/>
        <v>17554.68</v>
      </c>
      <c r="I29" s="26">
        <f t="shared" si="11"/>
        <v>19627.84640809512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27.9</v>
      </c>
      <c r="D30" s="30">
        <v>434.4</v>
      </c>
      <c r="E30" s="29">
        <f t="shared" si="7"/>
        <v>5.241818708369534E-2</v>
      </c>
      <c r="F30" s="28">
        <f t="shared" si="8"/>
        <v>31.194924361244624</v>
      </c>
      <c r="G30" s="27" t="str">
        <f t="shared" si="9"/>
        <v>+</v>
      </c>
      <c r="H30" s="26">
        <f t="shared" si="10"/>
        <v>12119.759999999998</v>
      </c>
      <c r="I30" s="26">
        <f t="shared" si="11"/>
        <v>13551.075142524664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28.4</v>
      </c>
      <c r="D31" s="30">
        <v>147</v>
      </c>
      <c r="E31" s="29">
        <f t="shared" si="7"/>
        <v>1.7738198667825084E-2</v>
      </c>
      <c r="F31" s="28">
        <f t="shared" si="8"/>
        <v>31.753973184922842</v>
      </c>
      <c r="G31" s="27" t="str">
        <f t="shared" si="9"/>
        <v>+</v>
      </c>
      <c r="H31" s="26">
        <f t="shared" si="10"/>
        <v>4174.8</v>
      </c>
      <c r="I31" s="26">
        <f t="shared" si="11"/>
        <v>4667.8340581836574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29.832965247744294</v>
      </c>
      <c r="D32" s="22">
        <f>SUM(D26:D31)</f>
        <v>4555.0999999999995</v>
      </c>
      <c r="E32" s="21">
        <f t="shared" si="7"/>
        <v>0.54965488946809538</v>
      </c>
      <c r="F32" s="20">
        <f>I32/D32</f>
        <v>33.356168257169266</v>
      </c>
      <c r="G32" s="19">
        <f>F32/C32-1</f>
        <v>0.11809764735643791</v>
      </c>
      <c r="H32" s="18">
        <f>SUM(H26:H31)</f>
        <v>135892.14000000001</v>
      </c>
      <c r="I32" s="18">
        <f>SUM(I26:I31)</f>
        <v>151940.68202823171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17.100000000000001</v>
      </c>
      <c r="D34" s="30">
        <f>602.6+660</f>
        <v>1262.5999999999999</v>
      </c>
      <c r="E34" s="29">
        <f t="shared" ref="E34:E40" si="13">D34/$D$48</f>
        <v>0.15235543971425813</v>
      </c>
      <c r="F34" s="28">
        <f t="shared" ref="F34:F39" si="14">C34-(C34*$E$6)</f>
        <v>19.119469769795092</v>
      </c>
      <c r="G34" s="27" t="str">
        <f t="shared" ref="G34:G39" si="15">IF(C34&gt;=F34,"-","+")</f>
        <v>+</v>
      </c>
      <c r="H34" s="26">
        <f t="shared" ref="H34:H39" si="16">C34*D34</f>
        <v>21590.46</v>
      </c>
      <c r="I34" s="26">
        <f t="shared" ref="I34:I39" si="17">F34*D34</f>
        <v>24140.242531343283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13.1</v>
      </c>
      <c r="D35" s="30">
        <v>112.6</v>
      </c>
      <c r="E35" s="29">
        <f t="shared" si="13"/>
        <v>1.3587218843517716E-2</v>
      </c>
      <c r="F35" s="28">
        <f t="shared" si="14"/>
        <v>14.647079180369339</v>
      </c>
      <c r="G35" s="27" t="str">
        <f t="shared" si="15"/>
        <v>+</v>
      </c>
      <c r="H35" s="26">
        <f t="shared" si="16"/>
        <v>1475.06</v>
      </c>
      <c r="I35" s="26">
        <f t="shared" si="17"/>
        <v>1649.2611157095876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11.851835061978244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27.9</v>
      </c>
      <c r="D37" s="30"/>
      <c r="E37" s="29">
        <f t="shared" si="13"/>
        <v>0</v>
      </c>
      <c r="F37" s="28">
        <f t="shared" si="14"/>
        <v>31.194924361244624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27.9</v>
      </c>
      <c r="D38" s="30"/>
      <c r="E38" s="29">
        <f t="shared" si="13"/>
        <v>0</v>
      </c>
      <c r="F38" s="28">
        <f t="shared" si="14"/>
        <v>31.194924361244624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28.9</v>
      </c>
      <c r="D39" s="30"/>
      <c r="E39" s="29">
        <f t="shared" si="13"/>
        <v>0</v>
      </c>
      <c r="F39" s="28">
        <f t="shared" si="14"/>
        <v>32.31302200860106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16.772484002326937</v>
      </c>
      <c r="D40" s="22">
        <f>SUM(D34:D39)</f>
        <v>1375.1999999999998</v>
      </c>
      <c r="E40" s="113">
        <f t="shared" si="13"/>
        <v>0.16594265855777585</v>
      </c>
      <c r="F40" s="20">
        <f>I40/D40</f>
        <v>18.753274903325245</v>
      </c>
      <c r="G40" s="19">
        <f>F40/C40-1</f>
        <v>0.11809764735643813</v>
      </c>
      <c r="H40" s="18">
        <f>SUM(H34:H39)</f>
        <v>23065.52</v>
      </c>
      <c r="I40" s="18">
        <f>SUM(I34:I39)</f>
        <v>25789.503647052872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897+106+845.1</f>
        <v>1848.1</v>
      </c>
      <c r="E42" s="107">
        <f>D42/$D$48</f>
        <v>0.22300656434018729</v>
      </c>
      <c r="F42" s="28">
        <f>C42-(C42*$E$6)</f>
        <v>0.44723905894257526</v>
      </c>
      <c r="G42" s="27" t="str">
        <f>IF(C42&gt;=F42,"-","+")</f>
        <v>+</v>
      </c>
      <c r="H42" s="26">
        <f>C42*D42</f>
        <v>739.24</v>
      </c>
      <c r="I42" s="26">
        <f>F42*D42</f>
        <v>826.54250483177327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58.4</v>
      </c>
      <c r="E43" s="107">
        <f>D43/$D$48</f>
        <v>7.047012259870645E-3</v>
      </c>
      <c r="F43" s="28">
        <f>C43-(C43*$E$6)</f>
        <v>0.44723905894257526</v>
      </c>
      <c r="G43" s="27" t="str">
        <f>IF(C43&gt;=F43,"-","+")</f>
        <v>+</v>
      </c>
      <c r="H43" s="26">
        <f>C43*D43</f>
        <v>23.36</v>
      </c>
      <c r="I43" s="26">
        <f>F43*D43</f>
        <v>26.118761042246394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8.1</v>
      </c>
      <c r="E44" s="107">
        <f>D44/$D$48</f>
        <v>9.774109470026065E-4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6.4</v>
      </c>
      <c r="E45" s="107">
        <f>D45/$D$48</f>
        <v>7.7227531615020769E-4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0.39698073919833421</v>
      </c>
      <c r="D46" s="22">
        <f>SUM(D41:D45)</f>
        <v>1921</v>
      </c>
      <c r="E46" s="113">
        <f>D46/$D$48</f>
        <v>0.23180326286321076</v>
      </c>
      <c r="F46" s="20">
        <f>I46/D46</f>
        <v>0.44386323054347721</v>
      </c>
      <c r="G46" s="19">
        <f>F46/C46-1</f>
        <v>0.11809764735643813</v>
      </c>
      <c r="H46" s="18">
        <f>SUM(H41:H44)</f>
        <v>762.6</v>
      </c>
      <c r="I46" s="18">
        <f>SUM(I41:I44)</f>
        <v>852.6612658740197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91.394813563483837</v>
      </c>
      <c r="D48" s="13">
        <f>D24+D32+D40+D46</f>
        <v>8287.1999999999989</v>
      </c>
      <c r="E48" s="12">
        <f>SUM(E20:E46)/2</f>
        <v>1.0000000000000002</v>
      </c>
      <c r="F48" s="11">
        <f>I48/D48</f>
        <v>24.160000000000004</v>
      </c>
      <c r="G48" s="10"/>
      <c r="H48" s="9">
        <f>SUM(H20:H46)/2</f>
        <v>179070.9</v>
      </c>
      <c r="I48" s="9">
        <f>SUM(I20:I46)/2</f>
        <v>200218.75200000001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8287.2000000000007</v>
      </c>
      <c r="E50" s="12">
        <f>D50/G2</f>
        <v>1</v>
      </c>
      <c r="F50" s="11">
        <f>I50/D50</f>
        <v>24.16</v>
      </c>
      <c r="G50" s="10"/>
      <c r="H50" s="9">
        <f>H48+H19</f>
        <v>179070.9</v>
      </c>
      <c r="I50" s="9">
        <f>I48+I19</f>
        <v>200218.75200000001</v>
      </c>
      <c r="J50" s="106">
        <f>D50-G2</f>
        <v>0</v>
      </c>
      <c r="K50" s="8"/>
    </row>
    <row r="51" spans="1:11" ht="23.25" x14ac:dyDescent="0.35">
      <c r="A51" s="174" t="s">
        <v>666</v>
      </c>
      <c r="B51" s="169"/>
      <c r="C51" s="170"/>
      <c r="G51" s="7"/>
      <c r="H51" s="6"/>
      <c r="I51" s="6">
        <f>+I50/D50</f>
        <v>24.16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667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667</v>
      </c>
      <c r="D2" s="96" t="s">
        <v>3</v>
      </c>
      <c r="E2" s="95" t="s">
        <v>71</v>
      </c>
      <c r="F2" s="94" t="s">
        <v>5</v>
      </c>
      <c r="G2" s="93">
        <v>18285.099999999999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250</v>
      </c>
      <c r="F3" s="88" t="s">
        <v>8</v>
      </c>
      <c r="G3" s="87">
        <v>28.95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73.1404</v>
      </c>
      <c r="F4" s="81" t="s">
        <v>12</v>
      </c>
      <c r="G4" s="80">
        <f>G2*G3</f>
        <v>529353.6449999999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3.7338878332724423E-3</v>
      </c>
      <c r="F6" s="69" t="s">
        <v>16</v>
      </c>
      <c r="G6" s="68">
        <f>(I50-I19)/(D50-(SUM(D42:D44)+D19))</f>
        <v>34.667158602713876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 t="e">
        <f t="shared" ref="E10:E19" si="1">D10/$D$19</f>
        <v>#DIV/0!</v>
      </c>
      <c r="F10" s="28">
        <f t="shared" ref="F10:F18" si="2">C10-(C10*$E$6)</f>
        <v>28.8917172528351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30.1</v>
      </c>
      <c r="D11" s="30"/>
      <c r="E11" s="29" t="e">
        <f t="shared" si="1"/>
        <v>#DIV/0!</v>
      </c>
      <c r="F11" s="28">
        <f t="shared" si="2"/>
        <v>29.987609976218501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27.5</v>
      </c>
      <c r="D12" s="30"/>
      <c r="E12" s="29" t="e">
        <f t="shared" si="1"/>
        <v>#DIV/0!</v>
      </c>
      <c r="F12" s="28">
        <f t="shared" si="2"/>
        <v>27.39731808458501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30.1</v>
      </c>
      <c r="D13" s="30"/>
      <c r="E13" s="29" t="e">
        <f t="shared" si="1"/>
        <v>#DIV/0!</v>
      </c>
      <c r="F13" s="28">
        <f t="shared" si="2"/>
        <v>29.987609976218501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33.700000000000003</v>
      </c>
      <c r="D14" s="30"/>
      <c r="E14" s="29" t="e">
        <f t="shared" si="1"/>
        <v>#DIV/0!</v>
      </c>
      <c r="F14" s="28">
        <f t="shared" si="2"/>
        <v>33.574167980018721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 t="e">
        <f t="shared" si="1"/>
        <v>#DIV/0!</v>
      </c>
      <c r="F15" s="28">
        <f t="shared" si="2"/>
        <v>27.696197918235026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</v>
      </c>
      <c r="D16" s="30"/>
      <c r="E16" s="29" t="e">
        <f t="shared" si="1"/>
        <v>#DIV/0!</v>
      </c>
      <c r="F16" s="28">
        <f t="shared" si="2"/>
        <v>37.858112262335645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</v>
      </c>
      <c r="D17" s="30"/>
      <c r="E17" s="29" t="e">
        <f t="shared" si="1"/>
        <v>#DIV/0!</v>
      </c>
      <c r="F17" s="28">
        <f t="shared" si="2"/>
        <v>55.790902281336741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</v>
      </c>
      <c r="D18" s="30"/>
      <c r="E18" s="29" t="e">
        <f t="shared" si="1"/>
        <v>#DIV/0!</v>
      </c>
      <c r="F18" s="28">
        <f t="shared" si="2"/>
        <v>48.817039496169649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72.8</v>
      </c>
      <c r="D21" s="30">
        <v>240.2</v>
      </c>
      <c r="E21" s="29">
        <f>D21/$D$48</f>
        <v>1.3136378800225321E-2</v>
      </c>
      <c r="F21" s="28">
        <f>C21-(C21*$E$6)</f>
        <v>72.528172965737767</v>
      </c>
      <c r="G21" s="27" t="str">
        <f>IF(C21&gt;=F21,"-","+")</f>
        <v>-</v>
      </c>
      <c r="H21" s="26">
        <f>C21*D21</f>
        <v>17486.559999999998</v>
      </c>
      <c r="I21" s="26">
        <f>F21*D21</f>
        <v>17421.26714637021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48.9</v>
      </c>
      <c r="D22" s="30">
        <v>495.7</v>
      </c>
      <c r="E22" s="29">
        <f>D22/$D$48</f>
        <v>2.7109504459915452E-2</v>
      </c>
      <c r="F22" s="28">
        <f>C22-(C22*$E$6)</f>
        <v>48.717412884952978</v>
      </c>
      <c r="G22" s="27" t="str">
        <f>IF(C22&gt;=F22,"-","+")</f>
        <v>-</v>
      </c>
      <c r="H22" s="26">
        <f>C22*D22</f>
        <v>24239.73</v>
      </c>
      <c r="I22" s="26">
        <f>F22*D22</f>
        <v>24149.221567071192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44.6</v>
      </c>
      <c r="D23" s="30">
        <v>497</v>
      </c>
      <c r="E23" s="29">
        <f>D23/$D$48</f>
        <v>2.7180600598301352E-2</v>
      </c>
      <c r="F23" s="28">
        <f>C23-(C23*$E$6)</f>
        <v>44.433468602636047</v>
      </c>
      <c r="G23" s="27" t="str">
        <f>IF(C23&gt;=F23,"-","+")</f>
        <v>-</v>
      </c>
      <c r="H23" s="26">
        <f>C23*D23</f>
        <v>22166.2</v>
      </c>
      <c r="I23" s="26">
        <f>F23*D23</f>
        <v>22083.433895510116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51.822929677994956</v>
      </c>
      <c r="D24" s="22">
        <f>SUM(D21:D23)</f>
        <v>1232.9000000000001</v>
      </c>
      <c r="E24" s="21">
        <f>D24/$D$48</f>
        <v>6.7426483858442132E-2</v>
      </c>
      <c r="F24" s="20">
        <f>I24/D24</f>
        <v>51.629428671385767</v>
      </c>
      <c r="G24" s="19">
        <f>F24/C24-1</f>
        <v>-3.7338878332722203E-3</v>
      </c>
      <c r="H24" s="18">
        <f>SUM(H21:H23)</f>
        <v>63892.489999999991</v>
      </c>
      <c r="I24" s="18">
        <f>SUM(I21:I23)</f>
        <v>63653.922608951514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v>3826</v>
      </c>
      <c r="E26" s="29">
        <f t="shared" ref="E26:E32" si="7">D26/$D$48</f>
        <v>0.20924140420342247</v>
      </c>
      <c r="F26" s="28">
        <f t="shared" ref="F26:F31" si="8">C26-(C26*$E$6)</f>
        <v>38.754751763285704</v>
      </c>
      <c r="G26" s="27" t="str">
        <f t="shared" ref="G26:G31" si="9">IF(C26&gt;=F26,"-","+")</f>
        <v>-</v>
      </c>
      <c r="H26" s="26">
        <f t="shared" ref="H26:H31" si="10">C26*D26</f>
        <v>148831.4</v>
      </c>
      <c r="I26" s="26">
        <f t="shared" ref="I26:I31" si="11">F26*D26</f>
        <v>148275.68024633109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34.6</v>
      </c>
      <c r="D27" s="30">
        <v>2766.5</v>
      </c>
      <c r="E27" s="29">
        <f t="shared" si="7"/>
        <v>0.15129805141891486</v>
      </c>
      <c r="F27" s="28">
        <f t="shared" si="8"/>
        <v>34.470807480968773</v>
      </c>
      <c r="G27" s="27" t="str">
        <f t="shared" si="9"/>
        <v>-</v>
      </c>
      <c r="H27" s="26">
        <f t="shared" si="10"/>
        <v>95720.900000000009</v>
      </c>
      <c r="I27" s="26">
        <f t="shared" si="11"/>
        <v>95363.488896100112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34.6</v>
      </c>
      <c r="D28" s="30">
        <v>1877.6</v>
      </c>
      <c r="E28" s="29">
        <f t="shared" si="7"/>
        <v>0.10268469956412599</v>
      </c>
      <c r="F28" s="28">
        <f t="shared" si="8"/>
        <v>34.470807480968773</v>
      </c>
      <c r="G28" s="27" t="str">
        <f t="shared" si="9"/>
        <v>-</v>
      </c>
      <c r="H28" s="26">
        <f t="shared" si="10"/>
        <v>64964.959999999999</v>
      </c>
      <c r="I28" s="26">
        <f t="shared" si="11"/>
        <v>64722.388126266967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33.4</v>
      </c>
      <c r="D29" s="30">
        <v>1697.5</v>
      </c>
      <c r="E29" s="29">
        <f t="shared" si="7"/>
        <v>9.2835149930817998E-2</v>
      </c>
      <c r="F29" s="28">
        <f t="shared" si="8"/>
        <v>33.275288146368702</v>
      </c>
      <c r="G29" s="27" t="str">
        <f t="shared" si="9"/>
        <v>-</v>
      </c>
      <c r="H29" s="26">
        <f t="shared" si="10"/>
        <v>56696.5</v>
      </c>
      <c r="I29" s="26">
        <f t="shared" si="11"/>
        <v>56484.801628460875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33.4</v>
      </c>
      <c r="D30" s="30">
        <v>1004</v>
      </c>
      <c r="E30" s="29">
        <f t="shared" si="7"/>
        <v>5.4908094568801927E-2</v>
      </c>
      <c r="F30" s="28">
        <f t="shared" si="8"/>
        <v>33.275288146368702</v>
      </c>
      <c r="G30" s="27" t="str">
        <f t="shared" si="9"/>
        <v>-</v>
      </c>
      <c r="H30" s="26">
        <f t="shared" si="10"/>
        <v>33533.599999999999</v>
      </c>
      <c r="I30" s="26">
        <f t="shared" si="11"/>
        <v>33408.389298954178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</v>
      </c>
      <c r="D31" s="30">
        <v>560</v>
      </c>
      <c r="E31" s="29">
        <f t="shared" si="7"/>
        <v>3.062602884315645E-2</v>
      </c>
      <c r="F31" s="28">
        <f t="shared" si="8"/>
        <v>33.873047813668734</v>
      </c>
      <c r="G31" s="27" t="str">
        <f t="shared" si="9"/>
        <v>-</v>
      </c>
      <c r="H31" s="26">
        <f t="shared" si="10"/>
        <v>19040</v>
      </c>
      <c r="I31" s="26">
        <f t="shared" si="11"/>
        <v>18968.90677565449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35.69737802175321</v>
      </c>
      <c r="D32" s="22">
        <f>SUM(D26:D31)</f>
        <v>11731.6</v>
      </c>
      <c r="E32" s="21">
        <f t="shared" si="7"/>
        <v>0.64159342852923973</v>
      </c>
      <c r="F32" s="20">
        <f>I32/D32</f>
        <v>35.564088016278056</v>
      </c>
      <c r="G32" s="19">
        <f>F32/C32-1</f>
        <v>-3.7338878332724423E-3</v>
      </c>
      <c r="H32" s="18">
        <f>SUM(H26:H31)</f>
        <v>418787.36</v>
      </c>
      <c r="I32" s="18">
        <f>SUM(I26:I31)</f>
        <v>417223.65497176768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2300</v>
      </c>
      <c r="E34" s="29">
        <f t="shared" ref="E34:E40" si="13">D34/$D$48</f>
        <v>0.12578547560582115</v>
      </c>
      <c r="F34" s="28">
        <f t="shared" ref="F34:F39" si="14">C34-(C34*$E$6)</f>
        <v>20.423455299417913</v>
      </c>
      <c r="G34" s="27" t="str">
        <f t="shared" ref="G34:G39" si="15">IF(C34&gt;=F34,"-","+")</f>
        <v>-</v>
      </c>
      <c r="H34" s="26">
        <f t="shared" ref="H34:H39" si="16">C34*D34</f>
        <v>47150</v>
      </c>
      <c r="I34" s="26">
        <f t="shared" ref="I34:I39" si="17">F34*D34</f>
        <v>46973.947188661201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15.7</v>
      </c>
      <c r="D35" s="30"/>
      <c r="E35" s="29">
        <f t="shared" si="13"/>
        <v>0</v>
      </c>
      <c r="F35" s="28">
        <f t="shared" si="14"/>
        <v>15.641377961017621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12.552953013300767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33.4</v>
      </c>
      <c r="D37" s="30"/>
      <c r="E37" s="29">
        <f t="shared" si="13"/>
        <v>0</v>
      </c>
      <c r="F37" s="28">
        <f t="shared" si="14"/>
        <v>33.275288146368702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33.4</v>
      </c>
      <c r="D38" s="30"/>
      <c r="E38" s="29">
        <f t="shared" si="13"/>
        <v>0</v>
      </c>
      <c r="F38" s="28">
        <f t="shared" si="14"/>
        <v>33.275288146368702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34.6</v>
      </c>
      <c r="D39" s="30"/>
      <c r="E39" s="29">
        <f t="shared" si="13"/>
        <v>0</v>
      </c>
      <c r="F39" s="28">
        <f t="shared" si="14"/>
        <v>34.470807480968773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</v>
      </c>
      <c r="D40" s="22">
        <f>SUM(D34:D39)</f>
        <v>2300</v>
      </c>
      <c r="E40" s="113">
        <f t="shared" si="13"/>
        <v>0.12578547560582115</v>
      </c>
      <c r="F40" s="20">
        <f>I40/D40</f>
        <v>20.423455299417913</v>
      </c>
      <c r="G40" s="19">
        <f>F40/C40-1</f>
        <v>-3.7338878332725534E-3</v>
      </c>
      <c r="H40" s="18">
        <f>SUM(H34:H39)</f>
        <v>47150</v>
      </c>
      <c r="I40" s="18">
        <f>SUM(I34:I39)</f>
        <v>46973.947188661201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2890</v>
      </c>
      <c r="E42" s="107">
        <f>D42/$D$48</f>
        <v>0.15805218456557527</v>
      </c>
      <c r="F42" s="28">
        <f>C42-(C42*$E$6)</f>
        <v>0.49813305608336378</v>
      </c>
      <c r="G42" s="27" t="str">
        <f>IF(C42&gt;=F42,"-","+")</f>
        <v>-</v>
      </c>
      <c r="H42" s="26">
        <f>C42*D42</f>
        <v>1445</v>
      </c>
      <c r="I42" s="26">
        <f>F42*D42</f>
        <v>1439.6045320809212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125.5</v>
      </c>
      <c r="E43" s="107">
        <f>D43/$D$48</f>
        <v>6.8635118211002408E-3</v>
      </c>
      <c r="F43" s="28">
        <f>C43-(C43*$E$6)</f>
        <v>0.49813305608336378</v>
      </c>
      <c r="G43" s="27" t="str">
        <f>IF(C43&gt;=F43,"-","+")</f>
        <v>-</v>
      </c>
      <c r="H43" s="26">
        <f>C43*D43</f>
        <v>62.75</v>
      </c>
      <c r="I43" s="26">
        <f>F43*D43</f>
        <v>62.515698538462154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2.7891561982160341E-4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0.4991557968615507</v>
      </c>
      <c r="D46" s="22">
        <f>SUM(D41:D45)</f>
        <v>3020.6</v>
      </c>
      <c r="E46" s="113">
        <f>D46/$D$48</f>
        <v>0.1651946120064971</v>
      </c>
      <c r="F46" s="20">
        <f>I46/D46</f>
        <v>0.49729200510474192</v>
      </c>
      <c r="G46" s="19">
        <f>F46/C46-1</f>
        <v>-3.7338878332725534E-3</v>
      </c>
      <c r="H46" s="18">
        <f>SUM(H41:H44)</f>
        <v>1507.75</v>
      </c>
      <c r="I46" s="18">
        <f>SUM(I41:I44)</f>
        <v>1502.1202306193834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108.51946349660972</v>
      </c>
      <c r="D48" s="13">
        <f>D24+D32+D40+D46</f>
        <v>18285.099999999999</v>
      </c>
      <c r="E48" s="12">
        <f>SUM(E20:E46)/2</f>
        <v>1.0000000000000002</v>
      </c>
      <c r="F48" s="11">
        <f>I48/D48</f>
        <v>28.949999999999992</v>
      </c>
      <c r="G48" s="10"/>
      <c r="H48" s="9">
        <f>SUM(H20:H46)/2</f>
        <v>531337.60000000009</v>
      </c>
      <c r="I48" s="9">
        <f>SUM(I20:I46)/2</f>
        <v>529353.64499999979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18285.099999999999</v>
      </c>
      <c r="E50" s="12">
        <f>D50/G2</f>
        <v>1</v>
      </c>
      <c r="F50" s="11">
        <f>I50/D50</f>
        <v>28.949999999999992</v>
      </c>
      <c r="G50" s="10"/>
      <c r="H50" s="9">
        <f>H48+H19</f>
        <v>531337.60000000009</v>
      </c>
      <c r="I50" s="9">
        <f>I48+I19</f>
        <v>529353.64499999979</v>
      </c>
      <c r="J50" s="106">
        <f>D50-G2</f>
        <v>0</v>
      </c>
      <c r="K50" s="8"/>
    </row>
    <row r="51" spans="1:11" ht="23.25" x14ac:dyDescent="0.35">
      <c r="A51" s="174" t="s">
        <v>668</v>
      </c>
      <c r="B51" s="169"/>
      <c r="C51" s="170"/>
      <c r="G51" s="7"/>
      <c r="H51" s="6"/>
      <c r="I51" s="6">
        <f>+I50/D50</f>
        <v>28.949999999999992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667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667</v>
      </c>
      <c r="D2" s="96" t="s">
        <v>3</v>
      </c>
      <c r="E2" s="95" t="s">
        <v>71</v>
      </c>
      <c r="F2" s="94" t="s">
        <v>5</v>
      </c>
      <c r="G2" s="93">
        <v>22428.5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300</v>
      </c>
      <c r="F3" s="88" t="s">
        <v>8</v>
      </c>
      <c r="G3" s="87">
        <v>28.85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74.76166666666667</v>
      </c>
      <c r="F4" s="81" t="s">
        <v>12</v>
      </c>
      <c r="G4" s="80">
        <f>G2*G3</f>
        <v>647062.22499999998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-2.7800693252408193E-2</v>
      </c>
      <c r="F6" s="69" t="s">
        <v>16</v>
      </c>
      <c r="G6" s="68">
        <f>(I50-I19)/(D50-(SUM(D42:D44)+D19))</f>
        <v>34.733600439342524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28.9</v>
      </c>
      <c r="D10" s="30"/>
      <c r="E10" s="29">
        <f t="shared" ref="E10:E19" si="1">D10/$D$19</f>
        <v>0</v>
      </c>
      <c r="F10" s="28">
        <f t="shared" ref="F10:F18" si="2">C10-(C10*$E$6)</f>
        <v>29.703440034994596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</v>
      </c>
      <c r="D11" s="30">
        <v>133.80000000000001</v>
      </c>
      <c r="E11" s="29">
        <f t="shared" si="1"/>
        <v>0.19754909198287318</v>
      </c>
      <c r="F11" s="28">
        <f t="shared" si="2"/>
        <v>30.834020797572247</v>
      </c>
      <c r="G11" s="27" t="str">
        <f t="shared" si="3"/>
        <v>+</v>
      </c>
      <c r="H11" s="34">
        <f t="shared" si="4"/>
        <v>4014.0000000000005</v>
      </c>
      <c r="I11" s="34">
        <f t="shared" si="5"/>
        <v>4125.5919827151674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27.4</v>
      </c>
      <c r="D12" s="30">
        <v>156.4</v>
      </c>
      <c r="E12" s="29">
        <f t="shared" si="1"/>
        <v>0.23091687583050347</v>
      </c>
      <c r="F12" s="28">
        <f t="shared" si="2"/>
        <v>28.161738995115982</v>
      </c>
      <c r="G12" s="27" t="str">
        <f t="shared" si="3"/>
        <v>+</v>
      </c>
      <c r="H12" s="34">
        <f t="shared" si="4"/>
        <v>4285.3599999999997</v>
      </c>
      <c r="I12" s="34">
        <f t="shared" si="5"/>
        <v>4404.4959788361393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</v>
      </c>
      <c r="D13" s="30">
        <v>253.6</v>
      </c>
      <c r="E13" s="29">
        <f t="shared" si="1"/>
        <v>0.37442787538756822</v>
      </c>
      <c r="F13" s="28">
        <f t="shared" si="2"/>
        <v>30.834020797572247</v>
      </c>
      <c r="G13" s="27" t="str">
        <f t="shared" si="3"/>
        <v>+</v>
      </c>
      <c r="H13" s="34">
        <f t="shared" si="4"/>
        <v>7608</v>
      </c>
      <c r="I13" s="34">
        <f t="shared" si="5"/>
        <v>7819.5076742643214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33.6</v>
      </c>
      <c r="D14" s="30"/>
      <c r="E14" s="29">
        <f t="shared" si="1"/>
        <v>0</v>
      </c>
      <c r="F14" s="28">
        <f t="shared" si="2"/>
        <v>34.534103293280914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27.7</v>
      </c>
      <c r="D15" s="30">
        <v>97.7</v>
      </c>
      <c r="E15" s="29">
        <f t="shared" si="1"/>
        <v>0.14424922486342831</v>
      </c>
      <c r="F15" s="28">
        <f t="shared" si="2"/>
        <v>28.470079203091707</v>
      </c>
      <c r="G15" s="27" t="str">
        <f t="shared" si="3"/>
        <v>+</v>
      </c>
      <c r="H15" s="34">
        <f t="shared" si="4"/>
        <v>2706.29</v>
      </c>
      <c r="I15" s="34">
        <f t="shared" si="5"/>
        <v>2781.5267381420599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37.9</v>
      </c>
      <c r="D16" s="30">
        <v>10.8</v>
      </c>
      <c r="E16" s="29">
        <f t="shared" si="1"/>
        <v>1.5945666617451646E-2</v>
      </c>
      <c r="F16" s="28">
        <f t="shared" si="2"/>
        <v>38.953646274266269</v>
      </c>
      <c r="G16" s="27" t="str">
        <f t="shared" si="3"/>
        <v>+</v>
      </c>
      <c r="H16" s="34">
        <f t="shared" si="4"/>
        <v>409.32</v>
      </c>
      <c r="I16" s="34">
        <f t="shared" si="5"/>
        <v>420.69937976207575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55.8</v>
      </c>
      <c r="D17" s="30">
        <v>25</v>
      </c>
      <c r="E17" s="29">
        <f t="shared" si="1"/>
        <v>3.6911265318175103E-2</v>
      </c>
      <c r="F17" s="28">
        <f t="shared" si="2"/>
        <v>57.351278683484374</v>
      </c>
      <c r="G17" s="27" t="str">
        <f t="shared" si="3"/>
        <v>+</v>
      </c>
      <c r="H17" s="34">
        <f t="shared" si="4"/>
        <v>1395</v>
      </c>
      <c r="I17" s="34">
        <f t="shared" si="5"/>
        <v>1433.7819670871093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48.9</v>
      </c>
      <c r="D18" s="30"/>
      <c r="E18" s="29">
        <f t="shared" si="1"/>
        <v>0</v>
      </c>
      <c r="F18" s="28">
        <f t="shared" si="2"/>
        <v>50.259453900042757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30.146124317141592</v>
      </c>
      <c r="D19" s="49">
        <f>SUM(D10:D18)</f>
        <v>677.30000000000007</v>
      </c>
      <c r="E19" s="48">
        <f t="shared" si="1"/>
        <v>1</v>
      </c>
      <c r="F19" s="47">
        <f>I19/D19</f>
        <v>30.984207472031407</v>
      </c>
      <c r="G19" s="46">
        <f>F19/C19-1</f>
        <v>2.7800693252408193E-2</v>
      </c>
      <c r="H19" s="9">
        <f>SUM(H10:H18)</f>
        <v>20417.97</v>
      </c>
      <c r="I19" s="9">
        <f>SUM(I10:I18)</f>
        <v>20985.603720806874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72.599999999999994</v>
      </c>
      <c r="D21" s="30">
        <v>258.39999999999998</v>
      </c>
      <c r="E21" s="29">
        <f>D21/$D$48</f>
        <v>1.187980433263452E-2</v>
      </c>
      <c r="F21" s="28">
        <f>C21-(C21*$E$6)</f>
        <v>74.618330330124834</v>
      </c>
      <c r="G21" s="27" t="str">
        <f>IF(C21&gt;=F21,"-","+")</f>
        <v>+</v>
      </c>
      <c r="H21" s="26">
        <f>C21*D21</f>
        <v>18759.839999999997</v>
      </c>
      <c r="I21" s="26">
        <f>F21*D21</f>
        <v>19281.376557304255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48.7</v>
      </c>
      <c r="D22" s="30">
        <v>600.70000000000005</v>
      </c>
      <c r="E22" s="29">
        <f>D22/$D$48</f>
        <v>2.7616867115377544E-2</v>
      </c>
      <c r="F22" s="28">
        <f>C22-(C22*$E$6)</f>
        <v>50.053893761392281</v>
      </c>
      <c r="G22" s="27" t="str">
        <f>IF(C22&gt;=F22,"-","+")</f>
        <v>+</v>
      </c>
      <c r="H22" s="26">
        <f>C22*D22</f>
        <v>29254.090000000004</v>
      </c>
      <c r="I22" s="26">
        <f>F22*D22</f>
        <v>30067.373982468347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44.4</v>
      </c>
      <c r="D23" s="30">
        <v>507</v>
      </c>
      <c r="E23" s="29">
        <f>D23/$D$48</f>
        <v>2.3309058810548382E-2</v>
      </c>
      <c r="F23" s="28">
        <f>C23-(C23*$E$6)</f>
        <v>45.634350780406919</v>
      </c>
      <c r="G23" s="27" t="str">
        <f>IF(C23&gt;=F23,"-","+")</f>
        <v>+</v>
      </c>
      <c r="H23" s="26">
        <f>C23*D23</f>
        <v>22510.799999999999</v>
      </c>
      <c r="I23" s="26">
        <f>F23*D23</f>
        <v>23136.615845666307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51.624866408022839</v>
      </c>
      <c r="D24" s="22">
        <f>SUM(D21:D23)</f>
        <v>1366.1</v>
      </c>
      <c r="E24" s="21">
        <f>D24/$D$48</f>
        <v>6.2805730258560441E-2</v>
      </c>
      <c r="F24" s="20">
        <f>I24/D24</f>
        <v>53.060073483228841</v>
      </c>
      <c r="G24" s="19">
        <f>F24/C24-1</f>
        <v>2.7800693252408415E-2</v>
      </c>
      <c r="H24" s="18">
        <f>SUM(H21:H23)</f>
        <v>70524.73</v>
      </c>
      <c r="I24" s="18">
        <f>SUM(I21:I23)</f>
        <v>72485.366385438916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38.700000000000003</v>
      </c>
      <c r="D26" s="30">
        <f>1058.2+261.8+2882.5</f>
        <v>4202.5</v>
      </c>
      <c r="E26" s="29">
        <f t="shared" ref="E26:E32" si="7">D26/$D$48</f>
        <v>0.19320773106771119</v>
      </c>
      <c r="F26" s="28">
        <f t="shared" ref="F26:F31" si="8">C26-(C26*$E$6)</f>
        <v>39.775886828868202</v>
      </c>
      <c r="G26" s="27" t="str">
        <f t="shared" ref="G26:G31" si="9">IF(C26&gt;=F26,"-","+")</f>
        <v>+</v>
      </c>
      <c r="H26" s="26">
        <f t="shared" ref="H26:H31" si="10">C26*D26</f>
        <v>162636.75</v>
      </c>
      <c r="I26" s="26">
        <f t="shared" ref="I26:I31" si="11">F26*D26</f>
        <v>167158.16439831862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34.5</v>
      </c>
      <c r="D27" s="30">
        <v>3101.1</v>
      </c>
      <c r="E27" s="29">
        <f t="shared" si="7"/>
        <v>0.14257144433410571</v>
      </c>
      <c r="F27" s="28">
        <f t="shared" si="8"/>
        <v>35.459123917208082</v>
      </c>
      <c r="G27" s="27" t="str">
        <f t="shared" si="9"/>
        <v>+</v>
      </c>
      <c r="H27" s="26">
        <f t="shared" si="10"/>
        <v>106987.95</v>
      </c>
      <c r="I27" s="26">
        <f t="shared" si="11"/>
        <v>109962.28917965398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34.5</v>
      </c>
      <c r="D28" s="30">
        <v>1868.5</v>
      </c>
      <c r="E28" s="29">
        <f t="shared" si="7"/>
        <v>8.5903306484239952E-2</v>
      </c>
      <c r="F28" s="28">
        <f t="shared" si="8"/>
        <v>35.459123917208082</v>
      </c>
      <c r="G28" s="27" t="str">
        <f t="shared" si="9"/>
        <v>+</v>
      </c>
      <c r="H28" s="26">
        <f t="shared" si="10"/>
        <v>64463.25</v>
      </c>
      <c r="I28" s="26">
        <f t="shared" si="11"/>
        <v>66255.373039303304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33.299999999999997</v>
      </c>
      <c r="D29" s="30">
        <v>1677</v>
      </c>
      <c r="E29" s="29">
        <f t="shared" si="7"/>
        <v>7.7099194527198503E-2</v>
      </c>
      <c r="F29" s="28">
        <f t="shared" si="8"/>
        <v>34.225763085305189</v>
      </c>
      <c r="G29" s="27" t="str">
        <f t="shared" si="9"/>
        <v>+</v>
      </c>
      <c r="H29" s="26">
        <f t="shared" si="10"/>
        <v>55844.1</v>
      </c>
      <c r="I29" s="26">
        <f t="shared" si="11"/>
        <v>57396.604694056805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33.299999999999997</v>
      </c>
      <c r="D30" s="30">
        <v>1484.5</v>
      </c>
      <c r="E30" s="29">
        <f t="shared" si="7"/>
        <v>6.8249108095185557E-2</v>
      </c>
      <c r="F30" s="28">
        <f t="shared" si="8"/>
        <v>34.225763085305189</v>
      </c>
      <c r="G30" s="27" t="str">
        <f t="shared" si="9"/>
        <v>+</v>
      </c>
      <c r="H30" s="26">
        <f t="shared" si="10"/>
        <v>49433.85</v>
      </c>
      <c r="I30" s="26">
        <f t="shared" si="11"/>
        <v>50808.145300135555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33.9</v>
      </c>
      <c r="D31" s="30">
        <f>161.8+607.6</f>
        <v>769.40000000000009</v>
      </c>
      <c r="E31" s="29">
        <f t="shared" si="7"/>
        <v>3.5372761043068891E-2</v>
      </c>
      <c r="F31" s="28">
        <f t="shared" si="8"/>
        <v>34.842443501256639</v>
      </c>
      <c r="G31" s="27" t="str">
        <f t="shared" si="9"/>
        <v>+</v>
      </c>
      <c r="H31" s="26">
        <f t="shared" si="10"/>
        <v>26082.660000000003</v>
      </c>
      <c r="I31" s="26">
        <f t="shared" si="11"/>
        <v>26807.776029866862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35.522289552010989</v>
      </c>
      <c r="D32" s="22">
        <f>SUM(D26:D31)</f>
        <v>13103</v>
      </c>
      <c r="E32" s="21">
        <f t="shared" si="7"/>
        <v>0.60240354555150977</v>
      </c>
      <c r="F32" s="20">
        <f>I32/D32</f>
        <v>36.50983382746967</v>
      </c>
      <c r="G32" s="19">
        <f>F32/C32-1</f>
        <v>2.7800693252408193E-2</v>
      </c>
      <c r="H32" s="18">
        <f>SUM(H26:H31)</f>
        <v>465448.55999999994</v>
      </c>
      <c r="I32" s="18">
        <f>SUM(I26:I31)</f>
        <v>478388.35264133511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20.399999999999999</v>
      </c>
      <c r="D34" s="30">
        <f>1299+2008</f>
        <v>3307</v>
      </c>
      <c r="E34" s="29">
        <f t="shared" ref="E34:E40" si="13">D34/$D$48</f>
        <v>0.15203758873073669</v>
      </c>
      <c r="F34" s="28">
        <f t="shared" ref="F34:F39" si="14">C34-(C34*$E$6)</f>
        <v>20.967134142349124</v>
      </c>
      <c r="G34" s="27" t="str">
        <f t="shared" ref="G34:G39" si="15">IF(C34&gt;=F34,"-","+")</f>
        <v>+</v>
      </c>
      <c r="H34" s="26">
        <f t="shared" ref="H34:H39" si="16">C34*D34</f>
        <v>67462.799999999988</v>
      </c>
      <c r="I34" s="26">
        <f t="shared" ref="I34:I39" si="17">F34*D34</f>
        <v>69338.312608748558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15.7</v>
      </c>
      <c r="D35" s="30">
        <v>244.8</v>
      </c>
      <c r="E35" s="29">
        <f t="shared" si="13"/>
        <v>1.1254551473022179E-2</v>
      </c>
      <c r="F35" s="28">
        <f t="shared" si="14"/>
        <v>16.136470884062806</v>
      </c>
      <c r="G35" s="27" t="str">
        <f t="shared" si="15"/>
        <v>+</v>
      </c>
      <c r="H35" s="26">
        <f t="shared" si="16"/>
        <v>3843.36</v>
      </c>
      <c r="I35" s="26">
        <f t="shared" si="17"/>
        <v>3950.2080724185753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12.950288734980344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33.299999999999997</v>
      </c>
      <c r="D37" s="30"/>
      <c r="E37" s="29">
        <f t="shared" si="13"/>
        <v>0</v>
      </c>
      <c r="F37" s="28">
        <f t="shared" si="14"/>
        <v>34.225763085305189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33.299999999999997</v>
      </c>
      <c r="D38" s="30"/>
      <c r="E38" s="29">
        <f t="shared" si="13"/>
        <v>0</v>
      </c>
      <c r="F38" s="28">
        <f t="shared" si="14"/>
        <v>34.225763085305189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34.5</v>
      </c>
      <c r="D39" s="30"/>
      <c r="E39" s="29">
        <f t="shared" si="13"/>
        <v>0</v>
      </c>
      <c r="F39" s="28">
        <f t="shared" si="14"/>
        <v>35.459123917208082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20.076062841376199</v>
      </c>
      <c r="D40" s="22">
        <f>SUM(D34:D39)</f>
        <v>3551.8</v>
      </c>
      <c r="E40" s="113">
        <f t="shared" si="13"/>
        <v>0.16329214020375887</v>
      </c>
      <c r="F40" s="20">
        <f>I40/D40</f>
        <v>20.634191306145372</v>
      </c>
      <c r="G40" s="19">
        <f>F40/C40-1</f>
        <v>2.7800693252408415E-2</v>
      </c>
      <c r="H40" s="18">
        <f>SUM(H34:H39)</f>
        <v>71306.159999999989</v>
      </c>
      <c r="I40" s="18">
        <f>SUM(I34:I39)</f>
        <v>73288.520681167138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212.8+1621.6+1760</f>
        <v>3594.3999999999996</v>
      </c>
      <c r="E42" s="107">
        <f>D42/$D$48</f>
        <v>0.16525065283754456</v>
      </c>
      <c r="F42" s="28">
        <f>C42-(C42*$E$6)</f>
        <v>0.5139003466262041</v>
      </c>
      <c r="G42" s="27" t="str">
        <f>IF(C42&gt;=F42,"-","+")</f>
        <v>+</v>
      </c>
      <c r="H42" s="26">
        <f>C42*D42</f>
        <v>1797.1999999999998</v>
      </c>
      <c r="I42" s="26">
        <f>F42*D42</f>
        <v>1847.1634059132277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130.80000000000001</v>
      </c>
      <c r="E43" s="107">
        <f>D43/$D$48</f>
        <v>6.0134613262716541E-3</v>
      </c>
      <c r="F43" s="28">
        <f>C43-(C43*$E$6)</f>
        <v>0.5139003466262041</v>
      </c>
      <c r="G43" s="27" t="str">
        <f>IF(C43&gt;=F43,"-","+")</f>
        <v>+</v>
      </c>
      <c r="H43" s="26">
        <f>C43*D43</f>
        <v>65.400000000000006</v>
      </c>
      <c r="I43" s="26">
        <f>F43*D43</f>
        <v>67.218165338707507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0.9</v>
      </c>
      <c r="E44" s="107">
        <f>D44/$D$48</f>
        <v>4.1377027474346244E-5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4.2</v>
      </c>
      <c r="E45" s="107">
        <f>D45/$D$48</f>
        <v>1.9309279488028246E-4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0.4993164088679195</v>
      </c>
      <c r="D46" s="22">
        <f>SUM(D41:D45)</f>
        <v>3730.2999999999997</v>
      </c>
      <c r="E46" s="113">
        <f>D46/$D$48</f>
        <v>0.17149858398617085</v>
      </c>
      <c r="F46" s="20">
        <f>I46/D46</f>
        <v>0.51319775118675048</v>
      </c>
      <c r="G46" s="19">
        <f>F46/C46-1</f>
        <v>2.7800693252407971E-2</v>
      </c>
      <c r="H46" s="18">
        <f>SUM(H41:H44)</f>
        <v>1862.6</v>
      </c>
      <c r="I46" s="18">
        <f>SUM(I41:I44)</f>
        <v>1914.3815712519352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107.72253521027795</v>
      </c>
      <c r="D48" s="13">
        <f>D24+D32+D40+D46</f>
        <v>21751.200000000001</v>
      </c>
      <c r="E48" s="12">
        <f>SUM(E20:E46)/2</f>
        <v>1</v>
      </c>
      <c r="F48" s="11">
        <f>I48/D48</f>
        <v>28.783543955238933</v>
      </c>
      <c r="G48" s="10"/>
      <c r="H48" s="9">
        <f>SUM(H20:H46)/2</f>
        <v>609142.05000000005</v>
      </c>
      <c r="I48" s="9">
        <f>SUM(I20:I46)/2</f>
        <v>626076.62127919309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22428.500000000007</v>
      </c>
      <c r="E50" s="12">
        <f>D50/G2</f>
        <v>1.0000000000000002</v>
      </c>
      <c r="F50" s="11">
        <f>I50/D50</f>
        <v>28.849999999999991</v>
      </c>
      <c r="G50" s="10"/>
      <c r="H50" s="9">
        <f>H48+H19</f>
        <v>629560.02</v>
      </c>
      <c r="I50" s="9">
        <f>I48+I19</f>
        <v>647062.22499999998</v>
      </c>
      <c r="J50" s="106">
        <f>D50-G2</f>
        <v>0</v>
      </c>
      <c r="K50" s="8"/>
    </row>
    <row r="51" spans="1:11" ht="23.25" x14ac:dyDescent="0.35">
      <c r="A51" s="174" t="s">
        <v>669</v>
      </c>
      <c r="B51" s="169"/>
      <c r="C51" s="170"/>
      <c r="G51" s="7"/>
      <c r="H51" s="6"/>
      <c r="I51" s="6">
        <f>+I50/D50</f>
        <v>28.849999999999991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667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670</v>
      </c>
      <c r="D2" s="96" t="s">
        <v>3</v>
      </c>
      <c r="E2" s="95" t="s">
        <v>112</v>
      </c>
      <c r="F2" s="94" t="s">
        <v>5</v>
      </c>
      <c r="G2" s="93">
        <v>5724.7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92</v>
      </c>
      <c r="F3" s="88" t="s">
        <v>8</v>
      </c>
      <c r="G3" s="87">
        <v>26.27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62.225000000000001</v>
      </c>
      <c r="F4" s="81" t="s">
        <v>12</v>
      </c>
      <c r="G4" s="80">
        <f>G2*G3</f>
        <v>150387.86900000001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-8.0104613409862191E-2</v>
      </c>
      <c r="F6" s="69" t="s">
        <v>16</v>
      </c>
      <c r="G6" s="68">
        <f>(I50-I19)/(D50-(SUM(D42:D44)+D19))</f>
        <v>33.148445820842895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 t="e">
        <f t="shared" ref="E10:E19" si="1">D10/$D$19</f>
        <v>#DIV/0!</v>
      </c>
      <c r="F10" s="28">
        <f t="shared" ref="F10:F18" si="2">C10-(C10*$E$6)</f>
        <v>28.406751332679377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27.4</v>
      </c>
      <c r="D11" s="30"/>
      <c r="E11" s="29" t="e">
        <f t="shared" si="1"/>
        <v>#DIV/0!</v>
      </c>
      <c r="F11" s="28">
        <f t="shared" si="2"/>
        <v>29.594866407430224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 t="e">
        <f t="shared" si="1"/>
        <v>#DIV/0!</v>
      </c>
      <c r="F12" s="28">
        <f t="shared" si="2"/>
        <v>27.002615335246553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27.4</v>
      </c>
      <c r="D13" s="30"/>
      <c r="E13" s="29" t="e">
        <f t="shared" si="1"/>
        <v>#DIV/0!</v>
      </c>
      <c r="F13" s="28">
        <f t="shared" si="2"/>
        <v>29.594866407430224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 t="e">
        <f t="shared" si="1"/>
        <v>#DIV/0!</v>
      </c>
      <c r="F14" s="28">
        <f t="shared" si="2"/>
        <v>33.051201170341784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27.218636257928527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 t="e">
        <f t="shared" si="1"/>
        <v>#DIV/0!</v>
      </c>
      <c r="F16" s="28">
        <f t="shared" si="2"/>
        <v>37.263609162640243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 t="e">
        <f t="shared" si="1"/>
        <v>#DIV/0!</v>
      </c>
      <c r="F17" s="28">
        <f t="shared" si="2"/>
        <v>54.869314361220994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 t="e">
        <f t="shared" si="1"/>
        <v>#DIV/0!</v>
      </c>
      <c r="F18" s="28">
        <f t="shared" si="2"/>
        <v>48.06465529673887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66.099999999999994</v>
      </c>
      <c r="D21" s="30">
        <v>74</v>
      </c>
      <c r="E21" s="29">
        <f>D21/$D$48</f>
        <v>1.2926441560256434E-2</v>
      </c>
      <c r="F21" s="28">
        <f>C21-(C21*$E$6)</f>
        <v>71.394914946391879</v>
      </c>
      <c r="G21" s="27" t="str">
        <f>IF(C21&gt;=F21,"-","+")</f>
        <v>+</v>
      </c>
      <c r="H21" s="26">
        <f>C21*D21</f>
        <v>4891.3999999999996</v>
      </c>
      <c r="I21" s="26">
        <f>F21*D21</f>
        <v>5283.223706032999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44.4</v>
      </c>
      <c r="D22" s="30">
        <v>155</v>
      </c>
      <c r="E22" s="29">
        <f>D22/$D$48</f>
        <v>2.7075654619456043E-2</v>
      </c>
      <c r="F22" s="28">
        <f>C22-(C22*$E$6)</f>
        <v>47.956644835397881</v>
      </c>
      <c r="G22" s="27" t="str">
        <f>IF(C22&gt;=F22,"-","+")</f>
        <v>+</v>
      </c>
      <c r="H22" s="26">
        <f>C22*D22</f>
        <v>6882</v>
      </c>
      <c r="I22" s="26">
        <f>F22*D22</f>
        <v>7433.2799494866713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40.5</v>
      </c>
      <c r="D23" s="30">
        <v>114.2</v>
      </c>
      <c r="E23" s="29">
        <f>D23/$D$48</f>
        <v>1.9948643597044388E-2</v>
      </c>
      <c r="F23" s="28">
        <f>C23-(C23*$E$6)</f>
        <v>43.744236843099415</v>
      </c>
      <c r="G23" s="27" t="str">
        <f>IF(C23&gt;=F23,"-","+")</f>
        <v>+</v>
      </c>
      <c r="H23" s="26">
        <f>C23*D23</f>
        <v>4625.1000000000004</v>
      </c>
      <c r="I23" s="26">
        <f>F23*D23</f>
        <v>4995.5918474819537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47.781177156177158</v>
      </c>
      <c r="D24" s="22">
        <f>SUM(D21:D23)</f>
        <v>343.2</v>
      </c>
      <c r="E24" s="21">
        <f>D24/$D$48</f>
        <v>5.9950739776756863E-2</v>
      </c>
      <c r="F24" s="20">
        <f>I24/D24</f>
        <v>51.608669880540873</v>
      </c>
      <c r="G24" s="19">
        <f>F24/C24-1</f>
        <v>8.0104613409862413E-2</v>
      </c>
      <c r="H24" s="18">
        <f>SUM(H21:H23)</f>
        <v>16398.5</v>
      </c>
      <c r="I24" s="18">
        <f>SUM(I21:I23)</f>
        <v>17712.095503001627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35.299999999999997</v>
      </c>
      <c r="D26" s="30">
        <f>199.4+896.2</f>
        <v>1095.6000000000001</v>
      </c>
      <c r="E26" s="29">
        <f t="shared" ref="E26:E32" si="7">D26/$D$48</f>
        <v>0.19138120774887771</v>
      </c>
      <c r="F26" s="28">
        <f t="shared" ref="F26:F31" si="8">C26-(C26*$E$6)</f>
        <v>38.127692853368131</v>
      </c>
      <c r="G26" s="27" t="str">
        <f t="shared" ref="G26:G31" si="9">IF(C26&gt;=F26,"-","+")</f>
        <v>+</v>
      </c>
      <c r="H26" s="26">
        <f t="shared" ref="H26:H31" si="10">C26*D26</f>
        <v>38674.68</v>
      </c>
      <c r="I26" s="26">
        <f t="shared" ref="I26:I31" si="11">F26*D26</f>
        <v>41772.700290150133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837.1</v>
      </c>
      <c r="E27" s="29">
        <f t="shared" si="7"/>
        <v>0.14622600310933326</v>
      </c>
      <c r="F27" s="28">
        <f t="shared" si="8"/>
        <v>33.915284861069672</v>
      </c>
      <c r="G27" s="27" t="str">
        <f t="shared" si="9"/>
        <v>+</v>
      </c>
      <c r="H27" s="26">
        <f t="shared" si="10"/>
        <v>26284.94</v>
      </c>
      <c r="I27" s="26">
        <f t="shared" si="11"/>
        <v>28390.484957201425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455.7</v>
      </c>
      <c r="E28" s="29">
        <f t="shared" si="7"/>
        <v>7.9602424581200759E-2</v>
      </c>
      <c r="F28" s="28">
        <f t="shared" si="8"/>
        <v>33.915284861069672</v>
      </c>
      <c r="G28" s="27" t="str">
        <f t="shared" si="9"/>
        <v>+</v>
      </c>
      <c r="H28" s="26">
        <f t="shared" si="10"/>
        <v>14308.98</v>
      </c>
      <c r="I28" s="26">
        <f t="shared" si="11"/>
        <v>15455.195311189449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409.5</v>
      </c>
      <c r="E29" s="29">
        <f t="shared" si="7"/>
        <v>7.1532132688175806E-2</v>
      </c>
      <c r="F29" s="28">
        <f t="shared" si="8"/>
        <v>32.727169786318825</v>
      </c>
      <c r="G29" s="27" t="str">
        <f t="shared" si="9"/>
        <v>+</v>
      </c>
      <c r="H29" s="26">
        <f t="shared" si="10"/>
        <v>12407.85</v>
      </c>
      <c r="I29" s="26">
        <f t="shared" si="11"/>
        <v>13401.776027497559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328</v>
      </c>
      <c r="E30" s="29">
        <f t="shared" si="7"/>
        <v>5.7295578807623107E-2</v>
      </c>
      <c r="F30" s="28">
        <f t="shared" si="8"/>
        <v>32.727169786318825</v>
      </c>
      <c r="G30" s="27" t="str">
        <f t="shared" si="9"/>
        <v>+</v>
      </c>
      <c r="H30" s="26">
        <f t="shared" si="10"/>
        <v>9938.4</v>
      </c>
      <c r="I30" s="26">
        <f t="shared" si="11"/>
        <v>10734.511689912575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30.9</v>
      </c>
      <c r="D31" s="30">
        <v>111.2</v>
      </c>
      <c r="E31" s="29">
        <f t="shared" si="7"/>
        <v>1.9424598668925885E-2</v>
      </c>
      <c r="F31" s="28">
        <f t="shared" si="8"/>
        <v>33.375232554364743</v>
      </c>
      <c r="G31" s="27" t="str">
        <f t="shared" si="9"/>
        <v>+</v>
      </c>
      <c r="H31" s="26">
        <f t="shared" si="10"/>
        <v>3436.08</v>
      </c>
      <c r="I31" s="26">
        <f t="shared" si="11"/>
        <v>3711.3258600453596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32.452173241481574</v>
      </c>
      <c r="D32" s="22">
        <f>SUM(D26:D31)</f>
        <v>3237.1</v>
      </c>
      <c r="E32" s="21">
        <f t="shared" si="7"/>
        <v>0.56546194560413643</v>
      </c>
      <c r="F32" s="20">
        <f>I32/D32</f>
        <v>35.051742033300329</v>
      </c>
      <c r="G32" s="19">
        <f>F32/C32-1</f>
        <v>8.0104613409862191E-2</v>
      </c>
      <c r="H32" s="18">
        <f>SUM(H26:H31)</f>
        <v>105050.93</v>
      </c>
      <c r="I32" s="18">
        <f>SUM(I26:I31)</f>
        <v>113465.9941359965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18.600000000000001</v>
      </c>
      <c r="D34" s="30">
        <f>448+418.6</f>
        <v>866.6</v>
      </c>
      <c r="E34" s="29">
        <f t="shared" ref="E34:E40" si="13">D34/$D$48</f>
        <v>0.1513791115691652</v>
      </c>
      <c r="F34" s="28">
        <f t="shared" ref="F34:F39" si="14">C34-(C34*$E$6)</f>
        <v>20.089945809423437</v>
      </c>
      <c r="G34" s="27" t="str">
        <f t="shared" ref="G34:G39" si="15">IF(C34&gt;=F34,"-","+")</f>
        <v>+</v>
      </c>
      <c r="H34" s="26">
        <f t="shared" ref="H34:H39" si="16">C34*D34</f>
        <v>16118.760000000002</v>
      </c>
      <c r="I34" s="26">
        <f t="shared" ref="I34:I39" si="17">F34*D34</f>
        <v>17409.947038446349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83.3</v>
      </c>
      <c r="E35" s="29">
        <f t="shared" si="13"/>
        <v>1.4550980837423795E-2</v>
      </c>
      <c r="F35" s="28">
        <f t="shared" si="14"/>
        <v>15.44549597176103</v>
      </c>
      <c r="G35" s="27" t="str">
        <f t="shared" si="15"/>
        <v>+</v>
      </c>
      <c r="H35" s="26">
        <f t="shared" si="16"/>
        <v>1191.19</v>
      </c>
      <c r="I35" s="26">
        <f t="shared" si="17"/>
        <v>1286.6098144476937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12.421203054213414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32.727169786318825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32.727169786318825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33.915284861069672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18.222918201915991</v>
      </c>
      <c r="D40" s="22">
        <f>SUM(D34:D39)</f>
        <v>949.9</v>
      </c>
      <c r="E40" s="113">
        <f t="shared" si="13"/>
        <v>0.16593009240658899</v>
      </c>
      <c r="F40" s="20">
        <f>I40/D40</f>
        <v>19.682658019680012</v>
      </c>
      <c r="G40" s="19">
        <f>F40/C40-1</f>
        <v>8.0104613409862191E-2</v>
      </c>
      <c r="H40" s="18">
        <f>SUM(H34:H39)</f>
        <v>17309.95</v>
      </c>
      <c r="I40" s="18">
        <f>SUM(I34:I39)</f>
        <v>18696.556852894042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564+62.8+530.6</f>
        <v>1157.4000000000001</v>
      </c>
      <c r="E42" s="107">
        <f>D42/$D$48</f>
        <v>0.20217653326811888</v>
      </c>
      <c r="F42" s="28">
        <f>C42-(C42*$E$6)</f>
        <v>0.43204184536394491</v>
      </c>
      <c r="G42" s="27" t="str">
        <f>IF(C42&gt;=F42,"-","+")</f>
        <v>+</v>
      </c>
      <c r="H42" s="26">
        <f>C42*D42</f>
        <v>462.96000000000004</v>
      </c>
      <c r="I42" s="26">
        <f>F42*D42</f>
        <v>500.04523182422986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30.5</v>
      </c>
      <c r="E43" s="107">
        <f>D43/$D$48</f>
        <v>5.3277901025381245E-3</v>
      </c>
      <c r="F43" s="28">
        <f>C43-(C43*$E$6)</f>
        <v>0.43204184536394491</v>
      </c>
      <c r="G43" s="27" t="str">
        <f>IF(C43&gt;=F43,"-","+")</f>
        <v>+</v>
      </c>
      <c r="H43" s="26">
        <f>C43*D43</f>
        <v>12.200000000000001</v>
      </c>
      <c r="I43" s="26">
        <f>F43*D43</f>
        <v>13.177276283600319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1.1528988418607088E-3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0.39778987023859358</v>
      </c>
      <c r="D46" s="22">
        <f>SUM(D41:D45)</f>
        <v>1194.5</v>
      </c>
      <c r="E46" s="113">
        <f>D46/$D$48</f>
        <v>0.2086572222125177</v>
      </c>
      <c r="F46" s="20">
        <f>I46/D46</f>
        <v>0.42965467401241542</v>
      </c>
      <c r="G46" s="19">
        <f>F46/C46-1</f>
        <v>8.0104613409862413E-2</v>
      </c>
      <c r="H46" s="18">
        <f>SUM(H41:H44)</f>
        <v>475.16</v>
      </c>
      <c r="I46" s="18">
        <f>SUM(I41:I44)</f>
        <v>513.22250810783021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98.854058469813324</v>
      </c>
      <c r="D48" s="13">
        <f>D24+D32+D40+D46</f>
        <v>5724.7</v>
      </c>
      <c r="E48" s="12">
        <f>SUM(E20:E46)/2</f>
        <v>1.0000000000000002</v>
      </c>
      <c r="F48" s="11">
        <f>I48/D48</f>
        <v>26.270000000000003</v>
      </c>
      <c r="G48" s="10"/>
      <c r="H48" s="9">
        <f>SUM(H20:H46)/2</f>
        <v>139234.54</v>
      </c>
      <c r="I48" s="9">
        <f>SUM(I20:I46)/2</f>
        <v>150387.86900000001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5724.7</v>
      </c>
      <c r="E50" s="12">
        <f>D50/G2</f>
        <v>1</v>
      </c>
      <c r="F50" s="11">
        <f>I50/D50</f>
        <v>26.270000000000003</v>
      </c>
      <c r="G50" s="10"/>
      <c r="H50" s="9">
        <f>H48+H19</f>
        <v>139234.54</v>
      </c>
      <c r="I50" s="9">
        <f>I48+I19</f>
        <v>150387.86900000001</v>
      </c>
      <c r="J50" s="106">
        <f>D50-G2</f>
        <v>0</v>
      </c>
      <c r="K50" s="8"/>
    </row>
    <row r="51" spans="1:11" ht="23.25" x14ac:dyDescent="0.35">
      <c r="A51" s="174" t="s">
        <v>671</v>
      </c>
      <c r="B51" s="169"/>
      <c r="C51" s="170"/>
      <c r="G51" s="7"/>
      <c r="H51" s="6"/>
      <c r="I51" s="6">
        <f>+I50/D50</f>
        <v>26.270000000000003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667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670</v>
      </c>
      <c r="D2" s="96" t="s">
        <v>3</v>
      </c>
      <c r="E2" s="95" t="s">
        <v>71</v>
      </c>
      <c r="F2" s="94" t="s">
        <v>5</v>
      </c>
      <c r="G2" s="93">
        <v>235.2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4</v>
      </c>
      <c r="F3" s="88" t="s">
        <v>8</v>
      </c>
      <c r="G3" s="87">
        <v>28.7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58.8</v>
      </c>
      <c r="F4" s="81" t="s">
        <v>12</v>
      </c>
      <c r="G4" s="80">
        <f>G2*G3</f>
        <v>6750.24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1.4569257989734297E-2</v>
      </c>
      <c r="F6" s="69" t="s">
        <v>16</v>
      </c>
      <c r="G6" s="68">
        <f>(I50-I19)/(D50-(SUM(D42:D44)+D19))</f>
        <v>34.549685557603638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28.7</v>
      </c>
      <c r="D10" s="30"/>
      <c r="E10" s="29">
        <f t="shared" ref="E10:E19" si="1">D10/$D$19</f>
        <v>0</v>
      </c>
      <c r="F10" s="28">
        <f t="shared" ref="F10:F18" si="2">C10-(C10*$E$6)</f>
        <v>28.281862295694626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29.9</v>
      </c>
      <c r="D11" s="30"/>
      <c r="E11" s="29">
        <f t="shared" si="1"/>
        <v>0</v>
      </c>
      <c r="F11" s="28">
        <f t="shared" si="2"/>
        <v>29.464379186106942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27.3</v>
      </c>
      <c r="D12" s="30"/>
      <c r="E12" s="29">
        <f t="shared" si="1"/>
        <v>0</v>
      </c>
      <c r="F12" s="28">
        <f t="shared" si="2"/>
        <v>26.902259256880253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29.9</v>
      </c>
      <c r="D13" s="30">
        <v>81</v>
      </c>
      <c r="E13" s="29">
        <f t="shared" si="1"/>
        <v>1</v>
      </c>
      <c r="F13" s="28">
        <f t="shared" si="2"/>
        <v>29.464379186106942</v>
      </c>
      <c r="G13" s="27" t="str">
        <f t="shared" si="3"/>
        <v>-</v>
      </c>
      <c r="H13" s="34">
        <f t="shared" si="4"/>
        <v>2421.9</v>
      </c>
      <c r="I13" s="34">
        <f t="shared" si="5"/>
        <v>2386.6147140746625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33.4</v>
      </c>
      <c r="D14" s="30"/>
      <c r="E14" s="29">
        <f t="shared" si="1"/>
        <v>0</v>
      </c>
      <c r="F14" s="28">
        <f t="shared" si="2"/>
        <v>32.913386783142876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27.6</v>
      </c>
      <c r="D15" s="30"/>
      <c r="E15" s="29">
        <f t="shared" si="1"/>
        <v>0</v>
      </c>
      <c r="F15" s="28">
        <f t="shared" si="2"/>
        <v>27.197888479483336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37.700000000000003</v>
      </c>
      <c r="D16" s="30"/>
      <c r="E16" s="29">
        <f t="shared" si="1"/>
        <v>0</v>
      </c>
      <c r="F16" s="28">
        <f t="shared" si="2"/>
        <v>37.150738973787021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55.5</v>
      </c>
      <c r="D17" s="30"/>
      <c r="E17" s="29">
        <f t="shared" si="1"/>
        <v>0</v>
      </c>
      <c r="F17" s="28">
        <f t="shared" si="2"/>
        <v>54.691406181569747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48.6</v>
      </c>
      <c r="D18" s="30"/>
      <c r="E18" s="29">
        <f t="shared" si="1"/>
        <v>0</v>
      </c>
      <c r="F18" s="28">
        <f t="shared" si="2"/>
        <v>47.891934061698912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29.900000000000002</v>
      </c>
      <c r="D19" s="49">
        <f>SUM(D10:D18)</f>
        <v>81</v>
      </c>
      <c r="E19" s="48">
        <f t="shared" si="1"/>
        <v>1</v>
      </c>
      <c r="F19" s="47">
        <f>I19/D19</f>
        <v>29.464379186106946</v>
      </c>
      <c r="G19" s="46">
        <f>F19/C19-1</f>
        <v>-1.4569257989734297E-2</v>
      </c>
      <c r="H19" s="9">
        <f>SUM(H10:H18)</f>
        <v>2421.9</v>
      </c>
      <c r="I19" s="9">
        <f>SUM(I10:I18)</f>
        <v>2386.6147140746625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72.2</v>
      </c>
      <c r="D21" s="30">
        <v>3.7</v>
      </c>
      <c r="E21" s="29">
        <f>D21/$D$48</f>
        <v>2.3932729624838295E-2</v>
      </c>
      <c r="F21" s="28">
        <f>C21-(C21*$E$6)</f>
        <v>71.148099573141181</v>
      </c>
      <c r="G21" s="27" t="str">
        <f>IF(C21&gt;=F21,"-","+")</f>
        <v>-</v>
      </c>
      <c r="H21" s="26">
        <f>C21*D21</f>
        <v>267.14000000000004</v>
      </c>
      <c r="I21" s="26">
        <f>F21*D21</f>
        <v>263.24796842062239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48.5</v>
      </c>
      <c r="D22" s="30">
        <v>9.6999999999999993</v>
      </c>
      <c r="E22" s="29">
        <f>D22/$D$48</f>
        <v>6.2742561448900391E-2</v>
      </c>
      <c r="F22" s="28">
        <f>C22-(C22*$E$6)</f>
        <v>47.793390987497887</v>
      </c>
      <c r="G22" s="27" t="str">
        <f>IF(C22&gt;=F22,"-","+")</f>
        <v>-</v>
      </c>
      <c r="H22" s="26">
        <f>C22*D22</f>
        <v>470.45</v>
      </c>
      <c r="I22" s="26">
        <f>F22*D22</f>
        <v>463.59589257872949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44.2</v>
      </c>
      <c r="D23" s="30">
        <v>6</v>
      </c>
      <c r="E23" s="29">
        <f>D23/$D$48</f>
        <v>3.8809831824062099E-2</v>
      </c>
      <c r="F23" s="28">
        <f>C23-(C23*$E$6)</f>
        <v>43.556038796853748</v>
      </c>
      <c r="G23" s="27" t="str">
        <f>IF(C23&gt;=F23,"-","+")</f>
        <v>-</v>
      </c>
      <c r="H23" s="26">
        <f>C23*D23</f>
        <v>265.20000000000005</v>
      </c>
      <c r="I23" s="26">
        <f>F23*D23</f>
        <v>261.33623278112248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51.690206185567021</v>
      </c>
      <c r="D24" s="22">
        <f>SUM(D21:D23)</f>
        <v>19.399999999999999</v>
      </c>
      <c r="E24" s="21">
        <f>D24/$D$48</f>
        <v>0.12548512289780078</v>
      </c>
      <c r="F24" s="20">
        <f>I24/D24</f>
        <v>50.937118236106926</v>
      </c>
      <c r="G24" s="19">
        <f>F24/C24-1</f>
        <v>-1.4569257989734519E-2</v>
      </c>
      <c r="H24" s="18">
        <f>SUM(H21:H23)</f>
        <v>1002.7900000000001</v>
      </c>
      <c r="I24" s="18">
        <f>SUM(I21:I23)</f>
        <v>988.18009378047429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38.5</v>
      </c>
      <c r="D26" s="30"/>
      <c r="E26" s="29">
        <f t="shared" ref="E26:E32" si="7">D26/$D$48</f>
        <v>0</v>
      </c>
      <c r="F26" s="28">
        <f t="shared" ref="F26:F31" si="8">C26-(C26*$E$6)</f>
        <v>37.93908356739523</v>
      </c>
      <c r="G26" s="27" t="str">
        <f t="shared" ref="G26:G31" si="9">IF(C26&gt;=F26,"-","+")</f>
        <v>-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34.299999999999997</v>
      </c>
      <c r="D27" s="30">
        <v>34</v>
      </c>
      <c r="E27" s="29">
        <f t="shared" si="7"/>
        <v>0.21992238033635189</v>
      </c>
      <c r="F27" s="28">
        <f t="shared" si="8"/>
        <v>33.800274450952109</v>
      </c>
      <c r="G27" s="27" t="str">
        <f t="shared" si="9"/>
        <v>-</v>
      </c>
      <c r="H27" s="26">
        <f t="shared" si="10"/>
        <v>1166.1999999999998</v>
      </c>
      <c r="I27" s="26">
        <f t="shared" si="11"/>
        <v>1149.2093313323717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34.299999999999997</v>
      </c>
      <c r="D28" s="30">
        <v>21</v>
      </c>
      <c r="E28" s="29">
        <f t="shared" si="7"/>
        <v>0.13583441138421734</v>
      </c>
      <c r="F28" s="28">
        <f t="shared" si="8"/>
        <v>33.800274450952109</v>
      </c>
      <c r="G28" s="27" t="str">
        <f t="shared" si="9"/>
        <v>-</v>
      </c>
      <c r="H28" s="26">
        <f t="shared" si="10"/>
        <v>720.3</v>
      </c>
      <c r="I28" s="26">
        <f t="shared" si="11"/>
        <v>709.8057634699943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33.1</v>
      </c>
      <c r="D29" s="30">
        <v>17</v>
      </c>
      <c r="E29" s="29">
        <f t="shared" si="7"/>
        <v>0.10996119016817595</v>
      </c>
      <c r="F29" s="28">
        <f t="shared" si="8"/>
        <v>32.617757560539793</v>
      </c>
      <c r="G29" s="27" t="str">
        <f t="shared" si="9"/>
        <v>-</v>
      </c>
      <c r="H29" s="26">
        <f t="shared" si="10"/>
        <v>562.70000000000005</v>
      </c>
      <c r="I29" s="26">
        <f t="shared" si="11"/>
        <v>554.50187852917645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33.1</v>
      </c>
      <c r="D30" s="30">
        <v>16</v>
      </c>
      <c r="E30" s="29">
        <f t="shared" si="7"/>
        <v>0.10349288486416559</v>
      </c>
      <c r="F30" s="28">
        <f t="shared" si="8"/>
        <v>32.617757560539793</v>
      </c>
      <c r="G30" s="27" t="str">
        <f t="shared" si="9"/>
        <v>-</v>
      </c>
      <c r="H30" s="26">
        <f t="shared" si="10"/>
        <v>529.6</v>
      </c>
      <c r="I30" s="26">
        <f t="shared" si="11"/>
        <v>521.88412096863669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33.700000000000003</v>
      </c>
      <c r="D31" s="30">
        <v>5</v>
      </c>
      <c r="E31" s="29">
        <f t="shared" si="7"/>
        <v>3.2341526520051747E-2</v>
      </c>
      <c r="F31" s="28">
        <f t="shared" si="8"/>
        <v>33.209016005745958</v>
      </c>
      <c r="G31" s="27" t="str">
        <f t="shared" si="9"/>
        <v>-</v>
      </c>
      <c r="H31" s="26">
        <f t="shared" si="10"/>
        <v>168.5</v>
      </c>
      <c r="I31" s="26">
        <f t="shared" si="11"/>
        <v>166.04508002872979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33.841935483870962</v>
      </c>
      <c r="D32" s="22">
        <f>SUM(D26:D31)</f>
        <v>93</v>
      </c>
      <c r="E32" s="21">
        <f t="shared" si="7"/>
        <v>0.6015523932729625</v>
      </c>
      <c r="F32" s="20">
        <f>I32/D32</f>
        <v>33.348883594934506</v>
      </c>
      <c r="G32" s="19">
        <f>F32/C32-1</f>
        <v>-1.4569257989734186E-2</v>
      </c>
      <c r="H32" s="18">
        <f>SUM(H26:H31)</f>
        <v>3147.2999999999997</v>
      </c>
      <c r="I32" s="18">
        <f>SUM(I26:I31)</f>
        <v>3101.4461743289089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</v>
      </c>
      <c r="D34" s="30">
        <v>13</v>
      </c>
      <c r="E34" s="29">
        <f t="shared" ref="E34:E40" si="13">D34/$D$48</f>
        <v>8.4087968952134537E-2</v>
      </c>
      <c r="F34" s="28">
        <f t="shared" ref="F34:F39" si="14">C34-(C34*$E$6)</f>
        <v>20.004244062808393</v>
      </c>
      <c r="G34" s="27" t="str">
        <f t="shared" ref="G34:G39" si="15">IF(C34&gt;=F34,"-","+")</f>
        <v>-</v>
      </c>
      <c r="H34" s="26">
        <f t="shared" ref="H34:H39" si="16">C34*D34</f>
        <v>263.90000000000003</v>
      </c>
      <c r="I34" s="26">
        <f t="shared" ref="I34:I39" si="17">F34*D34</f>
        <v>260.05517281650913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15.6</v>
      </c>
      <c r="D35" s="30"/>
      <c r="E35" s="29">
        <f t="shared" si="13"/>
        <v>0</v>
      </c>
      <c r="F35" s="28">
        <f t="shared" si="14"/>
        <v>15.372719575360145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12.5</v>
      </c>
      <c r="D36" s="30"/>
      <c r="E36" s="29">
        <f t="shared" si="13"/>
        <v>0</v>
      </c>
      <c r="F36" s="28">
        <f t="shared" si="14"/>
        <v>12.317884275128321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33.1</v>
      </c>
      <c r="D37" s="30"/>
      <c r="E37" s="29">
        <f t="shared" si="13"/>
        <v>0</v>
      </c>
      <c r="F37" s="28">
        <f t="shared" si="14"/>
        <v>32.617757560539793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33.1</v>
      </c>
      <c r="D38" s="30"/>
      <c r="E38" s="29">
        <f t="shared" si="13"/>
        <v>0</v>
      </c>
      <c r="F38" s="28">
        <f t="shared" si="14"/>
        <v>32.617757560539793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34.299999999999997</v>
      </c>
      <c r="D39" s="30"/>
      <c r="E39" s="29">
        <f t="shared" si="13"/>
        <v>0</v>
      </c>
      <c r="F39" s="28">
        <f t="shared" si="14"/>
        <v>33.800274450952109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20.300000000000004</v>
      </c>
      <c r="D40" s="22">
        <f>SUM(D34:D39)</f>
        <v>13</v>
      </c>
      <c r="E40" s="113">
        <f t="shared" si="13"/>
        <v>8.4087968952134537E-2</v>
      </c>
      <c r="F40" s="20">
        <f>I40/D40</f>
        <v>20.004244062808393</v>
      </c>
      <c r="G40" s="19">
        <f>F40/C40-1</f>
        <v>-1.4569257989734519E-2</v>
      </c>
      <c r="H40" s="18">
        <f>SUM(H34:H39)</f>
        <v>263.90000000000003</v>
      </c>
      <c r="I40" s="18">
        <f>SUM(I34:I39)</f>
        <v>260.05517281650913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28</v>
      </c>
      <c r="E42" s="107">
        <f>D42/$D$48</f>
        <v>0.18111254851228978</v>
      </c>
      <c r="F42" s="28">
        <f>C42-(C42*$E$6)</f>
        <v>0.49271537100513285</v>
      </c>
      <c r="G42" s="27" t="str">
        <f>IF(C42&gt;=F42,"-","+")</f>
        <v>-</v>
      </c>
      <c r="H42" s="26">
        <f>C42*D42</f>
        <v>14</v>
      </c>
      <c r="I42" s="26">
        <f>F42*D42</f>
        <v>13.79603038814372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0.3</v>
      </c>
      <c r="E43" s="107">
        <f>D43/$D$48</f>
        <v>1.9404915912031048E-3</v>
      </c>
      <c r="F43" s="28">
        <f>C43-(C43*$E$6)</f>
        <v>0.49271537100513285</v>
      </c>
      <c r="G43" s="27" t="str">
        <f>IF(C43&gt;=F43,"-","+")</f>
        <v>-</v>
      </c>
      <c r="H43" s="26">
        <f>C43*D43</f>
        <v>0.15</v>
      </c>
      <c r="I43" s="26">
        <f>F43*D43</f>
        <v>0.14781461130153986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0.9</v>
      </c>
      <c r="E45" s="107">
        <f>D45/$D$48</f>
        <v>5.8214747736093147E-3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0.48458904109589046</v>
      </c>
      <c r="D46" s="22">
        <f>SUM(D41:D45)</f>
        <v>29.2</v>
      </c>
      <c r="E46" s="113">
        <f>D46/$D$48</f>
        <v>0.18887451487710219</v>
      </c>
      <c r="F46" s="20">
        <f>I46/D46</f>
        <v>0.47752893833716642</v>
      </c>
      <c r="G46" s="19">
        <f>F46/C46-1</f>
        <v>-1.4569257989734408E-2</v>
      </c>
      <c r="H46" s="18">
        <f>SUM(H41:H44)</f>
        <v>14.15</v>
      </c>
      <c r="I46" s="18">
        <f>SUM(I41:I44)</f>
        <v>13.943844999445259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106.31673071053388</v>
      </c>
      <c r="D48" s="13">
        <f>D24+D32+D40+D46</f>
        <v>154.6</v>
      </c>
      <c r="E48" s="12">
        <f>SUM(E20:E46)/2</f>
        <v>1.0000000000000002</v>
      </c>
      <c r="F48" s="11">
        <f>I48/D48</f>
        <v>28.225260581664543</v>
      </c>
      <c r="G48" s="10"/>
      <c r="H48" s="9">
        <f>SUM(H20:H46)/2</f>
        <v>4428.1399999999994</v>
      </c>
      <c r="I48" s="9">
        <f>SUM(I20:I46)/2</f>
        <v>4363.6252859253382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235.59999999999997</v>
      </c>
      <c r="E50" s="12">
        <f>D50/G2</f>
        <v>1.0017006802721087</v>
      </c>
      <c r="F50" s="11">
        <f>I50/D50</f>
        <v>28.651273344651958</v>
      </c>
      <c r="G50" s="10"/>
      <c r="H50" s="9">
        <f>H48+H19</f>
        <v>6850.0399999999991</v>
      </c>
      <c r="I50" s="9">
        <f>I48+I19</f>
        <v>6750.2400000000007</v>
      </c>
      <c r="J50" s="106">
        <f>D50-G2</f>
        <v>0.39999999999997726</v>
      </c>
      <c r="K50" s="8"/>
    </row>
    <row r="51" spans="1:11" ht="23.25" x14ac:dyDescent="0.35">
      <c r="A51" s="174" t="s">
        <v>672</v>
      </c>
      <c r="B51" s="169"/>
      <c r="C51" s="170"/>
      <c r="G51" s="7"/>
      <c r="H51" s="6"/>
      <c r="I51" s="6">
        <f>+I50/D50</f>
        <v>28.651273344651958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667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670</v>
      </c>
      <c r="D2" s="96" t="s">
        <v>3</v>
      </c>
      <c r="E2" s="95" t="s">
        <v>112</v>
      </c>
      <c r="F2" s="94" t="s">
        <v>5</v>
      </c>
      <c r="G2" s="93">
        <v>1325.3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20</v>
      </c>
      <c r="F3" s="88" t="s">
        <v>8</v>
      </c>
      <c r="G3" s="87">
        <v>24.72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66.265000000000001</v>
      </c>
      <c r="F4" s="81" t="s">
        <v>12</v>
      </c>
      <c r="G4" s="80">
        <f>G2*G3</f>
        <v>32761.415999999997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-8.1475631505284696E-2</v>
      </c>
      <c r="F6" s="69" t="s">
        <v>16</v>
      </c>
      <c r="G6" s="68">
        <f>(I50-I19)/(D50-(SUM(D42:D44)+D19))</f>
        <v>31.82048427984499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24.7</v>
      </c>
      <c r="D10" s="30"/>
      <c r="E10" s="29" t="e">
        <f t="shared" ref="E10:E19" si="1">D10/$D$19</f>
        <v>#DIV/0!</v>
      </c>
      <c r="F10" s="28">
        <f t="shared" ref="F10:F18" si="2">C10-(C10*$E$6)</f>
        <v>26.712448098180531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25.7</v>
      </c>
      <c r="D11" s="30"/>
      <c r="E11" s="29" t="e">
        <f t="shared" si="1"/>
        <v>#DIV/0!</v>
      </c>
      <c r="F11" s="28">
        <f t="shared" si="2"/>
        <v>27.793923729685815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23.5</v>
      </c>
      <c r="D12" s="30"/>
      <c r="E12" s="29" t="e">
        <f t="shared" si="1"/>
        <v>#DIV/0!</v>
      </c>
      <c r="F12" s="28">
        <f t="shared" si="2"/>
        <v>25.41467734037419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25.7</v>
      </c>
      <c r="D13" s="30"/>
      <c r="E13" s="29" t="e">
        <f t="shared" si="1"/>
        <v>#DIV/0!</v>
      </c>
      <c r="F13" s="28">
        <f t="shared" si="2"/>
        <v>27.793923729685815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28.8</v>
      </c>
      <c r="D14" s="30"/>
      <c r="E14" s="29" t="e">
        <f t="shared" si="1"/>
        <v>#DIV/0!</v>
      </c>
      <c r="F14" s="28">
        <f t="shared" si="2"/>
        <v>31.146498187352201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23.7</v>
      </c>
      <c r="D15" s="30"/>
      <c r="E15" s="29" t="e">
        <f t="shared" si="1"/>
        <v>#DIV/0!</v>
      </c>
      <c r="F15" s="28">
        <f t="shared" si="2"/>
        <v>25.630972466675246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32.5</v>
      </c>
      <c r="D16" s="30"/>
      <c r="E16" s="29" t="e">
        <f t="shared" si="1"/>
        <v>#DIV/0!</v>
      </c>
      <c r="F16" s="28">
        <f t="shared" si="2"/>
        <v>35.147958023921753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47.8</v>
      </c>
      <c r="D17" s="30"/>
      <c r="E17" s="29" t="e">
        <f t="shared" si="1"/>
        <v>#DIV/0!</v>
      </c>
      <c r="F17" s="28">
        <f t="shared" si="2"/>
        <v>51.694535185952603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41.9</v>
      </c>
      <c r="D18" s="30"/>
      <c r="E18" s="29" t="e">
        <f t="shared" si="1"/>
        <v>#DIV/0!</v>
      </c>
      <c r="F18" s="28">
        <f t="shared" si="2"/>
        <v>45.313828960071426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62.2</v>
      </c>
      <c r="D21" s="30">
        <v>17.47</v>
      </c>
      <c r="E21" s="29">
        <f>D21/$D$48</f>
        <v>1.3182219472258484E-2</v>
      </c>
      <c r="F21" s="28">
        <f>C21-(C21*$E$6)</f>
        <v>67.267784279628714</v>
      </c>
      <c r="G21" s="27" t="str">
        <f>IF(C21&gt;=F21,"-","+")</f>
        <v>+</v>
      </c>
      <c r="H21" s="26">
        <f>C21*D21</f>
        <v>1086.634</v>
      </c>
      <c r="I21" s="26">
        <f>F21*D21</f>
        <v>1175.1681913651134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41.8</v>
      </c>
      <c r="D22" s="30">
        <v>40.4</v>
      </c>
      <c r="E22" s="29">
        <f>D22/$D$48</f>
        <v>3.0484354131610922E-2</v>
      </c>
      <c r="F22" s="28">
        <f>C22-(C22*$E$6)</f>
        <v>45.205681396920895</v>
      </c>
      <c r="G22" s="27" t="str">
        <f>IF(C22&gt;=F22,"-","+")</f>
        <v>+</v>
      </c>
      <c r="H22" s="26">
        <f>C22*D22</f>
        <v>1688.7199999999998</v>
      </c>
      <c r="I22" s="26">
        <f>F22*D22</f>
        <v>1826.3095284356041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38.1</v>
      </c>
      <c r="D23" s="30">
        <v>27.2</v>
      </c>
      <c r="E23" s="29">
        <f>D23/$D$48</f>
        <v>2.052411961336181E-2</v>
      </c>
      <c r="F23" s="28">
        <f>C23-(C23*$E$6)</f>
        <v>41.20422156035135</v>
      </c>
      <c r="G23" s="27" t="str">
        <f>IF(C23&gt;=F23,"-","+")</f>
        <v>+</v>
      </c>
      <c r="H23" s="26">
        <f>C23*D23</f>
        <v>1036.32</v>
      </c>
      <c r="I23" s="26">
        <f>F23*D23</f>
        <v>1120.7548264415566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44.806324203597043</v>
      </c>
      <c r="D24" s="22">
        <f>SUM(D21:D23)</f>
        <v>85.07</v>
      </c>
      <c r="E24" s="21">
        <f>D24/$D$48</f>
        <v>6.4190693217231212E-2</v>
      </c>
      <c r="F24" s="20">
        <f>I24/D24</f>
        <v>48.456947763515629</v>
      </c>
      <c r="G24" s="19">
        <f>F24/C24-1</f>
        <v>8.1475631505284474E-2</v>
      </c>
      <c r="H24" s="18">
        <f>SUM(H21:H23)</f>
        <v>3811.674</v>
      </c>
      <c r="I24" s="18">
        <f>SUM(I21:I23)</f>
        <v>4122.2325462422741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33.200000000000003</v>
      </c>
      <c r="D26" s="30">
        <v>254.6</v>
      </c>
      <c r="E26" s="29">
        <f t="shared" ref="E26:E32" si="7">D26/$D$48</f>
        <v>0.19211179608683518</v>
      </c>
      <c r="F26" s="28">
        <f t="shared" ref="F26:F31" si="8">C26-(C26*$E$6)</f>
        <v>35.904990965975458</v>
      </c>
      <c r="G26" s="27" t="str">
        <f t="shared" ref="G26:G31" si="9">IF(C26&gt;=F26,"-","+")</f>
        <v>+</v>
      </c>
      <c r="H26" s="26">
        <f t="shared" ref="H26:H31" si="10">C26*D26</f>
        <v>8452.7200000000012</v>
      </c>
      <c r="I26" s="26">
        <f t="shared" ref="I26:I31" si="11">F26*D26</f>
        <v>9141.4106999373507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29.5</v>
      </c>
      <c r="D27" s="30">
        <v>164.2</v>
      </c>
      <c r="E27" s="29">
        <f t="shared" si="7"/>
        <v>0.12389928090125032</v>
      </c>
      <c r="F27" s="28">
        <f t="shared" si="8"/>
        <v>31.903531129405899</v>
      </c>
      <c r="G27" s="27" t="str">
        <f t="shared" si="9"/>
        <v>+</v>
      </c>
      <c r="H27" s="26">
        <f t="shared" si="10"/>
        <v>4843.8999999999996</v>
      </c>
      <c r="I27" s="26">
        <f t="shared" si="11"/>
        <v>5238.5598114484483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29.5</v>
      </c>
      <c r="D28" s="30">
        <v>128</v>
      </c>
      <c r="E28" s="29">
        <f t="shared" si="7"/>
        <v>9.6584092298173219E-2</v>
      </c>
      <c r="F28" s="28">
        <f t="shared" si="8"/>
        <v>31.903531129405899</v>
      </c>
      <c r="G28" s="27" t="str">
        <f t="shared" si="9"/>
        <v>+</v>
      </c>
      <c r="H28" s="26">
        <f t="shared" si="10"/>
        <v>3776</v>
      </c>
      <c r="I28" s="26">
        <f t="shared" si="11"/>
        <v>4083.651984563955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28.6</v>
      </c>
      <c r="D29" s="30">
        <v>124</v>
      </c>
      <c r="E29" s="29">
        <f t="shared" si="7"/>
        <v>9.3565839413855309E-2</v>
      </c>
      <c r="F29" s="28">
        <f t="shared" si="8"/>
        <v>30.930203061051145</v>
      </c>
      <c r="G29" s="27" t="str">
        <f t="shared" si="9"/>
        <v>+</v>
      </c>
      <c r="H29" s="26">
        <f t="shared" si="10"/>
        <v>3546.4</v>
      </c>
      <c r="I29" s="26">
        <f t="shared" si="11"/>
        <v>3835.3451795703422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28.6</v>
      </c>
      <c r="D30" s="30">
        <v>65.8</v>
      </c>
      <c r="E30" s="29">
        <f t="shared" si="7"/>
        <v>4.9650259947029672E-2</v>
      </c>
      <c r="F30" s="28">
        <f t="shared" si="8"/>
        <v>30.930203061051145</v>
      </c>
      <c r="G30" s="27" t="str">
        <f t="shared" si="9"/>
        <v>+</v>
      </c>
      <c r="H30" s="26">
        <f t="shared" si="10"/>
        <v>1881.88</v>
      </c>
      <c r="I30" s="26">
        <f t="shared" si="11"/>
        <v>2035.2073614171652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</v>
      </c>
      <c r="D31" s="30">
        <v>25.8</v>
      </c>
      <c r="E31" s="29">
        <f t="shared" si="7"/>
        <v>1.9467731103850541E-2</v>
      </c>
      <c r="F31" s="28">
        <f t="shared" si="8"/>
        <v>31.362793313653256</v>
      </c>
      <c r="G31" s="27" t="str">
        <f t="shared" si="9"/>
        <v>+</v>
      </c>
      <c r="H31" s="26">
        <f t="shared" si="10"/>
        <v>748.2</v>
      </c>
      <c r="I31" s="26">
        <f t="shared" si="11"/>
        <v>809.16006749225403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30.494622245540413</v>
      </c>
      <c r="D32" s="22">
        <f>SUM(D26:D31)</f>
        <v>762.39999999999986</v>
      </c>
      <c r="E32" s="21">
        <f t="shared" si="7"/>
        <v>0.57527899975099417</v>
      </c>
      <c r="F32" s="20">
        <f>I32/D32</f>
        <v>32.979190850510918</v>
      </c>
      <c r="G32" s="19">
        <f>F32/C32-1</f>
        <v>8.1475631505284696E-2</v>
      </c>
      <c r="H32" s="18">
        <f>SUM(H26:H31)</f>
        <v>23249.100000000006</v>
      </c>
      <c r="I32" s="18">
        <f>SUM(I26:I31)</f>
        <v>25143.33510442952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17.5</v>
      </c>
      <c r="D34" s="30">
        <v>178</v>
      </c>
      <c r="E34" s="29">
        <f t="shared" ref="E34:E40" si="13">D34/$D$48</f>
        <v>0.13431225335214714</v>
      </c>
      <c r="F34" s="28">
        <f t="shared" ref="F34:F39" si="14">C34-(C34*$E$6)</f>
        <v>18.925823551342482</v>
      </c>
      <c r="G34" s="27" t="str">
        <f t="shared" ref="G34:G39" si="15">IF(C34&gt;=F34,"-","+")</f>
        <v>+</v>
      </c>
      <c r="H34" s="26">
        <f t="shared" ref="H34:H39" si="16">C34*D34</f>
        <v>3115</v>
      </c>
      <c r="I34" s="26">
        <f t="shared" ref="I34:I39" si="17">F34*D34</f>
        <v>3368.7965921389618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/>
      <c r="E35" s="29">
        <f t="shared" si="13"/>
        <v>0</v>
      </c>
      <c r="F35" s="28">
        <f t="shared" si="14"/>
        <v>14.491773462170816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11.679936820257076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28.6</v>
      </c>
      <c r="D37" s="30"/>
      <c r="E37" s="29">
        <f t="shared" si="13"/>
        <v>0</v>
      </c>
      <c r="F37" s="28">
        <f t="shared" si="14"/>
        <v>30.930203061051145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28.6</v>
      </c>
      <c r="D38" s="30"/>
      <c r="E38" s="29">
        <f t="shared" si="13"/>
        <v>0</v>
      </c>
      <c r="F38" s="28">
        <f t="shared" si="14"/>
        <v>30.930203061051145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29.5</v>
      </c>
      <c r="D39" s="30"/>
      <c r="E39" s="29">
        <f t="shared" si="13"/>
        <v>0</v>
      </c>
      <c r="F39" s="28">
        <f t="shared" si="14"/>
        <v>31.903531129405899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</v>
      </c>
      <c r="D40" s="22">
        <f>SUM(D34:D39)</f>
        <v>178</v>
      </c>
      <c r="E40" s="113">
        <f t="shared" si="13"/>
        <v>0.13431225335214714</v>
      </c>
      <c r="F40" s="20">
        <f>I40/D40</f>
        <v>18.925823551342482</v>
      </c>
      <c r="G40" s="19">
        <f>F40/C40-1</f>
        <v>8.1475631505284696E-2</v>
      </c>
      <c r="H40" s="18">
        <f>SUM(H34:H39)</f>
        <v>3115</v>
      </c>
      <c r="I40" s="18">
        <f>SUM(I34:I39)</f>
        <v>3368.7965921389618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283</v>
      </c>
      <c r="E42" s="107">
        <f>D42/$D$48</f>
        <v>0.21354139156549234</v>
      </c>
      <c r="F42" s="28">
        <f>C42-(C42*$E$6)</f>
        <v>0.43259025260211392</v>
      </c>
      <c r="G42" s="27" t="str">
        <f>IF(C42&gt;=F42,"-","+")</f>
        <v>+</v>
      </c>
      <c r="H42" s="26">
        <f>C42*D42</f>
        <v>113.2</v>
      </c>
      <c r="I42" s="26">
        <f>F42*D42</f>
        <v>122.42304148639823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10.7</v>
      </c>
      <c r="E43" s="107">
        <f>D43/$D$48</f>
        <v>8.0738264655504169E-3</v>
      </c>
      <c r="F43" s="28">
        <f>C43-(C43*$E$6)</f>
        <v>0.43259025260211392</v>
      </c>
      <c r="G43" s="27" t="str">
        <f>IF(C43&gt;=F43,"-","+")</f>
        <v>+</v>
      </c>
      <c r="H43" s="26">
        <f>C43*D43</f>
        <v>4.28</v>
      </c>
      <c r="I43" s="26">
        <f>F43*D43</f>
        <v>4.6287157028426185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</v>
      </c>
      <c r="E44" s="107">
        <f>D44/$D$48</f>
        <v>1.5091264421589565E-3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3.0937092064258608E-3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0.39186124082721813</v>
      </c>
      <c r="D46" s="22">
        <f>SUM(D41:D45)</f>
        <v>299.8</v>
      </c>
      <c r="E46" s="113">
        <f>D46/$D$48</f>
        <v>0.22621805367962761</v>
      </c>
      <c r="F46" s="20">
        <f>I46/D46</f>
        <v>0.42378838288606019</v>
      </c>
      <c r="G46" s="19">
        <f>F46/C46-1</f>
        <v>8.1475631505284696E-2</v>
      </c>
      <c r="H46" s="18">
        <f>SUM(H41:H44)</f>
        <v>117.48</v>
      </c>
      <c r="I46" s="18">
        <f>SUM(I41:I44)</f>
        <v>127.05175718924085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93.192807689964667</v>
      </c>
      <c r="D48" s="13">
        <f>D24+D32+D40+D46</f>
        <v>1325.2699999999998</v>
      </c>
      <c r="E48" s="12">
        <f>SUM(E20:E46)/2</f>
        <v>1</v>
      </c>
      <c r="F48" s="11">
        <f>I48/D48</f>
        <v>24.720559584084754</v>
      </c>
      <c r="G48" s="10"/>
      <c r="H48" s="9">
        <f>SUM(H20:H46)/2</f>
        <v>30293.254000000004</v>
      </c>
      <c r="I48" s="9">
        <f>SUM(I20:I46)/2</f>
        <v>32761.415999999997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1325.2699999999998</v>
      </c>
      <c r="E50" s="12">
        <f>D50/G2</f>
        <v>0.99997736361578493</v>
      </c>
      <c r="F50" s="11">
        <f>I50/D50</f>
        <v>24.720559584084754</v>
      </c>
      <c r="G50" s="10"/>
      <c r="H50" s="9">
        <f>H48+H19</f>
        <v>30293.254000000004</v>
      </c>
      <c r="I50" s="9">
        <f>I48+I19</f>
        <v>32761.415999999997</v>
      </c>
      <c r="J50" s="106">
        <f>D50-G2</f>
        <v>-3.0000000000200089E-2</v>
      </c>
      <c r="K50" s="8"/>
    </row>
    <row r="51" spans="1:11" ht="23.25" x14ac:dyDescent="0.35">
      <c r="A51" s="174" t="s">
        <v>673</v>
      </c>
      <c r="B51" s="169"/>
      <c r="C51" s="170"/>
      <c r="G51" s="7"/>
      <c r="H51" s="6"/>
      <c r="I51" s="6">
        <f>+I50/D50</f>
        <v>24.720559584084754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667</v>
      </c>
      <c r="D1" s="100" t="s">
        <v>1</v>
      </c>
      <c r="E1" s="168" t="s">
        <v>674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670</v>
      </c>
      <c r="D2" s="96" t="s">
        <v>3</v>
      </c>
      <c r="E2" s="95" t="s">
        <v>112</v>
      </c>
      <c r="F2" s="94" t="s">
        <v>5</v>
      </c>
      <c r="G2" s="93">
        <v>5297.3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104</v>
      </c>
      <c r="D3" s="90" t="s">
        <v>7</v>
      </c>
      <c r="E3" s="89">
        <v>74</v>
      </c>
      <c r="F3" s="88" t="s">
        <v>8</v>
      </c>
      <c r="G3" s="87">
        <v>25.93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71.585135135135133</v>
      </c>
      <c r="F4" s="81" t="s">
        <v>12</v>
      </c>
      <c r="G4" s="80">
        <f>G2*G3</f>
        <v>137358.989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-6.5245437116011162E-2</v>
      </c>
      <c r="F6" s="69" t="s">
        <v>16</v>
      </c>
      <c r="G6" s="68">
        <f>(I50-I19)/(D50-(SUM(D42:D44)+D19))</f>
        <v>32.875158920109143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25.9</v>
      </c>
      <c r="D10" s="30"/>
      <c r="E10" s="29" t="e">
        <f t="shared" ref="E10:E19" si="1">D10/$D$19</f>
        <v>#DIV/0!</v>
      </c>
      <c r="F10" s="28">
        <f t="shared" ref="F10:F18" si="2">C10-(C10*$E$6)</f>
        <v>27.589856821304686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</v>
      </c>
      <c r="D11" s="30"/>
      <c r="E11" s="29" t="e">
        <f t="shared" si="1"/>
        <v>#DIV/0!</v>
      </c>
      <c r="F11" s="28">
        <f t="shared" si="2"/>
        <v>28.761626802132302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26.311562296765477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</v>
      </c>
      <c r="D13" s="30"/>
      <c r="E13" s="29" t="e">
        <f t="shared" si="1"/>
        <v>#DIV/0!</v>
      </c>
      <c r="F13" s="28">
        <f t="shared" si="2"/>
        <v>28.761626802132302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30.2</v>
      </c>
      <c r="D14" s="30"/>
      <c r="E14" s="29" t="e">
        <f t="shared" si="1"/>
        <v>#DIV/0!</v>
      </c>
      <c r="F14" s="28">
        <f t="shared" si="2"/>
        <v>32.170412200903534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24.9</v>
      </c>
      <c r="D15" s="30"/>
      <c r="E15" s="29" t="e">
        <f t="shared" si="1"/>
        <v>#DIV/0!</v>
      </c>
      <c r="F15" s="28">
        <f t="shared" si="2"/>
        <v>26.524611384188677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34.1</v>
      </c>
      <c r="D16" s="30"/>
      <c r="E16" s="29" t="e">
        <f t="shared" si="1"/>
        <v>#DIV/0!</v>
      </c>
      <c r="F16" s="28">
        <f t="shared" si="2"/>
        <v>36.324869405655981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50.2</v>
      </c>
      <c r="D17" s="30"/>
      <c r="E17" s="29" t="e">
        <f t="shared" si="1"/>
        <v>#DIV/0!</v>
      </c>
      <c r="F17" s="28">
        <f t="shared" si="2"/>
        <v>53.475320943223764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43.9</v>
      </c>
      <c r="D18" s="30"/>
      <c r="E18" s="29" t="e">
        <f t="shared" si="1"/>
        <v>#DIV/0!</v>
      </c>
      <c r="F18" s="28">
        <f t="shared" si="2"/>
        <v>46.764274689392892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65.2</v>
      </c>
      <c r="D21" s="30">
        <v>69.2</v>
      </c>
      <c r="E21" s="29">
        <f>D21/$D$48</f>
        <v>1.3063258641194573E-2</v>
      </c>
      <c r="F21" s="28">
        <f>C21-(C21*$E$6)</f>
        <v>69.454002499963934</v>
      </c>
      <c r="G21" s="27" t="str">
        <f>IF(C21&gt;=F21,"-","+")</f>
        <v>+</v>
      </c>
      <c r="H21" s="26">
        <f>C21*D21</f>
        <v>4511.84</v>
      </c>
      <c r="I21" s="26">
        <f>F21*D21</f>
        <v>4806.2169729975049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43.8</v>
      </c>
      <c r="D22" s="30">
        <v>112.2</v>
      </c>
      <c r="E22" s="29">
        <f>D22/$D$48</f>
        <v>2.1180601438468658E-2</v>
      </c>
      <c r="F22" s="28">
        <f>C22-(C22*$E$6)</f>
        <v>46.657750145681284</v>
      </c>
      <c r="G22" s="27" t="str">
        <f>IF(C22&gt;=F22,"-","+")</f>
        <v>+</v>
      </c>
      <c r="H22" s="26">
        <f>C22*D22</f>
        <v>4914.3599999999997</v>
      </c>
      <c r="I22" s="26">
        <f>F22*D22</f>
        <v>5234.9995663454401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39.9</v>
      </c>
      <c r="D23" s="30">
        <v>88.6</v>
      </c>
      <c r="E23" s="29">
        <f>D23/$D$48</f>
        <v>1.6725501670662415E-2</v>
      </c>
      <c r="F23" s="28">
        <f>C23-(C23*$E$6)</f>
        <v>42.503292940928844</v>
      </c>
      <c r="G23" s="27" t="str">
        <f>IF(C23&gt;=F23,"-","+")</f>
        <v>+</v>
      </c>
      <c r="H23" s="26">
        <f>C23*D23</f>
        <v>3535.14</v>
      </c>
      <c r="I23" s="26">
        <f>F23*D23</f>
        <v>3765.7917545662954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48.004962962962964</v>
      </c>
      <c r="D24" s="22">
        <f>SUM(D21:D23)</f>
        <v>270</v>
      </c>
      <c r="E24" s="21">
        <f>D24/$D$48</f>
        <v>5.0969361750325647E-2</v>
      </c>
      <c r="F24" s="20">
        <f>I24/D24</f>
        <v>51.137067755219412</v>
      </c>
      <c r="G24" s="19">
        <f>F24/C24-1</f>
        <v>6.5245437116011162E-2</v>
      </c>
      <c r="H24" s="18">
        <f>SUM(H21:H23)</f>
        <v>12961.34</v>
      </c>
      <c r="I24" s="18">
        <f>SUM(I21:I23)</f>
        <v>13807.008293909241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34.799999999999997</v>
      </c>
      <c r="D26" s="30">
        <f>252.3+771.2</f>
        <v>1023.5</v>
      </c>
      <c r="E26" s="29">
        <f t="shared" ref="E26:E32" si="7">D26/$D$48</f>
        <v>0.19321163611651221</v>
      </c>
      <c r="F26" s="28">
        <f t="shared" ref="F26:F31" si="8">C26-(C26*$E$6)</f>
        <v>37.070541211637185</v>
      </c>
      <c r="G26" s="27" t="str">
        <f t="shared" ref="G26:G31" si="9">IF(C26&gt;=F26,"-","+")</f>
        <v>+</v>
      </c>
      <c r="H26" s="26">
        <f t="shared" ref="H26:H31" si="10">C26*D26</f>
        <v>35617.799999999996</v>
      </c>
      <c r="I26" s="26">
        <f t="shared" ref="I26:I31" si="11">F26*D26</f>
        <v>37941.698930110659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</v>
      </c>
      <c r="D27" s="30">
        <v>833</v>
      </c>
      <c r="E27" s="29">
        <f t="shared" si="7"/>
        <v>0.15724991977044911</v>
      </c>
      <c r="F27" s="28">
        <f t="shared" si="8"/>
        <v>33.022608550596345</v>
      </c>
      <c r="G27" s="27" t="str">
        <f t="shared" si="9"/>
        <v>+</v>
      </c>
      <c r="H27" s="26">
        <f t="shared" si="10"/>
        <v>25823</v>
      </c>
      <c r="I27" s="26">
        <f t="shared" si="11"/>
        <v>27507.832922646754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</v>
      </c>
      <c r="D28" s="30">
        <v>506.1</v>
      </c>
      <c r="E28" s="29">
        <f t="shared" si="7"/>
        <v>9.5539236969777078E-2</v>
      </c>
      <c r="F28" s="28">
        <f t="shared" si="8"/>
        <v>33.022608550596345</v>
      </c>
      <c r="G28" s="27" t="str">
        <f t="shared" si="9"/>
        <v>+</v>
      </c>
      <c r="H28" s="26">
        <f t="shared" si="10"/>
        <v>15689.1</v>
      </c>
      <c r="I28" s="26">
        <f t="shared" si="11"/>
        <v>16712.74218745681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29.9</v>
      </c>
      <c r="D29" s="30">
        <v>535</v>
      </c>
      <c r="E29" s="29">
        <f t="shared" si="7"/>
        <v>0.10099484643120081</v>
      </c>
      <c r="F29" s="28">
        <f t="shared" si="8"/>
        <v>31.850838569768733</v>
      </c>
      <c r="G29" s="27" t="str">
        <f t="shared" si="9"/>
        <v>+</v>
      </c>
      <c r="H29" s="26">
        <f t="shared" si="10"/>
        <v>15996.5</v>
      </c>
      <c r="I29" s="26">
        <f t="shared" si="11"/>
        <v>17040.198634826273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29.9</v>
      </c>
      <c r="D30" s="30">
        <v>286.2</v>
      </c>
      <c r="E30" s="29">
        <f t="shared" si="7"/>
        <v>5.4027523455345179E-2</v>
      </c>
      <c r="F30" s="28">
        <f t="shared" si="8"/>
        <v>31.850838569768733</v>
      </c>
      <c r="G30" s="27" t="str">
        <f t="shared" si="9"/>
        <v>+</v>
      </c>
      <c r="H30" s="26">
        <f t="shared" si="10"/>
        <v>8557.3799999999992</v>
      </c>
      <c r="I30" s="26">
        <f t="shared" si="11"/>
        <v>9115.7099986678113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30.5</v>
      </c>
      <c r="D31" s="30">
        <v>57</v>
      </c>
      <c r="E31" s="29">
        <f t="shared" si="7"/>
        <v>1.0760198591735414E-2</v>
      </c>
      <c r="F31" s="28">
        <f t="shared" si="8"/>
        <v>32.489985832038343</v>
      </c>
      <c r="G31" s="27" t="str">
        <f t="shared" si="9"/>
        <v>+</v>
      </c>
      <c r="H31" s="26">
        <f t="shared" si="10"/>
        <v>1738.5</v>
      </c>
      <c r="I31" s="26">
        <f t="shared" si="11"/>
        <v>1851.9291924261856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31.912577141446558</v>
      </c>
      <c r="D32" s="22">
        <f>SUM(D26:D31)</f>
        <v>3240.7999999999997</v>
      </c>
      <c r="E32" s="21">
        <f t="shared" si="7"/>
        <v>0.61178336133501976</v>
      </c>
      <c r="F32" s="20">
        <f>I32/D32</f>
        <v>33.994727186538668</v>
      </c>
      <c r="G32" s="19">
        <f>F32/C32-1</f>
        <v>6.5245437116011162E-2</v>
      </c>
      <c r="H32" s="18">
        <f>SUM(H26:H31)</f>
        <v>103422.28</v>
      </c>
      <c r="I32" s="18">
        <f>SUM(I26:I31)</f>
        <v>110170.1118661345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</v>
      </c>
      <c r="D34" s="30">
        <v>662</v>
      </c>
      <c r="E34" s="29">
        <f t="shared" ref="E34:E40" si="13">D34/$D$48</f>
        <v>0.12496932399524288</v>
      </c>
      <c r="F34" s="28">
        <f t="shared" ref="F34:F39" si="14">C34-(C34*$E$6)</f>
        <v>19.493991499223004</v>
      </c>
      <c r="G34" s="27" t="str">
        <f t="shared" ref="G34:G39" si="15">IF(C34&gt;=F34,"-","+")</f>
        <v>+</v>
      </c>
      <c r="H34" s="26">
        <f t="shared" ref="H34:H39" si="16">C34*D34</f>
        <v>12114.6</v>
      </c>
      <c r="I34" s="26">
        <f t="shared" ref="I34:I39" si="17">F34*D34</f>
        <v>12905.022372485628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15.019960663335757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12.037273439410926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29.9</v>
      </c>
      <c r="D37" s="30"/>
      <c r="E37" s="29">
        <f t="shared" si="13"/>
        <v>0</v>
      </c>
      <c r="F37" s="28">
        <f t="shared" si="14"/>
        <v>31.850838569768733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29.9</v>
      </c>
      <c r="D38" s="30"/>
      <c r="E38" s="29">
        <f t="shared" si="13"/>
        <v>0</v>
      </c>
      <c r="F38" s="28">
        <f t="shared" si="14"/>
        <v>31.850838569768733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</v>
      </c>
      <c r="D39" s="30"/>
      <c r="E39" s="29">
        <f t="shared" si="13"/>
        <v>0</v>
      </c>
      <c r="F39" s="28">
        <f t="shared" si="14"/>
        <v>33.022608550596345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</v>
      </c>
      <c r="D40" s="22">
        <f>SUM(D34:D39)</f>
        <v>662</v>
      </c>
      <c r="E40" s="113">
        <f t="shared" si="13"/>
        <v>0.12496932399524288</v>
      </c>
      <c r="F40" s="20">
        <f>I40/D40</f>
        <v>19.493991499223004</v>
      </c>
      <c r="G40" s="19">
        <f>F40/C40-1</f>
        <v>6.5245437116011162E-2</v>
      </c>
      <c r="H40" s="18">
        <f>SUM(H34:H39)</f>
        <v>12114.6</v>
      </c>
      <c r="I40" s="18">
        <f>SUM(I34:I39)</f>
        <v>12905.022372485628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1049</v>
      </c>
      <c r="E42" s="107">
        <f>D42/$D$48</f>
        <v>0.19802540917070963</v>
      </c>
      <c r="F42" s="28">
        <f>C42-(C42*$E$6)</f>
        <v>0.4260981748464045</v>
      </c>
      <c r="G42" s="27" t="str">
        <f>IF(C42&gt;=F42,"-","+")</f>
        <v>+</v>
      </c>
      <c r="H42" s="26">
        <f>C42*D42</f>
        <v>419.6</v>
      </c>
      <c r="I42" s="26">
        <f>F42*D42</f>
        <v>446.97698541387831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70.099999999999994</v>
      </c>
      <c r="E43" s="107">
        <f>D43/$D$48</f>
        <v>1.3233156513695657E-2</v>
      </c>
      <c r="F43" s="28">
        <f>C43-(C43*$E$6)</f>
        <v>0.4260981748464045</v>
      </c>
      <c r="G43" s="27" t="str">
        <f>IF(C43&gt;=F43,"-","+")</f>
        <v>+</v>
      </c>
      <c r="H43" s="26">
        <f>C43*D43</f>
        <v>28.04</v>
      </c>
      <c r="I43" s="26">
        <f>F43*D43</f>
        <v>29.869482056732952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1.019387235006513E-3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0.39807914628723884</v>
      </c>
      <c r="D46" s="22">
        <f>SUM(D41:D45)</f>
        <v>1124.5</v>
      </c>
      <c r="E46" s="113">
        <f>D46/$D$48</f>
        <v>0.21227795291941182</v>
      </c>
      <c r="F46" s="20">
        <f>I46/D46</f>
        <v>0.42405199419351824</v>
      </c>
      <c r="G46" s="19">
        <f>F46/C46-1</f>
        <v>6.5245437116011162E-2</v>
      </c>
      <c r="H46" s="18">
        <f>SUM(H41:H44)</f>
        <v>447.64000000000004</v>
      </c>
      <c r="I46" s="18">
        <f>SUM(I41:I44)</f>
        <v>476.84646747061129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98.615619250696767</v>
      </c>
      <c r="D48" s="13">
        <f>D24+D32+D40+D46</f>
        <v>5297.2999999999993</v>
      </c>
      <c r="E48" s="12">
        <f>SUM(E20:E46)/2</f>
        <v>1.0000000000000002</v>
      </c>
      <c r="F48" s="11">
        <f>I48/D48</f>
        <v>25.930000000000003</v>
      </c>
      <c r="G48" s="10"/>
      <c r="H48" s="9">
        <f>SUM(H20:H46)/2</f>
        <v>128945.86000000002</v>
      </c>
      <c r="I48" s="9">
        <f>SUM(I20:I46)/2</f>
        <v>137358.989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5297.2999999999993</v>
      </c>
      <c r="E50" s="12">
        <f>D50/G2</f>
        <v>0.99999999999999978</v>
      </c>
      <c r="F50" s="11">
        <f>I50/D50</f>
        <v>25.930000000000003</v>
      </c>
      <c r="G50" s="10"/>
      <c r="H50" s="9">
        <f>H48+H19</f>
        <v>128945.86000000002</v>
      </c>
      <c r="I50" s="9">
        <f>I48+I19</f>
        <v>137358.989</v>
      </c>
      <c r="J50" s="106">
        <f>D50-G2</f>
        <v>0</v>
      </c>
      <c r="K50" s="8"/>
    </row>
    <row r="51" spans="1:11" ht="23.25" x14ac:dyDescent="0.35">
      <c r="A51" s="174" t="s">
        <v>675</v>
      </c>
      <c r="B51" s="169"/>
      <c r="C51" s="170"/>
      <c r="G51" s="7"/>
      <c r="H51" s="6"/>
      <c r="I51" s="6">
        <f>+I50/D50</f>
        <v>25.930000000000003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670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670</v>
      </c>
      <c r="D2" s="96" t="s">
        <v>3</v>
      </c>
      <c r="E2" s="95" t="s">
        <v>71</v>
      </c>
      <c r="F2" s="94" t="s">
        <v>5</v>
      </c>
      <c r="G2" s="93">
        <v>22743.200000000001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292</v>
      </c>
      <c r="F3" s="88" t="s">
        <v>8</v>
      </c>
      <c r="G3" s="87">
        <v>28.85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77.887671232876713</v>
      </c>
      <c r="F4" s="81" t="s">
        <v>12</v>
      </c>
      <c r="G4" s="80">
        <f>G2*G3</f>
        <v>656141.32000000007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-2.8060443953755954E-2</v>
      </c>
      <c r="F6" s="69" t="s">
        <v>16</v>
      </c>
      <c r="G6" s="68">
        <f>(I50-I19)/(D50-(SUM(D42:D44)+D19))</f>
        <v>34.723283414849107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28.9</v>
      </c>
      <c r="D10" s="30"/>
      <c r="E10" s="29">
        <f t="shared" ref="E10:E19" si="1">D10/$D$19</f>
        <v>0</v>
      </c>
      <c r="F10" s="28">
        <f t="shared" ref="F10:F18" si="2">C10-(C10*$E$6)</f>
        <v>29.710946830263545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</v>
      </c>
      <c r="D11" s="30"/>
      <c r="E11" s="29">
        <f t="shared" si="1"/>
        <v>0</v>
      </c>
      <c r="F11" s="28">
        <f t="shared" si="2"/>
        <v>30.841813318612679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27.4</v>
      </c>
      <c r="D12" s="30"/>
      <c r="E12" s="29">
        <f t="shared" si="1"/>
        <v>0</v>
      </c>
      <c r="F12" s="28">
        <f t="shared" si="2"/>
        <v>28.168856164332912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</v>
      </c>
      <c r="D13" s="30">
        <v>223</v>
      </c>
      <c r="E13" s="29">
        <f t="shared" si="1"/>
        <v>0.44254812462790238</v>
      </c>
      <c r="F13" s="28">
        <f t="shared" si="2"/>
        <v>30.841813318612679</v>
      </c>
      <c r="G13" s="27" t="str">
        <f t="shared" si="3"/>
        <v>+</v>
      </c>
      <c r="H13" s="34">
        <f t="shared" si="4"/>
        <v>6690</v>
      </c>
      <c r="I13" s="34">
        <f t="shared" si="5"/>
        <v>6877.7243700506278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33.6</v>
      </c>
      <c r="D14" s="30">
        <v>107.9</v>
      </c>
      <c r="E14" s="29">
        <f t="shared" si="1"/>
        <v>0.21412978765628102</v>
      </c>
      <c r="F14" s="28">
        <f t="shared" si="2"/>
        <v>34.542830916846199</v>
      </c>
      <c r="G14" s="27" t="str">
        <f t="shared" si="3"/>
        <v>+</v>
      </c>
      <c r="H14" s="34">
        <f t="shared" si="4"/>
        <v>3625.4400000000005</v>
      </c>
      <c r="I14" s="34">
        <f t="shared" si="5"/>
        <v>3727.1714559277052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27.7</v>
      </c>
      <c r="D15" s="30">
        <v>173</v>
      </c>
      <c r="E15" s="29">
        <f t="shared" si="1"/>
        <v>0.34332208771581663</v>
      </c>
      <c r="F15" s="28">
        <f t="shared" si="2"/>
        <v>28.477274297519038</v>
      </c>
      <c r="G15" s="27" t="str">
        <f t="shared" si="3"/>
        <v>+</v>
      </c>
      <c r="H15" s="34">
        <f t="shared" si="4"/>
        <v>4792.0999999999995</v>
      </c>
      <c r="I15" s="34">
        <f t="shared" si="5"/>
        <v>4926.5684534707934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37.9</v>
      </c>
      <c r="D16" s="30"/>
      <c r="E16" s="29">
        <f t="shared" si="1"/>
        <v>0</v>
      </c>
      <c r="F16" s="28">
        <f t="shared" si="2"/>
        <v>38.963490825847352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55.8</v>
      </c>
      <c r="D17" s="30"/>
      <c r="E17" s="29">
        <f t="shared" si="1"/>
        <v>0</v>
      </c>
      <c r="F17" s="28">
        <f t="shared" si="2"/>
        <v>57.365772772619579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48.9</v>
      </c>
      <c r="D18" s="30"/>
      <c r="E18" s="29">
        <f t="shared" si="1"/>
        <v>0</v>
      </c>
      <c r="F18" s="28">
        <f t="shared" si="2"/>
        <v>50.272155709338662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29.981226433816236</v>
      </c>
      <c r="D19" s="49">
        <f>SUM(D10:D18)</f>
        <v>503.9</v>
      </c>
      <c r="E19" s="48">
        <f t="shared" si="1"/>
        <v>1</v>
      </c>
      <c r="F19" s="47">
        <f>I19/D19</f>
        <v>30.822512957827204</v>
      </c>
      <c r="G19" s="46">
        <f>F19/C19-1</f>
        <v>2.8060443953755954E-2</v>
      </c>
      <c r="H19" s="9">
        <f>SUM(H10:H18)</f>
        <v>15107.54</v>
      </c>
      <c r="I19" s="9">
        <f>SUM(I10:I18)</f>
        <v>15531.464279449126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72.599999999999994</v>
      </c>
      <c r="D21" s="30">
        <v>265.7</v>
      </c>
      <c r="E21" s="29">
        <f>D21/$D$48</f>
        <v>1.1947318485743706E-2</v>
      </c>
      <c r="F21" s="28">
        <f>C21-(C21*$E$6)</f>
        <v>74.637188231042671</v>
      </c>
      <c r="G21" s="27" t="str">
        <f>IF(C21&gt;=F21,"-","+")</f>
        <v>+</v>
      </c>
      <c r="H21" s="26">
        <f>C21*D21</f>
        <v>19289.819999999996</v>
      </c>
      <c r="I21" s="26">
        <f>F21*D21</f>
        <v>19831.100912988037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48.7</v>
      </c>
      <c r="D22" s="30">
        <v>635.4</v>
      </c>
      <c r="E22" s="29">
        <f>D22/$D$48</f>
        <v>2.857104315333666E-2</v>
      </c>
      <c r="F22" s="28">
        <f>C22-(C22*$E$6)</f>
        <v>50.066543620547918</v>
      </c>
      <c r="G22" s="27" t="str">
        <f>IF(C22&gt;=F22,"-","+")</f>
        <v>+</v>
      </c>
      <c r="H22" s="26">
        <f>C22*D22</f>
        <v>30943.98</v>
      </c>
      <c r="I22" s="26">
        <f>F22*D22</f>
        <v>31812.281816496146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44.4</v>
      </c>
      <c r="D23" s="30">
        <v>539.9</v>
      </c>
      <c r="E23" s="29">
        <f>D23/$D$48</f>
        <v>2.4276843245965476E-2</v>
      </c>
      <c r="F23" s="28">
        <f>C23-(C23*$E$6)</f>
        <v>45.645883711546766</v>
      </c>
      <c r="G23" s="27" t="str">
        <f>IF(C23&gt;=F23,"-","+")</f>
        <v>+</v>
      </c>
      <c r="H23" s="26">
        <f>C23*D23</f>
        <v>23971.559999999998</v>
      </c>
      <c r="I23" s="26">
        <f>F23*D23</f>
        <v>24644.212615864097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51.495739070090202</v>
      </c>
      <c r="D24" s="22">
        <f>SUM(D21:D23)</f>
        <v>1441</v>
      </c>
      <c r="E24" s="21">
        <f>D24/$D$48</f>
        <v>6.4795204885045851E-2</v>
      </c>
      <c r="F24" s="20">
        <f>I24/D24</f>
        <v>52.940732370123719</v>
      </c>
      <c r="G24" s="19">
        <f>F24/C24-1</f>
        <v>2.8060443953756176E-2</v>
      </c>
      <c r="H24" s="18">
        <f>SUM(H21:H23)</f>
        <v>74205.359999999986</v>
      </c>
      <c r="I24" s="18">
        <f>SUM(I21:I23)</f>
        <v>76287.59534534828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38.700000000000003</v>
      </c>
      <c r="D26" s="30">
        <f>1073.9+96.8+3176</f>
        <v>4346.7</v>
      </c>
      <c r="E26" s="29">
        <f t="shared" ref="E26:E32" si="7">D26/$D$48</f>
        <v>0.19545129567927047</v>
      </c>
      <c r="F26" s="28">
        <f t="shared" ref="F26:F31" si="8">C26-(C26*$E$6)</f>
        <v>39.785939181010356</v>
      </c>
      <c r="G26" s="27" t="str">
        <f t="shared" ref="G26:G31" si="9">IF(C26&gt;=F26,"-","+")</f>
        <v>+</v>
      </c>
      <c r="H26" s="26">
        <f t="shared" ref="H26:H31" si="10">C26*D26</f>
        <v>168217.29</v>
      </c>
      <c r="I26" s="26">
        <f t="shared" ref="I26:I31" si="11">F26*D26</f>
        <v>172937.54183809771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34.5</v>
      </c>
      <c r="D27" s="30">
        <v>3469.5</v>
      </c>
      <c r="E27" s="29">
        <f t="shared" si="7"/>
        <v>0.15600760815313433</v>
      </c>
      <c r="F27" s="28">
        <f t="shared" si="8"/>
        <v>35.468085316404583</v>
      </c>
      <c r="G27" s="27" t="str">
        <f t="shared" si="9"/>
        <v>+</v>
      </c>
      <c r="H27" s="26">
        <f t="shared" si="10"/>
        <v>119697.75</v>
      </c>
      <c r="I27" s="26">
        <f t="shared" si="11"/>
        <v>123056.5220052657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34.5</v>
      </c>
      <c r="D28" s="30">
        <v>1790.8</v>
      </c>
      <c r="E28" s="29">
        <f t="shared" si="7"/>
        <v>8.0524117215919566E-2</v>
      </c>
      <c r="F28" s="28">
        <f t="shared" si="8"/>
        <v>35.468085316404583</v>
      </c>
      <c r="G28" s="27" t="str">
        <f t="shared" si="9"/>
        <v>+</v>
      </c>
      <c r="H28" s="26">
        <f t="shared" si="10"/>
        <v>61782.6</v>
      </c>
      <c r="I28" s="26">
        <f t="shared" si="11"/>
        <v>63516.247184617328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33.299999999999997</v>
      </c>
      <c r="D29" s="30">
        <v>1770.1</v>
      </c>
      <c r="E29" s="29">
        <f t="shared" si="7"/>
        <v>7.959333252395534E-2</v>
      </c>
      <c r="F29" s="28">
        <f t="shared" si="8"/>
        <v>34.234412783660069</v>
      </c>
      <c r="G29" s="27" t="str">
        <f t="shared" si="9"/>
        <v>+</v>
      </c>
      <c r="H29" s="26">
        <f t="shared" si="10"/>
        <v>58944.329999999994</v>
      </c>
      <c r="I29" s="26">
        <f t="shared" si="11"/>
        <v>60598.334068356686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33.299999999999997</v>
      </c>
      <c r="D30" s="30">
        <v>1557.4</v>
      </c>
      <c r="E30" s="29">
        <f t="shared" si="7"/>
        <v>7.0029182573192503E-2</v>
      </c>
      <c r="F30" s="28">
        <f t="shared" si="8"/>
        <v>34.234412783660069</v>
      </c>
      <c r="G30" s="27" t="str">
        <f t="shared" si="9"/>
        <v>+</v>
      </c>
      <c r="H30" s="26">
        <f t="shared" si="10"/>
        <v>51861.42</v>
      </c>
      <c r="I30" s="26">
        <f t="shared" si="11"/>
        <v>53316.674469272191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33.9</v>
      </c>
      <c r="D31" s="30">
        <v>348.6</v>
      </c>
      <c r="E31" s="29">
        <f t="shared" si="7"/>
        <v>1.5674953798006232E-2</v>
      </c>
      <c r="F31" s="28">
        <f t="shared" si="8"/>
        <v>34.851249050032322</v>
      </c>
      <c r="G31" s="27" t="str">
        <f t="shared" si="9"/>
        <v>+</v>
      </c>
      <c r="H31" s="26">
        <f t="shared" si="10"/>
        <v>11817.54</v>
      </c>
      <c r="I31" s="26">
        <f t="shared" si="11"/>
        <v>12149.145418841268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35.558034645527023</v>
      </c>
      <c r="D32" s="22">
        <f>SUM(D26:D31)</f>
        <v>13283.1</v>
      </c>
      <c r="E32" s="21">
        <f t="shared" si="7"/>
        <v>0.59728048994347849</v>
      </c>
      <c r="F32" s="20">
        <f>I32/D32</f>
        <v>36.555808883803543</v>
      </c>
      <c r="G32" s="19">
        <f>F32/C32-1</f>
        <v>2.8060443953755954E-2</v>
      </c>
      <c r="H32" s="18">
        <f>SUM(H26:H31)</f>
        <v>472320.93</v>
      </c>
      <c r="I32" s="18">
        <f>SUM(I26:I31)</f>
        <v>485574.4649844509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20.399999999999999</v>
      </c>
      <c r="D34" s="30">
        <f>1373.5+2097.1</f>
        <v>3470.6</v>
      </c>
      <c r="E34" s="29">
        <f t="shared" ref="E34:E40" si="13">D34/$D$48</f>
        <v>0.15605707014159617</v>
      </c>
      <c r="F34" s="28">
        <f t="shared" ref="F34:F39" si="14">C34-(C34*$E$6)</f>
        <v>20.972433056656619</v>
      </c>
      <c r="G34" s="27" t="str">
        <f t="shared" ref="G34:G39" si="15">IF(C34&gt;=F34,"-","+")</f>
        <v>+</v>
      </c>
      <c r="H34" s="26">
        <f t="shared" ref="H34:H39" si="16">C34*D34</f>
        <v>70800.239999999991</v>
      </c>
      <c r="I34" s="26">
        <f t="shared" ref="I34:I39" si="17">F34*D34</f>
        <v>72786.926166432459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15.7</v>
      </c>
      <c r="D35" s="30">
        <v>248.6</v>
      </c>
      <c r="E35" s="29">
        <f t="shared" si="13"/>
        <v>1.1178409392381955E-2</v>
      </c>
      <c r="F35" s="28">
        <f t="shared" si="14"/>
        <v>16.140548970073969</v>
      </c>
      <c r="G35" s="27" t="str">
        <f t="shared" si="15"/>
        <v>+</v>
      </c>
      <c r="H35" s="26">
        <f t="shared" si="16"/>
        <v>3903.0199999999995</v>
      </c>
      <c r="I35" s="26">
        <f t="shared" si="17"/>
        <v>4012.5404739603887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12.953561593817325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33.299999999999997</v>
      </c>
      <c r="D37" s="30"/>
      <c r="E37" s="29">
        <f t="shared" si="13"/>
        <v>0</v>
      </c>
      <c r="F37" s="28">
        <f t="shared" si="14"/>
        <v>34.234412783660069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33.299999999999997</v>
      </c>
      <c r="D38" s="30"/>
      <c r="E38" s="29">
        <f t="shared" si="13"/>
        <v>0</v>
      </c>
      <c r="F38" s="28">
        <f t="shared" si="14"/>
        <v>34.234412783660069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34.5</v>
      </c>
      <c r="D39" s="30"/>
      <c r="E39" s="29">
        <f t="shared" si="13"/>
        <v>0</v>
      </c>
      <c r="F39" s="28">
        <f t="shared" si="14"/>
        <v>35.468085316404583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20.085841041084105</v>
      </c>
      <c r="D40" s="22">
        <f>SUM(D34:D39)</f>
        <v>3719.2</v>
      </c>
      <c r="E40" s="113">
        <f t="shared" si="13"/>
        <v>0.16723547953397813</v>
      </c>
      <c r="F40" s="20">
        <f>I40/D40</f>
        <v>20.649458657881492</v>
      </c>
      <c r="G40" s="19">
        <f>F40/C40-1</f>
        <v>2.8060443953755732E-2</v>
      </c>
      <c r="H40" s="18">
        <f>SUM(H34:H39)</f>
        <v>74703.259999999995</v>
      </c>
      <c r="I40" s="18">
        <f>SUM(I34:I39)</f>
        <v>76799.466640392842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209+1670.4+1774</f>
        <v>3653.4</v>
      </c>
      <c r="E42" s="107">
        <f>D42/$D$48</f>
        <v>0.16427675331507738</v>
      </c>
      <c r="F42" s="28">
        <f>C42-(C42*$E$6)</f>
        <v>0.51403022197687798</v>
      </c>
      <c r="G42" s="27" t="str">
        <f>IF(C42&gt;=F42,"-","+")</f>
        <v>+</v>
      </c>
      <c r="H42" s="26">
        <f>C42*D42</f>
        <v>1826.7</v>
      </c>
      <c r="I42" s="26">
        <f>F42*D42</f>
        <v>1877.9580129703261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136.9</v>
      </c>
      <c r="E43" s="107">
        <f>D43/$D$48</f>
        <v>6.1557692912996365E-3</v>
      </c>
      <c r="F43" s="28">
        <f>C43-(C43*$E$6)</f>
        <v>0.51403022197687798</v>
      </c>
      <c r="G43" s="27" t="str">
        <f>IF(C43&gt;=F43,"-","+")</f>
        <v>+</v>
      </c>
      <c r="H43" s="26">
        <f>C43*D43</f>
        <v>68.45</v>
      </c>
      <c r="I43" s="26">
        <f>F43*D43</f>
        <v>70.370737388634595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2.5630303112058385E-4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0.49924920969441522</v>
      </c>
      <c r="D46" s="22">
        <f>SUM(D41:D45)</f>
        <v>3796</v>
      </c>
      <c r="E46" s="113">
        <f>D46/$D$48</f>
        <v>0.1706888256374976</v>
      </c>
      <c r="F46" s="20">
        <f>I46/D46</f>
        <v>0.51325836416200232</v>
      </c>
      <c r="G46" s="19">
        <f>F46/C46-1</f>
        <v>2.8060443953755954E-2</v>
      </c>
      <c r="H46" s="18">
        <f>SUM(H41:H44)</f>
        <v>1895.15</v>
      </c>
      <c r="I46" s="18">
        <f>SUM(I41:I44)</f>
        <v>1948.3287503589606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107.63886396639575</v>
      </c>
      <c r="D48" s="13">
        <f>D24+D32+D40+D46</f>
        <v>22239.3</v>
      </c>
      <c r="E48" s="12">
        <f>SUM(E20:E46)/2</f>
        <v>1</v>
      </c>
      <c r="F48" s="11">
        <f>I48/D48</f>
        <v>28.805306629280192</v>
      </c>
      <c r="G48" s="10"/>
      <c r="H48" s="9">
        <f>SUM(H20:H46)/2</f>
        <v>623124.69999999995</v>
      </c>
      <c r="I48" s="9">
        <f>SUM(I20:I46)/2</f>
        <v>640609.85572055099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22743.199999999997</v>
      </c>
      <c r="E50" s="12">
        <f>D50/G2</f>
        <v>0.99999999999999989</v>
      </c>
      <c r="F50" s="11">
        <f>I50/D50</f>
        <v>28.850000000000005</v>
      </c>
      <c r="G50" s="10"/>
      <c r="H50" s="9">
        <f>H48+H19</f>
        <v>638232.24</v>
      </c>
      <c r="I50" s="9">
        <f>I48+I19</f>
        <v>656141.32000000007</v>
      </c>
      <c r="J50" s="106">
        <f>D50-G2</f>
        <v>0</v>
      </c>
      <c r="K50" s="8"/>
    </row>
    <row r="51" spans="1:11" ht="23.25" x14ac:dyDescent="0.35">
      <c r="A51" s="174" t="s">
        <v>676</v>
      </c>
      <c r="B51" s="169"/>
      <c r="C51" s="170"/>
      <c r="G51" s="7"/>
      <c r="H51" s="6"/>
      <c r="I51" s="6">
        <f>+I50/D50</f>
        <v>28.850000000000005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670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677</v>
      </c>
      <c r="D2" s="96" t="s">
        <v>3</v>
      </c>
      <c r="E2" s="95" t="s">
        <v>112</v>
      </c>
      <c r="F2" s="94" t="s">
        <v>5</v>
      </c>
      <c r="G2" s="93">
        <v>6008.5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76</v>
      </c>
      <c r="F3" s="88" t="s">
        <v>8</v>
      </c>
      <c r="G3" s="87">
        <v>26.25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79.059210526315795</v>
      </c>
      <c r="F4" s="81" t="s">
        <v>12</v>
      </c>
      <c r="G4" s="80">
        <f>G2*G3</f>
        <v>157723.125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-4.432309545746338E-2</v>
      </c>
      <c r="F6" s="69" t="s">
        <v>16</v>
      </c>
      <c r="G6" s="68">
        <f>(I50-I19)/(D50-(SUM(D42:D44)+D19))</f>
        <v>32.222588256925725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30"/>
      <c r="E10" s="29" t="e">
        <f t="shared" ref="E10:E19" si="1">D10/$D$19</f>
        <v>#DIV/0!</v>
      </c>
      <c r="F10" s="28">
        <f t="shared" ref="F10:F18" si="2">C10-(C10*$E$6)</f>
        <v>27.465697410531288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30"/>
      <c r="E11" s="29" t="e">
        <f t="shared" si="1"/>
        <v>#DIV/0!</v>
      </c>
      <c r="F11" s="28">
        <f t="shared" si="2"/>
        <v>28.510020505988752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30"/>
      <c r="E12" s="29" t="e">
        <f t="shared" si="1"/>
        <v>#DIV/0!</v>
      </c>
      <c r="F12" s="28">
        <f t="shared" si="2"/>
        <v>26.108077386436584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30"/>
      <c r="E13" s="29" t="e">
        <f t="shared" si="1"/>
        <v>#DIV/0!</v>
      </c>
      <c r="F13" s="28">
        <f t="shared" si="2"/>
        <v>28.510020505988752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30"/>
      <c r="E14" s="29" t="e">
        <f t="shared" si="1"/>
        <v>#DIV/0!</v>
      </c>
      <c r="F14" s="28">
        <f t="shared" si="2"/>
        <v>31.956286720998381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30"/>
      <c r="E15" s="29" t="e">
        <f t="shared" si="1"/>
        <v>#DIV/0!</v>
      </c>
      <c r="F15" s="28">
        <f t="shared" si="2"/>
        <v>26.316942005528077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30"/>
      <c r="E16" s="29" t="e">
        <f t="shared" si="1"/>
        <v>#DIV/0!</v>
      </c>
      <c r="F16" s="28">
        <f t="shared" si="2"/>
        <v>36.029146793282486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30"/>
      <c r="E17" s="29" t="e">
        <f t="shared" si="1"/>
        <v>#DIV/0!</v>
      </c>
      <c r="F17" s="28">
        <f t="shared" si="2"/>
        <v>53.051613249239139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30"/>
      <c r="E18" s="29" t="e">
        <f t="shared" si="1"/>
        <v>#DIV/0!</v>
      </c>
      <c r="F18" s="28">
        <f t="shared" si="2"/>
        <v>46.472377747857124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30">
        <v>66.7</v>
      </c>
      <c r="E21" s="29">
        <f>D21/$D$48</f>
        <v>1.1100940334526089E-2</v>
      </c>
      <c r="F21" s="28">
        <f>C21-(C21*$E$6)</f>
        <v>68.925324300192585</v>
      </c>
      <c r="G21" s="27" t="str">
        <f>IF(C21&gt;=F21,"-","+")</f>
        <v>+</v>
      </c>
      <c r="H21" s="26">
        <f>C21*D21</f>
        <v>4402.2</v>
      </c>
      <c r="I21" s="26">
        <f>F21*D21</f>
        <v>4597.3191308228452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44.3</v>
      </c>
      <c r="D22" s="30">
        <v>143.69999999999999</v>
      </c>
      <c r="E22" s="29">
        <f>D22/$D$48</f>
        <v>2.3916118831655155E-2</v>
      </c>
      <c r="F22" s="28">
        <f>C22-(C22*$E$6)</f>
        <v>46.263513128765624</v>
      </c>
      <c r="G22" s="27" t="str">
        <f>IF(C22&gt;=F22,"-","+")</f>
        <v>+</v>
      </c>
      <c r="H22" s="26">
        <f>C22*D22</f>
        <v>6365.9099999999989</v>
      </c>
      <c r="I22" s="26">
        <f>F22*D22</f>
        <v>6648.0668366036198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30">
        <v>117.1</v>
      </c>
      <c r="E23" s="29">
        <f>D23/$D$48</f>
        <v>1.9489057169010567E-2</v>
      </c>
      <c r="F23" s="28">
        <f>C23-(C23*$E$6)</f>
        <v>42.190653056481516</v>
      </c>
      <c r="G23" s="27" t="str">
        <f>IF(C23&gt;=F23,"-","+")</f>
        <v>+</v>
      </c>
      <c r="H23" s="26">
        <f>C23*D23</f>
        <v>4730.8399999999992</v>
      </c>
      <c r="I23" s="26">
        <f>F23*D23</f>
        <v>4940.5254729139851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47.325038167938921</v>
      </c>
      <c r="D24" s="22">
        <f>SUM(D21:D23)</f>
        <v>327.5</v>
      </c>
      <c r="E24" s="21">
        <f>D24/$D$48</f>
        <v>5.4506116335191812E-2</v>
      </c>
      <c r="F24" s="20">
        <f>I24/D24</f>
        <v>49.422630352184576</v>
      </c>
      <c r="G24" s="19">
        <f>F24/C24-1</f>
        <v>4.432309545746338E-2</v>
      </c>
      <c r="H24" s="18">
        <f>SUM(H21:H23)</f>
        <v>15498.949999999997</v>
      </c>
      <c r="I24" s="18">
        <f>SUM(I21:I23)</f>
        <v>16185.911440340449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30">
        <f>187.8+930.6</f>
        <v>1118.4000000000001</v>
      </c>
      <c r="E26" s="29">
        <f t="shared" ref="E26:E32" si="7">D26/$D$48</f>
        <v>0.18613630689856039</v>
      </c>
      <c r="F26" s="28">
        <f t="shared" ref="F26:F31" si="8">C26-(C26*$E$6)</f>
        <v>36.760172960102715</v>
      </c>
      <c r="G26" s="27" t="str">
        <f t="shared" ref="G26:G31" si="9">IF(C26&gt;=F26,"-","+")</f>
        <v>+</v>
      </c>
      <c r="H26" s="26">
        <f t="shared" ref="H26:H31" si="10">C26*D26</f>
        <v>39367.680000000008</v>
      </c>
      <c r="I26" s="26">
        <f t="shared" ref="I26:I31" si="11">F26*D26</f>
        <v>41112.577438578883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30">
        <v>875.6</v>
      </c>
      <c r="E27" s="29">
        <f t="shared" si="7"/>
        <v>0.14572688691021055</v>
      </c>
      <c r="F27" s="28">
        <f t="shared" si="8"/>
        <v>32.791745197364349</v>
      </c>
      <c r="G27" s="27" t="str">
        <f t="shared" si="9"/>
        <v>+</v>
      </c>
      <c r="H27" s="26">
        <f t="shared" si="10"/>
        <v>27493.84</v>
      </c>
      <c r="I27" s="26">
        <f t="shared" si="11"/>
        <v>28712.452094812226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30">
        <v>563</v>
      </c>
      <c r="E28" s="29">
        <f t="shared" si="7"/>
        <v>9.3700590829657981E-2</v>
      </c>
      <c r="F28" s="28">
        <f t="shared" si="8"/>
        <v>32.791745197364349</v>
      </c>
      <c r="G28" s="27" t="str">
        <f t="shared" si="9"/>
        <v>+</v>
      </c>
      <c r="H28" s="26">
        <f t="shared" si="10"/>
        <v>17678.2</v>
      </c>
      <c r="I28" s="26">
        <f t="shared" si="11"/>
        <v>18461.752546116128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30">
        <v>643</v>
      </c>
      <c r="E29" s="29">
        <f t="shared" si="7"/>
        <v>0.10701506199550637</v>
      </c>
      <c r="F29" s="28">
        <f t="shared" si="8"/>
        <v>31.642989792361142</v>
      </c>
      <c r="G29" s="27" t="str">
        <f t="shared" si="9"/>
        <v>+</v>
      </c>
      <c r="H29" s="26">
        <f t="shared" si="10"/>
        <v>19482.900000000001</v>
      </c>
      <c r="I29" s="26">
        <f t="shared" si="11"/>
        <v>20346.442436488214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30">
        <v>423</v>
      </c>
      <c r="E30" s="29">
        <f t="shared" si="7"/>
        <v>7.0400266289423322E-2</v>
      </c>
      <c r="F30" s="28">
        <f t="shared" si="8"/>
        <v>31.642989792361142</v>
      </c>
      <c r="G30" s="27" t="str">
        <f t="shared" si="9"/>
        <v>+</v>
      </c>
      <c r="H30" s="26">
        <f t="shared" si="10"/>
        <v>12816.9</v>
      </c>
      <c r="I30" s="26">
        <f t="shared" si="11"/>
        <v>13384.984682168762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30.8</v>
      </c>
      <c r="D31" s="30">
        <v>70.5</v>
      </c>
      <c r="E31" s="29">
        <f t="shared" si="7"/>
        <v>1.1733377714903886E-2</v>
      </c>
      <c r="F31" s="28">
        <f t="shared" si="8"/>
        <v>32.165151340089871</v>
      </c>
      <c r="G31" s="27" t="str">
        <f t="shared" si="9"/>
        <v>+</v>
      </c>
      <c r="H31" s="26">
        <f t="shared" si="10"/>
        <v>2171.4</v>
      </c>
      <c r="I31" s="26">
        <f t="shared" si="11"/>
        <v>2267.643169476336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32.221719236496547</v>
      </c>
      <c r="D32" s="22">
        <f>SUM(D26:D31)</f>
        <v>3693.5</v>
      </c>
      <c r="E32" s="21">
        <f t="shared" si="7"/>
        <v>0.6147124906382625</v>
      </c>
      <c r="F32" s="20">
        <f>I32/D32</f>
        <v>33.649885574019372</v>
      </c>
      <c r="G32" s="19">
        <f>F32/C32-1</f>
        <v>4.4323095457463602E-2</v>
      </c>
      <c r="H32" s="18">
        <f>SUM(H26:H31)</f>
        <v>119010.91999999998</v>
      </c>
      <c r="I32" s="18">
        <f>SUM(I26:I31)</f>
        <v>124285.85236764055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18.5</v>
      </c>
      <c r="D34" s="30">
        <v>869</v>
      </c>
      <c r="E34" s="29">
        <f t="shared" ref="E34:E40" si="13">D34/$D$48</f>
        <v>0.14462844303902805</v>
      </c>
      <c r="F34" s="28">
        <f t="shared" ref="F34:F39" si="14">C34-(C34*$E$6)</f>
        <v>19.319977265963072</v>
      </c>
      <c r="G34" s="27" t="str">
        <f t="shared" ref="G34:G39" si="15">IF(C34&gt;=F34,"-","+")</f>
        <v>+</v>
      </c>
      <c r="H34" s="26">
        <f t="shared" ref="H34:H39" si="16">C34*D34</f>
        <v>16076.5</v>
      </c>
      <c r="I34" s="26">
        <f t="shared" ref="I34:I39" si="17">F34*D34</f>
        <v>16789.060244121909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14.933820265041728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12.009715597760829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30"/>
      <c r="E37" s="29">
        <f t="shared" si="13"/>
        <v>0</v>
      </c>
      <c r="F37" s="28">
        <f t="shared" si="14"/>
        <v>31.642989792361142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30"/>
      <c r="E38" s="29">
        <f t="shared" si="13"/>
        <v>0</v>
      </c>
      <c r="F38" s="28">
        <f t="shared" si="14"/>
        <v>31.642989792361142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30"/>
      <c r="E39" s="29">
        <f t="shared" si="13"/>
        <v>0</v>
      </c>
      <c r="F39" s="28">
        <f t="shared" si="14"/>
        <v>32.791745197364349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</v>
      </c>
      <c r="D40" s="22">
        <f>SUM(D34:D39)</f>
        <v>869</v>
      </c>
      <c r="E40" s="113">
        <f t="shared" si="13"/>
        <v>0.14462844303902805</v>
      </c>
      <c r="F40" s="20">
        <f>I40/D40</f>
        <v>19.319977265963072</v>
      </c>
      <c r="G40" s="19">
        <f>F40/C40-1</f>
        <v>4.432309545746338E-2</v>
      </c>
      <c r="H40" s="18">
        <f>SUM(H34:H39)</f>
        <v>16076.5</v>
      </c>
      <c r="I40" s="18">
        <f>SUM(I34:I39)</f>
        <v>16789.060244121909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1067</v>
      </c>
      <c r="E42" s="107">
        <f>D42/$D$48</f>
        <v>0.17758175917450278</v>
      </c>
      <c r="F42" s="28">
        <f>C42-(C42*$E$6)</f>
        <v>0.41772923818298535</v>
      </c>
      <c r="G42" s="27" t="str">
        <f>IF(C42&gt;=F42,"-","+")</f>
        <v>+</v>
      </c>
      <c r="H42" s="26">
        <f>C42*D42</f>
        <v>426.8</v>
      </c>
      <c r="I42" s="26">
        <f>F42*D42</f>
        <v>445.71709714124535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39.700000000000003</v>
      </c>
      <c r="E43" s="107">
        <f>D43/$D$48</f>
        <v>6.6073063160522602E-3</v>
      </c>
      <c r="F43" s="28">
        <f>C43-(C43*$E$6)</f>
        <v>0.41772923818298535</v>
      </c>
      <c r="G43" s="27" t="str">
        <f>IF(C43&gt;=F43,"-","+")</f>
        <v>+</v>
      </c>
      <c r="H43" s="26">
        <f>C43*D43</f>
        <v>15.880000000000003</v>
      </c>
      <c r="I43" s="26">
        <f>F43*D43</f>
        <v>16.583850755864521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</v>
      </c>
      <c r="E44" s="107">
        <f>D44/$D$48</f>
        <v>1.1650162270117335E-3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4.8</v>
      </c>
      <c r="E45" s="107">
        <f>D45/$D$48</f>
        <v>7.9886826995090288E-4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0.39578006258381759</v>
      </c>
      <c r="D46" s="22">
        <f>SUM(D41:D45)</f>
        <v>1118.5</v>
      </c>
      <c r="E46" s="113">
        <f>D46/$D$48</f>
        <v>0.18615294998751769</v>
      </c>
      <c r="F46" s="20">
        <f>I46/D46</f>
        <v>0.41332226007788098</v>
      </c>
      <c r="G46" s="19">
        <f>F46/C46-1</f>
        <v>4.432309545746338E-2</v>
      </c>
      <c r="H46" s="18">
        <f>SUM(H41:H44)</f>
        <v>442.68</v>
      </c>
      <c r="I46" s="18">
        <f>SUM(I41:I44)</f>
        <v>462.30094789710989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98.442537467019292</v>
      </c>
      <c r="D48" s="13">
        <f>D24+D32+D40+D46</f>
        <v>6008.5</v>
      </c>
      <c r="E48" s="12">
        <f>SUM(E20:E46)/2</f>
        <v>1.0000000000000002</v>
      </c>
      <c r="F48" s="11">
        <f>I48/D48</f>
        <v>26.250000000000011</v>
      </c>
      <c r="G48" s="10"/>
      <c r="H48" s="9">
        <f>SUM(H20:H46)/2</f>
        <v>151029.04999999999</v>
      </c>
      <c r="I48" s="9">
        <f>SUM(I20:I46)/2</f>
        <v>157723.12500000006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6008.5</v>
      </c>
      <c r="E50" s="12">
        <f>D50/G2</f>
        <v>1</v>
      </c>
      <c r="F50" s="11">
        <f>I50/D50</f>
        <v>26.250000000000011</v>
      </c>
      <c r="G50" s="10"/>
      <c r="H50" s="9">
        <f>H48+H19</f>
        <v>151029.04999999999</v>
      </c>
      <c r="I50" s="9">
        <f>I48+I19</f>
        <v>157723.12500000006</v>
      </c>
      <c r="J50" s="106">
        <f>D50-G2</f>
        <v>0</v>
      </c>
      <c r="K50" s="8"/>
    </row>
    <row r="51" spans="1:11" ht="23.25" x14ac:dyDescent="0.35">
      <c r="A51" s="174" t="s">
        <v>678</v>
      </c>
      <c r="B51" s="169"/>
      <c r="C51" s="170"/>
      <c r="G51" s="7"/>
      <c r="H51" s="6"/>
      <c r="I51" s="6">
        <f>+I50/D50</f>
        <v>26.250000000000011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>
    <tabColor rgb="FF92D050"/>
  </sheetPr>
  <dimension ref="A1:K56"/>
  <sheetViews>
    <sheetView workbookViewId="0"/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670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677</v>
      </c>
      <c r="D2" s="96" t="s">
        <v>3</v>
      </c>
      <c r="E2" s="95" t="s">
        <v>71</v>
      </c>
      <c r="F2" s="94" t="s">
        <v>5</v>
      </c>
      <c r="G2" s="93">
        <v>10915.9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140</v>
      </c>
      <c r="F3" s="88" t="s">
        <v>8</v>
      </c>
      <c r="G3" s="87">
        <v>28.5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77.97071428571428</v>
      </c>
      <c r="F4" s="81" t="s">
        <v>12</v>
      </c>
      <c r="G4" s="80">
        <f>G2*G3</f>
        <v>311103.14999999997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-2.2425766840316941E-2</v>
      </c>
      <c r="F6" s="69" t="s">
        <v>16</v>
      </c>
      <c r="G6" s="68">
        <f>(I50-I19)/(D50-(SUM(D42:D44)+D19))</f>
        <v>34.134269977287929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 t="e">
        <f t="shared" ref="E10:E19" si="1">D10/$D$19</f>
        <v>#DIV/0!</v>
      </c>
      <c r="F10" s="28">
        <f t="shared" ref="F10:F18" si="2">C10-(C10*$E$6)</f>
        <v>29.139134354949032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29.7</v>
      </c>
      <c r="D11" s="30"/>
      <c r="E11" s="29" t="e">
        <f t="shared" si="1"/>
        <v>#DIV/0!</v>
      </c>
      <c r="F11" s="28">
        <f t="shared" si="2"/>
        <v>30.366045275157411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/>
      <c r="E12" s="29" t="e">
        <f t="shared" si="1"/>
        <v>#DIV/0!</v>
      </c>
      <c r="F12" s="28">
        <f t="shared" si="2"/>
        <v>27.707738281372592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29.7</v>
      </c>
      <c r="D13" s="30"/>
      <c r="E13" s="29" t="e">
        <f t="shared" si="1"/>
        <v>#DIV/0!</v>
      </c>
      <c r="F13" s="28">
        <f t="shared" si="2"/>
        <v>30.366045275157411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33.200000000000003</v>
      </c>
      <c r="D14" s="30"/>
      <c r="E14" s="29" t="e">
        <f t="shared" si="1"/>
        <v>#DIV/0!</v>
      </c>
      <c r="F14" s="28">
        <f t="shared" si="2"/>
        <v>33.944535459098525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27.4</v>
      </c>
      <c r="D15" s="30"/>
      <c r="E15" s="29" t="e">
        <f t="shared" si="1"/>
        <v>#DIV/0!</v>
      </c>
      <c r="F15" s="28">
        <f t="shared" si="2"/>
        <v>28.014466011424684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37.5</v>
      </c>
      <c r="D16" s="30"/>
      <c r="E16" s="29" t="e">
        <f t="shared" si="1"/>
        <v>#DIV/0!</v>
      </c>
      <c r="F16" s="28">
        <f t="shared" si="2"/>
        <v>38.340966256511884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 t="e">
        <f t="shared" si="1"/>
        <v>#DIV/0!</v>
      </c>
      <c r="F17" s="28">
        <f t="shared" si="2"/>
        <v>56.335659752901464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48.3</v>
      </c>
      <c r="D18" s="30"/>
      <c r="E18" s="29" t="e">
        <f t="shared" si="1"/>
        <v>#DIV/0!</v>
      </c>
      <c r="F18" s="28">
        <f t="shared" si="2"/>
        <v>49.383164538387305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71.7</v>
      </c>
      <c r="D21" s="30">
        <v>126.7</v>
      </c>
      <c r="E21" s="29">
        <f>D21/$D$48</f>
        <v>1.1606922012843648E-2</v>
      </c>
      <c r="F21" s="28">
        <f>C21-(C21*$E$6)</f>
        <v>73.307927482450722</v>
      </c>
      <c r="G21" s="27" t="str">
        <f>IF(C21&gt;=F21,"-","+")</f>
        <v>+</v>
      </c>
      <c r="H21" s="26">
        <f>C21*D21</f>
        <v>9084.3900000000012</v>
      </c>
      <c r="I21" s="26">
        <f>F21*D21</f>
        <v>9288.1144120265071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325</v>
      </c>
      <c r="E22" s="29">
        <f>D22/$D$48</f>
        <v>2.9773083300506598E-2</v>
      </c>
      <c r="F22" s="28">
        <f>C22-(C22*$E$6)</f>
        <v>49.178679385019244</v>
      </c>
      <c r="G22" s="27" t="str">
        <f>IF(C22&gt;=F22,"-","+")</f>
        <v>+</v>
      </c>
      <c r="H22" s="26">
        <f>C22*D22</f>
        <v>15632.5</v>
      </c>
      <c r="I22" s="26">
        <f>F22*D22</f>
        <v>15983.070800131254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43.9</v>
      </c>
      <c r="D23" s="30">
        <v>247.4</v>
      </c>
      <c r="E23" s="29">
        <f>D23/$D$48</f>
        <v>2.2664187103216406E-2</v>
      </c>
      <c r="F23" s="28">
        <f>C23-(C23*$E$6)</f>
        <v>44.884491164289912</v>
      </c>
      <c r="G23" s="27" t="str">
        <f>IF(C23&gt;=F23,"-","+")</f>
        <v>+</v>
      </c>
      <c r="H23" s="26">
        <f>C23*D23</f>
        <v>10860.86</v>
      </c>
      <c r="I23" s="26">
        <f>F23*D23</f>
        <v>11104.423114045325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50.890788156200827</v>
      </c>
      <c r="D24" s="22">
        <f>SUM(D21:D23)</f>
        <v>699.1</v>
      </c>
      <c r="E24" s="21">
        <f>D24/$D$48</f>
        <v>6.4044192416566656E-2</v>
      </c>
      <c r="F24" s="20">
        <f>I24/D24</f>
        <v>52.032053105711753</v>
      </c>
      <c r="G24" s="19">
        <f>F24/C24-1</f>
        <v>2.2425766840316941E-2</v>
      </c>
      <c r="H24" s="18">
        <f>SUM(H21:H23)</f>
        <v>35577.75</v>
      </c>
      <c r="I24" s="18">
        <f>SUM(I21:I23)</f>
        <v>36375.608326203088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f>586.4+148.1+1466.4</f>
        <v>2200.9</v>
      </c>
      <c r="E26" s="29">
        <f t="shared" ref="E26:E32" si="7">D26/$D$48</f>
        <v>0.20162332011103068</v>
      </c>
      <c r="F26" s="28">
        <f t="shared" ref="F26:F31" si="8">C26-(C26*$E$6)</f>
        <v>39.056664293300109</v>
      </c>
      <c r="G26" s="27" t="str">
        <f t="shared" ref="G26:G31" si="9">IF(C26&gt;=F26,"-","+")</f>
        <v>+</v>
      </c>
      <c r="H26" s="26">
        <f t="shared" ref="H26:H31" si="10">C26*D26</f>
        <v>84074.38</v>
      </c>
      <c r="I26" s="26">
        <f t="shared" ref="I26:I31" si="11">F26*D26</f>
        <v>85959.812443124218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34.1</v>
      </c>
      <c r="D27" s="30">
        <v>1650.3</v>
      </c>
      <c r="E27" s="29">
        <f t="shared" si="7"/>
        <v>0.15118313652561857</v>
      </c>
      <c r="F27" s="28">
        <f t="shared" si="8"/>
        <v>34.864718649254812</v>
      </c>
      <c r="G27" s="27" t="str">
        <f t="shared" si="9"/>
        <v>+</v>
      </c>
      <c r="H27" s="26">
        <f t="shared" si="10"/>
        <v>56275.23</v>
      </c>
      <c r="I27" s="26">
        <f t="shared" si="11"/>
        <v>57537.245186865213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34.1</v>
      </c>
      <c r="D28" s="30">
        <v>999.2</v>
      </c>
      <c r="E28" s="29">
        <f t="shared" si="7"/>
        <v>9.1536199488819053E-2</v>
      </c>
      <c r="F28" s="28">
        <f t="shared" si="8"/>
        <v>34.864718649254812</v>
      </c>
      <c r="G28" s="27" t="str">
        <f t="shared" si="9"/>
        <v>+</v>
      </c>
      <c r="H28" s="26">
        <f t="shared" si="10"/>
        <v>34072.720000000001</v>
      </c>
      <c r="I28" s="26">
        <f t="shared" si="11"/>
        <v>34836.826874335413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882.3</v>
      </c>
      <c r="E29" s="29">
        <f t="shared" si="7"/>
        <v>8.0827050449344517E-2</v>
      </c>
      <c r="F29" s="28">
        <f t="shared" si="8"/>
        <v>33.637807729046429</v>
      </c>
      <c r="G29" s="27" t="str">
        <f t="shared" si="9"/>
        <v>+</v>
      </c>
      <c r="H29" s="26">
        <f t="shared" si="10"/>
        <v>29027.67</v>
      </c>
      <c r="I29" s="26">
        <f t="shared" si="11"/>
        <v>29678.637759337664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641</v>
      </c>
      <c r="E30" s="29">
        <f t="shared" si="7"/>
        <v>5.8721681217306858E-2</v>
      </c>
      <c r="F30" s="28">
        <f t="shared" si="8"/>
        <v>33.637807729046429</v>
      </c>
      <c r="G30" s="27" t="str">
        <f t="shared" si="9"/>
        <v>+</v>
      </c>
      <c r="H30" s="26">
        <f t="shared" si="10"/>
        <v>21088.899999999998</v>
      </c>
      <c r="I30" s="26">
        <f t="shared" si="11"/>
        <v>21561.834754318759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172.4</v>
      </c>
      <c r="E31" s="29">
        <f t="shared" si="7"/>
        <v>1.5793475572330268E-2</v>
      </c>
      <c r="F31" s="28">
        <f t="shared" si="8"/>
        <v>34.25126318915062</v>
      </c>
      <c r="G31" s="27" t="str">
        <f t="shared" si="9"/>
        <v>+</v>
      </c>
      <c r="H31" s="26">
        <f t="shared" si="10"/>
        <v>5775.4000000000005</v>
      </c>
      <c r="I31" s="26">
        <f t="shared" si="11"/>
        <v>5904.9177738095668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35.183437466583158</v>
      </c>
      <c r="D32" s="22">
        <f>SUM(D26:D31)</f>
        <v>6546.0999999999995</v>
      </c>
      <c r="E32" s="21">
        <f t="shared" si="7"/>
        <v>0.59968486336444993</v>
      </c>
      <c r="F32" s="20">
        <f>I32/D32</f>
        <v>35.972453031849632</v>
      </c>
      <c r="G32" s="19">
        <f>F32/C32-1</f>
        <v>2.2425766840317163E-2</v>
      </c>
      <c r="H32" s="18">
        <f>SUM(H26:H31)</f>
        <v>230314.3</v>
      </c>
      <c r="I32" s="18">
        <f>SUM(I26:I31)</f>
        <v>235479.27479179084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1865</v>
      </c>
      <c r="E34" s="29">
        <f t="shared" ref="E34:E40" si="13">D34/$D$48</f>
        <v>0.17085169340136863</v>
      </c>
      <c r="F34" s="28">
        <f t="shared" ref="F34:F39" si="14">C34-(C34*$E$6)</f>
        <v>20.550757913490372</v>
      </c>
      <c r="G34" s="27" t="str">
        <f t="shared" ref="G34:G39" si="15">IF(C34&gt;=F34,"-","+")</f>
        <v>+</v>
      </c>
      <c r="H34" s="26">
        <f t="shared" ref="H34:H39" si="16">C34*D34</f>
        <v>37486.5</v>
      </c>
      <c r="I34" s="26">
        <f t="shared" ref="I34:I39" si="17">F34*D34</f>
        <v>38327.163508659542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15.847599386024912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12.678079508819931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33.637807729046429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33.637807729046429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34.1</v>
      </c>
      <c r="D39" s="30"/>
      <c r="E39" s="29">
        <f t="shared" si="13"/>
        <v>0</v>
      </c>
      <c r="F39" s="28">
        <f t="shared" si="14"/>
        <v>34.864718649254812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1865</v>
      </c>
      <c r="E40" s="113">
        <f t="shared" si="13"/>
        <v>0.17085169340136863</v>
      </c>
      <c r="F40" s="20">
        <f>I40/D40</f>
        <v>20.550757913490372</v>
      </c>
      <c r="G40" s="19">
        <f>F40/C40-1</f>
        <v>2.2425766840316941E-2</v>
      </c>
      <c r="H40" s="18">
        <f>SUM(H34:H39)</f>
        <v>37486.5</v>
      </c>
      <c r="I40" s="18">
        <f>SUM(I34:I39)</f>
        <v>38327.163508659542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1706</v>
      </c>
      <c r="E42" s="107">
        <f>D42/$D$48</f>
        <v>0.15628578495589002</v>
      </c>
      <c r="F42" s="28">
        <f>C42-(C42*$E$6)</f>
        <v>0.51121288342015847</v>
      </c>
      <c r="G42" s="27" t="str">
        <f>IF(C42&gt;=F42,"-","+")</f>
        <v>+</v>
      </c>
      <c r="H42" s="26">
        <f>C42*D42</f>
        <v>853</v>
      </c>
      <c r="I42" s="26">
        <f>F42*D42</f>
        <v>872.1291791147903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95.8</v>
      </c>
      <c r="E43" s="107">
        <f>D43/$D$48</f>
        <v>8.7761888621185596E-3</v>
      </c>
      <c r="F43" s="28">
        <f>C43-(C43*$E$6)</f>
        <v>0.51121288342015847</v>
      </c>
      <c r="G43" s="27" t="str">
        <f>IF(C43&gt;=F43,"-","+")</f>
        <v>+</v>
      </c>
      <c r="H43" s="26">
        <f>C43*D43</f>
        <v>47.9</v>
      </c>
      <c r="I43" s="26">
        <f>F43*D43</f>
        <v>48.974194231651182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3.9</v>
      </c>
      <c r="E45" s="107">
        <f>D45/$D$48</f>
        <v>3.5727699960607913E-4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0.49892008639308855</v>
      </c>
      <c r="D46" s="22">
        <f>SUM(D41:D45)</f>
        <v>1805.7</v>
      </c>
      <c r="E46" s="113">
        <f>D46/$D$48</f>
        <v>0.16541925081761466</v>
      </c>
      <c r="F46" s="20">
        <f>I46/D46</f>
        <v>0.51010875192249072</v>
      </c>
      <c r="G46" s="19">
        <f>F46/C46-1</f>
        <v>2.2425766840316941E-2</v>
      </c>
      <c r="H46" s="18">
        <f>SUM(H41:H44)</f>
        <v>900.9</v>
      </c>
      <c r="I46" s="18">
        <f>SUM(I41:I44)</f>
        <v>921.10337334644146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106.67314570917706</v>
      </c>
      <c r="D48" s="13">
        <f>D24+D32+D40+D46</f>
        <v>10915.900000000001</v>
      </c>
      <c r="E48" s="12">
        <f>SUM(E20:E46)/2</f>
        <v>0.99999999999999989</v>
      </c>
      <c r="F48" s="11">
        <f>I48/D48</f>
        <v>28.499999999999993</v>
      </c>
      <c r="G48" s="10"/>
      <c r="H48" s="9">
        <f>SUM(H20:H46)/2</f>
        <v>304279.45000000007</v>
      </c>
      <c r="I48" s="9">
        <f>SUM(I20:I46)/2</f>
        <v>311103.14999999997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10915.900000000001</v>
      </c>
      <c r="E50" s="12">
        <f>D50/G2</f>
        <v>1.0000000000000002</v>
      </c>
      <c r="F50" s="11">
        <f>I50/D50</f>
        <v>28.499999999999993</v>
      </c>
      <c r="G50" s="10"/>
      <c r="H50" s="9">
        <f>H48+H19</f>
        <v>304279.45000000007</v>
      </c>
      <c r="I50" s="9">
        <f>I48+I19</f>
        <v>311103.14999999997</v>
      </c>
      <c r="J50" s="106">
        <f>D50-G2</f>
        <v>0</v>
      </c>
      <c r="K50" s="8"/>
    </row>
    <row r="51" spans="1:11" ht="23.25" x14ac:dyDescent="0.35">
      <c r="A51" s="174" t="s">
        <v>679</v>
      </c>
      <c r="B51" s="169"/>
      <c r="C51" s="170"/>
      <c r="G51" s="7"/>
      <c r="H51" s="6"/>
      <c r="I51" s="6">
        <f>+I50/D50</f>
        <v>28.499999999999993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670</v>
      </c>
      <c r="D1" s="100" t="s">
        <v>1</v>
      </c>
      <c r="E1" s="168" t="s">
        <v>680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677</v>
      </c>
      <c r="D2" s="96" t="s">
        <v>3</v>
      </c>
      <c r="E2" s="95" t="s">
        <v>112</v>
      </c>
      <c r="F2" s="94" t="s">
        <v>5</v>
      </c>
      <c r="G2" s="93">
        <v>1556.1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681</v>
      </c>
      <c r="D3" s="90" t="s">
        <v>7</v>
      </c>
      <c r="E3" s="89">
        <v>20</v>
      </c>
      <c r="F3" s="88" t="s">
        <v>8</v>
      </c>
      <c r="G3" s="87">
        <v>26.08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15</v>
      </c>
      <c r="D4" s="83" t="s">
        <v>11</v>
      </c>
      <c r="E4" s="82">
        <f>G2/E3</f>
        <v>77.804999999999993</v>
      </c>
      <c r="F4" s="81" t="s">
        <v>12</v>
      </c>
      <c r="G4" s="80">
        <f>G2*G3</f>
        <v>40583.087999999996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-4.3372185577569722E-2</v>
      </c>
      <c r="F6" s="69" t="s">
        <v>16</v>
      </c>
      <c r="G6" s="68">
        <f>(I50-I19)/(D50-(SUM(D42:D44)+D19))</f>
        <v>32.448299352362682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26.1</v>
      </c>
      <c r="D10" s="30"/>
      <c r="E10" s="29" t="e">
        <f t="shared" ref="E10:E19" si="1">D10/$D$19</f>
        <v>#DIV/0!</v>
      </c>
      <c r="F10" s="28">
        <f t="shared" ref="F10:F18" si="2">C10-(C10*$E$6)</f>
        <v>27.232014043574573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27.2</v>
      </c>
      <c r="D11" s="30"/>
      <c r="E11" s="29" t="e">
        <f t="shared" si="1"/>
        <v>#DIV/0!</v>
      </c>
      <c r="F11" s="28">
        <f t="shared" si="2"/>
        <v>28.379723447709896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24.8</v>
      </c>
      <c r="D12" s="30"/>
      <c r="E12" s="29" t="e">
        <f t="shared" si="1"/>
        <v>#DIV/0!</v>
      </c>
      <c r="F12" s="28">
        <f t="shared" si="2"/>
        <v>25.87563020232373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27.2</v>
      </c>
      <c r="D13" s="30"/>
      <c r="E13" s="29" t="e">
        <f t="shared" si="1"/>
        <v>#DIV/0!</v>
      </c>
      <c r="F13" s="28">
        <f t="shared" si="2"/>
        <v>28.379723447709896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30.4</v>
      </c>
      <c r="D14" s="30"/>
      <c r="E14" s="29" t="e">
        <f t="shared" si="1"/>
        <v>#DIV/0!</v>
      </c>
      <c r="F14" s="28">
        <f t="shared" si="2"/>
        <v>31.718514441558117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 t="e">
        <f t="shared" si="1"/>
        <v>#DIV/0!</v>
      </c>
      <c r="F15" s="28">
        <f t="shared" si="2"/>
        <v>26.084304639439242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34.299999999999997</v>
      </c>
      <c r="D16" s="30"/>
      <c r="E16" s="29" t="e">
        <f t="shared" si="1"/>
        <v>#DIV/0!</v>
      </c>
      <c r="F16" s="28">
        <f t="shared" si="2"/>
        <v>35.787665965310637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50.4</v>
      </c>
      <c r="D17" s="30"/>
      <c r="E17" s="29" t="e">
        <f t="shared" si="1"/>
        <v>#DIV/0!</v>
      </c>
      <c r="F17" s="28">
        <f t="shared" si="2"/>
        <v>52.585958153109516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44.2</v>
      </c>
      <c r="D18" s="30"/>
      <c r="E18" s="29" t="e">
        <f t="shared" si="1"/>
        <v>#DIV/0!</v>
      </c>
      <c r="F18" s="28">
        <f t="shared" si="2"/>
        <v>46.117050602528586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65.599999999999994</v>
      </c>
      <c r="D21" s="30">
        <v>17.600000000000001</v>
      </c>
      <c r="E21" s="29">
        <f>D21/$D$48</f>
        <v>1.1310327099800786E-2</v>
      </c>
      <c r="F21" s="28">
        <f>C21-(C21*$E$6)</f>
        <v>68.445215373888573</v>
      </c>
      <c r="G21" s="27" t="str">
        <f>IF(C21&gt;=F21,"-","+")</f>
        <v>+</v>
      </c>
      <c r="H21" s="26">
        <f>C21*D21</f>
        <v>1154.56</v>
      </c>
      <c r="I21" s="26">
        <f>F21*D21</f>
        <v>1204.6357905804389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</v>
      </c>
      <c r="D22" s="30">
        <v>76.400000000000006</v>
      </c>
      <c r="E22" s="29">
        <f>D22/$D$48</f>
        <v>4.9097101728680682E-2</v>
      </c>
      <c r="F22" s="28">
        <f>C22-(C22*$E$6)</f>
        <v>45.908376165413067</v>
      </c>
      <c r="G22" s="27" t="str">
        <f>IF(C22&gt;=F22,"-","+")</f>
        <v>+</v>
      </c>
      <c r="H22" s="26">
        <f>C22*D22</f>
        <v>3361.6000000000004</v>
      </c>
      <c r="I22" s="26">
        <f>F22*D22</f>
        <v>3507.3999390375584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40.200000000000003</v>
      </c>
      <c r="D23" s="30">
        <v>35</v>
      </c>
      <c r="E23" s="29">
        <f>D23/$D$48</f>
        <v>2.2492127755285651E-2</v>
      </c>
      <c r="F23" s="28">
        <f>C23-(C23*$E$6)</f>
        <v>41.943561860218303</v>
      </c>
      <c r="G23" s="27" t="str">
        <f>IF(C23&gt;=F23,"-","+")</f>
        <v>+</v>
      </c>
      <c r="H23" s="26">
        <f>C23*D23</f>
        <v>1407</v>
      </c>
      <c r="I23" s="26">
        <f>F23*D23</f>
        <v>1468.0246651076407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45.915968992248061</v>
      </c>
      <c r="D24" s="22">
        <f>SUM(D21:D23)</f>
        <v>129</v>
      </c>
      <c r="E24" s="21">
        <f>D24/$D$48</f>
        <v>8.2899556583767117E-2</v>
      </c>
      <c r="F24" s="20">
        <f>I24/D24</f>
        <v>47.907444920353782</v>
      </c>
      <c r="G24" s="19">
        <f>F24/C24-1</f>
        <v>4.3372185577569722E-2</v>
      </c>
      <c r="H24" s="18">
        <f>SUM(H21:H23)</f>
        <v>5923.16</v>
      </c>
      <c r="I24" s="18">
        <f>SUM(I21:I23)</f>
        <v>6180.0603947256377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</v>
      </c>
      <c r="D26" s="30">
        <f>75.1+230.1</f>
        <v>305.2</v>
      </c>
      <c r="E26" s="29">
        <f t="shared" ref="E26:E32" si="7">D26/$D$48</f>
        <v>0.19613135402609086</v>
      </c>
      <c r="F26" s="28">
        <f t="shared" ref="F26:F31" si="8">C26-(C26*$E$6)</f>
        <v>36.51802649521494</v>
      </c>
      <c r="G26" s="27" t="str">
        <f t="shared" ref="G26:G31" si="9">IF(C26&gt;=F26,"-","+")</f>
        <v>+</v>
      </c>
      <c r="H26" s="26">
        <f t="shared" ref="H26:H31" si="10">C26*D26</f>
        <v>10682</v>
      </c>
      <c r="I26" s="26">
        <f t="shared" ref="I26:I31" si="11">F26*D26</f>
        <v>11145.301686339599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31.2</v>
      </c>
      <c r="D27" s="30">
        <v>206.2</v>
      </c>
      <c r="E27" s="29">
        <f t="shared" si="7"/>
        <v>0.13251076408971146</v>
      </c>
      <c r="F27" s="28">
        <f t="shared" si="8"/>
        <v>32.553212190020176</v>
      </c>
      <c r="G27" s="27" t="str">
        <f t="shared" si="9"/>
        <v>+</v>
      </c>
      <c r="H27" s="26">
        <f t="shared" si="10"/>
        <v>6433.44</v>
      </c>
      <c r="I27" s="26">
        <f t="shared" si="11"/>
        <v>6712.4723535821595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31.2</v>
      </c>
      <c r="D28" s="30">
        <v>126.8</v>
      </c>
      <c r="E28" s="29">
        <f t="shared" si="7"/>
        <v>8.1485765696292012E-2</v>
      </c>
      <c r="F28" s="28">
        <f t="shared" si="8"/>
        <v>32.553212190020176</v>
      </c>
      <c r="G28" s="27" t="str">
        <f t="shared" si="9"/>
        <v>+</v>
      </c>
      <c r="H28" s="26">
        <f t="shared" si="10"/>
        <v>3956.16</v>
      </c>
      <c r="I28" s="26">
        <f t="shared" si="11"/>
        <v>4127.7473056945582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30.1</v>
      </c>
      <c r="D29" s="30">
        <v>125</v>
      </c>
      <c r="E29" s="29">
        <f t="shared" si="7"/>
        <v>8.0329027697448749E-2</v>
      </c>
      <c r="F29" s="28">
        <f t="shared" si="8"/>
        <v>31.405502785884849</v>
      </c>
      <c r="G29" s="27" t="str">
        <f t="shared" si="9"/>
        <v>+</v>
      </c>
      <c r="H29" s="26">
        <f t="shared" si="10"/>
        <v>3762.5</v>
      </c>
      <c r="I29" s="26">
        <f t="shared" si="11"/>
        <v>3925.687848235606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30.1</v>
      </c>
      <c r="D30" s="30">
        <v>103.4</v>
      </c>
      <c r="E30" s="29">
        <f t="shared" si="7"/>
        <v>6.6448171711329621E-2</v>
      </c>
      <c r="F30" s="28">
        <f t="shared" si="8"/>
        <v>31.405502785884849</v>
      </c>
      <c r="G30" s="27" t="str">
        <f t="shared" si="9"/>
        <v>+</v>
      </c>
      <c r="H30" s="26">
        <f t="shared" si="10"/>
        <v>3112.34</v>
      </c>
      <c r="I30" s="26">
        <f t="shared" si="11"/>
        <v>3247.3289880604934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25</v>
      </c>
      <c r="E31" s="29">
        <f t="shared" si="7"/>
        <v>1.606580553948975E-2</v>
      </c>
      <c r="F31" s="28">
        <f t="shared" si="8"/>
        <v>31.927188878673636</v>
      </c>
      <c r="G31" s="27" t="str">
        <f t="shared" si="9"/>
        <v>+</v>
      </c>
      <c r="H31" s="26">
        <f t="shared" si="10"/>
        <v>765</v>
      </c>
      <c r="I31" s="26">
        <f t="shared" si="11"/>
        <v>798.17972196684093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32.202153432032304</v>
      </c>
      <c r="D32" s="22">
        <f>SUM(D26:D31)</f>
        <v>891.59999999999991</v>
      </c>
      <c r="E32" s="21">
        <f t="shared" si="7"/>
        <v>0.5729708887603624</v>
      </c>
      <c r="F32" s="20">
        <f>I32/D32</f>
        <v>33.598831206683784</v>
      </c>
      <c r="G32" s="19">
        <f>F32/C32-1</f>
        <v>4.3372185577569722E-2</v>
      </c>
      <c r="H32" s="18">
        <f>SUM(H26:H31)</f>
        <v>28711.439999999999</v>
      </c>
      <c r="I32" s="18">
        <f>SUM(I26:I31)</f>
        <v>29956.717903879256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v>225</v>
      </c>
      <c r="E34" s="29">
        <f t="shared" ref="E34:E40" si="13">D34/$D$48</f>
        <v>0.14459224985540775</v>
      </c>
      <c r="F34" s="28">
        <f t="shared" ref="F34:F39" si="14">C34-(C34*$E$6)</f>
        <v>19.198048214627281</v>
      </c>
      <c r="G34" s="27" t="str">
        <f t="shared" ref="G34:G39" si="15">IF(C34&gt;=F34,"-","+")</f>
        <v>+</v>
      </c>
      <c r="H34" s="26">
        <f t="shared" ref="H34:H39" si="16">C34*D34</f>
        <v>4140</v>
      </c>
      <c r="I34" s="26">
        <f t="shared" ref="I34:I39" si="17">F34*D34</f>
        <v>4319.5608482911384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14.2</v>
      </c>
      <c r="D35" s="30"/>
      <c r="E35" s="29">
        <f t="shared" si="13"/>
        <v>0</v>
      </c>
      <c r="F35" s="28">
        <f t="shared" si="14"/>
        <v>14.815885035201489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11.894442915584294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30.1</v>
      </c>
      <c r="D37" s="30"/>
      <c r="E37" s="29">
        <f t="shared" si="13"/>
        <v>0</v>
      </c>
      <c r="F37" s="28">
        <f t="shared" si="14"/>
        <v>31.405502785884849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30.1</v>
      </c>
      <c r="D38" s="30"/>
      <c r="E38" s="29">
        <f t="shared" si="13"/>
        <v>0</v>
      </c>
      <c r="F38" s="28">
        <f t="shared" si="14"/>
        <v>31.405502785884849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31.2</v>
      </c>
      <c r="D39" s="30"/>
      <c r="E39" s="29">
        <f t="shared" si="13"/>
        <v>0</v>
      </c>
      <c r="F39" s="28">
        <f t="shared" si="14"/>
        <v>32.553212190020176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18.399999999999999</v>
      </c>
      <c r="D40" s="22">
        <f>SUM(D34:D39)</f>
        <v>225</v>
      </c>
      <c r="E40" s="113">
        <f t="shared" si="13"/>
        <v>0.14459224985540775</v>
      </c>
      <c r="F40" s="20">
        <f>I40/D40</f>
        <v>19.198048214627281</v>
      </c>
      <c r="G40" s="19">
        <f>F40/C40-1</f>
        <v>4.3372185577569722E-2</v>
      </c>
      <c r="H40" s="18">
        <f>SUM(H34:H39)</f>
        <v>4140</v>
      </c>
      <c r="I40" s="18">
        <f>SUM(I34:I39)</f>
        <v>4319.5608482911384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293</v>
      </c>
      <c r="E42" s="107">
        <f>D42/$D$48</f>
        <v>0.18829124092281987</v>
      </c>
      <c r="F42" s="28">
        <f>C42-(C42*$E$6)</f>
        <v>0.4173488742310279</v>
      </c>
      <c r="G42" s="27" t="str">
        <f>IF(C42&gt;=F42,"-","+")</f>
        <v>+</v>
      </c>
      <c r="H42" s="26">
        <f>C42*D42</f>
        <v>117.2</v>
      </c>
      <c r="I42" s="26">
        <f>F42*D42</f>
        <v>122.28322014969118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10.7</v>
      </c>
      <c r="E43" s="107">
        <f>D43/$D$48</f>
        <v>6.8761647709016131E-3</v>
      </c>
      <c r="F43" s="28">
        <f>C43-(C43*$E$6)</f>
        <v>0.4173488742310279</v>
      </c>
      <c r="G43" s="27" t="str">
        <f>IF(C43&gt;=F43,"-","+")</f>
        <v>+</v>
      </c>
      <c r="H43" s="26">
        <f>C43*D43</f>
        <v>4.28</v>
      </c>
      <c r="I43" s="26">
        <f>F43*D43</f>
        <v>4.4656329542719986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1.7</v>
      </c>
      <c r="E44" s="107">
        <f>D44/$D$48</f>
        <v>1.0924747766853031E-3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3.277424330055909E-3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0.39123993558776171</v>
      </c>
      <c r="D46" s="22">
        <f>SUM(D41:D45)</f>
        <v>310.5</v>
      </c>
      <c r="E46" s="113">
        <f>D46/$D$48</f>
        <v>0.19953730480046269</v>
      </c>
      <c r="F46" s="20">
        <f>I46/D46</f>
        <v>0.40820886667943052</v>
      </c>
      <c r="G46" s="19">
        <f>F46/C46-1</f>
        <v>4.3372185577569722E-2</v>
      </c>
      <c r="H46" s="18">
        <f>SUM(H41:H44)</f>
        <v>121.48</v>
      </c>
      <c r="I46" s="18">
        <f>SUM(I41:I44)</f>
        <v>126.74885310396317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96.909362359868126</v>
      </c>
      <c r="D48" s="13">
        <f>D24+D32+D40+D46</f>
        <v>1556.1</v>
      </c>
      <c r="E48" s="12">
        <f>SUM(E20:E46)/2</f>
        <v>1</v>
      </c>
      <c r="F48" s="11">
        <f>I48/D48</f>
        <v>26.08</v>
      </c>
      <c r="G48" s="10"/>
      <c r="H48" s="9">
        <f>SUM(H20:H46)/2</f>
        <v>38896.079999999994</v>
      </c>
      <c r="I48" s="9">
        <f>SUM(I20:I46)/2</f>
        <v>40583.087999999996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1556.0999999999997</v>
      </c>
      <c r="E50" s="12">
        <f>D50/G2</f>
        <v>0.99999999999999989</v>
      </c>
      <c r="F50" s="11">
        <f>I50/D50</f>
        <v>26.080000000000002</v>
      </c>
      <c r="G50" s="10"/>
      <c r="H50" s="9">
        <f>H48+H19</f>
        <v>38896.079999999994</v>
      </c>
      <c r="I50" s="9">
        <f>I48+I19</f>
        <v>40583.087999999996</v>
      </c>
      <c r="J50" s="106">
        <f>D50-G2</f>
        <v>0</v>
      </c>
      <c r="K50" s="8"/>
    </row>
    <row r="51" spans="1:11" ht="23.25" x14ac:dyDescent="0.35">
      <c r="A51" s="174" t="s">
        <v>682</v>
      </c>
      <c r="B51" s="169"/>
      <c r="C51" s="170"/>
      <c r="G51" s="7"/>
      <c r="H51" s="6"/>
      <c r="I51" s="6">
        <f>+I50/D50</f>
        <v>26.080000000000002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>
    <tabColor rgb="FF92D050"/>
  </sheetPr>
  <dimension ref="A1:K56"/>
  <sheetViews>
    <sheetView topLeftCell="A3"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677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677</v>
      </c>
      <c r="D2" s="96" t="s">
        <v>3</v>
      </c>
      <c r="E2" s="95" t="s">
        <v>71</v>
      </c>
      <c r="F2" s="94" t="s">
        <v>5</v>
      </c>
      <c r="G2" s="93">
        <v>12878.4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180</v>
      </c>
      <c r="F3" s="88" t="s">
        <v>8</v>
      </c>
      <c r="G3" s="87">
        <v>28.8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71.546666666666667</v>
      </c>
      <c r="F4" s="81" t="s">
        <v>12</v>
      </c>
      <c r="G4" s="80">
        <f>G2*G3</f>
        <v>370897.91999999998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-2.972644788526102E-3</v>
      </c>
      <c r="F6" s="69" t="s">
        <v>16</v>
      </c>
      <c r="G6" s="68">
        <f>(I50-I19)/(D50-(SUM(D42:D44)+D19))</f>
        <v>34.075901145985924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28.8</v>
      </c>
      <c r="D10" s="30"/>
      <c r="E10" s="29">
        <f t="shared" ref="E10:E19" si="1">D10/$D$19</f>
        <v>0</v>
      </c>
      <c r="F10" s="28">
        <f t="shared" ref="F10:F18" si="2">C10-(C10*$E$6)</f>
        <v>28.885612169909553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</v>
      </c>
      <c r="D11" s="30">
        <v>385.8</v>
      </c>
      <c r="E11" s="29">
        <f t="shared" si="1"/>
        <v>0.18454032335214773</v>
      </c>
      <c r="F11" s="28">
        <f t="shared" si="2"/>
        <v>30.089179343655783</v>
      </c>
      <c r="G11" s="27" t="str">
        <f t="shared" si="3"/>
        <v>+</v>
      </c>
      <c r="H11" s="34">
        <f t="shared" si="4"/>
        <v>11574</v>
      </c>
      <c r="I11" s="34">
        <f t="shared" si="5"/>
        <v>11608.405390782402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27.4</v>
      </c>
      <c r="D12" s="30">
        <v>488</v>
      </c>
      <c r="E12" s="29">
        <f t="shared" si="1"/>
        <v>0.23342581077202718</v>
      </c>
      <c r="F12" s="28">
        <f t="shared" si="2"/>
        <v>27.481450467205615</v>
      </c>
      <c r="G12" s="27" t="str">
        <f t="shared" si="3"/>
        <v>+</v>
      </c>
      <c r="H12" s="34">
        <f t="shared" si="4"/>
        <v>13371.199999999999</v>
      </c>
      <c r="I12" s="34">
        <f t="shared" si="5"/>
        <v>13410.94782799634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</v>
      </c>
      <c r="D13" s="30">
        <v>996.4</v>
      </c>
      <c r="E13" s="29">
        <f t="shared" si="1"/>
        <v>0.47660958576485218</v>
      </c>
      <c r="F13" s="28">
        <f t="shared" si="2"/>
        <v>30.089179343655783</v>
      </c>
      <c r="G13" s="27" t="str">
        <f t="shared" si="3"/>
        <v>+</v>
      </c>
      <c r="H13" s="34">
        <f t="shared" si="4"/>
        <v>29892</v>
      </c>
      <c r="I13" s="34">
        <f t="shared" si="5"/>
        <v>29980.858298018622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33.5</v>
      </c>
      <c r="D14" s="30"/>
      <c r="E14" s="29">
        <f t="shared" si="1"/>
        <v>0</v>
      </c>
      <c r="F14" s="28">
        <f t="shared" si="2"/>
        <v>33.599583600415627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27.6</v>
      </c>
      <c r="D15" s="30"/>
      <c r="E15" s="29">
        <f t="shared" si="1"/>
        <v>0</v>
      </c>
      <c r="F15" s="28">
        <f t="shared" si="2"/>
        <v>27.68204499616332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37.799999999999997</v>
      </c>
      <c r="D16" s="30">
        <v>220.4</v>
      </c>
      <c r="E16" s="29">
        <f t="shared" si="1"/>
        <v>0.10542428011097293</v>
      </c>
      <c r="F16" s="28">
        <f t="shared" si="2"/>
        <v>37.912365973006281</v>
      </c>
      <c r="G16" s="27" t="str">
        <f t="shared" si="3"/>
        <v>+</v>
      </c>
      <c r="H16" s="34">
        <f t="shared" si="4"/>
        <v>8331.119999999999</v>
      </c>
      <c r="I16" s="34">
        <f t="shared" si="5"/>
        <v>8355.885460450585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55.7</v>
      </c>
      <c r="D17" s="30"/>
      <c r="E17" s="29">
        <f t="shared" si="1"/>
        <v>0</v>
      </c>
      <c r="F17" s="28">
        <f t="shared" si="2"/>
        <v>55.865576314720904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48.8</v>
      </c>
      <c r="D18" s="30"/>
      <c r="E18" s="29">
        <f t="shared" si="1"/>
        <v>0</v>
      </c>
      <c r="F18" s="28">
        <f t="shared" si="2"/>
        <v>48.945065065680069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30.215402276858317</v>
      </c>
      <c r="D19" s="49">
        <f>SUM(D10:D18)</f>
        <v>2090.6</v>
      </c>
      <c r="E19" s="48">
        <f t="shared" si="1"/>
        <v>1</v>
      </c>
      <c r="F19" s="47">
        <f>I19/D19</f>
        <v>30.305221934969843</v>
      </c>
      <c r="G19" s="46">
        <f>F19/C19-1</f>
        <v>2.9726447885263241E-3</v>
      </c>
      <c r="H19" s="9">
        <f>SUM(H10:H18)</f>
        <v>63168.319999999992</v>
      </c>
      <c r="I19" s="9">
        <f>SUM(I10:I18)</f>
        <v>63356.096977247951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72.400000000000006</v>
      </c>
      <c r="D21" s="30">
        <v>102.2</v>
      </c>
      <c r="E21" s="29">
        <f>D21/$D$48</f>
        <v>9.4736646953039547E-3</v>
      </c>
      <c r="F21" s="28">
        <f>C21-(C21*$E$6)</f>
        <v>72.615219482689298</v>
      </c>
      <c r="G21" s="27" t="str">
        <f>IF(C21&gt;=F21,"-","+")</f>
        <v>+</v>
      </c>
      <c r="H21" s="26">
        <f>C21*D21</f>
        <v>7399.2800000000007</v>
      </c>
      <c r="I21" s="26">
        <f>F21*D21</f>
        <v>7421.2754311308463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48.6</v>
      </c>
      <c r="D22" s="30">
        <v>364.1</v>
      </c>
      <c r="E22" s="29">
        <f>D22/$D$48</f>
        <v>3.3751089193348044E-2</v>
      </c>
      <c r="F22" s="28">
        <f>C22-(C22*$E$6)</f>
        <v>48.744470536722368</v>
      </c>
      <c r="G22" s="27" t="str">
        <f>IF(C22&gt;=F22,"-","+")</f>
        <v>+</v>
      </c>
      <c r="H22" s="26">
        <f>C22*D22</f>
        <v>17695.260000000002</v>
      </c>
      <c r="I22" s="26">
        <f>F22*D22</f>
        <v>17747.861722420614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44.4</v>
      </c>
      <c r="D23" s="30">
        <v>206.7</v>
      </c>
      <c r="E23" s="29">
        <f>D23/$D$48</f>
        <v>1.9160533194905356E-2</v>
      </c>
      <c r="F23" s="28">
        <f>C23-(C23*$E$6)</f>
        <v>44.531985428610561</v>
      </c>
      <c r="G23" s="27" t="str">
        <f>IF(C23&gt;=F23,"-","+")</f>
        <v>+</v>
      </c>
      <c r="H23" s="26">
        <f>C23*D23</f>
        <v>9177.48</v>
      </c>
      <c r="I23" s="26">
        <f>F23*D23</f>
        <v>9204.7613880938025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50.924249628528983</v>
      </c>
      <c r="D24" s="22">
        <f>SUM(D21:D23)</f>
        <v>673</v>
      </c>
      <c r="E24" s="21">
        <f>D24/$D$48</f>
        <v>6.2385287083557353E-2</v>
      </c>
      <c r="F24" s="20">
        <f>I24/D24</f>
        <v>51.075629333796826</v>
      </c>
      <c r="G24" s="19">
        <f>F24/C24-1</f>
        <v>2.97264478852588E-3</v>
      </c>
      <c r="H24" s="18">
        <f>SUM(H21:H23)</f>
        <v>34272.020000000004</v>
      </c>
      <c r="I24" s="18">
        <f>SUM(I21:I23)</f>
        <v>34373.898541645263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38.6</v>
      </c>
      <c r="D26" s="30">
        <f>455.2+53.8+1478</f>
        <v>1987</v>
      </c>
      <c r="E26" s="29">
        <f t="shared" ref="E26:E32" si="7">D26/$D$48</f>
        <v>0.18418954745175106</v>
      </c>
      <c r="F26" s="28">
        <f t="shared" ref="F26:F31" si="8">C26-(C26*$E$6)</f>
        <v>38.714744088837108</v>
      </c>
      <c r="G26" s="27" t="str">
        <f t="shared" ref="G26:G31" si="9">IF(C26&gt;=F26,"-","+")</f>
        <v>+</v>
      </c>
      <c r="H26" s="26">
        <f t="shared" ref="H26:H31" si="10">C26*D26</f>
        <v>76698.2</v>
      </c>
      <c r="I26" s="26">
        <f t="shared" ref="I26:I31" si="11">F26*D26</f>
        <v>76926.196504519336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34.4</v>
      </c>
      <c r="D27" s="30">
        <v>1676.7</v>
      </c>
      <c r="E27" s="29">
        <f t="shared" si="7"/>
        <v>0.15542557333283896</v>
      </c>
      <c r="F27" s="28">
        <f t="shared" si="8"/>
        <v>34.502258980725294</v>
      </c>
      <c r="G27" s="27" t="str">
        <f t="shared" si="9"/>
        <v>+</v>
      </c>
      <c r="H27" s="26">
        <f t="shared" si="10"/>
        <v>57678.479999999996</v>
      </c>
      <c r="I27" s="26">
        <f t="shared" si="11"/>
        <v>57849.937632982103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34.4</v>
      </c>
      <c r="D28" s="30">
        <v>1081</v>
      </c>
      <c r="E28" s="29">
        <f t="shared" si="7"/>
        <v>0.10020578801980015</v>
      </c>
      <c r="F28" s="28">
        <f t="shared" si="8"/>
        <v>34.502258980725294</v>
      </c>
      <c r="G28" s="27" t="str">
        <f t="shared" si="9"/>
        <v>+</v>
      </c>
      <c r="H28" s="26">
        <f t="shared" si="10"/>
        <v>37186.400000000001</v>
      </c>
      <c r="I28" s="26">
        <f t="shared" si="11"/>
        <v>37296.94195816404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33.299999999999997</v>
      </c>
      <c r="D29" s="30">
        <v>1090.5999999999999</v>
      </c>
      <c r="E29" s="29">
        <f t="shared" si="7"/>
        <v>0.10109568215947644</v>
      </c>
      <c r="F29" s="28">
        <f t="shared" si="8"/>
        <v>33.398989071457919</v>
      </c>
      <c r="G29" s="27" t="str">
        <f t="shared" si="9"/>
        <v>+</v>
      </c>
      <c r="H29" s="26">
        <f t="shared" si="10"/>
        <v>36316.979999999996</v>
      </c>
      <c r="I29" s="26">
        <f t="shared" si="11"/>
        <v>36424.937481332003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33.299999999999997</v>
      </c>
      <c r="D30" s="30">
        <v>826.8</v>
      </c>
      <c r="E30" s="29">
        <f t="shared" si="7"/>
        <v>7.6642132779621425E-2</v>
      </c>
      <c r="F30" s="28">
        <f t="shared" si="8"/>
        <v>33.398989071457919</v>
      </c>
      <c r="G30" s="27" t="str">
        <f t="shared" si="9"/>
        <v>+</v>
      </c>
      <c r="H30" s="26">
        <f t="shared" si="10"/>
        <v>27532.439999999995</v>
      </c>
      <c r="I30" s="26">
        <f t="shared" si="11"/>
        <v>27614.284164281406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33.799999999999997</v>
      </c>
      <c r="D31" s="30">
        <v>136.19999999999999</v>
      </c>
      <c r="E31" s="29">
        <f t="shared" si="7"/>
        <v>1.262537310665752E-2</v>
      </c>
      <c r="F31" s="28">
        <f t="shared" si="8"/>
        <v>33.900475393852176</v>
      </c>
      <c r="G31" s="27" t="str">
        <f t="shared" si="9"/>
        <v>+</v>
      </c>
      <c r="H31" s="26">
        <f t="shared" si="10"/>
        <v>4603.5599999999995</v>
      </c>
      <c r="I31" s="26">
        <f t="shared" si="11"/>
        <v>4617.2447486426663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35.305305738199259</v>
      </c>
      <c r="D32" s="22">
        <f>SUM(D26:D31)</f>
        <v>6798.2999999999993</v>
      </c>
      <c r="E32" s="21">
        <f t="shared" si="7"/>
        <v>0.63018409685014554</v>
      </c>
      <c r="F32" s="20">
        <f>I32/D32</f>
        <v>35.410255871309239</v>
      </c>
      <c r="G32" s="19">
        <f>F32/C32-1</f>
        <v>2.972644788526102E-3</v>
      </c>
      <c r="H32" s="18">
        <f>SUM(H26:H31)</f>
        <v>240016.06</v>
      </c>
      <c r="I32" s="18">
        <f>SUM(I26:I31)</f>
        <v>240729.54248992159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</v>
      </c>
      <c r="D34" s="30">
        <v>1549.8</v>
      </c>
      <c r="E34" s="29">
        <f t="shared" ref="E34:E40" si="13">D34/$D$48</f>
        <v>0.14366228517399285</v>
      </c>
      <c r="F34" s="28">
        <f t="shared" ref="F34:F39" si="14">C34-(C34*$E$6)</f>
        <v>20.360344689207082</v>
      </c>
      <c r="G34" s="27" t="str">
        <f t="shared" ref="G34:G39" si="15">IF(C34&gt;=F34,"-","+")</f>
        <v>+</v>
      </c>
      <c r="H34" s="26">
        <f t="shared" ref="H34:H39" si="16">C34*D34</f>
        <v>31460.94</v>
      </c>
      <c r="I34" s="26">
        <f t="shared" ref="I34:I39" si="17">F34*D34</f>
        <v>31554.462199333135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15.7</v>
      </c>
      <c r="D35" s="30"/>
      <c r="E35" s="29">
        <f t="shared" si="13"/>
        <v>0</v>
      </c>
      <c r="F35" s="28">
        <f t="shared" si="14"/>
        <v>15.746670523179858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12.637455324335429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33.299999999999997</v>
      </c>
      <c r="D37" s="30"/>
      <c r="E37" s="29">
        <f t="shared" si="13"/>
        <v>0</v>
      </c>
      <c r="F37" s="28">
        <f t="shared" si="14"/>
        <v>33.398989071457919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33.299999999999997</v>
      </c>
      <c r="D38" s="30"/>
      <c r="E38" s="29">
        <f t="shared" si="13"/>
        <v>0</v>
      </c>
      <c r="F38" s="28">
        <f t="shared" si="14"/>
        <v>33.398989071457919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34.4</v>
      </c>
      <c r="D39" s="30"/>
      <c r="E39" s="29">
        <f t="shared" si="13"/>
        <v>0</v>
      </c>
      <c r="F39" s="28">
        <f t="shared" si="14"/>
        <v>34.502258980725294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</v>
      </c>
      <c r="D40" s="22">
        <f>SUM(D34:D39)</f>
        <v>1549.8</v>
      </c>
      <c r="E40" s="113">
        <f t="shared" si="13"/>
        <v>0.14366228517399285</v>
      </c>
      <c r="F40" s="20">
        <f>I40/D40</f>
        <v>20.360344689207082</v>
      </c>
      <c r="G40" s="19">
        <f>F40/C40-1</f>
        <v>2.972644788526102E-3</v>
      </c>
      <c r="H40" s="18">
        <f>SUM(H34:H39)</f>
        <v>31460.94</v>
      </c>
      <c r="I40" s="18">
        <f>SUM(I34:I39)</f>
        <v>31554.462199333135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1673</v>
      </c>
      <c r="E42" s="107">
        <f>D42/$D$48</f>
        <v>0.15508259329983873</v>
      </c>
      <c r="F42" s="28">
        <f>C42-(C42*$E$6)</f>
        <v>0.50148632239426305</v>
      </c>
      <c r="G42" s="27" t="str">
        <f>IF(C42&gt;=F42,"-","+")</f>
        <v>+</v>
      </c>
      <c r="H42" s="26">
        <f>C42*D42</f>
        <v>836.5</v>
      </c>
      <c r="I42" s="26">
        <f>F42*D42</f>
        <v>838.98661736560211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89.6</v>
      </c>
      <c r="E43" s="107">
        <f>D43/$D$48</f>
        <v>8.3056786369788086E-3</v>
      </c>
      <c r="F43" s="28">
        <f>C43-(C43*$E$6)</f>
        <v>0.50148632239426305</v>
      </c>
      <c r="G43" s="27" t="str">
        <f>IF(C43&gt;=F43,"-","+")</f>
        <v>+</v>
      </c>
      <c r="H43" s="26">
        <f>C43*D43</f>
        <v>44.8</v>
      </c>
      <c r="I43" s="26">
        <f>F43*D43</f>
        <v>44.933174486525964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3.8005895548675353E-4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0.49883964453500879</v>
      </c>
      <c r="D46" s="22">
        <f>SUM(D41:D45)</f>
        <v>1766.6999999999998</v>
      </c>
      <c r="E46" s="113">
        <f>D46/$D$48</f>
        <v>0.16376833089230428</v>
      </c>
      <c r="F46" s="20">
        <f>I46/D46</f>
        <v>0.50032251760464608</v>
      </c>
      <c r="G46" s="19">
        <f>F46/C46-1</f>
        <v>2.9726447885263241E-3</v>
      </c>
      <c r="H46" s="18">
        <f>SUM(H41:H44)</f>
        <v>881.3</v>
      </c>
      <c r="I46" s="18">
        <f>SUM(I41:I44)</f>
        <v>883.91979185212813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107.02839501126326</v>
      </c>
      <c r="D48" s="13">
        <f>D24+D32+D40+D46</f>
        <v>10787.8</v>
      </c>
      <c r="E48" s="12">
        <f>SUM(E20:E46)/2</f>
        <v>1</v>
      </c>
      <c r="F48" s="11">
        <f>I48/D48</f>
        <v>28.508298543053456</v>
      </c>
      <c r="G48" s="10"/>
      <c r="H48" s="9">
        <f>SUM(H20:H46)/2</f>
        <v>306630.31999999995</v>
      </c>
      <c r="I48" s="9">
        <f>SUM(I20:I46)/2</f>
        <v>307541.82302275207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12878.399999999998</v>
      </c>
      <c r="E50" s="12">
        <f>D50/G2</f>
        <v>0.99999999999999989</v>
      </c>
      <c r="F50" s="11">
        <f>I50/D50</f>
        <v>28.800000000000008</v>
      </c>
      <c r="G50" s="10"/>
      <c r="H50" s="9">
        <f>H48+H19</f>
        <v>369798.63999999996</v>
      </c>
      <c r="I50" s="9">
        <f>I48+I19</f>
        <v>370897.92000000004</v>
      </c>
      <c r="J50" s="106">
        <f>D50-G2</f>
        <v>0</v>
      </c>
      <c r="K50" s="8"/>
    </row>
    <row r="51" spans="1:11" ht="23.25" x14ac:dyDescent="0.35">
      <c r="A51" s="174" t="s">
        <v>683</v>
      </c>
      <c r="B51" s="169"/>
      <c r="C51" s="170"/>
      <c r="G51" s="7"/>
      <c r="H51" s="6"/>
      <c r="I51" s="6">
        <f>+I50/D50</f>
        <v>28.800000000000008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>
    <tabColor rgb="FF92D050"/>
  </sheetPr>
  <dimension ref="A1:K56"/>
  <sheetViews>
    <sheetView topLeftCell="A3" workbookViewId="0">
      <selection activeCell="A3" sqref="A1:XFD1048576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677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684</v>
      </c>
      <c r="D2" s="96" t="s">
        <v>3</v>
      </c>
      <c r="E2" s="95" t="s">
        <v>112</v>
      </c>
      <c r="F2" s="94" t="s">
        <v>5</v>
      </c>
      <c r="G2" s="93">
        <v>9026.1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145</v>
      </c>
      <c r="F3" s="88" t="s">
        <v>8</v>
      </c>
      <c r="G3" s="87">
        <v>24.86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62.24896551724138</v>
      </c>
      <c r="F4" s="81" t="s">
        <v>12</v>
      </c>
      <c r="G4" s="80">
        <f>G2*G3</f>
        <v>224388.84599999999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-7.0076192353754063E-2</v>
      </c>
      <c r="F6" s="69" t="s">
        <v>16</v>
      </c>
      <c r="G6" s="68">
        <f>(I50-I19)/(D50-(SUM(D42:D44)+D19))</f>
        <v>31.268912919273703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24.9</v>
      </c>
      <c r="D10" s="30"/>
      <c r="E10" s="29" t="e">
        <f t="shared" ref="E10:E19" si="1">D10/$D$19</f>
        <v>#DIV/0!</v>
      </c>
      <c r="F10" s="28">
        <f t="shared" ref="F10:F18" si="2">C10-(C10*$E$6)</f>
        <v>26.644897189608475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25.9</v>
      </c>
      <c r="D11" s="30"/>
      <c r="E11" s="29" t="e">
        <f t="shared" si="1"/>
        <v>#DIV/0!</v>
      </c>
      <c r="F11" s="28">
        <f t="shared" si="2"/>
        <v>27.714973381962228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23.7</v>
      </c>
      <c r="D12" s="30"/>
      <c r="E12" s="29" t="e">
        <f t="shared" si="1"/>
        <v>#DIV/0!</v>
      </c>
      <c r="F12" s="28">
        <f t="shared" si="2"/>
        <v>25.360805758783972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25.9</v>
      </c>
      <c r="D13" s="30"/>
      <c r="E13" s="29" t="e">
        <f t="shared" si="1"/>
        <v>#DIV/0!</v>
      </c>
      <c r="F13" s="28">
        <f t="shared" si="2"/>
        <v>27.714973381962228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28.9</v>
      </c>
      <c r="D14" s="30"/>
      <c r="E14" s="29" t="e">
        <f t="shared" si="1"/>
        <v>#DIV/0!</v>
      </c>
      <c r="F14" s="28">
        <f t="shared" si="2"/>
        <v>30.925201959023489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23.9</v>
      </c>
      <c r="D15" s="30"/>
      <c r="E15" s="29" t="e">
        <f t="shared" si="1"/>
        <v>#DIV/0!</v>
      </c>
      <c r="F15" s="28">
        <f t="shared" si="2"/>
        <v>25.574820997254722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32.700000000000003</v>
      </c>
      <c r="D16" s="30"/>
      <c r="E16" s="29" t="e">
        <f t="shared" si="1"/>
        <v>#DIV/0!</v>
      </c>
      <c r="F16" s="28">
        <f t="shared" si="2"/>
        <v>34.991491489967764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48.1</v>
      </c>
      <c r="D17" s="30"/>
      <c r="E17" s="29" t="e">
        <f t="shared" si="1"/>
        <v>#DIV/0!</v>
      </c>
      <c r="F17" s="28">
        <f t="shared" si="2"/>
        <v>51.47066485221557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42.1</v>
      </c>
      <c r="D18" s="30"/>
      <c r="E18" s="29" t="e">
        <f t="shared" si="1"/>
        <v>#DIV/0!</v>
      </c>
      <c r="F18" s="28">
        <f t="shared" si="2"/>
        <v>45.050207698093047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62.5</v>
      </c>
      <c r="D21" s="30">
        <v>105.1</v>
      </c>
      <c r="E21" s="29">
        <f>D21/$D$48</f>
        <v>1.1644010148347568E-2</v>
      </c>
      <c r="F21" s="28">
        <f>C21-(C21*$E$6)</f>
        <v>66.879762022109631</v>
      </c>
      <c r="G21" s="27" t="str">
        <f>IF(C21&gt;=F21,"-","+")</f>
        <v>+</v>
      </c>
      <c r="H21" s="26">
        <f>C21*D21</f>
        <v>6568.75</v>
      </c>
      <c r="I21" s="26">
        <f>F21*D21</f>
        <v>7029.0629885237222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</v>
      </c>
      <c r="D22" s="30">
        <v>225.7</v>
      </c>
      <c r="E22" s="29">
        <f>D22/$D$48</f>
        <v>2.5005262516479984E-2</v>
      </c>
      <c r="F22" s="28">
        <f>C22-(C22*$E$6)</f>
        <v>44.943200078857672</v>
      </c>
      <c r="G22" s="27" t="str">
        <f>IF(C22&gt;=F22,"-","+")</f>
        <v>+</v>
      </c>
      <c r="H22" s="26">
        <f>C22*D22</f>
        <v>9479.4</v>
      </c>
      <c r="I22" s="26">
        <f>F22*D22</f>
        <v>10143.680257798176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38.299999999999997</v>
      </c>
      <c r="D23" s="30">
        <v>148.19999999999999</v>
      </c>
      <c r="E23" s="29">
        <f>D23/$D$48</f>
        <v>1.6419051417555754E-2</v>
      </c>
      <c r="F23" s="28">
        <f>C23-(C23*$E$6)</f>
        <v>40.983918167148779</v>
      </c>
      <c r="G23" s="27" t="str">
        <f>IF(C23&gt;=F23,"-","+")</f>
        <v>+</v>
      </c>
      <c r="H23" s="26">
        <f>C23*D23</f>
        <v>5676.0599999999995</v>
      </c>
      <c r="I23" s="26">
        <f>F23*D23</f>
        <v>6073.8166723714485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45.353256784968686</v>
      </c>
      <c r="D24" s="22">
        <f>SUM(D21:D23)</f>
        <v>478.99999999999994</v>
      </c>
      <c r="E24" s="21">
        <f>D24/$D$48</f>
        <v>5.3068324082383302E-2</v>
      </c>
      <c r="F24" s="20">
        <f>I24/D24</f>
        <v>48.531440331301354</v>
      </c>
      <c r="G24" s="19">
        <f>F24/C24-1</f>
        <v>7.0076192353754063E-2</v>
      </c>
      <c r="H24" s="18">
        <f>SUM(H21:H23)</f>
        <v>21724.21</v>
      </c>
      <c r="I24" s="18">
        <f>SUM(I21:I23)</f>
        <v>23246.559918693347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33.4</v>
      </c>
      <c r="D26" s="30">
        <f>225+1530</f>
        <v>1755</v>
      </c>
      <c r="E26" s="29">
        <f t="shared" ref="E26:E32" si="7">D26/$D$48</f>
        <v>0.1944361352078971</v>
      </c>
      <c r="F26" s="28">
        <f t="shared" ref="F26:F31" si="8">C26-(C26*$E$6)</f>
        <v>35.740544824615384</v>
      </c>
      <c r="G26" s="27" t="str">
        <f t="shared" ref="G26:G31" si="9">IF(C26&gt;=F26,"-","+")</f>
        <v>+</v>
      </c>
      <c r="H26" s="26">
        <f t="shared" ref="H26:H31" si="10">C26*D26</f>
        <v>58617</v>
      </c>
      <c r="I26" s="26">
        <f t="shared" ref="I26:I31" si="11">F26*D26</f>
        <v>62724.656167199995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29.7</v>
      </c>
      <c r="D27" s="30">
        <v>1366.6</v>
      </c>
      <c r="E27" s="29">
        <f t="shared" si="7"/>
        <v>0.15140536887470776</v>
      </c>
      <c r="F27" s="28">
        <f t="shared" si="8"/>
        <v>31.781262912906495</v>
      </c>
      <c r="G27" s="27" t="str">
        <f t="shared" si="9"/>
        <v>+</v>
      </c>
      <c r="H27" s="26">
        <f t="shared" si="10"/>
        <v>40588.019999999997</v>
      </c>
      <c r="I27" s="26">
        <f t="shared" si="11"/>
        <v>43432.273896778017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29.7</v>
      </c>
      <c r="D28" s="30">
        <v>743.6</v>
      </c>
      <c r="E28" s="29">
        <f t="shared" si="7"/>
        <v>8.2383310621420097E-2</v>
      </c>
      <c r="F28" s="28">
        <f t="shared" si="8"/>
        <v>31.781262912906495</v>
      </c>
      <c r="G28" s="27" t="str">
        <f t="shared" si="9"/>
        <v>+</v>
      </c>
      <c r="H28" s="26">
        <f t="shared" si="10"/>
        <v>22084.920000000002</v>
      </c>
      <c r="I28" s="26">
        <f t="shared" si="11"/>
        <v>23632.547102037272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28.7</v>
      </c>
      <c r="D29" s="30">
        <v>796.4</v>
      </c>
      <c r="E29" s="29">
        <f t="shared" si="7"/>
        <v>8.8233013150751702E-2</v>
      </c>
      <c r="F29" s="28">
        <f t="shared" si="8"/>
        <v>30.711186720552739</v>
      </c>
      <c r="G29" s="27" t="str">
        <f t="shared" si="9"/>
        <v>+</v>
      </c>
      <c r="H29" s="26">
        <f t="shared" si="10"/>
        <v>22856.68</v>
      </c>
      <c r="I29" s="26">
        <f t="shared" si="11"/>
        <v>24458.389104248199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28.7</v>
      </c>
      <c r="D30" s="30">
        <v>520</v>
      </c>
      <c r="E30" s="29">
        <f t="shared" si="7"/>
        <v>5.7610706728265806E-2</v>
      </c>
      <c r="F30" s="28">
        <f t="shared" si="8"/>
        <v>30.711186720552739</v>
      </c>
      <c r="G30" s="27" t="str">
        <f t="shared" si="9"/>
        <v>+</v>
      </c>
      <c r="H30" s="26">
        <f t="shared" si="10"/>
        <v>14924</v>
      </c>
      <c r="I30" s="26">
        <f t="shared" si="11"/>
        <v>15969.817094687423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29.2</v>
      </c>
      <c r="D31" s="30">
        <v>140.6</v>
      </c>
      <c r="E31" s="29">
        <f t="shared" si="7"/>
        <v>1.5577048780758022E-2</v>
      </c>
      <c r="F31" s="28">
        <f t="shared" si="8"/>
        <v>31.246224816729619</v>
      </c>
      <c r="G31" s="27" t="str">
        <f t="shared" si="9"/>
        <v>+</v>
      </c>
      <c r="H31" s="26">
        <f t="shared" si="10"/>
        <v>4105.5199999999995</v>
      </c>
      <c r="I31" s="26">
        <f t="shared" si="11"/>
        <v>4393.2192092321839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30.65952801473075</v>
      </c>
      <c r="D32" s="22">
        <f>SUM(D26:D31)</f>
        <v>5322.2</v>
      </c>
      <c r="E32" s="21">
        <f t="shared" si="7"/>
        <v>0.58964558336380046</v>
      </c>
      <c r="F32" s="20">
        <f>I32/D32</f>
        <v>32.808030997366338</v>
      </c>
      <c r="G32" s="19">
        <f>F32/C32-1</f>
        <v>7.0076192353754285E-2</v>
      </c>
      <c r="H32" s="18">
        <f>SUM(H26:H31)</f>
        <v>163176.13999999998</v>
      </c>
      <c r="I32" s="18">
        <f>SUM(I26:I31)</f>
        <v>174610.9025741831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v>1366.7</v>
      </c>
      <c r="E34" s="29">
        <f t="shared" ref="E34:E40" si="13">D34/$D$48</f>
        <v>0.15141644785677091</v>
      </c>
      <c r="F34" s="28">
        <f t="shared" ref="F34:F39" si="14">C34-(C34*$E$6)</f>
        <v>18.833340985426073</v>
      </c>
      <c r="G34" s="27" t="str">
        <f t="shared" ref="G34:G39" si="15">IF(C34&gt;=F34,"-","+")</f>
        <v>+</v>
      </c>
      <c r="H34" s="26">
        <f t="shared" ref="H34:H39" si="16">C34*D34</f>
        <v>24053.920000000002</v>
      </c>
      <c r="I34" s="26">
        <f t="shared" ref="I34:I39" si="17">F34*D34</f>
        <v>25739.527124781816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13.5</v>
      </c>
      <c r="D35" s="30"/>
      <c r="E35" s="29">
        <f t="shared" si="13"/>
        <v>0</v>
      </c>
      <c r="F35" s="28">
        <f t="shared" si="14"/>
        <v>14.44602859677568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11.663830496655919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28.7</v>
      </c>
      <c r="D37" s="30"/>
      <c r="E37" s="29">
        <f t="shared" si="13"/>
        <v>0</v>
      </c>
      <c r="F37" s="28">
        <f t="shared" si="14"/>
        <v>30.711186720552739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28.7</v>
      </c>
      <c r="D38" s="30"/>
      <c r="E38" s="29">
        <f t="shared" si="13"/>
        <v>0</v>
      </c>
      <c r="F38" s="28">
        <f t="shared" si="14"/>
        <v>30.711186720552739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29.7</v>
      </c>
      <c r="D39" s="30"/>
      <c r="E39" s="29">
        <f t="shared" si="13"/>
        <v>0</v>
      </c>
      <c r="F39" s="28">
        <f t="shared" si="14"/>
        <v>31.781262912906495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17.600000000000001</v>
      </c>
      <c r="D40" s="22">
        <f>SUM(D34:D39)</f>
        <v>1366.7</v>
      </c>
      <c r="E40" s="113">
        <f t="shared" si="13"/>
        <v>0.15141644785677091</v>
      </c>
      <c r="F40" s="20">
        <f>I40/D40</f>
        <v>18.833340985426073</v>
      </c>
      <c r="G40" s="19">
        <f>F40/C40-1</f>
        <v>7.0076192353754063E-2</v>
      </c>
      <c r="H40" s="18">
        <f>SUM(H34:H39)</f>
        <v>24053.920000000002</v>
      </c>
      <c r="I40" s="18">
        <f>SUM(I34:I39)</f>
        <v>25739.527124781816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1771</v>
      </c>
      <c r="E42" s="107">
        <f>D42/$D$48</f>
        <v>0.19620877233799758</v>
      </c>
      <c r="F42" s="28">
        <f>C42-(C42*$E$6)</f>
        <v>0.42803047694150165</v>
      </c>
      <c r="G42" s="27" t="str">
        <f>IF(C42&gt;=F42,"-","+")</f>
        <v>+</v>
      </c>
      <c r="H42" s="26">
        <f>C42*D42</f>
        <v>708.40000000000009</v>
      </c>
      <c r="I42" s="26">
        <f>F42*D42</f>
        <v>758.0419746633994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79</v>
      </c>
      <c r="E43" s="107">
        <f>D43/$D$48</f>
        <v>8.7523958298711506E-3</v>
      </c>
      <c r="F43" s="28">
        <f>C43-(C43*$E$6)</f>
        <v>0.42803047694150165</v>
      </c>
      <c r="G43" s="27" t="str">
        <f>IF(C43&gt;=F43,"-","+")</f>
        <v>+</v>
      </c>
      <c r="H43" s="26">
        <f>C43*D43</f>
        <v>31.6</v>
      </c>
      <c r="I43" s="26">
        <f>F43*D43</f>
        <v>33.814407678378629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8.1999999999999993</v>
      </c>
      <c r="E45" s="107">
        <f>D45/$D$48</f>
        <v>9.0847652917649914E-4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0.39823485093100858</v>
      </c>
      <c r="D46" s="22">
        <f>SUM(D41:D45)</f>
        <v>1858.2</v>
      </c>
      <c r="E46" s="113">
        <f>D46/$D$48</f>
        <v>0.20586964469704525</v>
      </c>
      <c r="F46" s="20">
        <f>I46/D46</f>
        <v>0.42614163294681845</v>
      </c>
      <c r="G46" s="19">
        <f>F46/C46-1</f>
        <v>7.0076192353753841E-2</v>
      </c>
      <c r="H46" s="18">
        <f>SUM(H41:H44)</f>
        <v>740.00000000000011</v>
      </c>
      <c r="I46" s="18">
        <f>SUM(I41:I44)</f>
        <v>791.85638234177804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94.011019650630431</v>
      </c>
      <c r="D48" s="13">
        <f>D24+D32+D40+D46</f>
        <v>9026.1</v>
      </c>
      <c r="E48" s="12">
        <f>SUM(E20:E46)/2</f>
        <v>1</v>
      </c>
      <c r="F48" s="11">
        <f>I48/D48</f>
        <v>24.86</v>
      </c>
      <c r="G48" s="10"/>
      <c r="H48" s="9">
        <f>SUM(H20:H46)/2</f>
        <v>209694.26999999996</v>
      </c>
      <c r="I48" s="9">
        <f>SUM(I20:I46)/2</f>
        <v>224388.84600000002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9026.1</v>
      </c>
      <c r="E50" s="12">
        <f>D50/G2</f>
        <v>1</v>
      </c>
      <c r="F50" s="11">
        <f>I50/D50</f>
        <v>24.86</v>
      </c>
      <c r="G50" s="10"/>
      <c r="H50" s="9">
        <f>H48+H19</f>
        <v>209694.26999999996</v>
      </c>
      <c r="I50" s="9">
        <f>I48+I19</f>
        <v>224388.84600000002</v>
      </c>
      <c r="J50" s="106">
        <f>D50-G2</f>
        <v>0</v>
      </c>
      <c r="K50" s="8"/>
    </row>
    <row r="51" spans="1:11" ht="23.25" x14ac:dyDescent="0.35">
      <c r="A51" s="174" t="s">
        <v>683</v>
      </c>
      <c r="B51" s="169"/>
      <c r="C51" s="170"/>
      <c r="G51" s="7"/>
      <c r="H51" s="6"/>
      <c r="I51" s="6">
        <f>+I50/D50</f>
        <v>24.86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>
    <tabColor rgb="FF92D050"/>
  </sheetPr>
  <dimension ref="A1:K56"/>
  <sheetViews>
    <sheetView topLeftCell="A3" workbookViewId="0">
      <selection activeCell="A3"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684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684</v>
      </c>
      <c r="D2" s="96" t="s">
        <v>3</v>
      </c>
      <c r="E2" s="95" t="s">
        <v>71</v>
      </c>
      <c r="F2" s="94" t="s">
        <v>5</v>
      </c>
      <c r="G2" s="93">
        <v>16995.099999999999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208</v>
      </c>
      <c r="F3" s="88" t="s">
        <v>8</v>
      </c>
      <c r="G3" s="87">
        <v>28.95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81.707211538461536</v>
      </c>
      <c r="F4" s="81" t="s">
        <v>12</v>
      </c>
      <c r="G4" s="80">
        <f>G2*G3</f>
        <v>492008.14499999996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-1.5683535342631671E-2</v>
      </c>
      <c r="F6" s="69" t="s">
        <v>16</v>
      </c>
      <c r="G6" s="68">
        <f>(I50-I19)/(D50-(SUM(D42:D44)+D19))</f>
        <v>34.813210757953129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 t="e">
        <f t="shared" ref="E10:E19" si="1">D10/$D$19</f>
        <v>#DIV/0!</v>
      </c>
      <c r="F10" s="28">
        <f t="shared" ref="F10:F18" si="2">C10-(C10*$E$6)</f>
        <v>29.454822524936318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30.1</v>
      </c>
      <c r="D11" s="30"/>
      <c r="E11" s="29" t="e">
        <f t="shared" si="1"/>
        <v>#DIV/0!</v>
      </c>
      <c r="F11" s="28">
        <f t="shared" si="2"/>
        <v>30.572074413813215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27.5</v>
      </c>
      <c r="D12" s="30"/>
      <c r="E12" s="29" t="e">
        <f t="shared" si="1"/>
        <v>#DIV/0!</v>
      </c>
      <c r="F12" s="28">
        <f t="shared" si="2"/>
        <v>27.931297221922371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30.1</v>
      </c>
      <c r="D13" s="30"/>
      <c r="E13" s="29" t="e">
        <f t="shared" si="1"/>
        <v>#DIV/0!</v>
      </c>
      <c r="F13" s="28">
        <f t="shared" si="2"/>
        <v>30.572074413813215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33.700000000000003</v>
      </c>
      <c r="D14" s="30"/>
      <c r="E14" s="29" t="e">
        <f t="shared" si="1"/>
        <v>#DIV/0!</v>
      </c>
      <c r="F14" s="28">
        <f t="shared" si="2"/>
        <v>34.228535141046692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 t="e">
        <f t="shared" si="1"/>
        <v>#DIV/0!</v>
      </c>
      <c r="F15" s="28">
        <f t="shared" si="2"/>
        <v>28.23600228252516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</v>
      </c>
      <c r="D16" s="30"/>
      <c r="E16" s="29" t="e">
        <f t="shared" si="1"/>
        <v>#DIV/0!</v>
      </c>
      <c r="F16" s="28">
        <f t="shared" si="2"/>
        <v>38.595974343020004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</v>
      </c>
      <c r="D17" s="30"/>
      <c r="E17" s="29" t="e">
        <f t="shared" si="1"/>
        <v>#DIV/0!</v>
      </c>
      <c r="F17" s="28">
        <f t="shared" si="2"/>
        <v>56.878277979187374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</v>
      </c>
      <c r="D18" s="30"/>
      <c r="E18" s="29" t="e">
        <f t="shared" si="1"/>
        <v>#DIV/0!</v>
      </c>
      <c r="F18" s="28">
        <f t="shared" si="2"/>
        <v>49.768493231788952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72.8</v>
      </c>
      <c r="D21" s="30">
        <v>209</v>
      </c>
      <c r="E21" s="29">
        <f>D21/$D$48</f>
        <v>1.2297372833985467E-2</v>
      </c>
      <c r="F21" s="28">
        <f>C21-(C21*$E$6)</f>
        <v>73.941761372943589</v>
      </c>
      <c r="G21" s="27" t="str">
        <f>IF(C21&gt;=F21,"-","+")</f>
        <v>+</v>
      </c>
      <c r="H21" s="26">
        <f>C21*D21</f>
        <v>15215.199999999999</v>
      </c>
      <c r="I21" s="26">
        <f>F21*D21</f>
        <v>15453.828126945211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48.9</v>
      </c>
      <c r="D22" s="30">
        <v>528.6</v>
      </c>
      <c r="E22" s="29">
        <f>D22/$D$48</f>
        <v>3.110235062222353E-2</v>
      </c>
      <c r="F22" s="28">
        <f>C22-(C22*$E$6)</f>
        <v>49.66692487825469</v>
      </c>
      <c r="G22" s="27" t="str">
        <f>IF(C22&gt;=F22,"-","+")</f>
        <v>+</v>
      </c>
      <c r="H22" s="26">
        <f>C22*D22</f>
        <v>25848.54</v>
      </c>
      <c r="I22" s="26">
        <f>F22*D22</f>
        <v>26253.936490645432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44.6</v>
      </c>
      <c r="D23" s="30">
        <v>404.6</v>
      </c>
      <c r="E23" s="29">
        <f>D23/$D$48</f>
        <v>2.3806301668088614E-2</v>
      </c>
      <c r="F23" s="28">
        <f>C23-(C23*$E$6)</f>
        <v>45.299485676281371</v>
      </c>
      <c r="G23" s="27" t="str">
        <f>IF(C23&gt;=F23,"-","+")</f>
        <v>+</v>
      </c>
      <c r="H23" s="26">
        <f>C23*D23</f>
        <v>18045.16</v>
      </c>
      <c r="I23" s="26">
        <f>F23*D23</f>
        <v>18328.171904623443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51.750043775170717</v>
      </c>
      <c r="D24" s="22">
        <f>SUM(D21:D23)</f>
        <v>1142.2</v>
      </c>
      <c r="E24" s="21">
        <f>D24/$D$48</f>
        <v>6.7206025124297616E-2</v>
      </c>
      <c r="F24" s="20">
        <f>I24/D24</f>
        <v>52.561667415701351</v>
      </c>
      <c r="G24" s="19">
        <f>F24/C24-1</f>
        <v>1.5683535342631894E-2</v>
      </c>
      <c r="H24" s="18">
        <f>SUM(H21:H23)</f>
        <v>59108.899999999994</v>
      </c>
      <c r="I24" s="18">
        <f>SUM(I21:I23)</f>
        <v>60035.936522214084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v>3091.4</v>
      </c>
      <c r="E26" s="29">
        <f t="shared" ref="E26:E32" si="7">D26/$D$48</f>
        <v>0.18189520755494101</v>
      </c>
      <c r="F26" s="28">
        <f t="shared" ref="F26:F31" si="8">C26-(C26*$E$6)</f>
        <v>39.510089524828373</v>
      </c>
      <c r="G26" s="27" t="str">
        <f t="shared" ref="G26:G31" si="9">IF(C26&gt;=F26,"-","+")</f>
        <v>+</v>
      </c>
      <c r="H26" s="26">
        <f t="shared" ref="H26:H31" si="10">C26*D26</f>
        <v>120255.46</v>
      </c>
      <c r="I26" s="26">
        <f t="shared" ref="I26:I31" si="11">F26*D26</f>
        <v>122141.49075705443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34.6</v>
      </c>
      <c r="D27" s="30">
        <v>2576.6</v>
      </c>
      <c r="E27" s="29">
        <f t="shared" si="7"/>
        <v>0.15160483657438734</v>
      </c>
      <c r="F27" s="28">
        <f t="shared" si="8"/>
        <v>35.142650322855054</v>
      </c>
      <c r="G27" s="27" t="str">
        <f t="shared" si="9"/>
        <v>+</v>
      </c>
      <c r="H27" s="26">
        <f t="shared" si="10"/>
        <v>89150.36</v>
      </c>
      <c r="I27" s="26">
        <f t="shared" si="11"/>
        <v>90548.552821868332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34.6</v>
      </c>
      <c r="D28" s="30">
        <v>1907</v>
      </c>
      <c r="E28" s="29">
        <f t="shared" si="7"/>
        <v>0.11220617222205878</v>
      </c>
      <c r="F28" s="28">
        <f t="shared" si="8"/>
        <v>35.142650322855054</v>
      </c>
      <c r="G28" s="27" t="str">
        <f t="shared" si="9"/>
        <v>+</v>
      </c>
      <c r="H28" s="26">
        <f t="shared" si="10"/>
        <v>65982.2</v>
      </c>
      <c r="I28" s="26">
        <f t="shared" si="11"/>
        <v>67017.034165684585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33.4</v>
      </c>
      <c r="D29" s="30">
        <v>1503</v>
      </c>
      <c r="E29" s="29">
        <f t="shared" si="7"/>
        <v>8.8435174016651463E-2</v>
      </c>
      <c r="F29" s="28">
        <f t="shared" si="8"/>
        <v>33.923830080443899</v>
      </c>
      <c r="G29" s="27" t="str">
        <f t="shared" si="9"/>
        <v>+</v>
      </c>
      <c r="H29" s="26">
        <f t="shared" si="10"/>
        <v>50200.2</v>
      </c>
      <c r="I29" s="26">
        <f t="shared" si="11"/>
        <v>50987.51661090718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33.4</v>
      </c>
      <c r="D30" s="30">
        <v>978</v>
      </c>
      <c r="E30" s="29">
        <f t="shared" si="7"/>
        <v>5.7544644170515726E-2</v>
      </c>
      <c r="F30" s="28">
        <f t="shared" si="8"/>
        <v>33.923830080443899</v>
      </c>
      <c r="G30" s="27" t="str">
        <f t="shared" si="9"/>
        <v>+</v>
      </c>
      <c r="H30" s="26">
        <f t="shared" si="10"/>
        <v>32665.199999999997</v>
      </c>
      <c r="I30" s="26">
        <f t="shared" si="11"/>
        <v>33177.50581867413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</v>
      </c>
      <c r="D31" s="30">
        <v>413.4</v>
      </c>
      <c r="E31" s="29">
        <f t="shared" si="7"/>
        <v>2.4324085787414313E-2</v>
      </c>
      <c r="F31" s="28">
        <f t="shared" si="8"/>
        <v>34.533240201649477</v>
      </c>
      <c r="G31" s="27" t="str">
        <f t="shared" si="9"/>
        <v>+</v>
      </c>
      <c r="H31" s="26">
        <f t="shared" si="10"/>
        <v>14055.599999999999</v>
      </c>
      <c r="I31" s="26">
        <f t="shared" si="11"/>
        <v>14276.041499361892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35.561638680344629</v>
      </c>
      <c r="D32" s="22">
        <f>SUM(D26:D31)</f>
        <v>10469.4</v>
      </c>
      <c r="E32" s="21">
        <f t="shared" si="7"/>
        <v>0.61601012032596858</v>
      </c>
      <c r="F32" s="20">
        <f>I32/D32</f>
        <v>36.119370897429704</v>
      </c>
      <c r="G32" s="19">
        <f>F32/C32-1</f>
        <v>1.5683535342631449E-2</v>
      </c>
      <c r="H32" s="18">
        <f>SUM(H26:H31)</f>
        <v>372309.02</v>
      </c>
      <c r="I32" s="18">
        <f>SUM(I26:I31)</f>
        <v>378148.14167355053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f>2636.2-121</f>
        <v>2515.1999999999998</v>
      </c>
      <c r="E34" s="29">
        <f t="shared" ref="E34:E40" si="13">D34/$D$48</f>
        <v>0.14799211556000116</v>
      </c>
      <c r="F34" s="28">
        <f t="shared" ref="F34:F39" si="14">C34-(C34*$E$6)</f>
        <v>20.821512474523949</v>
      </c>
      <c r="G34" s="27" t="str">
        <f t="shared" ref="G34:G39" si="15">IF(C34&gt;=F34,"-","+")</f>
        <v>+</v>
      </c>
      <c r="H34" s="26">
        <f t="shared" ref="H34:H39" si="16">C34*D34</f>
        <v>51561.599999999999</v>
      </c>
      <c r="I34" s="26">
        <f t="shared" ref="I34:I39" si="17">F34*D34</f>
        <v>52370.268175922633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15.7</v>
      </c>
      <c r="D35" s="30"/>
      <c r="E35" s="29">
        <f t="shared" si="13"/>
        <v>0</v>
      </c>
      <c r="F35" s="28">
        <f t="shared" si="14"/>
        <v>15.946231504879316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12.797612545317159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33.4</v>
      </c>
      <c r="D37" s="30"/>
      <c r="E37" s="29">
        <f t="shared" si="13"/>
        <v>0</v>
      </c>
      <c r="F37" s="28">
        <f t="shared" si="14"/>
        <v>33.923830080443899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33.4</v>
      </c>
      <c r="D38" s="30"/>
      <c r="E38" s="29">
        <f t="shared" si="13"/>
        <v>0</v>
      </c>
      <c r="F38" s="28">
        <f t="shared" si="14"/>
        <v>33.923830080443899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34.6</v>
      </c>
      <c r="D39" s="30"/>
      <c r="E39" s="29">
        <f t="shared" si="13"/>
        <v>0</v>
      </c>
      <c r="F39" s="28">
        <f t="shared" si="14"/>
        <v>35.142650322855054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</v>
      </c>
      <c r="D40" s="22">
        <f>SUM(D34:D39)</f>
        <v>2515.1999999999998</v>
      </c>
      <c r="E40" s="113">
        <f t="shared" si="13"/>
        <v>0.14799211556000116</v>
      </c>
      <c r="F40" s="20">
        <f>I40/D40</f>
        <v>20.821512474523949</v>
      </c>
      <c r="G40" s="19">
        <f>F40/C40-1</f>
        <v>1.5683535342631671E-2</v>
      </c>
      <c r="H40" s="18">
        <f>SUM(H34:H39)</f>
        <v>51561.599999999999</v>
      </c>
      <c r="I40" s="18">
        <f>SUM(I34:I39)</f>
        <v>52370.268175922633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2732</v>
      </c>
      <c r="E42" s="107">
        <f>D42/$D$48</f>
        <v>0.16074843340884351</v>
      </c>
      <c r="F42" s="28">
        <f>C42-(C42*$E$6)</f>
        <v>0.50784176767131584</v>
      </c>
      <c r="G42" s="27" t="str">
        <f>IF(C42&gt;=F42,"-","+")</f>
        <v>+</v>
      </c>
      <c r="H42" s="26">
        <f>C42*D42</f>
        <v>1366</v>
      </c>
      <c r="I42" s="26">
        <f>F42*D42</f>
        <v>1387.4237092780349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130.69999999999999</v>
      </c>
      <c r="E43" s="107">
        <f>D43/$D$48</f>
        <v>7.6902709540760785E-3</v>
      </c>
      <c r="F43" s="28">
        <f>C43-(C43*$E$6)</f>
        <v>0.50784176767131584</v>
      </c>
      <c r="G43" s="27" t="str">
        <f>IF(C43&gt;=F43,"-","+")</f>
        <v>+</v>
      </c>
      <c r="H43" s="26">
        <f>C43*D43</f>
        <v>65.349999999999994</v>
      </c>
      <c r="I43" s="26">
        <f>F43*D43</f>
        <v>66.374919034640968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3.5303462681297989E-4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0.49895423013908741</v>
      </c>
      <c r="D46" s="22">
        <f>SUM(D41:D45)</f>
        <v>2868.7</v>
      </c>
      <c r="E46" s="113">
        <f>D46/$D$48</f>
        <v>0.16879173898973257</v>
      </c>
      <c r="F46" s="20">
        <f>I46/D46</f>
        <v>0.50677959644182935</v>
      </c>
      <c r="G46" s="19">
        <f>F46/C46-1</f>
        <v>1.5683535342631671E-2</v>
      </c>
      <c r="H46" s="18">
        <f>SUM(H41:H44)</f>
        <v>1431.35</v>
      </c>
      <c r="I46" s="18">
        <f>SUM(I41:I44)</f>
        <v>1453.7986283126759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108.31063668565444</v>
      </c>
      <c r="D48" s="13">
        <f>D24+D32+D40+D46</f>
        <v>16995.5</v>
      </c>
      <c r="E48" s="12">
        <f>SUM(E20:E46)/2</f>
        <v>1</v>
      </c>
      <c r="F48" s="11">
        <f>I48/D48</f>
        <v>28.949318643170248</v>
      </c>
      <c r="G48" s="10"/>
      <c r="H48" s="9">
        <f>SUM(H20:H46)/2</f>
        <v>484410.87</v>
      </c>
      <c r="I48" s="9">
        <f>SUM(I20:I46)/2</f>
        <v>492008.14499999996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16995.5</v>
      </c>
      <c r="E50" s="12">
        <f>D50/G2</f>
        <v>1.000023536195727</v>
      </c>
      <c r="F50" s="11">
        <f>I50/D50</f>
        <v>28.949318643170248</v>
      </c>
      <c r="G50" s="10"/>
      <c r="H50" s="9">
        <f>H48+H19</f>
        <v>484410.87</v>
      </c>
      <c r="I50" s="9">
        <f>I48+I19</f>
        <v>492008.14499999996</v>
      </c>
      <c r="J50" s="106">
        <f>D50-G2</f>
        <v>0.40000000000145519</v>
      </c>
      <c r="K50" s="8"/>
    </row>
    <row r="51" spans="1:11" ht="23.25" x14ac:dyDescent="0.35">
      <c r="A51" s="174" t="s">
        <v>685</v>
      </c>
      <c r="B51" s="169"/>
      <c r="C51" s="170"/>
      <c r="G51" s="7"/>
      <c r="H51" s="6"/>
      <c r="I51" s="6">
        <f>+I50/D50</f>
        <v>28.949318643170248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677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686</v>
      </c>
      <c r="D2" s="96" t="s">
        <v>3</v>
      </c>
      <c r="E2" s="95" t="s">
        <v>71</v>
      </c>
      <c r="F2" s="94" t="s">
        <v>5</v>
      </c>
      <c r="G2" s="93">
        <v>22906.799999999999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308</v>
      </c>
      <c r="F3" s="88" t="s">
        <v>8</v>
      </c>
      <c r="G3" s="87">
        <v>28.85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74.372727272727275</v>
      </c>
      <c r="F4" s="81" t="s">
        <v>12</v>
      </c>
      <c r="G4" s="80">
        <f>G2*G3</f>
        <v>660861.18000000005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1.6553351104172109E-2</v>
      </c>
      <c r="F6" s="69" t="s">
        <v>16</v>
      </c>
      <c r="G6" s="68">
        <f>(I50-I19)/(D50-(SUM(D42:D44)+D19))</f>
        <v>33.646529603908171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28.9</v>
      </c>
      <c r="D10" s="30"/>
      <c r="E10" s="29">
        <f t="shared" ref="E10:E19" si="1">D10/$D$19</f>
        <v>0</v>
      </c>
      <c r="F10" s="28">
        <f t="shared" ref="F10:F18" si="2">C10-(C10*$E$6)</f>
        <v>28.421608153089423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</v>
      </c>
      <c r="D11" s="30">
        <v>2622.4</v>
      </c>
      <c r="E11" s="29">
        <f t="shared" si="1"/>
        <v>0.70082043881450595</v>
      </c>
      <c r="F11" s="28">
        <f t="shared" si="2"/>
        <v>29.503399466874836</v>
      </c>
      <c r="G11" s="27" t="str">
        <f t="shared" si="3"/>
        <v>-</v>
      </c>
      <c r="H11" s="34">
        <f t="shared" si="4"/>
        <v>78672</v>
      </c>
      <c r="I11" s="34">
        <f t="shared" si="5"/>
        <v>77369.71476193257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27.4</v>
      </c>
      <c r="D12" s="30">
        <v>465.9</v>
      </c>
      <c r="E12" s="29">
        <f t="shared" si="1"/>
        <v>0.12450893930890723</v>
      </c>
      <c r="F12" s="28">
        <f t="shared" si="2"/>
        <v>26.946438179745684</v>
      </c>
      <c r="G12" s="27" t="str">
        <f t="shared" si="3"/>
        <v>-</v>
      </c>
      <c r="H12" s="34">
        <f t="shared" si="4"/>
        <v>12765.659999999998</v>
      </c>
      <c r="I12" s="34">
        <f t="shared" si="5"/>
        <v>12554.345547943514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</v>
      </c>
      <c r="D13" s="30">
        <v>139.6</v>
      </c>
      <c r="E13" s="29">
        <f t="shared" si="1"/>
        <v>3.7307250327373795E-2</v>
      </c>
      <c r="F13" s="28">
        <f t="shared" si="2"/>
        <v>29.503399466874836</v>
      </c>
      <c r="G13" s="27" t="str">
        <f t="shared" si="3"/>
        <v>-</v>
      </c>
      <c r="H13" s="34">
        <f t="shared" si="4"/>
        <v>4188</v>
      </c>
      <c r="I13" s="34">
        <f t="shared" si="5"/>
        <v>4118.6745655757268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33.6</v>
      </c>
      <c r="D14" s="30">
        <v>156</v>
      </c>
      <c r="E14" s="29">
        <f t="shared" si="1"/>
        <v>4.1690050509099658E-2</v>
      </c>
      <c r="F14" s="28">
        <f t="shared" si="2"/>
        <v>33.043807402899816</v>
      </c>
      <c r="G14" s="27" t="str">
        <f t="shared" si="3"/>
        <v>-</v>
      </c>
      <c r="H14" s="34">
        <f t="shared" si="4"/>
        <v>5241.6000000000004</v>
      </c>
      <c r="I14" s="34">
        <f t="shared" si="5"/>
        <v>5154.8339548523709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27.7</v>
      </c>
      <c r="D15" s="30">
        <v>123</v>
      </c>
      <c r="E15" s="29">
        <f t="shared" si="1"/>
        <v>3.2871001362943957E-2</v>
      </c>
      <c r="F15" s="28">
        <f t="shared" si="2"/>
        <v>27.241472174414433</v>
      </c>
      <c r="G15" s="27" t="str">
        <f t="shared" si="3"/>
        <v>-</v>
      </c>
      <c r="H15" s="34">
        <f t="shared" si="4"/>
        <v>3407.1</v>
      </c>
      <c r="I15" s="34">
        <f t="shared" si="5"/>
        <v>3350.7010774529754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37.9</v>
      </c>
      <c r="D16" s="30"/>
      <c r="E16" s="29">
        <f t="shared" si="1"/>
        <v>0</v>
      </c>
      <c r="F16" s="28">
        <f t="shared" si="2"/>
        <v>37.272627993151879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55.8</v>
      </c>
      <c r="D17" s="30">
        <f>205+30</f>
        <v>235</v>
      </c>
      <c r="E17" s="29">
        <f t="shared" si="1"/>
        <v>6.2802319677169358E-2</v>
      </c>
      <c r="F17" s="28">
        <f t="shared" si="2"/>
        <v>54.876323008387196</v>
      </c>
      <c r="G17" s="27" t="str">
        <f t="shared" si="3"/>
        <v>-</v>
      </c>
      <c r="H17" s="34">
        <f t="shared" si="4"/>
        <v>13113</v>
      </c>
      <c r="I17" s="34">
        <f t="shared" si="5"/>
        <v>12895.935906970992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48.9</v>
      </c>
      <c r="D18" s="30"/>
      <c r="E18" s="29">
        <f t="shared" si="1"/>
        <v>0</v>
      </c>
      <c r="F18" s="28">
        <f t="shared" si="2"/>
        <v>48.090541131005985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31.371057484165803</v>
      </c>
      <c r="D19" s="49">
        <f>SUM(D10:D18)</f>
        <v>3741.9</v>
      </c>
      <c r="E19" s="48">
        <f t="shared" si="1"/>
        <v>1</v>
      </c>
      <c r="F19" s="47">
        <f>I19/D19</f>
        <v>30.85176135512123</v>
      </c>
      <c r="G19" s="46">
        <f>F19/C19-1</f>
        <v>-1.6553351104172442E-2</v>
      </c>
      <c r="H19" s="9">
        <f>SUM(H10:H18)</f>
        <v>117387.36000000002</v>
      </c>
      <c r="I19" s="9">
        <f>SUM(I10:I18)</f>
        <v>115444.20581472814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72.599999999999994</v>
      </c>
      <c r="D21" s="30">
        <v>215.4</v>
      </c>
      <c r="E21" s="29">
        <f>D21/$D$48</f>
        <v>1.1239355485055936E-2</v>
      </c>
      <c r="F21" s="28">
        <f>C21-(C21*$E$6)</f>
        <v>71.398226709837104</v>
      </c>
      <c r="G21" s="27" t="str">
        <f>IF(C21&gt;=F21,"-","+")</f>
        <v>-</v>
      </c>
      <c r="H21" s="26">
        <f>C21*D21</f>
        <v>15638.039999999999</v>
      </c>
      <c r="I21" s="26">
        <f>F21*D21</f>
        <v>15379.178033298913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48.7</v>
      </c>
      <c r="D22" s="30">
        <v>586.9</v>
      </c>
      <c r="E22" s="29">
        <f>D22/$D$48</f>
        <v>3.0623852062113877E-2</v>
      </c>
      <c r="F22" s="28">
        <f>C22-(C22*$E$6)</f>
        <v>47.893851801226823</v>
      </c>
      <c r="G22" s="27" t="str">
        <f>IF(C22&gt;=F22,"-","+")</f>
        <v>-</v>
      </c>
      <c r="H22" s="26">
        <f>C22*D22</f>
        <v>28582.03</v>
      </c>
      <c r="I22" s="26">
        <f>F22*D22</f>
        <v>28108.90162214002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44.4</v>
      </c>
      <c r="D23" s="30">
        <v>414.4</v>
      </c>
      <c r="E23" s="29">
        <f>D23/$D$48</f>
        <v>2.1622975455000835E-2</v>
      </c>
      <c r="F23" s="28">
        <f>C23-(C23*$E$6)</f>
        <v>43.66503121097476</v>
      </c>
      <c r="G23" s="27" t="str">
        <f>IF(C23&gt;=F23,"-","+")</f>
        <v>-</v>
      </c>
      <c r="H23" s="26">
        <f>C23*D23</f>
        <v>18399.359999999997</v>
      </c>
      <c r="I23" s="26">
        <f>F23*D23</f>
        <v>18094.788933827938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51.466614613298269</v>
      </c>
      <c r="D24" s="22">
        <f>SUM(D21:D23)</f>
        <v>1216.6999999999998</v>
      </c>
      <c r="E24" s="21">
        <f>D24/$D$48</f>
        <v>6.348618300217064E-2</v>
      </c>
      <c r="F24" s="20">
        <f>I24/D24</f>
        <v>50.614669671461236</v>
      </c>
      <c r="G24" s="19">
        <f>F24/C24-1</f>
        <v>-1.6553351104171998E-2</v>
      </c>
      <c r="H24" s="18">
        <f>SUM(H21:H23)</f>
        <v>62619.429999999993</v>
      </c>
      <c r="I24" s="18">
        <f>SUM(I21:I23)</f>
        <v>61582.868589266873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38.700000000000003</v>
      </c>
      <c r="D26" s="30">
        <f>564.2+489.2+41.4+3118.8</f>
        <v>4213.6000000000004</v>
      </c>
      <c r="E26" s="29">
        <f t="shared" ref="E26:E32" si="7">D26/$D$48</f>
        <v>0.2198614125897479</v>
      </c>
      <c r="F26" s="28">
        <f t="shared" ref="F26:F31" si="8">C26-(C26*$E$6)</f>
        <v>38.059385312268539</v>
      </c>
      <c r="G26" s="27" t="str">
        <f t="shared" ref="G26:G31" si="9">IF(C26&gt;=F26,"-","+")</f>
        <v>-</v>
      </c>
      <c r="H26" s="26">
        <f t="shared" ref="H26:H31" si="10">C26*D26</f>
        <v>163066.32000000004</v>
      </c>
      <c r="I26" s="26">
        <f t="shared" ref="I26:I31" si="11">F26*D26</f>
        <v>160367.02595177473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34.5</v>
      </c>
      <c r="D27" s="30">
        <v>2863.6</v>
      </c>
      <c r="E27" s="29">
        <f t="shared" si="7"/>
        <v>0.14941976957755887</v>
      </c>
      <c r="F27" s="28">
        <f t="shared" si="8"/>
        <v>33.928909386906064</v>
      </c>
      <c r="G27" s="27" t="str">
        <f t="shared" si="9"/>
        <v>-</v>
      </c>
      <c r="H27" s="26">
        <f t="shared" si="10"/>
        <v>98794.2</v>
      </c>
      <c r="I27" s="26">
        <f t="shared" si="11"/>
        <v>97158.824920344196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34.5</v>
      </c>
      <c r="D28" s="30">
        <v>1982.3</v>
      </c>
      <c r="E28" s="29">
        <f t="shared" si="7"/>
        <v>0.1034344214393054</v>
      </c>
      <c r="F28" s="28">
        <f t="shared" si="8"/>
        <v>33.928909386906064</v>
      </c>
      <c r="G28" s="27" t="str">
        <f t="shared" si="9"/>
        <v>-</v>
      </c>
      <c r="H28" s="26">
        <f t="shared" si="10"/>
        <v>68389.349999999991</v>
      </c>
      <c r="I28" s="26">
        <f t="shared" si="11"/>
        <v>67257.277077663894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33.299999999999997</v>
      </c>
      <c r="D29" s="30">
        <v>1695.4</v>
      </c>
      <c r="E29" s="29">
        <f t="shared" si="7"/>
        <v>8.8464267824344633E-2</v>
      </c>
      <c r="F29" s="28">
        <f t="shared" si="8"/>
        <v>32.748773408231067</v>
      </c>
      <c r="G29" s="27" t="str">
        <f t="shared" si="9"/>
        <v>-</v>
      </c>
      <c r="H29" s="26">
        <f t="shared" si="10"/>
        <v>56456.82</v>
      </c>
      <c r="I29" s="26">
        <f t="shared" si="11"/>
        <v>55522.270436314953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33.299999999999997</v>
      </c>
      <c r="D30" s="30">
        <v>1170.4000000000001</v>
      </c>
      <c r="E30" s="29">
        <f t="shared" si="7"/>
        <v>6.1070295541826691E-2</v>
      </c>
      <c r="F30" s="28">
        <f t="shared" si="8"/>
        <v>32.748773408231067</v>
      </c>
      <c r="G30" s="27" t="str">
        <f t="shared" si="9"/>
        <v>-</v>
      </c>
      <c r="H30" s="26">
        <f t="shared" si="10"/>
        <v>38974.32</v>
      </c>
      <c r="I30" s="26">
        <f t="shared" si="11"/>
        <v>38329.164396993641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33.9</v>
      </c>
      <c r="D31" s="30">
        <v>198.6</v>
      </c>
      <c r="E31" s="29">
        <f t="shared" si="7"/>
        <v>1.0362748372015361E-2</v>
      </c>
      <c r="F31" s="28">
        <f t="shared" si="8"/>
        <v>33.338841397568565</v>
      </c>
      <c r="G31" s="27" t="str">
        <f t="shared" si="9"/>
        <v>-</v>
      </c>
      <c r="H31" s="26">
        <f t="shared" si="10"/>
        <v>6732.54</v>
      </c>
      <c r="I31" s="26">
        <f t="shared" si="11"/>
        <v>6621.0939015571166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35.666208893177938</v>
      </c>
      <c r="D32" s="22">
        <f>SUM(D26:D31)</f>
        <v>12123.9</v>
      </c>
      <c r="E32" s="21">
        <f t="shared" si="7"/>
        <v>0.6326129153447988</v>
      </c>
      <c r="F32" s="20">
        <f>I32/D32</f>
        <v>35.075813614814415</v>
      </c>
      <c r="G32" s="19">
        <f>F32/C32-1</f>
        <v>-1.655335110417222E-2</v>
      </c>
      <c r="H32" s="18">
        <f>SUM(H26:H31)</f>
        <v>432413.55</v>
      </c>
      <c r="I32" s="18">
        <f>SUM(I26:I31)</f>
        <v>425255.65668464848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20.399999999999999</v>
      </c>
      <c r="D34" s="30">
        <v>2793.6</v>
      </c>
      <c r="E34" s="29">
        <f t="shared" ref="E34:E40" si="13">D34/$D$48</f>
        <v>0.1457672399398898</v>
      </c>
      <c r="F34" s="28">
        <f t="shared" ref="F34:F39" si="14">C34-(C34*$E$6)</f>
        <v>20.062311637474888</v>
      </c>
      <c r="G34" s="27" t="str">
        <f t="shared" ref="G34:G39" si="15">IF(C34&gt;=F34,"-","+")</f>
        <v>-</v>
      </c>
      <c r="H34" s="26">
        <f t="shared" ref="H34:H39" si="16">C34*D34</f>
        <v>56989.439999999995</v>
      </c>
      <c r="I34" s="26">
        <f t="shared" ref="I34:I39" si="17">F34*D34</f>
        <v>56046.073790449846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15.7</v>
      </c>
      <c r="D35" s="30">
        <v>70</v>
      </c>
      <c r="E35" s="29">
        <f t="shared" si="13"/>
        <v>3.6525296376690602E-3</v>
      </c>
      <c r="F35" s="28">
        <f t="shared" si="14"/>
        <v>15.440112387664497</v>
      </c>
      <c r="G35" s="27" t="str">
        <f t="shared" si="15"/>
        <v>-</v>
      </c>
      <c r="H35" s="26">
        <f t="shared" si="16"/>
        <v>1099</v>
      </c>
      <c r="I35" s="26">
        <f t="shared" si="17"/>
        <v>1080.8078671365147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12.391427776087431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33.299999999999997</v>
      </c>
      <c r="D37" s="30"/>
      <c r="E37" s="29">
        <f t="shared" si="13"/>
        <v>0</v>
      </c>
      <c r="F37" s="28">
        <f t="shared" si="14"/>
        <v>32.748773408231067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33.299999999999997</v>
      </c>
      <c r="D38" s="30"/>
      <c r="E38" s="29">
        <f t="shared" si="13"/>
        <v>0</v>
      </c>
      <c r="F38" s="28">
        <f t="shared" si="14"/>
        <v>32.748773408231067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34.5</v>
      </c>
      <c r="D39" s="30"/>
      <c r="E39" s="29">
        <f t="shared" si="13"/>
        <v>0</v>
      </c>
      <c r="F39" s="28">
        <f t="shared" si="14"/>
        <v>33.928909386906064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20.285109652186058</v>
      </c>
      <c r="D40" s="22">
        <f>SUM(D34:D39)</f>
        <v>2863.6</v>
      </c>
      <c r="E40" s="113">
        <f t="shared" si="13"/>
        <v>0.14941976957755887</v>
      </c>
      <c r="F40" s="20">
        <f>I40/D40</f>
        <v>19.949323109926791</v>
      </c>
      <c r="G40" s="19">
        <f>F40/C40-1</f>
        <v>-1.6553351104172109E-2</v>
      </c>
      <c r="H40" s="18">
        <f>SUM(H34:H39)</f>
        <v>58088.439999999995</v>
      </c>
      <c r="I40" s="18">
        <f>SUM(I34:I39)</f>
        <v>57126.88165758636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2824</v>
      </c>
      <c r="E42" s="107">
        <f>D42/$D$48</f>
        <v>0.14735348138253465</v>
      </c>
      <c r="F42" s="28">
        <f>C42-(C42*$E$6)</f>
        <v>0.49172332444791395</v>
      </c>
      <c r="G42" s="27" t="str">
        <f>IF(C42&gt;=F42,"-","+")</f>
        <v>-</v>
      </c>
      <c r="H42" s="26">
        <f>C42*D42</f>
        <v>1412</v>
      </c>
      <c r="I42" s="26">
        <f>F42*D42</f>
        <v>1388.6266682409089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128</v>
      </c>
      <c r="E43" s="107">
        <f>D43/$D$48</f>
        <v>6.6789113374519952E-3</v>
      </c>
      <c r="F43" s="28">
        <f>C43-(C43*$E$6)</f>
        <v>0.49172332444791395</v>
      </c>
      <c r="G43" s="27" t="str">
        <f>IF(C43&gt;=F43,"-","+")</f>
        <v>-</v>
      </c>
      <c r="H43" s="26">
        <f>C43*D43</f>
        <v>64</v>
      </c>
      <c r="I43" s="26">
        <f>F43*D43</f>
        <v>62.940585529332985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2.6</v>
      </c>
      <c r="E44" s="107">
        <f>D44/$D$48</f>
        <v>1.3566538654199365E-4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3.1307396894306232E-4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0.49854759170438429</v>
      </c>
      <c r="D46" s="22">
        <f>SUM(D41:D45)</f>
        <v>2960.6</v>
      </c>
      <c r="E46" s="113">
        <f>D46/$D$48</f>
        <v>0.15448113207547171</v>
      </c>
      <c r="F46" s="20">
        <f>I46/D46</f>
        <v>0.49029495837676212</v>
      </c>
      <c r="G46" s="19">
        <f>F46/C46-1</f>
        <v>-1.655335110417222E-2</v>
      </c>
      <c r="H46" s="18">
        <f>SUM(H41:H44)</f>
        <v>1476</v>
      </c>
      <c r="I46" s="18">
        <f>SUM(I41:I44)</f>
        <v>1451.5672537702419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107.91648075036665</v>
      </c>
      <c r="D48" s="13">
        <f>D24+D32+D40+D46</f>
        <v>19164.8</v>
      </c>
      <c r="E48" s="12">
        <f>SUM(E20:E46)/2</f>
        <v>0.99999999999999989</v>
      </c>
      <c r="F48" s="11">
        <f>I48/D48</f>
        <v>28.459309472849814</v>
      </c>
      <c r="G48" s="10"/>
      <c r="H48" s="9">
        <f>SUM(H20:H46)/2</f>
        <v>554597.41999999993</v>
      </c>
      <c r="I48" s="9">
        <f>SUM(I20:I46)/2</f>
        <v>545416.97418527212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22906.699999999997</v>
      </c>
      <c r="E50" s="12">
        <f>D50/G2</f>
        <v>0.99999563448408324</v>
      </c>
      <c r="F50" s="11">
        <f>I50/D50</f>
        <v>28.850125945684031</v>
      </c>
      <c r="G50" s="10"/>
      <c r="H50" s="9">
        <f>H48+H19</f>
        <v>671984.77999999991</v>
      </c>
      <c r="I50" s="9">
        <f>I48+I19</f>
        <v>660861.18000000028</v>
      </c>
      <c r="J50" s="106">
        <f>D50-G2</f>
        <v>-0.10000000000218279</v>
      </c>
      <c r="K50" s="8"/>
    </row>
    <row r="51" spans="1:11" ht="23.25" x14ac:dyDescent="0.35">
      <c r="A51" s="174" t="s">
        <v>687</v>
      </c>
      <c r="B51" s="169"/>
      <c r="C51" s="170"/>
      <c r="G51" s="7"/>
      <c r="H51" s="6"/>
      <c r="I51" s="6">
        <f>+I50/D50</f>
        <v>28.850125945684031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>
    <tabColor rgb="FF92D050"/>
  </sheetPr>
  <dimension ref="A1:K56"/>
  <sheetViews>
    <sheetView topLeftCell="A3" workbookViewId="0">
      <selection activeCell="A3"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684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686</v>
      </c>
      <c r="D2" s="96" t="s">
        <v>3</v>
      </c>
      <c r="E2" s="95" t="s">
        <v>112</v>
      </c>
      <c r="F2" s="94" t="s">
        <v>5</v>
      </c>
      <c r="G2" s="93">
        <v>3610.8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64</v>
      </c>
      <c r="F3" s="88" t="s">
        <v>8</v>
      </c>
      <c r="G3" s="87">
        <v>24.98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56.418750000000003</v>
      </c>
      <c r="F4" s="81" t="s">
        <v>12</v>
      </c>
      <c r="G4" s="80">
        <f>G2*G3</f>
        <v>90197.784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-5.7044094587848315E-2</v>
      </c>
      <c r="F6" s="69" t="s">
        <v>16</v>
      </c>
      <c r="G6" s="68">
        <f>(I50-I19)/(D50-(SUM(D42:D44)+D19))</f>
        <v>31.276321647768651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26.426102364696209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27.483146459284058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25.157649451190792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27.483146459284058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 t="e">
        <f t="shared" si="1"/>
        <v>#DIV/0!</v>
      </c>
      <c r="F14" s="28">
        <f t="shared" si="2"/>
        <v>30.759983152506386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25.369058270108361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32.799999999999997</v>
      </c>
      <c r="D16" s="30"/>
      <c r="E16" s="29" t="e">
        <f t="shared" si="1"/>
        <v>#DIV/0!</v>
      </c>
      <c r="F16" s="28">
        <f t="shared" si="2"/>
        <v>34.671046302481422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/>
      <c r="E17" s="29" t="e">
        <f t="shared" si="1"/>
        <v>#DIV/0!</v>
      </c>
      <c r="F17" s="28">
        <f t="shared" si="2"/>
        <v>51.055229768593072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42.3</v>
      </c>
      <c r="D18" s="30"/>
      <c r="E18" s="29" t="e">
        <f t="shared" si="1"/>
        <v>#DIV/0!</v>
      </c>
      <c r="F18" s="28">
        <f t="shared" si="2"/>
        <v>44.712965201065984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62.8</v>
      </c>
      <c r="D21" s="30">
        <v>48.2</v>
      </c>
      <c r="E21" s="29">
        <f>D21/$D$48</f>
        <v>1.3348842361803481E-2</v>
      </c>
      <c r="F21" s="28">
        <f>C21-(C21*$E$6)</f>
        <v>66.382369140116865</v>
      </c>
      <c r="G21" s="27" t="str">
        <f>IF(C21&gt;=F21,"-","+")</f>
        <v>+</v>
      </c>
      <c r="H21" s="26">
        <f>C21*D21</f>
        <v>3026.96</v>
      </c>
      <c r="I21" s="26">
        <f>F21*D21</f>
        <v>3199.6301925536332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91.4</v>
      </c>
      <c r="E22" s="29">
        <f>D22/$D$48</f>
        <v>2.5312950038772576E-2</v>
      </c>
      <c r="F22" s="28">
        <f>C22-(C22*$E$6)</f>
        <v>44.607260791607203</v>
      </c>
      <c r="G22" s="27" t="str">
        <f>IF(C22&gt;=F22,"-","+")</f>
        <v>+</v>
      </c>
      <c r="H22" s="26">
        <f>C22*D22</f>
        <v>3857.0800000000004</v>
      </c>
      <c r="I22" s="26">
        <f>F22*D22</f>
        <v>4077.1036363528988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>
        <v>75.2</v>
      </c>
      <c r="E23" s="29">
        <f>D23/$D$48</f>
        <v>2.0826409659909163E-2</v>
      </c>
      <c r="F23" s="28">
        <f>C23-(C23*$E$6)</f>
        <v>40.69619764163216</v>
      </c>
      <c r="G23" s="27" t="str">
        <f>IF(C23&gt;=F23,"-","+")</f>
        <v>+</v>
      </c>
      <c r="H23" s="26">
        <f>C23*D23</f>
        <v>2895.2000000000003</v>
      </c>
      <c r="I23" s="26">
        <f>F23*D23</f>
        <v>3060.3540626507388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45.527188081936693</v>
      </c>
      <c r="D24" s="22">
        <f>SUM(D21:D23)</f>
        <v>214.8</v>
      </c>
      <c r="E24" s="21">
        <f>D24/$D$48</f>
        <v>5.9488202060485218E-2</v>
      </c>
      <c r="F24" s="20">
        <f>I24/D24</f>
        <v>48.124245305201441</v>
      </c>
      <c r="G24" s="19">
        <f>F24/C24-1</f>
        <v>5.7044094587848093E-2</v>
      </c>
      <c r="H24" s="18">
        <f>SUM(H21:H23)</f>
        <v>9779.2400000000016</v>
      </c>
      <c r="I24" s="18">
        <f>SUM(I21:I23)</f>
        <v>10337.08789155727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v>685.4</v>
      </c>
      <c r="E26" s="29">
        <f t="shared" ref="E26:E32" si="7">D26/$D$48</f>
        <v>0.1898194305970976</v>
      </c>
      <c r="F26" s="28">
        <f t="shared" ref="F26:F31" si="8">C26-(C26*$E$6)</f>
        <v>35.410977168692916</v>
      </c>
      <c r="G26" s="27" t="str">
        <f t="shared" ref="G26:G31" si="9">IF(C26&gt;=F26,"-","+")</f>
        <v>+</v>
      </c>
      <c r="H26" s="26">
        <f t="shared" ref="H26:H31" si="10">C26*D26</f>
        <v>22960.899999999998</v>
      </c>
      <c r="I26" s="26">
        <f t="shared" ref="I26:I31" si="11">F26*D26</f>
        <v>24270.683751422122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574.20000000000005</v>
      </c>
      <c r="E27" s="29">
        <f t="shared" si="7"/>
        <v>0.15902293120638089</v>
      </c>
      <c r="F27" s="28">
        <f t="shared" si="8"/>
        <v>31.605618428176662</v>
      </c>
      <c r="G27" s="27" t="str">
        <f t="shared" si="9"/>
        <v>+</v>
      </c>
      <c r="H27" s="26">
        <f t="shared" si="10"/>
        <v>17168.580000000002</v>
      </c>
      <c r="I27" s="26">
        <f t="shared" si="11"/>
        <v>18147.946101459042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322.8</v>
      </c>
      <c r="E28" s="29">
        <f t="shared" si="7"/>
        <v>8.9398471252907952E-2</v>
      </c>
      <c r="F28" s="28">
        <f t="shared" si="8"/>
        <v>31.605618428176662</v>
      </c>
      <c r="G28" s="27" t="str">
        <f t="shared" si="9"/>
        <v>+</v>
      </c>
      <c r="H28" s="26">
        <f t="shared" si="10"/>
        <v>9651.7199999999993</v>
      </c>
      <c r="I28" s="26">
        <f t="shared" si="11"/>
        <v>10202.293628615427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283</v>
      </c>
      <c r="E29" s="29">
        <f t="shared" si="7"/>
        <v>7.8375983161626236E-2</v>
      </c>
      <c r="F29" s="28">
        <f t="shared" si="8"/>
        <v>30.548574333588814</v>
      </c>
      <c r="G29" s="27" t="str">
        <f t="shared" si="9"/>
        <v>+</v>
      </c>
      <c r="H29" s="26">
        <f t="shared" si="10"/>
        <v>8178.7</v>
      </c>
      <c r="I29" s="26">
        <f t="shared" si="11"/>
        <v>8645.2465364056352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235</v>
      </c>
      <c r="E30" s="29">
        <f t="shared" si="7"/>
        <v>6.5082530187216131E-2</v>
      </c>
      <c r="F30" s="28">
        <f t="shared" si="8"/>
        <v>30.548574333588814</v>
      </c>
      <c r="G30" s="27" t="str">
        <f t="shared" si="9"/>
        <v>+</v>
      </c>
      <c r="H30" s="26">
        <f t="shared" si="10"/>
        <v>6791.5</v>
      </c>
      <c r="I30" s="26">
        <f t="shared" si="11"/>
        <v>7178.9149683933711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47.4</v>
      </c>
      <c r="E31" s="29">
        <f t="shared" si="7"/>
        <v>1.3127284812229977E-2</v>
      </c>
      <c r="F31" s="28">
        <f t="shared" si="8"/>
        <v>31.07709638088274</v>
      </c>
      <c r="G31" s="27" t="str">
        <f t="shared" si="9"/>
        <v>+</v>
      </c>
      <c r="H31" s="26">
        <f t="shared" si="10"/>
        <v>1393.56</v>
      </c>
      <c r="I31" s="26">
        <f t="shared" si="11"/>
        <v>1473.0543684538418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30.796610485147593</v>
      </c>
      <c r="D32" s="22">
        <f>SUM(D26:D31)</f>
        <v>2147.7999999999997</v>
      </c>
      <c r="E32" s="21">
        <f t="shared" si="7"/>
        <v>0.59482663121745871</v>
      </c>
      <c r="F32" s="20">
        <f>I32/D32</f>
        <v>32.553375246647477</v>
      </c>
      <c r="G32" s="19">
        <f>F32/C32-1</f>
        <v>5.7044094587848537E-2</v>
      </c>
      <c r="H32" s="18">
        <f>SUM(H26:H31)</f>
        <v>66144.959999999992</v>
      </c>
      <c r="I32" s="18">
        <f>SUM(I26:I31)</f>
        <v>69918.139354749437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v>518</v>
      </c>
      <c r="E34" s="29">
        <f t="shared" ref="E34:E40" si="13">D34/$D$48</f>
        <v>0.14345851334884238</v>
      </c>
      <c r="F34" s="28">
        <f t="shared" ref="F34:F39" si="14">C34-(C34*$E$6)</f>
        <v>18.603976064746131</v>
      </c>
      <c r="G34" s="27" t="str">
        <f t="shared" ref="G34:G39" si="15">IF(C34&gt;=F34,"-","+")</f>
        <v>+</v>
      </c>
      <c r="H34" s="26">
        <f t="shared" ref="H34:H39" si="16">C34*D34</f>
        <v>9116.8000000000011</v>
      </c>
      <c r="I34" s="26">
        <f t="shared" ref="I34:I39" si="17">F34*D34</f>
        <v>9636.8596015384956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/>
      <c r="E35" s="29">
        <f t="shared" si="13"/>
        <v>0</v>
      </c>
      <c r="F35" s="28">
        <f t="shared" si="14"/>
        <v>14.375799686394737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11.521780631007546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30.548574333588814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30.548574333588814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31.605618428176662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17.600000000000001</v>
      </c>
      <c r="D40" s="22">
        <f>SUM(D34:D39)</f>
        <v>518</v>
      </c>
      <c r="E40" s="113">
        <f t="shared" si="13"/>
        <v>0.14345851334884238</v>
      </c>
      <c r="F40" s="20">
        <f>I40/D40</f>
        <v>18.603976064746131</v>
      </c>
      <c r="G40" s="19">
        <f>F40/C40-1</f>
        <v>5.7044094587848315E-2</v>
      </c>
      <c r="H40" s="18">
        <f>SUM(H34:H39)</f>
        <v>9116.8000000000011</v>
      </c>
      <c r="I40" s="18">
        <f>SUM(I34:I39)</f>
        <v>9636.8596015384956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696</v>
      </c>
      <c r="E42" s="107">
        <f>D42/$D$48</f>
        <v>0.19275506812894652</v>
      </c>
      <c r="F42" s="28">
        <f>C42-(C42*$E$6)</f>
        <v>0.42281763783513937</v>
      </c>
      <c r="G42" s="27" t="str">
        <f>IF(C42&gt;=F42,"-","+")</f>
        <v>+</v>
      </c>
      <c r="H42" s="26">
        <f>C42*D42</f>
        <v>278.40000000000003</v>
      </c>
      <c r="I42" s="26">
        <f>F42*D42</f>
        <v>294.281075933257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27</v>
      </c>
      <c r="E43" s="107">
        <f>D43/$D$48</f>
        <v>7.4775672981056834E-3</v>
      </c>
      <c r="F43" s="28">
        <f>C43-(C43*$E$6)</f>
        <v>0.42281763783513937</v>
      </c>
      <c r="G43" s="27" t="str">
        <f>IF(C43&gt;=F43,"-","+")</f>
        <v>+</v>
      </c>
      <c r="H43" s="26">
        <f>C43*D43</f>
        <v>10.8</v>
      </c>
      <c r="I43" s="26">
        <f>F43*D43</f>
        <v>11.416076221548764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3.9</v>
      </c>
      <c r="E44" s="107">
        <f>D44/$D$48</f>
        <v>1.0800930541708209E-3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3.3</v>
      </c>
      <c r="E45" s="107">
        <f>D45/$D$48</f>
        <v>9.1392489199069462E-4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0.39605587510271167</v>
      </c>
      <c r="D46" s="22">
        <f>SUM(D41:D45)</f>
        <v>730.19999999999993</v>
      </c>
      <c r="E46" s="113">
        <f>D46/$D$48</f>
        <v>0.20222665337321369</v>
      </c>
      <c r="F46" s="20">
        <f>I46/D46</f>
        <v>0.41864852390414375</v>
      </c>
      <c r="G46" s="19">
        <f>F46/C46-1</f>
        <v>5.7044094587848315E-2</v>
      </c>
      <c r="H46" s="18">
        <f>SUM(H41:H44)</f>
        <v>289.20000000000005</v>
      </c>
      <c r="I46" s="18">
        <f>SUM(I41:I44)</f>
        <v>305.69715215480574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94.319854442186994</v>
      </c>
      <c r="D48" s="13">
        <f>D24+D32+D40+D46</f>
        <v>3610.7999999999997</v>
      </c>
      <c r="E48" s="12">
        <f>SUM(E20:E46)/2</f>
        <v>1.0000000000000002</v>
      </c>
      <c r="F48" s="11">
        <f>I48/D48</f>
        <v>24.98</v>
      </c>
      <c r="G48" s="10"/>
      <c r="H48" s="9">
        <f>SUM(H20:H46)/2</f>
        <v>85330.199999999983</v>
      </c>
      <c r="I48" s="9">
        <f>SUM(I20:I46)/2</f>
        <v>90197.784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3610.7999999999997</v>
      </c>
      <c r="E50" s="12">
        <f>D50/G2</f>
        <v>0.99999999999999989</v>
      </c>
      <c r="F50" s="11">
        <f>I50/D50</f>
        <v>24.98</v>
      </c>
      <c r="G50" s="10"/>
      <c r="H50" s="9">
        <f>H48+H19</f>
        <v>85330.199999999983</v>
      </c>
      <c r="I50" s="9">
        <f>I48+I19</f>
        <v>90197.784</v>
      </c>
      <c r="J50" s="106">
        <f>D50-G2</f>
        <v>0</v>
      </c>
      <c r="K50" s="8"/>
    </row>
    <row r="51" spans="1:11" ht="23.25" x14ac:dyDescent="0.35">
      <c r="A51" s="174" t="s">
        <v>688</v>
      </c>
      <c r="B51" s="169"/>
      <c r="C51" s="170"/>
      <c r="G51" s="7"/>
      <c r="H51" s="6"/>
      <c r="I51" s="6">
        <f>+I50/D50</f>
        <v>24.98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677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686</v>
      </c>
      <c r="D2" s="96" t="s">
        <v>3</v>
      </c>
      <c r="E2" s="95" t="s">
        <v>71</v>
      </c>
      <c r="F2" s="94" t="s">
        <v>5</v>
      </c>
      <c r="G2" s="93">
        <v>1484.9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20</v>
      </c>
      <c r="F3" s="88" t="s">
        <v>8</v>
      </c>
      <c r="G3" s="87">
        <v>28.7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74.245000000000005</v>
      </c>
      <c r="F4" s="81" t="s">
        <v>12</v>
      </c>
      <c r="G4" s="80">
        <f>G2*G3</f>
        <v>42616.630000000005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-6.3151148817723879E-3</v>
      </c>
      <c r="F6" s="69" t="s">
        <v>16</v>
      </c>
      <c r="G6" s="68" t="e">
        <f>(I50-I19)/(D50-(SUM(D42:D44)+D19))</f>
        <v>#DIV/0!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28.7</v>
      </c>
      <c r="D10" s="30"/>
      <c r="E10" s="29">
        <f t="shared" ref="E10:E19" si="1">D10/$D$19</f>
        <v>0</v>
      </c>
      <c r="F10" s="28">
        <f t="shared" ref="F10:F18" si="2">C10-(C10*$E$6)</f>
        <v>28.881243797106865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29.9</v>
      </c>
      <c r="D11" s="30">
        <v>696.7</v>
      </c>
      <c r="E11" s="29">
        <f t="shared" si="1"/>
        <v>0.46918984443396861</v>
      </c>
      <c r="F11" s="28">
        <f t="shared" si="2"/>
        <v>30.088821934964994</v>
      </c>
      <c r="G11" s="27" t="str">
        <f t="shared" si="3"/>
        <v>+</v>
      </c>
      <c r="H11" s="34">
        <f t="shared" si="4"/>
        <v>20831.330000000002</v>
      </c>
      <c r="I11" s="34">
        <f t="shared" si="5"/>
        <v>20962.882242090112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27.3</v>
      </c>
      <c r="D12" s="30">
        <v>788.2</v>
      </c>
      <c r="E12" s="29">
        <f t="shared" si="1"/>
        <v>0.53081015556603139</v>
      </c>
      <c r="F12" s="28">
        <f t="shared" si="2"/>
        <v>27.472402636272388</v>
      </c>
      <c r="G12" s="27" t="str">
        <f t="shared" si="3"/>
        <v>+</v>
      </c>
      <c r="H12" s="34">
        <f t="shared" si="4"/>
        <v>21517.86</v>
      </c>
      <c r="I12" s="34">
        <f t="shared" si="5"/>
        <v>21653.7477579099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29.9</v>
      </c>
      <c r="D13" s="30"/>
      <c r="E13" s="29">
        <f t="shared" si="1"/>
        <v>0</v>
      </c>
      <c r="F13" s="28">
        <f t="shared" si="2"/>
        <v>30.088821934964994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33.4</v>
      </c>
      <c r="D14" s="30"/>
      <c r="E14" s="29">
        <f t="shared" si="1"/>
        <v>0</v>
      </c>
      <c r="F14" s="28">
        <f t="shared" si="2"/>
        <v>33.610924837051193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27.6</v>
      </c>
      <c r="D15" s="30"/>
      <c r="E15" s="29">
        <f t="shared" si="1"/>
        <v>0</v>
      </c>
      <c r="F15" s="28">
        <f t="shared" si="2"/>
        <v>27.774297170736919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37.700000000000003</v>
      </c>
      <c r="D16" s="30"/>
      <c r="E16" s="29">
        <f t="shared" si="1"/>
        <v>0</v>
      </c>
      <c r="F16" s="28">
        <f t="shared" si="2"/>
        <v>37.93807983104282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55.5</v>
      </c>
      <c r="D17" s="30"/>
      <c r="E17" s="29">
        <f t="shared" si="1"/>
        <v>0</v>
      </c>
      <c r="F17" s="28">
        <f t="shared" si="2"/>
        <v>55.850488875938368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48.6</v>
      </c>
      <c r="D18" s="30"/>
      <c r="E18" s="29">
        <f t="shared" si="1"/>
        <v>0</v>
      </c>
      <c r="F18" s="28">
        <f t="shared" si="2"/>
        <v>48.906914583254142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28.51989359552832</v>
      </c>
      <c r="D19" s="49">
        <f>SUM(D10:D18)</f>
        <v>1484.9</v>
      </c>
      <c r="E19" s="48">
        <f t="shared" si="1"/>
        <v>1</v>
      </c>
      <c r="F19" s="47">
        <f>I19/D19</f>
        <v>28.700000000000006</v>
      </c>
      <c r="G19" s="46">
        <f>F19/C19-1</f>
        <v>6.3151148817723879E-3</v>
      </c>
      <c r="H19" s="9">
        <f>SUM(H10:H18)</f>
        <v>42349.19</v>
      </c>
      <c r="I19" s="9">
        <f>SUM(I10:I18)</f>
        <v>42616.630000000012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72.2</v>
      </c>
      <c r="D21" s="30"/>
      <c r="E21" s="29" t="e">
        <f>D21/$D$48</f>
        <v>#DIV/0!</v>
      </c>
      <c r="F21" s="28">
        <f>C21-(C21*$E$6)</f>
        <v>72.655951294463975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48.5</v>
      </c>
      <c r="D22" s="30"/>
      <c r="E22" s="29" t="e">
        <f>D22/$D$48</f>
        <v>#DIV/0!</v>
      </c>
      <c r="F22" s="28">
        <f>C22-(C22*$E$6)</f>
        <v>48.806283071765961</v>
      </c>
      <c r="G22" s="27" t="str">
        <f>IF(C22&gt;=F22,"-","+")</f>
        <v>+</v>
      </c>
      <c r="H22" s="26">
        <f>C22*D22</f>
        <v>0</v>
      </c>
      <c r="I22" s="26">
        <f>F22*D22</f>
        <v>0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44.2</v>
      </c>
      <c r="D23" s="30"/>
      <c r="E23" s="29" t="e">
        <f>D23/$D$48</f>
        <v>#DIV/0!</v>
      </c>
      <c r="F23" s="28">
        <f>C23-(C23*$E$6)</f>
        <v>44.479128077774341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 t="e">
        <f>H24/D24</f>
        <v>#DIV/0!</v>
      </c>
      <c r="D24" s="22">
        <f>SUM(D21:D23)</f>
        <v>0</v>
      </c>
      <c r="E24" s="21" t="e">
        <f>D24/$D$48</f>
        <v>#DIV/0!</v>
      </c>
      <c r="F24" s="20" t="e">
        <f>I24/D24</f>
        <v>#DIV/0!</v>
      </c>
      <c r="G24" s="19" t="e">
        <f>F24/C24-1</f>
        <v>#DIV/0!</v>
      </c>
      <c r="H24" s="18">
        <f>SUM(H21:H23)</f>
        <v>0</v>
      </c>
      <c r="I24" s="18">
        <f>SUM(I21:I23)</f>
        <v>0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38.5</v>
      </c>
      <c r="D26" s="30"/>
      <c r="E26" s="29" t="e">
        <f t="shared" ref="E26:E32" si="7">D26/$D$48</f>
        <v>#DIV/0!</v>
      </c>
      <c r="F26" s="28">
        <f t="shared" ref="F26:F31" si="8">C26-(C26*$E$6)</f>
        <v>38.743131922948237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34.299999999999997</v>
      </c>
      <c r="D27" s="30"/>
      <c r="E27" s="29" t="e">
        <f t="shared" si="7"/>
        <v>#DIV/0!</v>
      </c>
      <c r="F27" s="28">
        <f t="shared" si="8"/>
        <v>34.516608440444791</v>
      </c>
      <c r="G27" s="27" t="str">
        <f t="shared" si="9"/>
        <v>+</v>
      </c>
      <c r="H27" s="26">
        <f t="shared" si="10"/>
        <v>0</v>
      </c>
      <c r="I27" s="26">
        <f t="shared" si="11"/>
        <v>0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34.299999999999997</v>
      </c>
      <c r="D28" s="30"/>
      <c r="E28" s="29" t="e">
        <f t="shared" si="7"/>
        <v>#DIV/0!</v>
      </c>
      <c r="F28" s="28">
        <f t="shared" si="8"/>
        <v>34.516608440444791</v>
      </c>
      <c r="G28" s="27" t="str">
        <f t="shared" si="9"/>
        <v>+</v>
      </c>
      <c r="H28" s="26">
        <f t="shared" si="10"/>
        <v>0</v>
      </c>
      <c r="I28" s="26">
        <f t="shared" si="11"/>
        <v>0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33.1</v>
      </c>
      <c r="D29" s="30"/>
      <c r="E29" s="29" t="e">
        <f t="shared" si="7"/>
        <v>#DIV/0!</v>
      </c>
      <c r="F29" s="28">
        <f t="shared" si="8"/>
        <v>33.30903030258667</v>
      </c>
      <c r="G29" s="27" t="str">
        <f t="shared" si="9"/>
        <v>+</v>
      </c>
      <c r="H29" s="26">
        <f t="shared" si="10"/>
        <v>0</v>
      </c>
      <c r="I29" s="26">
        <f t="shared" si="11"/>
        <v>0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33.1</v>
      </c>
      <c r="D30" s="30"/>
      <c r="E30" s="29" t="e">
        <f t="shared" si="7"/>
        <v>#DIV/0!</v>
      </c>
      <c r="F30" s="28">
        <f t="shared" si="8"/>
        <v>33.30903030258667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33.700000000000003</v>
      </c>
      <c r="D31" s="30"/>
      <c r="E31" s="29" t="e">
        <f t="shared" si="7"/>
        <v>#DIV/0!</v>
      </c>
      <c r="F31" s="28">
        <f t="shared" si="8"/>
        <v>33.912819371515731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 t="e">
        <f>H32/D32</f>
        <v>#DIV/0!</v>
      </c>
      <c r="D32" s="22">
        <f>SUM(D26:D31)</f>
        <v>0</v>
      </c>
      <c r="E32" s="21" t="e">
        <f t="shared" si="7"/>
        <v>#DIV/0!</v>
      </c>
      <c r="F32" s="20" t="e">
        <f>I32/D32</f>
        <v>#DIV/0!</v>
      </c>
      <c r="G32" s="19" t="e">
        <f>F32/C32-1</f>
        <v>#DIV/0!</v>
      </c>
      <c r="H32" s="18">
        <f>SUM(H26:H31)</f>
        <v>0</v>
      </c>
      <c r="I32" s="18">
        <f>SUM(I26:I31)</f>
        <v>0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</v>
      </c>
      <c r="D34" s="30"/>
      <c r="E34" s="29" t="e">
        <f t="shared" ref="E34:E40" si="13">D34/$D$48</f>
        <v>#DIV/0!</v>
      </c>
      <c r="F34" s="28">
        <f t="shared" ref="F34:F39" si="14">C34-(C34*$E$6)</f>
        <v>20.428196832099982</v>
      </c>
      <c r="G34" s="27" t="str">
        <f t="shared" ref="G34:G39" si="15">IF(C34&gt;=F34,"-","+")</f>
        <v>+</v>
      </c>
      <c r="H34" s="26">
        <f t="shared" ref="H34:H39" si="16">C34*D34</f>
        <v>0</v>
      </c>
      <c r="I34" s="26">
        <f t="shared" ref="I34:I39" si="17">F34*D34</f>
        <v>0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15.6</v>
      </c>
      <c r="D35" s="30"/>
      <c r="E35" s="29" t="e">
        <f t="shared" si="13"/>
        <v>#DIV/0!</v>
      </c>
      <c r="F35" s="28">
        <f t="shared" si="14"/>
        <v>15.698515792155648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12.5</v>
      </c>
      <c r="D36" s="30"/>
      <c r="E36" s="29" t="e">
        <f t="shared" si="13"/>
        <v>#DIV/0!</v>
      </c>
      <c r="F36" s="28">
        <f t="shared" si="14"/>
        <v>12.578938936022155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33.1</v>
      </c>
      <c r="D37" s="30"/>
      <c r="E37" s="29" t="e">
        <f t="shared" si="13"/>
        <v>#DIV/0!</v>
      </c>
      <c r="F37" s="28">
        <f t="shared" si="14"/>
        <v>33.30903030258667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33.1</v>
      </c>
      <c r="D38" s="30"/>
      <c r="E38" s="29" t="e">
        <f t="shared" si="13"/>
        <v>#DIV/0!</v>
      </c>
      <c r="F38" s="28">
        <f t="shared" si="14"/>
        <v>33.30903030258667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34.299999999999997</v>
      </c>
      <c r="D39" s="30"/>
      <c r="E39" s="29" t="e">
        <f t="shared" si="13"/>
        <v>#DIV/0!</v>
      </c>
      <c r="F39" s="28">
        <f t="shared" si="14"/>
        <v>34.516608440444791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 t="e">
        <f>H40/D40</f>
        <v>#DIV/0!</v>
      </c>
      <c r="D40" s="22">
        <f>SUM(D34:D39)</f>
        <v>0</v>
      </c>
      <c r="E40" s="113" t="e">
        <f t="shared" si="13"/>
        <v>#DIV/0!</v>
      </c>
      <c r="F40" s="20" t="e">
        <f>I40/D40</f>
        <v>#DIV/0!</v>
      </c>
      <c r="G40" s="19" t="e">
        <f>F40/C40-1</f>
        <v>#DIV/0!</v>
      </c>
      <c r="H40" s="18">
        <f>SUM(H34:H39)</f>
        <v>0</v>
      </c>
      <c r="I40" s="18">
        <f>SUM(I34:I39)</f>
        <v>0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/>
      <c r="E42" s="107" t="e">
        <f>D42/$D$48</f>
        <v>#DIV/0!</v>
      </c>
      <c r="F42" s="28">
        <f>C42-(C42*$E$6)</f>
        <v>0.50315755744088619</v>
      </c>
      <c r="G42" s="27" t="str">
        <f>IF(C42&gt;=F42,"-","+")</f>
        <v>+</v>
      </c>
      <c r="H42" s="26">
        <f>C42*D42</f>
        <v>0</v>
      </c>
      <c r="I42" s="26">
        <f>F42*D42</f>
        <v>0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/>
      <c r="E43" s="107" t="e">
        <f>D43/$D$48</f>
        <v>#DIV/0!</v>
      </c>
      <c r="F43" s="28">
        <f>C43-(C43*$E$6)</f>
        <v>0.50315755744088619</v>
      </c>
      <c r="G43" s="27" t="str">
        <f>IF(C43&gt;=F43,"-","+")</f>
        <v>+</v>
      </c>
      <c r="H43" s="26">
        <f>C43*D43</f>
        <v>0</v>
      </c>
      <c r="I43" s="26">
        <f>F43*D43</f>
        <v>0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 t="e">
        <f>D44/$D$48</f>
        <v>#DIV/0!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/>
      <c r="E45" s="107" t="e">
        <f>D45/$D$48</f>
        <v>#DIV/0!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 t="e">
        <f>H46/D46</f>
        <v>#DIV/0!</v>
      </c>
      <c r="D46" s="22">
        <f>SUM(D41:D45)</f>
        <v>0</v>
      </c>
      <c r="E46" s="113" t="e">
        <f>D46/$D$48</f>
        <v>#DIV/0!</v>
      </c>
      <c r="F46" s="20" t="e">
        <f>I46/D46</f>
        <v>#DIV/0!</v>
      </c>
      <c r="G46" s="19" t="e">
        <f>F46/C46-1</f>
        <v>#DIV/0!</v>
      </c>
      <c r="H46" s="18">
        <f>SUM(H41:H44)</f>
        <v>0</v>
      </c>
      <c r="I46" s="18">
        <f>SUM(I41:I44)</f>
        <v>0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 t="e">
        <f>C24+C32+C40+C46</f>
        <v>#DIV/0!</v>
      </c>
      <c r="D48" s="13">
        <f>D24+D32+D40+D46</f>
        <v>0</v>
      </c>
      <c r="E48" s="12" t="e">
        <f>SUM(E20:E46)/2</f>
        <v>#DIV/0!</v>
      </c>
      <c r="F48" s="11" t="e">
        <f>I48/D48</f>
        <v>#DIV/0!</v>
      </c>
      <c r="G48" s="10"/>
      <c r="H48" s="9">
        <f>SUM(H20:H46)/2</f>
        <v>0</v>
      </c>
      <c r="I48" s="9">
        <f>SUM(I20:I46)/2</f>
        <v>0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1484.9</v>
      </c>
      <c r="E50" s="12">
        <f>D50/G2</f>
        <v>1</v>
      </c>
      <c r="F50" s="11">
        <f>I50/D50</f>
        <v>28.700000000000006</v>
      </c>
      <c r="G50" s="10"/>
      <c r="H50" s="9">
        <f>H48+H19</f>
        <v>42349.19</v>
      </c>
      <c r="I50" s="9">
        <f>I48+I19</f>
        <v>42616.630000000012</v>
      </c>
      <c r="J50" s="106">
        <f>D50-G2</f>
        <v>0</v>
      </c>
      <c r="K50" s="8"/>
    </row>
    <row r="51" spans="1:11" ht="23.25" x14ac:dyDescent="0.35">
      <c r="A51" s="174" t="s">
        <v>689</v>
      </c>
      <c r="B51" s="169"/>
      <c r="C51" s="170"/>
      <c r="G51" s="7"/>
      <c r="H51" s="6"/>
      <c r="I51" s="6">
        <f>+I50/D50</f>
        <v>28.700000000000006</v>
      </c>
    </row>
    <row r="52" spans="1:11" ht="18.75" x14ac:dyDescent="0.3">
      <c r="A52" s="171" t="e">
        <f>IF(E46&lt;17%,"KEMİK ORANI İYİ","KEMİK YÜKSEK")</f>
        <v>#DIV/0!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684</v>
      </c>
      <c r="D1" s="100" t="s">
        <v>1</v>
      </c>
      <c r="E1" s="168" t="s">
        <v>690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691</v>
      </c>
      <c r="D2" s="96" t="s">
        <v>3</v>
      </c>
      <c r="E2" s="95" t="s">
        <v>112</v>
      </c>
      <c r="F2" s="94" t="s">
        <v>5</v>
      </c>
      <c r="G2" s="93">
        <v>1448.5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24</v>
      </c>
      <c r="F3" s="88" t="s">
        <v>8</v>
      </c>
      <c r="G3" s="87">
        <v>25.6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60.354166666666664</v>
      </c>
      <c r="F4" s="81" t="s">
        <v>12</v>
      </c>
      <c r="G4" s="80">
        <f>G2*G3</f>
        <v>37081.599999999999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-6.9081356233213542E-2</v>
      </c>
      <c r="F6" s="69" t="s">
        <v>16</v>
      </c>
      <c r="G6" s="68">
        <f>(I50-I19)/(D50-(SUM(D42:D44)+D19))</f>
        <v>32.380020957038077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25.6</v>
      </c>
      <c r="D10" s="30"/>
      <c r="E10" s="29" t="e">
        <f t="shared" ref="E10:E19" si="1">D10/$D$19</f>
        <v>#DIV/0!</v>
      </c>
      <c r="F10" s="28">
        <f t="shared" ref="F10:F18" si="2">C10-(C10*$E$6)</f>
        <v>27.368482719570267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26.7</v>
      </c>
      <c r="D11" s="30"/>
      <c r="E11" s="29" t="e">
        <f t="shared" si="1"/>
        <v>#DIV/0!</v>
      </c>
      <c r="F11" s="28">
        <f t="shared" si="2"/>
        <v>28.5444722114268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24.4</v>
      </c>
      <c r="D12" s="30"/>
      <c r="E12" s="29" t="e">
        <f t="shared" si="1"/>
        <v>#DIV/0!</v>
      </c>
      <c r="F12" s="28">
        <f t="shared" si="2"/>
        <v>26.085585092090408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26.7</v>
      </c>
      <c r="D13" s="30"/>
      <c r="E13" s="29" t="e">
        <f t="shared" si="1"/>
        <v>#DIV/0!</v>
      </c>
      <c r="F13" s="28">
        <f t="shared" si="2"/>
        <v>28.5444722114268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29.8</v>
      </c>
      <c r="D14" s="30"/>
      <c r="E14" s="29" t="e">
        <f t="shared" si="1"/>
        <v>#DIV/0!</v>
      </c>
      <c r="F14" s="28">
        <f t="shared" si="2"/>
        <v>31.858624415749766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24.6</v>
      </c>
      <c r="D15" s="30"/>
      <c r="E15" s="29" t="e">
        <f t="shared" si="1"/>
        <v>#DIV/0!</v>
      </c>
      <c r="F15" s="28">
        <f t="shared" si="2"/>
        <v>26.299401363337054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33.6</v>
      </c>
      <c r="D16" s="30"/>
      <c r="E16" s="29" t="e">
        <f t="shared" si="1"/>
        <v>#DIV/0!</v>
      </c>
      <c r="F16" s="28">
        <f t="shared" si="2"/>
        <v>35.921133569435973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49.5</v>
      </c>
      <c r="D17" s="30"/>
      <c r="E17" s="29" t="e">
        <f t="shared" si="1"/>
        <v>#DIV/0!</v>
      </c>
      <c r="F17" s="28">
        <f t="shared" si="2"/>
        <v>52.919527133544072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43.4</v>
      </c>
      <c r="D18" s="30"/>
      <c r="E18" s="29" t="e">
        <f t="shared" si="1"/>
        <v>#DIV/0!</v>
      </c>
      <c r="F18" s="28">
        <f t="shared" si="2"/>
        <v>46.398130860521469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64.400000000000006</v>
      </c>
      <c r="D21" s="30">
        <v>22</v>
      </c>
      <c r="E21" s="29">
        <f>D21/$D$48</f>
        <v>1.5191271923767435E-2</v>
      </c>
      <c r="F21" s="28">
        <f>C21-(C21*$E$6)</f>
        <v>68.848839341418952</v>
      </c>
      <c r="G21" s="27" t="str">
        <f>IF(C21&gt;=F21,"-","+")</f>
        <v>+</v>
      </c>
      <c r="H21" s="26">
        <f>C21*D21</f>
        <v>1416.8000000000002</v>
      </c>
      <c r="I21" s="26">
        <f>F21*D21</f>
        <v>1514.674465511217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43.2</v>
      </c>
      <c r="D22" s="30">
        <v>41</v>
      </c>
      <c r="E22" s="29">
        <f>D22/$D$48</f>
        <v>2.831100676702113E-2</v>
      </c>
      <c r="F22" s="28">
        <f>C22-(C22*$E$6)</f>
        <v>46.184314589274827</v>
      </c>
      <c r="G22" s="27" t="str">
        <f>IF(C22&gt;=F22,"-","+")</f>
        <v>+</v>
      </c>
      <c r="H22" s="26">
        <f>C22*D22</f>
        <v>1771.2</v>
      </c>
      <c r="I22" s="26">
        <f>F22*D22</f>
        <v>1893.5568981602678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39.4</v>
      </c>
      <c r="D23" s="30">
        <v>31.2</v>
      </c>
      <c r="E23" s="29">
        <f>D23/$D$48</f>
        <v>2.1543985637342906E-2</v>
      </c>
      <c r="F23" s="28">
        <f>C23-(C23*$E$6)</f>
        <v>42.121805435588612</v>
      </c>
      <c r="G23" s="27" t="str">
        <f>IF(C23&gt;=F23,"-","+")</f>
        <v>+</v>
      </c>
      <c r="H23" s="26">
        <f>C23*D23</f>
        <v>1229.28</v>
      </c>
      <c r="I23" s="26">
        <f>F23*D23</f>
        <v>1314.2003295903646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46.892569002123139</v>
      </c>
      <c r="D24" s="22">
        <f>SUM(D21:D23)</f>
        <v>94.2</v>
      </c>
      <c r="E24" s="21">
        <f>D24/$D$48</f>
        <v>6.5046264328131473E-2</v>
      </c>
      <c r="F24" s="20">
        <f>I24/D24</f>
        <v>50.131971266049355</v>
      </c>
      <c r="G24" s="19">
        <f>F24/C24-1</f>
        <v>6.9081356233213542E-2</v>
      </c>
      <c r="H24" s="18">
        <f>SUM(H21:H23)</f>
        <v>4417.28</v>
      </c>
      <c r="I24" s="18">
        <f>SUM(I21:I23)</f>
        <v>4722.4316932618494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34.4</v>
      </c>
      <c r="D26" s="30">
        <v>245</v>
      </c>
      <c r="E26" s="29">
        <f t="shared" ref="E26:E32" si="7">D26/$D$48</f>
        <v>0.16917552824195553</v>
      </c>
      <c r="F26" s="28">
        <f t="shared" ref="F26:F31" si="8">C26-(C26*$E$6)</f>
        <v>36.776398654422543</v>
      </c>
      <c r="G26" s="27" t="str">
        <f t="shared" ref="G26:G31" si="9">IF(C26&gt;=F26,"-","+")</f>
        <v>+</v>
      </c>
      <c r="H26" s="26">
        <f t="shared" ref="H26:H31" si="10">C26*D26</f>
        <v>8428</v>
      </c>
      <c r="I26" s="26">
        <f t="shared" ref="I26:I31" si="11">F26*D26</f>
        <v>9010.2176703335226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30.6</v>
      </c>
      <c r="D27" s="30">
        <v>210</v>
      </c>
      <c r="E27" s="29">
        <f t="shared" si="7"/>
        <v>0.14500759563596188</v>
      </c>
      <c r="F27" s="28">
        <f t="shared" si="8"/>
        <v>32.713889500736336</v>
      </c>
      <c r="G27" s="27" t="str">
        <f t="shared" si="9"/>
        <v>+</v>
      </c>
      <c r="H27" s="26">
        <f t="shared" si="10"/>
        <v>6426</v>
      </c>
      <c r="I27" s="26">
        <f t="shared" si="11"/>
        <v>6869.9167951546306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30.6</v>
      </c>
      <c r="D28" s="30">
        <v>142.80000000000001</v>
      </c>
      <c r="E28" s="29">
        <f t="shared" si="7"/>
        <v>9.860516503245409E-2</v>
      </c>
      <c r="F28" s="28">
        <f t="shared" si="8"/>
        <v>32.713889500736336</v>
      </c>
      <c r="G28" s="27" t="str">
        <f t="shared" si="9"/>
        <v>+</v>
      </c>
      <c r="H28" s="26">
        <f t="shared" si="10"/>
        <v>4369.68</v>
      </c>
      <c r="I28" s="26">
        <f t="shared" si="11"/>
        <v>4671.5434207051494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29.6</v>
      </c>
      <c r="D29" s="30">
        <v>118.4</v>
      </c>
      <c r="E29" s="29">
        <f t="shared" si="7"/>
        <v>8.1756663444275651E-2</v>
      </c>
      <c r="F29" s="28">
        <f t="shared" si="8"/>
        <v>31.644808144503124</v>
      </c>
      <c r="G29" s="27" t="str">
        <f t="shared" si="9"/>
        <v>+</v>
      </c>
      <c r="H29" s="26">
        <f t="shared" si="10"/>
        <v>3504.6400000000003</v>
      </c>
      <c r="I29" s="26">
        <f t="shared" si="11"/>
        <v>3746.7452843091701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29.6</v>
      </c>
      <c r="D30" s="30">
        <v>96.6</v>
      </c>
      <c r="E30" s="29">
        <f t="shared" si="7"/>
        <v>6.6703493992542454E-2</v>
      </c>
      <c r="F30" s="28">
        <f t="shared" si="8"/>
        <v>31.644808144503124</v>
      </c>
      <c r="G30" s="27" t="str">
        <f t="shared" si="9"/>
        <v>+</v>
      </c>
      <c r="H30" s="26">
        <f t="shared" si="10"/>
        <v>2859.36</v>
      </c>
      <c r="I30" s="26">
        <f t="shared" si="11"/>
        <v>3056.8884667590014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30.1</v>
      </c>
      <c r="D31" s="30">
        <v>28.2</v>
      </c>
      <c r="E31" s="29">
        <f t="shared" si="7"/>
        <v>1.9472448556829166E-2</v>
      </c>
      <c r="F31" s="28">
        <f t="shared" si="8"/>
        <v>32.17934882261973</v>
      </c>
      <c r="G31" s="27" t="str">
        <f t="shared" si="9"/>
        <v>+</v>
      </c>
      <c r="H31" s="26">
        <f t="shared" si="10"/>
        <v>848.82</v>
      </c>
      <c r="I31" s="26">
        <f t="shared" si="11"/>
        <v>907.45763679787638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31.434601664684898</v>
      </c>
      <c r="D32" s="22">
        <f>SUM(D26:D31)</f>
        <v>841</v>
      </c>
      <c r="E32" s="21">
        <f t="shared" si="7"/>
        <v>0.58072089490401879</v>
      </c>
      <c r="F32" s="20">
        <f>I32/D32</f>
        <v>33.606146580332172</v>
      </c>
      <c r="G32" s="19">
        <f>F32/C32-1</f>
        <v>6.9081356233213764E-2</v>
      </c>
      <c r="H32" s="18">
        <f>SUM(H26:H31)</f>
        <v>26436.5</v>
      </c>
      <c r="I32" s="18">
        <f>SUM(I26:I31)</f>
        <v>28262.769274059356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18.100000000000001</v>
      </c>
      <c r="D34" s="30">
        <f>318-113</f>
        <v>205</v>
      </c>
      <c r="E34" s="29">
        <f t="shared" ref="E34:E40" si="13">D34/$D$48</f>
        <v>0.14155503383510565</v>
      </c>
      <c r="F34" s="28">
        <f t="shared" ref="F34:F39" si="14">C34-(C34*$E$6)</f>
        <v>19.350372547821166</v>
      </c>
      <c r="G34" s="27" t="str">
        <f t="shared" ref="G34:G39" si="15">IF(C34&gt;=F34,"-","+")</f>
        <v>+</v>
      </c>
      <c r="H34" s="26">
        <f t="shared" ref="H34:H39" si="16">C34*D34</f>
        <v>3710.5000000000005</v>
      </c>
      <c r="I34" s="26">
        <f t="shared" ref="I34:I39" si="17">F34*D34</f>
        <v>3966.8263723033392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/>
      <c r="E35" s="29">
        <f t="shared" si="13"/>
        <v>0</v>
      </c>
      <c r="F35" s="28">
        <f t="shared" si="14"/>
        <v>14.860230851641669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11.973711189811992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29.6</v>
      </c>
      <c r="D37" s="30"/>
      <c r="E37" s="29">
        <f t="shared" si="13"/>
        <v>0</v>
      </c>
      <c r="F37" s="28">
        <f t="shared" si="14"/>
        <v>31.644808144503124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29.6</v>
      </c>
      <c r="D38" s="30"/>
      <c r="E38" s="29">
        <f t="shared" si="13"/>
        <v>0</v>
      </c>
      <c r="F38" s="28">
        <f t="shared" si="14"/>
        <v>31.644808144503124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30.6</v>
      </c>
      <c r="D39" s="30"/>
      <c r="E39" s="29">
        <f t="shared" si="13"/>
        <v>0</v>
      </c>
      <c r="F39" s="28">
        <f t="shared" si="14"/>
        <v>32.713889500736336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18.100000000000001</v>
      </c>
      <c r="D40" s="22">
        <f>SUM(D34:D39)</f>
        <v>205</v>
      </c>
      <c r="E40" s="113">
        <f t="shared" si="13"/>
        <v>0.14155503383510565</v>
      </c>
      <c r="F40" s="20">
        <f>I40/D40</f>
        <v>19.350372547821166</v>
      </c>
      <c r="G40" s="19">
        <f>F40/C40-1</f>
        <v>6.9081356233213542E-2</v>
      </c>
      <c r="H40" s="18">
        <f>SUM(H34:H39)</f>
        <v>3710.5000000000005</v>
      </c>
      <c r="I40" s="18">
        <f>SUM(I34:I39)</f>
        <v>3966.8263723033392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288</v>
      </c>
      <c r="E42" s="107">
        <f>D42/$D$48</f>
        <v>0.19886755972931916</v>
      </c>
      <c r="F42" s="28">
        <f>C42-(C42*$E$6)</f>
        <v>0.42763254249328542</v>
      </c>
      <c r="G42" s="27" t="str">
        <f>IF(C42&gt;=F42,"-","+")</f>
        <v>+</v>
      </c>
      <c r="H42" s="26">
        <f>C42*D42</f>
        <v>115.2</v>
      </c>
      <c r="I42" s="26">
        <f>F42*D42</f>
        <v>123.1581722380662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15</v>
      </c>
      <c r="E43" s="107">
        <f>D43/$D$48</f>
        <v>1.0357685402568706E-2</v>
      </c>
      <c r="F43" s="28">
        <f>C43-(C43*$E$6)</f>
        <v>0.42763254249328542</v>
      </c>
      <c r="G43" s="27" t="str">
        <f>IF(C43&gt;=F43,"-","+")</f>
        <v>+</v>
      </c>
      <c r="H43" s="26">
        <f>C43*D43</f>
        <v>6</v>
      </c>
      <c r="I43" s="26">
        <f>F43*D43</f>
        <v>6.4144881373992817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3.4525618008562353E-3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0.39350649350649353</v>
      </c>
      <c r="D46" s="22">
        <f>SUM(D41:D45)</f>
        <v>308</v>
      </c>
      <c r="E46" s="113">
        <f>D46/$D$48</f>
        <v>0.2126778069327441</v>
      </c>
      <c r="F46" s="20">
        <f>I46/D46</f>
        <v>0.42069045576449832</v>
      </c>
      <c r="G46" s="19">
        <f>F46/C46-1</f>
        <v>6.9081356233213542E-2</v>
      </c>
      <c r="H46" s="18">
        <f>SUM(H41:H44)</f>
        <v>121.2</v>
      </c>
      <c r="I46" s="18">
        <f>SUM(I41:I44)</f>
        <v>129.57266037546549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96.820677160314517</v>
      </c>
      <c r="D48" s="13">
        <f>D24+D32+D40+D46</f>
        <v>1448.2</v>
      </c>
      <c r="E48" s="12">
        <f>SUM(E20:E46)/2</f>
        <v>1.0000000000000002</v>
      </c>
      <c r="F48" s="11">
        <f>I48/D48</f>
        <v>25.605303134926118</v>
      </c>
      <c r="G48" s="10"/>
      <c r="H48" s="9">
        <f>SUM(H20:H46)/2</f>
        <v>34685.479999999996</v>
      </c>
      <c r="I48" s="9">
        <f>SUM(I20:I46)/2</f>
        <v>37081.600000000006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1448.2</v>
      </c>
      <c r="E50" s="12">
        <f>D50/G2</f>
        <v>0.99979288919571974</v>
      </c>
      <c r="F50" s="11">
        <f>I50/D50</f>
        <v>25.605303134926118</v>
      </c>
      <c r="G50" s="10"/>
      <c r="H50" s="9">
        <f>H48+H19</f>
        <v>34685.479999999996</v>
      </c>
      <c r="I50" s="9">
        <f>I48+I19</f>
        <v>37081.600000000006</v>
      </c>
      <c r="J50" s="106">
        <f>D50-G2</f>
        <v>-0.29999999999995453</v>
      </c>
      <c r="K50" s="8"/>
    </row>
    <row r="51" spans="1:11" ht="23.25" x14ac:dyDescent="0.35">
      <c r="A51" s="174" t="s">
        <v>692</v>
      </c>
      <c r="B51" s="169"/>
      <c r="C51" s="170"/>
      <c r="G51" s="7"/>
      <c r="H51" s="6"/>
      <c r="I51" s="6">
        <f>+I50/D50</f>
        <v>25.605303134926118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684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691</v>
      </c>
      <c r="D2" s="96" t="s">
        <v>3</v>
      </c>
      <c r="E2" s="95" t="s">
        <v>112</v>
      </c>
      <c r="F2" s="94" t="s">
        <v>5</v>
      </c>
      <c r="G2" s="93">
        <v>2376.8000000000002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44</v>
      </c>
      <c r="F3" s="88" t="s">
        <v>8</v>
      </c>
      <c r="G3" s="87">
        <v>24.76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54.018181818181823</v>
      </c>
      <c r="F4" s="81" t="s">
        <v>12</v>
      </c>
      <c r="G4" s="80">
        <f>G2*G3</f>
        <v>58849.568000000007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-0.10196805261622433</v>
      </c>
      <c r="F6" s="69" t="s">
        <v>16</v>
      </c>
      <c r="G6" s="68">
        <f>(I50-I19)/(D50-(SUM(D42:D44)+D19))</f>
        <v>31.706033080114228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24.8</v>
      </c>
      <c r="D10" s="30"/>
      <c r="E10" s="29" t="e">
        <f t="shared" ref="E10:E19" si="1">D10/$D$19</f>
        <v>#DIV/0!</v>
      </c>
      <c r="F10" s="28">
        <f t="shared" ref="F10:F18" si="2">C10-(C10*$E$6)</f>
        <v>27.328807704882365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25.8</v>
      </c>
      <c r="D11" s="30"/>
      <c r="E11" s="29" t="e">
        <f t="shared" si="1"/>
        <v>#DIV/0!</v>
      </c>
      <c r="F11" s="28">
        <f t="shared" si="2"/>
        <v>28.430775757498587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23.6</v>
      </c>
      <c r="D12" s="30"/>
      <c r="E12" s="29" t="e">
        <f t="shared" si="1"/>
        <v>#DIV/0!</v>
      </c>
      <c r="F12" s="28">
        <f t="shared" si="2"/>
        <v>26.006446041742898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25.8</v>
      </c>
      <c r="D13" s="30"/>
      <c r="E13" s="29" t="e">
        <f t="shared" si="1"/>
        <v>#DIV/0!</v>
      </c>
      <c r="F13" s="28">
        <f t="shared" si="2"/>
        <v>28.430775757498587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28.8</v>
      </c>
      <c r="D14" s="30"/>
      <c r="E14" s="29" t="e">
        <f t="shared" si="1"/>
        <v>#DIV/0!</v>
      </c>
      <c r="F14" s="28">
        <f t="shared" si="2"/>
        <v>31.73667991534726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23.8</v>
      </c>
      <c r="D15" s="30"/>
      <c r="E15" s="29" t="e">
        <f t="shared" si="1"/>
        <v>#DIV/0!</v>
      </c>
      <c r="F15" s="28">
        <f t="shared" si="2"/>
        <v>26.22683965226614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32.5</v>
      </c>
      <c r="D16" s="30"/>
      <c r="E16" s="29" t="e">
        <f t="shared" si="1"/>
        <v>#DIV/0!</v>
      </c>
      <c r="F16" s="28">
        <f t="shared" si="2"/>
        <v>35.813961710027293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47.9</v>
      </c>
      <c r="D17" s="30"/>
      <c r="E17" s="29" t="e">
        <f t="shared" si="1"/>
        <v>#DIV/0!</v>
      </c>
      <c r="F17" s="28">
        <f t="shared" si="2"/>
        <v>52.784269720317141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41.9</v>
      </c>
      <c r="D18" s="30"/>
      <c r="E18" s="29" t="e">
        <f t="shared" si="1"/>
        <v>#DIV/0!</v>
      </c>
      <c r="F18" s="28">
        <f t="shared" si="2"/>
        <v>46.172461404619796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62.3</v>
      </c>
      <c r="D21" s="30">
        <v>30.4</v>
      </c>
      <c r="E21" s="29">
        <f>D21/$D$48</f>
        <v>1.2788692103823987E-2</v>
      </c>
      <c r="F21" s="28">
        <f>C21-(C21*$E$6)</f>
        <v>68.652609677990768</v>
      </c>
      <c r="G21" s="27" t="str">
        <f>IF(C21&gt;=F21,"-","+")</f>
        <v>+</v>
      </c>
      <c r="H21" s="26">
        <f>C21*D21</f>
        <v>1893.9199999999998</v>
      </c>
      <c r="I21" s="26">
        <f>F21*D21</f>
        <v>2087.0393342109192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41.8</v>
      </c>
      <c r="D22" s="30">
        <v>63.4</v>
      </c>
      <c r="E22" s="29">
        <f>D22/$D$48</f>
        <v>2.6671153927053975E-2</v>
      </c>
      <c r="F22" s="28">
        <f>C22-(C22*$E$6)</f>
        <v>46.062264599358173</v>
      </c>
      <c r="G22" s="27" t="str">
        <f>IF(C22&gt;=F22,"-","+")</f>
        <v>+</v>
      </c>
      <c r="H22" s="26">
        <f>C22*D22</f>
        <v>2650.12</v>
      </c>
      <c r="I22" s="26">
        <f>F22*D22</f>
        <v>2920.3475755993081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38.1</v>
      </c>
      <c r="D23" s="30">
        <v>45</v>
      </c>
      <c r="E23" s="29">
        <f>D23/$D$48</f>
        <v>1.893062975894998E-2</v>
      </c>
      <c r="F23" s="28">
        <f>C23-(C23*$E$6)</f>
        <v>41.984982804678147</v>
      </c>
      <c r="G23" s="27" t="str">
        <f>IF(C23&gt;=F23,"-","+")</f>
        <v>+</v>
      </c>
      <c r="H23" s="26">
        <f>C23*D23</f>
        <v>1714.5</v>
      </c>
      <c r="I23" s="26">
        <f>F23*D23</f>
        <v>1889.3242262105166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45.090345821325641</v>
      </c>
      <c r="D24" s="22">
        <f>SUM(D21:D23)</f>
        <v>138.80000000000001</v>
      </c>
      <c r="E24" s="21">
        <f>D24/$D$48</f>
        <v>5.839047578982795E-2</v>
      </c>
      <c r="F24" s="20">
        <f>I24/D24</f>
        <v>49.68812057651833</v>
      </c>
      <c r="G24" s="19">
        <f>F24/C24-1</f>
        <v>0.10196805261622433</v>
      </c>
      <c r="H24" s="18">
        <f>SUM(H21:H23)</f>
        <v>6258.54</v>
      </c>
      <c r="I24" s="18">
        <f>SUM(I21:I23)</f>
        <v>6896.7111360207446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33.200000000000003</v>
      </c>
      <c r="D26" s="30">
        <f>463</f>
        <v>463</v>
      </c>
      <c r="E26" s="29">
        <f t="shared" ref="E26:E32" si="7">D26/$D$48</f>
        <v>0.1947751461865298</v>
      </c>
      <c r="F26" s="28">
        <f t="shared" ref="F26:F31" si="8">C26-(C26*$E$6)</f>
        <v>36.585339346858653</v>
      </c>
      <c r="G26" s="27" t="str">
        <f t="shared" ref="G26:G31" si="9">IF(C26&gt;=F26,"-","+")</f>
        <v>+</v>
      </c>
      <c r="H26" s="26">
        <f t="shared" ref="H26:H31" si="10">C26*D26</f>
        <v>15371.600000000002</v>
      </c>
      <c r="I26" s="26">
        <f t="shared" ref="I26:I31" si="11">F26*D26</f>
        <v>16939.012117595557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29.6</v>
      </c>
      <c r="D27" s="30">
        <f>402-75</f>
        <v>327</v>
      </c>
      <c r="E27" s="29">
        <f t="shared" si="7"/>
        <v>0.13756257624836987</v>
      </c>
      <c r="F27" s="28">
        <f t="shared" si="8"/>
        <v>32.618254357440243</v>
      </c>
      <c r="G27" s="27" t="str">
        <f t="shared" si="9"/>
        <v>+</v>
      </c>
      <c r="H27" s="26">
        <f t="shared" si="10"/>
        <v>9679.2000000000007</v>
      </c>
      <c r="I27" s="26">
        <f t="shared" si="11"/>
        <v>10666.16917488296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29.6</v>
      </c>
      <c r="D28" s="30">
        <v>171</v>
      </c>
      <c r="E28" s="29">
        <f t="shared" si="7"/>
        <v>7.1936393084009925E-2</v>
      </c>
      <c r="F28" s="28">
        <f t="shared" si="8"/>
        <v>32.618254357440243</v>
      </c>
      <c r="G28" s="27" t="str">
        <f t="shared" si="9"/>
        <v>+</v>
      </c>
      <c r="H28" s="26">
        <f t="shared" si="10"/>
        <v>5061.6000000000004</v>
      </c>
      <c r="I28" s="26">
        <f t="shared" si="11"/>
        <v>5577.7214951222813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28.6</v>
      </c>
      <c r="D29" s="30">
        <v>179.4</v>
      </c>
      <c r="E29" s="29">
        <f t="shared" si="7"/>
        <v>7.5470110639013932E-2</v>
      </c>
      <c r="F29" s="28">
        <f t="shared" si="8"/>
        <v>31.516286304824018</v>
      </c>
      <c r="G29" s="27" t="str">
        <f t="shared" si="9"/>
        <v>+</v>
      </c>
      <c r="H29" s="26">
        <f t="shared" si="10"/>
        <v>5130.84</v>
      </c>
      <c r="I29" s="26">
        <f t="shared" si="11"/>
        <v>5654.0217630854286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28.6</v>
      </c>
      <c r="D30" s="30">
        <v>112.3</v>
      </c>
      <c r="E30" s="29">
        <f t="shared" si="7"/>
        <v>4.724243826511295E-2</v>
      </c>
      <c r="F30" s="28">
        <f t="shared" si="8"/>
        <v>31.516286304824018</v>
      </c>
      <c r="G30" s="27" t="str">
        <f t="shared" si="9"/>
        <v>+</v>
      </c>
      <c r="H30" s="26">
        <f t="shared" si="10"/>
        <v>3211.78</v>
      </c>
      <c r="I30" s="26">
        <f t="shared" si="11"/>
        <v>3539.2789520317369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29.1</v>
      </c>
      <c r="D31" s="30">
        <v>50</v>
      </c>
      <c r="E31" s="29">
        <f t="shared" si="7"/>
        <v>2.1034033065499981E-2</v>
      </c>
      <c r="F31" s="28">
        <f t="shared" si="8"/>
        <v>32.067270331132129</v>
      </c>
      <c r="G31" s="27" t="str">
        <f t="shared" si="9"/>
        <v>+</v>
      </c>
      <c r="H31" s="26">
        <f t="shared" si="10"/>
        <v>1455</v>
      </c>
      <c r="I31" s="26">
        <f t="shared" si="11"/>
        <v>1603.3635165566063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30.636385967605744</v>
      </c>
      <c r="D32" s="22">
        <f>SUM(D26:D31)</f>
        <v>1302.7</v>
      </c>
      <c r="E32" s="21">
        <f t="shared" si="7"/>
        <v>0.54802069748853655</v>
      </c>
      <c r="F32" s="20">
        <f>I32/D32</f>
        <v>33.760318583921531</v>
      </c>
      <c r="G32" s="19">
        <f>F32/C32-1</f>
        <v>0.10196805261622455</v>
      </c>
      <c r="H32" s="18">
        <f>SUM(H26:H31)</f>
        <v>39910.020000000004</v>
      </c>
      <c r="I32" s="18">
        <f>SUM(I26:I31)</f>
        <v>43979.567019274582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17.5</v>
      </c>
      <c r="D34" s="30">
        <f>410+181-220</f>
        <v>371</v>
      </c>
      <c r="E34" s="29">
        <f t="shared" ref="E34:E40" si="13">D34/$D$48</f>
        <v>0.15607252534600985</v>
      </c>
      <c r="F34" s="28">
        <f t="shared" ref="F34:F39" si="14">C34-(C34*$E$6)</f>
        <v>19.284440920783926</v>
      </c>
      <c r="G34" s="27" t="str">
        <f t="shared" ref="G34:G39" si="15">IF(C34&gt;=F34,"-","+")</f>
        <v>+</v>
      </c>
      <c r="H34" s="26">
        <f t="shared" ref="H34:H39" si="16">C34*D34</f>
        <v>6492.5</v>
      </c>
      <c r="I34" s="26">
        <f t="shared" ref="I34:I39" si="17">F34*D34</f>
        <v>7154.527581610836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13.5</v>
      </c>
      <c r="D35" s="30">
        <v>39.6</v>
      </c>
      <c r="E35" s="29">
        <f t="shared" si="13"/>
        <v>1.6658954187875986E-2</v>
      </c>
      <c r="F35" s="28">
        <f t="shared" si="14"/>
        <v>14.876568710319027</v>
      </c>
      <c r="G35" s="27" t="str">
        <f t="shared" si="15"/>
        <v>+</v>
      </c>
      <c r="H35" s="26">
        <f t="shared" si="16"/>
        <v>534.6</v>
      </c>
      <c r="I35" s="26">
        <f t="shared" si="17"/>
        <v>589.11212092863354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11.901254968255223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28.6</v>
      </c>
      <c r="D37" s="30"/>
      <c r="E37" s="29">
        <f t="shared" si="13"/>
        <v>0</v>
      </c>
      <c r="F37" s="28">
        <f t="shared" si="14"/>
        <v>31.516286304824018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28.6</v>
      </c>
      <c r="D38" s="30"/>
      <c r="E38" s="29">
        <f t="shared" si="13"/>
        <v>0</v>
      </c>
      <c r="F38" s="28">
        <f t="shared" si="14"/>
        <v>31.516286304824018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29.6</v>
      </c>
      <c r="D39" s="30"/>
      <c r="E39" s="29">
        <f t="shared" si="13"/>
        <v>0</v>
      </c>
      <c r="F39" s="28">
        <f t="shared" si="14"/>
        <v>32.618254357440243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17.114223088163662</v>
      </c>
      <c r="D40" s="22">
        <f>SUM(D34:D39)</f>
        <v>410.6</v>
      </c>
      <c r="E40" s="113">
        <f t="shared" si="13"/>
        <v>0.17273147953388585</v>
      </c>
      <c r="F40" s="20">
        <f>I40/D40</f>
        <v>18.859327088503335</v>
      </c>
      <c r="G40" s="19">
        <f>F40/C40-1</f>
        <v>0.10196805261622433</v>
      </c>
      <c r="H40" s="18">
        <f>SUM(H34:H39)</f>
        <v>7027.1</v>
      </c>
      <c r="I40" s="18">
        <f>SUM(I34:I39)</f>
        <v>7743.6397025394699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505</v>
      </c>
      <c r="E42" s="107">
        <f>D42/$D$48</f>
        <v>0.21244373396154981</v>
      </c>
      <c r="F42" s="28">
        <f>C42-(C42*$E$6)</f>
        <v>0.44078722104648976</v>
      </c>
      <c r="G42" s="27" t="str">
        <f>IF(C42&gt;=F42,"-","+")</f>
        <v>+</v>
      </c>
      <c r="H42" s="26">
        <f>C42*D42</f>
        <v>202</v>
      </c>
      <c r="I42" s="26">
        <f>F42*D42</f>
        <v>222.59754662847732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16</v>
      </c>
      <c r="E43" s="107">
        <f>D43/$D$48</f>
        <v>6.7308905809599934E-3</v>
      </c>
      <c r="F43" s="28">
        <f>C43-(C43*$E$6)</f>
        <v>0.44078722104648976</v>
      </c>
      <c r="G43" s="27" t="str">
        <f>IF(C43&gt;=F43,"-","+")</f>
        <v>+</v>
      </c>
      <c r="H43" s="26">
        <f>C43*D43</f>
        <v>6.4</v>
      </c>
      <c r="I43" s="26">
        <f>F43*D43</f>
        <v>7.0525955367438362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1.6827226452399984E-3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0.39695238095238095</v>
      </c>
      <c r="D46" s="22">
        <f>SUM(D41:D45)</f>
        <v>525</v>
      </c>
      <c r="E46" s="113">
        <f>D46/$D$48</f>
        <v>0.2208573471877498</v>
      </c>
      <c r="F46" s="20">
        <f>I46/D46</f>
        <v>0.43742884221946887</v>
      </c>
      <c r="G46" s="19">
        <f>F46/C46-1</f>
        <v>0.10196805261622433</v>
      </c>
      <c r="H46" s="18">
        <f>SUM(H41:H44)</f>
        <v>208.4</v>
      </c>
      <c r="I46" s="18">
        <f>SUM(I41:I44)</f>
        <v>229.65014216522115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93.237907258047429</v>
      </c>
      <c r="D48" s="13">
        <f>D24+D32+D40+D46</f>
        <v>2377.1</v>
      </c>
      <c r="E48" s="12">
        <f>SUM(E20:E46)/2</f>
        <v>1.0000000000000002</v>
      </c>
      <c r="F48" s="11">
        <f>I48/D48</f>
        <v>24.756875184047797</v>
      </c>
      <c r="G48" s="10"/>
      <c r="H48" s="9">
        <f>SUM(H20:H46)/2</f>
        <v>53404.060000000005</v>
      </c>
      <c r="I48" s="9">
        <f>SUM(I20:I46)/2</f>
        <v>58849.568000000014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2377.1</v>
      </c>
      <c r="E50" s="12">
        <f>D50/G2</f>
        <v>1.0001262201279029</v>
      </c>
      <c r="F50" s="11">
        <f>I50/D50</f>
        <v>24.756875184047797</v>
      </c>
      <c r="G50" s="10"/>
      <c r="H50" s="9">
        <f>H48+H19</f>
        <v>53404.060000000005</v>
      </c>
      <c r="I50" s="9">
        <f>I48+I19</f>
        <v>58849.568000000014</v>
      </c>
      <c r="J50" s="106">
        <f>D50-G2</f>
        <v>0.29999999999972715</v>
      </c>
      <c r="K50" s="8"/>
    </row>
    <row r="51" spans="1:11" ht="23.25" x14ac:dyDescent="0.35">
      <c r="A51" s="174" t="s">
        <v>693</v>
      </c>
      <c r="B51" s="169"/>
      <c r="C51" s="170"/>
      <c r="G51" s="7"/>
      <c r="H51" s="6"/>
      <c r="I51" s="6">
        <f>+I50/D50</f>
        <v>24.756875184047797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>
    <tabColor rgb="FF92D050"/>
  </sheetPr>
  <dimension ref="A1:L56"/>
  <sheetViews>
    <sheetView workbookViewId="0">
      <selection sqref="A1:XFD1048576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677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691</v>
      </c>
      <c r="D2" s="96" t="s">
        <v>3</v>
      </c>
      <c r="E2" s="95" t="s">
        <v>112</v>
      </c>
      <c r="F2" s="94" t="s">
        <v>5</v>
      </c>
      <c r="G2" s="116">
        <v>9897.2999999999993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160</v>
      </c>
      <c r="F3" s="88" t="s">
        <v>8</v>
      </c>
      <c r="G3" s="87">
        <v>25.33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61.858124999999994</v>
      </c>
      <c r="F4" s="81" t="s">
        <v>12</v>
      </c>
      <c r="G4" s="80">
        <f>G2*G3</f>
        <v>250698.60899999997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-0.10105781191676155</v>
      </c>
      <c r="F6" s="69" t="s">
        <v>16</v>
      </c>
      <c r="G6" s="68">
        <f>(I50-I19)/(D50-(SUM(D42:D44)+D19))</f>
        <v>32.320682902302551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27.856762641494068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26.4</v>
      </c>
      <c r="D11" s="30"/>
      <c r="E11" s="29" t="e">
        <f t="shared" si="1"/>
        <v>#DIV/0!</v>
      </c>
      <c r="F11" s="28">
        <f t="shared" si="2"/>
        <v>29.067926234602503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 t="e">
        <f t="shared" si="1"/>
        <v>#DIV/0!</v>
      </c>
      <c r="F12" s="28">
        <f t="shared" si="2"/>
        <v>26.535493267193957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26.4</v>
      </c>
      <c r="D13" s="30"/>
      <c r="E13" s="29" t="e">
        <f t="shared" si="1"/>
        <v>#DIV/0!</v>
      </c>
      <c r="F13" s="28">
        <f t="shared" si="2"/>
        <v>29.067926234602503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29.5</v>
      </c>
      <c r="D14" s="30"/>
      <c r="E14" s="29" t="e">
        <f t="shared" si="1"/>
        <v>#DIV/0!</v>
      </c>
      <c r="F14" s="28">
        <f t="shared" si="2"/>
        <v>32.481205451544469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24.3</v>
      </c>
      <c r="D15" s="30"/>
      <c r="E15" s="29" t="e">
        <f t="shared" si="1"/>
        <v>#DIV/0!</v>
      </c>
      <c r="F15" s="28">
        <f t="shared" si="2"/>
        <v>26.755704829577308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33.299999999999997</v>
      </c>
      <c r="D16" s="30"/>
      <c r="E16" s="29" t="e">
        <f t="shared" si="1"/>
        <v>#DIV/0!</v>
      </c>
      <c r="F16" s="28">
        <f t="shared" si="2"/>
        <v>36.665225136828155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</v>
      </c>
      <c r="D17" s="30"/>
      <c r="E17" s="29" t="e">
        <f t="shared" si="1"/>
        <v>#DIV/0!</v>
      </c>
      <c r="F17" s="28">
        <f t="shared" si="2"/>
        <v>53.951832783921319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42.9</v>
      </c>
      <c r="D18" s="30"/>
      <c r="E18" s="29" t="e">
        <f t="shared" si="1"/>
        <v>#DIV/0!</v>
      </c>
      <c r="F18" s="28">
        <f t="shared" si="2"/>
        <v>47.235380131229071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63.7</v>
      </c>
      <c r="D21" s="30">
        <v>115.9</v>
      </c>
      <c r="E21" s="29">
        <f>D21/$D$48</f>
        <v>1.1710264415547676E-2</v>
      </c>
      <c r="F21" s="28">
        <f>C21-(C21*$E$6)</f>
        <v>70.137382619097707</v>
      </c>
      <c r="G21" s="27" t="str">
        <f>IF(C21&gt;=F21,"-","+")</f>
        <v>+</v>
      </c>
      <c r="H21" s="26">
        <f>C21*D21</f>
        <v>7382.8300000000008</v>
      </c>
      <c r="I21" s="26">
        <f>F21*D21</f>
        <v>8128.9226455534244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42.8</v>
      </c>
      <c r="D22" s="30">
        <v>253.8</v>
      </c>
      <c r="E22" s="29">
        <f>D22/$D$48</f>
        <v>2.5643357279257983E-2</v>
      </c>
      <c r="F22" s="28">
        <f>C22-(C22*$E$6)</f>
        <v>47.125274350037394</v>
      </c>
      <c r="G22" s="27" t="str">
        <f>IF(C22&gt;=F22,"-","+")</f>
        <v>+</v>
      </c>
      <c r="H22" s="26">
        <f>C22*D22</f>
        <v>10862.64</v>
      </c>
      <c r="I22" s="26">
        <f>F22*D22</f>
        <v>11960.394630039491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</v>
      </c>
      <c r="D23" s="30">
        <v>181.6</v>
      </c>
      <c r="E23" s="29">
        <f>D23/$D$48</f>
        <v>1.8348438463015166E-2</v>
      </c>
      <c r="F23" s="28">
        <f>C23-(C23*$E$6)</f>
        <v>42.9412546647537</v>
      </c>
      <c r="G23" s="27" t="str">
        <f>IF(C23&gt;=F23,"-","+")</f>
        <v>+</v>
      </c>
      <c r="H23" s="26">
        <f>C23*D23</f>
        <v>7082.4</v>
      </c>
      <c r="I23" s="26">
        <f>F23*D23</f>
        <v>7798.1318471192717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45.942082350807183</v>
      </c>
      <c r="D24" s="22">
        <f>SUM(D21:D23)</f>
        <v>551.30000000000007</v>
      </c>
      <c r="E24" s="21">
        <f>D24/$D$48</f>
        <v>5.570206015782083E-2</v>
      </c>
      <c r="F24" s="20">
        <f>I24/D24</f>
        <v>50.584888668079422</v>
      </c>
      <c r="G24" s="19">
        <f>F24/C24-1</f>
        <v>0.10105781191676155</v>
      </c>
      <c r="H24" s="18">
        <f>SUM(H21:H23)</f>
        <v>25327.870000000003</v>
      </c>
      <c r="I24" s="18">
        <f>SUM(I21:I23)</f>
        <v>27887.449122712187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</v>
      </c>
      <c r="D26" s="30">
        <v>1922.3</v>
      </c>
      <c r="E26" s="29">
        <f t="shared" ref="E26:E32" si="7">D26/$D$48</f>
        <v>0.19422468754104655</v>
      </c>
      <c r="F26" s="28">
        <f t="shared" ref="F26:F31" si="8">C26-(C26*$E$6)</f>
        <v>37.435965605169891</v>
      </c>
      <c r="G26" s="27" t="str">
        <f t="shared" ref="G26:G31" si="9">IF(C26&gt;=F26,"-","+")</f>
        <v>+</v>
      </c>
      <c r="H26" s="26">
        <f t="shared" ref="H26:H31" si="10">C26*D26</f>
        <v>65358.2</v>
      </c>
      <c r="I26" s="26">
        <f t="shared" ref="I26:I31" si="11">F26*D26</f>
        <v>71963.15668281808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30.3</v>
      </c>
      <c r="D27" s="30">
        <v>1415.7</v>
      </c>
      <c r="E27" s="29">
        <f t="shared" si="7"/>
        <v>0.14303901063926527</v>
      </c>
      <c r="F27" s="28">
        <f t="shared" si="8"/>
        <v>33.362051701077874</v>
      </c>
      <c r="G27" s="27" t="str">
        <f t="shared" si="9"/>
        <v>+</v>
      </c>
      <c r="H27" s="26">
        <f t="shared" si="10"/>
        <v>42895.71</v>
      </c>
      <c r="I27" s="26">
        <f t="shared" si="11"/>
        <v>47230.65659321595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30.3</v>
      </c>
      <c r="D28" s="30">
        <v>699</v>
      </c>
      <c r="E28" s="29">
        <f t="shared" si="7"/>
        <v>7.0625322057530845E-2</v>
      </c>
      <c r="F28" s="28">
        <f t="shared" si="8"/>
        <v>33.362051701077874</v>
      </c>
      <c r="G28" s="27" t="str">
        <f t="shared" si="9"/>
        <v>+</v>
      </c>
      <c r="H28" s="26">
        <f t="shared" si="10"/>
        <v>21179.7</v>
      </c>
      <c r="I28" s="26">
        <f t="shared" si="11"/>
        <v>23320.074139053435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686</v>
      </c>
      <c r="E29" s="29">
        <f t="shared" si="7"/>
        <v>6.9311832519980202E-2</v>
      </c>
      <c r="F29" s="28">
        <f t="shared" si="8"/>
        <v>32.260993889161114</v>
      </c>
      <c r="G29" s="27" t="str">
        <f t="shared" si="9"/>
        <v>+</v>
      </c>
      <c r="H29" s="26">
        <f t="shared" si="10"/>
        <v>20099.8</v>
      </c>
      <c r="I29" s="26">
        <f t="shared" si="11"/>
        <v>22131.041807964524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531.20000000000005</v>
      </c>
      <c r="E30" s="29">
        <f t="shared" si="7"/>
        <v>5.3671203257454059E-2</v>
      </c>
      <c r="F30" s="28">
        <f t="shared" si="8"/>
        <v>32.260993889161114</v>
      </c>
      <c r="G30" s="27" t="str">
        <f t="shared" si="9"/>
        <v>+</v>
      </c>
      <c r="H30" s="26">
        <f t="shared" si="10"/>
        <v>15564.160000000002</v>
      </c>
      <c r="I30" s="26">
        <f t="shared" si="11"/>
        <v>17137.039953922384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29.8</v>
      </c>
      <c r="D31" s="30">
        <v>183.6</v>
      </c>
      <c r="E31" s="29">
        <f t="shared" si="7"/>
        <v>1.8550513776484496E-2</v>
      </c>
      <c r="F31" s="28">
        <f t="shared" si="8"/>
        <v>32.811522795119494</v>
      </c>
      <c r="G31" s="27" t="str">
        <f t="shared" si="9"/>
        <v>+</v>
      </c>
      <c r="H31" s="26">
        <f t="shared" si="10"/>
        <v>5471.28</v>
      </c>
      <c r="I31" s="26">
        <f t="shared" si="11"/>
        <v>6024.1955851839393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31.367253300967302</v>
      </c>
      <c r="D32" s="22">
        <f>SUM(D26:D31)</f>
        <v>5437.8</v>
      </c>
      <c r="E32" s="21">
        <f t="shared" si="7"/>
        <v>0.54942256979176141</v>
      </c>
      <c r="F32" s="20">
        <f>I32/D32</f>
        <v>34.537159285401877</v>
      </c>
      <c r="G32" s="19">
        <f>F32/C32-1</f>
        <v>0.10105781191676155</v>
      </c>
      <c r="H32" s="18">
        <f>SUM(H26:H31)</f>
        <v>170568.85</v>
      </c>
      <c r="I32" s="18">
        <f>SUM(I26:I31)</f>
        <v>187806.16476215833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891+733.1</f>
        <v>1624.1</v>
      </c>
      <c r="E34" s="29">
        <f t="shared" ref="E34:E40" si="13">D34/$D$48</f>
        <v>0.16409525830276944</v>
      </c>
      <c r="F34" s="28">
        <f t="shared" ref="F34:F39" si="14">C34-(C34*$E$6)</f>
        <v>19.708934833310032</v>
      </c>
      <c r="G34" s="27" t="str">
        <f t="shared" ref="G34:G39" si="15">IF(C34&gt;=F34,"-","+")</f>
        <v>+</v>
      </c>
      <c r="H34" s="26">
        <f t="shared" ref="H34:H39" si="16">C34*D34</f>
        <v>29071.389999999996</v>
      </c>
      <c r="I34" s="26">
        <f t="shared" ref="I34:I39" si="17">F34*D34</f>
        <v>32009.28106277882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135.4</v>
      </c>
      <c r="E35" s="29">
        <f t="shared" si="13"/>
        <v>1.3680498721873643E-2</v>
      </c>
      <c r="F35" s="28">
        <f t="shared" si="14"/>
        <v>15.194597804451311</v>
      </c>
      <c r="G35" s="27" t="str">
        <f t="shared" si="15"/>
        <v>+</v>
      </c>
      <c r="H35" s="26">
        <f t="shared" si="16"/>
        <v>1868.5200000000002</v>
      </c>
      <c r="I35" s="26">
        <f t="shared" si="17"/>
        <v>2057.3485427227074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12.221741712276053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32.260993889161114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32.260993889161114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30.3</v>
      </c>
      <c r="D39" s="30"/>
      <c r="E39" s="29">
        <f t="shared" si="13"/>
        <v>0</v>
      </c>
      <c r="F39" s="28">
        <f t="shared" si="14"/>
        <v>33.362051701077874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17.58448991190679</v>
      </c>
      <c r="D40" s="22">
        <f>SUM(D34:D39)</f>
        <v>1759.5</v>
      </c>
      <c r="E40" s="113">
        <f t="shared" si="13"/>
        <v>0.1777757570246431</v>
      </c>
      <c r="F40" s="20">
        <f>I40/D40</f>
        <v>19.361539986076458</v>
      </c>
      <c r="G40" s="19">
        <f>F40/C40-1</f>
        <v>0.10105781191676155</v>
      </c>
      <c r="H40" s="18">
        <f>SUM(H34:H39)</f>
        <v>30939.909999999996</v>
      </c>
      <c r="I40" s="18">
        <f>SUM(I34:I39)</f>
        <v>34066.629605501526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935+113.4+1012</f>
        <v>2060.4</v>
      </c>
      <c r="E42" s="107">
        <f>D42/$D$48</f>
        <v>0.20817798793610381</v>
      </c>
      <c r="F42" s="28">
        <f>C42-(C42*$E$6)</f>
        <v>0.44042312476670464</v>
      </c>
      <c r="G42" s="27" t="str">
        <f>IF(C42&gt;=F42,"-","+")</f>
        <v>+</v>
      </c>
      <c r="H42" s="26">
        <f>C42*D42</f>
        <v>824.16000000000008</v>
      </c>
      <c r="I42" s="26">
        <f>F42*D42</f>
        <v>907.44780626931833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70.2</v>
      </c>
      <c r="E43" s="107">
        <f>D43/$D$48</f>
        <v>7.0928435027734849E-3</v>
      </c>
      <c r="F43" s="28">
        <f>C43-(C43*$E$6)</f>
        <v>0.44042312476670464</v>
      </c>
      <c r="G43" s="27" t="str">
        <f>IF(C43&gt;=F43,"-","+")</f>
        <v>+</v>
      </c>
      <c r="H43" s="26">
        <f>C43*D43</f>
        <v>28.080000000000002</v>
      </c>
      <c r="I43" s="26">
        <f>F43*D43</f>
        <v>30.917703358622667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10.1</v>
      </c>
      <c r="E44" s="107">
        <f>D44/$D$48</f>
        <v>1.0204803330201167E-3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8.0830125387732008E-4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0.3966305207800066</v>
      </c>
      <c r="D46" s="22">
        <f>SUM(D41:D45)</f>
        <v>2148.6999999999998</v>
      </c>
      <c r="E46" s="113">
        <f>D46/$D$48</f>
        <v>0.21709961302577471</v>
      </c>
      <c r="F46" s="20">
        <f>I46/D46</f>
        <v>0.43671313334943973</v>
      </c>
      <c r="G46" s="19">
        <f>F46/C46-1</f>
        <v>0.10105781191676155</v>
      </c>
      <c r="H46" s="18">
        <f>SUM(H41:H44)</f>
        <v>852.24000000000012</v>
      </c>
      <c r="I46" s="18">
        <f>SUM(I41:I44)</f>
        <v>938.36550962794104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95.290456084461283</v>
      </c>
      <c r="D48" s="13">
        <f>D24+D32+D40+D46</f>
        <v>9897.2999999999993</v>
      </c>
      <c r="E48" s="12">
        <f>SUM(E20:E46)/2</f>
        <v>1.0000000000000002</v>
      </c>
      <c r="F48" s="11">
        <f>I48/D48</f>
        <v>25.330000000000005</v>
      </c>
      <c r="G48" s="10"/>
      <c r="H48" s="9">
        <f>SUM(H20:H46)/2</f>
        <v>227688.87</v>
      </c>
      <c r="I48" s="9">
        <f>SUM(I20:I46)/2</f>
        <v>250698.60900000003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9897.3000000000011</v>
      </c>
      <c r="E50" s="12">
        <f>D50/G2</f>
        <v>1.0000000000000002</v>
      </c>
      <c r="F50" s="11">
        <f>I50/D50</f>
        <v>25.33</v>
      </c>
      <c r="G50" s="10"/>
      <c r="H50" s="9">
        <f>H48+H19</f>
        <v>227688.87</v>
      </c>
      <c r="I50" s="9">
        <f>I48+I19</f>
        <v>250698.60900000003</v>
      </c>
      <c r="J50" s="106">
        <f>D50-G2</f>
        <v>0</v>
      </c>
      <c r="K50" s="8"/>
    </row>
    <row r="51" spans="1:11" ht="23.25" x14ac:dyDescent="0.35">
      <c r="A51" s="174" t="s">
        <v>694</v>
      </c>
      <c r="B51" s="169"/>
      <c r="C51" s="170"/>
      <c r="G51" s="7"/>
      <c r="H51" s="6"/>
      <c r="I51" s="6">
        <f>+I50/D50</f>
        <v>25.33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677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691</v>
      </c>
      <c r="D2" s="96" t="s">
        <v>3</v>
      </c>
      <c r="E2" s="95" t="s">
        <v>112</v>
      </c>
      <c r="F2" s="94" t="s">
        <v>5</v>
      </c>
      <c r="G2" s="93">
        <v>4628.2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76</v>
      </c>
      <c r="F3" s="88" t="s">
        <v>8</v>
      </c>
      <c r="G3" s="87">
        <v>25.09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60.897368421052626</v>
      </c>
      <c r="F4" s="81" t="s">
        <v>12</v>
      </c>
      <c r="G4" s="80">
        <f>G2*G3</f>
        <v>116121.538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-0.12766037945094366</v>
      </c>
      <c r="F6" s="69" t="s">
        <v>16</v>
      </c>
      <c r="G6" s="68">
        <f>(I50-I19)/(D50-(SUM(D42:D44)+D19))</f>
        <v>32.939476923949726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25.1</v>
      </c>
      <c r="D10" s="30"/>
      <c r="E10" s="29" t="e">
        <f t="shared" ref="E10:E19" si="1">D10/$D$19</f>
        <v>#DIV/0!</v>
      </c>
      <c r="F10" s="28">
        <f t="shared" ref="F10:F18" si="2">C10-(C10*$E$6)</f>
        <v>28.304275524218689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26.1</v>
      </c>
      <c r="D11" s="30"/>
      <c r="E11" s="29" t="e">
        <f t="shared" si="1"/>
        <v>#DIV/0!</v>
      </c>
      <c r="F11" s="28">
        <f t="shared" si="2"/>
        <v>29.431935903669633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23.9</v>
      </c>
      <c r="D12" s="30"/>
      <c r="E12" s="29" t="e">
        <f t="shared" si="1"/>
        <v>#DIV/0!</v>
      </c>
      <c r="F12" s="28">
        <f t="shared" si="2"/>
        <v>26.951083068877551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26.1</v>
      </c>
      <c r="D13" s="30"/>
      <c r="E13" s="29" t="e">
        <f t="shared" si="1"/>
        <v>#DIV/0!</v>
      </c>
      <c r="F13" s="28">
        <f t="shared" si="2"/>
        <v>29.431935903669633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29.2</v>
      </c>
      <c r="D14" s="30"/>
      <c r="E14" s="29" t="e">
        <f t="shared" si="1"/>
        <v>#DIV/0!</v>
      </c>
      <c r="F14" s="28">
        <f t="shared" si="2"/>
        <v>32.927683079967551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24.1</v>
      </c>
      <c r="D15" s="30"/>
      <c r="E15" s="29" t="e">
        <f t="shared" si="1"/>
        <v>#DIV/0!</v>
      </c>
      <c r="F15" s="28">
        <f t="shared" si="2"/>
        <v>27.176615144767744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</v>
      </c>
      <c r="D16" s="30"/>
      <c r="E16" s="29" t="e">
        <f t="shared" si="1"/>
        <v>#DIV/0!</v>
      </c>
      <c r="F16" s="28">
        <f t="shared" si="2"/>
        <v>37.212792521881141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48.5</v>
      </c>
      <c r="D17" s="30"/>
      <c r="E17" s="29" t="e">
        <f t="shared" si="1"/>
        <v>#DIV/0!</v>
      </c>
      <c r="F17" s="28">
        <f t="shared" si="2"/>
        <v>54.691528403370768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42.5</v>
      </c>
      <c r="D18" s="30"/>
      <c r="E18" s="29" t="e">
        <f t="shared" si="1"/>
        <v>#DIV/0!</v>
      </c>
      <c r="F18" s="28">
        <f t="shared" si="2"/>
        <v>47.925566126665103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63.1</v>
      </c>
      <c r="D21" s="30">
        <v>58</v>
      </c>
      <c r="E21" s="29">
        <f>D21/$D$48</f>
        <v>1.2532140619260604E-2</v>
      </c>
      <c r="F21" s="28">
        <f>C21-(C21*$E$6)</f>
        <v>71.155369943354543</v>
      </c>
      <c r="G21" s="27" t="str">
        <f>IF(C21&gt;=F21,"-","+")</f>
        <v>+</v>
      </c>
      <c r="H21" s="26">
        <f>C21*D21</f>
        <v>3659.8</v>
      </c>
      <c r="I21" s="26">
        <f>F21*D21</f>
        <v>4127.0114567145638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42.4</v>
      </c>
      <c r="D22" s="30">
        <v>102.9</v>
      </c>
      <c r="E22" s="29">
        <f>D22/$D$48</f>
        <v>2.2233746029688209E-2</v>
      </c>
      <c r="F22" s="28">
        <f>C22-(C22*$E$6)</f>
        <v>47.81280008872001</v>
      </c>
      <c r="G22" s="27" t="str">
        <f>IF(C22&gt;=F22,"-","+")</f>
        <v>+</v>
      </c>
      <c r="H22" s="26">
        <f>C22*D22</f>
        <v>4362.96</v>
      </c>
      <c r="I22" s="26">
        <f>F22*D22</f>
        <v>4919.9371291292891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38.6</v>
      </c>
      <c r="D23" s="30">
        <v>83</v>
      </c>
      <c r="E23" s="29">
        <f>D23/$D$48</f>
        <v>1.7933925368941898E-2</v>
      </c>
      <c r="F23" s="28">
        <f>C23-(C23*$E$6)</f>
        <v>43.527690646806427</v>
      </c>
      <c r="G23" s="27" t="str">
        <f>IF(C23&gt;=F23,"-","+")</f>
        <v>+</v>
      </c>
      <c r="H23" s="26">
        <f>C23*D23</f>
        <v>3203.8</v>
      </c>
      <c r="I23" s="26">
        <f>F23*D23</f>
        <v>3612.7983236849336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46.029356293562941</v>
      </c>
      <c r="D24" s="22">
        <f>SUM(D21:D23)</f>
        <v>243.9</v>
      </c>
      <c r="E24" s="21">
        <f>D24/$D$48</f>
        <v>5.2699812017890708E-2</v>
      </c>
      <c r="F24" s="20">
        <f>I24/D24</f>
        <v>51.905481383881863</v>
      </c>
      <c r="G24" s="19">
        <f>F24/C24-1</f>
        <v>0.12766037945094366</v>
      </c>
      <c r="H24" s="18">
        <f>SUM(H21:H23)</f>
        <v>11226.560000000001</v>
      </c>
      <c r="I24" s="18">
        <f>SUM(I21:I23)</f>
        <v>12659.746909528787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33.700000000000003</v>
      </c>
      <c r="D26" s="30">
        <v>835</v>
      </c>
      <c r="E26" s="29">
        <f t="shared" ref="E26:E32" si="7">D26/$D$48</f>
        <v>0.18041961063935522</v>
      </c>
      <c r="F26" s="28">
        <f t="shared" ref="F26:F31" si="8">C26-(C26*$E$6)</f>
        <v>38.002154787496806</v>
      </c>
      <c r="G26" s="27" t="str">
        <f t="shared" ref="G26:G31" si="9">IF(C26&gt;=F26,"-","+")</f>
        <v>+</v>
      </c>
      <c r="H26" s="26">
        <f t="shared" ref="H26:H31" si="10">C26*D26</f>
        <v>28139.500000000004</v>
      </c>
      <c r="I26" s="26">
        <f t="shared" ref="I26:I31" si="11">F26*D26</f>
        <v>31731.799247559833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</v>
      </c>
      <c r="D27" s="30">
        <v>743</v>
      </c>
      <c r="E27" s="29">
        <f t="shared" si="7"/>
        <v>0.16054104276052805</v>
      </c>
      <c r="F27" s="28">
        <f t="shared" si="8"/>
        <v>33.829811383528309</v>
      </c>
      <c r="G27" s="27" t="str">
        <f t="shared" si="9"/>
        <v>+</v>
      </c>
      <c r="H27" s="26">
        <f t="shared" si="10"/>
        <v>22290</v>
      </c>
      <c r="I27" s="26">
        <f t="shared" si="11"/>
        <v>25135.549857961534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</v>
      </c>
      <c r="D28" s="30">
        <v>312</v>
      </c>
      <c r="E28" s="29">
        <f t="shared" si="7"/>
        <v>6.7414273676022554E-2</v>
      </c>
      <c r="F28" s="28">
        <f t="shared" si="8"/>
        <v>33.829811383528309</v>
      </c>
      <c r="G28" s="27" t="str">
        <f t="shared" si="9"/>
        <v>+</v>
      </c>
      <c r="H28" s="26">
        <f t="shared" si="10"/>
        <v>9360</v>
      </c>
      <c r="I28" s="26">
        <f t="shared" si="11"/>
        <v>10554.901151660832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</v>
      </c>
      <c r="D29" s="30">
        <v>317</v>
      </c>
      <c r="E29" s="29">
        <f t="shared" si="7"/>
        <v>6.8494630625958813E-2</v>
      </c>
      <c r="F29" s="28">
        <f t="shared" si="8"/>
        <v>32.702151004077365</v>
      </c>
      <c r="G29" s="27" t="str">
        <f t="shared" si="9"/>
        <v>+</v>
      </c>
      <c r="H29" s="26">
        <f t="shared" si="10"/>
        <v>9193</v>
      </c>
      <c r="I29" s="26">
        <f t="shared" si="11"/>
        <v>10366.581868292526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</v>
      </c>
      <c r="D30" s="30">
        <f>406.6-124</f>
        <v>282.60000000000002</v>
      </c>
      <c r="E30" s="29">
        <f t="shared" si="7"/>
        <v>6.1061774810397353E-2</v>
      </c>
      <c r="F30" s="28">
        <f t="shared" si="8"/>
        <v>32.702151004077365</v>
      </c>
      <c r="G30" s="27" t="str">
        <f t="shared" si="9"/>
        <v>+</v>
      </c>
      <c r="H30" s="26">
        <f t="shared" si="10"/>
        <v>8195.4000000000015</v>
      </c>
      <c r="I30" s="26">
        <f t="shared" si="11"/>
        <v>9241.6278737522643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29.5</v>
      </c>
      <c r="D31" s="30">
        <v>35</v>
      </c>
      <c r="E31" s="29">
        <f t="shared" si="7"/>
        <v>7.5624986495538117E-3</v>
      </c>
      <c r="F31" s="28">
        <f t="shared" si="8"/>
        <v>33.265981193802837</v>
      </c>
      <c r="G31" s="27" t="str">
        <f t="shared" si="9"/>
        <v>+</v>
      </c>
      <c r="H31" s="26">
        <f t="shared" si="10"/>
        <v>1032.5</v>
      </c>
      <c r="I31" s="26">
        <f t="shared" si="11"/>
        <v>1164.3093417830994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30.979323457181334</v>
      </c>
      <c r="D32" s="22">
        <f>SUM(D26:D31)</f>
        <v>2524.6</v>
      </c>
      <c r="E32" s="21">
        <f t="shared" si="7"/>
        <v>0.54549383116181582</v>
      </c>
      <c r="F32" s="20">
        <f>I32/D32</f>
        <v>34.934155644858627</v>
      </c>
      <c r="G32" s="19">
        <f>F32/C32-1</f>
        <v>0.12766037945094388</v>
      </c>
      <c r="H32" s="18">
        <f>SUM(H26:H31)</f>
        <v>78210.399999999994</v>
      </c>
      <c r="I32" s="18">
        <f>SUM(I26:I31)</f>
        <v>88194.769341010091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617.5+241.4-161</f>
        <v>697.9</v>
      </c>
      <c r="E34" s="29">
        <f t="shared" ref="E34:E40" si="13">D34/$D$48</f>
        <v>0.150796223072103</v>
      </c>
      <c r="F34" s="28">
        <f t="shared" ref="F34:F39" si="14">C34-(C34*$E$6)</f>
        <v>19.959588716281701</v>
      </c>
      <c r="G34" s="27" t="str">
        <f t="shared" ref="G34:G39" si="15">IF(C34&gt;=F34,"-","+")</f>
        <v>+</v>
      </c>
      <c r="H34" s="26">
        <f t="shared" ref="H34:H39" si="16">C34*D34</f>
        <v>12352.83</v>
      </c>
      <c r="I34" s="26">
        <f t="shared" ref="I34:I39" si="17">F34*D34</f>
        <v>13929.796965092999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54.9</v>
      </c>
      <c r="E35" s="29">
        <f t="shared" si="13"/>
        <v>1.1862319310300122E-2</v>
      </c>
      <c r="F35" s="28">
        <f t="shared" si="14"/>
        <v>15.336181160532833</v>
      </c>
      <c r="G35" s="27" t="str">
        <f t="shared" si="15"/>
        <v>+</v>
      </c>
      <c r="H35" s="26">
        <f t="shared" si="16"/>
        <v>746.64</v>
      </c>
      <c r="I35" s="26">
        <f t="shared" si="17"/>
        <v>841.95634571325252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12.40426417396038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</v>
      </c>
      <c r="D37" s="30"/>
      <c r="E37" s="29">
        <f t="shared" si="13"/>
        <v>0</v>
      </c>
      <c r="F37" s="28">
        <f t="shared" si="14"/>
        <v>32.702151004077365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</v>
      </c>
      <c r="D38" s="30"/>
      <c r="E38" s="29">
        <f t="shared" si="13"/>
        <v>0</v>
      </c>
      <c r="F38" s="28">
        <f t="shared" si="14"/>
        <v>32.702151004077365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</v>
      </c>
      <c r="D39" s="30"/>
      <c r="E39" s="29">
        <f t="shared" si="13"/>
        <v>0</v>
      </c>
      <c r="F39" s="28">
        <f t="shared" si="14"/>
        <v>33.829811383528309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17.400996280552604</v>
      </c>
      <c r="D40" s="22">
        <f>SUM(D34:D39)</f>
        <v>752.8</v>
      </c>
      <c r="E40" s="113">
        <f t="shared" si="13"/>
        <v>0.16265854238240313</v>
      </c>
      <c r="F40" s="20">
        <f>I40/D40</f>
        <v>19.622414068552406</v>
      </c>
      <c r="G40" s="19">
        <f>F40/C40-1</f>
        <v>0.12766037945094344</v>
      </c>
      <c r="H40" s="18">
        <f>SUM(H34:H39)</f>
        <v>13099.47</v>
      </c>
      <c r="I40" s="18">
        <f>SUM(I34:I39)</f>
        <v>14771.753310806251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663+44.4+370.5</f>
        <v>1077.9000000000001</v>
      </c>
      <c r="E42" s="107">
        <f>D42/$D$48</f>
        <v>0.2329033512672587</v>
      </c>
      <c r="F42" s="28">
        <f>C42-(C42*$E$6)</f>
        <v>0.45106415178037751</v>
      </c>
      <c r="G42" s="27" t="str">
        <f>IF(C42&gt;=F42,"-","+")</f>
        <v>+</v>
      </c>
      <c r="H42" s="26">
        <f>C42*D42</f>
        <v>431.16000000000008</v>
      </c>
      <c r="I42" s="26">
        <f>F42*D42</f>
        <v>486.20204920406894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20.100000000000001</v>
      </c>
      <c r="E43" s="107">
        <f>D43/$D$48</f>
        <v>4.3430349387437606E-3</v>
      </c>
      <c r="F43" s="28">
        <f>C43-(C43*$E$6)</f>
        <v>0.45106415178037751</v>
      </c>
      <c r="G43" s="27" t="str">
        <f>IF(C43&gt;=F43,"-","+")</f>
        <v>+</v>
      </c>
      <c r="H43" s="26">
        <f>C43*D43</f>
        <v>8.0400000000000009</v>
      </c>
      <c r="I43" s="26">
        <f>F43*D43</f>
        <v>9.0663894507855893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4.8</v>
      </c>
      <c r="E44" s="107">
        <f>D44/$D$48</f>
        <v>1.0371426719388084E-3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8.6428555994900709E-4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0.39681966028189386</v>
      </c>
      <c r="D46" s="22">
        <f>SUM(D41:D45)</f>
        <v>1106.8</v>
      </c>
      <c r="E46" s="113">
        <f>D46/$D$48</f>
        <v>0.23914781443789024</v>
      </c>
      <c r="F46" s="20">
        <f>I46/D46</f>
        <v>0.44747780868707498</v>
      </c>
      <c r="G46" s="19">
        <f>F46/C46-1</f>
        <v>0.12766037945094366</v>
      </c>
      <c r="H46" s="18">
        <f>SUM(H41:H44)</f>
        <v>439.2000000000001</v>
      </c>
      <c r="I46" s="18">
        <f>SUM(I41:I44)</f>
        <v>495.26843865485455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94.806495691578775</v>
      </c>
      <c r="D48" s="13">
        <f>D24+D32+D40+D46</f>
        <v>4628.1000000000004</v>
      </c>
      <c r="E48" s="12">
        <f>SUM(E20:E46)/2</f>
        <v>0.99999999999999989</v>
      </c>
      <c r="F48" s="11">
        <f>I48/D48</f>
        <v>25.090542123117473</v>
      </c>
      <c r="G48" s="10"/>
      <c r="H48" s="9">
        <f>SUM(H20:H46)/2</f>
        <v>102975.63000000002</v>
      </c>
      <c r="I48" s="9">
        <f>SUM(I20:I46)/2</f>
        <v>116121.53799999999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4628.1000000000004</v>
      </c>
      <c r="E50" s="12">
        <f>D50/G2</f>
        <v>0.99997839332785976</v>
      </c>
      <c r="F50" s="11">
        <f>I50/D50</f>
        <v>25.090542123117473</v>
      </c>
      <c r="G50" s="10"/>
      <c r="H50" s="9">
        <f>H48+H19</f>
        <v>102975.63000000002</v>
      </c>
      <c r="I50" s="9">
        <f>I48+I19</f>
        <v>116121.53799999999</v>
      </c>
      <c r="J50" s="106">
        <f>D50-G2</f>
        <v>-9.9999999999454303E-2</v>
      </c>
      <c r="K50" s="8"/>
    </row>
    <row r="51" spans="1:11" ht="23.25" x14ac:dyDescent="0.35">
      <c r="A51" s="174" t="s">
        <v>695</v>
      </c>
      <c r="B51" s="169"/>
      <c r="C51" s="170"/>
      <c r="G51" s="7"/>
      <c r="H51" s="6"/>
      <c r="I51" s="6">
        <f>+I50/D50</f>
        <v>25.090542123117473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684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691</v>
      </c>
      <c r="D2" s="96" t="s">
        <v>3</v>
      </c>
      <c r="E2" s="95" t="s">
        <v>112</v>
      </c>
      <c r="F2" s="94" t="s">
        <v>5</v>
      </c>
      <c r="G2" s="93">
        <f>634.7+226.7</f>
        <v>861.40000000000009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12</v>
      </c>
      <c r="F3" s="88" t="s">
        <v>8</v>
      </c>
      <c r="G3" s="87">
        <v>25.99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71.783333333333346</v>
      </c>
      <c r="F4" s="81" t="s">
        <v>12</v>
      </c>
      <c r="G4" s="80">
        <f>G2*G3</f>
        <v>22387.786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-5.6219953255639998E-2</v>
      </c>
      <c r="F6" s="69" t="s">
        <v>16</v>
      </c>
      <c r="G6" s="68">
        <f>(I50-I19)/(D50-(SUM(D42:D44)+D19))</f>
        <v>32.110995410212283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 t="e">
        <f t="shared" ref="E10:E19" si="1">D10/$D$19</f>
        <v>#DIV/0!</v>
      </c>
      <c r="F10" s="28">
        <f t="shared" ref="F10:F18" si="2">C10-(C10*$E$6)</f>
        <v>27.461718784646639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/>
      <c r="E11" s="29" t="e">
        <f t="shared" si="1"/>
        <v>#DIV/0!</v>
      </c>
      <c r="F11" s="28">
        <f t="shared" si="2"/>
        <v>28.623560733227844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26.088632845414306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 t="e">
        <f t="shared" si="1"/>
        <v>#DIV/0!</v>
      </c>
      <c r="F13" s="28">
        <f t="shared" si="2"/>
        <v>28.623560733227844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 t="e">
        <f t="shared" si="1"/>
        <v>#DIV/0!</v>
      </c>
      <c r="F14" s="28">
        <f t="shared" si="2"/>
        <v>32.003464583645894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 t="e">
        <f t="shared" si="1"/>
        <v>#DIV/0!</v>
      </c>
      <c r="F15" s="28">
        <f t="shared" si="2"/>
        <v>26.405498831391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/>
      <c r="E16" s="29" t="e">
        <f t="shared" si="1"/>
        <v>#DIV/0!</v>
      </c>
      <c r="F16" s="28">
        <f t="shared" si="2"/>
        <v>36.122722401342891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/>
      <c r="E17" s="29" t="e">
        <f t="shared" si="1"/>
        <v>#DIV/0!</v>
      </c>
      <c r="F17" s="28">
        <f t="shared" si="2"/>
        <v>53.127863648758691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 t="e">
        <f t="shared" si="1"/>
        <v>#DIV/0!</v>
      </c>
      <c r="F18" s="28">
        <f t="shared" si="2"/>
        <v>46.473677943248163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11</v>
      </c>
      <c r="E21" s="29">
        <f>D21/$D$48</f>
        <v>1.2763982362497098E-2</v>
      </c>
      <c r="F21" s="28">
        <f>C21-(C21*$E$6)</f>
        <v>69.076784942918863</v>
      </c>
      <c r="G21" s="27" t="str">
        <f>IF(C21&gt;=F21,"-","+")</f>
        <v>+</v>
      </c>
      <c r="H21" s="26">
        <f>C21*D21</f>
        <v>719.40000000000009</v>
      </c>
      <c r="I21" s="26">
        <f>F21*D21</f>
        <v>759.84463437210752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26</v>
      </c>
      <c r="E22" s="29">
        <f>D22/$D$48</f>
        <v>3.0169412856811323E-2</v>
      </c>
      <c r="F22" s="28">
        <f>C22-(C22*$E$6)</f>
        <v>46.368055947922592</v>
      </c>
      <c r="G22" s="27" t="str">
        <f>IF(C22&gt;=F22,"-","+")</f>
        <v>+</v>
      </c>
      <c r="H22" s="26">
        <f>C22*D22</f>
        <v>1141.3999999999999</v>
      </c>
      <c r="I22" s="26">
        <f>F22*D22</f>
        <v>1205.5694546459874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23.8</v>
      </c>
      <c r="E23" s="29">
        <f>D23/$D$48</f>
        <v>2.7616616384311905E-2</v>
      </c>
      <c r="F23" s="28">
        <f>C23-(C23*$E$6)</f>
        <v>42.248798130225602</v>
      </c>
      <c r="G23" s="27" t="str">
        <f>IF(C23&gt;=F23,"-","+")</f>
        <v>+</v>
      </c>
      <c r="H23" s="26">
        <f>C23*D23</f>
        <v>952</v>
      </c>
      <c r="I23" s="26">
        <f>F23*D23</f>
        <v>1005.5213954993693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46.26315789473685</v>
      </c>
      <c r="D24" s="22">
        <f>SUM(D21:D23)</f>
        <v>60.8</v>
      </c>
      <c r="E24" s="21">
        <f>D24/$D$48</f>
        <v>7.0550011603620316E-2</v>
      </c>
      <c r="F24" s="20">
        <f>I24/D24</f>
        <v>48.864070469037244</v>
      </c>
      <c r="G24" s="19">
        <f>F24/C24-1</f>
        <v>5.6219953255639998E-2</v>
      </c>
      <c r="H24" s="18">
        <f>SUM(H21:H23)</f>
        <v>2812.8</v>
      </c>
      <c r="I24" s="18">
        <f>SUM(I21:I23)</f>
        <v>2970.9354845174644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v>167</v>
      </c>
      <c r="E26" s="29">
        <f t="shared" ref="E26:E32" si="7">D26/$D$48</f>
        <v>0.19378045950336503</v>
      </c>
      <c r="F26" s="28">
        <f t="shared" ref="F26:F31" si="8">C26-(C26*$E$6)</f>
        <v>36.862076368621835</v>
      </c>
      <c r="G26" s="27" t="str">
        <f t="shared" ref="G26:G31" si="9">IF(C26&gt;=F26,"-","+")</f>
        <v>+</v>
      </c>
      <c r="H26" s="26">
        <f t="shared" ref="H26:H31" si="10">C26*D26</f>
        <v>5828.3</v>
      </c>
      <c r="I26" s="26">
        <f t="shared" ref="I26:I31" si="11">F26*D26</f>
        <v>6155.9667535598464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129</v>
      </c>
      <c r="E27" s="29">
        <f t="shared" si="7"/>
        <v>0.14968670225110234</v>
      </c>
      <c r="F27" s="28">
        <f t="shared" si="8"/>
        <v>32.848440546250409</v>
      </c>
      <c r="G27" s="27" t="str">
        <f t="shared" si="9"/>
        <v>+</v>
      </c>
      <c r="H27" s="26">
        <f t="shared" si="10"/>
        <v>4011.9</v>
      </c>
      <c r="I27" s="26">
        <f t="shared" si="11"/>
        <v>4237.4488304663028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61</v>
      </c>
      <c r="E28" s="29">
        <f t="shared" si="7"/>
        <v>7.0782084010211174E-2</v>
      </c>
      <c r="F28" s="28">
        <f t="shared" si="8"/>
        <v>32.848440546250409</v>
      </c>
      <c r="G28" s="27" t="str">
        <f t="shared" si="9"/>
        <v>+</v>
      </c>
      <c r="H28" s="26">
        <f t="shared" si="10"/>
        <v>1897.1000000000001</v>
      </c>
      <c r="I28" s="26">
        <f t="shared" si="11"/>
        <v>2003.754873321275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60.6</v>
      </c>
      <c r="E29" s="29">
        <f t="shared" si="7"/>
        <v>7.0317939197029472E-2</v>
      </c>
      <c r="F29" s="28">
        <f t="shared" si="8"/>
        <v>31.6865985976692</v>
      </c>
      <c r="G29" s="27" t="str">
        <f t="shared" si="9"/>
        <v>+</v>
      </c>
      <c r="H29" s="26">
        <f t="shared" si="10"/>
        <v>1818</v>
      </c>
      <c r="I29" s="26">
        <f t="shared" si="11"/>
        <v>1920.2078750187536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54</v>
      </c>
      <c r="E30" s="29">
        <f t="shared" si="7"/>
        <v>6.2659549779531212E-2</v>
      </c>
      <c r="F30" s="28">
        <f t="shared" si="8"/>
        <v>31.6865985976692</v>
      </c>
      <c r="G30" s="27" t="str">
        <f t="shared" si="9"/>
        <v>+</v>
      </c>
      <c r="H30" s="26">
        <f t="shared" si="10"/>
        <v>1620</v>
      </c>
      <c r="I30" s="26">
        <f t="shared" si="11"/>
        <v>1711.0763242741368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30.5</v>
      </c>
      <c r="D31" s="30">
        <v>16.8</v>
      </c>
      <c r="E31" s="29">
        <f t="shared" si="7"/>
        <v>1.9494082153631933E-2</v>
      </c>
      <c r="F31" s="28">
        <f t="shared" si="8"/>
        <v>32.214708574297021</v>
      </c>
      <c r="G31" s="27" t="str">
        <f t="shared" si="9"/>
        <v>+</v>
      </c>
      <c r="H31" s="26">
        <f t="shared" si="10"/>
        <v>512.4</v>
      </c>
      <c r="I31" s="26">
        <f t="shared" si="11"/>
        <v>541.20710404818999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32.120597870597869</v>
      </c>
      <c r="D32" s="22">
        <f>SUM(D26:D31)</f>
        <v>488.40000000000003</v>
      </c>
      <c r="E32" s="21">
        <f t="shared" si="7"/>
        <v>0.56672081689487119</v>
      </c>
      <c r="F32" s="20">
        <f>I32/D32</f>
        <v>33.926416381426094</v>
      </c>
      <c r="G32" s="19">
        <f>F32/C32-1</f>
        <v>5.6219953255639998E-2</v>
      </c>
      <c r="H32" s="18">
        <f>SUM(H26:H31)</f>
        <v>15687.7</v>
      </c>
      <c r="I32" s="18">
        <f>SUM(I26:I31)</f>
        <v>16569.661760688505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v>143</v>
      </c>
      <c r="E34" s="29">
        <f t="shared" ref="E34:E40" si="13">D34/$D$48</f>
        <v>0.16593177071246226</v>
      </c>
      <c r="F34" s="28">
        <f t="shared" ref="F34:F39" si="14">C34-(C34*$E$6)</f>
        <v>19.434447139903774</v>
      </c>
      <c r="G34" s="27" t="str">
        <f t="shared" ref="G34:G39" si="15">IF(C34&gt;=F34,"-","+")</f>
        <v>+</v>
      </c>
      <c r="H34" s="26">
        <f t="shared" ref="H34:H39" si="16">C34*D34</f>
        <v>2631.2</v>
      </c>
      <c r="I34" s="26">
        <f t="shared" ref="I34:I39" si="17">F34*D34</f>
        <v>2779.1259410062398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14.892701340904523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11.3</v>
      </c>
      <c r="D36" s="30"/>
      <c r="E36" s="29">
        <f t="shared" si="13"/>
        <v>0</v>
      </c>
      <c r="F36" s="28">
        <f t="shared" si="14"/>
        <v>11.935285471788733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31.6865985976692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31.6865985976692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32.848440546250409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18.399999999999999</v>
      </c>
      <c r="D40" s="22">
        <f>SUM(D34:D39)</f>
        <v>143</v>
      </c>
      <c r="E40" s="21">
        <f t="shared" si="13"/>
        <v>0.16593177071246226</v>
      </c>
      <c r="F40" s="20">
        <f>I40/D40</f>
        <v>19.434447139903774</v>
      </c>
      <c r="G40" s="19">
        <f>F40/C40-1</f>
        <v>5.6219953255639998E-2</v>
      </c>
      <c r="H40" s="18">
        <f>SUM(H34:H39)</f>
        <v>2631.2</v>
      </c>
      <c r="I40" s="18">
        <f>SUM(I34:I39)</f>
        <v>2779.1259410062398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160</v>
      </c>
      <c r="E42" s="107">
        <f>D42/$D$48</f>
        <v>0.18565792527268507</v>
      </c>
      <c r="F42" s="28">
        <f>C42-(C42*$E$6)</f>
        <v>0.42248798130225601</v>
      </c>
      <c r="G42" s="27" t="str">
        <f>IF(C42&gt;=F42,"-","+")</f>
        <v>+</v>
      </c>
      <c r="H42" s="26">
        <f>C42*D42</f>
        <v>64</v>
      </c>
      <c r="I42" s="26">
        <f>F42*D42</f>
        <v>67.59807700836096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1.1000000000000001</v>
      </c>
      <c r="E43" s="107">
        <f>D43/$D$48</f>
        <v>1.2763982362497099E-3</v>
      </c>
      <c r="F43" s="28">
        <f>C43-(C43*$E$6)</f>
        <v>0.42248798130225601</v>
      </c>
      <c r="G43" s="27" t="str">
        <f>IF(C43&gt;=F43,"-","+")</f>
        <v>+</v>
      </c>
      <c r="H43" s="26">
        <f>C43*D43</f>
        <v>0.44000000000000006</v>
      </c>
      <c r="I43" s="26">
        <f>F43*D43</f>
        <v>0.46473677943248165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3.5</v>
      </c>
      <c r="E44" s="107">
        <f>D44/$D$48</f>
        <v>4.0612671153399862E-3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5.8018101647714084E-3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0.37995283018867926</v>
      </c>
      <c r="D46" s="22">
        <f>SUM(D41:D45)</f>
        <v>169.6</v>
      </c>
      <c r="E46" s="21">
        <f>D46/$D$48</f>
        <v>0.19679740078904617</v>
      </c>
      <c r="F46" s="20">
        <f>I46/D46</f>
        <v>0.40131376054123497</v>
      </c>
      <c r="G46" s="19">
        <f>F46/C46-1</f>
        <v>5.6219953255639998E-2</v>
      </c>
      <c r="H46" s="18">
        <f>SUM(H41:H44)</f>
        <v>64.44</v>
      </c>
      <c r="I46" s="18">
        <f>SUM(I41:I44)</f>
        <v>68.062813787793445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97.163708595523403</v>
      </c>
      <c r="D48" s="13">
        <f>D24+D32+D40+D46</f>
        <v>861.80000000000007</v>
      </c>
      <c r="E48" s="12">
        <f>SUM(E20:E46)/2</f>
        <v>1</v>
      </c>
      <c r="F48" s="11">
        <f>I48/D48</f>
        <v>25.97793687630541</v>
      </c>
      <c r="G48" s="10"/>
      <c r="H48" s="9">
        <f>SUM(H20:H46)/2</f>
        <v>21196.14</v>
      </c>
      <c r="I48" s="9">
        <f>SUM(I20:I46)/2</f>
        <v>22387.786000000004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861.8</v>
      </c>
      <c r="E50" s="12">
        <f>D50/G2</f>
        <v>1.0004643603436265</v>
      </c>
      <c r="F50" s="11">
        <f>I50/D50</f>
        <v>25.977936876305414</v>
      </c>
      <c r="G50" s="10"/>
      <c r="H50" s="9">
        <f>H48+H19</f>
        <v>21196.14</v>
      </c>
      <c r="I50" s="9">
        <f>I48+I19</f>
        <v>22387.786000000004</v>
      </c>
      <c r="J50" s="106">
        <f>D50-G2</f>
        <v>0.39999999999986358</v>
      </c>
      <c r="K50" s="8"/>
    </row>
    <row r="51" spans="1:11" ht="23.25" x14ac:dyDescent="0.35">
      <c r="A51" s="174" t="s">
        <v>696</v>
      </c>
      <c r="B51" s="169"/>
      <c r="C51" s="170"/>
      <c r="G51" s="7"/>
      <c r="H51" s="6"/>
      <c r="I51" s="6">
        <f>+I50/D50</f>
        <v>25.977936876305414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677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697</v>
      </c>
      <c r="D2" s="96" t="s">
        <v>3</v>
      </c>
      <c r="E2" s="95" t="s">
        <v>107</v>
      </c>
      <c r="F2" s="94" t="s">
        <v>5</v>
      </c>
      <c r="G2" s="93">
        <v>3175.8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52</v>
      </c>
      <c r="F3" s="88" t="s">
        <v>8</v>
      </c>
      <c r="G3" s="87">
        <v>27.5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61.073076923076925</v>
      </c>
      <c r="F4" s="81" t="s">
        <v>12</v>
      </c>
      <c r="G4" s="80">
        <f>G2*G3</f>
        <v>87334.5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-6.8944270886116765E-2</v>
      </c>
      <c r="F6" s="69" t="s">
        <v>16</v>
      </c>
      <c r="G6" s="68">
        <f>(I50-I19)/(D50-(SUM(D42:D44)+D19))</f>
        <v>34.559914747767841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30"/>
      <c r="E10" s="29">
        <f t="shared" ref="E10:E19" si="1">D10/$D$19</f>
        <v>0</v>
      </c>
      <c r="F10" s="28">
        <f t="shared" ref="F10:F18" si="2">C10-(C10*$E$6)</f>
        <v>29.395967449368211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28.6</v>
      </c>
      <c r="D11" s="30"/>
      <c r="E11" s="29">
        <f t="shared" si="1"/>
        <v>0</v>
      </c>
      <c r="F11" s="28">
        <f t="shared" si="2"/>
        <v>30.57180614734294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26.2</v>
      </c>
      <c r="D12" s="30"/>
      <c r="E12" s="29">
        <f t="shared" si="1"/>
        <v>0</v>
      </c>
      <c r="F12" s="28">
        <f t="shared" si="2"/>
        <v>28.006339897216257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28.6</v>
      </c>
      <c r="D13" s="30"/>
      <c r="E13" s="29">
        <f t="shared" si="1"/>
        <v>0</v>
      </c>
      <c r="F13" s="28">
        <f t="shared" si="2"/>
        <v>30.57180614734294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</v>
      </c>
      <c r="D14" s="30"/>
      <c r="E14" s="29">
        <f t="shared" si="1"/>
        <v>0</v>
      </c>
      <c r="F14" s="28">
        <f t="shared" si="2"/>
        <v>34.206216668355736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26.4</v>
      </c>
      <c r="D15" s="30"/>
      <c r="E15" s="29">
        <f t="shared" si="1"/>
        <v>0</v>
      </c>
      <c r="F15" s="28">
        <f t="shared" si="2"/>
        <v>28.220128751393482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36.1</v>
      </c>
      <c r="D16" s="30"/>
      <c r="E16" s="29">
        <f t="shared" si="1"/>
        <v>0</v>
      </c>
      <c r="F16" s="28">
        <f t="shared" si="2"/>
        <v>38.588888178988817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30">
        <v>23</v>
      </c>
      <c r="E17" s="29">
        <f t="shared" si="1"/>
        <v>1</v>
      </c>
      <c r="F17" s="28">
        <f t="shared" si="2"/>
        <v>56.867835211141411</v>
      </c>
      <c r="G17" s="27" t="str">
        <f t="shared" si="3"/>
        <v>+</v>
      </c>
      <c r="H17" s="34">
        <f t="shared" si="4"/>
        <v>1223.6000000000001</v>
      </c>
      <c r="I17" s="34">
        <f t="shared" si="5"/>
        <v>1307.9602098562525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30"/>
      <c r="E18" s="29">
        <f t="shared" si="1"/>
        <v>0</v>
      </c>
      <c r="F18" s="28">
        <f t="shared" si="2"/>
        <v>49.812803023293043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53.2</v>
      </c>
      <c r="D19" s="49">
        <f>SUM(D10:D18)</f>
        <v>23</v>
      </c>
      <c r="E19" s="48">
        <f t="shared" si="1"/>
        <v>1</v>
      </c>
      <c r="F19" s="47">
        <f>I19/D19</f>
        <v>56.867835211141411</v>
      </c>
      <c r="G19" s="46">
        <f>F19/C19-1</f>
        <v>6.8944270886116765E-2</v>
      </c>
      <c r="H19" s="9">
        <f>SUM(H10:H18)</f>
        <v>1223.6000000000001</v>
      </c>
      <c r="I19" s="9">
        <f>SUM(I10:I18)</f>
        <v>1307.9602098562525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30">
        <v>25.9</v>
      </c>
      <c r="E21" s="29">
        <f>D21/$D$48</f>
        <v>8.214920071047958E-3</v>
      </c>
      <c r="F21" s="28">
        <f>C21-(C21*$E$6)</f>
        <v>73.970943545319287</v>
      </c>
      <c r="G21" s="27" t="str">
        <f>IF(C21&gt;=F21,"-","+")</f>
        <v>+</v>
      </c>
      <c r="H21" s="26">
        <f>C21*D21</f>
        <v>1792.28</v>
      </c>
      <c r="I21" s="26">
        <f>F21*D21</f>
        <v>1915.8474378237695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46.4</v>
      </c>
      <c r="D22" s="30">
        <v>74.400000000000006</v>
      </c>
      <c r="E22" s="29">
        <f>D22/$D$48</f>
        <v>2.3598071555442784E-2</v>
      </c>
      <c r="F22" s="28">
        <f>C22-(C22*$E$6)</f>
        <v>49.599014169115819</v>
      </c>
      <c r="G22" s="27" t="str">
        <f>IF(C22&gt;=F22,"-","+")</f>
        <v>+</v>
      </c>
      <c r="H22" s="26">
        <f>C22*D22</f>
        <v>3452.1600000000003</v>
      </c>
      <c r="I22" s="26">
        <f>F22*D22</f>
        <v>3690.1666541822174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30">
        <v>70</v>
      </c>
      <c r="E23" s="29">
        <f>D23/$D$48</f>
        <v>2.2202486678507993E-2</v>
      </c>
      <c r="F23" s="28">
        <f>C23-(C23*$E$6)</f>
        <v>45.32323708557135</v>
      </c>
      <c r="G23" s="27" t="str">
        <f>IF(C23&gt;=F23,"-","+")</f>
        <v>+</v>
      </c>
      <c r="H23" s="26">
        <f>C23*D23</f>
        <v>2968</v>
      </c>
      <c r="I23" s="26">
        <f>F23*D23</f>
        <v>3172.6265959899947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48.223370522607162</v>
      </c>
      <c r="D24" s="22">
        <f>SUM(D21:D23)</f>
        <v>170.3</v>
      </c>
      <c r="E24" s="21">
        <f>D24/$D$48</f>
        <v>5.401547830499874E-2</v>
      </c>
      <c r="F24" s="20">
        <f>I24/D24</f>
        <v>51.548095642959368</v>
      </c>
      <c r="G24" s="19">
        <f>F24/C24-1</f>
        <v>6.8944270886116765E-2</v>
      </c>
      <c r="H24" s="18">
        <f>SUM(H21:H23)</f>
        <v>8212.44</v>
      </c>
      <c r="I24" s="18">
        <f>SUM(I21:I23)</f>
        <v>8778.6406879959814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30">
        <v>574</v>
      </c>
      <c r="E26" s="29">
        <f t="shared" ref="E26:E32" si="7">D26/$D$48</f>
        <v>0.18206039076376557</v>
      </c>
      <c r="F26" s="28">
        <f t="shared" ref="F26:F31" si="8">C26-(C26*$E$6)</f>
        <v>39.444043595697707</v>
      </c>
      <c r="G26" s="27" t="str">
        <f t="shared" ref="G26:G31" si="9">IF(C26&gt;=F26,"-","+")</f>
        <v>+</v>
      </c>
      <c r="H26" s="26">
        <f t="shared" ref="H26:H31" si="10">C26*D26</f>
        <v>21180.6</v>
      </c>
      <c r="I26" s="26">
        <f t="shared" ref="I26:I31" si="11">F26*D26</f>
        <v>22640.881023930484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30">
        <v>489.2</v>
      </c>
      <c r="E27" s="29">
        <f t="shared" si="7"/>
        <v>0.15516366404465873</v>
      </c>
      <c r="F27" s="28">
        <f t="shared" si="8"/>
        <v>35.168266512153238</v>
      </c>
      <c r="G27" s="27" t="str">
        <f t="shared" si="9"/>
        <v>+</v>
      </c>
      <c r="H27" s="26">
        <f t="shared" si="10"/>
        <v>16094.679999999998</v>
      </c>
      <c r="I27" s="26">
        <f t="shared" si="11"/>
        <v>17204.315977745362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30">
        <v>301</v>
      </c>
      <c r="E28" s="29">
        <f t="shared" si="7"/>
        <v>9.5470692717584377E-2</v>
      </c>
      <c r="F28" s="28">
        <f t="shared" si="8"/>
        <v>35.168266512153238</v>
      </c>
      <c r="G28" s="27" t="str">
        <f t="shared" si="9"/>
        <v>+</v>
      </c>
      <c r="H28" s="26">
        <f t="shared" si="10"/>
        <v>9902.9</v>
      </c>
      <c r="I28" s="26">
        <f t="shared" si="11"/>
        <v>10585.648220158124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30">
        <v>280.8</v>
      </c>
      <c r="E29" s="29">
        <f t="shared" si="7"/>
        <v>8.9063689418929212E-2</v>
      </c>
      <c r="F29" s="28">
        <f t="shared" si="8"/>
        <v>33.992427814178512</v>
      </c>
      <c r="G29" s="27" t="str">
        <f t="shared" si="9"/>
        <v>+</v>
      </c>
      <c r="H29" s="26">
        <f t="shared" si="10"/>
        <v>8929.44</v>
      </c>
      <c r="I29" s="26">
        <f t="shared" si="11"/>
        <v>9545.0737302213274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30">
        <v>168.8</v>
      </c>
      <c r="E30" s="29">
        <f t="shared" si="7"/>
        <v>5.3539710733316426E-2</v>
      </c>
      <c r="F30" s="28">
        <f t="shared" si="8"/>
        <v>33.992427814178512</v>
      </c>
      <c r="G30" s="27" t="str">
        <f t="shared" si="9"/>
        <v>+</v>
      </c>
      <c r="H30" s="26">
        <f t="shared" si="10"/>
        <v>5367.84</v>
      </c>
      <c r="I30" s="26">
        <f t="shared" si="11"/>
        <v>5737.9218150333336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30">
        <v>57.8</v>
      </c>
      <c r="E31" s="29">
        <f t="shared" si="7"/>
        <v>1.8332910428825171E-2</v>
      </c>
      <c r="F31" s="28">
        <f t="shared" si="8"/>
        <v>34.526899949621566</v>
      </c>
      <c r="G31" s="27" t="str">
        <f t="shared" si="9"/>
        <v>+</v>
      </c>
      <c r="H31" s="26">
        <f t="shared" si="10"/>
        <v>1866.9399999999998</v>
      </c>
      <c r="I31" s="26">
        <f t="shared" si="11"/>
        <v>1995.6548170881265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33.843983757213088</v>
      </c>
      <c r="D32" s="22">
        <f>SUM(D26:D31)</f>
        <v>1871.6</v>
      </c>
      <c r="E32" s="21">
        <f t="shared" si="7"/>
        <v>0.59363105810707939</v>
      </c>
      <c r="F32" s="20">
        <f>I32/D32</f>
        <v>36.177332541235707</v>
      </c>
      <c r="G32" s="19">
        <f>F32/C32-1</f>
        <v>6.8944270886116321E-2</v>
      </c>
      <c r="H32" s="18">
        <f>SUM(H26:H31)</f>
        <v>63342.400000000009</v>
      </c>
      <c r="I32" s="18">
        <f>SUM(I26:I31)</f>
        <v>67709.495584176751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v>443</v>
      </c>
      <c r="E34" s="29">
        <f t="shared" ref="E34:E40" si="13">D34/$D$48</f>
        <v>0.14051002283684344</v>
      </c>
      <c r="F34" s="28">
        <f t="shared" ref="F34:F39" si="14">C34-(C34*$E$6)</f>
        <v>20.737518855190665</v>
      </c>
      <c r="G34" s="27" t="str">
        <f t="shared" ref="G34:G39" si="15">IF(C34&gt;=F34,"-","+")</f>
        <v>+</v>
      </c>
      <c r="H34" s="26">
        <f t="shared" ref="H34:H39" si="16">C34*D34</f>
        <v>8594.1999999999989</v>
      </c>
      <c r="I34" s="26">
        <f t="shared" ref="I34:I39" si="17">F34*D34</f>
        <v>9186.7208528494648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/>
      <c r="E35" s="29">
        <f t="shared" si="13"/>
        <v>0</v>
      </c>
      <c r="F35" s="28">
        <f t="shared" si="14"/>
        <v>15.927269636203141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12.827331250633401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30"/>
      <c r="E37" s="29">
        <f t="shared" si="13"/>
        <v>0</v>
      </c>
      <c r="F37" s="28">
        <f t="shared" si="14"/>
        <v>33.992427814178512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30"/>
      <c r="E38" s="29">
        <f t="shared" si="13"/>
        <v>0</v>
      </c>
      <c r="F38" s="28">
        <f t="shared" si="14"/>
        <v>33.992427814178512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30"/>
      <c r="E39" s="29">
        <f t="shared" si="13"/>
        <v>0</v>
      </c>
      <c r="F39" s="28">
        <f t="shared" si="14"/>
        <v>35.168266512153238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19.399999999999999</v>
      </c>
      <c r="D40" s="22">
        <f>SUM(D34:D39)</f>
        <v>443</v>
      </c>
      <c r="E40" s="113">
        <f t="shared" si="13"/>
        <v>0.14051002283684344</v>
      </c>
      <c r="F40" s="20">
        <f>I40/D40</f>
        <v>20.737518855190665</v>
      </c>
      <c r="G40" s="19">
        <f>F40/C40-1</f>
        <v>6.8944270886116765E-2</v>
      </c>
      <c r="H40" s="18">
        <f>SUM(H34:H39)</f>
        <v>8594.1999999999989</v>
      </c>
      <c r="I40" s="18">
        <f>SUM(I34:I39)</f>
        <v>9186.7208528494648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641</v>
      </c>
      <c r="E42" s="107">
        <f>D42/$D$48</f>
        <v>0.20331134229890893</v>
      </c>
      <c r="F42" s="28">
        <f>C42-(C42*$E$6)</f>
        <v>0.53447213544305838</v>
      </c>
      <c r="G42" s="27" t="str">
        <f>IF(C42&gt;=F42,"-","+")</f>
        <v>+</v>
      </c>
      <c r="H42" s="26">
        <f>C42*D42</f>
        <v>320.5</v>
      </c>
      <c r="I42" s="26">
        <f>F42*D42</f>
        <v>342.59663881900042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17</v>
      </c>
      <c r="E43" s="107">
        <f>D43/$D$48</f>
        <v>5.3920324790662274E-3</v>
      </c>
      <c r="F43" s="28">
        <f>C43-(C43*$E$6)</f>
        <v>0.53447213544305838</v>
      </c>
      <c r="G43" s="27" t="str">
        <f>IF(C43&gt;=F43,"-","+")</f>
        <v>+</v>
      </c>
      <c r="H43" s="26">
        <f>C43*D43</f>
        <v>8.5</v>
      </c>
      <c r="I43" s="26">
        <f>F43*D43</f>
        <v>9.0860263025319927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5.6</v>
      </c>
      <c r="E44" s="107">
        <f>D44/$D$48</f>
        <v>1.7761989342806395E-3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4.3</v>
      </c>
      <c r="E45" s="107">
        <f>D45/$D$48</f>
        <v>1.3638670388226339E-3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0.492588710884863</v>
      </c>
      <c r="D46" s="22">
        <f>SUM(D41:D45)</f>
        <v>667.9</v>
      </c>
      <c r="E46" s="113">
        <f>D46/$D$48</f>
        <v>0.21184344075107842</v>
      </c>
      <c r="F46" s="20">
        <f>I46/D46</f>
        <v>0.52654988040355211</v>
      </c>
      <c r="G46" s="19">
        <f>F46/C46-1</f>
        <v>6.8944270886116987E-2</v>
      </c>
      <c r="H46" s="18">
        <f>SUM(H41:H44)</f>
        <v>329</v>
      </c>
      <c r="I46" s="18">
        <f>SUM(I41:I44)</f>
        <v>351.68266512153241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101.95994299070512</v>
      </c>
      <c r="D48" s="13">
        <f>D24+D32+D40+D46</f>
        <v>3152.7999999999997</v>
      </c>
      <c r="E48" s="12">
        <f>SUM(E20:E46)/2</f>
        <v>1</v>
      </c>
      <c r="F48" s="11">
        <f>I48/D48</f>
        <v>27.285758624125773</v>
      </c>
      <c r="G48" s="10"/>
      <c r="H48" s="9">
        <f>SUM(H20:H46)/2</f>
        <v>80478.040000000008</v>
      </c>
      <c r="I48" s="9">
        <f>SUM(I20:I46)/2</f>
        <v>86026.539790143725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3175.8</v>
      </c>
      <c r="E50" s="12">
        <f>D50/G2</f>
        <v>1</v>
      </c>
      <c r="F50" s="11">
        <f>I50/D50</f>
        <v>27.499999999999989</v>
      </c>
      <c r="G50" s="10"/>
      <c r="H50" s="9">
        <f>H48+H19</f>
        <v>81701.640000000014</v>
      </c>
      <c r="I50" s="9">
        <f>I48+I19</f>
        <v>87334.499999999971</v>
      </c>
      <c r="J50" s="106">
        <f>D50-G2</f>
        <v>0</v>
      </c>
      <c r="K50" s="8"/>
    </row>
    <row r="51" spans="1:11" ht="23.25" x14ac:dyDescent="0.35">
      <c r="A51" s="174" t="s">
        <v>698</v>
      </c>
      <c r="B51" s="169"/>
      <c r="C51" s="170"/>
      <c r="G51" s="7"/>
      <c r="H51" s="6"/>
      <c r="I51" s="6">
        <f>+I50/D50</f>
        <v>27.499999999999989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684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697</v>
      </c>
      <c r="D2" s="96" t="s">
        <v>3</v>
      </c>
      <c r="E2" s="95" t="s">
        <v>71</v>
      </c>
      <c r="F2" s="94" t="s">
        <v>5</v>
      </c>
      <c r="G2" s="93">
        <v>10032.700000000001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140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71.662142857142868</v>
      </c>
      <c r="F4" s="81" t="s">
        <v>12</v>
      </c>
      <c r="G4" s="80">
        <f>G2*G3</f>
        <v>290948.30000000005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-1.081658232491689E-2</v>
      </c>
      <c r="F6" s="69" t="s">
        <v>16</v>
      </c>
      <c r="G6" s="68">
        <f>(I50-I19)/(D50-(SUM(D42:D44)+D19))</f>
        <v>34.696320936264449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29.313680887422588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>
        <v>244.1</v>
      </c>
      <c r="E11" s="29">
        <f t="shared" si="1"/>
        <v>0.22132559615558978</v>
      </c>
      <c r="F11" s="28">
        <f t="shared" si="2"/>
        <v>30.526660786212489</v>
      </c>
      <c r="G11" s="27" t="str">
        <f t="shared" si="3"/>
        <v>+</v>
      </c>
      <c r="H11" s="34">
        <f t="shared" si="4"/>
        <v>7371.82</v>
      </c>
      <c r="I11" s="34">
        <f t="shared" si="5"/>
        <v>7451.5578979144684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>
        <v>310.5</v>
      </c>
      <c r="E12" s="29">
        <f t="shared" si="1"/>
        <v>0.28153051047239097</v>
      </c>
      <c r="F12" s="28">
        <f t="shared" si="2"/>
        <v>27.898537672167709</v>
      </c>
      <c r="G12" s="27" t="str">
        <f t="shared" si="3"/>
        <v>+</v>
      </c>
      <c r="H12" s="34">
        <f t="shared" si="4"/>
        <v>8569.8000000000011</v>
      </c>
      <c r="I12" s="34">
        <f t="shared" si="5"/>
        <v>8662.4959472080736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>
        <v>454.3</v>
      </c>
      <c r="E13" s="29">
        <f t="shared" si="1"/>
        <v>0.41191404479100552</v>
      </c>
      <c r="F13" s="28">
        <f t="shared" si="2"/>
        <v>30.526660786212489</v>
      </c>
      <c r="G13" s="27" t="str">
        <f t="shared" si="3"/>
        <v>+</v>
      </c>
      <c r="H13" s="34">
        <f t="shared" si="4"/>
        <v>13719.86</v>
      </c>
      <c r="I13" s="34">
        <f t="shared" si="5"/>
        <v>13868.261995176334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>
        <f t="shared" si="1"/>
        <v>0</v>
      </c>
      <c r="F14" s="28">
        <f t="shared" si="2"/>
        <v>34.165600482582185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>
        <v>94</v>
      </c>
      <c r="E15" s="29">
        <f t="shared" si="1"/>
        <v>8.5229848581013679E-2</v>
      </c>
      <c r="F15" s="28">
        <f t="shared" si="2"/>
        <v>28.100700988632692</v>
      </c>
      <c r="G15" s="27" t="str">
        <f t="shared" si="3"/>
        <v>+</v>
      </c>
      <c r="H15" s="34">
        <f t="shared" si="4"/>
        <v>2613.2000000000003</v>
      </c>
      <c r="I15" s="34">
        <f t="shared" si="5"/>
        <v>2641.4658929314733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/>
      <c r="E16" s="29">
        <f t="shared" si="1"/>
        <v>0</v>
      </c>
      <c r="F16" s="28">
        <f t="shared" si="2"/>
        <v>38.512111786579332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>
        <f t="shared" si="1"/>
        <v>0</v>
      </c>
      <c r="F17" s="28">
        <f t="shared" si="2"/>
        <v>56.706810268427837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49.631094192153419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29.263469036177352</v>
      </c>
      <c r="D19" s="49">
        <f>SUM(D10:D18)</f>
        <v>1102.9000000000001</v>
      </c>
      <c r="E19" s="48">
        <f t="shared" si="1"/>
        <v>1</v>
      </c>
      <c r="F19" s="47">
        <f>I19/D19</f>
        <v>29.579999758119818</v>
      </c>
      <c r="G19" s="46">
        <f>F19/C19-1</f>
        <v>1.081658232491689E-2</v>
      </c>
      <c r="H19" s="9">
        <f>SUM(H10:H18)</f>
        <v>32274.680000000004</v>
      </c>
      <c r="I19" s="9">
        <f>SUM(I10:I18)</f>
        <v>32623.781733230349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109.8</v>
      </c>
      <c r="E21" s="29">
        <f>D21/$D$48</f>
        <v>1.2296183479663141E-2</v>
      </c>
      <c r="F21" s="28">
        <f>C21-(C21*$E$6)</f>
        <v>73.688528851486453</v>
      </c>
      <c r="G21" s="27" t="str">
        <f>IF(C21&gt;=F21,"-","+")</f>
        <v>+</v>
      </c>
      <c r="H21" s="26">
        <f>C21*D21</f>
        <v>8004.42</v>
      </c>
      <c r="I21" s="26">
        <f>F21*D21</f>
        <v>8091.0004678932119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268.2</v>
      </c>
      <c r="E22" s="29">
        <f>D22/$D$48</f>
        <v>3.0034939974914888E-2</v>
      </c>
      <c r="F22" s="28">
        <f>C22-(C22*$E$6)</f>
        <v>49.530012533920925</v>
      </c>
      <c r="G22" s="27" t="str">
        <f>IF(C22&gt;=F22,"-","+")</f>
        <v>+</v>
      </c>
      <c r="H22" s="26">
        <f>C22*D22</f>
        <v>13141.8</v>
      </c>
      <c r="I22" s="26">
        <f>F22*D22</f>
        <v>13283.949361597592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224</v>
      </c>
      <c r="E23" s="29">
        <f>D23/$D$48</f>
        <v>2.5085110195305498E-2</v>
      </c>
      <c r="F23" s="28">
        <f>C23-(C23*$E$6)</f>
        <v>45.183501229923785</v>
      </c>
      <c r="G23" s="27" t="str">
        <f>IF(C23&gt;=F23,"-","+")</f>
        <v>+</v>
      </c>
      <c r="H23" s="26">
        <f>C23*D23</f>
        <v>10012.800000000001</v>
      </c>
      <c r="I23" s="26">
        <f>F23*D23</f>
        <v>10121.104275502928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51.759169435215952</v>
      </c>
      <c r="D24" s="22">
        <f>SUM(D21:D23)</f>
        <v>602</v>
      </c>
      <c r="E24" s="21">
        <f>D24/$D$48</f>
        <v>6.7416233649883528E-2</v>
      </c>
      <c r="F24" s="20">
        <f>I24/D24</f>
        <v>52.319026752481278</v>
      </c>
      <c r="G24" s="19">
        <f>F24/C24-1</f>
        <v>1.0816582324916668E-2</v>
      </c>
      <c r="H24" s="18">
        <f>SUM(H21:H23)</f>
        <v>31159.020000000004</v>
      </c>
      <c r="I24" s="18">
        <f>SUM(I21:I23)</f>
        <v>31496.054104993731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v>1704</v>
      </c>
      <c r="E26" s="29">
        <f t="shared" ref="E26:E32" si="7">D26/$D$48</f>
        <v>0.19082601684285969</v>
      </c>
      <c r="F26" s="28">
        <f t="shared" ref="F26:F31" si="8">C26-(C26*$E$6)</f>
        <v>39.320765052439263</v>
      </c>
      <c r="G26" s="27" t="str">
        <f t="shared" ref="G26:G31" si="9">IF(C26&gt;=F26,"-","+")</f>
        <v>+</v>
      </c>
      <c r="H26" s="26">
        <f t="shared" ref="H26:H31" si="10">C26*D26</f>
        <v>66285.599999999991</v>
      </c>
      <c r="I26" s="26">
        <f t="shared" ref="I26:I31" si="11">F26*D26</f>
        <v>67002.5836493565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1289</v>
      </c>
      <c r="E27" s="29">
        <f t="shared" si="7"/>
        <v>0.14435137072209281</v>
      </c>
      <c r="F27" s="28">
        <f t="shared" si="8"/>
        <v>35.075335406674618</v>
      </c>
      <c r="G27" s="27" t="str">
        <f t="shared" si="9"/>
        <v>+</v>
      </c>
      <c r="H27" s="26">
        <f t="shared" si="10"/>
        <v>44728.3</v>
      </c>
      <c r="I27" s="26">
        <f t="shared" si="11"/>
        <v>45212.107339203583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886</v>
      </c>
      <c r="E28" s="29">
        <f t="shared" si="7"/>
        <v>9.9220569790360147E-2</v>
      </c>
      <c r="F28" s="28">
        <f t="shared" si="8"/>
        <v>35.075335406674618</v>
      </c>
      <c r="G28" s="27" t="str">
        <f t="shared" si="9"/>
        <v>+</v>
      </c>
      <c r="H28" s="26">
        <f t="shared" si="10"/>
        <v>30744.2</v>
      </c>
      <c r="I28" s="26">
        <f t="shared" si="11"/>
        <v>31076.747170313713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723.4</v>
      </c>
      <c r="E29" s="29">
        <f t="shared" si="7"/>
        <v>8.1011467478946414E-2</v>
      </c>
      <c r="F29" s="28">
        <f t="shared" si="8"/>
        <v>33.862355507884715</v>
      </c>
      <c r="G29" s="27" t="str">
        <f t="shared" si="9"/>
        <v>+</v>
      </c>
      <c r="H29" s="26">
        <f t="shared" si="10"/>
        <v>24233.899999999998</v>
      </c>
      <c r="I29" s="26">
        <f t="shared" si="11"/>
        <v>24496.027974403802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698.8</v>
      </c>
      <c r="E30" s="29">
        <f t="shared" si="7"/>
        <v>7.8256584841426266E-2</v>
      </c>
      <c r="F30" s="28">
        <f t="shared" si="8"/>
        <v>33.862355507884715</v>
      </c>
      <c r="G30" s="27" t="str">
        <f t="shared" si="9"/>
        <v>+</v>
      </c>
      <c r="H30" s="26">
        <f t="shared" si="10"/>
        <v>23409.8</v>
      </c>
      <c r="I30" s="26">
        <f t="shared" si="11"/>
        <v>23663.014028909838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v>205.1</v>
      </c>
      <c r="E31" s="29">
        <f t="shared" si="7"/>
        <v>2.2968554022576599E-2</v>
      </c>
      <c r="F31" s="28">
        <f t="shared" si="8"/>
        <v>34.46884545727967</v>
      </c>
      <c r="G31" s="27" t="str">
        <f t="shared" si="9"/>
        <v>+</v>
      </c>
      <c r="H31" s="26">
        <f t="shared" si="10"/>
        <v>6993.91</v>
      </c>
      <c r="I31" s="26">
        <f t="shared" si="11"/>
        <v>7069.5602032880597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35.667455460109323</v>
      </c>
      <c r="D32" s="22">
        <f>SUM(D26:D31)</f>
        <v>5506.3</v>
      </c>
      <c r="E32" s="21">
        <f t="shared" si="7"/>
        <v>0.61663456369826197</v>
      </c>
      <c r="F32" s="20">
        <f>I32/D32</f>
        <v>36.053255428413912</v>
      </c>
      <c r="G32" s="19">
        <f>F32/C32-1</f>
        <v>1.0816582324917112E-2</v>
      </c>
      <c r="H32" s="18">
        <f>SUM(H26:H31)</f>
        <v>196395.71</v>
      </c>
      <c r="I32" s="18">
        <f>SUM(I26:I31)</f>
        <v>198520.04036547555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1330</v>
      </c>
      <c r="E34" s="29">
        <f t="shared" ref="E34:E40" si="13">D34/$D$48</f>
        <v>0.14894284178462641</v>
      </c>
      <c r="F34" s="28">
        <f t="shared" ref="F34:F39" si="14">C34-(C34*$E$6)</f>
        <v>20.721739937660796</v>
      </c>
      <c r="G34" s="27" t="str">
        <f t="shared" ref="G34:G39" si="15">IF(C34&gt;=F34,"-","+")</f>
        <v>+</v>
      </c>
      <c r="H34" s="26">
        <f t="shared" ref="H34:H39" si="16">C34*D34</f>
        <v>27265</v>
      </c>
      <c r="I34" s="26">
        <f t="shared" ref="I34:I39" si="17">F34*D34</f>
        <v>27559.914117088858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/>
      <c r="E35" s="29">
        <f t="shared" si="13"/>
        <v>0</v>
      </c>
      <c r="F35" s="28">
        <f t="shared" si="14"/>
        <v>15.970902000733687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12.837370595526444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33.862355507884715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33.862355507884715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35.075335406674618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</v>
      </c>
      <c r="D40" s="22">
        <f>SUM(D34:D39)</f>
        <v>1330</v>
      </c>
      <c r="E40" s="21">
        <f t="shared" si="13"/>
        <v>0.14894284178462641</v>
      </c>
      <c r="F40" s="20">
        <f>I40/D40</f>
        <v>20.721739937660796</v>
      </c>
      <c r="G40" s="19">
        <f>F40/C40-1</f>
        <v>1.081658232491689E-2</v>
      </c>
      <c r="H40" s="18">
        <f>SUM(H34:H39)</f>
        <v>27265</v>
      </c>
      <c r="I40" s="18">
        <f>SUM(I34:I39)</f>
        <v>27559.914117088858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1451</v>
      </c>
      <c r="E42" s="107">
        <f>D42/$D$48</f>
        <v>0.16249328077405481</v>
      </c>
      <c r="F42" s="28">
        <f>C42-(C42*$E$6)</f>
        <v>0.50540829116245845</v>
      </c>
      <c r="G42" s="27" t="str">
        <f>IF(C42&gt;=F42,"-","+")</f>
        <v>+</v>
      </c>
      <c r="H42" s="26">
        <f>C42*D42</f>
        <v>725.5</v>
      </c>
      <c r="I42" s="26">
        <f>F42*D42</f>
        <v>733.34743047672725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30</v>
      </c>
      <c r="E43" s="107">
        <f>D43/$D$48</f>
        <v>3.3596129725855582E-3</v>
      </c>
      <c r="F43" s="28">
        <f>C43-(C43*$E$6)</f>
        <v>0.50540829116245845</v>
      </c>
      <c r="G43" s="27" t="str">
        <f>IF(C43&gt;=F43,"-","+")</f>
        <v>+</v>
      </c>
      <c r="H43" s="26">
        <f>C43*D43</f>
        <v>15</v>
      </c>
      <c r="I43" s="26">
        <f>F43*D43</f>
        <v>15.162248734873753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3.3</v>
      </c>
      <c r="E44" s="107">
        <f>D44/$D$48</f>
        <v>3.6955742698441138E-4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</v>
      </c>
      <c r="E45" s="107">
        <f>D45/$D$48</f>
        <v>7.8390969360329682E-4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0.49654663716220748</v>
      </c>
      <c r="D46" s="22">
        <f>SUM(D41:D45)</f>
        <v>1491.3</v>
      </c>
      <c r="E46" s="21">
        <f>D46/$D$48</f>
        <v>0.16700636086722809</v>
      </c>
      <c r="F46" s="20">
        <f>I46/D46</f>
        <v>0.50191757474123322</v>
      </c>
      <c r="G46" s="19">
        <f>F46/C46-1</f>
        <v>1.0816582324917112E-2</v>
      </c>
      <c r="H46" s="18">
        <f>SUM(H41:H44)</f>
        <v>740.5</v>
      </c>
      <c r="I46" s="18">
        <f>SUM(I41:I44)</f>
        <v>748.509679211601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108.42317153248749</v>
      </c>
      <c r="D48" s="13">
        <f>D24+D32+D40+D46</f>
        <v>8929.6</v>
      </c>
      <c r="E48" s="12">
        <f>SUM(E20:E46)/2</f>
        <v>0.99999999999999989</v>
      </c>
      <c r="F48" s="11">
        <f>I48/D48</f>
        <v>28.929013423531817</v>
      </c>
      <c r="G48" s="10"/>
      <c r="H48" s="9">
        <f>SUM(H20:H46)/2</f>
        <v>255560.22999999998</v>
      </c>
      <c r="I48" s="9">
        <f>SUM(I20:I46)/2</f>
        <v>258324.51826676971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10032.5</v>
      </c>
      <c r="E50" s="12">
        <f>D50/G2</f>
        <v>0.99998006518683902</v>
      </c>
      <c r="F50" s="11">
        <f>I50/D50</f>
        <v>29.000578121106408</v>
      </c>
      <c r="G50" s="10"/>
      <c r="H50" s="9">
        <f>H48+H19</f>
        <v>287834.90999999997</v>
      </c>
      <c r="I50" s="9">
        <f>I48+I19</f>
        <v>290948.30000000005</v>
      </c>
      <c r="J50" s="106">
        <f>D50-G2</f>
        <v>-0.2000000000007276</v>
      </c>
      <c r="K50" s="8"/>
    </row>
    <row r="51" spans="1:11" ht="23.25" x14ac:dyDescent="0.35">
      <c r="A51" s="174" t="s">
        <v>699</v>
      </c>
      <c r="B51" s="169"/>
      <c r="C51" s="170"/>
      <c r="G51" s="7"/>
      <c r="H51" s="6"/>
      <c r="I51" s="6">
        <f>+I50/D50</f>
        <v>29.000578121106408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697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697</v>
      </c>
      <c r="D2" s="96" t="s">
        <v>3</v>
      </c>
      <c r="E2" s="95" t="s">
        <v>71</v>
      </c>
      <c r="F2" s="94" t="s">
        <v>5</v>
      </c>
      <c r="G2" s="93">
        <v>18337.8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236</v>
      </c>
      <c r="F3" s="88" t="s">
        <v>8</v>
      </c>
      <c r="G3" s="87">
        <v>28.6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77.702542372881354</v>
      </c>
      <c r="F4" s="81" t="s">
        <v>12</v>
      </c>
      <c r="G4" s="80">
        <f>G2*G3</f>
        <v>524461.07999999996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-5.248753932850958E-3</v>
      </c>
      <c r="F6" s="69" t="s">
        <v>16</v>
      </c>
      <c r="G6" s="68">
        <f>(I50-I19)/(D50-(SUM(D42:D44)+D19))</f>
        <v>34.273125784190711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28.6</v>
      </c>
      <c r="D10" s="30"/>
      <c r="E10" s="29" t="e">
        <f t="shared" ref="E10:E19" si="1">D10/$D$19</f>
        <v>#DIV/0!</v>
      </c>
      <c r="F10" s="28">
        <f t="shared" ref="F10:F18" si="2">C10-(C10*$E$6)</f>
        <v>28.75011436247954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29.8</v>
      </c>
      <c r="D11" s="30"/>
      <c r="E11" s="29" t="e">
        <f t="shared" si="1"/>
        <v>#DIV/0!</v>
      </c>
      <c r="F11" s="28">
        <f t="shared" si="2"/>
        <v>29.95641286719896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27.2</v>
      </c>
      <c r="D12" s="30"/>
      <c r="E12" s="29" t="e">
        <f t="shared" si="1"/>
        <v>#DIV/0!</v>
      </c>
      <c r="F12" s="28">
        <f t="shared" si="2"/>
        <v>27.342766106973546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29.8</v>
      </c>
      <c r="D13" s="30"/>
      <c r="E13" s="29" t="e">
        <f t="shared" si="1"/>
        <v>#DIV/0!</v>
      </c>
      <c r="F13" s="28">
        <f t="shared" si="2"/>
        <v>29.95641286719896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33.299999999999997</v>
      </c>
      <c r="D14" s="30"/>
      <c r="E14" s="29" t="e">
        <f t="shared" si="1"/>
        <v>#DIV/0!</v>
      </c>
      <c r="F14" s="28">
        <f t="shared" si="2"/>
        <v>33.474783505963934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27.5</v>
      </c>
      <c r="D15" s="30"/>
      <c r="E15" s="29" t="e">
        <f t="shared" si="1"/>
        <v>#DIV/0!</v>
      </c>
      <c r="F15" s="28">
        <f t="shared" si="2"/>
        <v>27.644340733153403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37.6</v>
      </c>
      <c r="D16" s="30"/>
      <c r="E16" s="29" t="e">
        <f t="shared" si="1"/>
        <v>#DIV/0!</v>
      </c>
      <c r="F16" s="28">
        <f t="shared" si="2"/>
        <v>37.797353147875199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55.3</v>
      </c>
      <c r="D17" s="30"/>
      <c r="E17" s="29" t="e">
        <f t="shared" si="1"/>
        <v>#DIV/0!</v>
      </c>
      <c r="F17" s="28">
        <f t="shared" si="2"/>
        <v>55.590256092486655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48.5</v>
      </c>
      <c r="D18" s="30"/>
      <c r="E18" s="29" t="e">
        <f t="shared" si="1"/>
        <v>#DIV/0!</v>
      </c>
      <c r="F18" s="28">
        <f t="shared" si="2"/>
        <v>48.754564565743273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71.900000000000006</v>
      </c>
      <c r="D21" s="30">
        <v>226.2</v>
      </c>
      <c r="E21" s="29">
        <f>D21/$D$48</f>
        <v>1.2335176520629518E-2</v>
      </c>
      <c r="F21" s="28">
        <f>C21-(C21*$E$6)</f>
        <v>72.277385407771988</v>
      </c>
      <c r="G21" s="27" t="str">
        <f>IF(C21&gt;=F21,"-","+")</f>
        <v>+</v>
      </c>
      <c r="H21" s="26">
        <f>C21*D21</f>
        <v>16263.78</v>
      </c>
      <c r="I21" s="26">
        <f>F21*D21</f>
        <v>16349.144579238024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48.3</v>
      </c>
      <c r="D22" s="30">
        <v>540</v>
      </c>
      <c r="E22" s="29">
        <f>D22/$D$48</f>
        <v>2.9447371004155353E-2</v>
      </c>
      <c r="F22" s="28">
        <f>C22-(C22*$E$6)</f>
        <v>48.553514814956699</v>
      </c>
      <c r="G22" s="27" t="str">
        <f>IF(C22&gt;=F22,"-","+")</f>
        <v>+</v>
      </c>
      <c r="H22" s="26">
        <f>C22*D22</f>
        <v>26082</v>
      </c>
      <c r="I22" s="26">
        <f>F22*D22</f>
        <v>26218.898000076617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</v>
      </c>
      <c r="D23" s="30">
        <v>445.5</v>
      </c>
      <c r="E23" s="29">
        <f>D23/$D$48</f>
        <v>2.4294081078428165E-2</v>
      </c>
      <c r="F23" s="28">
        <f>C23-(C23*$E$6)</f>
        <v>44.230945173045441</v>
      </c>
      <c r="G23" s="27" t="str">
        <f>IF(C23&gt;=F23,"-","+")</f>
        <v>+</v>
      </c>
      <c r="H23" s="26">
        <f>C23*D23</f>
        <v>19602</v>
      </c>
      <c r="I23" s="26">
        <f>F23*D23</f>
        <v>19704.886074591745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51.124684327803912</v>
      </c>
      <c r="D24" s="22">
        <f>SUM(D21:D23)</f>
        <v>1211.7</v>
      </c>
      <c r="E24" s="21">
        <f>D24/$D$48</f>
        <v>6.6076628603213047E-2</v>
      </c>
      <c r="F24" s="20">
        <f>I24/D24</f>
        <v>51.393025215735236</v>
      </c>
      <c r="G24" s="19">
        <f>F24/C24-1</f>
        <v>5.248753932850958E-3</v>
      </c>
      <c r="H24" s="18">
        <f>SUM(H21:H23)</f>
        <v>61947.78</v>
      </c>
      <c r="I24" s="18">
        <f>SUM(I21:I23)</f>
        <v>62272.928653906391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38.4</v>
      </c>
      <c r="D26" s="30">
        <v>3410.6</v>
      </c>
      <c r="E26" s="29">
        <f t="shared" ref="E26:E32" si="7">D26/$D$48</f>
        <v>0.18598741397550414</v>
      </c>
      <c r="F26" s="28">
        <f t="shared" ref="F26:F31" si="8">C26-(C26*$E$6)</f>
        <v>38.601552151021473</v>
      </c>
      <c r="G26" s="27" t="str">
        <f t="shared" ref="G26:G31" si="9">IF(C26&gt;=F26,"-","+")</f>
        <v>+</v>
      </c>
      <c r="H26" s="26">
        <f t="shared" ref="H26:H31" si="10">C26*D26</f>
        <v>130967.03999999999</v>
      </c>
      <c r="I26" s="26">
        <f t="shared" ref="I26:I31" si="11">F26*D26</f>
        <v>131654.45376627383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34.200000000000003</v>
      </c>
      <c r="D27" s="30">
        <v>2881.3</v>
      </c>
      <c r="E27" s="29">
        <f t="shared" si="7"/>
        <v>0.1571235371745793</v>
      </c>
      <c r="F27" s="28">
        <f t="shared" si="8"/>
        <v>34.379507384503505</v>
      </c>
      <c r="G27" s="27" t="str">
        <f t="shared" si="9"/>
        <v>+</v>
      </c>
      <c r="H27" s="26">
        <f t="shared" si="10"/>
        <v>98540.460000000021</v>
      </c>
      <c r="I27" s="26">
        <f t="shared" si="11"/>
        <v>99057.674626969951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34.200000000000003</v>
      </c>
      <c r="D28" s="30">
        <v>2265.4299999999998</v>
      </c>
      <c r="E28" s="29">
        <f t="shared" si="7"/>
        <v>0.1235388105443401</v>
      </c>
      <c r="F28" s="28">
        <f t="shared" si="8"/>
        <v>34.379507384503505</v>
      </c>
      <c r="G28" s="27" t="str">
        <f t="shared" si="9"/>
        <v>+</v>
      </c>
      <c r="H28" s="26">
        <f t="shared" si="10"/>
        <v>77477.706000000006</v>
      </c>
      <c r="I28" s="26">
        <f t="shared" si="11"/>
        <v>77884.367414075765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</v>
      </c>
      <c r="D29" s="30">
        <v>1398.7</v>
      </c>
      <c r="E29" s="29">
        <f t="shared" si="7"/>
        <v>7.6274144117614989E-2</v>
      </c>
      <c r="F29" s="28">
        <f t="shared" si="8"/>
        <v>33.173208879784085</v>
      </c>
      <c r="G29" s="27" t="str">
        <f t="shared" si="9"/>
        <v>+</v>
      </c>
      <c r="H29" s="26">
        <f t="shared" si="10"/>
        <v>46157.1</v>
      </c>
      <c r="I29" s="26">
        <f t="shared" si="11"/>
        <v>46399.367260154002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</v>
      </c>
      <c r="D30" s="30">
        <v>1151.8</v>
      </c>
      <c r="E30" s="29">
        <f t="shared" si="7"/>
        <v>6.2810151708492842E-2</v>
      </c>
      <c r="F30" s="28">
        <f t="shared" si="8"/>
        <v>33.173208879784085</v>
      </c>
      <c r="G30" s="27" t="str">
        <f t="shared" si="9"/>
        <v>+</v>
      </c>
      <c r="H30" s="26">
        <f t="shared" si="10"/>
        <v>38009.4</v>
      </c>
      <c r="I30" s="26">
        <f t="shared" si="11"/>
        <v>38208.901987735306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33.6</v>
      </c>
      <c r="D31" s="30">
        <v>518.79999999999995</v>
      </c>
      <c r="E31" s="29">
        <f t="shared" si="7"/>
        <v>2.829128903139962E-2</v>
      </c>
      <c r="F31" s="28">
        <f t="shared" si="8"/>
        <v>33.776358132143791</v>
      </c>
      <c r="G31" s="27" t="str">
        <f t="shared" si="9"/>
        <v>+</v>
      </c>
      <c r="H31" s="26">
        <f t="shared" si="10"/>
        <v>17431.68</v>
      </c>
      <c r="I31" s="26">
        <f t="shared" si="11"/>
        <v>17523.174598956197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35.14203049378883</v>
      </c>
      <c r="D32" s="22">
        <f>SUM(D26:D31)</f>
        <v>11626.63</v>
      </c>
      <c r="E32" s="21">
        <f t="shared" si="7"/>
        <v>0.63402534655193099</v>
      </c>
      <c r="F32" s="20">
        <f>I32/D32</f>
        <v>35.326482364551467</v>
      </c>
      <c r="G32" s="19">
        <f>F32/C32-1</f>
        <v>5.248753932850736E-3</v>
      </c>
      <c r="H32" s="18">
        <f>SUM(H26:H31)</f>
        <v>408583.386</v>
      </c>
      <c r="I32" s="18">
        <f>SUM(I26:I31)</f>
        <v>410727.93965416501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20.2</v>
      </c>
      <c r="D34" s="30">
        <v>2459.1</v>
      </c>
      <c r="E34" s="29">
        <f t="shared" ref="E34:E40" si="13">D34/$D$48</f>
        <v>0.13410005562281191</v>
      </c>
      <c r="F34" s="28">
        <f t="shared" ref="F34:F39" si="14">C34-(C34*$E$6)</f>
        <v>20.30602482944359</v>
      </c>
      <c r="G34" s="27" t="str">
        <f t="shared" ref="G34:G39" si="15">IF(C34&gt;=F34,"-","+")</f>
        <v>+</v>
      </c>
      <c r="H34" s="26">
        <f t="shared" ref="H34:H39" si="16">C34*D34</f>
        <v>49673.82</v>
      </c>
      <c r="I34" s="26">
        <f t="shared" ref="I34:I39" si="17">F34*D34</f>
        <v>49934.545658084731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15.58135568595919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12.5</v>
      </c>
      <c r="D36" s="30"/>
      <c r="E36" s="29">
        <f t="shared" si="13"/>
        <v>0</v>
      </c>
      <c r="F36" s="28">
        <f t="shared" si="14"/>
        <v>12.565609424160638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</v>
      </c>
      <c r="D37" s="30"/>
      <c r="E37" s="29">
        <f t="shared" si="13"/>
        <v>0</v>
      </c>
      <c r="F37" s="28">
        <f t="shared" si="14"/>
        <v>33.173208879784085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</v>
      </c>
      <c r="D38" s="30"/>
      <c r="E38" s="29">
        <f t="shared" si="13"/>
        <v>0</v>
      </c>
      <c r="F38" s="28">
        <f t="shared" si="14"/>
        <v>33.173208879784085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34.200000000000003</v>
      </c>
      <c r="D39" s="30"/>
      <c r="E39" s="29">
        <f t="shared" si="13"/>
        <v>0</v>
      </c>
      <c r="F39" s="28">
        <f t="shared" si="14"/>
        <v>34.379507384503505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20.2</v>
      </c>
      <c r="D40" s="22">
        <f>SUM(D34:D39)</f>
        <v>2459.1</v>
      </c>
      <c r="E40" s="113">
        <f t="shared" si="13"/>
        <v>0.13410005562281191</v>
      </c>
      <c r="F40" s="20">
        <f>I40/D40</f>
        <v>20.30602482944359</v>
      </c>
      <c r="G40" s="19">
        <f>F40/C40-1</f>
        <v>5.248753932850958E-3</v>
      </c>
      <c r="H40" s="18">
        <f>SUM(H34:H39)</f>
        <v>49673.82</v>
      </c>
      <c r="I40" s="18">
        <f>SUM(I34:I39)</f>
        <v>49934.545658084731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2828</v>
      </c>
      <c r="E42" s="107">
        <f>D42/$D$48</f>
        <v>0.1542169725921321</v>
      </c>
      <c r="F42" s="28">
        <f>C42-(C42*$E$6)</f>
        <v>0.50262437696642548</v>
      </c>
      <c r="G42" s="27" t="str">
        <f>IF(C42&gt;=F42,"-","+")</f>
        <v>+</v>
      </c>
      <c r="H42" s="26">
        <f>C42*D42</f>
        <v>1414</v>
      </c>
      <c r="I42" s="26">
        <f>F42*D42</f>
        <v>1421.4217380610512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207.4</v>
      </c>
      <c r="E43" s="107">
        <f>D43/$D$48</f>
        <v>1.1309971752336704E-2</v>
      </c>
      <c r="F43" s="28">
        <f>C43-(C43*$E$6)</f>
        <v>0.50262437696642548</v>
      </c>
      <c r="G43" s="27" t="str">
        <f>IF(C43&gt;=F43,"-","+")</f>
        <v>+</v>
      </c>
      <c r="H43" s="26">
        <f>C43*D43</f>
        <v>103.7</v>
      </c>
      <c r="I43" s="26">
        <f>F43*D43</f>
        <v>104.24429578283664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4.97</v>
      </c>
      <c r="E45" s="107">
        <f>D45/$D$48</f>
        <v>2.7102487757528168E-4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0.49918266526771415</v>
      </c>
      <c r="D46" s="22">
        <f>SUM(D41:D45)</f>
        <v>3040.37</v>
      </c>
      <c r="E46" s="113">
        <f>D46/$D$48</f>
        <v>0.16579796922204409</v>
      </c>
      <c r="F46" s="20">
        <f>I46/D46</f>
        <v>0.50180275224524906</v>
      </c>
      <c r="G46" s="19">
        <f>F46/C46-1</f>
        <v>5.248753932850958E-3</v>
      </c>
      <c r="H46" s="18">
        <f>SUM(H41:H44)</f>
        <v>1517.7</v>
      </c>
      <c r="I46" s="18">
        <f>SUM(I41:I44)</f>
        <v>1525.6660338438878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106.96589748686046</v>
      </c>
      <c r="D48" s="13">
        <f>D24+D32+D40+D46</f>
        <v>18337.8</v>
      </c>
      <c r="E48" s="12">
        <f>SUM(E20:E46)/2</f>
        <v>0.99999999999999989</v>
      </c>
      <c r="F48" s="11">
        <f>I48/D48</f>
        <v>28.599999999999998</v>
      </c>
      <c r="G48" s="10"/>
      <c r="H48" s="9">
        <f>SUM(H20:H46)/2</f>
        <v>521722.68599999987</v>
      </c>
      <c r="I48" s="9">
        <f>SUM(I20:I46)/2</f>
        <v>524461.07999999996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18337.8</v>
      </c>
      <c r="E50" s="12">
        <f>D50/G2</f>
        <v>1</v>
      </c>
      <c r="F50" s="11">
        <f>I50/D50</f>
        <v>28.599999999999998</v>
      </c>
      <c r="G50" s="10"/>
      <c r="H50" s="9">
        <f>H48+H19</f>
        <v>521722.68599999987</v>
      </c>
      <c r="I50" s="9">
        <f>I48+I19</f>
        <v>524461.07999999996</v>
      </c>
      <c r="J50" s="106">
        <f>D50-G2</f>
        <v>0</v>
      </c>
      <c r="K50" s="8"/>
    </row>
    <row r="51" spans="1:11" ht="23.25" x14ac:dyDescent="0.35">
      <c r="A51" s="174" t="s">
        <v>700</v>
      </c>
      <c r="B51" s="169"/>
      <c r="C51" s="170"/>
      <c r="G51" s="7"/>
      <c r="H51" s="6"/>
      <c r="I51" s="6">
        <f>+I50/D50</f>
        <v>28.599999999999998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697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701</v>
      </c>
      <c r="D2" s="96" t="s">
        <v>3</v>
      </c>
      <c r="E2" s="95" t="s">
        <v>71</v>
      </c>
      <c r="F2" s="94" t="s">
        <v>5</v>
      </c>
      <c r="G2" s="93">
        <v>3943.8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52</v>
      </c>
      <c r="F3" s="88" t="s">
        <v>8</v>
      </c>
      <c r="G3" s="87">
        <v>28.6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75.842307692307699</v>
      </c>
      <c r="F4" s="81" t="s">
        <v>12</v>
      </c>
      <c r="G4" s="80">
        <f>G2*G3</f>
        <v>112792.68000000001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1.2552428727134357E-2</v>
      </c>
      <c r="F6" s="69" t="s">
        <v>16</v>
      </c>
      <c r="G6" s="68">
        <f>(I50-I19)/(D50-(SUM(D42:D44)+D19))</f>
        <v>33.215997069837158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28.6</v>
      </c>
      <c r="D10" s="30"/>
      <c r="E10" s="29">
        <f t="shared" ref="E10:E19" si="1">D10/$D$19</f>
        <v>0</v>
      </c>
      <c r="F10" s="28">
        <f t="shared" ref="F10:F18" si="2">C10-(C10*$E$6)</f>
        <v>28.241000538403959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29.8</v>
      </c>
      <c r="D11" s="30"/>
      <c r="E11" s="29">
        <f t="shared" si="1"/>
        <v>0</v>
      </c>
      <c r="F11" s="28">
        <f t="shared" si="2"/>
        <v>29.425937623931397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27.2</v>
      </c>
      <c r="D12" s="30"/>
      <c r="E12" s="29">
        <f t="shared" si="1"/>
        <v>0</v>
      </c>
      <c r="F12" s="28">
        <f t="shared" si="2"/>
        <v>26.858573938621944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29.8</v>
      </c>
      <c r="D13" s="30">
        <v>482.6</v>
      </c>
      <c r="E13" s="29">
        <f t="shared" si="1"/>
        <v>1</v>
      </c>
      <c r="F13" s="28">
        <f t="shared" si="2"/>
        <v>29.425937623931397</v>
      </c>
      <c r="G13" s="27" t="str">
        <f t="shared" si="3"/>
        <v>-</v>
      </c>
      <c r="H13" s="34">
        <f t="shared" si="4"/>
        <v>14381.480000000001</v>
      </c>
      <c r="I13" s="34">
        <f t="shared" si="5"/>
        <v>14200.957497309293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33.299999999999997</v>
      </c>
      <c r="D14" s="30"/>
      <c r="E14" s="29">
        <f t="shared" si="1"/>
        <v>0</v>
      </c>
      <c r="F14" s="28">
        <f t="shared" si="2"/>
        <v>32.882004123386423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27.5</v>
      </c>
      <c r="D15" s="30"/>
      <c r="E15" s="29">
        <f t="shared" si="1"/>
        <v>0</v>
      </c>
      <c r="F15" s="28">
        <f t="shared" si="2"/>
        <v>27.154808210003804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37.6</v>
      </c>
      <c r="D16" s="30"/>
      <c r="E16" s="29">
        <f t="shared" si="1"/>
        <v>0</v>
      </c>
      <c r="F16" s="28">
        <f t="shared" si="2"/>
        <v>37.128028679859753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55.3</v>
      </c>
      <c r="D17" s="30"/>
      <c r="E17" s="29">
        <f t="shared" si="1"/>
        <v>0</v>
      </c>
      <c r="F17" s="28">
        <f t="shared" si="2"/>
        <v>54.60585069138947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48.5</v>
      </c>
      <c r="D18" s="30"/>
      <c r="E18" s="29">
        <f t="shared" si="1"/>
        <v>0</v>
      </c>
      <c r="F18" s="28">
        <f t="shared" si="2"/>
        <v>47.891207206733981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29.8</v>
      </c>
      <c r="D19" s="49">
        <f>SUM(D10:D18)</f>
        <v>482.6</v>
      </c>
      <c r="E19" s="48">
        <f t="shared" si="1"/>
        <v>1</v>
      </c>
      <c r="F19" s="47">
        <f>I19/D19</f>
        <v>29.425937623931397</v>
      </c>
      <c r="G19" s="46">
        <f>F19/C19-1</f>
        <v>-1.2552428727134357E-2</v>
      </c>
      <c r="H19" s="9">
        <f>SUM(H10:H18)</f>
        <v>14381.480000000001</v>
      </c>
      <c r="I19" s="9">
        <f>SUM(I10:I18)</f>
        <v>14200.957497309293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71.900000000000006</v>
      </c>
      <c r="D21" s="30">
        <v>45.4</v>
      </c>
      <c r="E21" s="29">
        <f>D21/$D$48</f>
        <v>1.3116838090835548E-2</v>
      </c>
      <c r="F21" s="28">
        <f>C21-(C21*$E$6)</f>
        <v>70.997480374519043</v>
      </c>
      <c r="G21" s="27" t="str">
        <f>IF(C21&gt;=F21,"-","+")</f>
        <v>-</v>
      </c>
      <c r="H21" s="26">
        <f>C21*D21</f>
        <v>3264.26</v>
      </c>
      <c r="I21" s="26">
        <f>F21*D21</f>
        <v>3223.2856090031646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48.3</v>
      </c>
      <c r="D22" s="30">
        <v>74.8</v>
      </c>
      <c r="E22" s="29">
        <f>D22/$D$48</f>
        <v>2.1611001964636542E-2</v>
      </c>
      <c r="F22" s="28">
        <f>C22-(C22*$E$6)</f>
        <v>47.69371769247941</v>
      </c>
      <c r="G22" s="27" t="str">
        <f>IF(C22&gt;=F22,"-","+")</f>
        <v>-</v>
      </c>
      <c r="H22" s="26">
        <f>C22*D22</f>
        <v>3612.8399999999997</v>
      </c>
      <c r="I22" s="26">
        <f>F22*D22</f>
        <v>3567.4900833974598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</v>
      </c>
      <c r="D23" s="30">
        <v>128.80000000000001</v>
      </c>
      <c r="E23" s="29">
        <f>D23/$D$48</f>
        <v>3.721252744712817E-2</v>
      </c>
      <c r="F23" s="28">
        <f>C23-(C23*$E$6)</f>
        <v>43.447693136006087</v>
      </c>
      <c r="G23" s="27" t="str">
        <f>IF(C23&gt;=F23,"-","+")</f>
        <v>-</v>
      </c>
      <c r="H23" s="26">
        <f>C23*D23</f>
        <v>5667.2000000000007</v>
      </c>
      <c r="I23" s="26">
        <f>F23*D23</f>
        <v>5596.0628759175843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50.378714859437757</v>
      </c>
      <c r="D24" s="22">
        <f>SUM(D21:D23)</f>
        <v>249</v>
      </c>
      <c r="E24" s="21">
        <f>D24/$D$48</f>
        <v>7.1940367502600258E-2</v>
      </c>
      <c r="F24" s="20">
        <f>I24/D24</f>
        <v>49.746339631800041</v>
      </c>
      <c r="G24" s="19">
        <f>F24/C24-1</f>
        <v>-1.2552428727134357E-2</v>
      </c>
      <c r="H24" s="18">
        <f>SUM(H21:H23)</f>
        <v>12544.300000000001</v>
      </c>
      <c r="I24" s="18">
        <f>SUM(I21:I23)</f>
        <v>12386.83856831821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38.4</v>
      </c>
      <c r="D26" s="30">
        <f>45+660</f>
        <v>705</v>
      </c>
      <c r="E26" s="29">
        <f t="shared" ref="E26:E32" si="7">D26/$D$48</f>
        <v>0.20368658268808507</v>
      </c>
      <c r="F26" s="28">
        <f t="shared" ref="F26:F31" si="8">C26-(C26*$E$6)</f>
        <v>37.917986736878042</v>
      </c>
      <c r="G26" s="27" t="str">
        <f t="shared" ref="G26:G31" si="9">IF(C26&gt;=F26,"-","+")</f>
        <v>-</v>
      </c>
      <c r="H26" s="26">
        <f t="shared" ref="H26:H31" si="10">C26*D26</f>
        <v>27072</v>
      </c>
      <c r="I26" s="26">
        <f t="shared" ref="I26:I31" si="11">F26*D26</f>
        <v>26732.18064949902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34.200000000000003</v>
      </c>
      <c r="D27" s="30">
        <v>514.29999999999995</v>
      </c>
      <c r="E27" s="29">
        <f t="shared" si="7"/>
        <v>0.14859008436380444</v>
      </c>
      <c r="F27" s="28">
        <f t="shared" si="8"/>
        <v>33.770706937532005</v>
      </c>
      <c r="G27" s="27" t="str">
        <f t="shared" si="9"/>
        <v>-</v>
      </c>
      <c r="H27" s="26">
        <f t="shared" si="10"/>
        <v>17589.060000000001</v>
      </c>
      <c r="I27" s="26">
        <f t="shared" si="11"/>
        <v>17368.274577972708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34.200000000000003</v>
      </c>
      <c r="D28" s="30">
        <v>307.89999999999998</v>
      </c>
      <c r="E28" s="29">
        <f t="shared" si="7"/>
        <v>8.8957586964058699E-2</v>
      </c>
      <c r="F28" s="28">
        <f t="shared" si="8"/>
        <v>33.770706937532005</v>
      </c>
      <c r="G28" s="27" t="str">
        <f t="shared" si="9"/>
        <v>-</v>
      </c>
      <c r="H28" s="26">
        <f t="shared" si="10"/>
        <v>10530.18</v>
      </c>
      <c r="I28" s="26">
        <f t="shared" si="11"/>
        <v>10398.000666066104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</v>
      </c>
      <c r="D29" s="30">
        <v>272.39999999999998</v>
      </c>
      <c r="E29" s="29">
        <f t="shared" si="7"/>
        <v>7.8701028545013291E-2</v>
      </c>
      <c r="F29" s="28">
        <f t="shared" si="8"/>
        <v>32.585769852004567</v>
      </c>
      <c r="G29" s="27" t="str">
        <f t="shared" si="9"/>
        <v>-</v>
      </c>
      <c r="H29" s="26">
        <f t="shared" si="10"/>
        <v>8989.1999999999989</v>
      </c>
      <c r="I29" s="26">
        <f t="shared" si="11"/>
        <v>8876.3637076860432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</v>
      </c>
      <c r="D30" s="30">
        <v>281.8</v>
      </c>
      <c r="E30" s="29">
        <f t="shared" si="7"/>
        <v>8.1416849647521092E-2</v>
      </c>
      <c r="F30" s="28">
        <f t="shared" si="8"/>
        <v>32.585769852004567</v>
      </c>
      <c r="G30" s="27" t="str">
        <f t="shared" si="9"/>
        <v>-</v>
      </c>
      <c r="H30" s="26">
        <f t="shared" si="10"/>
        <v>9299.4</v>
      </c>
      <c r="I30" s="26">
        <f t="shared" si="11"/>
        <v>9182.6699442948866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33.6</v>
      </c>
      <c r="D31" s="30">
        <v>58.6</v>
      </c>
      <c r="E31" s="29">
        <f t="shared" si="7"/>
        <v>1.6930544319889058E-2</v>
      </c>
      <c r="F31" s="28">
        <f t="shared" si="8"/>
        <v>33.178238394768286</v>
      </c>
      <c r="G31" s="27" t="str">
        <f t="shared" si="9"/>
        <v>-</v>
      </c>
      <c r="H31" s="26">
        <f t="shared" si="10"/>
        <v>1968.96</v>
      </c>
      <c r="I31" s="26">
        <f t="shared" si="11"/>
        <v>1944.2447699334216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35.256448598130845</v>
      </c>
      <c r="D32" s="22">
        <f>SUM(D26:D31)</f>
        <v>2140</v>
      </c>
      <c r="E32" s="21">
        <f t="shared" si="7"/>
        <v>0.61828267652837166</v>
      </c>
      <c r="F32" s="20">
        <f>I32/D32</f>
        <v>34.813894539930928</v>
      </c>
      <c r="G32" s="19">
        <f>F32/C32-1</f>
        <v>-1.2552428727134468E-2</v>
      </c>
      <c r="H32" s="18">
        <f>SUM(H26:H31)</f>
        <v>75448.800000000003</v>
      </c>
      <c r="I32" s="18">
        <f>SUM(I26:I31)</f>
        <v>74501.73431545218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20.2</v>
      </c>
      <c r="D34" s="30">
        <v>574.6</v>
      </c>
      <c r="E34" s="29">
        <f t="shared" ref="E34:E40" si="13">D34/$D$48</f>
        <v>0.16601178781925346</v>
      </c>
      <c r="F34" s="28">
        <f t="shared" ref="F34:F39" si="14">C34-(C34*$E$6)</f>
        <v>19.946440939711884</v>
      </c>
      <c r="G34" s="27" t="str">
        <f t="shared" ref="G34:G39" si="15">IF(C34&gt;=F34,"-","+")</f>
        <v>-</v>
      </c>
      <c r="H34" s="26">
        <f t="shared" ref="H34:H39" si="16">C34*D34</f>
        <v>11606.92</v>
      </c>
      <c r="I34" s="26">
        <f t="shared" ref="I34:I39" si="17">F34*D34</f>
        <v>11461.22496395845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15.305437354729417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12.5</v>
      </c>
      <c r="D36" s="30"/>
      <c r="E36" s="29">
        <f t="shared" si="13"/>
        <v>0</v>
      </c>
      <c r="F36" s="28">
        <f t="shared" si="14"/>
        <v>12.34309464091082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</v>
      </c>
      <c r="D37" s="30"/>
      <c r="E37" s="29">
        <f t="shared" si="13"/>
        <v>0</v>
      </c>
      <c r="F37" s="28">
        <f t="shared" si="14"/>
        <v>32.585769852004567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</v>
      </c>
      <c r="D38" s="30"/>
      <c r="E38" s="29">
        <f t="shared" si="13"/>
        <v>0</v>
      </c>
      <c r="F38" s="28">
        <f t="shared" si="14"/>
        <v>32.585769852004567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34.200000000000003</v>
      </c>
      <c r="D39" s="30"/>
      <c r="E39" s="29">
        <f t="shared" si="13"/>
        <v>0</v>
      </c>
      <c r="F39" s="28">
        <f t="shared" si="14"/>
        <v>33.770706937532005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20.2</v>
      </c>
      <c r="D40" s="22">
        <f>SUM(D34:D39)</f>
        <v>574.6</v>
      </c>
      <c r="E40" s="113">
        <f t="shared" si="13"/>
        <v>0.16601178781925346</v>
      </c>
      <c r="F40" s="20">
        <f>I40/D40</f>
        <v>19.946440939711884</v>
      </c>
      <c r="G40" s="19">
        <f>F40/C40-1</f>
        <v>-1.2552428727134357E-2</v>
      </c>
      <c r="H40" s="18">
        <f>SUM(H34:H39)</f>
        <v>11606.92</v>
      </c>
      <c r="I40" s="18">
        <f>SUM(I34:I39)</f>
        <v>11461.22496395845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472</v>
      </c>
      <c r="E42" s="107">
        <f>D42/$D$48</f>
        <v>0.13636888940251937</v>
      </c>
      <c r="F42" s="28">
        <f>C42-(C42*$E$6)</f>
        <v>0.49372378563643282</v>
      </c>
      <c r="G42" s="27" t="str">
        <f>IF(C42&gt;=F42,"-","+")</f>
        <v>-</v>
      </c>
      <c r="H42" s="26">
        <f>C42*D42</f>
        <v>236</v>
      </c>
      <c r="I42" s="26">
        <f>F42*D42</f>
        <v>233.0376268203963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18</v>
      </c>
      <c r="E43" s="107">
        <f>D43/$D$48</f>
        <v>5.2005084941638743E-3</v>
      </c>
      <c r="F43" s="28">
        <f>C43-(C43*$E$6)</f>
        <v>0.49372378563643282</v>
      </c>
      <c r="G43" s="27" t="str">
        <f>IF(C43&gt;=F43,"-","+")</f>
        <v>-</v>
      </c>
      <c r="H43" s="26">
        <f>C43*D43</f>
        <v>9</v>
      </c>
      <c r="I43" s="26">
        <f>F43*D43</f>
        <v>8.8870281414557901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</v>
      </c>
      <c r="E44" s="107">
        <f>D44/$D$48</f>
        <v>8.6675141569397905E-4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4.5999999999999996</v>
      </c>
      <c r="E45" s="107">
        <f>D45/$D$48</f>
        <v>1.3290188373974343E-3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0.49236334405144694</v>
      </c>
      <c r="D46" s="22">
        <f>SUM(D41:D45)</f>
        <v>497.6</v>
      </c>
      <c r="E46" s="113">
        <f>D46/$D$48</f>
        <v>0.14376516814977466</v>
      </c>
      <c r="F46" s="20">
        <f>I46/D46</f>
        <v>0.48618298826738765</v>
      </c>
      <c r="G46" s="19">
        <f>F46/C46-1</f>
        <v>-1.2552428727134246E-2</v>
      </c>
      <c r="H46" s="18">
        <f>SUM(H41:H44)</f>
        <v>245</v>
      </c>
      <c r="I46" s="18">
        <f>SUM(I41:I44)</f>
        <v>241.9246549618521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106.32752680162005</v>
      </c>
      <c r="D48" s="13">
        <f>D24+D32+D40+D46</f>
        <v>3461.2</v>
      </c>
      <c r="E48" s="12">
        <f>SUM(E20:E46)/2</f>
        <v>1</v>
      </c>
      <c r="F48" s="11">
        <f>I48/D48</f>
        <v>28.484838351638363</v>
      </c>
      <c r="G48" s="10"/>
      <c r="H48" s="9">
        <f>SUM(H20:H46)/2</f>
        <v>99845.020000000019</v>
      </c>
      <c r="I48" s="9">
        <f>SUM(I20:I46)/2</f>
        <v>98591.722502690696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3943.8000000000011</v>
      </c>
      <c r="E50" s="12">
        <f>D50/G2</f>
        <v>1.0000000000000002</v>
      </c>
      <c r="F50" s="11">
        <f>I50/D50</f>
        <v>28.599999999999991</v>
      </c>
      <c r="G50" s="10"/>
      <c r="H50" s="9">
        <f>H48+H19</f>
        <v>114226.50000000001</v>
      </c>
      <c r="I50" s="9">
        <f>I48+I19</f>
        <v>112792.68</v>
      </c>
      <c r="J50" s="106">
        <f>D50-G2</f>
        <v>0</v>
      </c>
      <c r="K50" s="8"/>
    </row>
    <row r="51" spans="1:11" ht="23.25" x14ac:dyDescent="0.35">
      <c r="A51" s="174" t="s">
        <v>702</v>
      </c>
      <c r="B51" s="169"/>
      <c r="C51" s="170"/>
      <c r="G51" s="7"/>
      <c r="H51" s="6"/>
      <c r="I51" s="6">
        <f>+I50/D50</f>
        <v>28.599999999999991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>
    <tabColor rgb="FF92D050"/>
  </sheetPr>
  <dimension ref="A1:K56"/>
  <sheetViews>
    <sheetView workbookViewId="0">
      <selection activeCell="A3"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686</v>
      </c>
      <c r="D1" s="100" t="s">
        <v>1</v>
      </c>
      <c r="E1" s="168" t="s">
        <v>539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701</v>
      </c>
      <c r="D2" s="96" t="s">
        <v>3</v>
      </c>
      <c r="E2" s="95" t="s">
        <v>112</v>
      </c>
      <c r="F2" s="94" t="s">
        <v>5</v>
      </c>
      <c r="G2" s="93">
        <v>22448.7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308</v>
      </c>
      <c r="F3" s="88" t="s">
        <v>8</v>
      </c>
      <c r="G3" s="87">
        <v>26.09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72.885389610389609</v>
      </c>
      <c r="F4" s="81" t="s">
        <v>12</v>
      </c>
      <c r="G4" s="80">
        <f>G2*G3</f>
        <v>585686.58299999998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-7.3496677069516014E-2</v>
      </c>
      <c r="F6" s="69" t="s">
        <v>16</v>
      </c>
      <c r="G6" s="68">
        <f>(I50-I19)/(D50-(SUM(D42:D44)+D19))</f>
        <v>32.71900689924864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26.1</v>
      </c>
      <c r="D10" s="30"/>
      <c r="E10" s="29" t="e">
        <f t="shared" ref="E10:E19" si="1">D10/$D$19</f>
        <v>#DIV/0!</v>
      </c>
      <c r="F10" s="28">
        <f t="shared" ref="F10:F18" si="2">C10-(C10*$E$6)</f>
        <v>28.018263271514371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27.2</v>
      </c>
      <c r="D11" s="30"/>
      <c r="E11" s="29" t="e">
        <f t="shared" si="1"/>
        <v>#DIV/0!</v>
      </c>
      <c r="F11" s="28">
        <f t="shared" si="2"/>
        <v>29.199109616290833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24.8</v>
      </c>
      <c r="D12" s="30"/>
      <c r="E12" s="29" t="e">
        <f t="shared" si="1"/>
        <v>#DIV/0!</v>
      </c>
      <c r="F12" s="28">
        <f t="shared" si="2"/>
        <v>26.622717591323998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27.2</v>
      </c>
      <c r="D13" s="30"/>
      <c r="E13" s="29" t="e">
        <f t="shared" si="1"/>
        <v>#DIV/0!</v>
      </c>
      <c r="F13" s="28">
        <f t="shared" si="2"/>
        <v>29.199109616290833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30.4</v>
      </c>
      <c r="D14" s="30"/>
      <c r="E14" s="29" t="e">
        <f t="shared" si="1"/>
        <v>#DIV/0!</v>
      </c>
      <c r="F14" s="28">
        <f t="shared" si="2"/>
        <v>32.634298982913286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 t="e">
        <f t="shared" si="1"/>
        <v>#DIV/0!</v>
      </c>
      <c r="F15" s="28">
        <f t="shared" si="2"/>
        <v>26.837416926737902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34.299999999999997</v>
      </c>
      <c r="D16" s="30"/>
      <c r="E16" s="29" t="e">
        <f t="shared" si="1"/>
        <v>#DIV/0!</v>
      </c>
      <c r="F16" s="28">
        <f t="shared" si="2"/>
        <v>36.820936023484393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50.5</v>
      </c>
      <c r="D17" s="30"/>
      <c r="E17" s="29" t="e">
        <f t="shared" si="1"/>
        <v>#DIV/0!</v>
      </c>
      <c r="F17" s="28">
        <f t="shared" si="2"/>
        <v>54.21158219201056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44.2</v>
      </c>
      <c r="D18" s="30"/>
      <c r="E18" s="29" t="e">
        <f t="shared" si="1"/>
        <v>#DIV/0!</v>
      </c>
      <c r="F18" s="28">
        <f t="shared" si="2"/>
        <v>47.448553126472611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65.599999999999994</v>
      </c>
      <c r="D21" s="30">
        <v>295.10000000000002</v>
      </c>
      <c r="E21" s="29">
        <f>D21/$D$48</f>
        <v>1.3145527357931643E-2</v>
      </c>
      <c r="F21" s="28">
        <f>C21-(C21*$E$6)</f>
        <v>70.421382015760244</v>
      </c>
      <c r="G21" s="27" t="str">
        <f>IF(C21&gt;=F21,"-","+")</f>
        <v>+</v>
      </c>
      <c r="H21" s="26">
        <f>C21*D21</f>
        <v>19358.560000000001</v>
      </c>
      <c r="I21" s="26">
        <f>F21*D21</f>
        <v>20781.34983285085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44.1</v>
      </c>
      <c r="D22" s="30">
        <v>526.9</v>
      </c>
      <c r="E22" s="29">
        <f>D22/$D$48</f>
        <v>2.3471292324277131E-2</v>
      </c>
      <c r="F22" s="28">
        <f>C22-(C22*$E$6)</f>
        <v>47.341203458765655</v>
      </c>
      <c r="G22" s="27" t="str">
        <f>IF(C22&gt;=F22,"-","+")</f>
        <v>+</v>
      </c>
      <c r="H22" s="26">
        <f>C22*D22</f>
        <v>23236.29</v>
      </c>
      <c r="I22" s="26">
        <f>F22*D22</f>
        <v>24944.080102423621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40.200000000000003</v>
      </c>
      <c r="D23" s="30">
        <v>474.8</v>
      </c>
      <c r="E23" s="29">
        <f>D23/$D$48</f>
        <v>2.1150445237363414E-2</v>
      </c>
      <c r="F23" s="28">
        <f>C23-(C23*$E$6)</f>
        <v>43.154566418194548</v>
      </c>
      <c r="G23" s="27" t="str">
        <f>IF(C23&gt;=F23,"-","+")</f>
        <v>+</v>
      </c>
      <c r="H23" s="26">
        <f>C23*D23</f>
        <v>19086.960000000003</v>
      </c>
      <c r="I23" s="26">
        <f>F23*D23</f>
        <v>20489.788135358773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47.564628315854421</v>
      </c>
      <c r="D24" s="22">
        <f>SUM(D21:D23)</f>
        <v>1296.8</v>
      </c>
      <c r="E24" s="21">
        <f>D24/$D$48</f>
        <v>5.7767264919572188E-2</v>
      </c>
      <c r="F24" s="20">
        <f>I24/D24</f>
        <v>51.060470443116323</v>
      </c>
      <c r="G24" s="19">
        <f>F24/C24-1</f>
        <v>7.3496677069515792E-2</v>
      </c>
      <c r="H24" s="18">
        <f>SUM(H21:H23)</f>
        <v>61681.810000000012</v>
      </c>
      <c r="I24" s="18">
        <f>SUM(I21:I23)</f>
        <v>66215.218070633244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</v>
      </c>
      <c r="D26" s="30">
        <f>484.4+3928</f>
        <v>4412.3999999999996</v>
      </c>
      <c r="E26" s="29">
        <f t="shared" ref="E26:E32" si="7">D26/$D$48</f>
        <v>0.19655481163719948</v>
      </c>
      <c r="F26" s="28">
        <f t="shared" ref="F26:F31" si="8">C26-(C26*$E$6)</f>
        <v>37.572383697433061</v>
      </c>
      <c r="G26" s="27" t="str">
        <f t="shared" ref="G26:G31" si="9">IF(C26&gt;=F26,"-","+")</f>
        <v>+</v>
      </c>
      <c r="H26" s="26">
        <f t="shared" ref="H26:H31" si="10">C26*D26</f>
        <v>154434</v>
      </c>
      <c r="I26" s="26">
        <f t="shared" ref="I26:I31" si="11">F26*D26</f>
        <v>165784.38582655363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31.2</v>
      </c>
      <c r="D27" s="30">
        <v>3399.4</v>
      </c>
      <c r="E27" s="29">
        <f t="shared" si="7"/>
        <v>0.15142970416995197</v>
      </c>
      <c r="F27" s="28">
        <f t="shared" si="8"/>
        <v>33.493096324568896</v>
      </c>
      <c r="G27" s="27" t="str">
        <f t="shared" si="9"/>
        <v>+</v>
      </c>
      <c r="H27" s="26">
        <f t="shared" si="10"/>
        <v>106061.28</v>
      </c>
      <c r="I27" s="26">
        <f t="shared" si="11"/>
        <v>113856.4316457395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31.2</v>
      </c>
      <c r="D28" s="30">
        <v>1690.8</v>
      </c>
      <c r="E28" s="29">
        <f t="shared" si="7"/>
        <v>7.5318392601798775E-2</v>
      </c>
      <c r="F28" s="28">
        <f t="shared" si="8"/>
        <v>33.493096324568896</v>
      </c>
      <c r="G28" s="27" t="str">
        <f t="shared" si="9"/>
        <v>+</v>
      </c>
      <c r="H28" s="26">
        <f t="shared" si="10"/>
        <v>52752.959999999999</v>
      </c>
      <c r="I28" s="26">
        <f t="shared" si="11"/>
        <v>56630.12726558109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30.1</v>
      </c>
      <c r="D29" s="30">
        <v>1722.5</v>
      </c>
      <c r="E29" s="29">
        <f t="shared" si="7"/>
        <v>7.6730501098059137E-2</v>
      </c>
      <c r="F29" s="28">
        <f t="shared" si="8"/>
        <v>32.312249979792433</v>
      </c>
      <c r="G29" s="27" t="str">
        <f t="shared" si="9"/>
        <v>+</v>
      </c>
      <c r="H29" s="26">
        <f t="shared" si="10"/>
        <v>51847.25</v>
      </c>
      <c r="I29" s="26">
        <f t="shared" si="11"/>
        <v>55657.850590192465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30.1</v>
      </c>
      <c r="D30" s="30">
        <v>1265.5999999999999</v>
      </c>
      <c r="E30" s="29">
        <f t="shared" si="7"/>
        <v>5.6377429427984696E-2</v>
      </c>
      <c r="F30" s="28">
        <f t="shared" si="8"/>
        <v>32.312249979792433</v>
      </c>
      <c r="G30" s="27" t="str">
        <f t="shared" si="9"/>
        <v>+</v>
      </c>
      <c r="H30" s="26">
        <f t="shared" si="10"/>
        <v>38094.559999999998</v>
      </c>
      <c r="I30" s="26">
        <f t="shared" si="11"/>
        <v>40894.383574425301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30.7</v>
      </c>
      <c r="D31" s="30">
        <v>377.4</v>
      </c>
      <c r="E31" s="29">
        <f t="shared" si="7"/>
        <v>1.6811663927087092E-2</v>
      </c>
      <c r="F31" s="28">
        <f t="shared" si="8"/>
        <v>32.956347986034139</v>
      </c>
      <c r="G31" s="27" t="str">
        <f t="shared" si="9"/>
        <v>+</v>
      </c>
      <c r="H31" s="26">
        <f t="shared" si="10"/>
        <v>11586.179999999998</v>
      </c>
      <c r="I31" s="26">
        <f t="shared" si="11"/>
        <v>12437.725729929283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32.232903847498854</v>
      </c>
      <c r="D32" s="22">
        <f>SUM(D26:D31)</f>
        <v>12868.099999999999</v>
      </c>
      <c r="E32" s="21">
        <f t="shared" si="7"/>
        <v>0.5732225028620811</v>
      </c>
      <c r="F32" s="20">
        <f>I32/D32</f>
        <v>34.601915172591241</v>
      </c>
      <c r="G32" s="19">
        <f>F32/C32-1</f>
        <v>7.3496677069516236E-2</v>
      </c>
      <c r="H32" s="18">
        <f>SUM(H26:H31)</f>
        <v>414776.23</v>
      </c>
      <c r="I32" s="18">
        <f>SUM(I26:I31)</f>
        <v>445260.90463242133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f>1767.5+1677.1</f>
        <v>3444.6</v>
      </c>
      <c r="E34" s="29">
        <f t="shared" ref="E34:E40" si="13">D34/$D$48</f>
        <v>0.15344318379237998</v>
      </c>
      <c r="F34" s="28">
        <f t="shared" ref="F34:F39" si="14">C34-(C34*$E$6)</f>
        <v>19.752338858079092</v>
      </c>
      <c r="G34" s="27" t="str">
        <f t="shared" ref="G34:G39" si="15">IF(C34&gt;=F34,"-","+")</f>
        <v>+</v>
      </c>
      <c r="H34" s="26">
        <f t="shared" ref="H34:H39" si="16">C34*D34</f>
        <v>63380.639999999992</v>
      </c>
      <c r="I34" s="26">
        <f t="shared" ref="I34:I39" si="17">F34*D34</f>
        <v>68038.906430539238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14.2</v>
      </c>
      <c r="D35" s="30">
        <v>277.10000000000002</v>
      </c>
      <c r="E35" s="29">
        <f t="shared" si="13"/>
        <v>1.2343699189708093E-2</v>
      </c>
      <c r="F35" s="28">
        <f t="shared" si="14"/>
        <v>15.243652814387126</v>
      </c>
      <c r="G35" s="27" t="str">
        <f t="shared" si="15"/>
        <v>+</v>
      </c>
      <c r="H35" s="26">
        <f t="shared" si="16"/>
        <v>3934.82</v>
      </c>
      <c r="I35" s="26">
        <f t="shared" si="17"/>
        <v>4224.0161948666728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12.237862118592483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30.1</v>
      </c>
      <c r="D37" s="30"/>
      <c r="E37" s="29">
        <f t="shared" si="13"/>
        <v>0</v>
      </c>
      <c r="F37" s="28">
        <f t="shared" si="14"/>
        <v>32.312249979792433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30.1</v>
      </c>
      <c r="D38" s="30"/>
      <c r="E38" s="29">
        <f t="shared" si="13"/>
        <v>0</v>
      </c>
      <c r="F38" s="28">
        <f t="shared" si="14"/>
        <v>32.312249979792433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31.2</v>
      </c>
      <c r="D39" s="30"/>
      <c r="E39" s="29">
        <f t="shared" si="13"/>
        <v>0</v>
      </c>
      <c r="F39" s="28">
        <f t="shared" si="14"/>
        <v>33.493096324568896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18.087288067281079</v>
      </c>
      <c r="D40" s="22">
        <f>SUM(D34:D39)</f>
        <v>3721.7</v>
      </c>
      <c r="E40" s="113">
        <f t="shared" si="13"/>
        <v>0.16578688298208807</v>
      </c>
      <c r="F40" s="20">
        <f>I40/D40</f>
        <v>19.416643637425349</v>
      </c>
      <c r="G40" s="19">
        <f>F40/C40-1</f>
        <v>7.3496677069516014E-2</v>
      </c>
      <c r="H40" s="18">
        <f>SUM(H34:H39)</f>
        <v>67315.459999999992</v>
      </c>
      <c r="I40" s="18">
        <f>SUM(I34:I39)</f>
        <v>72262.922625405918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2073+235.5+2057.5</f>
        <v>4366</v>
      </c>
      <c r="E42" s="107">
        <f>D42/$D$48</f>
        <v>0.19448787680355659</v>
      </c>
      <c r="F42" s="28">
        <f>C42-(C42*$E$6)</f>
        <v>0.42939867082780642</v>
      </c>
      <c r="G42" s="27" t="str">
        <f>IF(C42&gt;=F42,"-","+")</f>
        <v>+</v>
      </c>
      <c r="H42" s="26">
        <f>C42*D42</f>
        <v>1746.4</v>
      </c>
      <c r="I42" s="26">
        <f>F42*D42</f>
        <v>1874.7545968342029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169.5</v>
      </c>
      <c r="E43" s="107">
        <f>D43/$D$48</f>
        <v>7.550548584105094E-3</v>
      </c>
      <c r="F43" s="28">
        <f>C43-(C43*$E$6)</f>
        <v>0.42939867082780642</v>
      </c>
      <c r="G43" s="27" t="str">
        <f>IF(C43&gt;=F43,"-","+")</f>
        <v>+</v>
      </c>
      <c r="H43" s="26">
        <f>C43*D43</f>
        <v>67.8</v>
      </c>
      <c r="I43" s="26">
        <f>F43*D43</f>
        <v>72.783074705313183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12.7</v>
      </c>
      <c r="E44" s="107">
        <f>D44/$D$48</f>
        <v>5.6573431869106012E-4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13.9</v>
      </c>
      <c r="E45" s="107">
        <f>D45/$D$48</f>
        <v>6.1918952990596343E-4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0.39766774073343419</v>
      </c>
      <c r="D46" s="22">
        <f>SUM(D41:D45)</f>
        <v>4562.0999999999995</v>
      </c>
      <c r="E46" s="113">
        <f>D46/$D$48</f>
        <v>0.20322334923625868</v>
      </c>
      <c r="F46" s="20">
        <f>I46/D46</f>
        <v>0.42689499825508342</v>
      </c>
      <c r="G46" s="19">
        <f>F46/C46-1</f>
        <v>7.3496677069516014E-2</v>
      </c>
      <c r="H46" s="18">
        <f>SUM(H41:H44)</f>
        <v>1814.2</v>
      </c>
      <c r="I46" s="18">
        <f>SUM(I41:I44)</f>
        <v>1947.5376715395159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98.2824879713678</v>
      </c>
      <c r="D48" s="13">
        <f>D24+D32+D40+D46</f>
        <v>22448.699999999997</v>
      </c>
      <c r="E48" s="12">
        <f>SUM(E20:E46)/2</f>
        <v>1</v>
      </c>
      <c r="F48" s="11">
        <f>I48/D48</f>
        <v>26.090000000000007</v>
      </c>
      <c r="G48" s="10"/>
      <c r="H48" s="9">
        <f>SUM(H20:H46)/2</f>
        <v>545587.69999999995</v>
      </c>
      <c r="I48" s="9">
        <f>SUM(I20:I46)/2</f>
        <v>585686.5830000001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22448.699999999993</v>
      </c>
      <c r="E50" s="12">
        <f>D50/G2</f>
        <v>0.99999999999999967</v>
      </c>
      <c r="F50" s="11">
        <f>I50/D50</f>
        <v>26.090000000000011</v>
      </c>
      <c r="G50" s="10"/>
      <c r="H50" s="9">
        <f>H48+H19</f>
        <v>545587.69999999995</v>
      </c>
      <c r="I50" s="9">
        <f>I48+I19</f>
        <v>585686.5830000001</v>
      </c>
      <c r="J50" s="106">
        <f>D50-G2</f>
        <v>0</v>
      </c>
      <c r="K50" s="8"/>
    </row>
    <row r="51" spans="1:11" ht="23.25" x14ac:dyDescent="0.35">
      <c r="A51" s="174" t="s">
        <v>703</v>
      </c>
      <c r="B51" s="169"/>
      <c r="C51" s="170"/>
      <c r="G51" s="7"/>
      <c r="H51" s="6"/>
      <c r="I51" s="6">
        <f>+I50/D50</f>
        <v>26.090000000000011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701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704</v>
      </c>
      <c r="D2" s="96" t="s">
        <v>3</v>
      </c>
      <c r="E2" s="95" t="s">
        <v>71</v>
      </c>
      <c r="F2" s="94" t="s">
        <v>5</v>
      </c>
      <c r="G2" s="93">
        <v>17558.599999999999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240</v>
      </c>
      <c r="F3" s="88" t="s">
        <v>8</v>
      </c>
      <c r="G3" s="87">
        <v>28.6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73.160833333333329</v>
      </c>
      <c r="F4" s="81" t="s">
        <v>12</v>
      </c>
      <c r="G4" s="80">
        <f>G2*G3</f>
        <v>502175.95999999996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-1.960498628167695E-2</v>
      </c>
      <c r="F6" s="69" t="s">
        <v>16</v>
      </c>
      <c r="G6" s="68">
        <f>(I50-I19)/(D50-(SUM(D42:D44)+D19))</f>
        <v>34.238200772523257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28.6</v>
      </c>
      <c r="D10" s="30"/>
      <c r="E10" s="29">
        <f t="shared" ref="E10:E19" si="1">D10/$D$19</f>
        <v>0</v>
      </c>
      <c r="F10" s="28">
        <f t="shared" ref="F10:F18" si="2">C10-(C10*$E$6)</f>
        <v>29.160702607655963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29.8</v>
      </c>
      <c r="D11" s="30"/>
      <c r="E11" s="29">
        <f t="shared" si="1"/>
        <v>0</v>
      </c>
      <c r="F11" s="28">
        <f t="shared" si="2"/>
        <v>30.384228591193974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27.2</v>
      </c>
      <c r="D12" s="30"/>
      <c r="E12" s="29">
        <f t="shared" si="1"/>
        <v>0</v>
      </c>
      <c r="F12" s="28">
        <f t="shared" si="2"/>
        <v>27.733255626861613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29.8</v>
      </c>
      <c r="D13" s="30">
        <v>46.9</v>
      </c>
      <c r="E13" s="29">
        <f t="shared" si="1"/>
        <v>0.17638209853328321</v>
      </c>
      <c r="F13" s="28">
        <f t="shared" si="2"/>
        <v>30.384228591193974</v>
      </c>
      <c r="G13" s="27" t="str">
        <f t="shared" si="3"/>
        <v>+</v>
      </c>
      <c r="H13" s="34">
        <f t="shared" si="4"/>
        <v>1397.62</v>
      </c>
      <c r="I13" s="34">
        <f t="shared" si="5"/>
        <v>1425.0203209269973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33.299999999999997</v>
      </c>
      <c r="D14" s="30"/>
      <c r="E14" s="29">
        <f t="shared" si="1"/>
        <v>0</v>
      </c>
      <c r="F14" s="28">
        <f t="shared" si="2"/>
        <v>33.952846043179839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27.5</v>
      </c>
      <c r="D15" s="30">
        <v>133</v>
      </c>
      <c r="E15" s="29">
        <f t="shared" si="1"/>
        <v>0.50018804061677324</v>
      </c>
      <c r="F15" s="28">
        <f t="shared" si="2"/>
        <v>28.039137122746116</v>
      </c>
      <c r="G15" s="27" t="str">
        <f t="shared" si="3"/>
        <v>+</v>
      </c>
      <c r="H15" s="34">
        <f t="shared" si="4"/>
        <v>3657.5</v>
      </c>
      <c r="I15" s="34">
        <f t="shared" si="5"/>
        <v>3729.2052373252336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37.6</v>
      </c>
      <c r="D16" s="30">
        <v>20</v>
      </c>
      <c r="E16" s="29">
        <f t="shared" si="1"/>
        <v>7.5216246709289211E-2</v>
      </c>
      <c r="F16" s="28">
        <f t="shared" si="2"/>
        <v>38.337147484191057</v>
      </c>
      <c r="G16" s="27" t="str">
        <f t="shared" si="3"/>
        <v>+</v>
      </c>
      <c r="H16" s="34">
        <f t="shared" si="4"/>
        <v>752</v>
      </c>
      <c r="I16" s="34">
        <f t="shared" si="5"/>
        <v>766.74294968382117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55.3</v>
      </c>
      <c r="D17" s="30">
        <v>66</v>
      </c>
      <c r="E17" s="29">
        <f t="shared" si="1"/>
        <v>0.2482136141406544</v>
      </c>
      <c r="F17" s="28">
        <f t="shared" si="2"/>
        <v>56.38415574137673</v>
      </c>
      <c r="G17" s="27" t="str">
        <f t="shared" si="3"/>
        <v>+</v>
      </c>
      <c r="H17" s="34">
        <f t="shared" si="4"/>
        <v>3649.7999999999997</v>
      </c>
      <c r="I17" s="34">
        <f t="shared" si="5"/>
        <v>3721.354278930864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48.5</v>
      </c>
      <c r="D18" s="30"/>
      <c r="E18" s="29">
        <f t="shared" si="1"/>
        <v>0</v>
      </c>
      <c r="F18" s="28">
        <f t="shared" si="2"/>
        <v>49.450841834661333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35.565701391500568</v>
      </c>
      <c r="D19" s="49">
        <f>SUM(D10:D18)</f>
        <v>265.89999999999998</v>
      </c>
      <c r="E19" s="48">
        <f t="shared" si="1"/>
        <v>1</v>
      </c>
      <c r="F19" s="47">
        <f>I19/D19</f>
        <v>36.262966479379152</v>
      </c>
      <c r="G19" s="46">
        <f>F19/C19-1</f>
        <v>1.960498628167695E-2</v>
      </c>
      <c r="H19" s="9">
        <f>SUM(H10:H18)</f>
        <v>9456.92</v>
      </c>
      <c r="I19" s="9">
        <f>SUM(I10:I18)</f>
        <v>9642.3227868669164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71.900000000000006</v>
      </c>
      <c r="D21" s="30">
        <v>212.7</v>
      </c>
      <c r="E21" s="29">
        <f>D21/$D$48</f>
        <v>1.2299987856147393E-2</v>
      </c>
      <c r="F21" s="28">
        <f>C21-(C21*$E$6)</f>
        <v>73.309598513652574</v>
      </c>
      <c r="G21" s="27" t="str">
        <f>IF(C21&gt;=F21,"-","+")</f>
        <v>+</v>
      </c>
      <c r="H21" s="26">
        <f>C21*D21</f>
        <v>15293.130000000001</v>
      </c>
      <c r="I21" s="26">
        <f>F21*D21</f>
        <v>15592.951603853902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48.3</v>
      </c>
      <c r="D22" s="30">
        <v>478.4</v>
      </c>
      <c r="E22" s="29">
        <f>D22/$D$48</f>
        <v>2.7664852799158028E-2</v>
      </c>
      <c r="F22" s="28">
        <f>C22-(C22*$E$6)</f>
        <v>49.246920837404993</v>
      </c>
      <c r="G22" s="27" t="str">
        <f>IF(C22&gt;=F22,"-","+")</f>
        <v>+</v>
      </c>
      <c r="H22" s="26">
        <f>C22*D22</f>
        <v>23106.719999999998</v>
      </c>
      <c r="I22" s="26">
        <f>F22*D22</f>
        <v>23559.726928614546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</v>
      </c>
      <c r="D23" s="30">
        <v>414.7</v>
      </c>
      <c r="E23" s="29">
        <f>D23/$D$48</f>
        <v>2.3981217507965794E-2</v>
      </c>
      <c r="F23" s="28">
        <f>C23-(C23*$E$6)</f>
        <v>44.862619396393782</v>
      </c>
      <c r="G23" s="27" t="str">
        <f>IF(C23&gt;=F23,"-","+")</f>
        <v>+</v>
      </c>
      <c r="H23" s="26">
        <f>C23*D23</f>
        <v>18246.8</v>
      </c>
      <c r="I23" s="26">
        <f>F23*D23</f>
        <v>18604.5282636845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51.226849339844456</v>
      </c>
      <c r="D24" s="22">
        <f>SUM(D21:D23)</f>
        <v>1105.8</v>
      </c>
      <c r="E24" s="21">
        <f>D24/$D$48</f>
        <v>6.3946058163271216E-2</v>
      </c>
      <c r="F24" s="20">
        <f>I24/D24</f>
        <v>52.231151018405633</v>
      </c>
      <c r="G24" s="19">
        <f>F24/C24-1</f>
        <v>1.960498628167695E-2</v>
      </c>
      <c r="H24" s="18">
        <f>SUM(H21:H23)</f>
        <v>56646.649999999994</v>
      </c>
      <c r="I24" s="18">
        <f>SUM(I21:I23)</f>
        <v>57757.206796152946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38.4</v>
      </c>
      <c r="D26" s="30">
        <f>998+62.7+2124</f>
        <v>3184.7</v>
      </c>
      <c r="E26" s="29">
        <f t="shared" ref="E26:E32" si="7">D26/$D$48</f>
        <v>0.18416441619874285</v>
      </c>
      <c r="F26" s="28">
        <f t="shared" ref="F26:F31" si="8">C26-(C26*$E$6)</f>
        <v>39.152831473216395</v>
      </c>
      <c r="G26" s="27" t="str">
        <f t="shared" ref="G26:G31" si="9">IF(C26&gt;=F26,"-","+")</f>
        <v>+</v>
      </c>
      <c r="H26" s="26">
        <f t="shared" ref="H26:H31" si="10">C26*D26</f>
        <v>122292.47999999998</v>
      </c>
      <c r="I26" s="26">
        <f t="shared" ref="I26:I31" si="11">F26*D26</f>
        <v>124690.02239275225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34.200000000000003</v>
      </c>
      <c r="D27" s="30">
        <v>2784.3</v>
      </c>
      <c r="E27" s="29">
        <f t="shared" si="7"/>
        <v>0.16101013722553451</v>
      </c>
      <c r="F27" s="28">
        <f t="shared" si="8"/>
        <v>34.870490530833358</v>
      </c>
      <c r="G27" s="27" t="str">
        <f t="shared" si="9"/>
        <v>+</v>
      </c>
      <c r="H27" s="26">
        <f t="shared" si="10"/>
        <v>95223.060000000012</v>
      </c>
      <c r="I27" s="26">
        <f t="shared" si="11"/>
        <v>97089.90678499933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34.200000000000003</v>
      </c>
      <c r="D28" s="30">
        <v>1547</v>
      </c>
      <c r="E28" s="29">
        <f t="shared" si="7"/>
        <v>8.9459714214668626E-2</v>
      </c>
      <c r="F28" s="28">
        <f t="shared" si="8"/>
        <v>34.870490530833358</v>
      </c>
      <c r="G28" s="27" t="str">
        <f t="shared" si="9"/>
        <v>+</v>
      </c>
      <c r="H28" s="26">
        <f t="shared" si="10"/>
        <v>52907.4</v>
      </c>
      <c r="I28" s="26">
        <f t="shared" si="11"/>
        <v>53944.648851199207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</v>
      </c>
      <c r="D29" s="30">
        <v>1469.3</v>
      </c>
      <c r="E29" s="29">
        <f t="shared" si="7"/>
        <v>8.4966488749587982E-2</v>
      </c>
      <c r="F29" s="28">
        <f t="shared" si="8"/>
        <v>33.64696454729534</v>
      </c>
      <c r="G29" s="27" t="str">
        <f t="shared" si="9"/>
        <v>+</v>
      </c>
      <c r="H29" s="26">
        <f t="shared" si="10"/>
        <v>48486.9</v>
      </c>
      <c r="I29" s="26">
        <f t="shared" si="11"/>
        <v>49437.485009341042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</v>
      </c>
      <c r="D30" s="30">
        <v>1080.5</v>
      </c>
      <c r="E30" s="29">
        <f t="shared" si="7"/>
        <v>6.2483013063315745E-2</v>
      </c>
      <c r="F30" s="28">
        <f t="shared" si="8"/>
        <v>33.64696454729534</v>
      </c>
      <c r="G30" s="27" t="str">
        <f t="shared" si="9"/>
        <v>+</v>
      </c>
      <c r="H30" s="26">
        <f t="shared" si="10"/>
        <v>35656.5</v>
      </c>
      <c r="I30" s="26">
        <f t="shared" si="11"/>
        <v>36355.545193352613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33.6</v>
      </c>
      <c r="D31" s="30">
        <f>175.4+246.4</f>
        <v>421.8</v>
      </c>
      <c r="E31" s="29">
        <f t="shared" si="7"/>
        <v>2.4391795381866341E-2</v>
      </c>
      <c r="F31" s="28">
        <f t="shared" si="8"/>
        <v>34.258727539064346</v>
      </c>
      <c r="G31" s="27" t="str">
        <f t="shared" si="9"/>
        <v>+</v>
      </c>
      <c r="H31" s="26">
        <f t="shared" si="10"/>
        <v>14172.480000000001</v>
      </c>
      <c r="I31" s="26">
        <f t="shared" si="11"/>
        <v>14450.331275977342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35.159504557763462</v>
      </c>
      <c r="D32" s="22">
        <f>SUM(D26:D31)</f>
        <v>10487.599999999999</v>
      </c>
      <c r="E32" s="21">
        <f t="shared" si="7"/>
        <v>0.60647556483371601</v>
      </c>
      <c r="F32" s="20">
        <f>I32/D32</f>
        <v>35.848806162288973</v>
      </c>
      <c r="G32" s="19">
        <f>F32/C32-1</f>
        <v>1.960498628167695E-2</v>
      </c>
      <c r="H32" s="18">
        <f>SUM(H26:H31)</f>
        <v>368738.82</v>
      </c>
      <c r="I32" s="18">
        <f>SUM(I26:I31)</f>
        <v>375967.93950762181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20.2</v>
      </c>
      <c r="D34" s="30">
        <v>2783.6</v>
      </c>
      <c r="E34" s="29">
        <f t="shared" ref="E34:E40" si="13">D34/$D$48</f>
        <v>0.16096965771684008</v>
      </c>
      <c r="F34" s="28">
        <f t="shared" ref="F34:F39" si="14">C34-(C34*$E$6)</f>
        <v>20.596020722889875</v>
      </c>
      <c r="G34" s="27" t="str">
        <f t="shared" ref="G34:G39" si="15">IF(C34&gt;=F34,"-","+")</f>
        <v>+</v>
      </c>
      <c r="H34" s="26">
        <f t="shared" ref="H34:H39" si="16">C34*D34</f>
        <v>56228.719999999994</v>
      </c>
      <c r="I34" s="26">
        <f t="shared" ref="I34:I39" si="17">F34*D34</f>
        <v>57331.083284236258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15.803877287365992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12.5</v>
      </c>
      <c r="D36" s="30"/>
      <c r="E36" s="29">
        <f t="shared" si="13"/>
        <v>0</v>
      </c>
      <c r="F36" s="28">
        <f t="shared" si="14"/>
        <v>12.745062328520962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</v>
      </c>
      <c r="D37" s="30"/>
      <c r="E37" s="29">
        <f t="shared" si="13"/>
        <v>0</v>
      </c>
      <c r="F37" s="28">
        <f t="shared" si="14"/>
        <v>33.64696454729534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</v>
      </c>
      <c r="D38" s="30"/>
      <c r="E38" s="29">
        <f t="shared" si="13"/>
        <v>0</v>
      </c>
      <c r="F38" s="28">
        <f t="shared" si="14"/>
        <v>33.64696454729534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34.200000000000003</v>
      </c>
      <c r="D39" s="30"/>
      <c r="E39" s="29">
        <f t="shared" si="13"/>
        <v>0</v>
      </c>
      <c r="F39" s="28">
        <f t="shared" si="14"/>
        <v>34.870490530833358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20.2</v>
      </c>
      <c r="D40" s="22">
        <f>SUM(D34:D39)</f>
        <v>2783.6</v>
      </c>
      <c r="E40" s="113">
        <f t="shared" si="13"/>
        <v>0.16096965771684008</v>
      </c>
      <c r="F40" s="20">
        <f>I40/D40</f>
        <v>20.596020722889875</v>
      </c>
      <c r="G40" s="19">
        <f>F40/C40-1</f>
        <v>1.960498628167695E-2</v>
      </c>
      <c r="H40" s="18">
        <f>SUM(H34:H39)</f>
        <v>56228.719999999994</v>
      </c>
      <c r="I40" s="18">
        <f>SUM(I34:I39)</f>
        <v>57331.083284236258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2760</v>
      </c>
      <c r="E42" s="107">
        <f>D42/$D$48</f>
        <v>0.15960491999514248</v>
      </c>
      <c r="F42" s="28">
        <f>C42-(C42*$E$6)</f>
        <v>0.50980249314083848</v>
      </c>
      <c r="G42" s="27" t="str">
        <f>IF(C42&gt;=F42,"-","+")</f>
        <v>+</v>
      </c>
      <c r="H42" s="26">
        <f>C42*D42</f>
        <v>1380</v>
      </c>
      <c r="I42" s="26">
        <f>F42*D42</f>
        <v>1407.0548810687142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138</v>
      </c>
      <c r="E43" s="107">
        <f>D43/$D$48</f>
        <v>7.9802459997571247E-3</v>
      </c>
      <c r="F43" s="28">
        <f>C43-(C43*$E$6)</f>
        <v>0.50980249314083848</v>
      </c>
      <c r="G43" s="27" t="str">
        <f>IF(C43&gt;=F43,"-","+")</f>
        <v>+</v>
      </c>
      <c r="H43" s="26">
        <f>C43*D43</f>
        <v>69</v>
      </c>
      <c r="I43" s="26">
        <f>F43*D43</f>
        <v>70.352744053435714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9.1999999999999993</v>
      </c>
      <c r="E44" s="107">
        <f>D44/$D$48</f>
        <v>5.3201639998380829E-4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8.5</v>
      </c>
      <c r="E45" s="107">
        <f>D45/$D$48</f>
        <v>4.915368912893881E-4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0.4969647083033234</v>
      </c>
      <c r="D46" s="22">
        <f>SUM(D41:D45)</f>
        <v>2915.7</v>
      </c>
      <c r="E46" s="113">
        <f>D46/$D$48</f>
        <v>0.1686087192861728</v>
      </c>
      <c r="F46" s="20">
        <f>I46/D46</f>
        <v>0.50670769459208764</v>
      </c>
      <c r="G46" s="19">
        <f>F46/C46-1</f>
        <v>1.960498628167695E-2</v>
      </c>
      <c r="H46" s="18">
        <f>SUM(H41:H44)</f>
        <v>1449</v>
      </c>
      <c r="I46" s="18">
        <f>SUM(I41:I44)</f>
        <v>1477.40762512215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107.08331860591124</v>
      </c>
      <c r="D48" s="13">
        <f>D24+D32+D40+D46</f>
        <v>17292.699999999997</v>
      </c>
      <c r="E48" s="12">
        <f>SUM(E20:E46)/2</f>
        <v>1.0000000000000002</v>
      </c>
      <c r="F48" s="11">
        <f>I48/D48</f>
        <v>28.482170928376327</v>
      </c>
      <c r="G48" s="10"/>
      <c r="H48" s="9">
        <f>SUM(H20:H46)/2</f>
        <v>483063.18999999994</v>
      </c>
      <c r="I48" s="9">
        <f>SUM(I20:I46)/2</f>
        <v>492533.63721313322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17558.599999999999</v>
      </c>
      <c r="E50" s="12">
        <f>D50/G2</f>
        <v>1</v>
      </c>
      <c r="F50" s="11">
        <f>I50/D50</f>
        <v>28.600000000000009</v>
      </c>
      <c r="G50" s="10"/>
      <c r="H50" s="9">
        <f>H48+H19</f>
        <v>492520.10999999993</v>
      </c>
      <c r="I50" s="9">
        <f>I48+I19</f>
        <v>502175.96000000014</v>
      </c>
      <c r="J50" s="106">
        <f>D50-G2</f>
        <v>0</v>
      </c>
      <c r="K50" s="8"/>
    </row>
    <row r="51" spans="1:11" ht="23.25" x14ac:dyDescent="0.35">
      <c r="A51" s="174" t="s">
        <v>705</v>
      </c>
      <c r="B51" s="169"/>
      <c r="C51" s="170"/>
      <c r="G51" s="7"/>
      <c r="H51" s="6"/>
      <c r="I51" s="6">
        <f>+I50/D50</f>
        <v>28.600000000000009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697</v>
      </c>
      <c r="D1" s="100" t="s">
        <v>1</v>
      </c>
      <c r="E1" s="168" t="s">
        <v>706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704</v>
      </c>
      <c r="D2" s="96" t="s">
        <v>3</v>
      </c>
      <c r="E2" s="95" t="s">
        <v>112</v>
      </c>
      <c r="F2" s="94" t="s">
        <v>5</v>
      </c>
      <c r="G2" s="93">
        <v>4644.3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707</v>
      </c>
      <c r="D3" s="90" t="s">
        <v>7</v>
      </c>
      <c r="E3" s="89">
        <v>84</v>
      </c>
      <c r="F3" s="88" t="s">
        <v>8</v>
      </c>
      <c r="G3" s="87">
        <v>24.27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12</v>
      </c>
      <c r="D4" s="83" t="s">
        <v>11</v>
      </c>
      <c r="E4" s="82">
        <f>G2/E3</f>
        <v>55.289285714285718</v>
      </c>
      <c r="F4" s="81" t="s">
        <v>12</v>
      </c>
      <c r="G4" s="80">
        <f>G2*G3</f>
        <v>112717.16100000001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-0.1146732249973943</v>
      </c>
      <c r="F6" s="69" t="s">
        <v>16</v>
      </c>
      <c r="G6" s="68">
        <f>(I50-I19)/(D50-(SUM(D42:D44)+D19))</f>
        <v>31.84370455123317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24.3</v>
      </c>
      <c r="D10" s="30"/>
      <c r="E10" s="29" t="e">
        <f t="shared" ref="E10:E19" si="1">D10/$D$19</f>
        <v>#DIV/0!</v>
      </c>
      <c r="F10" s="28">
        <f t="shared" ref="F10:F18" si="2">C10-(C10*$E$6)</f>
        <v>27.086559367436681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25.3</v>
      </c>
      <c r="D11" s="30"/>
      <c r="E11" s="29" t="e">
        <f t="shared" si="1"/>
        <v>#DIV/0!</v>
      </c>
      <c r="F11" s="28">
        <f t="shared" si="2"/>
        <v>28.201232592434078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23.1</v>
      </c>
      <c r="D12" s="30"/>
      <c r="E12" s="29" t="e">
        <f t="shared" si="1"/>
        <v>#DIV/0!</v>
      </c>
      <c r="F12" s="28">
        <f t="shared" si="2"/>
        <v>25.748951497439808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25.3</v>
      </c>
      <c r="D13" s="30"/>
      <c r="E13" s="29" t="e">
        <f t="shared" si="1"/>
        <v>#DIV/0!</v>
      </c>
      <c r="F13" s="28">
        <f t="shared" si="2"/>
        <v>28.201232592434078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28.3</v>
      </c>
      <c r="D14" s="30"/>
      <c r="E14" s="29" t="e">
        <f t="shared" si="1"/>
        <v>#DIV/0!</v>
      </c>
      <c r="F14" s="28">
        <f t="shared" si="2"/>
        <v>31.54525226742626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23.3</v>
      </c>
      <c r="D15" s="30"/>
      <c r="E15" s="29" t="e">
        <f t="shared" si="1"/>
        <v>#DIV/0!</v>
      </c>
      <c r="F15" s="28">
        <f t="shared" si="2"/>
        <v>25.971886142439288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31.9</v>
      </c>
      <c r="D16" s="30"/>
      <c r="E16" s="29" t="e">
        <f t="shared" si="1"/>
        <v>#DIV/0!</v>
      </c>
      <c r="F16" s="28">
        <f t="shared" si="2"/>
        <v>35.558075877416876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46.9</v>
      </c>
      <c r="D17" s="30"/>
      <c r="E17" s="29" t="e">
        <f t="shared" si="1"/>
        <v>#DIV/0!</v>
      </c>
      <c r="F17" s="28">
        <f t="shared" si="2"/>
        <v>52.278174252377788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41.1</v>
      </c>
      <c r="D18" s="30"/>
      <c r="E18" s="29" t="e">
        <f t="shared" si="1"/>
        <v>#DIV/0!</v>
      </c>
      <c r="F18" s="28">
        <f t="shared" si="2"/>
        <v>45.813069547392907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</v>
      </c>
      <c r="D21" s="30">
        <v>56.1</v>
      </c>
      <c r="E21" s="29">
        <f>D21/$D$48</f>
        <v>1.2079323041147212E-2</v>
      </c>
      <c r="F21" s="28">
        <f>C21-(C21*$E$6)</f>
        <v>67.995066724841053</v>
      </c>
      <c r="G21" s="27" t="str">
        <f>IF(C21&gt;=F21,"-","+")</f>
        <v>+</v>
      </c>
      <c r="H21" s="26">
        <f>C21*D21</f>
        <v>3422.1</v>
      </c>
      <c r="I21" s="26">
        <f>F21*D21</f>
        <v>3814.523243263583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</v>
      </c>
      <c r="D22" s="30">
        <v>134.4</v>
      </c>
      <c r="E22" s="29">
        <f>D22/$D$48</f>
        <v>2.8938699050448938E-2</v>
      </c>
      <c r="F22" s="28">
        <f>C22-(C22*$E$6)</f>
        <v>45.701602224893165</v>
      </c>
      <c r="G22" s="27" t="str">
        <f>IF(C22&gt;=F22,"-","+")</f>
        <v>+</v>
      </c>
      <c r="H22" s="26">
        <f>C22*D22</f>
        <v>5510.4000000000005</v>
      </c>
      <c r="I22" s="26">
        <f>F22*D22</f>
        <v>6142.2953390256416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37.4</v>
      </c>
      <c r="D23" s="30">
        <v>77.599999999999994</v>
      </c>
      <c r="E23" s="29">
        <f>D23/$D$48</f>
        <v>1.6708653618413966E-2</v>
      </c>
      <c r="F23" s="28">
        <f>C23-(C23*$E$6)</f>
        <v>41.688778614902546</v>
      </c>
      <c r="G23" s="27" t="str">
        <f>IF(C23&gt;=F23,"-","+")</f>
        <v>+</v>
      </c>
      <c r="H23" s="26">
        <f>C23*D23</f>
        <v>2902.24</v>
      </c>
      <c r="I23" s="26">
        <f>F23*D23</f>
        <v>3235.0492205164373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44.143006340917566</v>
      </c>
      <c r="D24" s="22">
        <f>SUM(D21:D23)</f>
        <v>268.10000000000002</v>
      </c>
      <c r="E24" s="21">
        <f>D24/$D$48</f>
        <v>5.7726675710010125E-2</v>
      </c>
      <c r="F24" s="20">
        <f>I24/D24</f>
        <v>49.205027239111004</v>
      </c>
      <c r="G24" s="19">
        <f>F24/C24-1</f>
        <v>0.1146732249973943</v>
      </c>
      <c r="H24" s="18">
        <f>SUM(H21:H23)</f>
        <v>11834.74</v>
      </c>
      <c r="I24" s="18">
        <f>SUM(I21:I23)</f>
        <v>13191.867802805662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32.6</v>
      </c>
      <c r="D26" s="30">
        <v>813.6</v>
      </c>
      <c r="E26" s="29">
        <f t="shared" ref="E26:E32" si="7">D26/$D$48</f>
        <v>0.17518248175182483</v>
      </c>
      <c r="F26" s="28">
        <f t="shared" ref="F26:F31" si="8">C26-(C26*$E$6)</f>
        <v>36.338347134915054</v>
      </c>
      <c r="G26" s="27" t="str">
        <f t="shared" ref="G26:G31" si="9">IF(C26&gt;=F26,"-","+")</f>
        <v>+</v>
      </c>
      <c r="H26" s="26">
        <f t="shared" ref="H26:H31" si="10">C26*D26</f>
        <v>26523.360000000001</v>
      </c>
      <c r="I26" s="26">
        <f t="shared" ref="I26:I31" si="11">F26*D26</f>
        <v>29564.879228966889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</v>
      </c>
      <c r="D27" s="30">
        <v>727.2</v>
      </c>
      <c r="E27" s="29">
        <f t="shared" si="7"/>
        <v>0.15657903236225051</v>
      </c>
      <c r="F27" s="28">
        <f t="shared" si="8"/>
        <v>32.325523524924435</v>
      </c>
      <c r="G27" s="27" t="str">
        <f t="shared" si="9"/>
        <v>+</v>
      </c>
      <c r="H27" s="26">
        <f t="shared" si="10"/>
        <v>21088.800000000003</v>
      </c>
      <c r="I27" s="26">
        <f t="shared" si="11"/>
        <v>23507.120707325052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</v>
      </c>
      <c r="D28" s="30">
        <v>376.5</v>
      </c>
      <c r="E28" s="29">
        <f t="shared" si="7"/>
        <v>8.1067114527485301E-2</v>
      </c>
      <c r="F28" s="28">
        <f t="shared" si="8"/>
        <v>32.325523524924435</v>
      </c>
      <c r="G28" s="27" t="str">
        <f t="shared" si="9"/>
        <v>+</v>
      </c>
      <c r="H28" s="26">
        <f t="shared" si="10"/>
        <v>10918.5</v>
      </c>
      <c r="I28" s="26">
        <f t="shared" si="11"/>
        <v>12170.55960713405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</v>
      </c>
      <c r="D29" s="30">
        <v>374.6</v>
      </c>
      <c r="E29" s="29">
        <f t="shared" si="7"/>
        <v>8.0658010895075682E-2</v>
      </c>
      <c r="F29" s="28">
        <f t="shared" si="8"/>
        <v>31.210850299927039</v>
      </c>
      <c r="G29" s="27" t="str">
        <f t="shared" si="9"/>
        <v>+</v>
      </c>
      <c r="H29" s="26">
        <f t="shared" si="10"/>
        <v>10488.800000000001</v>
      </c>
      <c r="I29" s="26">
        <f t="shared" si="11"/>
        <v>11691.584522352669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</v>
      </c>
      <c r="D30" s="30">
        <v>213.6</v>
      </c>
      <c r="E30" s="29">
        <f t="shared" si="7"/>
        <v>4.5991860990892058E-2</v>
      </c>
      <c r="F30" s="28">
        <f t="shared" si="8"/>
        <v>31.210850299927039</v>
      </c>
      <c r="G30" s="27" t="str">
        <f t="shared" si="9"/>
        <v>+</v>
      </c>
      <c r="H30" s="26">
        <f t="shared" si="10"/>
        <v>5980.8</v>
      </c>
      <c r="I30" s="26">
        <f t="shared" si="11"/>
        <v>6666.6376240644149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28.5</v>
      </c>
      <c r="D31" s="30">
        <v>78.599999999999994</v>
      </c>
      <c r="E31" s="29">
        <f t="shared" si="7"/>
        <v>1.692397131968219E-2</v>
      </c>
      <c r="F31" s="28">
        <f t="shared" si="8"/>
        <v>31.768186912425737</v>
      </c>
      <c r="G31" s="27" t="str">
        <f t="shared" si="9"/>
        <v>+</v>
      </c>
      <c r="H31" s="26">
        <f t="shared" si="10"/>
        <v>2240.1</v>
      </c>
      <c r="I31" s="26">
        <f t="shared" si="11"/>
        <v>2496.9794913166629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29.890623427885924</v>
      </c>
      <c r="D32" s="22">
        <f>SUM(D26:D31)</f>
        <v>2584.1</v>
      </c>
      <c r="E32" s="21">
        <f t="shared" si="7"/>
        <v>0.55640247184721048</v>
      </c>
      <c r="F32" s="20">
        <f>I32/D32</f>
        <v>33.318277613544268</v>
      </c>
      <c r="G32" s="19">
        <f>F32/C32-1</f>
        <v>0.11467322499739407</v>
      </c>
      <c r="H32" s="18">
        <f>SUM(H26:H31)</f>
        <v>77240.360000000015</v>
      </c>
      <c r="I32" s="18">
        <f>SUM(I26:I31)</f>
        <v>86097.761181159745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17.100000000000001</v>
      </c>
      <c r="D34" s="30">
        <v>678.8</v>
      </c>
      <c r="E34" s="29">
        <f t="shared" ref="E34:E40" si="13">D34/$D$48</f>
        <v>0.14615765562086858</v>
      </c>
      <c r="F34" s="28">
        <f t="shared" ref="F34:F39" si="14">C34-(C34*$E$6)</f>
        <v>19.060912147455443</v>
      </c>
      <c r="G34" s="27" t="str">
        <f t="shared" ref="G34:G39" si="15">IF(C34&gt;=F34,"-","+")</f>
        <v>+</v>
      </c>
      <c r="H34" s="26">
        <f t="shared" ref="H34:H39" si="16">C34*D34</f>
        <v>11607.48</v>
      </c>
      <c r="I34" s="26">
        <f t="shared" ref="I34:I39" si="17">F34*D34</f>
        <v>12938.547165692755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13.2</v>
      </c>
      <c r="D35" s="30"/>
      <c r="E35" s="29">
        <f t="shared" si="13"/>
        <v>0</v>
      </c>
      <c r="F35" s="28">
        <f t="shared" si="14"/>
        <v>14.713686569965605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11.815536184972379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</v>
      </c>
      <c r="D37" s="30"/>
      <c r="E37" s="29">
        <f t="shared" si="13"/>
        <v>0</v>
      </c>
      <c r="F37" s="28">
        <f t="shared" si="14"/>
        <v>31.210850299927039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</v>
      </c>
      <c r="D38" s="30"/>
      <c r="E38" s="29">
        <f t="shared" si="13"/>
        <v>0</v>
      </c>
      <c r="F38" s="28">
        <f t="shared" si="14"/>
        <v>31.210850299927039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</v>
      </c>
      <c r="D39" s="30"/>
      <c r="E39" s="29">
        <f t="shared" si="13"/>
        <v>0</v>
      </c>
      <c r="F39" s="28">
        <f t="shared" si="14"/>
        <v>32.325523524924435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17.100000000000001</v>
      </c>
      <c r="D40" s="22">
        <f>SUM(D34:D39)</f>
        <v>678.8</v>
      </c>
      <c r="E40" s="113">
        <f t="shared" si="13"/>
        <v>0.14615765562086858</v>
      </c>
      <c r="F40" s="20">
        <f>I40/D40</f>
        <v>19.060912147455443</v>
      </c>
      <c r="G40" s="19">
        <f>F40/C40-1</f>
        <v>0.1146732249973943</v>
      </c>
      <c r="H40" s="18">
        <f>SUM(H34:H39)</f>
        <v>11607.48</v>
      </c>
      <c r="I40" s="18">
        <f>SUM(I34:I39)</f>
        <v>12938.547165692755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1047</v>
      </c>
      <c r="E42" s="107">
        <f>D42/$D$48</f>
        <v>0.22543763322782764</v>
      </c>
      <c r="F42" s="28">
        <f>C42-(C42*$E$6)</f>
        <v>0.44586928999895775</v>
      </c>
      <c r="G42" s="27" t="str">
        <f>IF(C42&gt;=F42,"-","+")</f>
        <v>+</v>
      </c>
      <c r="H42" s="26">
        <f>C42*D42</f>
        <v>418.8</v>
      </c>
      <c r="I42" s="26">
        <f>F42*D42</f>
        <v>466.82514662890878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49.7</v>
      </c>
      <c r="E43" s="107">
        <f>D43/$D$48</f>
        <v>1.0701289753030597E-2</v>
      </c>
      <c r="F43" s="28">
        <f>C43-(C43*$E$6)</f>
        <v>0.44586928999895775</v>
      </c>
      <c r="G43" s="27" t="str">
        <f>IF(C43&gt;=F43,"-","+")</f>
        <v>+</v>
      </c>
      <c r="H43" s="26">
        <f>C43*D43</f>
        <v>19.880000000000003</v>
      </c>
      <c r="I43" s="26">
        <f>F43*D43</f>
        <v>22.1597037129482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7.9</v>
      </c>
      <c r="E44" s="107">
        <f>D44/$D$48</f>
        <v>1.7010098400189479E-3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8.6999999999999993</v>
      </c>
      <c r="E45" s="107">
        <f>D45/$D$48</f>
        <v>1.8732640010335247E-3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0.39403574957334048</v>
      </c>
      <c r="D46" s="22">
        <f>SUM(D41:D45)</f>
        <v>1113.3000000000002</v>
      </c>
      <c r="E46" s="113">
        <f>D46/$D$48</f>
        <v>0.23971319682191075</v>
      </c>
      <c r="F46" s="20">
        <f>I46/D46</f>
        <v>0.43922109974118112</v>
      </c>
      <c r="G46" s="19">
        <f>F46/C46-1</f>
        <v>0.11467322499739452</v>
      </c>
      <c r="H46" s="18">
        <f>SUM(H41:H44)</f>
        <v>438.68</v>
      </c>
      <c r="I46" s="18">
        <f>SUM(I41:I44)</f>
        <v>488.984850341857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91.527665518376836</v>
      </c>
      <c r="D48" s="13">
        <f>D24+D32+D40+D46</f>
        <v>4644.3</v>
      </c>
      <c r="E48" s="12">
        <f>SUM(E20:E46)/2</f>
        <v>0.99999999999999989</v>
      </c>
      <c r="F48" s="11">
        <f>I48/D48</f>
        <v>24.270000000000003</v>
      </c>
      <c r="G48" s="10"/>
      <c r="H48" s="9">
        <f>SUM(H20:H46)/2</f>
        <v>101121.26000000001</v>
      </c>
      <c r="I48" s="9">
        <f>SUM(I20:I46)/2</f>
        <v>112717.16100000002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4644.2999999999993</v>
      </c>
      <c r="E50" s="12">
        <f>D50/G2</f>
        <v>0.99999999999999978</v>
      </c>
      <c r="F50" s="11">
        <f>I50/D50</f>
        <v>24.27000000000001</v>
      </c>
      <c r="G50" s="10"/>
      <c r="H50" s="9">
        <f>H48+H19</f>
        <v>101121.26000000001</v>
      </c>
      <c r="I50" s="9">
        <f>I48+I19</f>
        <v>112717.16100000002</v>
      </c>
      <c r="J50" s="106">
        <f>D50-G2</f>
        <v>0</v>
      </c>
      <c r="K50" s="8"/>
    </row>
    <row r="51" spans="1:11" ht="23.25" x14ac:dyDescent="0.35">
      <c r="A51" s="174" t="s">
        <v>708</v>
      </c>
      <c r="B51" s="169"/>
      <c r="C51" s="170"/>
      <c r="G51" s="7"/>
      <c r="H51" s="6"/>
      <c r="I51" s="6">
        <f>+I50/D50</f>
        <v>24.27000000000001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697</v>
      </c>
      <c r="D1" s="100" t="s">
        <v>1</v>
      </c>
      <c r="E1" s="168" t="s">
        <v>706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704</v>
      </c>
      <c r="D2" s="96" t="s">
        <v>3</v>
      </c>
      <c r="E2" s="95" t="s">
        <v>107</v>
      </c>
      <c r="F2" s="94" t="s">
        <v>5</v>
      </c>
      <c r="G2" s="93">
        <v>3461.5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707</v>
      </c>
      <c r="D3" s="90" t="s">
        <v>7</v>
      </c>
      <c r="E3" s="89">
        <v>48</v>
      </c>
      <c r="F3" s="88" t="s">
        <v>8</v>
      </c>
      <c r="G3" s="87">
        <v>27.4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12</v>
      </c>
      <c r="D4" s="83" t="s">
        <v>11</v>
      </c>
      <c r="E4" s="82">
        <f>G2/E3</f>
        <v>72.114583333333329</v>
      </c>
      <c r="F4" s="81" t="s">
        <v>12</v>
      </c>
      <c r="G4" s="80">
        <f>G2*G3</f>
        <v>94845.099999999991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-4.7701548811551309E-2</v>
      </c>
      <c r="F6" s="69" t="s">
        <v>16</v>
      </c>
      <c r="G6" s="68">
        <f>(I50-I19)/(D50-(SUM(D42:D44)+D19))</f>
        <v>33.592512573492961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27.4</v>
      </c>
      <c r="D10" s="30"/>
      <c r="E10" s="29" t="e">
        <f t="shared" ref="E10:E19" si="1">D10/$D$19</f>
        <v>#DIV/0!</v>
      </c>
      <c r="F10" s="28">
        <f t="shared" ref="F10:F18" si="2">C10-(C10*$E$6)</f>
        <v>28.707022437436503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28.5</v>
      </c>
      <c r="D11" s="30"/>
      <c r="E11" s="29" t="e">
        <f t="shared" si="1"/>
        <v>#DIV/0!</v>
      </c>
      <c r="F11" s="28">
        <f t="shared" si="2"/>
        <v>29.859494141129211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26.1</v>
      </c>
      <c r="D12" s="30"/>
      <c r="E12" s="29" t="e">
        <f t="shared" si="1"/>
        <v>#DIV/0!</v>
      </c>
      <c r="F12" s="28">
        <f t="shared" si="2"/>
        <v>27.345010423981492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28.5</v>
      </c>
      <c r="D13" s="30"/>
      <c r="E13" s="29" t="e">
        <f t="shared" si="1"/>
        <v>#DIV/0!</v>
      </c>
      <c r="F13" s="28">
        <f t="shared" si="2"/>
        <v>29.859494141129211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31.9</v>
      </c>
      <c r="D14" s="30"/>
      <c r="E14" s="29" t="e">
        <f t="shared" si="1"/>
        <v>#DIV/0!</v>
      </c>
      <c r="F14" s="28">
        <f t="shared" si="2"/>
        <v>33.421679407088483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26.3</v>
      </c>
      <c r="D15" s="30"/>
      <c r="E15" s="29" t="e">
        <f t="shared" si="1"/>
        <v>#DIV/0!</v>
      </c>
      <c r="F15" s="28">
        <f t="shared" si="2"/>
        <v>27.554550733743799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</v>
      </c>
      <c r="D16" s="30"/>
      <c r="E16" s="29" t="e">
        <f t="shared" si="1"/>
        <v>#DIV/0!</v>
      </c>
      <c r="F16" s="28">
        <f t="shared" si="2"/>
        <v>37.717255757215845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</v>
      </c>
      <c r="D17" s="30"/>
      <c r="E17" s="29" t="e">
        <f t="shared" si="1"/>
        <v>#DIV/0!</v>
      </c>
      <c r="F17" s="28">
        <f t="shared" si="2"/>
        <v>55.528182087012219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46.4</v>
      </c>
      <c r="D18" s="30"/>
      <c r="E18" s="29" t="e">
        <f t="shared" si="1"/>
        <v>#DIV/0!</v>
      </c>
      <c r="F18" s="28">
        <f t="shared" si="2"/>
        <v>48.613351864855979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68.900000000000006</v>
      </c>
      <c r="D21" s="30">
        <v>43.3</v>
      </c>
      <c r="E21" s="29">
        <f>D21/$D$48</f>
        <v>1.2509027878087534E-2</v>
      </c>
      <c r="F21" s="28">
        <f>C21-(C21*$E$6)</f>
        <v>72.186636713115888</v>
      </c>
      <c r="G21" s="27" t="str">
        <f>IF(C21&gt;=F21,"-","+")</f>
        <v>+</v>
      </c>
      <c r="H21" s="26">
        <f>C21*D21</f>
        <v>2983.37</v>
      </c>
      <c r="I21" s="26">
        <f>F21*D21</f>
        <v>3125.6813696779177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46.3</v>
      </c>
      <c r="D22" s="30">
        <v>84</v>
      </c>
      <c r="E22" s="29">
        <f>D22/$D$48</f>
        <v>2.4266936299292215E-2</v>
      </c>
      <c r="F22" s="28">
        <f>C22-(C22*$E$6)</f>
        <v>48.50858170997482</v>
      </c>
      <c r="G22" s="27" t="str">
        <f>IF(C22&gt;=F22,"-","+")</f>
        <v>+</v>
      </c>
      <c r="H22" s="26">
        <f>C22*D22</f>
        <v>3889.2</v>
      </c>
      <c r="I22" s="26">
        <f>F22*D22</f>
        <v>4074.720863637885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42.2</v>
      </c>
      <c r="D23" s="30">
        <v>78.099999999999994</v>
      </c>
      <c r="E23" s="29">
        <f>D23/$D$48</f>
        <v>2.2562472916365737E-2</v>
      </c>
      <c r="F23" s="28">
        <f>C23-(C23*$E$6)</f>
        <v>44.213005359847472</v>
      </c>
      <c r="G23" s="27" t="str">
        <f>IF(C23&gt;=F23,"-","+")</f>
        <v>+</v>
      </c>
      <c r="H23" s="26">
        <f>C23*D23</f>
        <v>3295.82</v>
      </c>
      <c r="I23" s="26">
        <f>F23*D23</f>
        <v>3453.0357186040874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49.505306718597858</v>
      </c>
      <c r="D24" s="22">
        <f>SUM(D21:D23)</f>
        <v>205.39999999999998</v>
      </c>
      <c r="E24" s="21">
        <f>D24/$D$48</f>
        <v>5.9338437093745477E-2</v>
      </c>
      <c r="F24" s="20">
        <f>I24/D24</f>
        <v>51.866786523465876</v>
      </c>
      <c r="G24" s="19">
        <f>F24/C24-1</f>
        <v>4.7701548811551309E-2</v>
      </c>
      <c r="H24" s="18">
        <f>SUM(H21:H23)</f>
        <v>10168.39</v>
      </c>
      <c r="I24" s="18">
        <f>SUM(I21:I23)</f>
        <v>10653.43795191989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36.799999999999997</v>
      </c>
      <c r="D26" s="30">
        <f>203.2+402</f>
        <v>605.20000000000005</v>
      </c>
      <c r="E26" s="29">
        <f t="shared" ref="E26:E32" si="7">D26/$D$48</f>
        <v>0.1748374981944244</v>
      </c>
      <c r="F26" s="28">
        <f t="shared" ref="F26:F31" si="8">C26-(C26*$E$6)</f>
        <v>38.555416996265087</v>
      </c>
      <c r="G26" s="27" t="str">
        <f t="shared" ref="G26:G31" si="9">IF(C26&gt;=F26,"-","+")</f>
        <v>+</v>
      </c>
      <c r="H26" s="26">
        <f t="shared" ref="H26:H31" si="10">C26*D26</f>
        <v>22271.360000000001</v>
      </c>
      <c r="I26" s="26">
        <f t="shared" ref="I26:I31" si="11">F26*D26</f>
        <v>23333.738366139634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32.700000000000003</v>
      </c>
      <c r="D27" s="30">
        <v>574</v>
      </c>
      <c r="E27" s="29">
        <f t="shared" si="7"/>
        <v>0.16582406471183014</v>
      </c>
      <c r="F27" s="28">
        <f t="shared" si="8"/>
        <v>34.259840646137732</v>
      </c>
      <c r="G27" s="27" t="str">
        <f t="shared" si="9"/>
        <v>+</v>
      </c>
      <c r="H27" s="26">
        <f t="shared" si="10"/>
        <v>18769.800000000003</v>
      </c>
      <c r="I27" s="26">
        <f t="shared" si="11"/>
        <v>19665.14853088306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32.700000000000003</v>
      </c>
      <c r="D28" s="30">
        <v>288</v>
      </c>
      <c r="E28" s="29">
        <f t="shared" si="7"/>
        <v>8.3200924454716163E-2</v>
      </c>
      <c r="F28" s="28">
        <f t="shared" si="8"/>
        <v>34.259840646137732</v>
      </c>
      <c r="G28" s="27" t="str">
        <f t="shared" si="9"/>
        <v>+</v>
      </c>
      <c r="H28" s="26">
        <f t="shared" si="10"/>
        <v>9417.6</v>
      </c>
      <c r="I28" s="26">
        <f t="shared" si="11"/>
        <v>9866.8341060876664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31.6</v>
      </c>
      <c r="D29" s="30">
        <v>335</v>
      </c>
      <c r="E29" s="29">
        <f t="shared" si="7"/>
        <v>9.6778853098367756E-2</v>
      </c>
      <c r="F29" s="28">
        <f t="shared" si="8"/>
        <v>33.107368942445021</v>
      </c>
      <c r="G29" s="27" t="str">
        <f t="shared" si="9"/>
        <v>+</v>
      </c>
      <c r="H29" s="26">
        <f t="shared" si="10"/>
        <v>10586</v>
      </c>
      <c r="I29" s="26">
        <f t="shared" si="11"/>
        <v>11090.968595719081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31.6</v>
      </c>
      <c r="D30" s="30">
        <v>211.2</v>
      </c>
      <c r="E30" s="29">
        <f t="shared" si="7"/>
        <v>6.1014011266791852E-2</v>
      </c>
      <c r="F30" s="28">
        <f t="shared" si="8"/>
        <v>33.107368942445021</v>
      </c>
      <c r="G30" s="27" t="str">
        <f t="shared" si="9"/>
        <v>+</v>
      </c>
      <c r="H30" s="26">
        <f t="shared" si="10"/>
        <v>6673.92</v>
      </c>
      <c r="I30" s="26">
        <f t="shared" si="11"/>
        <v>6992.2763206443879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32.200000000000003</v>
      </c>
      <c r="D31" s="30">
        <v>57.6</v>
      </c>
      <c r="E31" s="29">
        <f t="shared" si="7"/>
        <v>1.6640184890943235E-2</v>
      </c>
      <c r="F31" s="28">
        <f t="shared" si="8"/>
        <v>33.735989871731952</v>
      </c>
      <c r="G31" s="27" t="str">
        <f t="shared" si="9"/>
        <v>+</v>
      </c>
      <c r="H31" s="26">
        <f t="shared" si="10"/>
        <v>1854.7200000000003</v>
      </c>
      <c r="I31" s="26">
        <f t="shared" si="11"/>
        <v>1943.1930166117604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33.594109126026076</v>
      </c>
      <c r="D32" s="22">
        <f>SUM(D26:D31)</f>
        <v>2071</v>
      </c>
      <c r="E32" s="21">
        <f t="shared" si="7"/>
        <v>0.59829553661707358</v>
      </c>
      <c r="F32" s="20">
        <f>I32/D32</f>
        <v>35.196600162281797</v>
      </c>
      <c r="G32" s="19">
        <f>F32/C32-1</f>
        <v>4.7701548811551531E-2</v>
      </c>
      <c r="H32" s="18">
        <f>SUM(H26:H31)</f>
        <v>69573.400000000009</v>
      </c>
      <c r="I32" s="18">
        <f>SUM(I26:I31)</f>
        <v>72892.158936085601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v>539.6</v>
      </c>
      <c r="E34" s="29">
        <f t="shared" ref="E34:E40" si="13">D34/$D$48</f>
        <v>0.15588617651307238</v>
      </c>
      <c r="F34" s="28">
        <f t="shared" ref="F34:F39" si="14">C34-(C34*$E$6)</f>
        <v>20.325410046944093</v>
      </c>
      <c r="G34" s="27" t="str">
        <f t="shared" ref="G34:G39" si="15">IF(C34&gt;=F34,"-","+")</f>
        <v>+</v>
      </c>
      <c r="H34" s="26">
        <f t="shared" ref="H34:H39" si="16">C34*D34</f>
        <v>10468.24</v>
      </c>
      <c r="I34" s="26">
        <f t="shared" ref="I34:I39" si="17">F34*D34</f>
        <v>10967.591261331034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/>
      <c r="E35" s="29">
        <f t="shared" si="13"/>
        <v>0</v>
      </c>
      <c r="F35" s="28">
        <f t="shared" si="14"/>
        <v>15.610753077292115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12.572418585738616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31.6</v>
      </c>
      <c r="D37" s="30"/>
      <c r="E37" s="29">
        <f t="shared" si="13"/>
        <v>0</v>
      </c>
      <c r="F37" s="28">
        <f t="shared" si="14"/>
        <v>33.107368942445021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31.6</v>
      </c>
      <c r="D38" s="30"/>
      <c r="E38" s="29">
        <f t="shared" si="13"/>
        <v>0</v>
      </c>
      <c r="F38" s="28">
        <f t="shared" si="14"/>
        <v>33.107368942445021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32.700000000000003</v>
      </c>
      <c r="D39" s="30"/>
      <c r="E39" s="29">
        <f t="shared" si="13"/>
        <v>0</v>
      </c>
      <c r="F39" s="28">
        <f t="shared" si="14"/>
        <v>34.259840646137732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19.399999999999999</v>
      </c>
      <c r="D40" s="22">
        <f>SUM(D34:D39)</f>
        <v>539.6</v>
      </c>
      <c r="E40" s="113">
        <f t="shared" si="13"/>
        <v>0.15588617651307238</v>
      </c>
      <c r="F40" s="20">
        <f>I40/D40</f>
        <v>20.325410046944093</v>
      </c>
      <c r="G40" s="19">
        <f>F40/C40-1</f>
        <v>4.7701548811551309E-2</v>
      </c>
      <c r="H40" s="18">
        <f>SUM(H34:H39)</f>
        <v>10468.24</v>
      </c>
      <c r="I40" s="18">
        <f>SUM(I34:I39)</f>
        <v>10967.591261331034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610</v>
      </c>
      <c r="E42" s="107">
        <f>D42/$D$48</f>
        <v>0.17622418026866965</v>
      </c>
      <c r="F42" s="28">
        <f>C42-(C42*$E$6)</f>
        <v>0.52385077440577565</v>
      </c>
      <c r="G42" s="27" t="str">
        <f>IF(C42&gt;=F42,"-","+")</f>
        <v>+</v>
      </c>
      <c r="H42" s="26">
        <f>C42*D42</f>
        <v>305</v>
      </c>
      <c r="I42" s="26">
        <f>F42*D42</f>
        <v>319.54897238752312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23.6</v>
      </c>
      <c r="E43" s="107">
        <f>D43/$D$48</f>
        <v>6.8178535317059081E-3</v>
      </c>
      <c r="F43" s="28">
        <f>C43-(C43*$E$6)</f>
        <v>0.52385077440577565</v>
      </c>
      <c r="G43" s="27" t="str">
        <f>IF(C43&gt;=F43,"-","+")</f>
        <v>+</v>
      </c>
      <c r="H43" s="26">
        <f>C43*D43</f>
        <v>11.8</v>
      </c>
      <c r="I43" s="26">
        <f>F43*D43</f>
        <v>12.362878275976307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4.5</v>
      </c>
      <c r="E44" s="107">
        <f>D44/$D$48</f>
        <v>1.30001444460494E-3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7.4</v>
      </c>
      <c r="E45" s="107">
        <f>D45/$D$48</f>
        <v>2.1378015311281236E-3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0.49078233927188231</v>
      </c>
      <c r="D46" s="22">
        <f>SUM(D41:D45)</f>
        <v>645.5</v>
      </c>
      <c r="E46" s="113">
        <f>D46/$D$48</f>
        <v>0.18647984977610862</v>
      </c>
      <c r="F46" s="20">
        <f>I46/D46</f>
        <v>0.51419341698450727</v>
      </c>
      <c r="G46" s="19">
        <f>F46/C46-1</f>
        <v>4.7701548811551087E-2</v>
      </c>
      <c r="H46" s="18">
        <f>SUM(H41:H44)</f>
        <v>316.8</v>
      </c>
      <c r="I46" s="18">
        <f>SUM(I41:I44)</f>
        <v>331.91185066349942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102.99019818389583</v>
      </c>
      <c r="D48" s="13">
        <f>D24+D32+D40+D46</f>
        <v>3461.5</v>
      </c>
      <c r="E48" s="12">
        <f>SUM(E20:E46)/2</f>
        <v>1</v>
      </c>
      <c r="F48" s="11">
        <f>I48/D48</f>
        <v>27.400000000000009</v>
      </c>
      <c r="G48" s="10"/>
      <c r="H48" s="9">
        <f>SUM(H20:H46)/2</f>
        <v>90526.829999999987</v>
      </c>
      <c r="I48" s="9">
        <f>SUM(I20:I46)/2</f>
        <v>94845.100000000035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3461.5</v>
      </c>
      <c r="E50" s="12">
        <f>D50/G2</f>
        <v>1</v>
      </c>
      <c r="F50" s="11">
        <f>I50/D50</f>
        <v>27.400000000000009</v>
      </c>
      <c r="G50" s="10"/>
      <c r="H50" s="9">
        <f>H48+H19</f>
        <v>90526.829999999987</v>
      </c>
      <c r="I50" s="9">
        <f>I48+I19</f>
        <v>94845.100000000035</v>
      </c>
      <c r="J50" s="106">
        <f>D50-G2</f>
        <v>0</v>
      </c>
      <c r="K50" s="8"/>
    </row>
    <row r="51" spans="1:11" ht="23.25" x14ac:dyDescent="0.35">
      <c r="A51" s="174" t="s">
        <v>709</v>
      </c>
      <c r="B51" s="169"/>
      <c r="C51" s="170"/>
      <c r="G51" s="7"/>
      <c r="H51" s="6"/>
      <c r="I51" s="6">
        <f>+I50/D50</f>
        <v>27.400000000000009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710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710</v>
      </c>
      <c r="D2" s="96" t="s">
        <v>3</v>
      </c>
      <c r="E2" s="95" t="s">
        <v>71</v>
      </c>
      <c r="F2" s="94" t="s">
        <v>5</v>
      </c>
      <c r="G2" s="93">
        <v>15853.1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200</v>
      </c>
      <c r="F3" s="88" t="s">
        <v>8</v>
      </c>
      <c r="G3" s="87">
        <v>28.6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79.265500000000003</v>
      </c>
      <c r="F4" s="81" t="s">
        <v>12</v>
      </c>
      <c r="G4" s="80">
        <f>G2*G3</f>
        <v>453398.66000000003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1.4377444918305393E-3</v>
      </c>
      <c r="F6" s="69" t="s">
        <v>16</v>
      </c>
      <c r="G6" s="68">
        <f>(I50-I19)/(D50-(SUM(D42:D44)+D19))</f>
        <v>33.967026265713727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28.6</v>
      </c>
      <c r="D10" s="30"/>
      <c r="E10" s="29" t="e">
        <f t="shared" ref="E10:E19" si="1">D10/$D$19</f>
        <v>#DIV/0!</v>
      </c>
      <c r="F10" s="28">
        <f t="shared" ref="F10:F18" si="2">C10-(C10*$E$6)</f>
        <v>28.558880507533647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29.8</v>
      </c>
      <c r="D11" s="30"/>
      <c r="E11" s="29" t="e">
        <f t="shared" si="1"/>
        <v>#DIV/0!</v>
      </c>
      <c r="F11" s="28">
        <f t="shared" si="2"/>
        <v>29.757155214143452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27.2</v>
      </c>
      <c r="D12" s="30"/>
      <c r="E12" s="29" t="e">
        <f t="shared" si="1"/>
        <v>#DIV/0!</v>
      </c>
      <c r="F12" s="28">
        <f t="shared" si="2"/>
        <v>27.16089334982221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29.8</v>
      </c>
      <c r="D13" s="30"/>
      <c r="E13" s="29" t="e">
        <f t="shared" si="1"/>
        <v>#DIV/0!</v>
      </c>
      <c r="F13" s="28">
        <f t="shared" si="2"/>
        <v>29.757155214143452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33.299999999999997</v>
      </c>
      <c r="D14" s="30"/>
      <c r="E14" s="29" t="e">
        <f t="shared" si="1"/>
        <v>#DIV/0!</v>
      </c>
      <c r="F14" s="28">
        <f t="shared" si="2"/>
        <v>33.25212310842204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27.5</v>
      </c>
      <c r="D15" s="30"/>
      <c r="E15" s="29" t="e">
        <f t="shared" si="1"/>
        <v>#DIV/0!</v>
      </c>
      <c r="F15" s="28">
        <f t="shared" si="2"/>
        <v>27.460462026474659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37.6</v>
      </c>
      <c r="D16" s="30"/>
      <c r="E16" s="29" t="e">
        <f t="shared" si="1"/>
        <v>#DIV/0!</v>
      </c>
      <c r="F16" s="28">
        <f t="shared" si="2"/>
        <v>37.545940807107172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55.3</v>
      </c>
      <c r="D17" s="30"/>
      <c r="E17" s="29" t="e">
        <f t="shared" si="1"/>
        <v>#DIV/0!</v>
      </c>
      <c r="F17" s="28">
        <f t="shared" si="2"/>
        <v>55.220492729601766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48.5</v>
      </c>
      <c r="D18" s="30"/>
      <c r="E18" s="29" t="e">
        <f t="shared" si="1"/>
        <v>#DIV/0!</v>
      </c>
      <c r="F18" s="28">
        <f t="shared" si="2"/>
        <v>48.430269392146222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71.900000000000006</v>
      </c>
      <c r="D21" s="30">
        <v>198.1</v>
      </c>
      <c r="E21" s="29">
        <f>D21/$D$48</f>
        <v>1.2495899881411953E-2</v>
      </c>
      <c r="F21" s="28">
        <f>C21-(C21*$E$6)</f>
        <v>71.796626171037389</v>
      </c>
      <c r="G21" s="27" t="str">
        <f>IF(C21&gt;=F21,"-","+")</f>
        <v>-</v>
      </c>
      <c r="H21" s="26">
        <f>C21*D21</f>
        <v>14243.390000000001</v>
      </c>
      <c r="I21" s="26">
        <f>F21*D21</f>
        <v>14222.911644482507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48.3</v>
      </c>
      <c r="D22" s="30">
        <v>452.2</v>
      </c>
      <c r="E22" s="29">
        <f>D22/$D$48</f>
        <v>2.8524209623293717E-2</v>
      </c>
      <c r="F22" s="28">
        <f>C22-(C22*$E$6)</f>
        <v>48.230556941044583</v>
      </c>
      <c r="G22" s="27" t="str">
        <f>IF(C22&gt;=F22,"-","+")</f>
        <v>-</v>
      </c>
      <c r="H22" s="26">
        <f>C22*D22</f>
        <v>21841.26</v>
      </c>
      <c r="I22" s="26">
        <f>F22*D22</f>
        <v>21809.857848740361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</v>
      </c>
      <c r="D23" s="30">
        <v>394.2</v>
      </c>
      <c r="E23" s="29">
        <f>D23/$D$48</f>
        <v>2.4865642267807127E-2</v>
      </c>
      <c r="F23" s="28">
        <f>C23-(C23*$E$6)</f>
        <v>43.936739242359458</v>
      </c>
      <c r="G23" s="27" t="str">
        <f>IF(C23&gt;=F23,"-","+")</f>
        <v>-</v>
      </c>
      <c r="H23" s="26">
        <f>C23*D23</f>
        <v>17344.8</v>
      </c>
      <c r="I23" s="26">
        <f>F23*D23</f>
        <v>17319.862609338099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51.153135471517473</v>
      </c>
      <c r="D24" s="22">
        <f>SUM(D21:D23)</f>
        <v>1044.5</v>
      </c>
      <c r="E24" s="21">
        <f>D24/$D$48</f>
        <v>6.5885751772512796E-2</v>
      </c>
      <c r="F24" s="20">
        <f>I24/D24</f>
        <v>51.07959033275344</v>
      </c>
      <c r="G24" s="19">
        <f>F24/C24-1</f>
        <v>-1.4377444918304283E-3</v>
      </c>
      <c r="H24" s="18">
        <f>SUM(H21:H23)</f>
        <v>53429.45</v>
      </c>
      <c r="I24" s="18">
        <f>SUM(I21:I23)</f>
        <v>53352.632102560965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38.4</v>
      </c>
      <c r="D26" s="30">
        <v>3000.5</v>
      </c>
      <c r="E26" s="29">
        <f t="shared" ref="E26:E32" si="7">D26/$D$48</f>
        <v>0.1892677818989226</v>
      </c>
      <c r="F26" s="28">
        <f t="shared" ref="F26:F31" si="8">C26-(C26*$E$6)</f>
        <v>38.344790611513709</v>
      </c>
      <c r="G26" s="27" t="str">
        <f t="shared" ref="G26:G31" si="9">IF(C26&gt;=F26,"-","+")</f>
        <v>-</v>
      </c>
      <c r="H26" s="26">
        <f t="shared" ref="H26:H31" si="10">C26*D26</f>
        <v>115219.2</v>
      </c>
      <c r="I26" s="26">
        <f t="shared" ref="I26:I31" si="11">F26*D26</f>
        <v>115053.54422984688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34.200000000000003</v>
      </c>
      <c r="D27" s="30">
        <v>2282.1</v>
      </c>
      <c r="E27" s="29">
        <f t="shared" si="7"/>
        <v>0.1439520096888956</v>
      </c>
      <c r="F27" s="28">
        <f t="shared" si="8"/>
        <v>34.1508291383794</v>
      </c>
      <c r="G27" s="27" t="str">
        <f t="shared" si="9"/>
        <v>-</v>
      </c>
      <c r="H27" s="26">
        <f t="shared" si="10"/>
        <v>78047.820000000007</v>
      </c>
      <c r="I27" s="26">
        <f t="shared" si="11"/>
        <v>77935.60717669563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34.200000000000003</v>
      </c>
      <c r="D28" s="30">
        <v>1835.6</v>
      </c>
      <c r="E28" s="29">
        <f t="shared" si="7"/>
        <v>0.11578734892639971</v>
      </c>
      <c r="F28" s="28">
        <f t="shared" si="8"/>
        <v>34.1508291383794</v>
      </c>
      <c r="G28" s="27" t="str">
        <f t="shared" si="9"/>
        <v>-</v>
      </c>
      <c r="H28" s="26">
        <f t="shared" si="10"/>
        <v>62777.520000000004</v>
      </c>
      <c r="I28" s="26">
        <f t="shared" si="11"/>
        <v>62687.261966409227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</v>
      </c>
      <c r="D29" s="30">
        <v>1448</v>
      </c>
      <c r="E29" s="29">
        <f t="shared" si="7"/>
        <v>9.1338026392147956E-2</v>
      </c>
      <c r="F29" s="28">
        <f t="shared" si="8"/>
        <v>32.952554431769592</v>
      </c>
      <c r="G29" s="27" t="str">
        <f t="shared" si="9"/>
        <v>-</v>
      </c>
      <c r="H29" s="26">
        <f t="shared" si="10"/>
        <v>47784</v>
      </c>
      <c r="I29" s="26">
        <f t="shared" si="11"/>
        <v>47715.298817202369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</v>
      </c>
      <c r="D30" s="30">
        <v>1103.9000000000001</v>
      </c>
      <c r="E30" s="29">
        <f t="shared" si="7"/>
        <v>6.9632629374511146E-2</v>
      </c>
      <c r="F30" s="28">
        <f t="shared" si="8"/>
        <v>32.952554431769592</v>
      </c>
      <c r="G30" s="27" t="str">
        <f t="shared" si="9"/>
        <v>-</v>
      </c>
      <c r="H30" s="26">
        <f t="shared" si="10"/>
        <v>36428.700000000004</v>
      </c>
      <c r="I30" s="26">
        <f t="shared" si="11"/>
        <v>36376.324837230459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33.6</v>
      </c>
      <c r="D31" s="30">
        <v>449.3</v>
      </c>
      <c r="E31" s="29">
        <f t="shared" si="7"/>
        <v>2.834128125551939E-2</v>
      </c>
      <c r="F31" s="28">
        <f t="shared" si="8"/>
        <v>33.551691785074496</v>
      </c>
      <c r="G31" s="27" t="str">
        <f t="shared" si="9"/>
        <v>-</v>
      </c>
      <c r="H31" s="26">
        <f t="shared" si="10"/>
        <v>15096.480000000001</v>
      </c>
      <c r="I31" s="26">
        <f t="shared" si="11"/>
        <v>15074.775119033971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35.116085933948661</v>
      </c>
      <c r="D32" s="22">
        <f>SUM(D26:D31)</f>
        <v>10119.4</v>
      </c>
      <c r="E32" s="21">
        <f t="shared" si="7"/>
        <v>0.63831907753639638</v>
      </c>
      <c r="F32" s="20">
        <f>I32/D32</f>
        <v>35.065597974822474</v>
      </c>
      <c r="G32" s="19">
        <f>F32/C32-1</f>
        <v>-1.4377444918306503E-3</v>
      </c>
      <c r="H32" s="18">
        <f>SUM(H26:H31)</f>
        <v>355353.72000000003</v>
      </c>
      <c r="I32" s="18">
        <f>SUM(I26:I31)</f>
        <v>354842.81214641855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20.2</v>
      </c>
      <c r="D34" s="30">
        <v>2179</v>
      </c>
      <c r="E34" s="29">
        <f t="shared" ref="E34:E40" si="13">D34/$D$48</f>
        <v>0.13744859082078065</v>
      </c>
      <c r="F34" s="28">
        <f t="shared" ref="F34:F39" si="14">C34-(C34*$E$6)</f>
        <v>20.170957561265023</v>
      </c>
      <c r="G34" s="27" t="str">
        <f t="shared" ref="G34:G39" si="15">IF(C34&gt;=F34,"-","+")</f>
        <v>-</v>
      </c>
      <c r="H34" s="26">
        <f t="shared" ref="H34:H39" si="16">C34*D34</f>
        <v>44015.799999999996</v>
      </c>
      <c r="I34" s="26">
        <f t="shared" ref="I34:I39" si="17">F34*D34</f>
        <v>43952.516525996485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15.477714960376627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12.5</v>
      </c>
      <c r="D36" s="30"/>
      <c r="E36" s="29">
        <f t="shared" si="13"/>
        <v>0</v>
      </c>
      <c r="F36" s="28">
        <f t="shared" si="14"/>
        <v>12.482028193852118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</v>
      </c>
      <c r="D37" s="30"/>
      <c r="E37" s="29">
        <f t="shared" si="13"/>
        <v>0</v>
      </c>
      <c r="F37" s="28">
        <f t="shared" si="14"/>
        <v>32.952554431769592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</v>
      </c>
      <c r="D38" s="30"/>
      <c r="E38" s="29">
        <f t="shared" si="13"/>
        <v>0</v>
      </c>
      <c r="F38" s="28">
        <f t="shared" si="14"/>
        <v>32.952554431769592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34.200000000000003</v>
      </c>
      <c r="D39" s="30"/>
      <c r="E39" s="29">
        <f t="shared" si="13"/>
        <v>0</v>
      </c>
      <c r="F39" s="28">
        <f t="shared" si="14"/>
        <v>34.1508291383794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20.2</v>
      </c>
      <c r="D40" s="22">
        <f>SUM(D34:D39)</f>
        <v>2179</v>
      </c>
      <c r="E40" s="113">
        <f t="shared" si="13"/>
        <v>0.13744859082078065</v>
      </c>
      <c r="F40" s="20">
        <f>I40/D40</f>
        <v>20.170957561265023</v>
      </c>
      <c r="G40" s="19">
        <f>F40/C40-1</f>
        <v>-1.4377444918305393E-3</v>
      </c>
      <c r="H40" s="18">
        <f>SUM(H34:H39)</f>
        <v>44015.799999999996</v>
      </c>
      <c r="I40" s="18">
        <f>SUM(I34:I39)</f>
        <v>43952.516525996485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2369</v>
      </c>
      <c r="E42" s="107">
        <f>D42/$D$48</f>
        <v>0.14943355284737467</v>
      </c>
      <c r="F42" s="28">
        <f>C42-(C42*$E$6)</f>
        <v>0.49928112775408473</v>
      </c>
      <c r="G42" s="27" t="str">
        <f>IF(C42&gt;=F42,"-","+")</f>
        <v>-</v>
      </c>
      <c r="H42" s="26">
        <f>C42*D42</f>
        <v>1184.5</v>
      </c>
      <c r="I42" s="26">
        <f>F42*D42</f>
        <v>1182.7969916494267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136</v>
      </c>
      <c r="E43" s="107">
        <f>D43/$D$48</f>
        <v>8.5787096611409687E-3</v>
      </c>
      <c r="F43" s="28">
        <f>C43-(C43*$E$6)</f>
        <v>0.49928112775408473</v>
      </c>
      <c r="G43" s="27" t="str">
        <f>IF(C43&gt;=F43,"-","+")</f>
        <v>-</v>
      </c>
      <c r="H43" s="26">
        <f>C43*D43</f>
        <v>68</v>
      </c>
      <c r="I43" s="26">
        <f>F43*D43</f>
        <v>67.902233374555522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3.3431736179446417E-4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0.49894434928096237</v>
      </c>
      <c r="D46" s="22">
        <f>SUM(D41:D45)</f>
        <v>2510.3000000000002</v>
      </c>
      <c r="E46" s="113">
        <f>D46/$D$48</f>
        <v>0.15834657987031009</v>
      </c>
      <c r="F46" s="20">
        <f>I46/D46</f>
        <v>0.49822699479105376</v>
      </c>
      <c r="G46" s="19">
        <f>F46/C46-1</f>
        <v>-1.4377444918304283E-3</v>
      </c>
      <c r="H46" s="18">
        <f>SUM(H41:H44)</f>
        <v>1252.5</v>
      </c>
      <c r="I46" s="18">
        <f>SUM(I41:I44)</f>
        <v>1250.6992250239823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106.9681657547471</v>
      </c>
      <c r="D48" s="13">
        <f>D24+D32+D40+D46</f>
        <v>15853.2</v>
      </c>
      <c r="E48" s="12">
        <f>SUM(E20:E46)/2</f>
        <v>1</v>
      </c>
      <c r="F48" s="11">
        <f>I48/D48</f>
        <v>28.599819594782122</v>
      </c>
      <c r="G48" s="10"/>
      <c r="H48" s="9">
        <f>SUM(H20:H46)/2</f>
        <v>454051.47000000009</v>
      </c>
      <c r="I48" s="9">
        <f>SUM(I20:I46)/2</f>
        <v>453398.66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15853.199999999999</v>
      </c>
      <c r="E50" s="12">
        <f>D50/G2</f>
        <v>1.0000063079145403</v>
      </c>
      <c r="F50" s="11">
        <f>I50/D50</f>
        <v>28.599819594782126</v>
      </c>
      <c r="G50" s="10"/>
      <c r="H50" s="9">
        <f>H48+H19</f>
        <v>454051.47000000009</v>
      </c>
      <c r="I50" s="9">
        <f>I48+I19</f>
        <v>453398.66</v>
      </c>
      <c r="J50" s="106">
        <f>D50-G2</f>
        <v>9.9999999998544808E-2</v>
      </c>
      <c r="K50" s="8"/>
    </row>
    <row r="51" spans="1:11" ht="23.25" x14ac:dyDescent="0.35">
      <c r="A51" s="174" t="s">
        <v>711</v>
      </c>
      <c r="B51" s="169"/>
      <c r="C51" s="170"/>
      <c r="G51" s="7"/>
      <c r="H51" s="6"/>
      <c r="I51" s="6">
        <f>+I50/D50</f>
        <v>28.599819594782126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>
    <tabColor rgb="FF92D050"/>
  </sheetPr>
  <dimension ref="A1:K56"/>
  <sheetViews>
    <sheetView topLeftCell="A3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710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710</v>
      </c>
      <c r="D2" s="96" t="s">
        <v>3</v>
      </c>
      <c r="E2" s="95" t="s">
        <v>71</v>
      </c>
      <c r="F2" s="94" t="s">
        <v>5</v>
      </c>
      <c r="G2" s="93">
        <v>6130.6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72</v>
      </c>
      <c r="F3" s="88" t="s">
        <v>8</v>
      </c>
      <c r="G3" s="87">
        <v>28.6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85.147222222222226</v>
      </c>
      <c r="F4" s="81" t="s">
        <v>12</v>
      </c>
      <c r="G4" s="80">
        <f>G2*G3</f>
        <v>175335.16000000003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-2.2408949211684348E-2</v>
      </c>
      <c r="F6" s="69" t="s">
        <v>16</v>
      </c>
      <c r="G6" s="68">
        <f>(I50-I19)/(D50-(SUM(D42:D44)+D19))</f>
        <v>34.134785599696897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28.6</v>
      </c>
      <c r="D10" s="30"/>
      <c r="E10" s="29">
        <f t="shared" ref="E10:E19" si="1">D10/$D$19</f>
        <v>0</v>
      </c>
      <c r="F10" s="28">
        <f t="shared" ref="F10:F18" si="2">C10-(C10*$E$6)</f>
        <v>29.240895947454174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29.8</v>
      </c>
      <c r="D11" s="30"/>
      <c r="E11" s="29">
        <f t="shared" si="1"/>
        <v>0</v>
      </c>
      <c r="F11" s="28">
        <f t="shared" si="2"/>
        <v>30.467786686508195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27.2</v>
      </c>
      <c r="D12" s="30"/>
      <c r="E12" s="29">
        <f t="shared" si="1"/>
        <v>0</v>
      </c>
      <c r="F12" s="28">
        <f t="shared" si="2"/>
        <v>27.809523418557813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29.8</v>
      </c>
      <c r="D13" s="30"/>
      <c r="E13" s="29">
        <f t="shared" si="1"/>
        <v>0</v>
      </c>
      <c r="F13" s="28">
        <f t="shared" si="2"/>
        <v>30.467786686508195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33.299999999999997</v>
      </c>
      <c r="D14" s="30">
        <v>172</v>
      </c>
      <c r="E14" s="29">
        <f t="shared" si="1"/>
        <v>1</v>
      </c>
      <c r="F14" s="28">
        <f t="shared" si="2"/>
        <v>34.046218008749086</v>
      </c>
      <c r="G14" s="27" t="str">
        <f t="shared" si="3"/>
        <v>+</v>
      </c>
      <c r="H14" s="34">
        <f t="shared" si="4"/>
        <v>5727.5999999999995</v>
      </c>
      <c r="I14" s="34">
        <f t="shared" si="5"/>
        <v>5855.9494975048428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27.5</v>
      </c>
      <c r="D15" s="30"/>
      <c r="E15" s="29">
        <f t="shared" si="1"/>
        <v>0</v>
      </c>
      <c r="F15" s="28">
        <f t="shared" si="2"/>
        <v>28.11624610332132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37.6</v>
      </c>
      <c r="D16" s="30"/>
      <c r="E16" s="29">
        <f t="shared" si="1"/>
        <v>0</v>
      </c>
      <c r="F16" s="28">
        <f t="shared" si="2"/>
        <v>38.442576490359336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55.3</v>
      </c>
      <c r="D17" s="30"/>
      <c r="E17" s="29">
        <f t="shared" si="1"/>
        <v>0</v>
      </c>
      <c r="F17" s="28">
        <f t="shared" si="2"/>
        <v>56.539214891406139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48.5</v>
      </c>
      <c r="D18" s="30"/>
      <c r="E18" s="29">
        <f t="shared" si="1"/>
        <v>0</v>
      </c>
      <c r="F18" s="28">
        <f t="shared" si="2"/>
        <v>49.586834036766689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33.299999999999997</v>
      </c>
      <c r="D19" s="49">
        <f>SUM(D10:D18)</f>
        <v>172</v>
      </c>
      <c r="E19" s="48">
        <f t="shared" si="1"/>
        <v>1</v>
      </c>
      <c r="F19" s="47">
        <f>I19/D19</f>
        <v>34.046218008749086</v>
      </c>
      <c r="G19" s="46">
        <f>F19/C19-1</f>
        <v>2.2408949211684348E-2</v>
      </c>
      <c r="H19" s="9">
        <f>SUM(H10:H18)</f>
        <v>5727.5999999999995</v>
      </c>
      <c r="I19" s="9">
        <f>SUM(I10:I18)</f>
        <v>5855.9494975048428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71.900000000000006</v>
      </c>
      <c r="D21" s="30">
        <v>43.3</v>
      </c>
      <c r="E21" s="29">
        <f>D21/$D$48</f>
        <v>7.2668076393783768E-3</v>
      </c>
      <c r="F21" s="28">
        <f>C21-(C21*$E$6)</f>
        <v>73.511203448320117</v>
      </c>
      <c r="G21" s="27" t="str">
        <f>IF(C21&gt;=F21,"-","+")</f>
        <v>+</v>
      </c>
      <c r="H21" s="26">
        <f>C21*D21</f>
        <v>3113.27</v>
      </c>
      <c r="I21" s="26">
        <f>F21*D21</f>
        <v>3183.0351093122608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48.3</v>
      </c>
      <c r="D22" s="30">
        <v>197.5</v>
      </c>
      <c r="E22" s="29">
        <f>D22/$D$48</f>
        <v>3.3145369717718927E-2</v>
      </c>
      <c r="F22" s="28">
        <f>C22-(C22*$E$6)</f>
        <v>49.382352246924349</v>
      </c>
      <c r="G22" s="27" t="str">
        <f>IF(C22&gt;=F22,"-","+")</f>
        <v>+</v>
      </c>
      <c r="H22" s="26">
        <f>C22*D22</f>
        <v>9539.25</v>
      </c>
      <c r="I22" s="26">
        <f>F22*D22</f>
        <v>9753.0145687675595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</v>
      </c>
      <c r="D23" s="30">
        <v>119.4</v>
      </c>
      <c r="E23" s="29">
        <f>D23/$D$48</f>
        <v>2.0038264021750074E-2</v>
      </c>
      <c r="F23" s="28">
        <f>C23-(C23*$E$6)</f>
        <v>44.985993765314113</v>
      </c>
      <c r="G23" s="27" t="str">
        <f>IF(C23&gt;=F23,"-","+")</f>
        <v>+</v>
      </c>
      <c r="H23" s="26">
        <f>C23*D23</f>
        <v>5253.6</v>
      </c>
      <c r="I23" s="26">
        <f>F23*D23</f>
        <v>5371.3276555785051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49.711604664075516</v>
      </c>
      <c r="D24" s="22">
        <f>SUM(D21:D23)</f>
        <v>360.20000000000005</v>
      </c>
      <c r="E24" s="21">
        <f>D24/$D$48</f>
        <v>6.0450441378847385E-2</v>
      </c>
      <c r="F24" s="20">
        <f>I24/D24</f>
        <v>50.825589488224104</v>
      </c>
      <c r="G24" s="19">
        <f>F24/C24-1</f>
        <v>2.2408949211684126E-2</v>
      </c>
      <c r="H24" s="18">
        <f>SUM(H21:H23)</f>
        <v>17906.120000000003</v>
      </c>
      <c r="I24" s="18">
        <f>SUM(I21:I23)</f>
        <v>18307.377333658325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38.4</v>
      </c>
      <c r="D26" s="30">
        <f>153.2+47.6+795.7+40</f>
        <v>1036.5</v>
      </c>
      <c r="E26" s="29">
        <f t="shared" ref="E26:E32" si="7">D26/$D$48</f>
        <v>0.1739502567717249</v>
      </c>
      <c r="F26" s="28">
        <f t="shared" ref="F26:F31" si="8">C26-(C26*$E$6)</f>
        <v>39.260503649728676</v>
      </c>
      <c r="G26" s="27" t="str">
        <f t="shared" ref="G26:G31" si="9">IF(C26&gt;=F26,"-","+")</f>
        <v>+</v>
      </c>
      <c r="H26" s="26">
        <f t="shared" ref="H26:H31" si="10">C26*D26</f>
        <v>39801.599999999999</v>
      </c>
      <c r="I26" s="26">
        <f t="shared" ref="I26:I31" si="11">F26*D26</f>
        <v>40693.51203294377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34.200000000000003</v>
      </c>
      <c r="D27" s="30">
        <v>902.6</v>
      </c>
      <c r="E27" s="29">
        <f t="shared" si="7"/>
        <v>0.15147853522639546</v>
      </c>
      <c r="F27" s="28">
        <f t="shared" si="8"/>
        <v>34.966386063039607</v>
      </c>
      <c r="G27" s="27" t="str">
        <f t="shared" si="9"/>
        <v>+</v>
      </c>
      <c r="H27" s="26">
        <f t="shared" si="10"/>
        <v>30868.920000000002</v>
      </c>
      <c r="I27" s="26">
        <f t="shared" si="11"/>
        <v>31560.660060499551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34.200000000000003</v>
      </c>
      <c r="D28" s="30">
        <v>672.4</v>
      </c>
      <c r="E28" s="29">
        <f t="shared" si="7"/>
        <v>0.11284529923136306</v>
      </c>
      <c r="F28" s="28">
        <f t="shared" si="8"/>
        <v>34.966386063039607</v>
      </c>
      <c r="G28" s="27" t="str">
        <f t="shared" si="9"/>
        <v>+</v>
      </c>
      <c r="H28" s="26">
        <f t="shared" si="10"/>
        <v>22996.080000000002</v>
      </c>
      <c r="I28" s="26">
        <f t="shared" si="11"/>
        <v>23511.39798878783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</v>
      </c>
      <c r="D29" s="30">
        <v>608.4</v>
      </c>
      <c r="E29" s="29">
        <f t="shared" si="7"/>
        <v>0.10210452119625414</v>
      </c>
      <c r="F29" s="28">
        <f t="shared" si="8"/>
        <v>33.739495323985587</v>
      </c>
      <c r="G29" s="27" t="str">
        <f t="shared" si="9"/>
        <v>+</v>
      </c>
      <c r="H29" s="26">
        <f t="shared" si="10"/>
        <v>20077.2</v>
      </c>
      <c r="I29" s="26">
        <f t="shared" si="11"/>
        <v>20527.108955112832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</v>
      </c>
      <c r="D30" s="30">
        <v>335</v>
      </c>
      <c r="E30" s="29">
        <f t="shared" si="7"/>
        <v>5.6221260027523243E-2</v>
      </c>
      <c r="F30" s="28">
        <f t="shared" si="8"/>
        <v>33.739495323985587</v>
      </c>
      <c r="G30" s="27" t="str">
        <f t="shared" si="9"/>
        <v>+</v>
      </c>
      <c r="H30" s="26">
        <f t="shared" si="10"/>
        <v>11055</v>
      </c>
      <c r="I30" s="26">
        <f t="shared" si="11"/>
        <v>11302.730933535171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33.6</v>
      </c>
      <c r="D31" s="30">
        <f>34.4+74.4</f>
        <v>108.80000000000001</v>
      </c>
      <c r="E31" s="29">
        <f t="shared" si="7"/>
        <v>1.8259322659685162E-2</v>
      </c>
      <c r="F31" s="28">
        <f t="shared" si="8"/>
        <v>34.352940693512593</v>
      </c>
      <c r="G31" s="27" t="str">
        <f t="shared" si="9"/>
        <v>+</v>
      </c>
      <c r="H31" s="26">
        <f t="shared" si="10"/>
        <v>3655.6800000000007</v>
      </c>
      <c r="I31" s="26">
        <f t="shared" si="11"/>
        <v>3737.5999474541704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35.061407866364604</v>
      </c>
      <c r="D32" s="22">
        <f>SUM(D26:D31)</f>
        <v>3663.7000000000003</v>
      </c>
      <c r="E32" s="21">
        <f t="shared" si="7"/>
        <v>0.61485919511294596</v>
      </c>
      <c r="F32" s="20">
        <f>I32/D32</f>
        <v>35.847097174532124</v>
      </c>
      <c r="G32" s="19">
        <f>F32/C32-1</f>
        <v>2.240894921168457E-2</v>
      </c>
      <c r="H32" s="18">
        <f>SUM(H26:H31)</f>
        <v>128454.48000000001</v>
      </c>
      <c r="I32" s="18">
        <f>SUM(I26:I31)</f>
        <v>131333.00991833335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20.2</v>
      </c>
      <c r="D34" s="30">
        <v>936</v>
      </c>
      <c r="E34" s="29">
        <f t="shared" ref="E34:E40" si="13">D34/$D$48</f>
        <v>0.15708387876346791</v>
      </c>
      <c r="F34" s="28">
        <f t="shared" ref="F34:F39" si="14">C34-(C34*$E$6)</f>
        <v>20.652660774076022</v>
      </c>
      <c r="G34" s="27" t="str">
        <f t="shared" ref="G34:G39" si="15">IF(C34&gt;=F34,"-","+")</f>
        <v>+</v>
      </c>
      <c r="H34" s="26">
        <f t="shared" ref="H34:H39" si="16">C34*D34</f>
        <v>18907.2</v>
      </c>
      <c r="I34" s="26">
        <f t="shared" ref="I34:I39" si="17">F34*D34</f>
        <v>19330.890484535157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15.847338712781108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12.5</v>
      </c>
      <c r="D36" s="30"/>
      <c r="E36" s="29">
        <f t="shared" si="13"/>
        <v>0</v>
      </c>
      <c r="F36" s="28">
        <f t="shared" si="14"/>
        <v>12.780111865146054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</v>
      </c>
      <c r="D37" s="30"/>
      <c r="E37" s="29">
        <f t="shared" si="13"/>
        <v>0</v>
      </c>
      <c r="F37" s="28">
        <f t="shared" si="14"/>
        <v>33.739495323985587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</v>
      </c>
      <c r="D38" s="30"/>
      <c r="E38" s="29">
        <f t="shared" si="13"/>
        <v>0</v>
      </c>
      <c r="F38" s="28">
        <f t="shared" si="14"/>
        <v>33.739495323985587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34.200000000000003</v>
      </c>
      <c r="D39" s="30"/>
      <c r="E39" s="29">
        <f t="shared" si="13"/>
        <v>0</v>
      </c>
      <c r="F39" s="28">
        <f t="shared" si="14"/>
        <v>34.966386063039607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20.2</v>
      </c>
      <c r="D40" s="22">
        <f>SUM(D34:D39)</f>
        <v>936</v>
      </c>
      <c r="E40" s="113">
        <f t="shared" si="13"/>
        <v>0.15708387876346791</v>
      </c>
      <c r="F40" s="20">
        <f>I40/D40</f>
        <v>20.652660774076022</v>
      </c>
      <c r="G40" s="19">
        <f>F40/C40-1</f>
        <v>2.2408949211684348E-2</v>
      </c>
      <c r="H40" s="18">
        <f>SUM(H34:H39)</f>
        <v>18907.2</v>
      </c>
      <c r="I40" s="18">
        <f>SUM(I34:I39)</f>
        <v>19330.890484535157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968</v>
      </c>
      <c r="E42" s="107">
        <f>D42/$D$48</f>
        <v>0.16245426778102237</v>
      </c>
      <c r="F42" s="28">
        <f>C42-(C42*$E$6)</f>
        <v>0.51120447460584217</v>
      </c>
      <c r="G42" s="27" t="str">
        <f>IF(C42&gt;=F42,"-","+")</f>
        <v>+</v>
      </c>
      <c r="H42" s="26">
        <f>C42*D42</f>
        <v>484</v>
      </c>
      <c r="I42" s="26">
        <f>F42*D42</f>
        <v>494.84593141845522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f>25.6</f>
        <v>25.6</v>
      </c>
      <c r="E43" s="107">
        <f>D43/$D$48</f>
        <v>4.2963112140435673E-3</v>
      </c>
      <c r="F43" s="28">
        <f>C43-(C43*$E$6)</f>
        <v>0.51120447460584217</v>
      </c>
      <c r="G43" s="27" t="str">
        <f>IF(C43&gt;=F43,"-","+")</f>
        <v>+</v>
      </c>
      <c r="H43" s="26">
        <f>C43*D43</f>
        <v>12.8</v>
      </c>
      <c r="I43" s="26">
        <f>F43*D43</f>
        <v>13.086834549909561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8.5590574967274176E-4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0.49744668068489034</v>
      </c>
      <c r="D46" s="22">
        <f>SUM(D41:D45)</f>
        <v>998.7</v>
      </c>
      <c r="E46" s="113">
        <f>D46/$D$48</f>
        <v>0.16760648474473869</v>
      </c>
      <c r="F46" s="20">
        <f>I46/D46</f>
        <v>0.50859393808787901</v>
      </c>
      <c r="G46" s="19">
        <f>F46/C46-1</f>
        <v>2.2408949211684348E-2</v>
      </c>
      <c r="H46" s="18">
        <f>SUM(H41:H44)</f>
        <v>496.8</v>
      </c>
      <c r="I46" s="18">
        <f>SUM(I41:I44)</f>
        <v>507.93276596836478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105.47045921112502</v>
      </c>
      <c r="D48" s="13">
        <f>D24+D32+D40+D46</f>
        <v>5958.6</v>
      </c>
      <c r="E48" s="12">
        <f>SUM(E20:E46)/2</f>
        <v>0.99999999999999989</v>
      </c>
      <c r="F48" s="11">
        <f>I48/D48</f>
        <v>28.44279033707501</v>
      </c>
      <c r="G48" s="10"/>
      <c r="H48" s="9">
        <f>SUM(H20:H46)/2</f>
        <v>165764.6</v>
      </c>
      <c r="I48" s="9">
        <f>SUM(I20:I46)/2</f>
        <v>169479.21050249517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6130.6000000000013</v>
      </c>
      <c r="E50" s="12">
        <f>D50/G2</f>
        <v>1.0000000000000002</v>
      </c>
      <c r="F50" s="11">
        <f>I50/D50</f>
        <v>28.599999999999994</v>
      </c>
      <c r="G50" s="10"/>
      <c r="H50" s="9">
        <f>H48+H19</f>
        <v>171492.2</v>
      </c>
      <c r="I50" s="9">
        <f>I48+I19</f>
        <v>175335.16</v>
      </c>
      <c r="J50" s="106">
        <f>D50-G2</f>
        <v>0</v>
      </c>
      <c r="K50" s="8"/>
    </row>
    <row r="51" spans="1:11" ht="23.25" x14ac:dyDescent="0.35">
      <c r="A51" s="174" t="s">
        <v>712</v>
      </c>
      <c r="B51" s="169"/>
      <c r="C51" s="170"/>
      <c r="G51" s="7"/>
      <c r="H51" s="6"/>
      <c r="I51" s="6">
        <f>+I50/D50</f>
        <v>28.599999999999994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>
    <tabColor rgb="FF92D050"/>
  </sheetPr>
  <dimension ref="A1:K56"/>
  <sheetViews>
    <sheetView workbookViewId="0">
      <selection activeCell="M11" sqref="M11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704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710</v>
      </c>
      <c r="D2" s="96" t="s">
        <v>3</v>
      </c>
      <c r="E2" s="95" t="s">
        <v>362</v>
      </c>
      <c r="F2" s="94" t="s">
        <v>5</v>
      </c>
      <c r="G2" s="93">
        <v>26499.8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336</v>
      </c>
      <c r="F3" s="88" t="s">
        <v>8</v>
      </c>
      <c r="G3" s="87">
        <v>28.75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78.868452380952377</v>
      </c>
      <c r="F4" s="81" t="s">
        <v>12</v>
      </c>
      <c r="G4" s="80">
        <f>G2*G3</f>
        <v>761869.25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1.0105722611125412E-2</v>
      </c>
      <c r="F6" s="69" t="s">
        <v>16</v>
      </c>
      <c r="G6" s="68">
        <f>(I50-I19)/(D50-(SUM(D42:D44)+D19))</f>
        <v>33.586104158018699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28.8</v>
      </c>
      <c r="D10" s="30"/>
      <c r="E10" s="29">
        <f t="shared" ref="E10:E19" si="1">D10/$D$19</f>
        <v>0</v>
      </c>
      <c r="F10" s="28">
        <f t="shared" ref="F10:F18" si="2">C10-(C10*$E$6)</f>
        <v>28.50895518879959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29.9</v>
      </c>
      <c r="D11" s="30">
        <v>5108.3999999999996</v>
      </c>
      <c r="E11" s="29">
        <f t="shared" si="1"/>
        <v>0.74944984008685189</v>
      </c>
      <c r="F11" s="28">
        <f t="shared" si="2"/>
        <v>29.597838893927349</v>
      </c>
      <c r="G11" s="27" t="str">
        <f t="shared" si="3"/>
        <v>-</v>
      </c>
      <c r="H11" s="34">
        <f t="shared" si="4"/>
        <v>152741.15999999997</v>
      </c>
      <c r="I11" s="34">
        <f t="shared" si="5"/>
        <v>151197.60020573845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27.4</v>
      </c>
      <c r="D12" s="30">
        <v>1026.2</v>
      </c>
      <c r="E12" s="29">
        <f t="shared" si="1"/>
        <v>0.15055309409935155</v>
      </c>
      <c r="F12" s="28">
        <f t="shared" si="2"/>
        <v>27.123103200455162</v>
      </c>
      <c r="G12" s="27" t="str">
        <f t="shared" si="3"/>
        <v>-</v>
      </c>
      <c r="H12" s="34">
        <f t="shared" si="4"/>
        <v>28117.88</v>
      </c>
      <c r="I12" s="34">
        <f t="shared" si="5"/>
        <v>27833.728504307088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29.9</v>
      </c>
      <c r="D13" s="30">
        <v>471.6</v>
      </c>
      <c r="E13" s="29">
        <f t="shared" si="1"/>
        <v>6.9188110677503606E-2</v>
      </c>
      <c r="F13" s="28">
        <f t="shared" si="2"/>
        <v>29.597838893927349</v>
      </c>
      <c r="G13" s="27" t="str">
        <f t="shared" si="3"/>
        <v>-</v>
      </c>
      <c r="H13" s="34">
        <f t="shared" si="4"/>
        <v>14100.84</v>
      </c>
      <c r="I13" s="34">
        <f t="shared" si="5"/>
        <v>13958.340822376138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33.5</v>
      </c>
      <c r="D14" s="30">
        <v>210</v>
      </c>
      <c r="E14" s="29">
        <f t="shared" si="1"/>
        <v>3.0808955136292952E-2</v>
      </c>
      <c r="F14" s="28">
        <f t="shared" si="2"/>
        <v>33.1614582925273</v>
      </c>
      <c r="G14" s="27" t="str">
        <f t="shared" si="3"/>
        <v>-</v>
      </c>
      <c r="H14" s="34">
        <f t="shared" si="4"/>
        <v>7035</v>
      </c>
      <c r="I14" s="34">
        <f t="shared" si="5"/>
        <v>6963.9062414307327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27.6</v>
      </c>
      <c r="D15" s="30"/>
      <c r="E15" s="29">
        <f t="shared" si="1"/>
        <v>0</v>
      </c>
      <c r="F15" s="28">
        <f t="shared" si="2"/>
        <v>27.321082055932941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37.799999999999997</v>
      </c>
      <c r="D16" s="30"/>
      <c r="E16" s="29">
        <f t="shared" si="1"/>
        <v>0</v>
      </c>
      <c r="F16" s="28">
        <f t="shared" si="2"/>
        <v>37.418003685299453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55.6</v>
      </c>
      <c r="D17" s="30"/>
      <c r="E17" s="29">
        <f t="shared" si="1"/>
        <v>0</v>
      </c>
      <c r="F17" s="28">
        <f t="shared" si="2"/>
        <v>55.038121822821431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48.7</v>
      </c>
      <c r="D18" s="30"/>
      <c r="E18" s="29">
        <f t="shared" si="1"/>
        <v>0</v>
      </c>
      <c r="F18" s="28">
        <f t="shared" si="2"/>
        <v>48.207851308838194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29.634529503242273</v>
      </c>
      <c r="D19" s="49">
        <f>SUM(D10:D18)</f>
        <v>6816.2</v>
      </c>
      <c r="E19" s="48">
        <f t="shared" si="1"/>
        <v>1</v>
      </c>
      <c r="F19" s="47">
        <f>I19/D19</f>
        <v>29.335051168371294</v>
      </c>
      <c r="G19" s="46">
        <f>F19/C19-1</f>
        <v>-1.0105722611125412E-2</v>
      </c>
      <c r="H19" s="9">
        <f>SUM(H10:H18)</f>
        <v>201994.87999999998</v>
      </c>
      <c r="I19" s="9">
        <f>SUM(I10:I18)</f>
        <v>199953.57577385241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72.3</v>
      </c>
      <c r="D21" s="30">
        <v>168.9</v>
      </c>
      <c r="E21" s="29">
        <f>D21/$D$48</f>
        <v>8.5807474242516613E-3</v>
      </c>
      <c r="F21" s="28">
        <f>C21-(C21*$E$6)</f>
        <v>71.569356255215624</v>
      </c>
      <c r="G21" s="27" t="str">
        <f>IF(C21&gt;=F21,"-","+")</f>
        <v>-</v>
      </c>
      <c r="H21" s="26">
        <f>C21*D21</f>
        <v>12211.47</v>
      </c>
      <c r="I21" s="26">
        <f>F21*D21</f>
        <v>12088.064271505918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48.6</v>
      </c>
      <c r="D22" s="30">
        <v>725.2</v>
      </c>
      <c r="E22" s="29">
        <f>D22/$D$48</f>
        <v>3.6842853949480787E-2</v>
      </c>
      <c r="F22" s="28">
        <f>C22-(C22*$E$6)</f>
        <v>48.108861881099308</v>
      </c>
      <c r="G22" s="27" t="str">
        <f>IF(C22&gt;=F22,"-","+")</f>
        <v>-</v>
      </c>
      <c r="H22" s="26">
        <f>C22*D22</f>
        <v>35244.720000000001</v>
      </c>
      <c r="I22" s="26">
        <f>F22*D22</f>
        <v>34888.546636173218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44.3</v>
      </c>
      <c r="D23" s="30">
        <v>354.6</v>
      </c>
      <c r="E23" s="29">
        <f>D23/$D$48</f>
        <v>1.8014997256599403E-2</v>
      </c>
      <c r="F23" s="28">
        <f>C23-(C23*$E$6)</f>
        <v>43.852316488327141</v>
      </c>
      <c r="G23" s="27" t="str">
        <f>IF(C23&gt;=F23,"-","+")</f>
        <v>-</v>
      </c>
      <c r="H23" s="26">
        <f>C23*D23</f>
        <v>15708.78</v>
      </c>
      <c r="I23" s="26">
        <f>F23*D23</f>
        <v>15550.031426760805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50.584583967326019</v>
      </c>
      <c r="D24" s="22">
        <f>SUM(D21:D23)</f>
        <v>1248.7</v>
      </c>
      <c r="E24" s="21">
        <f>D24/$D$48</f>
        <v>6.3438598630331841E-2</v>
      </c>
      <c r="F24" s="20">
        <f>I24/D24</f>
        <v>50.073390193353035</v>
      </c>
      <c r="G24" s="19">
        <f>F24/C24-1</f>
        <v>-1.0105722611125523E-2</v>
      </c>
      <c r="H24" s="18">
        <f>SUM(H21:H23)</f>
        <v>63164.97</v>
      </c>
      <c r="I24" s="18">
        <f>SUM(I21:I23)</f>
        <v>62526.642334439937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38.6</v>
      </c>
      <c r="D26" s="30">
        <f>428.6+3327.2</f>
        <v>3755.7999999999997</v>
      </c>
      <c r="E26" s="29">
        <f t="shared" ref="E26:E32" si="7">D26/$D$48</f>
        <v>0.19080859192424146</v>
      </c>
      <c r="F26" s="28">
        <f t="shared" ref="F26:F31" si="8">C26-(C26*$E$6)</f>
        <v>38.20991910721056</v>
      </c>
      <c r="G26" s="27" t="str">
        <f t="shared" ref="G26:G31" si="9">IF(C26&gt;=F26,"-","+")</f>
        <v>-</v>
      </c>
      <c r="H26" s="26">
        <f t="shared" ref="H26:H31" si="10">C26*D26</f>
        <v>144973.88</v>
      </c>
      <c r="I26" s="26">
        <f t="shared" ref="I26:I31" si="11">F26*D26</f>
        <v>143508.81418286142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34.4</v>
      </c>
      <c r="D27" s="30">
        <v>3011.8</v>
      </c>
      <c r="E27" s="29">
        <f t="shared" si="7"/>
        <v>0.15301062813712937</v>
      </c>
      <c r="F27" s="28">
        <f t="shared" si="8"/>
        <v>34.052363142177285</v>
      </c>
      <c r="G27" s="27" t="str">
        <f t="shared" si="9"/>
        <v>-</v>
      </c>
      <c r="H27" s="26">
        <f t="shared" si="10"/>
        <v>103605.92</v>
      </c>
      <c r="I27" s="26">
        <f t="shared" si="11"/>
        <v>102558.90731160955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34.4</v>
      </c>
      <c r="D28" s="30">
        <v>1952</v>
      </c>
      <c r="E28" s="29">
        <f t="shared" si="7"/>
        <v>9.9168851226401664E-2</v>
      </c>
      <c r="F28" s="28">
        <f t="shared" si="8"/>
        <v>34.052363142177285</v>
      </c>
      <c r="G28" s="27" t="str">
        <f t="shared" si="9"/>
        <v>-</v>
      </c>
      <c r="H28" s="26">
        <f t="shared" si="10"/>
        <v>67148.800000000003</v>
      </c>
      <c r="I28" s="26">
        <f t="shared" si="11"/>
        <v>66470.212853530058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33.200000000000003</v>
      </c>
      <c r="D29" s="30">
        <v>2105.8000000000002</v>
      </c>
      <c r="E29" s="29">
        <f t="shared" si="7"/>
        <v>0.10698246255766221</v>
      </c>
      <c r="F29" s="28">
        <f t="shared" si="8"/>
        <v>32.864490009310636</v>
      </c>
      <c r="G29" s="27" t="str">
        <f t="shared" si="9"/>
        <v>-</v>
      </c>
      <c r="H29" s="26">
        <f t="shared" si="10"/>
        <v>69912.560000000012</v>
      </c>
      <c r="I29" s="26">
        <f t="shared" si="11"/>
        <v>69206.043061606339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33.200000000000003</v>
      </c>
      <c r="D30" s="30">
        <v>1438.5</v>
      </c>
      <c r="E30" s="29">
        <f t="shared" si="7"/>
        <v>7.3081143693226838E-2</v>
      </c>
      <c r="F30" s="28">
        <f t="shared" si="8"/>
        <v>32.864490009310636</v>
      </c>
      <c r="G30" s="27" t="str">
        <f t="shared" si="9"/>
        <v>-</v>
      </c>
      <c r="H30" s="26">
        <f t="shared" si="10"/>
        <v>47758.200000000004</v>
      </c>
      <c r="I30" s="26">
        <f t="shared" si="11"/>
        <v>47275.568878393351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33.799999999999997</v>
      </c>
      <c r="D31" s="30">
        <f>108.6+220.2</f>
        <v>328.79999999999995</v>
      </c>
      <c r="E31" s="29">
        <f t="shared" si="7"/>
        <v>1.6704261415594703E-2</v>
      </c>
      <c r="F31" s="28">
        <f t="shared" si="8"/>
        <v>33.458426575743957</v>
      </c>
      <c r="G31" s="27" t="str">
        <f t="shared" si="9"/>
        <v>-</v>
      </c>
      <c r="H31" s="26">
        <f t="shared" si="10"/>
        <v>11113.439999999997</v>
      </c>
      <c r="I31" s="26">
        <f t="shared" si="11"/>
        <v>11001.130658104612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35.299244800559052</v>
      </c>
      <c r="D32" s="22">
        <f>SUM(D26:D31)</f>
        <v>12592.7</v>
      </c>
      <c r="E32" s="21">
        <f t="shared" si="7"/>
        <v>0.63975593895425631</v>
      </c>
      <c r="F32" s="20">
        <f>I32/D32</f>
        <v>34.942520424222387</v>
      </c>
      <c r="G32" s="19">
        <f>F32/C32-1</f>
        <v>-1.0105722611125523E-2</v>
      </c>
      <c r="H32" s="18">
        <f>SUM(H26:H31)</f>
        <v>444512.8</v>
      </c>
      <c r="I32" s="18">
        <f>SUM(I26:I31)</f>
        <v>440020.67694610532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20.3</v>
      </c>
      <c r="D34" s="30">
        <v>2881.8</v>
      </c>
      <c r="E34" s="29">
        <f t="shared" ref="E34:E40" si="13">D34/$D$48</f>
        <v>0.14640614521733827</v>
      </c>
      <c r="F34" s="28">
        <f t="shared" ref="F34:F39" si="14">C34-(C34*$E$6)</f>
        <v>20.094853830994154</v>
      </c>
      <c r="G34" s="27" t="str">
        <f t="shared" ref="G34:G39" si="15">IF(C34&gt;=F34,"-","+")</f>
        <v>-</v>
      </c>
      <c r="H34" s="26">
        <f t="shared" ref="H34:H39" si="16">C34*D34</f>
        <v>58500.540000000008</v>
      </c>
      <c r="I34" s="26">
        <f t="shared" ref="I34:I39" si="17">F34*D34</f>
        <v>57909.349770158959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15.6</v>
      </c>
      <c r="D35" s="30"/>
      <c r="E35" s="29">
        <f t="shared" si="13"/>
        <v>0</v>
      </c>
      <c r="F35" s="28">
        <f t="shared" si="14"/>
        <v>15.442350727266444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12.6</v>
      </c>
      <c r="D36" s="30"/>
      <c r="E36" s="29">
        <f t="shared" si="13"/>
        <v>0</v>
      </c>
      <c r="F36" s="28">
        <f t="shared" si="14"/>
        <v>12.47266789509982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33.200000000000003</v>
      </c>
      <c r="D37" s="30"/>
      <c r="E37" s="29">
        <f t="shared" si="13"/>
        <v>0</v>
      </c>
      <c r="F37" s="28">
        <f t="shared" si="14"/>
        <v>32.864490009310636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33.200000000000003</v>
      </c>
      <c r="D38" s="30"/>
      <c r="E38" s="29">
        <f t="shared" si="13"/>
        <v>0</v>
      </c>
      <c r="F38" s="28">
        <f t="shared" si="14"/>
        <v>32.864490009310636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34.4</v>
      </c>
      <c r="D39" s="30"/>
      <c r="E39" s="29">
        <f t="shared" si="13"/>
        <v>0</v>
      </c>
      <c r="F39" s="28">
        <f t="shared" si="14"/>
        <v>34.052363142177285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20.3</v>
      </c>
      <c r="D40" s="22">
        <f>SUM(D34:D39)</f>
        <v>2881.8</v>
      </c>
      <c r="E40" s="113">
        <f t="shared" si="13"/>
        <v>0.14640614521733827</v>
      </c>
      <c r="F40" s="20">
        <f>I40/D40</f>
        <v>20.094853830994154</v>
      </c>
      <c r="G40" s="19">
        <f>F40/C40-1</f>
        <v>-1.0105722611125412E-2</v>
      </c>
      <c r="H40" s="18">
        <f>SUM(H34:H39)</f>
        <v>58500.540000000008</v>
      </c>
      <c r="I40" s="18">
        <f>SUM(I34:I39)</f>
        <v>57909.349770158959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2820</v>
      </c>
      <c r="E42" s="107">
        <f>D42/$D$48</f>
        <v>0.14326647564469913</v>
      </c>
      <c r="F42" s="28">
        <f>C42-(C42*$E$6)</f>
        <v>0.49494713869443729</v>
      </c>
      <c r="G42" s="27" t="str">
        <f>IF(C42&gt;=F42,"-","+")</f>
        <v>-</v>
      </c>
      <c r="H42" s="26">
        <f>C42*D42</f>
        <v>1410</v>
      </c>
      <c r="I42" s="26">
        <f>F42*D42</f>
        <v>1395.7509311183132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127.8</v>
      </c>
      <c r="E43" s="107">
        <f>D43/$D$48</f>
        <v>6.4927147473023217E-3</v>
      </c>
      <c r="F43" s="28">
        <f>C43-(C43*$E$6)</f>
        <v>0.49494713869443729</v>
      </c>
      <c r="G43" s="27" t="str">
        <f>IF(C43&gt;=F43,"-","+")</f>
        <v>-</v>
      </c>
      <c r="H43" s="26">
        <f>C43*D43</f>
        <v>63.9</v>
      </c>
      <c r="I43" s="26">
        <f>F43*D43</f>
        <v>63.254244325149088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5.2</v>
      </c>
      <c r="E44" s="107">
        <f>D44/$D$48</f>
        <v>2.6417931679164377E-4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7.4</v>
      </c>
      <c r="E45" s="107">
        <f>D45/$D$48</f>
        <v>3.7594748928041616E-4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0.4978719092014593</v>
      </c>
      <c r="D46" s="22">
        <f>SUM(D41:D45)</f>
        <v>2960.4</v>
      </c>
      <c r="E46" s="113">
        <f>D46/$D$48</f>
        <v>0.15039931719807351</v>
      </c>
      <c r="F46" s="20">
        <f>I46/D46</f>
        <v>0.4928405537911979</v>
      </c>
      <c r="G46" s="19">
        <f>F46/C46-1</f>
        <v>-1.0105722611125523E-2</v>
      </c>
      <c r="H46" s="18">
        <f>SUM(H41:H44)</f>
        <v>1473.9</v>
      </c>
      <c r="I46" s="18">
        <f>SUM(I41:I44)</f>
        <v>1459.0051754434623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106.68170067708652</v>
      </c>
      <c r="D48" s="13">
        <f>D24+D32+D40+D46</f>
        <v>19683.600000000002</v>
      </c>
      <c r="E48" s="12">
        <f>SUM(E20:E46)/2</f>
        <v>0.99999999999999978</v>
      </c>
      <c r="F48" s="11">
        <f>I48/D48</f>
        <v>28.547403636842226</v>
      </c>
      <c r="G48" s="10"/>
      <c r="H48" s="9">
        <f>SUM(H20:H46)/2</f>
        <v>567652.20999999985</v>
      </c>
      <c r="I48" s="9">
        <f>SUM(I20:I46)/2</f>
        <v>561915.6742261477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26499.800000000003</v>
      </c>
      <c r="E50" s="12">
        <f>D50/G2</f>
        <v>1.0000000000000002</v>
      </c>
      <c r="F50" s="11">
        <f>I50/D50</f>
        <v>28.75</v>
      </c>
      <c r="G50" s="10"/>
      <c r="H50" s="9">
        <f>H48+H19</f>
        <v>769647.08999999985</v>
      </c>
      <c r="I50" s="9">
        <f>I48+I19</f>
        <v>761869.25000000012</v>
      </c>
      <c r="J50" s="106">
        <f>D50-G2</f>
        <v>0</v>
      </c>
      <c r="K50" s="8"/>
    </row>
    <row r="51" spans="1:11" ht="23.25" x14ac:dyDescent="0.35">
      <c r="A51" s="174" t="s">
        <v>713</v>
      </c>
      <c r="B51" s="169"/>
      <c r="C51" s="170"/>
      <c r="G51" s="7"/>
      <c r="H51" s="6"/>
      <c r="I51" s="6">
        <f>+I50/D50</f>
        <v>28.75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>
    <tabColor rgb="FF92D050"/>
  </sheetPr>
  <dimension ref="A1:K56"/>
  <sheetViews>
    <sheetView topLeftCell="D3" workbookViewId="0">
      <selection activeCell="D3"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710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714</v>
      </c>
      <c r="D2" s="96" t="s">
        <v>3</v>
      </c>
      <c r="E2" s="95" t="s">
        <v>71</v>
      </c>
      <c r="F2" s="94" t="s">
        <v>5</v>
      </c>
      <c r="G2" s="93">
        <v>15779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204</v>
      </c>
      <c r="F3" s="88" t="s">
        <v>8</v>
      </c>
      <c r="G3" s="87">
        <v>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77.348039215686271</v>
      </c>
      <c r="F4" s="81" t="s">
        <v>12</v>
      </c>
      <c r="G4" s="80">
        <f>G2*G3</f>
        <v>457591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-7.8799214322766709E-3</v>
      </c>
      <c r="F6" s="69" t="s">
        <v>16</v>
      </c>
      <c r="G6" s="68">
        <f>(I50-I19)/(D50-(SUM(D42:D44)+D19))</f>
        <v>34.412853456057228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29</v>
      </c>
      <c r="D10" s="30"/>
      <c r="E10" s="29">
        <f t="shared" ref="E10:E19" si="1">D10/$D$19</f>
        <v>0</v>
      </c>
      <c r="F10" s="28">
        <f t="shared" ref="F10:F18" si="2">C10-(C10*$E$6)</f>
        <v>29.228517721536022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30.2</v>
      </c>
      <c r="D11" s="30">
        <v>3701.9</v>
      </c>
      <c r="E11" s="29">
        <f t="shared" si="1"/>
        <v>0.51922969030520649</v>
      </c>
      <c r="F11" s="28">
        <f t="shared" si="2"/>
        <v>30.437973627254756</v>
      </c>
      <c r="G11" s="27" t="str">
        <f t="shared" si="3"/>
        <v>+</v>
      </c>
      <c r="H11" s="34">
        <f t="shared" si="4"/>
        <v>111797.38</v>
      </c>
      <c r="I11" s="34">
        <f t="shared" si="5"/>
        <v>112678.33457073438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27.6</v>
      </c>
      <c r="D12" s="30">
        <v>2897.5</v>
      </c>
      <c r="E12" s="29">
        <f t="shared" si="1"/>
        <v>0.40640428635547582</v>
      </c>
      <c r="F12" s="28">
        <f t="shared" si="2"/>
        <v>27.817485831530838</v>
      </c>
      <c r="G12" s="27" t="str">
        <f t="shared" si="3"/>
        <v>+</v>
      </c>
      <c r="H12" s="34">
        <f t="shared" si="4"/>
        <v>79971</v>
      </c>
      <c r="I12" s="34">
        <f t="shared" si="5"/>
        <v>80601.165196860602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30.2</v>
      </c>
      <c r="D13" s="30">
        <v>519.20000000000005</v>
      </c>
      <c r="E13" s="29">
        <f t="shared" si="1"/>
        <v>7.2823159784560151E-2</v>
      </c>
      <c r="F13" s="28">
        <f t="shared" si="2"/>
        <v>30.437973627254756</v>
      </c>
      <c r="G13" s="27" t="str">
        <f t="shared" si="3"/>
        <v>+</v>
      </c>
      <c r="H13" s="34">
        <f t="shared" si="4"/>
        <v>15679.84</v>
      </c>
      <c r="I13" s="34">
        <f t="shared" si="5"/>
        <v>15803.395907270671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33.799999999999997</v>
      </c>
      <c r="D14" s="30"/>
      <c r="E14" s="29">
        <f t="shared" si="1"/>
        <v>0</v>
      </c>
      <c r="F14" s="28">
        <f t="shared" si="2"/>
        <v>34.066341344410951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27.8</v>
      </c>
      <c r="D15" s="30"/>
      <c r="E15" s="29">
        <f t="shared" si="1"/>
        <v>0</v>
      </c>
      <c r="F15" s="28">
        <f t="shared" si="2"/>
        <v>28.019061815817292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38.1</v>
      </c>
      <c r="D16" s="30">
        <v>11</v>
      </c>
      <c r="E16" s="29">
        <f t="shared" si="1"/>
        <v>1.5428635547576302E-3</v>
      </c>
      <c r="F16" s="28">
        <f t="shared" si="2"/>
        <v>38.400225006569741</v>
      </c>
      <c r="G16" s="27" t="str">
        <f t="shared" si="3"/>
        <v>+</v>
      </c>
      <c r="H16" s="34">
        <f t="shared" si="4"/>
        <v>419.1</v>
      </c>
      <c r="I16" s="34">
        <f t="shared" si="5"/>
        <v>422.40247507226718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56.1</v>
      </c>
      <c r="D17" s="30"/>
      <c r="E17" s="29">
        <f t="shared" si="1"/>
        <v>0</v>
      </c>
      <c r="F17" s="28">
        <f t="shared" si="2"/>
        <v>56.542063592350722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49.1</v>
      </c>
      <c r="D18" s="30"/>
      <c r="E18" s="29">
        <f t="shared" si="1"/>
        <v>0</v>
      </c>
      <c r="F18" s="28">
        <f t="shared" si="2"/>
        <v>49.486904142324789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29.155537477558351</v>
      </c>
      <c r="D19" s="49">
        <f>SUM(D10:D18)</f>
        <v>7129.5999999999995</v>
      </c>
      <c r="E19" s="48">
        <f t="shared" si="1"/>
        <v>1</v>
      </c>
      <c r="F19" s="47">
        <f>I19/D19</f>
        <v>29.385280822197309</v>
      </c>
      <c r="G19" s="46">
        <f>F19/C19-1</f>
        <v>7.8799214322766709E-3</v>
      </c>
      <c r="H19" s="9">
        <f>SUM(H10:H18)</f>
        <v>207867.32</v>
      </c>
      <c r="I19" s="9">
        <f>SUM(I10:I18)</f>
        <v>209505.29814993791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72.900000000000006</v>
      </c>
      <c r="D21" s="30">
        <v>88.1</v>
      </c>
      <c r="E21" s="29">
        <f>D21/$D$48</f>
        <v>1.0185559858951384E-2</v>
      </c>
      <c r="F21" s="28">
        <f>C21-(C21*$E$6)</f>
        <v>73.474446272412976</v>
      </c>
      <c r="G21" s="27" t="str">
        <f>IF(C21&gt;=F21,"-","+")</f>
        <v>+</v>
      </c>
      <c r="H21" s="26">
        <f>C21*D21</f>
        <v>6422.49</v>
      </c>
      <c r="I21" s="26">
        <f>F21*D21</f>
        <v>6473.098716599583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49</v>
      </c>
      <c r="D22" s="30">
        <v>300.60000000000002</v>
      </c>
      <c r="E22" s="29">
        <f>D22/$D$48</f>
        <v>3.4753453956876124E-2</v>
      </c>
      <c r="F22" s="28">
        <f>C22-(C22*$E$6)</f>
        <v>49.386116150181557</v>
      </c>
      <c r="G22" s="27" t="str">
        <f>IF(C22&gt;=F22,"-","+")</f>
        <v>+</v>
      </c>
      <c r="H22" s="26">
        <f>C22*D22</f>
        <v>14729.400000000001</v>
      </c>
      <c r="I22" s="26">
        <f>F22*D22</f>
        <v>14845.466514744578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44.7</v>
      </c>
      <c r="D23" s="30">
        <v>181</v>
      </c>
      <c r="E23" s="29">
        <f>D23/$D$48</f>
        <v>2.0926065090467658E-2</v>
      </c>
      <c r="F23" s="28">
        <f>C23-(C23*$E$6)</f>
        <v>45.052232488022767</v>
      </c>
      <c r="G23" s="27" t="str">
        <f>IF(C23&gt;=F23,"-","+")</f>
        <v>+</v>
      </c>
      <c r="H23" s="26">
        <f>C23*D23</f>
        <v>8090.7000000000007</v>
      </c>
      <c r="I23" s="26">
        <f>F23*D23</f>
        <v>8154.4540803321206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51.329805160610846</v>
      </c>
      <c r="D24" s="22">
        <f>SUM(D21:D23)</f>
        <v>569.70000000000005</v>
      </c>
      <c r="E24" s="21">
        <f>D24/$D$48</f>
        <v>6.5865078906295171E-2</v>
      </c>
      <c r="F24" s="20">
        <f>I24/D24</f>
        <v>51.734279992410528</v>
      </c>
      <c r="G24" s="19">
        <f>F24/C24-1</f>
        <v>7.8799214322766709E-3</v>
      </c>
      <c r="H24" s="18">
        <f>SUM(H21:H23)</f>
        <v>29242.59</v>
      </c>
      <c r="I24" s="18">
        <f>SUM(I21:I23)</f>
        <v>29473.019311676282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38.9</v>
      </c>
      <c r="D26" s="30">
        <f>304.9+67.7+1238.1</f>
        <v>1610.6999999999998</v>
      </c>
      <c r="E26" s="29">
        <f t="shared" ref="E26:E32" si="7">D26/$D$48</f>
        <v>0.18621885658130527</v>
      </c>
      <c r="F26" s="28">
        <f t="shared" ref="F26:F31" si="8">C26-(C26*$E$6)</f>
        <v>39.206528943715561</v>
      </c>
      <c r="G26" s="27" t="str">
        <f t="shared" ref="G26:G31" si="9">IF(C26&gt;=F26,"-","+")</f>
        <v>+</v>
      </c>
      <c r="H26" s="26">
        <f t="shared" ref="H26:H31" si="10">C26*D26</f>
        <v>62656.229999999989</v>
      </c>
      <c r="I26" s="26">
        <f t="shared" ref="I26:I31" si="11">F26*D26</f>
        <v>63149.956169642646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34.700000000000003</v>
      </c>
      <c r="D27" s="30">
        <v>1273.8</v>
      </c>
      <c r="E27" s="29">
        <f t="shared" si="7"/>
        <v>0.14726862824440717</v>
      </c>
      <c r="F27" s="28">
        <f t="shared" si="8"/>
        <v>34.973433273700003</v>
      </c>
      <c r="G27" s="27" t="str">
        <f t="shared" si="9"/>
        <v>+</v>
      </c>
      <c r="H27" s="26">
        <f t="shared" si="10"/>
        <v>44200.86</v>
      </c>
      <c r="I27" s="26">
        <f t="shared" si="11"/>
        <v>44549.159304039065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34.700000000000003</v>
      </c>
      <c r="D28" s="30">
        <v>855.5</v>
      </c>
      <c r="E28" s="29">
        <f t="shared" si="7"/>
        <v>9.8907451297762877E-2</v>
      </c>
      <c r="F28" s="28">
        <f t="shared" si="8"/>
        <v>34.973433273700003</v>
      </c>
      <c r="G28" s="27" t="str">
        <f t="shared" si="9"/>
        <v>+</v>
      </c>
      <c r="H28" s="26">
        <f t="shared" si="10"/>
        <v>29685.850000000002</v>
      </c>
      <c r="I28" s="26">
        <f t="shared" si="11"/>
        <v>29919.772165650353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33.5</v>
      </c>
      <c r="D29" s="30">
        <v>895.1</v>
      </c>
      <c r="E29" s="29">
        <f t="shared" si="7"/>
        <v>0.10348575062142321</v>
      </c>
      <c r="F29" s="28">
        <f t="shared" si="8"/>
        <v>33.763977367981269</v>
      </c>
      <c r="G29" s="27" t="str">
        <f t="shared" si="9"/>
        <v>+</v>
      </c>
      <c r="H29" s="26">
        <f t="shared" si="10"/>
        <v>29985.850000000002</v>
      </c>
      <c r="I29" s="26">
        <f t="shared" si="11"/>
        <v>30222.136142080035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33.5</v>
      </c>
      <c r="D30" s="30">
        <v>486.2</v>
      </c>
      <c r="E30" s="29">
        <f t="shared" si="7"/>
        <v>5.6211341696051791E-2</v>
      </c>
      <c r="F30" s="28">
        <f t="shared" si="8"/>
        <v>33.763977367981269</v>
      </c>
      <c r="G30" s="27" t="str">
        <f t="shared" si="9"/>
        <v>+</v>
      </c>
      <c r="H30" s="26">
        <f t="shared" si="10"/>
        <v>16287.699999999999</v>
      </c>
      <c r="I30" s="26">
        <f t="shared" si="11"/>
        <v>16416.045796312494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34.1</v>
      </c>
      <c r="D31" s="30">
        <f>54.5+120.1</f>
        <v>174.6</v>
      </c>
      <c r="E31" s="29">
        <f t="shared" si="7"/>
        <v>2.0186137927047806E-2</v>
      </c>
      <c r="F31" s="28">
        <f t="shared" si="8"/>
        <v>34.368705320840633</v>
      </c>
      <c r="G31" s="27" t="str">
        <f t="shared" si="9"/>
        <v>+</v>
      </c>
      <c r="H31" s="26">
        <f t="shared" si="10"/>
        <v>5953.86</v>
      </c>
      <c r="I31" s="26">
        <f t="shared" si="11"/>
        <v>6000.7759490187746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35.64462131082535</v>
      </c>
      <c r="D32" s="22">
        <f>SUM(D26:D31)</f>
        <v>5295.9000000000005</v>
      </c>
      <c r="E32" s="21">
        <f t="shared" si="7"/>
        <v>0.61227816636799826</v>
      </c>
      <c r="F32" s="20">
        <f>I32/D32</f>
        <v>35.925498126237912</v>
      </c>
      <c r="G32" s="19">
        <f>F32/C32-1</f>
        <v>7.8799214322766709E-3</v>
      </c>
      <c r="H32" s="18">
        <f>SUM(H26:H31)</f>
        <v>188770.35</v>
      </c>
      <c r="I32" s="18">
        <f>SUM(I26:I31)</f>
        <v>190257.84552674339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20.5</v>
      </c>
      <c r="D34" s="30">
        <v>1337.5</v>
      </c>
      <c r="E34" s="29">
        <f t="shared" ref="E34:E40" si="13">D34/$D$48</f>
        <v>0.15463321579282038</v>
      </c>
      <c r="F34" s="28">
        <f t="shared" ref="F34:F39" si="14">C34-(C34*$E$6)</f>
        <v>20.66153838936167</v>
      </c>
      <c r="G34" s="27" t="str">
        <f t="shared" ref="G34:G39" si="15">IF(C34&gt;=F34,"-","+")</f>
        <v>+</v>
      </c>
      <c r="H34" s="26">
        <f t="shared" ref="H34:H39" si="16">C34*D34</f>
        <v>27418.75</v>
      </c>
      <c r="I34" s="26">
        <f t="shared" ref="I34:I39" si="17">F34*D34</f>
        <v>27634.807595771235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15.8</v>
      </c>
      <c r="D35" s="30"/>
      <c r="E35" s="29">
        <f t="shared" si="13"/>
        <v>0</v>
      </c>
      <c r="F35" s="28">
        <f t="shared" si="14"/>
        <v>15.924502758629972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12.7</v>
      </c>
      <c r="D36" s="30"/>
      <c r="E36" s="29">
        <f t="shared" si="13"/>
        <v>0</v>
      </c>
      <c r="F36" s="28">
        <f t="shared" si="14"/>
        <v>12.800075002189914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33.5</v>
      </c>
      <c r="D37" s="30"/>
      <c r="E37" s="29">
        <f t="shared" si="13"/>
        <v>0</v>
      </c>
      <c r="F37" s="28">
        <f t="shared" si="14"/>
        <v>33.763977367981269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33.5</v>
      </c>
      <c r="D38" s="30"/>
      <c r="E38" s="29">
        <f t="shared" si="13"/>
        <v>0</v>
      </c>
      <c r="F38" s="28">
        <f t="shared" si="14"/>
        <v>33.763977367981269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34.700000000000003</v>
      </c>
      <c r="D39" s="30"/>
      <c r="E39" s="29">
        <f t="shared" si="13"/>
        <v>0</v>
      </c>
      <c r="F39" s="28">
        <f t="shared" si="14"/>
        <v>34.973433273700003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20.5</v>
      </c>
      <c r="D40" s="22">
        <f>SUM(D34:D39)</f>
        <v>1337.5</v>
      </c>
      <c r="E40" s="21">
        <f t="shared" si="13"/>
        <v>0.15463321579282038</v>
      </c>
      <c r="F40" s="20">
        <f>I40/D40</f>
        <v>20.66153838936167</v>
      </c>
      <c r="G40" s="19">
        <f>F40/C40-1</f>
        <v>7.8799214322766709E-3</v>
      </c>
      <c r="H40" s="18">
        <f>SUM(H34:H39)</f>
        <v>27418.75</v>
      </c>
      <c r="I40" s="18">
        <f>SUM(I34:I39)</f>
        <v>27634.807595771235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1377</v>
      </c>
      <c r="E42" s="107">
        <f>D42/$D$48</f>
        <v>0.15919995375455229</v>
      </c>
      <c r="F42" s="28">
        <f>C42-(C42*$E$6)</f>
        <v>0.50393996071613834</v>
      </c>
      <c r="G42" s="27" t="str">
        <f>IF(C42&gt;=F42,"-","+")</f>
        <v>+</v>
      </c>
      <c r="H42" s="26">
        <f>C42*D42</f>
        <v>688.5</v>
      </c>
      <c r="I42" s="26">
        <f>F42*D42</f>
        <v>693.92532590612245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51.8</v>
      </c>
      <c r="E43" s="107">
        <f>D43/$D$48</f>
        <v>5.9887854789294178E-3</v>
      </c>
      <c r="F43" s="28">
        <f>C43-(C43*$E$6)</f>
        <v>0.50393996071613834</v>
      </c>
      <c r="G43" s="27" t="str">
        <f>IF(C43&gt;=F43,"-","+")</f>
        <v>+</v>
      </c>
      <c r="H43" s="26">
        <f>C43*D43</f>
        <v>25.9</v>
      </c>
      <c r="I43" s="26">
        <f>F43*D43</f>
        <v>26.104089965095966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11.6</v>
      </c>
      <c r="E44" s="107">
        <f>D44/$D$48</f>
        <v>1.3411179836984796E-3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6.9368171570611018E-4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0.49391592920353983</v>
      </c>
      <c r="D46" s="22">
        <f>SUM(D41:D45)</f>
        <v>1446.3999999999999</v>
      </c>
      <c r="E46" s="21">
        <f>D46/$D$48</f>
        <v>0.16722353893288627</v>
      </c>
      <c r="F46" s="20">
        <f>I46/D46</f>
        <v>0.49780794791981364</v>
      </c>
      <c r="G46" s="19">
        <f>F46/C46-1</f>
        <v>7.8799214322766709E-3</v>
      </c>
      <c r="H46" s="18">
        <f>SUM(H41:H44)</f>
        <v>714.4</v>
      </c>
      <c r="I46" s="18">
        <f>SUM(I41:I44)</f>
        <v>720.02941587121836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107.96834240063974</v>
      </c>
      <c r="D48" s="13">
        <f>D24+D32+D40+D46</f>
        <v>8649.5</v>
      </c>
      <c r="E48" s="12">
        <f>SUM(E20:E46)/2</f>
        <v>0.99999999999999989</v>
      </c>
      <c r="F48" s="11">
        <f>I48/D48</f>
        <v>28.682085883584264</v>
      </c>
      <c r="G48" s="10"/>
      <c r="H48" s="9">
        <f>SUM(H20:H46)/2</f>
        <v>246146.09000000003</v>
      </c>
      <c r="I48" s="9">
        <f>SUM(I20:I46)/2</f>
        <v>248085.70185006209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15779.099999999999</v>
      </c>
      <c r="E50" s="12">
        <f>D50/G2</f>
        <v>1.000006337537233</v>
      </c>
      <c r="F50" s="11">
        <f>I50/D50</f>
        <v>28.999816212585003</v>
      </c>
      <c r="G50" s="10"/>
      <c r="H50" s="9">
        <f>H48+H19</f>
        <v>454013.41000000003</v>
      </c>
      <c r="I50" s="9">
        <f>I48+I19</f>
        <v>457591</v>
      </c>
      <c r="J50" s="106">
        <f>D50-G2</f>
        <v>9.9999999998544808E-2</v>
      </c>
      <c r="K50" s="8"/>
    </row>
    <row r="51" spans="1:11" ht="23.25" x14ac:dyDescent="0.35">
      <c r="A51" s="174" t="s">
        <v>715</v>
      </c>
      <c r="B51" s="169"/>
      <c r="C51" s="170"/>
      <c r="G51" s="7"/>
      <c r="H51" s="6"/>
      <c r="I51" s="6">
        <f>+I50/D50</f>
        <v>28.999816212585003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>
    <tabColor rgb="FFFF0000"/>
  </sheetPr>
  <dimension ref="A1:K56"/>
  <sheetViews>
    <sheetView topLeftCell="A34" workbookViewId="0"/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716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BO28-19062627'!G2+'ÖA27-19062526'!G2+'G27-19062627-1'!G2+'G27-19062627'!G2+'BEY26-19062224-D'!G2+'BEY26-19062224-S'!G2+'G26-19062425'!G2+'ANK25-19061921-S'!G2+'G25-19062224-1'!G2+'G24-19062224'!G2+'BO24-19061820'!G2+'MİR24-19061819-D'!G2+'BO22-19061820-S'!G2+'MİR22-19061819-S'!G2+'ÜN22-19061819-S'!G2+'AYG22-19061920-S'!G2+'ÖL22-19061920-S'!G2+'MİR21-19061819'!G2+'KAZ21-19061820-S'!G2+'G21-19061819'!G2+'YIL20-19061920'!G2+'EMM20-19061719-S'!G2+'EMM19-19061719'!G2+'ÇE19-19061718-S'!G2+'BA19-19061718'!G2+'BA19-19061718-S'!G2+'G18-19061718'!G2+'TRM18-19061617-S'!G2+'KAZ18-19061517-S'!G2+'AYG18-19061617'!G2+'AYG18-19061617-S'!G2+'G17-19061517'!G2+'YIL17-19061617'!G2+'MİR15-19061415-S'!G2+'EM15-19061314-S'!G2+'KAZ14-19061213-S'!G2+'3E14-19061213-S'!G2+'G14-19061214'!G2+'G14-19061213-1'!G2+'ANK14-19061113'!G2+'ANK19061113-S'!G2+'G13-19061213'!G2+'MİR12-19061112-S'!G2+'ÜN12-19061112-S'!G2+'EMM12-19061112-S'!G2+'EMM12-19061112'!G2+'G11-19061011'!G2+'AYG10-19060910-S'!G2+'G10-19060710-1'!G2+'G10-19060710'!G2+'G07-19060307-1'!G2+'G07-19060307'!G2+'EM07-19060607-S'!G2</f>
        <v>542647.1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BO28-19062627'!E3+'ÖA27-19062526'!E3+'G27-19062627-1'!E3+'G27-19062627'!E3+'BEY26-19062224-D'!E3+'BEY26-19062224-S'!E3+'G26-19062425'!E3+'ANK25-19061921-S'!E3+'G25-19062224-1'!E3+'G24-19062224'!E3+'BO24-19061820'!E3+'MİR24-19061819-D'!E3+'BO22-19061820-S'!E3+'MİR22-19061819-S'!E3+'ÜN22-19061819-S'!E3+'AYG22-19061920-S'!E3+'ÖL22-19061920-S'!E3+'MİR21-19061819'!E3+'KAZ21-19061820-S'!E3+'G21-19061819'!E3+'YIL20-19061920'!E3+'EMM20-19061719-S'!E3+'EMM19-19061719'!E3+'ÇE19-19061718-S'!E3+'BA19-19061718'!E3+'BA19-19061718-S'!E3+'G18-19061718'!E3+'TRM18-19061617-S'!E3+'KAZ18-19061517-S'!E3+'AYG18-19061617'!E3+'AYG18-19061617-S'!E3+'G17-19061517'!E3+'YIL17-19061617'!E3+'MİR15-19061415-S'!E3+'EM15-19061314-S'!E3+'KAZ14-19061213-S'!E3+'3E14-19061213-S'!E3+'G14-19061214'!E3+'G14-19061213-1'!E3+'ANK14-19061113'!E3+'ANK19061113-S'!E3+'G13-19061213'!E3+'MİR12-19061112-S'!E3+'ÜN12-19061112-S'!E3+'EMM12-19061112-S'!E3+'EMM12-19061112'!E3+'G11-19061011'!E3+'AYG10-19060910-S'!E3+'G10-19060710-1'!E3+'G10-19060710'!E3+'G07-19060307-1'!E3+'G07-19060307'!E3+'EM07-19060607-S'!E3</f>
        <v>7403</v>
      </c>
      <c r="F3" s="111" t="s">
        <v>8</v>
      </c>
      <c r="G3" s="114">
        <v>27.72</v>
      </c>
      <c r="H3" s="118" t="s">
        <v>523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73.300972578684309</v>
      </c>
      <c r="F4" s="81" t="s">
        <v>12</v>
      </c>
      <c r="G4" s="112">
        <f>G2*G3</f>
        <v>15042177.611999998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-3.2655336879919616E-2</v>
      </c>
      <c r="F6" s="69" t="s">
        <v>16</v>
      </c>
      <c r="G6" s="68">
        <f>(I50-I19)/(D50-(SUM(D42:D44)+D19))</f>
        <v>33.631241985174213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27.7</v>
      </c>
      <c r="D10" s="117">
        <f>'BO28-19062627'!D10+'ÖA27-19062526'!D10+'G27-19062627-1'!D10+'G27-19062627'!D10+'BEY26-19062224-D'!D10+'BEY26-19062224-S'!D10+'G26-19062425'!D10+'ANK25-19061921-S'!D10+'G25-19062224-1'!D10+'G24-19062224'!D10+'BO24-19061820'!D10+'MİR24-19061819-D'!D10+'BO22-19061820-S'!D10+'MİR22-19061819-S'!D10+'ÜN22-19061819-S'!D10+'AYG22-19061920-S'!D10+'ÖL22-19061920-S'!D10+'MİR21-19061819'!D10+'KAZ21-19061820-S'!D10+'G21-19061819'!D10+'YIL20-19061920'!D10+'EMM20-19061719-S'!D10+'EMM19-19061719'!D10+'ÇE19-19061718-S'!D10+'BA19-19061718'!D10+'BA19-19061718-S'!D10+'G18-19061718'!D10+'TRM18-19061617-S'!D10+'KAZ18-19061517-S'!D10+'AYG18-19061617'!D10+'AYG18-19061617-S'!D10+'G17-19061517'!D10+'YIL17-19061617'!D10+'MİR15-19061415-S'!D10+'EM15-19061314-S'!D10+'KAZ14-19061213-S'!D10+'3E14-19061213-S'!D10+'G14-19061214'!D10+'G14-19061213-1'!D10+'ANK14-19061113'!D10+'ANK19061113-S'!D10+'G13-19061213'!D10+'MİR12-19061112-S'!D10+'ÜN12-19061112-S'!D10+'EMM12-19061112-S'!D10+'EMM12-19061112'!D10+'G11-19061011'!D10+'AYG10-19060910-S'!D10+'G10-19060710-1'!D10+'G10-19060710'!D10+'G07-19060307-1'!D10+'G07-19060307'!D10+'EM07-19060607-S'!D10</f>
        <v>0</v>
      </c>
      <c r="E10" s="29">
        <f t="shared" ref="E10:E19" si="1">D10/$D$19</f>
        <v>0</v>
      </c>
      <c r="F10" s="28">
        <f t="shared" ref="F10:F18" si="2">C10-(C10*$E$6)</f>
        <v>28.604552831573773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117">
        <f>'BO28-19062627'!D11+'ÖA27-19062526'!D11+'G27-19062627-1'!D11+'G27-19062627'!D11+'BEY26-19062224-D'!D11+'BEY26-19062224-S'!D11+'G26-19062425'!D11+'ANK25-19061921-S'!D11+'G25-19062224-1'!D11+'G24-19062224'!D11+'BO24-19061820'!D11+'MİR24-19061819-D'!D11+'BO22-19061820-S'!D11+'MİR22-19061819-S'!D11+'ÜN22-19061819-S'!D11+'AYG22-19061920-S'!D11+'ÖL22-19061920-S'!D11+'MİR21-19061819'!D11+'KAZ21-19061820-S'!D11+'G21-19061819'!D11+'YIL20-19061920'!D11+'EMM20-19061719-S'!D11+'EMM19-19061719'!D11+'ÇE19-19061718-S'!D11+'BA19-19061718'!D11+'BA19-19061718-S'!D11+'G18-19061718'!D11+'TRM18-19061617-S'!D11+'KAZ18-19061517-S'!D11+'AYG18-19061617'!D11+'AYG18-19061617-S'!D11+'G17-19061517'!D11+'YIL17-19061617'!D11+'MİR15-19061415-S'!D11+'EM15-19061314-S'!D11+'KAZ14-19061213-S'!D11+'3E14-19061213-S'!D11+'G14-19061214'!D11+'G14-19061213-1'!D11+'ANK14-19061113'!D11+'ANK19061113-S'!D11+'G13-19061213'!D11+'MİR12-19061112-S'!D11+'ÜN12-19061112-S'!D11+'EMM12-19061112-S'!D11+'EMM12-19061112'!D11+'G11-19061011'!D11+'AYG10-19060910-S'!D11+'G10-19060710-1'!D11+'G10-19060710'!D11+'G07-19060307-1'!D11+'G07-19060307'!D11+'EM07-19060607-S'!D11</f>
        <v>14648.899999999998</v>
      </c>
      <c r="E11" s="29">
        <f t="shared" si="1"/>
        <v>0.45156765854605863</v>
      </c>
      <c r="F11" s="28">
        <f t="shared" si="2"/>
        <v>29.843739235829677</v>
      </c>
      <c r="G11" s="27" t="str">
        <f t="shared" si="3"/>
        <v>+</v>
      </c>
      <c r="H11" s="34">
        <f t="shared" si="4"/>
        <v>423353.2099999999</v>
      </c>
      <c r="I11" s="34">
        <f t="shared" si="5"/>
        <v>437177.95169174531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117">
        <f>'BO28-19062627'!D12+'ÖA27-19062526'!D12+'G27-19062627-1'!D12+'G27-19062627'!D12+'BEY26-19062224-D'!D12+'BEY26-19062224-S'!D12+'G26-19062425'!D12+'ANK25-19061921-S'!D12+'G25-19062224-1'!D12+'G24-19062224'!D12+'BO24-19061820'!D12+'MİR24-19061819-D'!D12+'BO22-19061820-S'!D12+'MİR22-19061819-S'!D12+'ÜN22-19061819-S'!D12+'AYG22-19061920-S'!D12+'ÖL22-19061920-S'!D12+'MİR21-19061819'!D12+'KAZ21-19061820-S'!D12+'G21-19061819'!D12+'YIL20-19061920'!D12+'EMM20-19061719-S'!D12+'EMM19-19061719'!D12+'ÇE19-19061718-S'!D12+'BA19-19061718'!D12+'BA19-19061718-S'!D12+'G18-19061718'!D12+'TRM18-19061617-S'!D12+'KAZ18-19061517-S'!D12+'AYG18-19061617'!D12+'AYG18-19061617-S'!D12+'G17-19061517'!D12+'YIL17-19061617'!D12+'MİR15-19061415-S'!D12+'EM15-19061314-S'!D12+'KAZ14-19061213-S'!D12+'3E14-19061213-S'!D12+'G14-19061214'!D12+'G14-19061213-1'!D12+'ANK14-19061113'!D12+'ANK19061113-S'!D12+'G13-19061213'!D12+'MİR12-19061112-S'!D12+'ÜN12-19061112-S'!D12+'EMM12-19061112-S'!D12+'EMM12-19061112'!D12+'G11-19061011'!D12+'AYG10-19060910-S'!D12+'G10-19060710-1'!D12+'G10-19060710'!D12+'G07-19060307-1'!D12+'G07-19060307'!D12+'EM07-19060607-S'!D12</f>
        <v>9751.2000000000007</v>
      </c>
      <c r="E12" s="29">
        <f t="shared" si="1"/>
        <v>0.30059093529304781</v>
      </c>
      <c r="F12" s="28">
        <f t="shared" si="2"/>
        <v>27.262100893629878</v>
      </c>
      <c r="G12" s="27" t="str">
        <f>IF(C12&gt;=F12,"-","+")</f>
        <v>+</v>
      </c>
      <c r="H12" s="34">
        <f t="shared" si="4"/>
        <v>257431.67999999999</v>
      </c>
      <c r="I12" s="34">
        <f t="shared" si="5"/>
        <v>265838.19823396369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117">
        <f>'BO28-19062627'!D13+'ÖA27-19062526'!D13+'G27-19062627-1'!D13+'G27-19062627'!D13+'BEY26-19062224-D'!D13+'BEY26-19062224-S'!D13+'G26-19062425'!D13+'ANK25-19061921-S'!D13+'G25-19062224-1'!D13+'G24-19062224'!D13+'BO24-19061820'!D13+'MİR24-19061819-D'!D13+'BO22-19061820-S'!D13+'MİR22-19061819-S'!D13+'ÜN22-19061819-S'!D13+'AYG22-19061920-S'!D13+'ÖL22-19061920-S'!D13+'MİR21-19061819'!D13+'KAZ21-19061820-S'!D13+'G21-19061819'!D13+'YIL20-19061920'!D13+'EMM20-19061719-S'!D13+'EMM19-19061719'!D13+'ÇE19-19061718-S'!D13+'BA19-19061718'!D13+'BA19-19061718-S'!D13+'G18-19061718'!D13+'TRM18-19061617-S'!D13+'KAZ18-19061517-S'!D13+'AYG18-19061617'!D13+'AYG18-19061617-S'!D13+'G17-19061517'!D13+'YIL17-19061617'!D13+'MİR15-19061415-S'!D13+'EM15-19061314-S'!D13+'KAZ14-19061213-S'!D13+'3E14-19061213-S'!D13+'G14-19061214'!D13+'G14-19061213-1'!D13+'ANK14-19061113'!D13+'ANK19061113-S'!D13+'G13-19061213'!D13+'MİR12-19061112-S'!D13+'ÜN12-19061112-S'!D13+'EMM12-19061112-S'!D13+'EMM12-19061112'!D13+'G11-19061011'!D13+'AYG10-19060910-S'!D13+'G10-19060710-1'!D13+'G10-19060710'!D13+'G07-19060307-1'!D13+'G07-19060307'!D13+'EM07-19060607-S'!D13</f>
        <v>4491.0000000000009</v>
      </c>
      <c r="E13" s="29">
        <f t="shared" si="1"/>
        <v>0.13843977053091699</v>
      </c>
      <c r="F13" s="28">
        <f t="shared" si="2"/>
        <v>29.843739235829677</v>
      </c>
      <c r="G13" s="27" t="str">
        <f t="shared" si="3"/>
        <v>+</v>
      </c>
      <c r="H13" s="34">
        <f t="shared" si="4"/>
        <v>129789.90000000002</v>
      </c>
      <c r="I13" s="34">
        <f t="shared" si="5"/>
        <v>134028.23290811109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117">
        <f>'BO28-19062627'!D14+'ÖA27-19062526'!D14+'G27-19062627-1'!D14+'G27-19062627'!D14+'BEY26-19062224-D'!D14+'BEY26-19062224-S'!D14+'G26-19062425'!D14+'ANK25-19061921-S'!D14+'G25-19062224-1'!D14+'G24-19062224'!D14+'BO24-19061820'!D14+'MİR24-19061819-D'!D14+'BO22-19061820-S'!D14+'MİR22-19061819-S'!D14+'ÜN22-19061819-S'!D14+'AYG22-19061920-S'!D14+'ÖL22-19061920-S'!D14+'MİR21-19061819'!D14+'KAZ21-19061820-S'!D14+'G21-19061819'!D14+'YIL20-19061920'!D14+'EMM20-19061719-S'!D14+'EMM19-19061719'!D14+'ÇE19-19061718-S'!D14+'BA19-19061718'!D14+'BA19-19061718-S'!D14+'G18-19061718'!D14+'TRM18-19061617-S'!D14+'KAZ18-19061517-S'!D14+'AYG18-19061617'!D14+'AYG18-19061617-S'!D14+'G17-19061517'!D14+'YIL17-19061617'!D14+'MİR15-19061415-S'!D14+'EM15-19061314-S'!D14+'KAZ14-19061213-S'!D14+'3E14-19061213-S'!D14+'G14-19061214'!D14+'G14-19061213-1'!D14+'ANK14-19061113'!D14+'ANK19061113-S'!D14+'G13-19061213'!D14+'MİR12-19061112-S'!D14+'ÜN12-19061112-S'!D14+'EMM12-19061112-S'!D14+'EMM12-19061112'!D14+'G11-19061011'!D14+'AYG10-19060910-S'!D14+'G10-19060710-1'!D14+'G10-19060710'!D14+'G07-19060307-1'!D14+'G07-19060307'!D14+'EM07-19060607-S'!D14</f>
        <v>1301.2</v>
      </c>
      <c r="E14" s="29">
        <f t="shared" si="1"/>
        <v>4.0110850459770468E-2</v>
      </c>
      <c r="F14" s="28">
        <f t="shared" si="2"/>
        <v>33.3547673812214</v>
      </c>
      <c r="G14" s="27" t="str">
        <f t="shared" si="3"/>
        <v>+</v>
      </c>
      <c r="H14" s="34">
        <f t="shared" si="4"/>
        <v>42028.759999999995</v>
      </c>
      <c r="I14" s="34">
        <f t="shared" si="5"/>
        <v>43401.223316445285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117">
        <f>'BO28-19062627'!D15+'ÖA27-19062526'!D15+'G27-19062627-1'!D15+'G27-19062627'!D15+'BEY26-19062224-D'!D15+'BEY26-19062224-S'!D15+'G26-19062425'!D15+'ANK25-19061921-S'!D15+'G25-19062224-1'!D15+'G24-19062224'!D15+'BO24-19061820'!D15+'MİR24-19061819-D'!D15+'BO22-19061820-S'!D15+'MİR22-19061819-S'!D15+'ÜN22-19061819-S'!D15+'AYG22-19061920-S'!D15+'ÖL22-19061920-S'!D15+'MİR21-19061819'!D15+'KAZ21-19061820-S'!D15+'G21-19061819'!D15+'YIL20-19061920'!D15+'EMM20-19061719-S'!D15+'EMM19-19061719'!D15+'ÇE19-19061718-S'!D15+'BA19-19061718'!D15+'BA19-19061718-S'!D15+'G18-19061718'!D15+'TRM18-19061617-S'!D15+'KAZ18-19061517-S'!D15+'AYG18-19061617'!D15+'AYG18-19061617-S'!D15+'G17-19061517'!D15+'YIL17-19061617'!D15+'MİR15-19061415-S'!D15+'EM15-19061314-S'!D15+'KAZ14-19061213-S'!D15+'3E14-19061213-S'!D15+'G14-19061214'!D15+'G14-19061213-1'!D15+'ANK14-19061113'!D15+'ANK19061113-S'!D15+'G13-19061213'!D15+'MİR12-19061112-S'!D15+'ÜN12-19061112-S'!D15+'EMM12-19061112-S'!D15+'EMM12-19061112'!D15+'G11-19061011'!D15+'AYG10-19060910-S'!D15+'G10-19060710-1'!D15+'G10-19060710'!D15+'G07-19060307-1'!D15+'G07-19060307'!D15+'EM07-19060607-S'!D15</f>
        <v>1376.7</v>
      </c>
      <c r="E15" s="29">
        <f t="shared" si="1"/>
        <v>4.2438216898221644E-2</v>
      </c>
      <c r="F15" s="28">
        <f t="shared" si="2"/>
        <v>27.468631961005862</v>
      </c>
      <c r="G15" s="27" t="str">
        <f t="shared" si="3"/>
        <v>+</v>
      </c>
      <c r="H15" s="34">
        <f t="shared" si="4"/>
        <v>36620.22</v>
      </c>
      <c r="I15" s="34">
        <f t="shared" si="5"/>
        <v>37816.06562071677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36.4</v>
      </c>
      <c r="D16" s="117">
        <f>'BO28-19062627'!D16+'ÖA27-19062526'!D16+'G27-19062627-1'!D16+'G27-19062627'!D16+'BEY26-19062224-D'!D16+'BEY26-19062224-S'!D16+'G26-19062425'!D16+'ANK25-19061921-S'!D16+'G25-19062224-1'!D16+'G24-19062224'!D16+'BO24-19061820'!D16+'MİR24-19061819-D'!D16+'BO22-19061820-S'!D16+'MİR22-19061819-S'!D16+'ÜN22-19061819-S'!D16+'AYG22-19061920-S'!D16+'ÖL22-19061920-S'!D16+'MİR21-19061819'!D16+'KAZ21-19061820-S'!D16+'G21-19061819'!D16+'YIL20-19061920'!D16+'EMM20-19061719-S'!D16+'EMM19-19061719'!D16+'ÇE19-19061718-S'!D16+'BA19-19061718'!D16+'BA19-19061718-S'!D16+'G18-19061718'!D16+'TRM18-19061617-S'!D16+'KAZ18-19061517-S'!D16+'AYG18-19061617'!D16+'AYG18-19061617-S'!D16+'G17-19061517'!D16+'YIL17-19061617'!D16+'MİR15-19061415-S'!D16+'EM15-19061314-S'!D16+'KAZ14-19061213-S'!D16+'3E14-19061213-S'!D16+'G14-19061214'!D16+'G14-19061213-1'!D16+'ANK14-19061113'!D16+'ANK19061113-S'!D16+'G13-19061213'!D16+'MİR12-19061112-S'!D16+'ÜN12-19061112-S'!D16+'EMM12-19061112-S'!D16+'EMM12-19061112'!D16+'G11-19061011'!D16+'AYG10-19060910-S'!D16+'G10-19060710-1'!D16+'G10-19060710'!D16+'G07-19060307-1'!D16+'G07-19060307'!D16+'EM07-19060607-S'!D16</f>
        <v>306.7</v>
      </c>
      <c r="E16" s="29">
        <f t="shared" si="1"/>
        <v>9.454348167853982E-3</v>
      </c>
      <c r="F16" s="28">
        <f t="shared" si="2"/>
        <v>37.588654262429074</v>
      </c>
      <c r="G16" s="27" t="str">
        <f t="shared" si="3"/>
        <v>+</v>
      </c>
      <c r="H16" s="34">
        <f t="shared" si="4"/>
        <v>11163.88</v>
      </c>
      <c r="I16" s="34">
        <f t="shared" si="5"/>
        <v>11528.440262286997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53.6</v>
      </c>
      <c r="D17" s="117">
        <f>'BO28-19062627'!D17+'ÖA27-19062526'!D17+'G27-19062627-1'!D17+'G27-19062627'!D17+'BEY26-19062224-D'!D17+'BEY26-19062224-S'!D17+'G26-19062425'!D17+'ANK25-19061921-S'!D17+'G25-19062224-1'!D17+'G24-19062224'!D17+'BO24-19061820'!D17+'MİR24-19061819-D'!D17+'BO22-19061820-S'!D17+'MİR22-19061819-S'!D17+'ÜN22-19061819-S'!D17+'AYG22-19061920-S'!D17+'ÖL22-19061920-S'!D17+'MİR21-19061819'!D17+'KAZ21-19061820-S'!D17+'G21-19061819'!D17+'YIL20-19061920'!D17+'EMM20-19061719-S'!D17+'EMM19-19061719'!D17+'ÇE19-19061718-S'!D17+'BA19-19061718'!D17+'BA19-19061718-S'!D17+'G18-19061718'!D17+'TRM18-19061617-S'!D17+'KAZ18-19061517-S'!D17+'AYG18-19061617'!D17+'AYG18-19061617-S'!D17+'G17-19061517'!D17+'YIL17-19061617'!D17+'MİR15-19061415-S'!D17+'EM15-19061314-S'!D17+'KAZ14-19061213-S'!D17+'3E14-19061213-S'!D17+'G14-19061214'!D17+'G14-19061213-1'!D17+'ANK14-19061113'!D17+'ANK19061113-S'!D17+'G13-19061213'!D17+'MİR12-19061112-S'!D17+'ÜN12-19061112-S'!D17+'EMM12-19061112-S'!D17+'EMM12-19061112'!D17+'G11-19061011'!D17+'AYG10-19060910-S'!D17+'G10-19060710-1'!D17+'G10-19060710'!D17+'G07-19060307-1'!D17+'G07-19060307'!D17+'EM07-19060607-S'!D17</f>
        <v>564.4</v>
      </c>
      <c r="E17" s="29">
        <f t="shared" si="1"/>
        <v>1.739822010413038E-2</v>
      </c>
      <c r="F17" s="28">
        <f t="shared" si="2"/>
        <v>55.350326056763691</v>
      </c>
      <c r="G17" s="27" t="str">
        <f t="shared" si="3"/>
        <v>+</v>
      </c>
      <c r="H17" s="34">
        <f t="shared" si="4"/>
        <v>30251.84</v>
      </c>
      <c r="I17" s="34">
        <f t="shared" si="5"/>
        <v>31239.724026437427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117">
        <f>'BO28-19062627'!D18+'ÖA27-19062526'!D18+'G27-19062627-1'!D18+'G27-19062627'!D18+'BEY26-19062224-D'!D18+'BEY26-19062224-S'!D18+'G26-19062425'!D18+'ANK25-19061921-S'!D18+'G25-19062224-1'!D18+'G24-19062224'!D18+'BO24-19061820'!D18+'MİR24-19061819-D'!D18+'BO22-19061820-S'!D18+'MİR22-19061819-S'!D18+'ÜN22-19061819-S'!D18+'AYG22-19061920-S'!D18+'ÖL22-19061920-S'!D18+'MİR21-19061819'!D18+'KAZ21-19061820-S'!D18+'G21-19061819'!D18+'YIL20-19061920'!D18+'EMM20-19061719-S'!D18+'EMM19-19061719'!D18+'ÇE19-19061718-S'!D18+'BA19-19061718'!D18+'BA19-19061718-S'!D18+'G18-19061718'!D18+'TRM18-19061617-S'!D18+'KAZ18-19061517-S'!D18+'AYG18-19061617'!D18+'AYG18-19061617-S'!D18+'G17-19061517'!D18+'YIL17-19061617'!D18+'MİR15-19061415-S'!D18+'EM15-19061314-S'!D18+'KAZ14-19061213-S'!D18+'3E14-19061213-S'!D18+'G14-19061214'!D18+'G14-19061213-1'!D18+'ANK14-19061113'!D18+'ANK19061113-S'!D18+'G13-19061213'!D18+'MİR12-19061112-S'!D18+'ÜN12-19061112-S'!D18+'EMM12-19061112-S'!D18+'EMM12-19061112'!D18+'G11-19061011'!D18+'AYG10-19060910-S'!D18+'G10-19060710-1'!D18+'G10-19060710'!D18+'G07-19060307-1'!D18+'G07-19060307'!D18+'EM07-19060607-S'!D18</f>
        <v>0</v>
      </c>
      <c r="E18" s="29">
        <f t="shared" si="1"/>
        <v>0</v>
      </c>
      <c r="F18" s="28">
        <f t="shared" si="2"/>
        <v>48.534800833356222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28.68793530229561</v>
      </c>
      <c r="D19" s="49">
        <f>SUM(D10:D18)</f>
        <v>32440.100000000002</v>
      </c>
      <c r="E19" s="48">
        <f t="shared" si="1"/>
        <v>1</v>
      </c>
      <c r="F19" s="47">
        <f>I19/D19</f>
        <v>29.624749493981415</v>
      </c>
      <c r="G19" s="46">
        <f>F19/C19-1</f>
        <v>3.2655336879919838E-2</v>
      </c>
      <c r="H19" s="9">
        <f>SUM(H10:H18)</f>
        <v>930639.48999999987</v>
      </c>
      <c r="I19" s="9">
        <f>SUM(I10:I18)</f>
        <v>961029.83605970652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69.7</v>
      </c>
      <c r="D21" s="117">
        <f>'BO28-19062627'!D21+'ÖA27-19062526'!D21+'G27-19062627-1'!D21+'G27-19062627'!D21+'BEY26-19062224-D'!D21+'BEY26-19062224-S'!D21+'G26-19062425'!D21+'ANK25-19061921-S'!D21+'G25-19062224-1'!D21+'G24-19062224'!D21+'BO24-19061820'!D21+'MİR24-19061819-D'!D21+'BO22-19061820-S'!D21+'MİR22-19061819-S'!D21+'ÜN22-19061819-S'!D21+'AYG22-19061920-S'!D21+'ÖL22-19061920-S'!D21+'MİR21-19061819'!D21+'KAZ21-19061820-S'!D21+'G21-19061819'!D21+'YIL20-19061920'!D21+'EMM20-19061719-S'!D21+'EMM19-19061719'!D21+'ÇE19-19061718-S'!D21+'BA19-19061718'!D21+'BA19-19061718-S'!D21+'G18-19061718'!D21+'TRM18-19061617-S'!D21+'KAZ18-19061517-S'!D21+'AYG18-19061617'!D21+'AYG18-19061617-S'!D21+'G17-19061517'!D21+'YIL17-19061617'!D21+'MİR15-19061415-S'!D21+'EM15-19061314-S'!D21+'KAZ14-19061213-S'!D21+'3E14-19061213-S'!D21+'G14-19061214'!D21+'G14-19061213-1'!D21+'ANK14-19061113'!D21+'ANK19061113-S'!D21+'G13-19061213'!D21+'MİR12-19061112-S'!D21+'ÜN12-19061112-S'!D21+'EMM12-19061112-S'!D21+'EMM12-19061112'!D21+'G11-19061011'!D21+'AYG10-19060910-S'!D21+'G10-19060710-1'!D21+'G10-19060710'!D21+'G07-19060307-1'!D21+'G07-19060307'!D21+'EM07-19060607-S'!D21</f>
        <v>6050.4699999999984</v>
      </c>
      <c r="E21" s="29">
        <f>D21/$D$48</f>
        <v>1.1858877307923305E-2</v>
      </c>
      <c r="F21" s="28">
        <f>C21-(C21*$E$6)</f>
        <v>71.976076980530394</v>
      </c>
      <c r="G21" s="27" t="str">
        <f>IF(C21&gt;=F21,"-","+")</f>
        <v>+</v>
      </c>
      <c r="H21" s="26">
        <f>C21*D21</f>
        <v>421717.7589999999</v>
      </c>
      <c r="I21" s="26">
        <f>F21*D21</f>
        <v>435489.09448838962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46.8</v>
      </c>
      <c r="D22" s="117">
        <f>'BO28-19062627'!D22+'ÖA27-19062526'!D22+'G27-19062627-1'!D22+'G27-19062627'!D22+'BEY26-19062224-D'!D22+'BEY26-19062224-S'!D22+'G26-19062425'!D22+'ANK25-19061921-S'!D22+'G25-19062224-1'!D22+'G24-19062224'!D22+'BO24-19061820'!D22+'MİR24-19061819-D'!D22+'BO22-19061820-S'!D22+'MİR22-19061819-S'!D22+'ÜN22-19061819-S'!D22+'AYG22-19061920-S'!D22+'ÖL22-19061920-S'!D22+'MİR21-19061819'!D22+'KAZ21-19061820-S'!D22+'G21-19061819'!D22+'YIL20-19061920'!D22+'EMM20-19061719-S'!D22+'EMM19-19061719'!D22+'ÇE19-19061718-S'!D22+'BA19-19061718'!D22+'BA19-19061718-S'!D22+'G18-19061718'!D22+'TRM18-19061617-S'!D22+'KAZ18-19061517-S'!D22+'AYG18-19061617'!D22+'AYG18-19061617-S'!D22+'G17-19061517'!D22+'YIL17-19061617'!D22+'MİR15-19061415-S'!D22+'EM15-19061314-S'!D22+'KAZ14-19061213-S'!D22+'3E14-19061213-S'!D22+'G14-19061214'!D22+'G14-19061213-1'!D22+'ANK14-19061113'!D22+'ANK19061113-S'!D22+'G13-19061213'!D22+'MİR12-19061112-S'!D22+'ÜN12-19061112-S'!D22+'EMM12-19061112-S'!D22+'EMM12-19061112'!D22+'G11-19061011'!D22+'AYG10-19060910-S'!D22+'G10-19060710-1'!D22+'G10-19060710'!D22+'G07-19060307-1'!D22+'G07-19060307'!D22+'EM07-19060607-S'!D22</f>
        <v>14163.7</v>
      </c>
      <c r="E22" s="29">
        <f>D22/$D$48</f>
        <v>2.7760749251914872E-2</v>
      </c>
      <c r="F22" s="28">
        <f>C22-(C22*$E$6)</f>
        <v>48.328269765980238</v>
      </c>
      <c r="G22" s="27" t="str">
        <f>IF(C22&gt;=F22,"-","+")</f>
        <v>+</v>
      </c>
      <c r="H22" s="26">
        <f>C22*D22</f>
        <v>662861.16</v>
      </c>
      <c r="I22" s="26">
        <f>F22*D22</f>
        <v>684507.11448441434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117">
        <f>'BO28-19062627'!D23+'ÖA27-19062526'!D23+'G27-19062627-1'!D23+'G27-19062627'!D23+'BEY26-19062224-D'!D23+'BEY26-19062224-S'!D23+'G26-19062425'!D23+'ANK25-19061921-S'!D23+'G25-19062224-1'!D23+'G24-19062224'!D23+'BO24-19061820'!D23+'MİR24-19061819-D'!D23+'BO22-19061820-S'!D23+'MİR22-19061819-S'!D23+'ÜN22-19061819-S'!D23+'AYG22-19061920-S'!D23+'ÖL22-19061920-S'!D23+'MİR21-19061819'!D23+'KAZ21-19061820-S'!D23+'G21-19061819'!D23+'YIL20-19061920'!D23+'EMM20-19061719-S'!D23+'EMM19-19061719'!D23+'ÇE19-19061718-S'!D23+'BA19-19061718'!D23+'BA19-19061718-S'!D23+'G18-19061718'!D23+'TRM18-19061617-S'!D23+'KAZ18-19061517-S'!D23+'AYG18-19061617'!D23+'AYG18-19061617-S'!D23+'G17-19061517'!D23+'YIL17-19061617'!D23+'MİR15-19061415-S'!D23+'EM15-19061314-S'!D23+'KAZ14-19061213-S'!D23+'3E14-19061213-S'!D23+'G14-19061214'!D23+'G14-19061213-1'!D23+'ANK14-19061113'!D23+'ANK19061113-S'!D23+'G13-19061213'!D23+'MİR12-19061112-S'!D23+'ÜN12-19061112-S'!D23+'EMM12-19061112-S'!D23+'EMM12-19061112'!D23+'G11-19061011'!D23+'AYG10-19060910-S'!D23+'G10-19060710-1'!D23+'G10-19060710'!D23+'G07-19060307-1'!D23+'G07-19060307'!D23+'EM07-19060607-S'!D23</f>
        <v>11379.399999999998</v>
      </c>
      <c r="E23" s="29">
        <f>D23/$D$48</f>
        <v>2.2303541450132382E-2</v>
      </c>
      <c r="F23" s="28">
        <f>C23-(C23*$E$6)</f>
        <v>44.094382884772571</v>
      </c>
      <c r="G23" s="27" t="str">
        <f>IF(C23&gt;=F23,"-","+")</f>
        <v>+</v>
      </c>
      <c r="H23" s="26">
        <f>C23*D23</f>
        <v>485900.37999999995</v>
      </c>
      <c r="I23" s="26">
        <f>F23*D23</f>
        <v>501767.62059898092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49.708826796085411</v>
      </c>
      <c r="D24" s="22">
        <f>SUM(D21:D23)</f>
        <v>31593.569999999996</v>
      </c>
      <c r="E24" s="21">
        <f>D24/$D$48</f>
        <v>6.192316800997056E-2</v>
      </c>
      <c r="F24" s="20">
        <f>I24/D24</f>
        <v>51.332085281017157</v>
      </c>
      <c r="G24" s="19">
        <f>F24/C24-1</f>
        <v>3.2655336879919616E-2</v>
      </c>
      <c r="H24" s="18">
        <f>SUM(H21:H23)</f>
        <v>1570479.2989999999</v>
      </c>
      <c r="I24" s="18">
        <f>SUM(I21:I23)</f>
        <v>1621763.8295717849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117">
        <f>'BO28-19062627'!D26+'ÖA27-19062526'!D26+'G27-19062627-1'!D26+'G27-19062627'!D26+'BEY26-19062224-D'!D26+'BEY26-19062224-S'!D26+'G26-19062425'!D26+'ANK25-19061921-S'!D26+'G25-19062224-1'!D26+'G24-19062224'!D26+'BO24-19061820'!D26+'MİR24-19061819-D'!D26+'BO22-19061820-S'!D26+'MİR22-19061819-S'!D26+'ÜN22-19061819-S'!D26+'AYG22-19061920-S'!D26+'ÖL22-19061920-S'!D26+'MİR21-19061819'!D26+'KAZ21-19061820-S'!D26+'G21-19061819'!D26+'YIL20-19061920'!D26+'EMM20-19061719-S'!D26+'EMM19-19061719'!D26+'ÇE19-19061718-S'!D26+'BA19-19061718'!D26+'BA19-19061718-S'!D26+'G18-19061718'!D26+'TRM18-19061617-S'!D26+'KAZ18-19061517-S'!D26+'AYG18-19061617'!D26+'AYG18-19061617-S'!D26+'G17-19061517'!D26+'YIL17-19061617'!D26+'MİR15-19061415-S'!D26+'EM15-19061314-S'!D26+'KAZ14-19061213-S'!D26+'3E14-19061213-S'!D26+'G14-19061214'!D26+'G14-19061213-1'!D26+'ANK14-19061113'!D26+'ANK19061113-S'!D26+'G13-19061213'!D26+'MİR12-19061112-S'!D26+'ÜN12-19061112-S'!D26+'EMM12-19061112-S'!D26+'EMM12-19061112'!D26+'G11-19061011'!D26+'AYG10-19060910-S'!D26+'G10-19060710-1'!D26+'G10-19060710'!D26+'G07-19060307-1'!D26+'G07-19060307'!D26+'EM07-19060607-S'!D26</f>
        <v>97323.4</v>
      </c>
      <c r="E26" s="29">
        <f t="shared" ref="E26:E32" si="7">D26/$D$48</f>
        <v>0.19075315798441167</v>
      </c>
      <c r="F26" s="28">
        <f t="shared" ref="F26:F31" si="8">C26-(C26*$E$6)</f>
        <v>38.41477853193301</v>
      </c>
      <c r="G26" s="27" t="str">
        <f t="shared" ref="G26:G31" si="9">IF(C26&gt;=F26,"-","+")</f>
        <v>+</v>
      </c>
      <c r="H26" s="26">
        <f t="shared" ref="H26:H31" si="10">C26*D26</f>
        <v>3620430.48</v>
      </c>
      <c r="I26" s="26">
        <f t="shared" ref="I26:I31" si="11">F26*D26</f>
        <v>3738656.8569747289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33.1</v>
      </c>
      <c r="D27" s="117">
        <f>'BO28-19062627'!D27+'ÖA27-19062526'!D27+'G27-19062627-1'!D27+'G27-19062627'!D27+'BEY26-19062224-D'!D27+'BEY26-19062224-S'!D27+'G26-19062425'!D27+'ANK25-19061921-S'!D27+'G25-19062224-1'!D27+'G24-19062224'!D27+'BO24-19061820'!D27+'MİR24-19061819-D'!D27+'BO22-19061820-S'!D27+'MİR22-19061819-S'!D27+'ÜN22-19061819-S'!D27+'AYG22-19061920-S'!D27+'ÖL22-19061920-S'!D27+'MİR21-19061819'!D27+'KAZ21-19061820-S'!D27+'G21-19061819'!D27+'YIL20-19061920'!D27+'EMM20-19061719-S'!D27+'EMM19-19061719'!D27+'ÇE19-19061718-S'!D27+'BA19-19061718'!D27+'BA19-19061718-S'!D27+'G18-19061718'!D27+'TRM18-19061617-S'!D27+'KAZ18-19061517-S'!D27+'AYG18-19061617'!D27+'AYG18-19061617-S'!D27+'G17-19061517'!D27+'YIL17-19061617'!D27+'MİR15-19061415-S'!D27+'EM15-19061314-S'!D27+'KAZ14-19061213-S'!D27+'3E14-19061213-S'!D27+'G14-19061214'!D27+'G14-19061213-1'!D27+'ANK14-19061113'!D27+'ANK19061113-S'!D27+'G13-19061213'!D27+'MİR12-19061112-S'!D27+'ÜN12-19061112-S'!D27+'EMM12-19061112-S'!D27+'EMM12-19061112'!D27+'G11-19061011'!D27+'AYG10-19060910-S'!D27+'G10-19060710-1'!D27+'G10-19060710'!D27+'G07-19060307-1'!D27+'G07-19060307'!D27+'EM07-19060607-S'!D27</f>
        <v>76962.599999999991</v>
      </c>
      <c r="E27" s="29">
        <f t="shared" si="7"/>
        <v>0.15084613768827518</v>
      </c>
      <c r="F27" s="28">
        <f t="shared" si="8"/>
        <v>34.180891650725343</v>
      </c>
      <c r="G27" s="27" t="str">
        <f t="shared" si="9"/>
        <v>+</v>
      </c>
      <c r="H27" s="26">
        <f t="shared" si="10"/>
        <v>2547462.0599999996</v>
      </c>
      <c r="I27" s="26">
        <f t="shared" si="11"/>
        <v>2630650.291758114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33.1</v>
      </c>
      <c r="D28" s="117">
        <f>'BO28-19062627'!D28+'ÖA27-19062526'!D28+'G27-19062627-1'!D28+'G27-19062627'!D28+'BEY26-19062224-D'!D28+'BEY26-19062224-S'!D28+'G26-19062425'!D28+'ANK25-19061921-S'!D28+'G25-19062224-1'!D28+'G24-19062224'!D28+'BO24-19061820'!D28+'MİR24-19061819-D'!D28+'BO22-19061820-S'!D28+'MİR22-19061819-S'!D28+'ÜN22-19061819-S'!D28+'AYG22-19061920-S'!D28+'ÖL22-19061920-S'!D28+'MİR21-19061819'!D28+'KAZ21-19061820-S'!D28+'G21-19061819'!D28+'YIL20-19061920'!D28+'EMM20-19061719-S'!D28+'EMM19-19061719'!D28+'ÇE19-19061718-S'!D28+'BA19-19061718'!D28+'BA19-19061718-S'!D28+'G18-19061718'!D28+'TRM18-19061617-S'!D28+'KAZ18-19061517-S'!D28+'AYG18-19061617'!D28+'AYG18-19061617-S'!D28+'G17-19061517'!D28+'YIL17-19061617'!D28+'MİR15-19061415-S'!D28+'EM15-19061314-S'!D28+'KAZ14-19061213-S'!D28+'3E14-19061213-S'!D28+'G14-19061214'!D28+'G14-19061213-1'!D28+'ANK14-19061113'!D28+'ANK19061113-S'!D28+'G13-19061213'!D28+'MİR12-19061112-S'!D28+'ÜN12-19061112-S'!D28+'EMM12-19061112-S'!D28+'EMM12-19061112'!D28+'G11-19061011'!D28+'AYG10-19060910-S'!D28+'G10-19060710-1'!D28+'G10-19060710'!D28+'G07-19060307-1'!D28+'G07-19060307'!D28+'EM07-19060607-S'!D28</f>
        <v>46659.029999999992</v>
      </c>
      <c r="E28" s="29">
        <f t="shared" si="7"/>
        <v>9.1451360320225175E-2</v>
      </c>
      <c r="F28" s="28">
        <f t="shared" si="8"/>
        <v>34.180891650725343</v>
      </c>
      <c r="G28" s="27" t="str">
        <f t="shared" si="9"/>
        <v>+</v>
      </c>
      <c r="H28" s="26">
        <f t="shared" si="10"/>
        <v>1544413.8929999997</v>
      </c>
      <c r="I28" s="26">
        <f t="shared" si="11"/>
        <v>1594847.2489579429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</v>
      </c>
      <c r="D29" s="117">
        <f>'BO28-19062627'!D29+'ÖA27-19062526'!D29+'G27-19062627-1'!D29+'G27-19062627'!D29+'BEY26-19062224-D'!D29+'BEY26-19062224-S'!D29+'G26-19062425'!D29+'ANK25-19061921-S'!D29+'G25-19062224-1'!D29+'G24-19062224'!D29+'BO24-19061820'!D29+'MİR24-19061819-D'!D29+'BO22-19061820-S'!D29+'MİR22-19061819-S'!D29+'ÜN22-19061819-S'!D29+'AYG22-19061920-S'!D29+'ÖL22-19061920-S'!D29+'MİR21-19061819'!D29+'KAZ21-19061820-S'!D29+'G21-19061819'!D29+'YIL20-19061920'!D29+'EMM20-19061719-S'!D29+'EMM19-19061719'!D29+'ÇE19-19061718-S'!D29+'BA19-19061718'!D29+'BA19-19061718-S'!D29+'G18-19061718'!D29+'TRM18-19061617-S'!D29+'KAZ18-19061517-S'!D29+'AYG18-19061617'!D29+'AYG18-19061617-S'!D29+'G17-19061517'!D29+'YIL17-19061617'!D29+'MİR15-19061415-S'!D29+'EM15-19061314-S'!D29+'KAZ14-19061213-S'!D29+'3E14-19061213-S'!D29+'G14-19061214'!D29+'G14-19061213-1'!D29+'ANK14-19061113'!D29+'ANK19061113-S'!D29+'G13-19061213'!D29+'MİR12-19061112-S'!D29+'ÜN12-19061112-S'!D29+'EMM12-19061112-S'!D29+'EMM12-19061112'!D29+'G11-19061011'!D29+'AYG10-19060910-S'!D29+'G10-19060710-1'!D29+'G10-19060710'!D29+'G07-19060307-1'!D29+'G07-19060307'!D29+'EM07-19060607-S'!D29</f>
        <v>43588.2</v>
      </c>
      <c r="E29" s="29">
        <f t="shared" si="7"/>
        <v>8.5432555797024481E-2</v>
      </c>
      <c r="F29" s="28">
        <f t="shared" si="8"/>
        <v>33.044970780157428</v>
      </c>
      <c r="G29" s="27" t="str">
        <f t="shared" si="9"/>
        <v>+</v>
      </c>
      <c r="H29" s="26">
        <f t="shared" si="10"/>
        <v>1394822.4</v>
      </c>
      <c r="I29" s="26">
        <f t="shared" si="11"/>
        <v>1440370.7953596578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</v>
      </c>
      <c r="D30" s="117">
        <f>'BO28-19062627'!D30+'ÖA27-19062526'!D30+'G27-19062627-1'!D30+'G27-19062627'!D30+'BEY26-19062224-D'!D30+'BEY26-19062224-S'!D30+'G26-19062425'!D30+'ANK25-19061921-S'!D30+'G25-19062224-1'!D30+'G24-19062224'!D30+'BO24-19061820'!D30+'MİR24-19061819-D'!D30+'BO22-19061820-S'!D30+'MİR22-19061819-S'!D30+'ÜN22-19061819-S'!D30+'AYG22-19061920-S'!D30+'ÖL22-19061920-S'!D30+'MİR21-19061819'!D30+'KAZ21-19061820-S'!D30+'G21-19061819'!D30+'YIL20-19061920'!D30+'EMM20-19061719-S'!D30+'EMM19-19061719'!D30+'ÇE19-19061718-S'!D30+'BA19-19061718'!D30+'BA19-19061718-S'!D30+'G18-19061718'!D30+'TRM18-19061617-S'!D30+'KAZ18-19061517-S'!D30+'AYG18-19061617'!D30+'AYG18-19061617-S'!D30+'G17-19061517'!D30+'YIL17-19061617'!D30+'MİR15-19061415-S'!D30+'EM15-19061314-S'!D30+'KAZ14-19061213-S'!D30+'3E14-19061213-S'!D30+'G14-19061214'!D30+'G14-19061213-1'!D30+'ANK14-19061113'!D30+'ANK19061113-S'!D30+'G13-19061213'!D30+'MİR12-19061112-S'!D30+'ÜN12-19061112-S'!D30+'EMM12-19061112-S'!D30+'EMM12-19061112'!D30+'G11-19061011'!D30+'AYG10-19060910-S'!D30+'G10-19060710-1'!D30+'G10-19060710'!D30+'G07-19060307-1'!D30+'G07-19060307'!D30+'EM07-19060607-S'!D30</f>
        <v>32379.000000000004</v>
      </c>
      <c r="E30" s="29">
        <f t="shared" si="7"/>
        <v>6.3462605112205972E-2</v>
      </c>
      <c r="F30" s="28">
        <f t="shared" si="8"/>
        <v>33.044970780157428</v>
      </c>
      <c r="G30" s="27" t="str">
        <f t="shared" si="9"/>
        <v>+</v>
      </c>
      <c r="H30" s="26">
        <f t="shared" si="10"/>
        <v>1036128.0000000001</v>
      </c>
      <c r="I30" s="26">
        <f t="shared" si="11"/>
        <v>1069963.1088907174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117">
        <f>'BO28-19062627'!D31+'ÖA27-19062526'!D31+'G27-19062627-1'!D31+'G27-19062627'!D31+'BEY26-19062224-D'!D31+'BEY26-19062224-S'!D31+'G26-19062425'!D31+'ANK25-19061921-S'!D31+'G25-19062224-1'!D31+'G24-19062224'!D31+'BO24-19061820'!D31+'MİR24-19061819-D'!D31+'BO22-19061820-S'!D31+'MİR22-19061819-S'!D31+'ÜN22-19061819-S'!D31+'AYG22-19061920-S'!D31+'ÖL22-19061920-S'!D31+'MİR21-19061819'!D31+'KAZ21-19061820-S'!D31+'G21-19061819'!D31+'YIL20-19061920'!D31+'EMM20-19061719-S'!D31+'EMM19-19061719'!D31+'ÇE19-19061718-S'!D31+'BA19-19061718'!D31+'BA19-19061718-S'!D31+'G18-19061718'!D31+'TRM18-19061617-S'!D31+'KAZ18-19061517-S'!D31+'AYG18-19061617'!D31+'AYG18-19061617-S'!D31+'G17-19061517'!D31+'YIL17-19061617'!D31+'MİR15-19061415-S'!D31+'EM15-19061314-S'!D31+'KAZ14-19061213-S'!D31+'3E14-19061213-S'!D31+'G14-19061214'!D31+'G14-19061213-1'!D31+'ANK14-19061113'!D31+'ANK19061113-S'!D31+'G13-19061213'!D31+'MİR12-19061112-S'!D31+'ÜN12-19061112-S'!D31+'EMM12-19061112-S'!D31+'EMM12-19061112'!D31+'G11-19061011'!D31+'AYG10-19060910-S'!D31+'G10-19060710-1'!D31+'G10-19060710'!D31+'G07-19060307-1'!D31+'G07-19060307'!D31+'EM07-19060607-S'!D31</f>
        <v>9805.1</v>
      </c>
      <c r="E31" s="29">
        <f t="shared" si="7"/>
        <v>1.9217924870616472E-2</v>
      </c>
      <c r="F31" s="28">
        <f t="shared" si="8"/>
        <v>33.664563982285379</v>
      </c>
      <c r="G31" s="27" t="str">
        <f t="shared" si="9"/>
        <v>+</v>
      </c>
      <c r="H31" s="26">
        <f t="shared" si="10"/>
        <v>319646.26</v>
      </c>
      <c r="I31" s="26">
        <f t="shared" si="11"/>
        <v>330084.41630270641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34.112526647907373</v>
      </c>
      <c r="D32" s="22">
        <f>SUM(D26:D31)</f>
        <v>306717.32999999996</v>
      </c>
      <c r="E32" s="21">
        <f t="shared" si="7"/>
        <v>0.60116374177275889</v>
      </c>
      <c r="F32" s="20">
        <f>I32/D32</f>
        <v>35.226482697420032</v>
      </c>
      <c r="G32" s="19">
        <f>F32/C32-1</f>
        <v>3.2655336879919838E-2</v>
      </c>
      <c r="H32" s="18">
        <f>SUM(H26:H31)</f>
        <v>10462903.092999998</v>
      </c>
      <c r="I32" s="18">
        <f>SUM(I26:I31)</f>
        <v>10804572.718243869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117">
        <f>'BO28-19062627'!D34+'ÖA27-19062526'!D34+'G27-19062627-1'!D34+'G27-19062627'!D34+'BEY26-19062224-D'!D34+'BEY26-19062224-S'!D34+'G26-19062425'!D34+'ANK25-19061921-S'!D34+'G25-19062224-1'!D34+'G24-19062224'!D34+'BO24-19061820'!D34+'MİR24-19061819-D'!D34+'BO22-19061820-S'!D34+'MİR22-19061819-S'!D34+'ÜN22-19061819-S'!D34+'AYG22-19061920-S'!D34+'ÖL22-19061920-S'!D34+'MİR21-19061819'!D34+'KAZ21-19061820-S'!D34+'G21-19061819'!D34+'YIL20-19061920'!D34+'EMM20-19061719-S'!D34+'EMM19-19061719'!D34+'ÇE19-19061718-S'!D34+'BA19-19061718'!D34+'BA19-19061718-S'!D34+'G18-19061718'!D34+'TRM18-19061617-S'!D34+'KAZ18-19061517-S'!D34+'AYG18-19061617'!D34+'AYG18-19061617-S'!D34+'G17-19061517'!D34+'YIL17-19061617'!D34+'MİR15-19061415-S'!D34+'EM15-19061314-S'!D34+'KAZ14-19061213-S'!D34+'3E14-19061213-S'!D34+'G14-19061214'!D34+'G14-19061213-1'!D34+'ANK14-19061113'!D34+'ANK19061113-S'!D34+'G13-19061213'!D34+'MİR12-19061112-S'!D34+'ÜN12-19061112-S'!D34+'EMM12-19061112-S'!D34+'EMM12-19061112'!D34+'G11-19061011'!D34+'AYG10-19060910-S'!D34+'G10-19060710-1'!D34+'G10-19060710'!D34+'G07-19060307-1'!D34+'G07-19060307'!D34+'EM07-19060607-S'!D34</f>
        <v>77209.899999999994</v>
      </c>
      <c r="E34" s="29">
        <f t="shared" ref="E34:E40" si="13">D34/$D$48</f>
        <v>0.15133084389428059</v>
      </c>
      <c r="F34" s="28">
        <f t="shared" ref="F34:F39" si="14">C34-(C34*$E$6)</f>
        <v>20.240044602846424</v>
      </c>
      <c r="G34" s="27" t="str">
        <f t="shared" ref="G34:G39" si="15">IF(C34&gt;=F34,"-","+")</f>
        <v>+</v>
      </c>
      <c r="H34" s="26">
        <f t="shared" ref="H34:H39" si="16">C34*D34</f>
        <v>1513314.04</v>
      </c>
      <c r="I34" s="26">
        <f t="shared" ref="I34:I39" si="17">F34*D34</f>
        <v>1562731.819781312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117">
        <f>'BO28-19062627'!D35+'ÖA27-19062526'!D35+'G27-19062627-1'!D35+'G27-19062627'!D35+'BEY26-19062224-D'!D35+'BEY26-19062224-S'!D35+'G26-19062425'!D35+'ANK25-19061921-S'!D35+'G25-19062224-1'!D35+'G24-19062224'!D35+'BO24-19061820'!D35+'MİR24-19061819-D'!D35+'BO22-19061820-S'!D35+'MİR22-19061819-S'!D35+'ÜN22-19061819-S'!D35+'AYG22-19061920-S'!D35+'ÖL22-19061920-S'!D35+'MİR21-19061819'!D35+'KAZ21-19061820-S'!D35+'G21-19061819'!D35+'YIL20-19061920'!D35+'EMM20-19061719-S'!D35+'EMM19-19061719'!D35+'ÇE19-19061718-S'!D35+'BA19-19061718'!D35+'BA19-19061718-S'!D35+'G18-19061718'!D35+'TRM18-19061617-S'!D35+'KAZ18-19061517-S'!D35+'AYG18-19061617'!D35+'AYG18-19061617-S'!D35+'G17-19061517'!D35+'YIL17-19061617'!D35+'MİR15-19061415-S'!D35+'EM15-19061314-S'!D35+'KAZ14-19061213-S'!D35+'3E14-19061213-S'!D35+'G14-19061214'!D35+'G14-19061213-1'!D35+'ANK14-19061113'!D35+'ANK19061113-S'!D35+'G13-19061213'!D35+'MİR12-19061112-S'!D35+'ÜN12-19061112-S'!D35+'EMM12-19061112-S'!D35+'EMM12-19061112'!D35+'G11-19061011'!D35+'AYG10-19060910-S'!D35+'G10-19060710-1'!D35+'G10-19060710'!D35+'G07-19060307-1'!D35+'G07-19060307'!D35+'EM07-19060607-S'!D35</f>
        <v>2881.0999999999995</v>
      </c>
      <c r="E35" s="29">
        <f t="shared" si="13"/>
        <v>5.6469350995638091E-3</v>
      </c>
      <c r="F35" s="28">
        <f t="shared" si="14"/>
        <v>15.593095586886786</v>
      </c>
      <c r="G35" s="27" t="str">
        <f t="shared" si="15"/>
        <v>+</v>
      </c>
      <c r="H35" s="26">
        <f t="shared" si="16"/>
        <v>43504.609999999993</v>
      </c>
      <c r="I35" s="26">
        <f t="shared" si="17"/>
        <v>44925.267695379509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117">
        <f>'BO28-19062627'!D36+'ÖA27-19062526'!D36+'G27-19062627-1'!D36+'G27-19062627'!D36+'BEY26-19062224-D'!D36+'BEY26-19062224-S'!D36+'G26-19062425'!D36+'ANK25-19061921-S'!D36+'G25-19062224-1'!D36+'G24-19062224'!D36+'BO24-19061820'!D36+'MİR24-19061819-D'!D36+'BO22-19061820-S'!D36+'MİR22-19061819-S'!D36+'ÜN22-19061819-S'!D36+'AYG22-19061920-S'!D36+'ÖL22-19061920-S'!D36+'MİR21-19061819'!D36+'KAZ21-19061820-S'!D36+'G21-19061819'!D36+'YIL20-19061920'!D36+'EMM20-19061719-S'!D36+'EMM19-19061719'!D36+'ÇE19-19061718-S'!D36+'BA19-19061718'!D36+'BA19-19061718-S'!D36+'G18-19061718'!D36+'TRM18-19061617-S'!D36+'KAZ18-19061517-S'!D36+'AYG18-19061617'!D36+'AYG18-19061617-S'!D36+'G17-19061517'!D36+'YIL17-19061617'!D36+'MİR15-19061415-S'!D36+'EM15-19061314-S'!D36+'KAZ14-19061213-S'!D36+'3E14-19061213-S'!D36+'G14-19061214'!D36+'G14-19061213-1'!D36+'ANK14-19061113'!D36+'ANK19061113-S'!D36+'G13-19061213'!D36+'MİR12-19061112-S'!D36+'ÜN12-19061112-S'!D36+'EMM12-19061112-S'!D36+'EMM12-19061112'!D36+'G11-19061011'!D36+'AYG10-19060910-S'!D36+'G10-19060710-1'!D36+'G10-19060710'!D36+'G07-19060307-1'!D36+'G07-19060307'!D36+'EM07-19060607-S'!D36</f>
        <v>0</v>
      </c>
      <c r="E36" s="29">
        <f t="shared" si="13"/>
        <v>0</v>
      </c>
      <c r="F36" s="28">
        <f t="shared" si="14"/>
        <v>12.495129576247027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</v>
      </c>
      <c r="D37" s="117">
        <f>'BO28-19062627'!D37+'ÖA27-19062526'!D37+'G27-19062627-1'!D37+'G27-19062627'!D37+'BEY26-19062224-D'!D37+'BEY26-19062224-S'!D37+'G26-19062425'!D37+'ANK25-19061921-S'!D37+'G25-19062224-1'!D37+'G24-19062224'!D37+'BO24-19061820'!D37+'MİR24-19061819-D'!D37+'BO22-19061820-S'!D37+'MİR22-19061819-S'!D37+'ÜN22-19061819-S'!D37+'AYG22-19061920-S'!D37+'ÖL22-19061920-S'!D37+'MİR21-19061819'!D37+'KAZ21-19061820-S'!D37+'G21-19061819'!D37+'YIL20-19061920'!D37+'EMM20-19061719-S'!D37+'EMM19-19061719'!D37+'ÇE19-19061718-S'!D37+'BA19-19061718'!D37+'BA19-19061718-S'!D37+'G18-19061718'!D37+'TRM18-19061617-S'!D37+'KAZ18-19061517-S'!D37+'AYG18-19061617'!D37+'AYG18-19061617-S'!D37+'G17-19061517'!D37+'YIL17-19061617'!D37+'MİR15-19061415-S'!D37+'EM15-19061314-S'!D37+'KAZ14-19061213-S'!D37+'3E14-19061213-S'!D37+'G14-19061214'!D37+'G14-19061213-1'!D37+'ANK14-19061113'!D37+'ANK19061113-S'!D37+'G13-19061213'!D37+'MİR12-19061112-S'!D37+'ÜN12-19061112-S'!D37+'EMM12-19061112-S'!D37+'EMM12-19061112'!D37+'G11-19061011'!D37+'AYG10-19060910-S'!D37+'G10-19060710-1'!D37+'G10-19060710'!D37+'G07-19060307-1'!D37+'G07-19060307'!D37+'EM07-19060607-S'!D37</f>
        <v>0</v>
      </c>
      <c r="E37" s="29">
        <f t="shared" si="13"/>
        <v>0</v>
      </c>
      <c r="F37" s="28">
        <f t="shared" si="14"/>
        <v>33.044970780157428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</v>
      </c>
      <c r="D38" s="117">
        <f>'BO28-19062627'!D38+'ÖA27-19062526'!D38+'G27-19062627-1'!D38+'G27-19062627'!D38+'BEY26-19062224-D'!D38+'BEY26-19062224-S'!D38+'G26-19062425'!D38+'ANK25-19061921-S'!D38+'G25-19062224-1'!D38+'G24-19062224'!D38+'BO24-19061820'!D38+'MİR24-19061819-D'!D38+'BO22-19061820-S'!D38+'MİR22-19061819-S'!D38+'ÜN22-19061819-S'!D38+'AYG22-19061920-S'!D38+'ÖL22-19061920-S'!D38+'MİR21-19061819'!D38+'KAZ21-19061820-S'!D38+'G21-19061819'!D38+'YIL20-19061920'!D38+'EMM20-19061719-S'!D38+'EMM19-19061719'!D38+'ÇE19-19061718-S'!D38+'BA19-19061718'!D38+'BA19-19061718-S'!D38+'G18-19061718'!D38+'TRM18-19061617-S'!D38+'KAZ18-19061517-S'!D38+'AYG18-19061617'!D38+'AYG18-19061617-S'!D38+'G17-19061517'!D38+'YIL17-19061617'!D38+'MİR15-19061415-S'!D38+'EM15-19061314-S'!D38+'KAZ14-19061213-S'!D38+'3E14-19061213-S'!D38+'G14-19061214'!D38+'G14-19061213-1'!D38+'ANK14-19061113'!D38+'ANK19061113-S'!D38+'G13-19061213'!D38+'MİR12-19061112-S'!D38+'ÜN12-19061112-S'!D38+'EMM12-19061112-S'!D38+'EMM12-19061112'!D38+'G11-19061011'!D38+'AYG10-19060910-S'!D38+'G10-19060710-1'!D38+'G10-19060710'!D38+'G07-19060307-1'!D38+'G07-19060307'!D38+'EM07-19060607-S'!D38</f>
        <v>0</v>
      </c>
      <c r="E38" s="29">
        <f t="shared" si="13"/>
        <v>0</v>
      </c>
      <c r="F38" s="28">
        <f t="shared" si="14"/>
        <v>33.044970780157428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33.1</v>
      </c>
      <c r="D39" s="117">
        <f>'BO28-19062627'!D39+'ÖA27-19062526'!D39+'G27-19062627-1'!D39+'G27-19062627'!D39+'BEY26-19062224-D'!D39+'BEY26-19062224-S'!D39+'G26-19062425'!D39+'ANK25-19061921-S'!D39+'G25-19062224-1'!D39+'G24-19062224'!D39+'BO24-19061820'!D39+'MİR24-19061819-D'!D39+'BO22-19061820-S'!D39+'MİR22-19061819-S'!D39+'ÜN22-19061819-S'!D39+'AYG22-19061920-S'!D39+'ÖL22-19061920-S'!D39+'MİR21-19061819'!D39+'KAZ21-19061820-S'!D39+'G21-19061819'!D39+'YIL20-19061920'!D39+'EMM20-19061719-S'!D39+'EMM19-19061719'!D39+'ÇE19-19061718-S'!D39+'BA19-19061718'!D39+'BA19-19061718-S'!D39+'G18-19061718'!D39+'TRM18-19061617-S'!D39+'KAZ18-19061517-S'!D39+'AYG18-19061617'!D39+'AYG18-19061617-S'!D39+'G17-19061517'!D39+'YIL17-19061617'!D39+'MİR15-19061415-S'!D39+'EM15-19061314-S'!D39+'KAZ14-19061213-S'!D39+'3E14-19061213-S'!D39+'G14-19061214'!D39+'G14-19061213-1'!D39+'ANK14-19061113'!D39+'ANK19061113-S'!D39+'G13-19061213'!D39+'MİR12-19061112-S'!D39+'ÜN12-19061112-S'!D39+'EMM12-19061112-S'!D39+'EMM12-19061112'!D39+'G11-19061011'!D39+'AYG10-19060910-S'!D39+'G10-19060710-1'!D39+'G10-19060710'!D39+'G07-19060307-1'!D39+'G07-19060307'!D39+'EM07-19060607-S'!D39</f>
        <v>0</v>
      </c>
      <c r="E39" s="29">
        <f t="shared" si="13"/>
        <v>0</v>
      </c>
      <c r="F39" s="28">
        <f t="shared" si="14"/>
        <v>34.180891650725343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19.438122260928196</v>
      </c>
      <c r="D40" s="22">
        <f>SUM(D34:D39)</f>
        <v>80091</v>
      </c>
      <c r="E40" s="21">
        <f t="shared" si="13"/>
        <v>0.15697777899384441</v>
      </c>
      <c r="F40" s="20">
        <f>I40/D40</f>
        <v>20.072880691671866</v>
      </c>
      <c r="G40" s="19">
        <f>F40/C40-1</f>
        <v>3.2655336879919394E-2</v>
      </c>
      <c r="H40" s="18">
        <f>SUM(H34:H39)</f>
        <v>1556818.6500000001</v>
      </c>
      <c r="I40" s="18">
        <f>SUM(I34:I39)</f>
        <v>1607657.0874766915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117">
        <f>'BO28-19062627'!D42+'ÖA27-19062526'!D42+'G27-19062627-1'!D42+'G27-19062627'!D42+'BEY26-19062224-D'!D42+'BEY26-19062224-S'!D42+'G26-19062425'!D42+'ANK25-19061921-S'!D42+'G25-19062224-1'!D42+'G24-19062224'!D42+'BO24-19061820'!D42+'MİR24-19061819-D'!D42+'BO22-19061820-S'!D42+'MİR22-19061819-S'!D42+'ÜN22-19061819-S'!D42+'AYG22-19061920-S'!D42+'ÖL22-19061920-S'!D42+'MİR21-19061819'!D42+'KAZ21-19061820-S'!D42+'G21-19061819'!D42+'YIL20-19061920'!D42+'EMM20-19061719-S'!D42+'EMM19-19061719'!D42+'ÇE19-19061718-S'!D42+'BA19-19061718'!D42+'BA19-19061718-S'!D42+'G18-19061718'!D42+'TRM18-19061617-S'!D42+'KAZ18-19061517-S'!D42+'AYG18-19061617'!D42+'AYG18-19061617-S'!D42+'G17-19061517'!D42+'YIL17-19061617'!D42+'MİR15-19061415-S'!D42+'EM15-19061314-S'!D42+'KAZ14-19061213-S'!D42+'3E14-19061213-S'!D42+'G14-19061214'!D42+'G14-19061213-1'!D42+'ANK14-19061113'!D42+'ANK19061113-S'!D42+'G13-19061213'!D42+'MİR12-19061112-S'!D42+'ÜN12-19061112-S'!D42+'EMM12-19061112-S'!D42+'EMM12-19061112'!D42+'G11-19061011'!D42+'AYG10-19060910-S'!D42+'G10-19060710-1'!D42+'G10-19060710'!D42+'G07-19060307-1'!D42+'G07-19060307'!D42+'EM07-19060607-S'!D42</f>
        <v>87691.9</v>
      </c>
      <c r="E42" s="107">
        <f>D42/$D$48</f>
        <v>0.17187548785444434</v>
      </c>
      <c r="F42" s="28">
        <f>C42-(C42*$E$6)</f>
        <v>0.51632766843995981</v>
      </c>
      <c r="G42" s="27" t="str">
        <f>IF(C42&gt;=F42,"-","+")</f>
        <v>+</v>
      </c>
      <c r="H42" s="26">
        <f>C42*D42</f>
        <v>43845.95</v>
      </c>
      <c r="I42" s="26">
        <f>F42*D42</f>
        <v>45277.754268070108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117">
        <f>'BO28-19062627'!D43+'ÖA27-19062526'!D43+'G27-19062627-1'!D43+'G27-19062627'!D43+'BEY26-19062224-D'!D43+'BEY26-19062224-S'!D43+'G26-19062425'!D43+'ANK25-19061921-S'!D43+'G25-19062224-1'!D43+'G24-19062224'!D43+'BO24-19061820'!D43+'MİR24-19061819-D'!D43+'BO22-19061820-S'!D43+'MİR22-19061819-S'!D43+'ÜN22-19061819-S'!D43+'AYG22-19061920-S'!D43+'ÖL22-19061920-S'!D43+'MİR21-19061819'!D43+'KAZ21-19061820-S'!D43+'G21-19061819'!D43+'YIL20-19061920'!D43+'EMM20-19061719-S'!D43+'EMM19-19061719'!D43+'ÇE19-19061718-S'!D43+'BA19-19061718'!D43+'BA19-19061718-S'!D43+'G18-19061718'!D43+'TRM18-19061617-S'!D43+'KAZ18-19061517-S'!D43+'AYG18-19061617'!D43+'AYG18-19061617-S'!D43+'G17-19061517'!D43+'YIL17-19061617'!D43+'MİR15-19061415-S'!D43+'EM15-19061314-S'!D43+'KAZ14-19061213-S'!D43+'3E14-19061213-S'!D43+'G14-19061214'!D43+'G14-19061213-1'!D43+'ANK14-19061113'!D43+'ANK19061113-S'!D43+'G13-19061213'!D43+'MİR12-19061112-S'!D43+'ÜN12-19061112-S'!D43+'EMM12-19061112-S'!D43+'EMM12-19061112'!D43+'G11-19061011'!D43+'AYG10-19060910-S'!D43+'G10-19060710-1'!D43+'G10-19060710'!D43+'G07-19060307-1'!D43+'G07-19060307'!D43+'EM07-19060607-S'!D43</f>
        <v>3634.099999999999</v>
      </c>
      <c r="E43" s="107">
        <f>D43/$D$48</f>
        <v>7.1228096370569696E-3</v>
      </c>
      <c r="F43" s="28">
        <f>C43-(C43*$E$6)</f>
        <v>0.51632766843995981</v>
      </c>
      <c r="G43" s="27" t="str">
        <f>IF(C43&gt;=F43,"-","+")</f>
        <v>+</v>
      </c>
      <c r="H43" s="26">
        <f>C43*D43</f>
        <v>1817.0499999999995</v>
      </c>
      <c r="I43" s="26">
        <f>F43*D43</f>
        <v>1876.3863798776574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BO28-19062627'!D44+'ÖA27-19062526'!D44+'G27-19062627-1'!D44+'G27-19062627'!D44+'BEY26-19062224-D'!D44+'BEY26-19062224-S'!D44+'G26-19062425'!D44+'ANK25-19061921-S'!D44+'G25-19062224-1'!D44+'G24-19062224'!D44+'BO24-19061820'!D44+'MİR24-19061819-D'!D44+'BO22-19061820-S'!D44+'MİR22-19061819-S'!D44+'ÜN22-19061819-S'!D44+'AYG22-19061920-S'!D44+'ÖL22-19061920-S'!D44+'MİR21-19061819'!D44+'KAZ21-19061820-S'!D44+'G21-19061819'!D44+'YIL20-19061920'!D44+'EMM20-19061719-S'!D44+'EMM19-19061719'!D44+'ÇE19-19061718-S'!D44+'BA19-19061718'!D44+'BA19-19061718-S'!D44+'G18-19061718'!D44+'TRM18-19061617-S'!D44+'KAZ18-19061517-S'!D44+'AYG18-19061617'!D44+'AYG18-19061617-S'!D44+'G17-19061517'!D44+'YIL17-19061617'!D44+'MİR15-19061415-S'!D44+'EM15-19061314-S'!D44+'KAZ14-19061213-S'!D44+'3E14-19061213-S'!D44+'G14-19061214'!D44+'G14-19061213-1'!D44+'ANK14-19061113'!D44+'ANK19061113-S'!D44+'G13-19061213'!D44+'MİR12-19061112-S'!D44+'ÜN12-19061112-S'!D44+'EMM12-19061112-S'!D44+'EMM12-19061112'!D44+'G11-19061011'!D44+'AYG10-19060910-S'!D44+'G10-19060710-1'!D44+'G10-19060710'!D44+'G07-19060307-1'!D44+'G07-19060307'!D44+'EM07-19060607-S'!D44</f>
        <v>187.5</v>
      </c>
      <c r="E44" s="107">
        <f>D44/$D$48</f>
        <v>3.6749863981403434E-4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BO28-19062627'!D45+'ÖA27-19062526'!D45+'G27-19062627-1'!D45+'G27-19062627'!D45+'BEY26-19062224-D'!D45+'BEY26-19062224-S'!D45+'G26-19062425'!D45+'ANK25-19061921-S'!D45+'G25-19062224-1'!D45+'G24-19062224'!D45+'BO24-19061820'!D45+'MİR24-19061819-D'!D45+'BO22-19061820-S'!D45+'MİR22-19061819-S'!D45+'ÜN22-19061819-S'!D45+'AYG22-19061920-S'!D45+'ÖL22-19061920-S'!D45+'MİR21-19061819'!D45+'KAZ21-19061820-S'!D45+'G21-19061819'!D45+'YIL20-19061920'!D45+'EMM20-19061719-S'!D45+'EMM19-19061719'!D45+'ÇE19-19061718-S'!D45+'BA19-19061718'!D45+'BA19-19061718-S'!D45+'G18-19061718'!D45+'TRM18-19061617-S'!D45+'KAZ18-19061517-S'!D45+'AYG18-19061617'!D45+'AYG18-19061617-S'!D45+'G17-19061517'!D45+'YIL17-19061617'!D45+'MİR15-19061415-S'!D45+'EM15-19061314-S'!D45+'KAZ14-19061213-S'!D45+'3E14-19061213-S'!D45+'G14-19061214'!D45+'G14-19061213-1'!D45+'ANK14-19061113'!D45+'ANK19061113-S'!D45+'G13-19061213'!D45+'MİR12-19061112-S'!D45+'ÜN12-19061112-S'!D45+'EMM12-19061112-S'!D45+'EMM12-19061112'!D45+'G11-19061011'!D45+'AYG10-19060910-S'!D45+'G10-19060710-1'!D45+'G10-19060710'!D45+'G07-19060307-1'!D45+'G07-19060307'!D45+'EM07-19060607-S'!D45</f>
        <v>290.56999999999988</v>
      </c>
      <c r="E45" s="107">
        <f>D45/$D$48</f>
        <v>5.6951509211074084E-4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0.49739624833626656</v>
      </c>
      <c r="D46" s="22">
        <f>SUM(D41:D45)</f>
        <v>91804.07</v>
      </c>
      <c r="E46" s="21">
        <f>D46/$D$48</f>
        <v>0.17993531122342613</v>
      </c>
      <c r="F46" s="20">
        <f>I46/D46</f>
        <v>0.51363889038849542</v>
      </c>
      <c r="G46" s="19">
        <f>F46/C46-1</f>
        <v>3.2655336879919394E-2</v>
      </c>
      <c r="H46" s="18">
        <f>SUM(H41:H44)</f>
        <v>45663</v>
      </c>
      <c r="I46" s="18">
        <f>SUM(I41:I44)</f>
        <v>47154.140647947766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103.75687195325726</v>
      </c>
      <c r="D48" s="13">
        <f>D24+D32+D40+D46</f>
        <v>510205.97</v>
      </c>
      <c r="E48" s="12">
        <f>SUM(E20:E46)/2</f>
        <v>1.0000000000000002</v>
      </c>
      <c r="F48" s="11">
        <f>I48/D48</f>
        <v>27.598947491618521</v>
      </c>
      <c r="G48" s="10"/>
      <c r="H48" s="9">
        <f>SUM(H20:H46)/2</f>
        <v>13635864.041999998</v>
      </c>
      <c r="I48" s="9">
        <f>SUM(I20:I46)/2</f>
        <v>14081147.775940293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542646.06999999995</v>
      </c>
      <c r="E50" s="12">
        <f>D50/G2</f>
        <v>0.99999810189716298</v>
      </c>
      <c r="F50" s="11">
        <f>I50/D50</f>
        <v>27.720052615510514</v>
      </c>
      <c r="G50" s="10"/>
      <c r="H50" s="9">
        <f>H48+H19</f>
        <v>14566503.531999998</v>
      </c>
      <c r="I50" s="9">
        <f>I48+I19</f>
        <v>15042177.612</v>
      </c>
      <c r="J50" s="106">
        <f>D50-G2</f>
        <v>-1.0300000000279397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27.720052615510514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>
    <tabColor rgb="FF92D050"/>
  </sheetPr>
  <dimension ref="A1:K56"/>
  <sheetViews>
    <sheetView topLeftCell="A4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717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717</v>
      </c>
      <c r="D2" s="96" t="s">
        <v>3</v>
      </c>
      <c r="E2" s="95" t="s">
        <v>362</v>
      </c>
      <c r="F2" s="94" t="s">
        <v>5</v>
      </c>
      <c r="G2" s="93">
        <v>14255.9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176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80.999431818181819</v>
      </c>
      <c r="F4" s="81" t="s">
        <v>12</v>
      </c>
      <c r="G4" s="80">
        <f>G2*G3</f>
        <v>399165.2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-1.9571998457375006E-3</v>
      </c>
      <c r="F6" s="69" t="s">
        <v>16</v>
      </c>
      <c r="G6" s="68">
        <f>(I50-I19)/(D50-(SUM(D42:D44)+D19))</f>
        <v>33.093061623790618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28.054801595680651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29.257150235495534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26.652061515896619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29.257150235495534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32.663804714971043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26.952648675850337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36.872024954323138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54.306080231638973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47.492771272687953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162.30000000000001</v>
      </c>
      <c r="E21" s="29">
        <f>D21/$D$48</f>
        <v>1.1384759994107705E-2</v>
      </c>
      <c r="F21" s="28">
        <f>C21-(C21*$E$6)</f>
        <v>70.537786869139921</v>
      </c>
      <c r="G21" s="27" t="str">
        <f>IF(C21&gt;=F21,"-","+")</f>
        <v>+</v>
      </c>
      <c r="H21" s="26">
        <f>C21*D21</f>
        <v>11425.920000000002</v>
      </c>
      <c r="I21" s="26">
        <f>F21*D21</f>
        <v>11448.28280886141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490.05</v>
      </c>
      <c r="E22" s="29">
        <f>D22/$D$48</f>
        <v>3.4375241128234632E-2</v>
      </c>
      <c r="F22" s="28">
        <f>C22-(C22*$E$6)</f>
        <v>47.392575552703384</v>
      </c>
      <c r="G22" s="27" t="str">
        <f>IF(C22&gt;=F22,"-","+")</f>
        <v>+</v>
      </c>
      <c r="H22" s="26">
        <f>C22*D22</f>
        <v>23179.364999999998</v>
      </c>
      <c r="I22" s="26">
        <f>F22*D22</f>
        <v>23224.731649602294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321.2</v>
      </c>
      <c r="E23" s="29">
        <f>D23/$D$48</f>
        <v>2.2531022243422023E-2</v>
      </c>
      <c r="F23" s="28">
        <f>C23-(C23*$E$6)</f>
        <v>43.18435531335129</v>
      </c>
      <c r="G23" s="27" t="str">
        <f>IF(C23&gt;=F23,"-","+")</f>
        <v>+</v>
      </c>
      <c r="H23" s="26">
        <f>C23*D23</f>
        <v>13843.72</v>
      </c>
      <c r="I23" s="26">
        <f>F23*D23</f>
        <v>13870.814926648434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49.765297108520372</v>
      </c>
      <c r="D24" s="22">
        <f>SUM(D21:D23)</f>
        <v>973.55</v>
      </c>
      <c r="E24" s="21">
        <f>D24/$D$48</f>
        <v>6.8291023365764356E-2</v>
      </c>
      <c r="F24" s="20">
        <f>I24/D24</f>
        <v>49.862697740344245</v>
      </c>
      <c r="G24" s="19">
        <f>F24/C24-1</f>
        <v>1.9571998457375006E-3</v>
      </c>
      <c r="H24" s="18">
        <f>SUM(H21:H23)</f>
        <v>48449.005000000005</v>
      </c>
      <c r="I24" s="18">
        <f>SUM(I21:I23)</f>
        <v>48543.829385112134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2369</v>
      </c>
      <c r="E26" s="29">
        <f t="shared" ref="E26:E32" si="7">D26/$D$48</f>
        <v>0.16617681100456655</v>
      </c>
      <c r="F26" s="28">
        <f t="shared" ref="F26:F31" si="8">C26-(C26*$E$6)</f>
        <v>37.673590714199733</v>
      </c>
      <c r="G26" s="27" t="str">
        <f t="shared" ref="G26:G31" si="9">IF(C26&gt;=F26,"-","+")</f>
        <v>+</v>
      </c>
      <c r="H26" s="26">
        <f t="shared" ref="H26:H31" si="10">C26*D26</f>
        <v>89074.400000000009</v>
      </c>
      <c r="I26" s="26">
        <f t="shared" ref="I26:I31" si="11">F26*D26</f>
        <v>89248.736401939168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2335</v>
      </c>
      <c r="E27" s="29">
        <f t="shared" si="7"/>
        <v>0.16379183355663271</v>
      </c>
      <c r="F27" s="28">
        <f t="shared" si="8"/>
        <v>33.565566194832208</v>
      </c>
      <c r="G27" s="27" t="str">
        <f t="shared" si="9"/>
        <v>+</v>
      </c>
      <c r="H27" s="26">
        <f t="shared" si="10"/>
        <v>78222.5</v>
      </c>
      <c r="I27" s="26">
        <f t="shared" si="11"/>
        <v>78375.597064933201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1581.37</v>
      </c>
      <c r="E28" s="29">
        <f t="shared" si="7"/>
        <v>0.11092740549526864</v>
      </c>
      <c r="F28" s="28">
        <f t="shared" si="8"/>
        <v>33.565566194832208</v>
      </c>
      <c r="G28" s="27" t="str">
        <f t="shared" si="9"/>
        <v>+</v>
      </c>
      <c r="H28" s="26">
        <f t="shared" si="10"/>
        <v>52975.894999999997</v>
      </c>
      <c r="I28" s="26">
        <f t="shared" si="11"/>
        <v>53079.579413521802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1574</v>
      </c>
      <c r="E29" s="29">
        <f t="shared" si="7"/>
        <v>0.11041042656023121</v>
      </c>
      <c r="F29" s="28">
        <f t="shared" si="8"/>
        <v>32.363217555017322</v>
      </c>
      <c r="G29" s="27" t="str">
        <f t="shared" si="9"/>
        <v>+</v>
      </c>
      <c r="H29" s="26">
        <f t="shared" si="10"/>
        <v>50840.2</v>
      </c>
      <c r="I29" s="26">
        <f t="shared" si="11"/>
        <v>50939.704431597267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747</v>
      </c>
      <c r="E30" s="29">
        <f t="shared" si="7"/>
        <v>5.2399357459016978E-2</v>
      </c>
      <c r="F30" s="28">
        <f t="shared" si="8"/>
        <v>32.363217555017322</v>
      </c>
      <c r="G30" s="27" t="str">
        <f t="shared" si="9"/>
        <v>+</v>
      </c>
      <c r="H30" s="26">
        <f t="shared" si="10"/>
        <v>24128.1</v>
      </c>
      <c r="I30" s="26">
        <f t="shared" si="11"/>
        <v>24175.323513597938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352</v>
      </c>
      <c r="E31" s="29">
        <f t="shared" si="7"/>
        <v>2.4691531225667973E-2</v>
      </c>
      <c r="F31" s="28">
        <f t="shared" si="8"/>
        <v>32.964391874924765</v>
      </c>
      <c r="G31" s="27" t="str">
        <f t="shared" si="9"/>
        <v>+</v>
      </c>
      <c r="H31" s="26">
        <f t="shared" si="10"/>
        <v>11580.8</v>
      </c>
      <c r="I31" s="26">
        <f t="shared" si="11"/>
        <v>11603.465939973517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34.249745768482434</v>
      </c>
      <c r="D32" s="22">
        <f>SUM(D26:D31)</f>
        <v>8958.369999999999</v>
      </c>
      <c r="E32" s="21">
        <f t="shared" si="7"/>
        <v>0.62839736530138401</v>
      </c>
      <c r="F32" s="20">
        <f>I32/D32</f>
        <v>34.316779365617066</v>
      </c>
      <c r="G32" s="19">
        <f>F32/C32-1</f>
        <v>1.9571998457377227E-3</v>
      </c>
      <c r="H32" s="18">
        <f>SUM(H26:H31)</f>
        <v>306821.89499999996</v>
      </c>
      <c r="I32" s="18">
        <f>SUM(I26:I31)</f>
        <v>307422.40676556295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2122.1</v>
      </c>
      <c r="E34" s="29">
        <f t="shared" ref="E34:E40" si="13">D34/$D$48</f>
        <v>0.14885766594883523</v>
      </c>
      <c r="F34" s="28">
        <f t="shared" ref="F34:F39" si="14">C34-(C34*$E$6)</f>
        <v>19.838752556945604</v>
      </c>
      <c r="G34" s="27" t="str">
        <f t="shared" ref="G34:G39" si="15">IF(C34&gt;=F34,"-","+")</f>
        <v>+</v>
      </c>
      <c r="H34" s="26">
        <f t="shared" ref="H34:H39" si="16">C34*D34</f>
        <v>42017.58</v>
      </c>
      <c r="I34" s="26">
        <f t="shared" ref="I34:I39" si="17">F34*D34</f>
        <v>42099.816801094261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15.22974943765521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12.223877838117996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32.363217555017322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32.363217555017322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33.565566194832208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2122.1</v>
      </c>
      <c r="E40" s="113">
        <f t="shared" si="13"/>
        <v>0.14885766594883523</v>
      </c>
      <c r="F40" s="20">
        <f>I40/D40</f>
        <v>19.838752556945604</v>
      </c>
      <c r="G40" s="19">
        <f>F40/C40-1</f>
        <v>1.9571998457375006E-3</v>
      </c>
      <c r="H40" s="18">
        <f>SUM(H34:H39)</f>
        <v>42017.58</v>
      </c>
      <c r="I40" s="18">
        <f>SUM(I34:I39)</f>
        <v>42099.816801094261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2084</v>
      </c>
      <c r="E42" s="107">
        <f>D42/$D$48</f>
        <v>0.14618508827923879</v>
      </c>
      <c r="F42" s="28">
        <f>C42-(C42*$E$6)</f>
        <v>0.50097859992286875</v>
      </c>
      <c r="G42" s="27" t="str">
        <f>IF(C42&gt;=F42,"-","+")</f>
        <v>+</v>
      </c>
      <c r="H42" s="26">
        <f>C42*D42</f>
        <v>1042</v>
      </c>
      <c r="I42" s="26">
        <f>F42*D42</f>
        <v>1044.0394022392584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110</v>
      </c>
      <c r="E43" s="107">
        <f>D43/$D$48</f>
        <v>7.7161035080212416E-3</v>
      </c>
      <c r="F43" s="28">
        <f>C43-(C43*$E$6)</f>
        <v>0.50097859992286875</v>
      </c>
      <c r="G43" s="27" t="str">
        <f>IF(C43&gt;=F43,"-","+")</f>
        <v>+</v>
      </c>
      <c r="H43" s="26">
        <f>C43*D43</f>
        <v>55</v>
      </c>
      <c r="I43" s="26">
        <f>F43*D43</f>
        <v>55.107645991515561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7.88</v>
      </c>
      <c r="E45" s="107">
        <f>D45/$D$48</f>
        <v>5.5275359675643074E-4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0.498210620015623</v>
      </c>
      <c r="D46" s="22">
        <f>SUM(D41:D45)</f>
        <v>2201.88</v>
      </c>
      <c r="E46" s="113">
        <f>D46/$D$48</f>
        <v>0.15445394538401647</v>
      </c>
      <c r="F46" s="20">
        <f>I46/D46</f>
        <v>0.49918571776426229</v>
      </c>
      <c r="G46" s="19">
        <f>F46/C46-1</f>
        <v>1.9571998457372786E-3</v>
      </c>
      <c r="H46" s="18">
        <f>SUM(H41:H44)</f>
        <v>1097</v>
      </c>
      <c r="I46" s="18">
        <f>SUM(I41:I44)</f>
        <v>1099.1470482307739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104.31325349701842</v>
      </c>
      <c r="D48" s="13">
        <f>D24+D32+D40+D46</f>
        <v>14255.899999999998</v>
      </c>
      <c r="E48" s="12">
        <f>SUM(E20:E46)/2</f>
        <v>1.0000000000000002</v>
      </c>
      <c r="F48" s="11">
        <f>I48/D48</f>
        <v>28.000000000000011</v>
      </c>
      <c r="G48" s="10"/>
      <c r="H48" s="9">
        <f>SUM(H20:H46)/2</f>
        <v>398385.48</v>
      </c>
      <c r="I48" s="9">
        <f>SUM(I20:I46)/2</f>
        <v>399165.20000000007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14255.9</v>
      </c>
      <c r="E50" s="12">
        <f>D50/G2</f>
        <v>1</v>
      </c>
      <c r="F50" s="11">
        <f>I50/D50</f>
        <v>28.000000000000007</v>
      </c>
      <c r="G50" s="10"/>
      <c r="H50" s="9">
        <f>H48+H19</f>
        <v>398385.48</v>
      </c>
      <c r="I50" s="9">
        <f>I48+I19</f>
        <v>399165.20000000007</v>
      </c>
      <c r="J50" s="106">
        <f>D50-G2</f>
        <v>0</v>
      </c>
      <c r="K50" s="8"/>
    </row>
    <row r="51" spans="1:11" ht="23.25" x14ac:dyDescent="0.35">
      <c r="A51" s="174" t="s">
        <v>718</v>
      </c>
      <c r="B51" s="169"/>
      <c r="C51" s="170"/>
      <c r="G51" s="7"/>
      <c r="H51" s="6"/>
      <c r="I51" s="6">
        <f>+I50/D50</f>
        <v>28.000000000000007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>
    <tabColor rgb="FF92D050"/>
  </sheetPr>
  <dimension ref="A1:K56"/>
  <sheetViews>
    <sheetView topLeftCell="A41" workbookViewId="0">
      <selection activeCell="D21" sqref="D21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717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717</v>
      </c>
      <c r="D2" s="96" t="s">
        <v>3</v>
      </c>
      <c r="E2" s="95" t="s">
        <v>362</v>
      </c>
      <c r="F2" s="94" t="s">
        <v>5</v>
      </c>
      <c r="G2" s="93">
        <v>8241.2000000000007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104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79.242307692307705</v>
      </c>
      <c r="F4" s="81" t="s">
        <v>12</v>
      </c>
      <c r="G4" s="80">
        <f>G2*G3</f>
        <v>230753.60000000003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3.9297434154413891E-3</v>
      </c>
      <c r="F6" s="69" t="s">
        <v>16</v>
      </c>
      <c r="G6" s="68">
        <f>(I50-I19)/(D50-(SUM(D42:D44)+D19))</f>
        <v>32.572368684647458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27.889967184367642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585.70000000000005</v>
      </c>
      <c r="E11" s="29">
        <f t="shared" si="1"/>
        <v>0.51744853785670109</v>
      </c>
      <c r="F11" s="28">
        <f t="shared" si="2"/>
        <v>29.085251492269112</v>
      </c>
      <c r="G11" s="27" t="str">
        <f t="shared" si="3"/>
        <v>-</v>
      </c>
      <c r="H11" s="34">
        <f t="shared" si="4"/>
        <v>17102.440000000002</v>
      </c>
      <c r="I11" s="34">
        <f t="shared" si="5"/>
        <v>17035.231799022022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26.49546882514926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353</v>
      </c>
      <c r="E13" s="29">
        <f t="shared" si="1"/>
        <v>0.31186500574255671</v>
      </c>
      <c r="F13" s="28">
        <f t="shared" si="2"/>
        <v>29.085251492269112</v>
      </c>
      <c r="G13" s="27" t="str">
        <f t="shared" si="3"/>
        <v>-</v>
      </c>
      <c r="H13" s="34">
        <f t="shared" si="4"/>
        <v>10307.6</v>
      </c>
      <c r="I13" s="34">
        <f t="shared" si="5"/>
        <v>10267.093776770997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161.80000000000001</v>
      </c>
      <c r="E14" s="29">
        <f t="shared" si="1"/>
        <v>0.14294548988426539</v>
      </c>
      <c r="F14" s="28">
        <f t="shared" si="2"/>
        <v>32.471890364656609</v>
      </c>
      <c r="G14" s="27" t="str">
        <f t="shared" si="3"/>
        <v>-</v>
      </c>
      <c r="H14" s="34">
        <f t="shared" si="4"/>
        <v>5274.68</v>
      </c>
      <c r="I14" s="34">
        <f t="shared" si="5"/>
        <v>5253.9518610014393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31.4</v>
      </c>
      <c r="E15" s="29">
        <f t="shared" si="1"/>
        <v>2.7740966516476718E-2</v>
      </c>
      <c r="F15" s="28">
        <f t="shared" si="2"/>
        <v>26.794289902124625</v>
      </c>
      <c r="G15" s="27" t="str">
        <f t="shared" si="3"/>
        <v>-</v>
      </c>
      <c r="H15" s="34">
        <f t="shared" si="4"/>
        <v>844.66</v>
      </c>
      <c r="I15" s="34">
        <f t="shared" si="5"/>
        <v>841.34070292671322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36.655385442311754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53.987007906883079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47.213730162108078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29.622210442618609</v>
      </c>
      <c r="D19" s="49">
        <f>SUM(D10:D18)</f>
        <v>1131.9000000000001</v>
      </c>
      <c r="E19" s="48">
        <f t="shared" si="1"/>
        <v>1</v>
      </c>
      <c r="F19" s="47">
        <f>I19/D19</f>
        <v>29.505802756180906</v>
      </c>
      <c r="G19" s="46">
        <f>F19/C19-1</f>
        <v>-3.9297434154415001E-3</v>
      </c>
      <c r="H19" s="9">
        <f>SUM(H10:H18)</f>
        <v>33529.380000000005</v>
      </c>
      <c r="I19" s="9">
        <f>SUM(I10:I18)</f>
        <v>33397.618139721169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69</v>
      </c>
      <c r="E21" s="29">
        <f>D21/$D$48</f>
        <v>9.706006470670981E-3</v>
      </c>
      <c r="F21" s="28">
        <f>C21-(C21*$E$6)</f>
        <v>70.12334606355293</v>
      </c>
      <c r="G21" s="27" t="str">
        <f>IF(C21&gt;=F21,"-","+")</f>
        <v>-</v>
      </c>
      <c r="H21" s="26">
        <f>C21*D21</f>
        <v>4857.6000000000004</v>
      </c>
      <c r="I21" s="26">
        <f>F21*D21</f>
        <v>4838.510878385152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226</v>
      </c>
      <c r="E22" s="29">
        <f>D22/$D$48</f>
        <v>3.179068786045857E-2</v>
      </c>
      <c r="F22" s="28">
        <f>C22-(C22*$E$6)</f>
        <v>47.114123136449621</v>
      </c>
      <c r="G22" s="27" t="str">
        <f>IF(C22&gt;=F22,"-","+")</f>
        <v>-</v>
      </c>
      <c r="H22" s="26">
        <f>C22*D22</f>
        <v>10689.8</v>
      </c>
      <c r="I22" s="26">
        <f>F22*D22</f>
        <v>10647.791828837615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154</v>
      </c>
      <c r="E23" s="29">
        <f>D23/$D$48</f>
        <v>2.1662681108454072E-2</v>
      </c>
      <c r="F23" s="28">
        <f>C23-(C23*$E$6)</f>
        <v>42.930628058794476</v>
      </c>
      <c r="G23" s="27" t="str">
        <f>IF(C23&gt;=F23,"-","+")</f>
        <v>-</v>
      </c>
      <c r="H23" s="26">
        <f>C23*D23</f>
        <v>6637.4000000000005</v>
      </c>
      <c r="I23" s="26">
        <f>F23*D23</f>
        <v>6611.3167210543488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49.40935412026726</v>
      </c>
      <c r="D24" s="22">
        <f>SUM(D21:D23)</f>
        <v>449</v>
      </c>
      <c r="E24" s="21">
        <f>D24/$D$48</f>
        <v>6.3159375439583623E-2</v>
      </c>
      <c r="F24" s="20">
        <f>I24/D24</f>
        <v>49.215188036251931</v>
      </c>
      <c r="G24" s="19">
        <f>F24/C24-1</f>
        <v>-3.929743415441278E-3</v>
      </c>
      <c r="H24" s="18">
        <f>SUM(H21:H23)</f>
        <v>22184.799999999999</v>
      </c>
      <c r="I24" s="18">
        <f>SUM(I21:I23)</f>
        <v>22097.619428277118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1217</v>
      </c>
      <c r="E26" s="29">
        <f t="shared" ref="E26:E32" si="7">D26/$D$48</f>
        <v>0.17119144746096498</v>
      </c>
      <c r="F26" s="28">
        <f t="shared" ref="F26:F31" si="8">C26-(C26*$E$6)</f>
        <v>37.452241647579406</v>
      </c>
      <c r="G26" s="27" t="str">
        <f t="shared" ref="G26:G31" si="9">IF(C26&gt;=F26,"-","+")</f>
        <v>-</v>
      </c>
      <c r="H26" s="26">
        <f t="shared" ref="H26:H31" si="10">C26*D26</f>
        <v>45759.200000000004</v>
      </c>
      <c r="I26" s="26">
        <f t="shared" ref="I26:I31" si="11">F26*D26</f>
        <v>45579.378085104137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1117</v>
      </c>
      <c r="E27" s="29">
        <f t="shared" si="7"/>
        <v>0.15712477141651426</v>
      </c>
      <c r="F27" s="28">
        <f t="shared" si="8"/>
        <v>33.368353595582711</v>
      </c>
      <c r="G27" s="27" t="str">
        <f t="shared" si="9"/>
        <v>-</v>
      </c>
      <c r="H27" s="26">
        <f t="shared" si="10"/>
        <v>37419.5</v>
      </c>
      <c r="I27" s="26">
        <f t="shared" si="11"/>
        <v>37272.450966265889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750</v>
      </c>
      <c r="E28" s="29">
        <f t="shared" si="7"/>
        <v>0.10550007033338023</v>
      </c>
      <c r="F28" s="28">
        <f t="shared" si="8"/>
        <v>33.368353595582711</v>
      </c>
      <c r="G28" s="27" t="str">
        <f t="shared" si="9"/>
        <v>-</v>
      </c>
      <c r="H28" s="26">
        <f t="shared" si="10"/>
        <v>25125</v>
      </c>
      <c r="I28" s="26">
        <f t="shared" si="11"/>
        <v>25026.265196687033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730</v>
      </c>
      <c r="E29" s="29">
        <f t="shared" si="7"/>
        <v>0.10268673512449009</v>
      </c>
      <c r="F29" s="28">
        <f t="shared" si="8"/>
        <v>32.173069287681237</v>
      </c>
      <c r="G29" s="27" t="str">
        <f t="shared" si="9"/>
        <v>-</v>
      </c>
      <c r="H29" s="26">
        <f t="shared" si="10"/>
        <v>23578.999999999996</v>
      </c>
      <c r="I29" s="26">
        <f t="shared" si="11"/>
        <v>23486.340580007301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560</v>
      </c>
      <c r="E30" s="29">
        <f t="shared" si="7"/>
        <v>7.8773385848923905E-2</v>
      </c>
      <c r="F30" s="28">
        <f t="shared" si="8"/>
        <v>32.173069287681237</v>
      </c>
      <c r="G30" s="27" t="str">
        <f t="shared" si="9"/>
        <v>-</v>
      </c>
      <c r="H30" s="26">
        <f t="shared" si="10"/>
        <v>18088</v>
      </c>
      <c r="I30" s="26">
        <f t="shared" si="11"/>
        <v>18016.918801101492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87</v>
      </c>
      <c r="E31" s="29">
        <f t="shared" si="7"/>
        <v>1.2238008158672107E-2</v>
      </c>
      <c r="F31" s="28">
        <f t="shared" si="8"/>
        <v>32.770711441631974</v>
      </c>
      <c r="G31" s="27" t="str">
        <f t="shared" si="9"/>
        <v>-</v>
      </c>
      <c r="H31" s="26">
        <f t="shared" si="10"/>
        <v>2862.2999999999997</v>
      </c>
      <c r="I31" s="26">
        <f t="shared" si="11"/>
        <v>2851.051895421982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34.259807218112527</v>
      </c>
      <c r="D32" s="22">
        <f>SUM(D26:D31)</f>
        <v>4461</v>
      </c>
      <c r="E32" s="21">
        <f t="shared" si="7"/>
        <v>0.62751441834294552</v>
      </c>
      <c r="F32" s="20">
        <f>I32/D32</f>
        <v>34.125174966282863</v>
      </c>
      <c r="G32" s="19">
        <f>F32/C32-1</f>
        <v>-3.929743415441278E-3</v>
      </c>
      <c r="H32" s="18">
        <f>SUM(H26:H31)</f>
        <v>152833</v>
      </c>
      <c r="I32" s="18">
        <f>SUM(I26:I31)</f>
        <v>152232.40552458784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1141</v>
      </c>
      <c r="E34" s="29">
        <f t="shared" ref="E34:E40" si="13">D34/$D$48</f>
        <v>0.16050077366718243</v>
      </c>
      <c r="F34" s="28">
        <f t="shared" ref="F34:F39" si="14">C34-(C34*$E$6)</f>
        <v>19.722191080374262</v>
      </c>
      <c r="G34" s="27" t="str">
        <f t="shared" ref="G34:G39" si="15">IF(C34&gt;=F34,"-","+")</f>
        <v>-</v>
      </c>
      <c r="H34" s="26">
        <f t="shared" ref="H34:H39" si="16">C34*D34</f>
        <v>22591.8</v>
      </c>
      <c r="I34" s="26">
        <f t="shared" ref="I34:I39" si="17">F34*D34</f>
        <v>22503.020022707035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15.14026790008529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12.152057130331615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32.173069287681237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32.173069287681237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33.368353595582711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1141</v>
      </c>
      <c r="E40" s="113">
        <f t="shared" si="13"/>
        <v>0.16050077366718243</v>
      </c>
      <c r="F40" s="20">
        <f>I40/D40</f>
        <v>19.722191080374262</v>
      </c>
      <c r="G40" s="19">
        <f>F40/C40-1</f>
        <v>-3.929743415441278E-3</v>
      </c>
      <c r="H40" s="18">
        <f>SUM(H34:H39)</f>
        <v>22591.8</v>
      </c>
      <c r="I40" s="18">
        <f>SUM(I34:I39)</f>
        <v>22503.020022707035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1010</v>
      </c>
      <c r="E42" s="107">
        <f>D42/$D$48</f>
        <v>0.14207342804895204</v>
      </c>
      <c r="F42" s="28">
        <f>C42-(C42*$E$6)</f>
        <v>0.49803512829227931</v>
      </c>
      <c r="G42" s="27" t="str">
        <f>IF(C42&gt;=F42,"-","+")</f>
        <v>-</v>
      </c>
      <c r="H42" s="26">
        <f>C42*D42</f>
        <v>505</v>
      </c>
      <c r="I42" s="26">
        <f>F42*D42</f>
        <v>503.01547957520211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40</v>
      </c>
      <c r="E43" s="107">
        <f>D43/$D$48</f>
        <v>5.6266704177802785E-3</v>
      </c>
      <c r="F43" s="28">
        <f>C43-(C43*$E$6)</f>
        <v>0.49803512829227931</v>
      </c>
      <c r="G43" s="27" t="str">
        <f>IF(C43&gt;=F43,"-","+")</f>
        <v>-</v>
      </c>
      <c r="H43" s="26">
        <f>C43*D43</f>
        <v>20</v>
      </c>
      <c r="I43" s="26">
        <f>F43*D43</f>
        <v>19.921405131691174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1.1253340835560557E-3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0.49621928166351609</v>
      </c>
      <c r="D46" s="22">
        <f>SUM(D41:D45)</f>
        <v>1058</v>
      </c>
      <c r="E46" s="113">
        <f>D46/$D$48</f>
        <v>0.14882543255028838</v>
      </c>
      <c r="F46" s="20">
        <f>I46/D46</f>
        <v>0.49426926720878378</v>
      </c>
      <c r="G46" s="19">
        <f>F46/C46-1</f>
        <v>-3.9297434154415001E-3</v>
      </c>
      <c r="H46" s="18">
        <f>SUM(H41:H44)</f>
        <v>525</v>
      </c>
      <c r="I46" s="18">
        <f>SUM(I41:I44)</f>
        <v>522.93688470689324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103.96538062004329</v>
      </c>
      <c r="D48" s="13">
        <f>D24+D32+D40+D46</f>
        <v>7109</v>
      </c>
      <c r="E48" s="12">
        <f>SUM(E20:E46)/2</f>
        <v>1</v>
      </c>
      <c r="F48" s="11">
        <f>I48/D48</f>
        <v>27.761426622630317</v>
      </c>
      <c r="G48" s="10"/>
      <c r="H48" s="9">
        <f>SUM(H20:H46)/2</f>
        <v>198134.59999999998</v>
      </c>
      <c r="I48" s="9">
        <f>SUM(I20:I46)/2</f>
        <v>197355.98186027893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8240.9</v>
      </c>
      <c r="E50" s="12">
        <f>D50/G2</f>
        <v>0.9999635975343395</v>
      </c>
      <c r="F50" s="11">
        <f>I50/D50</f>
        <v>28.00101930614376</v>
      </c>
      <c r="G50" s="10"/>
      <c r="H50" s="9">
        <f>H48+H19</f>
        <v>231663.97999999998</v>
      </c>
      <c r="I50" s="9">
        <f>I48+I19</f>
        <v>230753.60000000009</v>
      </c>
      <c r="J50" s="106">
        <f>D50-G2</f>
        <v>-0.30000000000109139</v>
      </c>
      <c r="K50" s="8"/>
    </row>
    <row r="51" spans="1:11" ht="23.25" x14ac:dyDescent="0.35">
      <c r="A51" s="174" t="s">
        <v>719</v>
      </c>
      <c r="B51" s="169"/>
      <c r="C51" s="170"/>
      <c r="G51" s="7"/>
      <c r="H51" s="6"/>
      <c r="I51" s="6">
        <f>+I50/D50</f>
        <v>28.00101930614376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717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717</v>
      </c>
      <c r="D2" s="96" t="s">
        <v>3</v>
      </c>
      <c r="E2" s="95" t="s">
        <v>360</v>
      </c>
      <c r="F2" s="94" t="s">
        <v>5</v>
      </c>
      <c r="G2" s="93">
        <v>28988.7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340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85.260882352941181</v>
      </c>
      <c r="F4" s="81" t="s">
        <v>12</v>
      </c>
      <c r="G4" s="80">
        <f>G2*G3</f>
        <v>768200.55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-5.3909605351607048E-2</v>
      </c>
      <c r="F6" s="69" t="s">
        <v>16</v>
      </c>
      <c r="G6" s="68">
        <f>(I50-I19)/(D50-(SUM(D42:D44)+D19))</f>
        <v>30.752957820598027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27.928604541817588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>
        <f t="shared" si="1"/>
        <v>0</v>
      </c>
      <c r="F11" s="28">
        <f t="shared" si="2"/>
        <v>29.087905107704355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>
        <f t="shared" si="1"/>
        <v>0</v>
      </c>
      <c r="F12" s="28">
        <f t="shared" si="2"/>
        <v>26.558522054860497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29.087905107704355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32.565806805364659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>
        <v>235.4</v>
      </c>
      <c r="E15" s="29">
        <f t="shared" si="1"/>
        <v>0.29673515693936725</v>
      </c>
      <c r="F15" s="28">
        <f t="shared" si="2"/>
        <v>26.769303975930818</v>
      </c>
      <c r="G15" s="27" t="str">
        <f t="shared" si="3"/>
        <v>+</v>
      </c>
      <c r="H15" s="34">
        <f t="shared" si="4"/>
        <v>5979.16</v>
      </c>
      <c r="I15" s="34">
        <f t="shared" si="5"/>
        <v>6301.494155934115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>
        <f t="shared" si="1"/>
        <v>0</v>
      </c>
      <c r="F16" s="28">
        <f t="shared" si="2"/>
        <v>36.676054266235923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>
        <v>557.9</v>
      </c>
      <c r="E17" s="29">
        <f t="shared" si="1"/>
        <v>0.70326484306063286</v>
      </c>
      <c r="F17" s="28">
        <f t="shared" si="2"/>
        <v>54.065562754537439</v>
      </c>
      <c r="G17" s="27" t="str">
        <f t="shared" si="3"/>
        <v>+</v>
      </c>
      <c r="H17" s="34">
        <f t="shared" si="4"/>
        <v>28620.269999999997</v>
      </c>
      <c r="I17" s="34">
        <f t="shared" si="5"/>
        <v>30163.177460756437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47.320541280287152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43.614559435270387</v>
      </c>
      <c r="D19" s="49">
        <f>SUM(D10:D18)</f>
        <v>793.3</v>
      </c>
      <c r="E19" s="48">
        <f t="shared" si="1"/>
        <v>1</v>
      </c>
      <c r="F19" s="47">
        <f>I19/D19</f>
        <v>45.96580312201003</v>
      </c>
      <c r="G19" s="46">
        <f>F19/C19-1</f>
        <v>5.390960535160727E-2</v>
      </c>
      <c r="H19" s="9">
        <f>SUM(H10:H18)</f>
        <v>34599.429999999993</v>
      </c>
      <c r="I19" s="9">
        <f>SUM(I10:I18)</f>
        <v>36464.671616690553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/>
      <c r="E21" s="29">
        <f>D21/$D$48</f>
        <v>0</v>
      </c>
      <c r="F21" s="28">
        <f>C21-(C21*$E$6)</f>
        <v>70.190379716417027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1193.0999999999999</v>
      </c>
      <c r="E22" s="29">
        <f>D22/$D$48</f>
        <v>4.231541315250005E-2</v>
      </c>
      <c r="F22" s="28">
        <f>C22-(C22*$E$6)</f>
        <v>47.215150319751992</v>
      </c>
      <c r="G22" s="27" t="str">
        <f>IF(C22&gt;=F22,"-","+")</f>
        <v>+</v>
      </c>
      <c r="H22" s="26">
        <f>C22*D22</f>
        <v>53450.87999999999</v>
      </c>
      <c r="I22" s="26">
        <f>F22*D22</f>
        <v>56332.395846496096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/>
      <c r="E23" s="29">
        <f>D23/$D$48</f>
        <v>0</v>
      </c>
      <c r="F23" s="28">
        <f>C23-(C23*$E$6)</f>
        <v>42.999511898345567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</v>
      </c>
      <c r="D24" s="22">
        <f>SUM(D21:D23)</f>
        <v>1193.0999999999999</v>
      </c>
      <c r="E24" s="21">
        <f>D24/$D$48</f>
        <v>4.231541315250005E-2</v>
      </c>
      <c r="F24" s="20">
        <f>I24/D24</f>
        <v>47.215150319751992</v>
      </c>
      <c r="G24" s="19">
        <f>F24/C24-1</f>
        <v>5.3909605351607048E-2</v>
      </c>
      <c r="H24" s="18">
        <f>SUM(H21:H23)</f>
        <v>53450.87999999999</v>
      </c>
      <c r="I24" s="18">
        <f>SUM(I21:I23)</f>
        <v>56332.395846496096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/>
      <c r="E26" s="29">
        <f t="shared" ref="E26:E32" si="7">D26/$D$48</f>
        <v>0</v>
      </c>
      <c r="F26" s="28">
        <f t="shared" ref="F26:F31" si="8">C26-(C26*$E$6)</f>
        <v>37.519181950517215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6710.2</v>
      </c>
      <c r="E27" s="29">
        <f t="shared" si="7"/>
        <v>0.23798917553927237</v>
      </c>
      <c r="F27" s="28">
        <f t="shared" si="8"/>
        <v>33.408934489645944</v>
      </c>
      <c r="G27" s="27" t="str">
        <f t="shared" si="9"/>
        <v>+</v>
      </c>
      <c r="H27" s="26">
        <f t="shared" si="10"/>
        <v>212713.34</v>
      </c>
      <c r="I27" s="26">
        <f t="shared" si="11"/>
        <v>224180.63221242221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5518.7</v>
      </c>
      <c r="E28" s="29">
        <f t="shared" si="7"/>
        <v>0.19573050923200239</v>
      </c>
      <c r="F28" s="28">
        <f t="shared" si="8"/>
        <v>33.408934489645944</v>
      </c>
      <c r="G28" s="27" t="str">
        <f t="shared" si="9"/>
        <v>+</v>
      </c>
      <c r="H28" s="26">
        <f t="shared" si="10"/>
        <v>174942.78999999998</v>
      </c>
      <c r="I28" s="26">
        <f t="shared" si="11"/>
        <v>184373.88676800908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4987.3999999999996</v>
      </c>
      <c r="E29" s="29">
        <f t="shared" si="7"/>
        <v>0.17688700993779127</v>
      </c>
      <c r="F29" s="28">
        <f t="shared" si="8"/>
        <v>32.249633923759177</v>
      </c>
      <c r="G29" s="27" t="str">
        <f t="shared" si="9"/>
        <v>+</v>
      </c>
      <c r="H29" s="26">
        <f t="shared" si="10"/>
        <v>152614.44</v>
      </c>
      <c r="I29" s="26">
        <f t="shared" si="11"/>
        <v>160841.8242313565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/>
      <c r="E30" s="29">
        <f t="shared" si="7"/>
        <v>0</v>
      </c>
      <c r="F30" s="28">
        <f t="shared" si="8"/>
        <v>32.249633923759177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/>
      <c r="E31" s="29">
        <f t="shared" si="7"/>
        <v>0</v>
      </c>
      <c r="F31" s="28">
        <f t="shared" si="8"/>
        <v>32.77658872643498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31.381340357684294</v>
      </c>
      <c r="D32" s="22">
        <f>SUM(D26:D31)</f>
        <v>17216.3</v>
      </c>
      <c r="E32" s="21">
        <f t="shared" si="7"/>
        <v>0.61060669470906603</v>
      </c>
      <c r="F32" s="20">
        <f>I32/D32</f>
        <v>33.073096031771506</v>
      </c>
      <c r="G32" s="19">
        <f>F32/C32-1</f>
        <v>5.3909605351606826E-2</v>
      </c>
      <c r="H32" s="18">
        <f>SUM(H26:H31)</f>
        <v>540270.57000000007</v>
      </c>
      <c r="I32" s="18">
        <f>SUM(I26:I31)</f>
        <v>569396.34321178775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4979</v>
      </c>
      <c r="E34" s="29">
        <f t="shared" ref="E34:E40" si="13">D34/$D$48</f>
        <v>0.1765890890003334</v>
      </c>
      <c r="F34" s="28">
        <f t="shared" ref="F34:F39" si="14">C34-(C34*$E$6)</f>
        <v>19.708109620075049</v>
      </c>
      <c r="G34" s="27" t="str">
        <f t="shared" ref="G34:G39" si="15">IF(C34&gt;=F34,"-","+")</f>
        <v>+</v>
      </c>
      <c r="H34" s="26">
        <f t="shared" ref="H34:H39" si="16">C34*D34</f>
        <v>93107.3</v>
      </c>
      <c r="I34" s="26">
        <f t="shared" ref="I34:I39" si="17">F34*D34</f>
        <v>98126.677798353674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397</v>
      </c>
      <c r="E35" s="29">
        <f t="shared" si="13"/>
        <v>1.4080310972711861E-2</v>
      </c>
      <c r="F35" s="28">
        <f t="shared" si="14"/>
        <v>15.176298317063141</v>
      </c>
      <c r="G35" s="27" t="str">
        <f t="shared" si="15"/>
        <v>+</v>
      </c>
      <c r="H35" s="26">
        <f t="shared" si="16"/>
        <v>5716.8</v>
      </c>
      <c r="I35" s="26">
        <f t="shared" si="17"/>
        <v>6024.9904318740673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12.225351422078642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32.249633923759177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32.249633923759177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33.408934489645944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18.382459077380954</v>
      </c>
      <c r="D40" s="22">
        <f>SUM(D34:D39)</f>
        <v>5376</v>
      </c>
      <c r="E40" s="113">
        <f t="shared" si="13"/>
        <v>0.19066939997304527</v>
      </c>
      <c r="F40" s="20">
        <f>I40/D40</f>
        <v>19.373450191634625</v>
      </c>
      <c r="G40" s="19">
        <f>F40/C40-1</f>
        <v>5.3909605351606826E-2</v>
      </c>
      <c r="H40" s="18">
        <f>SUM(H34:H39)</f>
        <v>98824.1</v>
      </c>
      <c r="I40" s="18">
        <f>SUM(I34:I39)</f>
        <v>104151.66823022775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4131</v>
      </c>
      <c r="E42" s="107">
        <f>D42/$D$48</f>
        <v>0.14651326102839471</v>
      </c>
      <c r="F42" s="28">
        <f>C42-(C42*$E$6)</f>
        <v>0.42156384214064285</v>
      </c>
      <c r="G42" s="27" t="str">
        <f>IF(C42&gt;=F42,"-","+")</f>
        <v>+</v>
      </c>
      <c r="H42" s="26">
        <f>C42*D42</f>
        <v>1652.4</v>
      </c>
      <c r="I42" s="26">
        <f>F42*D42</f>
        <v>1741.4802318829957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270.39999999999998</v>
      </c>
      <c r="E43" s="107">
        <f>D43/$D$48</f>
        <v>9.5902168438823359E-3</v>
      </c>
      <c r="F43" s="28">
        <f>C43-(C43*$E$6)</f>
        <v>0.42156384214064285</v>
      </c>
      <c r="G43" s="27" t="str">
        <f>IF(C43&gt;=F43,"-","+")</f>
        <v>+</v>
      </c>
      <c r="H43" s="26">
        <f>C43*D43</f>
        <v>108.16</v>
      </c>
      <c r="I43" s="26">
        <f>F43*D43</f>
        <v>113.99086291482982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8.6</v>
      </c>
      <c r="E45" s="107">
        <f>D45/$D$48</f>
        <v>3.0501429311164232E-4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0.39921995464852611</v>
      </c>
      <c r="D46" s="22">
        <f>SUM(D41:D45)</f>
        <v>4410</v>
      </c>
      <c r="E46" s="113">
        <f>D46/$D$48</f>
        <v>0.15640849216538869</v>
      </c>
      <c r="F46" s="20">
        <f>I46/D46</f>
        <v>0.42074174485211463</v>
      </c>
      <c r="G46" s="19">
        <f>F46/C46-1</f>
        <v>5.3909605351607048E-2</v>
      </c>
      <c r="H46" s="18">
        <f>SUM(H41:H44)</f>
        <v>1760.5600000000002</v>
      </c>
      <c r="I46" s="18">
        <f>SUM(I41:I44)</f>
        <v>1855.4710947978256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94.963019389713779</v>
      </c>
      <c r="D48" s="13">
        <f>D24+D32+D40+D46</f>
        <v>28195.399999999998</v>
      </c>
      <c r="E48" s="12">
        <f>SUM(E20:E46)/2</f>
        <v>1.0000000000000002</v>
      </c>
      <c r="F48" s="11">
        <f>I48/D48</f>
        <v>25.952314149943231</v>
      </c>
      <c r="G48" s="10"/>
      <c r="H48" s="9">
        <f>SUM(H20:H46)/2</f>
        <v>694306.11</v>
      </c>
      <c r="I48" s="9">
        <f>SUM(I20:I46)/2</f>
        <v>731735.87838330935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28988.699999999997</v>
      </c>
      <c r="E50" s="12">
        <f>D50/G2</f>
        <v>0.99999999999999989</v>
      </c>
      <c r="F50" s="11">
        <f>I50/D50</f>
        <v>26.5</v>
      </c>
      <c r="G50" s="10"/>
      <c r="H50" s="9">
        <f>H48+H19</f>
        <v>728905.54</v>
      </c>
      <c r="I50" s="9">
        <f>I48+I19</f>
        <v>768200.54999999993</v>
      </c>
      <c r="J50" s="106">
        <f>D50-G2</f>
        <v>0</v>
      </c>
      <c r="K50" s="8"/>
    </row>
    <row r="51" spans="1:11" ht="23.25" x14ac:dyDescent="0.35">
      <c r="A51" s="174" t="s">
        <v>720</v>
      </c>
      <c r="B51" s="169"/>
      <c r="C51" s="170"/>
      <c r="G51" s="7"/>
      <c r="H51" s="6"/>
      <c r="I51" s="6">
        <f>+I50/D50</f>
        <v>26.5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>
    <tabColor rgb="FF92D050"/>
  </sheetPr>
  <dimension ref="A1:K56"/>
  <sheetViews>
    <sheetView topLeftCell="A8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721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722</v>
      </c>
      <c r="D2" s="96" t="s">
        <v>3</v>
      </c>
      <c r="E2" s="95" t="s">
        <v>362</v>
      </c>
      <c r="F2" s="94" t="s">
        <v>5</v>
      </c>
      <c r="G2" s="93">
        <v>7906.7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100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79.066999999999993</v>
      </c>
      <c r="F4" s="81" t="s">
        <v>12</v>
      </c>
      <c r="G4" s="80">
        <f>G2*G3</f>
        <v>221387.6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9.6137711300380291E-3</v>
      </c>
      <c r="F6" s="69" t="s">
        <v>16</v>
      </c>
      <c r="G6" s="68">
        <f>(I50-I19)/(D50-(SUM(D42:D44)+D19))</f>
        <v>32.760443432080869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27.730814408358935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>
        <f t="shared" si="1"/>
        <v>0</v>
      </c>
      <c r="F11" s="28">
        <f t="shared" si="2"/>
        <v>28.919277883002888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26.344273687940991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28.919277883002888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32.286591061160763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26.641389556601975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36.446213222414599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53.67893360475194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>
        <v>75</v>
      </c>
      <c r="E18" s="29">
        <f t="shared" si="1"/>
        <v>1</v>
      </c>
      <c r="F18" s="28">
        <f t="shared" si="2"/>
        <v>46.944307248436196</v>
      </c>
      <c r="G18" s="27" t="str">
        <f t="shared" si="3"/>
        <v>-</v>
      </c>
      <c r="H18" s="34">
        <f t="shared" si="4"/>
        <v>3555</v>
      </c>
      <c r="I18" s="34">
        <f t="shared" si="5"/>
        <v>3520.8230436327149</v>
      </c>
      <c r="J18" s="52"/>
      <c r="K18" s="52"/>
    </row>
    <row r="19" spans="1:11" x14ac:dyDescent="0.25">
      <c r="A19" s="51" t="s">
        <v>34</v>
      </c>
      <c r="B19" s="50"/>
      <c r="C19" s="47">
        <f>H19/D19</f>
        <v>47.4</v>
      </c>
      <c r="D19" s="49">
        <f>SUM(D10:D18)</f>
        <v>75</v>
      </c>
      <c r="E19" s="48">
        <f t="shared" si="1"/>
        <v>1</v>
      </c>
      <c r="F19" s="47">
        <f>I19/D19</f>
        <v>46.944307248436196</v>
      </c>
      <c r="G19" s="46">
        <f>F19/C19-1</f>
        <v>-9.6137711300380291E-3</v>
      </c>
      <c r="H19" s="9">
        <f>SUM(H10:H18)</f>
        <v>3555</v>
      </c>
      <c r="I19" s="9">
        <f>SUM(I10:I18)</f>
        <v>3520.8230436327149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79.5</v>
      </c>
      <c r="E21" s="29">
        <f>D21/$D$48</f>
        <v>1.0150534339449188E-2</v>
      </c>
      <c r="F21" s="28">
        <f>C21-(C21*$E$6)</f>
        <v>69.723190512445328</v>
      </c>
      <c r="G21" s="27" t="str">
        <f>IF(C21&gt;=F21,"-","+")</f>
        <v>-</v>
      </c>
      <c r="H21" s="26">
        <f>C21*D21</f>
        <v>5596.8</v>
      </c>
      <c r="I21" s="26">
        <f>F21*D21</f>
        <v>5542.9936457394033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310.8</v>
      </c>
      <c r="E22" s="29">
        <f>D22/$D$48</f>
        <v>3.968284368177117E-2</v>
      </c>
      <c r="F22" s="28">
        <f>C22-(C22*$E$6)</f>
        <v>46.845268625549195</v>
      </c>
      <c r="G22" s="27" t="str">
        <f>IF(C22&gt;=F22,"-","+")</f>
        <v>-</v>
      </c>
      <c r="H22" s="26">
        <f>C22*D22</f>
        <v>14700.84</v>
      </c>
      <c r="I22" s="26">
        <f>F22*D22</f>
        <v>14559.509488820691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153.69999999999999</v>
      </c>
      <c r="E23" s="29">
        <f>D23/$D$48</f>
        <v>1.9624366389601761E-2</v>
      </c>
      <c r="F23" s="28">
        <f>C23-(C23*$E$6)</f>
        <v>42.68564646429536</v>
      </c>
      <c r="G23" s="27" t="str">
        <f>IF(C23&gt;=F23,"-","+")</f>
        <v>-</v>
      </c>
      <c r="H23" s="26">
        <f>C23*D23</f>
        <v>6624.4699999999993</v>
      </c>
      <c r="I23" s="26">
        <f>F23*D23</f>
        <v>6560.7838615621959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49.48917279411765</v>
      </c>
      <c r="D24" s="22">
        <f>SUM(D21:D23)</f>
        <v>544</v>
      </c>
      <c r="E24" s="21">
        <f>D24/$D$48</f>
        <v>6.9457744410822114E-2</v>
      </c>
      <c r="F24" s="20">
        <f>I24/D24</f>
        <v>49.013395213460093</v>
      </c>
      <c r="G24" s="19">
        <f>F24/C24-1</f>
        <v>-9.6137711300381401E-3</v>
      </c>
      <c r="H24" s="18">
        <f>SUM(H21:H23)</f>
        <v>26922.11</v>
      </c>
      <c r="I24" s="18">
        <f>SUM(I21:I23)</f>
        <v>26663.28699612229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417.2+876.3</f>
        <v>1293.5</v>
      </c>
      <c r="E26" s="29">
        <f t="shared" ref="E26:E32" si="7">D26/$D$48</f>
        <v>0.1651536624915412</v>
      </c>
      <c r="F26" s="28">
        <f t="shared" ref="F26:F31" si="8">C26-(C26*$E$6)</f>
        <v>37.23852220551057</v>
      </c>
      <c r="G26" s="27" t="str">
        <f t="shared" ref="G26:G31" si="9">IF(C26&gt;=F26,"-","+")</f>
        <v>-</v>
      </c>
      <c r="H26" s="26">
        <f t="shared" ref="H26:H31" si="10">C26*D26</f>
        <v>48635.6</v>
      </c>
      <c r="I26" s="26">
        <f t="shared" ref="I26:I31" si="11">F26*D26</f>
        <v>48168.028472827922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1344.8</v>
      </c>
      <c r="E27" s="29">
        <f t="shared" si="7"/>
        <v>0.17170362993322349</v>
      </c>
      <c r="F27" s="28">
        <f t="shared" si="8"/>
        <v>33.177938667143728</v>
      </c>
      <c r="G27" s="27" t="str">
        <f t="shared" si="9"/>
        <v>-</v>
      </c>
      <c r="H27" s="26">
        <f t="shared" si="10"/>
        <v>45050.799999999996</v>
      </c>
      <c r="I27" s="26">
        <f t="shared" si="11"/>
        <v>44617.691919574885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867.2</v>
      </c>
      <c r="E28" s="29">
        <f t="shared" si="7"/>
        <v>0.11072381609019291</v>
      </c>
      <c r="F28" s="28">
        <f t="shared" si="8"/>
        <v>33.177938667143728</v>
      </c>
      <c r="G28" s="27" t="str">
        <f t="shared" si="9"/>
        <v>-</v>
      </c>
      <c r="H28" s="26">
        <f t="shared" si="10"/>
        <v>29051.200000000001</v>
      </c>
      <c r="I28" s="26">
        <f t="shared" si="11"/>
        <v>28771.908412147044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819.6</v>
      </c>
      <c r="E29" s="29">
        <f t="shared" si="7"/>
        <v>0.10464626345424598</v>
      </c>
      <c r="F29" s="28">
        <f t="shared" si="8"/>
        <v>31.989475192499768</v>
      </c>
      <c r="G29" s="27" t="str">
        <f t="shared" si="9"/>
        <v>-</v>
      </c>
      <c r="H29" s="26">
        <f t="shared" si="10"/>
        <v>26473.079999999998</v>
      </c>
      <c r="I29" s="26">
        <f t="shared" si="11"/>
        <v>26218.573867772811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434.6</v>
      </c>
      <c r="E30" s="29">
        <f t="shared" si="7"/>
        <v>5.548958772232223E-2</v>
      </c>
      <c r="F30" s="28">
        <f t="shared" si="8"/>
        <v>31.989475192499768</v>
      </c>
      <c r="G30" s="27" t="str">
        <f t="shared" si="9"/>
        <v>-</v>
      </c>
      <c r="H30" s="26">
        <f t="shared" si="10"/>
        <v>14037.58</v>
      </c>
      <c r="I30" s="26">
        <f t="shared" si="11"/>
        <v>13902.6259186604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f>58+144.8</f>
        <v>202.8</v>
      </c>
      <c r="E31" s="29">
        <f t="shared" si="7"/>
        <v>2.5893438541387363E-2</v>
      </c>
      <c r="F31" s="28">
        <f t="shared" si="8"/>
        <v>32.583706929821744</v>
      </c>
      <c r="G31" s="27" t="str">
        <f t="shared" si="9"/>
        <v>-</v>
      </c>
      <c r="H31" s="26">
        <f t="shared" si="10"/>
        <v>6672.12</v>
      </c>
      <c r="I31" s="26">
        <f t="shared" si="11"/>
        <v>6607.9757653678498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34.240882619647344</v>
      </c>
      <c r="D32" s="22">
        <f>SUM(D26:D31)</f>
        <v>4962.5000000000009</v>
      </c>
      <c r="E32" s="21">
        <f t="shared" si="7"/>
        <v>0.63361039823291332</v>
      </c>
      <c r="F32" s="20">
        <f>I32/D32</f>
        <v>33.911698610851566</v>
      </c>
      <c r="G32" s="19">
        <f>F32/C32-1</f>
        <v>-9.613771130037807E-3</v>
      </c>
      <c r="H32" s="18">
        <f>SUM(H26:H31)</f>
        <v>169920.37999999998</v>
      </c>
      <c r="I32" s="18">
        <f>SUM(I26:I31)</f>
        <v>168286.80435635094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1138.8</v>
      </c>
      <c r="E34" s="29">
        <f t="shared" ref="E34:E40" si="13">D34/$D$48</f>
        <v>0.14540161642471364</v>
      </c>
      <c r="F34" s="28">
        <f t="shared" ref="F34:F39" si="14">C34-(C34*$E$6)</f>
        <v>19.609647331625247</v>
      </c>
      <c r="G34" s="27" t="str">
        <f t="shared" ref="G34:G39" si="15">IF(C34&gt;=F34,"-","+")</f>
        <v>-</v>
      </c>
      <c r="H34" s="26">
        <f t="shared" ref="H34:H39" si="16">C34*D34</f>
        <v>22548.240000000002</v>
      </c>
      <c r="I34" s="26">
        <f t="shared" ref="I34:I39" si="17">F34*D34</f>
        <v>22331.466381254832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15.05387067882342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12.082711992213536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31.989475192499768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31.989475192499768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33.177938667143728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1138.8</v>
      </c>
      <c r="E40" s="113">
        <f t="shared" si="13"/>
        <v>0.14540161642471364</v>
      </c>
      <c r="F40" s="20">
        <f>I40/D40</f>
        <v>19.609647331625247</v>
      </c>
      <c r="G40" s="19">
        <f>F40/C40-1</f>
        <v>-9.6137711300380291E-3</v>
      </c>
      <c r="H40" s="18">
        <f>SUM(H34:H39)</f>
        <v>22548.240000000002</v>
      </c>
      <c r="I40" s="18">
        <f>SUM(I34:I39)</f>
        <v>22331.466381254832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1132</v>
      </c>
      <c r="E42" s="107">
        <f>D42/$D$48</f>
        <v>0.14453339461957837</v>
      </c>
      <c r="F42" s="28">
        <f>C42-(C42*$E$6)</f>
        <v>0.49519311443498099</v>
      </c>
      <c r="G42" s="27" t="str">
        <f>IF(C42&gt;=F42,"-","+")</f>
        <v>-</v>
      </c>
      <c r="H42" s="26">
        <f>C42*D42</f>
        <v>566</v>
      </c>
      <c r="I42" s="26">
        <f>F42*D42</f>
        <v>560.5586055403985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49.8</v>
      </c>
      <c r="E43" s="107">
        <f>D43/$D$48</f>
        <v>6.3584479258436419E-3</v>
      </c>
      <c r="F43" s="28">
        <f>C43-(C43*$E$6)</f>
        <v>0.49519311443498099</v>
      </c>
      <c r="G43" s="27" t="str">
        <f>IF(C43&gt;=F43,"-","+")</f>
        <v>-</v>
      </c>
      <c r="H43" s="26">
        <f>C43*D43</f>
        <v>24.9</v>
      </c>
      <c r="I43" s="26">
        <f>F43*D43</f>
        <v>24.660617098862051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6.3839838612887972E-4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0.49789349511290865</v>
      </c>
      <c r="D46" s="22">
        <f>SUM(D41:D45)</f>
        <v>1186.8</v>
      </c>
      <c r="E46" s="113">
        <f>D46/$D$48</f>
        <v>0.1515302409315509</v>
      </c>
      <c r="F46" s="20">
        <f>I46/D46</f>
        <v>0.4931068610037585</v>
      </c>
      <c r="G46" s="19">
        <f>F46/C46-1</f>
        <v>-9.6137711300379181E-3</v>
      </c>
      <c r="H46" s="18">
        <f>SUM(H41:H44)</f>
        <v>590.9</v>
      </c>
      <c r="I46" s="18">
        <f>SUM(I41:I44)</f>
        <v>585.21922263926058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104.0279489088779</v>
      </c>
      <c r="D48" s="13">
        <f>D24+D32+D40+D46</f>
        <v>7832.1000000000013</v>
      </c>
      <c r="E48" s="12">
        <f>SUM(E20:E46)/2</f>
        <v>0.99999999999999989</v>
      </c>
      <c r="F48" s="11">
        <f>I48/D48</f>
        <v>27.817159760009108</v>
      </c>
      <c r="G48" s="10"/>
      <c r="H48" s="9">
        <f>SUM(H20:H46)/2</f>
        <v>219981.63</v>
      </c>
      <c r="I48" s="9">
        <f>SUM(I20:I46)/2</f>
        <v>217866.77695636736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7907.0999999999995</v>
      </c>
      <c r="E50" s="12">
        <f>D50/G2</f>
        <v>1.0000505900059442</v>
      </c>
      <c r="F50" s="11">
        <f>I50/D50</f>
        <v>27.998583551491713</v>
      </c>
      <c r="G50" s="10"/>
      <c r="H50" s="9">
        <f>H48+H19</f>
        <v>223536.63</v>
      </c>
      <c r="I50" s="9">
        <f>I48+I19</f>
        <v>221387.60000000009</v>
      </c>
      <c r="J50" s="106">
        <f>D50-G2</f>
        <v>0.3999999999996362</v>
      </c>
      <c r="K50" s="8"/>
    </row>
    <row r="51" spans="1:11" ht="23.25" x14ac:dyDescent="0.35">
      <c r="A51" s="174" t="s">
        <v>723</v>
      </c>
      <c r="B51" s="169"/>
      <c r="C51" s="170"/>
      <c r="G51" s="7"/>
      <c r="H51" s="6"/>
      <c r="I51" s="6">
        <f>+I50/D50</f>
        <v>27.998583551491713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721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722</v>
      </c>
      <c r="D2" s="96" t="s">
        <v>3</v>
      </c>
      <c r="E2" s="95" t="s">
        <v>724</v>
      </c>
      <c r="F2" s="94" t="s">
        <v>5</v>
      </c>
      <c r="G2" s="93">
        <v>11278.7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128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88.114843750000006</v>
      </c>
      <c r="F4" s="81" t="s">
        <v>12</v>
      </c>
      <c r="G4" s="80">
        <f>G2*G3</f>
        <v>298885.55000000005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-6.8320256649453626E-2</v>
      </c>
      <c r="F6" s="69" t="s">
        <v>16</v>
      </c>
      <c r="G6" s="68">
        <f>(I50-I19)/(D50-(SUM(D42:D44)+D19))</f>
        <v>31.268757977109633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 t="e">
        <f t="shared" ref="E10:E19" si="1">D10/$D$19</f>
        <v>#DIV/0!</v>
      </c>
      <c r="F10" s="28">
        <f t="shared" ref="F10:F18" si="2">C10-(C10*$E$6)</f>
        <v>28.310486801210523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 t="e">
        <f t="shared" si="1"/>
        <v>#DIV/0!</v>
      </c>
      <c r="F11" s="28">
        <f t="shared" si="2"/>
        <v>29.485639083524923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 t="e">
        <f t="shared" si="1"/>
        <v>#DIV/0!</v>
      </c>
      <c r="F12" s="28">
        <f t="shared" si="2"/>
        <v>26.92167046756623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 t="e">
        <f t="shared" si="1"/>
        <v>#DIV/0!</v>
      </c>
      <c r="F13" s="28">
        <f t="shared" si="2"/>
        <v>29.485639083524923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 t="e">
        <f t="shared" si="1"/>
        <v>#DIV/0!</v>
      </c>
      <c r="F14" s="28">
        <f t="shared" si="2"/>
        <v>33.011095930468116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/>
      <c r="E15" s="29" t="e">
        <f t="shared" si="1"/>
        <v>#DIV/0!</v>
      </c>
      <c r="F15" s="28">
        <f t="shared" si="2"/>
        <v>27.135334518896119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 t="e">
        <f t="shared" si="1"/>
        <v>#DIV/0!</v>
      </c>
      <c r="F16" s="28">
        <f t="shared" si="2"/>
        <v>37.17754493140098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/>
      <c r="E17" s="29" t="e">
        <f t="shared" si="1"/>
        <v>#DIV/0!</v>
      </c>
      <c r="F17" s="28">
        <f t="shared" si="2"/>
        <v>54.804829166116967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 t="e">
        <f t="shared" si="1"/>
        <v>#DIV/0!</v>
      </c>
      <c r="F18" s="28">
        <f t="shared" si="2"/>
        <v>47.967579523560467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/>
      <c r="E21" s="29">
        <f>D21/$D$48</f>
        <v>0</v>
      </c>
      <c r="F21" s="28">
        <f>C21-(C21*$E$6)</f>
        <v>71.150129092853604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576.79999999999995</v>
      </c>
      <c r="E22" s="29">
        <f>D22/$D$48</f>
        <v>5.114064564178495E-2</v>
      </c>
      <c r="F22" s="28">
        <f>C22-(C22*$E$6)</f>
        <v>47.860747497895517</v>
      </c>
      <c r="G22" s="27" t="str">
        <f>IF(C22&gt;=F22,"-","+")</f>
        <v>+</v>
      </c>
      <c r="H22" s="26">
        <f>C22*D22</f>
        <v>25840.639999999996</v>
      </c>
      <c r="I22" s="26">
        <f>F22*D22</f>
        <v>27606.079156786131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/>
      <c r="E23" s="29">
        <f>D23/$D$48</f>
        <v>0</v>
      </c>
      <c r="F23" s="28">
        <f>C23-(C23*$E$6)</f>
        <v>43.587466471297702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</v>
      </c>
      <c r="D24" s="22">
        <f>SUM(D21:D23)</f>
        <v>576.79999999999995</v>
      </c>
      <c r="E24" s="21">
        <f>D24/$D$48</f>
        <v>5.114064564178495E-2</v>
      </c>
      <c r="F24" s="20">
        <f>I24/D24</f>
        <v>47.860747497895517</v>
      </c>
      <c r="G24" s="19">
        <f>F24/C24-1</f>
        <v>6.8320256649453626E-2</v>
      </c>
      <c r="H24" s="18">
        <f>SUM(H21:H23)</f>
        <v>25840.639999999996</v>
      </c>
      <c r="I24" s="18">
        <f>SUM(I21:I23)</f>
        <v>27606.079156786131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/>
      <c r="E26" s="29">
        <f t="shared" ref="E26:E32" si="7">D26/$D$48</f>
        <v>0</v>
      </c>
      <c r="F26" s="28">
        <f t="shared" ref="F26:F31" si="8">C26-(C26*$E$6)</f>
        <v>38.032201136720552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2378.1</v>
      </c>
      <c r="E27" s="29">
        <f t="shared" si="7"/>
        <v>0.21084876803177668</v>
      </c>
      <c r="F27" s="28">
        <f t="shared" si="8"/>
        <v>33.86575213578768</v>
      </c>
      <c r="G27" s="27" t="str">
        <f t="shared" si="9"/>
        <v>+</v>
      </c>
      <c r="H27" s="26">
        <f t="shared" si="10"/>
        <v>75385.76999999999</v>
      </c>
      <c r="I27" s="26">
        <f t="shared" si="11"/>
        <v>80536.145154116675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2198.6999999999998</v>
      </c>
      <c r="E28" s="29">
        <f t="shared" si="7"/>
        <v>0.19494267956413414</v>
      </c>
      <c r="F28" s="28">
        <f t="shared" si="8"/>
        <v>33.86575213578768</v>
      </c>
      <c r="G28" s="27" t="str">
        <f t="shared" si="9"/>
        <v>+</v>
      </c>
      <c r="H28" s="26">
        <f t="shared" si="10"/>
        <v>69698.789999999994</v>
      </c>
      <c r="I28" s="26">
        <f t="shared" si="11"/>
        <v>74460.629220956369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2180.3000000000002</v>
      </c>
      <c r="E29" s="29">
        <f t="shared" si="7"/>
        <v>0.19331128587514518</v>
      </c>
      <c r="F29" s="28">
        <f t="shared" si="8"/>
        <v>32.69059985347328</v>
      </c>
      <c r="G29" s="27" t="str">
        <f t="shared" si="9"/>
        <v>+</v>
      </c>
      <c r="H29" s="26">
        <f t="shared" si="10"/>
        <v>66717.180000000008</v>
      </c>
      <c r="I29" s="26">
        <f t="shared" si="11"/>
        <v>71275.314860527797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/>
      <c r="E30" s="29">
        <f t="shared" si="7"/>
        <v>0</v>
      </c>
      <c r="F30" s="28">
        <f t="shared" si="8"/>
        <v>32.69059985347328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/>
      <c r="E31" s="29">
        <f t="shared" si="7"/>
        <v>0</v>
      </c>
      <c r="F31" s="28">
        <f t="shared" si="8"/>
        <v>33.224759981798009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31.345065190688313</v>
      </c>
      <c r="D32" s="22">
        <f>SUM(D26:D31)</f>
        <v>6757.0999999999995</v>
      </c>
      <c r="E32" s="21">
        <f t="shared" si="7"/>
        <v>0.59910273347105603</v>
      </c>
      <c r="F32" s="20">
        <f>I32/D32</f>
        <v>33.486568089209996</v>
      </c>
      <c r="G32" s="19">
        <f>F32/C32-1</f>
        <v>6.8320256649453626E-2</v>
      </c>
      <c r="H32" s="18">
        <f>SUM(H26:H31)</f>
        <v>211801.74</v>
      </c>
      <c r="I32" s="18">
        <f>SUM(I26:I31)</f>
        <v>226272.08923560084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2216.1</v>
      </c>
      <c r="E34" s="29">
        <f t="shared" ref="E34:E40" si="13">D34/$D$48</f>
        <v>0.1964854105526346</v>
      </c>
      <c r="F34" s="28">
        <f t="shared" ref="F34:F39" si="14">C34-(C34*$E$6)</f>
        <v>19.977588799344783</v>
      </c>
      <c r="G34" s="27" t="str">
        <f t="shared" ref="G34:G39" si="15">IF(C34&gt;=F34,"-","+")</f>
        <v>+</v>
      </c>
      <c r="H34" s="26">
        <f t="shared" ref="H34:H39" si="16">C34*D34</f>
        <v>41441.07</v>
      </c>
      <c r="I34" s="26">
        <f t="shared" ref="I34:I39" si="17">F34*D34</f>
        <v>44272.334538227973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/>
      <c r="E35" s="29">
        <f t="shared" si="13"/>
        <v>0</v>
      </c>
      <c r="F35" s="28">
        <f t="shared" si="14"/>
        <v>15.383811695752133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12.392514977133661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32.69059985347328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32.69059985347328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33.86575213578768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2216.1</v>
      </c>
      <c r="E40" s="113">
        <f t="shared" si="13"/>
        <v>0.1964854105526346</v>
      </c>
      <c r="F40" s="20">
        <f>I40/D40</f>
        <v>19.977588799344783</v>
      </c>
      <c r="G40" s="19">
        <f>F40/C40-1</f>
        <v>6.8320256649453626E-2</v>
      </c>
      <c r="H40" s="18">
        <f>SUM(H34:H39)</f>
        <v>41441.07</v>
      </c>
      <c r="I40" s="18">
        <f>SUM(I34:I39)</f>
        <v>44272.334538227973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1650</v>
      </c>
      <c r="E42" s="107">
        <f>D42/$D$48</f>
        <v>0.14629345580607694</v>
      </c>
      <c r="F42" s="28">
        <f>C42-(C42*$E$6)</f>
        <v>0.42732810265978149</v>
      </c>
      <c r="G42" s="27" t="str">
        <f>IF(C42&gt;=F42,"-","+")</f>
        <v>+</v>
      </c>
      <c r="H42" s="26">
        <f>C42*D42</f>
        <v>660</v>
      </c>
      <c r="I42" s="26">
        <f>F42*D42</f>
        <v>705.09136938863946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70.099999999999994</v>
      </c>
      <c r="E43" s="107">
        <f>D43/$D$48</f>
        <v>6.2152553042460557E-3</v>
      </c>
      <c r="F43" s="28">
        <f>C43-(C43*$E$6)</f>
        <v>0.42732810265978149</v>
      </c>
      <c r="G43" s="27" t="str">
        <f>IF(C43&gt;=F43,"-","+")</f>
        <v>+</v>
      </c>
      <c r="H43" s="26">
        <f>C43*D43</f>
        <v>28.04</v>
      </c>
      <c r="I43" s="26">
        <f>F43*D43</f>
        <v>29.955699996450679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8.6</v>
      </c>
      <c r="E45" s="107">
        <f>D45/$D$48</f>
        <v>7.6249922420137061E-4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0.39801006536703881</v>
      </c>
      <c r="D46" s="22">
        <f>SUM(D41:D45)</f>
        <v>1728.6999999999998</v>
      </c>
      <c r="E46" s="113">
        <f>D46/$D$48</f>
        <v>0.15327121033452434</v>
      </c>
      <c r="F46" s="20">
        <f>I46/D46</f>
        <v>0.42520221518198081</v>
      </c>
      <c r="G46" s="19">
        <f>F46/C46-1</f>
        <v>6.8320256649453848E-2</v>
      </c>
      <c r="H46" s="18">
        <f>SUM(H41:H44)</f>
        <v>688.04</v>
      </c>
      <c r="I46" s="18">
        <f>SUM(I41:I44)</f>
        <v>735.04706938509014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95.243075256055349</v>
      </c>
      <c r="D48" s="13">
        <f>D24+D32+D40+D46</f>
        <v>11278.7</v>
      </c>
      <c r="E48" s="12">
        <f>SUM(E20:E46)/2</f>
        <v>1</v>
      </c>
      <c r="F48" s="11">
        <f>I48/D48</f>
        <v>26.500000000000004</v>
      </c>
      <c r="G48" s="10"/>
      <c r="H48" s="9">
        <f>SUM(H20:H46)/2</f>
        <v>279771.49</v>
      </c>
      <c r="I48" s="9">
        <f>SUM(I20:I46)/2</f>
        <v>298885.55000000005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11278.699999999997</v>
      </c>
      <c r="E50" s="12">
        <f>D50/G2</f>
        <v>0.99999999999999967</v>
      </c>
      <c r="F50" s="11">
        <f>I50/D50</f>
        <v>26.500000000000011</v>
      </c>
      <c r="G50" s="10"/>
      <c r="H50" s="9">
        <f>H48+H19</f>
        <v>279771.49</v>
      </c>
      <c r="I50" s="9">
        <f>I48+I19</f>
        <v>298885.55000000005</v>
      </c>
      <c r="J50" s="106">
        <f>D50-G2</f>
        <v>0</v>
      </c>
      <c r="K50" s="8"/>
    </row>
    <row r="51" spans="1:11" ht="23.25" x14ac:dyDescent="0.35">
      <c r="A51" s="174" t="s">
        <v>725</v>
      </c>
      <c r="B51" s="169"/>
      <c r="C51" s="170"/>
      <c r="G51" s="7"/>
      <c r="H51" s="6"/>
      <c r="I51" s="6">
        <f>+I50/D50</f>
        <v>26.500000000000011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722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722</v>
      </c>
      <c r="D2" s="96" t="s">
        <v>3</v>
      </c>
      <c r="E2" s="95" t="s">
        <v>362</v>
      </c>
      <c r="F2" s="94" t="s">
        <v>5</v>
      </c>
      <c r="G2" s="93">
        <v>17384.099999999999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213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81.615492957746469</v>
      </c>
      <c r="F4" s="81" t="s">
        <v>12</v>
      </c>
      <c r="G4" s="80">
        <f>G2*G3</f>
        <v>486754.79999999993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-1.8614800491374206E-2</v>
      </c>
      <c r="F6" s="69" t="s">
        <v>16</v>
      </c>
      <c r="G6" s="68">
        <f>(I50-I19)/(D50-(SUM(D42:D44)+D19))</f>
        <v>33.218781136968531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28.521214413758479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29.743552174348125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27.095153693070554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29.743552174348125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33.206842496018801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27.400738133217963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37.485024658082565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55.208922186632485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48.282341543291139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170.8</v>
      </c>
      <c r="E21" s="29">
        <f>D21/$D$48</f>
        <v>9.8250700352621092E-3</v>
      </c>
      <c r="F21" s="28">
        <f>C21-(C21*$E$6)</f>
        <v>71.710481954592751</v>
      </c>
      <c r="G21" s="27" t="str">
        <f>IF(C21&gt;=F21,"-","+")</f>
        <v>+</v>
      </c>
      <c r="H21" s="26">
        <f>C21*D21</f>
        <v>12024.320000000002</v>
      </c>
      <c r="I21" s="26">
        <f>F21*D21</f>
        <v>12248.150317844442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607.1</v>
      </c>
      <c r="E22" s="29">
        <f>D22/$D$48</f>
        <v>3.4922716735407644E-2</v>
      </c>
      <c r="F22" s="28">
        <f>C22-(C22*$E$6)</f>
        <v>48.180480063241994</v>
      </c>
      <c r="G22" s="27" t="str">
        <f>IF(C22&gt;=F22,"-","+")</f>
        <v>+</v>
      </c>
      <c r="H22" s="26">
        <f>C22*D22</f>
        <v>28715.829999999998</v>
      </c>
      <c r="I22" s="26">
        <f>F22*D22</f>
        <v>29250.369446394216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367.6</v>
      </c>
      <c r="E23" s="29">
        <f>D23/$D$48</f>
        <v>2.1145759630927116E-2</v>
      </c>
      <c r="F23" s="28">
        <f>C23-(C23*$E$6)</f>
        <v>43.90229790117823</v>
      </c>
      <c r="G23" s="27" t="str">
        <f>IF(C23&gt;=F23,"-","+")</f>
        <v>+</v>
      </c>
      <c r="H23" s="26">
        <f>C23*D23</f>
        <v>15843.560000000001</v>
      </c>
      <c r="I23" s="26">
        <f>F23*D23</f>
        <v>16138.484708473119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49.396516804888698</v>
      </c>
      <c r="D24" s="22">
        <f>SUM(D21:D23)</f>
        <v>1145.5</v>
      </c>
      <c r="E24" s="21">
        <f>D24/$D$48</f>
        <v>6.5893546401596864E-2</v>
      </c>
      <c r="F24" s="20">
        <f>I24/D24</f>
        <v>50.316023110180517</v>
      </c>
      <c r="G24" s="19">
        <f>F24/C24-1</f>
        <v>1.8614800491374206E-2</v>
      </c>
      <c r="H24" s="18">
        <f>SUM(H21:H23)</f>
        <v>56583.710000000006</v>
      </c>
      <c r="I24" s="18">
        <f>SUM(I21:I23)</f>
        <v>57637.004472711778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2677.2</v>
      </c>
      <c r="E26" s="29">
        <f t="shared" ref="E26:E32" si="7">D26/$D$48</f>
        <v>0.15400279565810138</v>
      </c>
      <c r="F26" s="28">
        <f t="shared" ref="F26:F31" si="8">C26-(C26*$E$6)</f>
        <v>38.299916498475675</v>
      </c>
      <c r="G26" s="27" t="str">
        <f t="shared" ref="G26:G31" si="9">IF(C26&gt;=F26,"-","+")</f>
        <v>+</v>
      </c>
      <c r="H26" s="26">
        <f t="shared" ref="H26:H31" si="10">C26*D26</f>
        <v>100662.72</v>
      </c>
      <c r="I26" s="26">
        <f t="shared" ref="I26:I31" si="11">F26*D26</f>
        <v>102536.53644971907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2912</v>
      </c>
      <c r="E27" s="29">
        <f t="shared" si="7"/>
        <v>0.16750939076512447</v>
      </c>
      <c r="F27" s="28">
        <f t="shared" si="8"/>
        <v>34.123595816461034</v>
      </c>
      <c r="G27" s="27" t="str">
        <f t="shared" si="9"/>
        <v>+</v>
      </c>
      <c r="H27" s="26">
        <f t="shared" si="10"/>
        <v>97552</v>
      </c>
      <c r="I27" s="26">
        <f t="shared" si="11"/>
        <v>99367.911017534527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1771.6</v>
      </c>
      <c r="E28" s="29">
        <f t="shared" si="7"/>
        <v>0.10190921589268355</v>
      </c>
      <c r="F28" s="28">
        <f t="shared" si="8"/>
        <v>34.123595816461034</v>
      </c>
      <c r="G28" s="27" t="str">
        <f t="shared" si="9"/>
        <v>+</v>
      </c>
      <c r="H28" s="26">
        <f t="shared" si="10"/>
        <v>59348.6</v>
      </c>
      <c r="I28" s="26">
        <f t="shared" si="11"/>
        <v>60453.362348442366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1959.4</v>
      </c>
      <c r="E29" s="29">
        <f t="shared" si="7"/>
        <v>0.11271219102513218</v>
      </c>
      <c r="F29" s="28">
        <f t="shared" si="8"/>
        <v>32.901258055871381</v>
      </c>
      <c r="G29" s="27" t="str">
        <f t="shared" si="9"/>
        <v>+</v>
      </c>
      <c r="H29" s="26">
        <f t="shared" si="10"/>
        <v>63288.619999999995</v>
      </c>
      <c r="I29" s="26">
        <f t="shared" si="11"/>
        <v>64466.725034674389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898.6</v>
      </c>
      <c r="E30" s="29">
        <f t="shared" si="7"/>
        <v>5.1690912960693974E-2</v>
      </c>
      <c r="F30" s="28">
        <f t="shared" si="8"/>
        <v>32.901258055871381</v>
      </c>
      <c r="G30" s="27" t="str">
        <f t="shared" si="9"/>
        <v>+</v>
      </c>
      <c r="H30" s="26">
        <f t="shared" si="10"/>
        <v>29024.78</v>
      </c>
      <c r="I30" s="26">
        <f t="shared" si="11"/>
        <v>29565.070489006022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386.4</v>
      </c>
      <c r="E31" s="29">
        <f t="shared" si="7"/>
        <v>2.22272076207569E-2</v>
      </c>
      <c r="F31" s="28">
        <f t="shared" si="8"/>
        <v>33.512426936166207</v>
      </c>
      <c r="G31" s="27" t="str">
        <f t="shared" si="9"/>
        <v>+</v>
      </c>
      <c r="H31" s="26">
        <f t="shared" si="10"/>
        <v>12712.56</v>
      </c>
      <c r="I31" s="26">
        <f t="shared" si="11"/>
        <v>12949.201768134622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34.189763512239281</v>
      </c>
      <c r="D32" s="22">
        <f>SUM(D26:D31)</f>
        <v>10605.199999999999</v>
      </c>
      <c r="E32" s="21">
        <f t="shared" si="7"/>
        <v>0.61005171392249236</v>
      </c>
      <c r="F32" s="20">
        <f>I32/D32</f>
        <v>34.826199138866876</v>
      </c>
      <c r="G32" s="19">
        <f>F32/C32-1</f>
        <v>1.8614800491373984E-2</v>
      </c>
      <c r="H32" s="18">
        <f>SUM(H26:H31)</f>
        <v>362589.27999999997</v>
      </c>
      <c r="I32" s="18">
        <f>SUM(I26:I31)</f>
        <v>369338.80710751098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2895</v>
      </c>
      <c r="E34" s="29">
        <f t="shared" ref="E34:E40" si="13">D34/$D$48</f>
        <v>0.16653148566793796</v>
      </c>
      <c r="F34" s="28">
        <f t="shared" ref="F34:F39" si="14">C34-(C34*$E$6)</f>
        <v>20.168573049729211</v>
      </c>
      <c r="G34" s="27" t="str">
        <f t="shared" ref="G34:G39" si="15">IF(C34&gt;=F34,"-","+")</f>
        <v>+</v>
      </c>
      <c r="H34" s="26">
        <f t="shared" ref="H34:H39" si="16">C34*D34</f>
        <v>57321</v>
      </c>
      <c r="I34" s="26">
        <f t="shared" ref="I34:I39" si="17">F34*D34</f>
        <v>58388.018978966065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15.482944967468887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12.427100565994765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32.901258055871381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32.901258055871381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34.123595816461034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2895</v>
      </c>
      <c r="E40" s="113">
        <f t="shared" si="13"/>
        <v>0.16653148566793796</v>
      </c>
      <c r="F40" s="20">
        <f>I40/D40</f>
        <v>20.168573049729211</v>
      </c>
      <c r="G40" s="19">
        <f>F40/C40-1</f>
        <v>1.8614800491374206E-2</v>
      </c>
      <c r="H40" s="18">
        <f>SUM(H34:H39)</f>
        <v>57321</v>
      </c>
      <c r="I40" s="18">
        <f>SUM(I34:I39)</f>
        <v>58388.018978966065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2591</v>
      </c>
      <c r="E42" s="107">
        <f>D42/$D$48</f>
        <v>0.14904424157707333</v>
      </c>
      <c r="F42" s="28">
        <f>C42-(C42*$E$6)</f>
        <v>0.5093074002456871</v>
      </c>
      <c r="G42" s="27" t="str">
        <f>IF(C42&gt;=F42,"-","+")</f>
        <v>+</v>
      </c>
      <c r="H42" s="26">
        <f>C42*D42</f>
        <v>1295.5</v>
      </c>
      <c r="I42" s="26">
        <f>F42*D42</f>
        <v>1319.6154740365753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140.1</v>
      </c>
      <c r="E43" s="107">
        <f>D43/$D$48</f>
        <v>8.0590884774017647E-3</v>
      </c>
      <c r="F43" s="28">
        <f>C43-(C43*$E$6)</f>
        <v>0.5093074002456871</v>
      </c>
      <c r="G43" s="27" t="str">
        <f>IF(C43&gt;=F43,"-","+")</f>
        <v>+</v>
      </c>
      <c r="H43" s="26">
        <f>C43*D43</f>
        <v>70.05</v>
      </c>
      <c r="I43" s="26">
        <f>F43*D43</f>
        <v>71.353966774420755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7.3</v>
      </c>
      <c r="E45" s="107">
        <f>D45/$D$48</f>
        <v>4.1992395349773644E-4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0.49866710487876131</v>
      </c>
      <c r="D46" s="22">
        <f>SUM(D41:D45)</f>
        <v>2738.4</v>
      </c>
      <c r="E46" s="113">
        <f>D46/$D$48</f>
        <v>0.15752325400797282</v>
      </c>
      <c r="F46" s="20">
        <f>I46/D46</f>
        <v>0.50794969354769059</v>
      </c>
      <c r="G46" s="19">
        <f>F46/C46-1</f>
        <v>1.8614800491374206E-2</v>
      </c>
      <c r="H46" s="18">
        <f>SUM(H41:H44)</f>
        <v>1365.55</v>
      </c>
      <c r="I46" s="18">
        <f>SUM(I41:I44)</f>
        <v>1390.969440810996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103.88494742200673</v>
      </c>
      <c r="D48" s="13">
        <f>D24+D32+D40+D46</f>
        <v>17384.099999999999</v>
      </c>
      <c r="E48" s="12">
        <f>SUM(E20:E46)/2</f>
        <v>0.99999999999999978</v>
      </c>
      <c r="F48" s="11">
        <f>I48/D48</f>
        <v>27.999999999999993</v>
      </c>
      <c r="G48" s="10"/>
      <c r="H48" s="9">
        <f>SUM(H20:H46)/2</f>
        <v>477859.54000000004</v>
      </c>
      <c r="I48" s="9">
        <f>SUM(I20:I46)/2</f>
        <v>486754.79999999981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17384.099999999999</v>
      </c>
      <c r="E50" s="12">
        <f>D50/G2</f>
        <v>1</v>
      </c>
      <c r="F50" s="11">
        <f>I50/D50</f>
        <v>27.999999999999993</v>
      </c>
      <c r="G50" s="10"/>
      <c r="H50" s="9">
        <f>H48+H19</f>
        <v>477859.54000000004</v>
      </c>
      <c r="I50" s="9">
        <f>I48+I19</f>
        <v>486754.79999999981</v>
      </c>
      <c r="J50" s="106">
        <f>D50-G2</f>
        <v>0</v>
      </c>
      <c r="K50" s="8"/>
    </row>
    <row r="51" spans="1:11" ht="23.25" x14ac:dyDescent="0.35">
      <c r="A51" s="174" t="s">
        <v>726</v>
      </c>
      <c r="B51" s="169"/>
      <c r="C51" s="170"/>
      <c r="G51" s="7"/>
      <c r="H51" s="6"/>
      <c r="I51" s="6">
        <f>+I50/D50</f>
        <v>27.999999999999993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>
    <tabColor rgb="FF92D050"/>
  </sheetPr>
  <dimension ref="A1:K56"/>
  <sheetViews>
    <sheetView topLeftCell="A2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722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722</v>
      </c>
      <c r="D2" s="96" t="s">
        <v>3</v>
      </c>
      <c r="E2" s="95" t="s">
        <v>362</v>
      </c>
      <c r="F2" s="94" t="s">
        <v>5</v>
      </c>
      <c r="G2" s="93">
        <v>5241.2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67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78.226865671641789</v>
      </c>
      <c r="F4" s="81" t="s">
        <v>12</v>
      </c>
      <c r="G4" s="80">
        <f>G2*G3</f>
        <v>146753.60000000001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7.2167315494656714E-3</v>
      </c>
      <c r="F6" s="69" t="s">
        <v>16</v>
      </c>
      <c r="G6" s="68">
        <f>(I50-I19)/(D50-(SUM(D42:D44)+D19))</f>
        <v>32.771445515749164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27.797931516614963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>
        <f t="shared" si="1"/>
        <v>0</v>
      </c>
      <c r="F11" s="28">
        <f t="shared" si="2"/>
        <v>28.989271438755601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26.408034940784216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28.989271438755601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32.364734551487423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26.705869921319373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36.534424278979664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53.808853150018962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>
        <v>84.4</v>
      </c>
      <c r="E18" s="29">
        <f t="shared" si="1"/>
        <v>1</v>
      </c>
      <c r="F18" s="28">
        <f t="shared" si="2"/>
        <v>47.057926924555325</v>
      </c>
      <c r="G18" s="27" t="str">
        <f t="shared" si="3"/>
        <v>-</v>
      </c>
      <c r="H18" s="34">
        <f t="shared" si="4"/>
        <v>4000.56</v>
      </c>
      <c r="I18" s="34">
        <f t="shared" si="5"/>
        <v>3971.6890324324695</v>
      </c>
      <c r="J18" s="52"/>
      <c r="K18" s="52"/>
    </row>
    <row r="19" spans="1:11" x14ac:dyDescent="0.25">
      <c r="A19" s="51" t="s">
        <v>34</v>
      </c>
      <c r="B19" s="50"/>
      <c r="C19" s="47">
        <f>H19/D19</f>
        <v>47.4</v>
      </c>
      <c r="D19" s="49">
        <f>SUM(D10:D18)</f>
        <v>84.4</v>
      </c>
      <c r="E19" s="48">
        <f t="shared" si="1"/>
        <v>1</v>
      </c>
      <c r="F19" s="47">
        <f>I19/D19</f>
        <v>47.057926924555325</v>
      </c>
      <c r="G19" s="46">
        <f>F19/C19-1</f>
        <v>-7.2167315494656714E-3</v>
      </c>
      <c r="H19" s="9">
        <f>SUM(H10:H18)</f>
        <v>4000.56</v>
      </c>
      <c r="I19" s="9">
        <f>SUM(I10:I18)</f>
        <v>3971.6890324324695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65.400000000000006</v>
      </c>
      <c r="E21" s="29">
        <f>D21/$D$48</f>
        <v>1.2682037658283078E-2</v>
      </c>
      <c r="F21" s="28">
        <f>C21-(C21*$E$6)</f>
        <v>69.891942098917625</v>
      </c>
      <c r="G21" s="27" t="str">
        <f>IF(C21&gt;=F21,"-","+")</f>
        <v>-</v>
      </c>
      <c r="H21" s="26">
        <f>C21*D21</f>
        <v>4604.1600000000008</v>
      </c>
      <c r="I21" s="26">
        <f>F21*D21</f>
        <v>4570.933013269213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101.9</v>
      </c>
      <c r="E22" s="29">
        <f>D22/$D$48</f>
        <v>1.9759933293257575E-2</v>
      </c>
      <c r="F22" s="28">
        <f>C22-(C22*$E$6)</f>
        <v>46.958648597710273</v>
      </c>
      <c r="G22" s="27" t="str">
        <f>IF(C22&gt;=F22,"-","+")</f>
        <v>-</v>
      </c>
      <c r="H22" s="26">
        <f>C22*D22</f>
        <v>4819.87</v>
      </c>
      <c r="I22" s="26">
        <f>F22*D22</f>
        <v>4785.0862921066773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147</v>
      </c>
      <c r="E23" s="29">
        <f>D23/$D$48</f>
        <v>2.850549748880141E-2</v>
      </c>
      <c r="F23" s="28">
        <f>C23-(C23*$E$6)</f>
        <v>42.788958870218032</v>
      </c>
      <c r="G23" s="27" t="str">
        <f>IF(C23&gt;=F23,"-","+")</f>
        <v>-</v>
      </c>
      <c r="H23" s="26">
        <f>C23*D23</f>
        <v>6335.7</v>
      </c>
      <c r="I23" s="26">
        <f>F23*D23</f>
        <v>6289.9769539220506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50.14231625835189</v>
      </c>
      <c r="D24" s="22">
        <f>SUM(D21:D23)</f>
        <v>314.3</v>
      </c>
      <c r="E24" s="21">
        <f>D24/$D$48</f>
        <v>6.0947468440342059E-2</v>
      </c>
      <c r="F24" s="20">
        <f>I24/D24</f>
        <v>49.780452622646962</v>
      </c>
      <c r="G24" s="19">
        <f>F24/C24-1</f>
        <v>-7.2167315494655604E-3</v>
      </c>
      <c r="H24" s="18">
        <f>SUM(H21:H23)</f>
        <v>15759.73</v>
      </c>
      <c r="I24" s="18">
        <f>SUM(I21:I23)</f>
        <v>15645.996259297941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946.2+399.9</f>
        <v>1346.1</v>
      </c>
      <c r="E26" s="29">
        <f t="shared" ref="E26:E32" si="7">D26/$D$48</f>
        <v>0.26102891271888146</v>
      </c>
      <c r="F26" s="28">
        <f t="shared" ref="F26:F31" si="8">C26-(C26*$E$6)</f>
        <v>37.32865089374009</v>
      </c>
      <c r="G26" s="27" t="str">
        <f t="shared" ref="G26:G31" si="9">IF(C26&gt;=F26,"-","+")</f>
        <v>-</v>
      </c>
      <c r="H26" s="26">
        <f t="shared" ref="H26:H31" si="10">C26*D26</f>
        <v>50613.36</v>
      </c>
      <c r="I26" s="26">
        <f t="shared" ref="I26:I31" si="11">F26*D26</f>
        <v>50248.096968063532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567.1</v>
      </c>
      <c r="E27" s="29">
        <f t="shared" si="7"/>
        <v>0.10996916752312436</v>
      </c>
      <c r="F27" s="28">
        <f t="shared" si="8"/>
        <v>33.258239493092901</v>
      </c>
      <c r="G27" s="27" t="str">
        <f t="shared" si="9"/>
        <v>-</v>
      </c>
      <c r="H27" s="26">
        <f t="shared" si="10"/>
        <v>18997.850000000002</v>
      </c>
      <c r="I27" s="26">
        <f t="shared" si="11"/>
        <v>18860.747616532986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297</v>
      </c>
      <c r="E28" s="29">
        <f t="shared" si="7"/>
        <v>5.7592739824313052E-2</v>
      </c>
      <c r="F28" s="28">
        <f t="shared" si="8"/>
        <v>33.258239493092901</v>
      </c>
      <c r="G28" s="27" t="str">
        <f t="shared" si="9"/>
        <v>-</v>
      </c>
      <c r="H28" s="26">
        <f t="shared" si="10"/>
        <v>9949.5</v>
      </c>
      <c r="I28" s="26">
        <f t="shared" si="11"/>
        <v>9877.697129448592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297.5</v>
      </c>
      <c r="E29" s="29">
        <f t="shared" si="7"/>
        <v>5.7689697298764754E-2</v>
      </c>
      <c r="F29" s="28">
        <f t="shared" si="8"/>
        <v>32.066899570952259</v>
      </c>
      <c r="G29" s="27" t="str">
        <f t="shared" si="9"/>
        <v>-</v>
      </c>
      <c r="H29" s="26">
        <f t="shared" si="10"/>
        <v>9609.25</v>
      </c>
      <c r="I29" s="26">
        <f t="shared" si="11"/>
        <v>9539.9026223582969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456.8</v>
      </c>
      <c r="E30" s="29">
        <f t="shared" si="7"/>
        <v>8.8580348659078115E-2</v>
      </c>
      <c r="F30" s="28">
        <f t="shared" si="8"/>
        <v>32.066899570952259</v>
      </c>
      <c r="G30" s="27" t="str">
        <f t="shared" si="9"/>
        <v>-</v>
      </c>
      <c r="H30" s="26">
        <f t="shared" si="10"/>
        <v>14754.64</v>
      </c>
      <c r="I30" s="26">
        <f t="shared" si="11"/>
        <v>14648.159724010993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197.3</v>
      </c>
      <c r="E31" s="29">
        <f t="shared" si="7"/>
        <v>3.8259419418642984E-2</v>
      </c>
      <c r="F31" s="28">
        <f t="shared" si="8"/>
        <v>32.66256953202258</v>
      </c>
      <c r="G31" s="27" t="str">
        <f t="shared" si="9"/>
        <v>-</v>
      </c>
      <c r="H31" s="26">
        <f t="shared" si="10"/>
        <v>6491.17</v>
      </c>
      <c r="I31" s="26">
        <f t="shared" si="11"/>
        <v>6444.3249686680556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34.921807198431274</v>
      </c>
      <c r="D32" s="22">
        <f>SUM(D26:D31)</f>
        <v>3161.8</v>
      </c>
      <c r="E32" s="21">
        <f t="shared" si="7"/>
        <v>0.61312028544280472</v>
      </c>
      <c r="F32" s="20">
        <f>I32/D32</f>
        <v>34.669785890657991</v>
      </c>
      <c r="G32" s="19">
        <f>F32/C32-1</f>
        <v>-7.2167315494658935E-3</v>
      </c>
      <c r="H32" s="18">
        <f>SUM(H26:H31)</f>
        <v>110415.77</v>
      </c>
      <c r="I32" s="18">
        <f>SUM(I26:I31)</f>
        <v>109618.92902908244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240.4+751.2-150</f>
        <v>841.6</v>
      </c>
      <c r="E34" s="29">
        <f t="shared" ref="E34:E40" si="13">D34/$D$48</f>
        <v>0.16319882099711067</v>
      </c>
      <c r="F34" s="28">
        <f t="shared" ref="F34:F39" si="14">C34-(C34*$E$6)</f>
        <v>19.657108715320579</v>
      </c>
      <c r="G34" s="27" t="str">
        <f t="shared" ref="G34:G39" si="15">IF(C34&gt;=F34,"-","+")</f>
        <v>-</v>
      </c>
      <c r="H34" s="26">
        <f t="shared" ref="H34:H39" si="16">C34*D34</f>
        <v>16663.68</v>
      </c>
      <c r="I34" s="26">
        <f t="shared" ref="I34:I39" si="17">F34*D34</f>
        <v>16543.422694813798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38.200000000000003</v>
      </c>
      <c r="E35" s="29">
        <f t="shared" si="13"/>
        <v>7.4075510481102988E-3</v>
      </c>
      <c r="F35" s="28">
        <f t="shared" si="14"/>
        <v>15.090305680448122</v>
      </c>
      <c r="G35" s="27" t="str">
        <f t="shared" si="15"/>
        <v>-</v>
      </c>
      <c r="H35" s="26">
        <f t="shared" si="16"/>
        <v>580.64</v>
      </c>
      <c r="I35" s="26">
        <f t="shared" si="17"/>
        <v>576.44967699311826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12.111955875096518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32.066899570952259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32.066899570952259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33.258239493092901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19.600272789270289</v>
      </c>
      <c r="D40" s="22">
        <f>SUM(D34:D39)</f>
        <v>879.80000000000007</v>
      </c>
      <c r="E40" s="113">
        <f t="shared" si="13"/>
        <v>0.17060637204522097</v>
      </c>
      <c r="F40" s="20">
        <f>I40/D40</f>
        <v>19.458822882253823</v>
      </c>
      <c r="G40" s="19">
        <f>F40/C40-1</f>
        <v>-7.2167315494658935E-3</v>
      </c>
      <c r="H40" s="18">
        <f>SUM(H34:H39)</f>
        <v>17244.32</v>
      </c>
      <c r="I40" s="18">
        <f>SUM(I34:I39)</f>
        <v>17119.872371806916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35.6+301+425</f>
        <v>761.6</v>
      </c>
      <c r="E42" s="107">
        <f>D42/$D$48</f>
        <v>0.14768562508483779</v>
      </c>
      <c r="F42" s="28">
        <f>C42-(C42*$E$6)</f>
        <v>0.49639163422526716</v>
      </c>
      <c r="G42" s="27" t="str">
        <f>IF(C42&gt;=F42,"-","+")</f>
        <v>-</v>
      </c>
      <c r="H42" s="26">
        <f>C42*D42</f>
        <v>380.8</v>
      </c>
      <c r="I42" s="26">
        <f>F42*D42</f>
        <v>378.05186862596349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38.4</v>
      </c>
      <c r="E43" s="107">
        <f>D43/$D$48</f>
        <v>7.44633403789098E-3</v>
      </c>
      <c r="F43" s="28">
        <f>C43-(C43*$E$6)</f>
        <v>0.49639163422526716</v>
      </c>
      <c r="G43" s="27" t="str">
        <f>IF(C43&gt;=F43,"-","+")</f>
        <v>-</v>
      </c>
      <c r="H43" s="26">
        <f>C43*D43</f>
        <v>19.2</v>
      </c>
      <c r="I43" s="26">
        <f>F43*D43</f>
        <v>19.061438754250258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</v>
      </c>
      <c r="E45" s="107">
        <f>D45/$D$48</f>
        <v>1.9391494890341095E-4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0.49937578027465668</v>
      </c>
      <c r="D46" s="22">
        <f>SUM(D41:D45)</f>
        <v>801</v>
      </c>
      <c r="E46" s="113">
        <f>D46/$D$48</f>
        <v>0.15532587407163218</v>
      </c>
      <c r="F46" s="20">
        <f>I46/D46</f>
        <v>0.49577191932610959</v>
      </c>
      <c r="G46" s="19">
        <f>F46/C46-1</f>
        <v>-7.2167315494655604E-3</v>
      </c>
      <c r="H46" s="18">
        <f>SUM(H41:H44)</f>
        <v>400</v>
      </c>
      <c r="I46" s="18">
        <f>SUM(I41:I44)</f>
        <v>397.11330738021377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105.16377202632812</v>
      </c>
      <c r="D48" s="13">
        <f>D24+D32+D40+D46</f>
        <v>5156.9000000000005</v>
      </c>
      <c r="E48" s="12">
        <f>SUM(E20:E46)/2</f>
        <v>0.99999999999999978</v>
      </c>
      <c r="F48" s="11">
        <f>I48/D48</f>
        <v>27.687546969607233</v>
      </c>
      <c r="G48" s="10"/>
      <c r="H48" s="9">
        <f>SUM(H20:H46)/2</f>
        <v>143819.82</v>
      </c>
      <c r="I48" s="9">
        <f>SUM(I20:I46)/2</f>
        <v>142781.91096756756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5241.3</v>
      </c>
      <c r="E50" s="12">
        <f>D50/G2</f>
        <v>1.0000190796000916</v>
      </c>
      <c r="F50" s="11">
        <f>I50/D50</f>
        <v>27.999465781390118</v>
      </c>
      <c r="G50" s="10"/>
      <c r="H50" s="9">
        <f>H48+H19</f>
        <v>147820.38</v>
      </c>
      <c r="I50" s="9">
        <f>I48+I19</f>
        <v>146753.60000000003</v>
      </c>
      <c r="J50" s="106">
        <f>D50-G2</f>
        <v>0.1000000000003638</v>
      </c>
      <c r="K50" s="8"/>
    </row>
    <row r="51" spans="1:11" ht="23.25" x14ac:dyDescent="0.35">
      <c r="A51" s="174" t="s">
        <v>727</v>
      </c>
      <c r="B51" s="169"/>
      <c r="C51" s="170"/>
      <c r="G51" s="7"/>
      <c r="H51" s="6"/>
      <c r="I51" s="6">
        <f>+I50/D50</f>
        <v>27.999465781390118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>
    <tabColor rgb="FF92D050"/>
  </sheetPr>
  <dimension ref="A1:K56"/>
  <sheetViews>
    <sheetView topLeftCell="A38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722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728</v>
      </c>
      <c r="D2" s="96" t="s">
        <v>3</v>
      </c>
      <c r="E2" s="95" t="s">
        <v>71</v>
      </c>
      <c r="F2" s="94" t="s">
        <v>5</v>
      </c>
      <c r="G2" s="93">
        <v>11373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164</v>
      </c>
      <c r="F3" s="88" t="s">
        <v>8</v>
      </c>
      <c r="G3" s="87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69.347560975609753</v>
      </c>
      <c r="F4" s="81" t="s">
        <v>12</v>
      </c>
      <c r="G4" s="80">
        <f>G2*G3</f>
        <v>321287.25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-6.7652420764854337E-3</v>
      </c>
      <c r="F6" s="69" t="s">
        <v>16</v>
      </c>
      <c r="G6" s="68">
        <f>(I50-I19)/(D50-(SUM(D42:D44)+D19))</f>
        <v>33.606883898908222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>
        <f t="shared" ref="E10:E19" si="1">D10/$D$19</f>
        <v>0</v>
      </c>
      <c r="F10" s="28">
        <f t="shared" ref="F10:F18" si="2">C10-(C10*$E$6)</f>
        <v>28.491456350764537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>
        <v>2132.9</v>
      </c>
      <c r="E11" s="29">
        <f t="shared" si="1"/>
        <v>0.63987639876398772</v>
      </c>
      <c r="F11" s="28">
        <f t="shared" si="2"/>
        <v>29.59889811704867</v>
      </c>
      <c r="G11" s="27" t="str">
        <f t="shared" si="3"/>
        <v>+</v>
      </c>
      <c r="H11" s="34">
        <f t="shared" si="4"/>
        <v>62707.26</v>
      </c>
      <c r="I11" s="34">
        <f t="shared" si="5"/>
        <v>63131.489793853107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>
        <v>590.5</v>
      </c>
      <c r="E12" s="29">
        <f t="shared" si="1"/>
        <v>0.17715177151771519</v>
      </c>
      <c r="F12" s="28">
        <f t="shared" si="2"/>
        <v>27.081985011857455</v>
      </c>
      <c r="G12" s="27" t="str">
        <f t="shared" si="3"/>
        <v>+</v>
      </c>
      <c r="H12" s="34">
        <f t="shared" si="4"/>
        <v>15884.449999999999</v>
      </c>
      <c r="I12" s="34">
        <f t="shared" si="5"/>
        <v>15991.912149501828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>
        <v>520.6</v>
      </c>
      <c r="E13" s="29">
        <f t="shared" si="1"/>
        <v>0.15618156181561818</v>
      </c>
      <c r="F13" s="28">
        <f t="shared" si="2"/>
        <v>29.59889811704867</v>
      </c>
      <c r="G13" s="27" t="str">
        <f t="shared" si="3"/>
        <v>+</v>
      </c>
      <c r="H13" s="34">
        <f t="shared" si="4"/>
        <v>15305.64</v>
      </c>
      <c r="I13" s="34">
        <f t="shared" si="5"/>
        <v>15409.186359735539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>
        <f t="shared" si="1"/>
        <v>0</v>
      </c>
      <c r="F14" s="28">
        <f t="shared" si="2"/>
        <v>33.122576464316367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>
        <v>68.7</v>
      </c>
      <c r="E15" s="29">
        <f t="shared" si="1"/>
        <v>2.0610206102061022E-2</v>
      </c>
      <c r="F15" s="28">
        <f t="shared" si="2"/>
        <v>27.283338060272758</v>
      </c>
      <c r="G15" s="27" t="str">
        <f t="shared" si="3"/>
        <v>+</v>
      </c>
      <c r="H15" s="34">
        <f t="shared" si="4"/>
        <v>1861.7700000000002</v>
      </c>
      <c r="I15" s="34">
        <f t="shared" si="5"/>
        <v>1874.3653247407385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>
        <v>20.6</v>
      </c>
      <c r="E16" s="29">
        <f t="shared" si="1"/>
        <v>6.1800618006180074E-3</v>
      </c>
      <c r="F16" s="28">
        <f t="shared" si="2"/>
        <v>37.350990481037613</v>
      </c>
      <c r="G16" s="27" t="str">
        <f t="shared" si="3"/>
        <v>+</v>
      </c>
      <c r="H16" s="34">
        <f t="shared" si="4"/>
        <v>764.2600000000001</v>
      </c>
      <c r="I16" s="34">
        <f t="shared" si="5"/>
        <v>769.43040390937483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>
        <f t="shared" si="1"/>
        <v>0</v>
      </c>
      <c r="F17" s="28">
        <f t="shared" si="2"/>
        <v>54.969382217376108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>
        <f t="shared" si="1"/>
        <v>0</v>
      </c>
      <c r="F18" s="28">
        <f t="shared" si="2"/>
        <v>48.224055095463648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28.957303573035734</v>
      </c>
      <c r="D19" s="49">
        <f>SUM(D10:D18)</f>
        <v>3333.2999999999997</v>
      </c>
      <c r="E19" s="48">
        <f t="shared" si="1"/>
        <v>1</v>
      </c>
      <c r="F19" s="47">
        <f>I19/D19</f>
        <v>29.153206741589592</v>
      </c>
      <c r="G19" s="46">
        <f>F19/C19-1</f>
        <v>6.7652420764852117E-3</v>
      </c>
      <c r="H19" s="9">
        <f>SUM(H10:H18)</f>
        <v>96523.38</v>
      </c>
      <c r="I19" s="9">
        <f>SUM(I10:I18)</f>
        <v>97176.384031740585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67.5</v>
      </c>
      <c r="E21" s="29">
        <f>D21/$D$48</f>
        <v>8.3961489663407721E-3</v>
      </c>
      <c r="F21" s="28">
        <f>C21-(C21*$E$6)</f>
        <v>71.480332187430463</v>
      </c>
      <c r="G21" s="27" t="str">
        <f>IF(C21&gt;=F21,"-","+")</f>
        <v>+</v>
      </c>
      <c r="H21" s="26">
        <f>C21*D21</f>
        <v>4792.5</v>
      </c>
      <c r="I21" s="26">
        <f>F21*D21</f>
        <v>4824.9224226515562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285.39999999999998</v>
      </c>
      <c r="E22" s="29">
        <f>D22/$D$48</f>
        <v>3.5500161703609721E-2</v>
      </c>
      <c r="F22" s="28">
        <f>C22-(C22*$E$6)</f>
        <v>48.022702047048355</v>
      </c>
      <c r="G22" s="27" t="str">
        <f>IF(C22&gt;=F22,"-","+")</f>
        <v>+</v>
      </c>
      <c r="H22" s="26">
        <f>C22*D22</f>
        <v>13613.58</v>
      </c>
      <c r="I22" s="26">
        <f>F22*D22</f>
        <v>13705.6791642276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139.5</v>
      </c>
      <c r="E23" s="29">
        <f>D23/$D$48</f>
        <v>1.7352041197104262E-2</v>
      </c>
      <c r="F23" s="28">
        <f>C23-(C23*$E$6)</f>
        <v>43.794288030327117</v>
      </c>
      <c r="G23" s="27" t="str">
        <f>IF(C23&gt;=F23,"-","+")</f>
        <v>+</v>
      </c>
      <c r="H23" s="26">
        <f>C23*D23</f>
        <v>6068.25</v>
      </c>
      <c r="I23" s="26">
        <f>F23*D23</f>
        <v>6109.3031802306332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49.704163281884654</v>
      </c>
      <c r="D24" s="22">
        <f>SUM(D21:D23)</f>
        <v>492.4</v>
      </c>
      <c r="E24" s="21">
        <f>D24/$D$48</f>
        <v>6.1248351867054754E-2</v>
      </c>
      <c r="F24" s="20">
        <f>I24/D24</f>
        <v>50.040423978695756</v>
      </c>
      <c r="G24" s="19">
        <f>F24/C24-1</f>
        <v>6.7652420764852117E-3</v>
      </c>
      <c r="H24" s="18">
        <f>SUM(H21:H23)</f>
        <v>24474.33</v>
      </c>
      <c r="I24" s="18">
        <f>SUM(I21:I23)</f>
        <v>24639.904767109791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f>1267.8+28+76+119</f>
        <v>1490.8</v>
      </c>
      <c r="E26" s="29">
        <f t="shared" ref="E26:E32" si="7">D26/$D$48</f>
        <v>0.18543672413364182</v>
      </c>
      <c r="F26" s="28">
        <f t="shared" ref="F26:F31" si="8">C26-(C26*$E$6)</f>
        <v>38.156402674698796</v>
      </c>
      <c r="G26" s="27" t="str">
        <f t="shared" ref="G26:G31" si="9">IF(C26&gt;=F26,"-","+")</f>
        <v>+</v>
      </c>
      <c r="H26" s="26">
        <f t="shared" ref="H26:H31" si="10">C26*D26</f>
        <v>56501.32</v>
      </c>
      <c r="I26" s="26">
        <f t="shared" ref="I26:I31" si="11">F26*D26</f>
        <v>56883.565107440962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1268</v>
      </c>
      <c r="E27" s="29">
        <f t="shared" si="7"/>
        <v>0.15772321317511256</v>
      </c>
      <c r="F27" s="28">
        <f t="shared" si="8"/>
        <v>34.028665182185208</v>
      </c>
      <c r="G27" s="27" t="str">
        <f t="shared" si="9"/>
        <v>+</v>
      </c>
      <c r="H27" s="26">
        <f t="shared" si="10"/>
        <v>42858.399999999994</v>
      </c>
      <c r="I27" s="26">
        <f t="shared" si="11"/>
        <v>43148.347451010843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1033.0999999999999</v>
      </c>
      <c r="E28" s="29">
        <f t="shared" si="7"/>
        <v>0.12850461477224667</v>
      </c>
      <c r="F28" s="28">
        <f t="shared" si="8"/>
        <v>34.028665182185208</v>
      </c>
      <c r="G28" s="27" t="str">
        <f t="shared" si="9"/>
        <v>+</v>
      </c>
      <c r="H28" s="26">
        <f t="shared" si="10"/>
        <v>34918.779999999992</v>
      </c>
      <c r="I28" s="26">
        <f t="shared" si="11"/>
        <v>35155.013999715535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729.9</v>
      </c>
      <c r="E29" s="29">
        <f t="shared" si="7"/>
        <v>9.0790357489364884E-2</v>
      </c>
      <c r="F29" s="28">
        <f t="shared" si="8"/>
        <v>32.820546891693425</v>
      </c>
      <c r="G29" s="27" t="str">
        <f t="shared" si="9"/>
        <v>+</v>
      </c>
      <c r="H29" s="26">
        <f t="shared" si="10"/>
        <v>23794.74</v>
      </c>
      <c r="I29" s="26">
        <f t="shared" si="11"/>
        <v>23955.717176247032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408.2</v>
      </c>
      <c r="E30" s="29">
        <f t="shared" si="7"/>
        <v>5.0774933452745231E-2</v>
      </c>
      <c r="F30" s="28">
        <f t="shared" si="8"/>
        <v>32.820546891693425</v>
      </c>
      <c r="G30" s="27" t="str">
        <f t="shared" si="9"/>
        <v>+</v>
      </c>
      <c r="H30" s="26">
        <f t="shared" si="10"/>
        <v>13307.32</v>
      </c>
      <c r="I30" s="26">
        <f t="shared" si="11"/>
        <v>13397.347241189256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95.5</v>
      </c>
      <c r="E31" s="29">
        <f t="shared" si="7"/>
        <v>1.1878995944971018E-2</v>
      </c>
      <c r="F31" s="28">
        <f t="shared" si="8"/>
        <v>33.424606036939316</v>
      </c>
      <c r="G31" s="27" t="str">
        <f t="shared" si="9"/>
        <v>+</v>
      </c>
      <c r="H31" s="26">
        <f t="shared" si="10"/>
        <v>3170.6000000000004</v>
      </c>
      <c r="I31" s="26">
        <f t="shared" si="11"/>
        <v>3192.0498765277048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34.733093224554771</v>
      </c>
      <c r="D32" s="22">
        <f>SUM(D26:D31)</f>
        <v>5025.5</v>
      </c>
      <c r="E32" s="21">
        <f t="shared" si="7"/>
        <v>0.62510883896808223</v>
      </c>
      <c r="F32" s="20">
        <f>I32/D32</f>
        <v>34.968071008284014</v>
      </c>
      <c r="G32" s="19">
        <f>F32/C32-1</f>
        <v>6.7652420764852117E-3</v>
      </c>
      <c r="H32" s="18">
        <f>SUM(H26:H31)</f>
        <v>174551.16</v>
      </c>
      <c r="I32" s="18">
        <f>SUM(I26:I31)</f>
        <v>175732.04085213132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1144.7</v>
      </c>
      <c r="E34" s="29">
        <f t="shared" ref="E34:E40" si="13">D34/$D$48</f>
        <v>0.14238624772993011</v>
      </c>
      <c r="F34" s="28">
        <f t="shared" ref="F34:F39" si="14">C34-(C34*$E$6)</f>
        <v>20.13530484152971</v>
      </c>
      <c r="G34" s="27" t="str">
        <f t="shared" ref="G34:G39" si="15">IF(C34&gt;=F34,"-","+")</f>
        <v>+</v>
      </c>
      <c r="H34" s="26">
        <f t="shared" ref="H34:H39" si="16">C34*D34</f>
        <v>22894</v>
      </c>
      <c r="I34" s="26">
        <f t="shared" ref="I34:I39" si="17">F34*D34</f>
        <v>23048.88345209906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15.504184727977876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12.383212477540772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32.820546891693425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32.820546891693425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34.028665182185208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1144.7</v>
      </c>
      <c r="E40" s="21">
        <f t="shared" si="13"/>
        <v>0.14238624772993011</v>
      </c>
      <c r="F40" s="20">
        <f>I40/D40</f>
        <v>20.13530484152971</v>
      </c>
      <c r="G40" s="19">
        <f>F40/C40-1</f>
        <v>6.7652420764854337E-3</v>
      </c>
      <c r="H40" s="18">
        <f>SUM(H34:H39)</f>
        <v>22894</v>
      </c>
      <c r="I40" s="18">
        <f>SUM(I34:I39)</f>
        <v>23048.88345209906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1300</v>
      </c>
      <c r="E42" s="107">
        <f>D42/$D$48</f>
        <v>0.16170360972211859</v>
      </c>
      <c r="F42" s="28">
        <f>C42-(C42*$E$6)</f>
        <v>0.50338262103824272</v>
      </c>
      <c r="G42" s="27" t="str">
        <f>IF(C42&gt;=F42,"-","+")</f>
        <v>+</v>
      </c>
      <c r="H42" s="26">
        <f>C42*D42</f>
        <v>650</v>
      </c>
      <c r="I42" s="26">
        <f>F42*D42</f>
        <v>654.39740734971554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70.8</v>
      </c>
      <c r="E43" s="107">
        <f>D43/$D$48</f>
        <v>8.8066273602507659E-3</v>
      </c>
      <c r="F43" s="28">
        <f>C43-(C43*$E$6)</f>
        <v>0.50338262103824272</v>
      </c>
      <c r="G43" s="27" t="str">
        <f>IF(C43&gt;=F43,"-","+")</f>
        <v>+</v>
      </c>
      <c r="H43" s="26">
        <f>C43*D43</f>
        <v>35.4</v>
      </c>
      <c r="I43" s="26">
        <f>F43*D43</f>
        <v>35.639489569507582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7.4632435256362416E-4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0.49782103428239394</v>
      </c>
      <c r="D46" s="22">
        <f>SUM(D41:D45)</f>
        <v>1376.8</v>
      </c>
      <c r="E46" s="21">
        <f>D46/$D$48</f>
        <v>0.17125656143493295</v>
      </c>
      <c r="F46" s="20">
        <f>I46/D46</f>
        <v>0.50118891409008071</v>
      </c>
      <c r="G46" s="19">
        <f>F46/C46-1</f>
        <v>6.7652420764854337E-3</v>
      </c>
      <c r="H46" s="18">
        <f>SUM(H41:H44)</f>
        <v>685.4</v>
      </c>
      <c r="I46" s="18">
        <f>SUM(I41:I44)</f>
        <v>690.03689691922307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104.93507754072182</v>
      </c>
      <c r="D48" s="13">
        <f>D24+D32+D40+D46</f>
        <v>8039.4</v>
      </c>
      <c r="E48" s="12">
        <f>SUM(E20:E46)/2</f>
        <v>0.99999999999999978</v>
      </c>
      <c r="F48" s="11">
        <f>I48/D48</f>
        <v>27.876566157705724</v>
      </c>
      <c r="G48" s="10"/>
      <c r="H48" s="9">
        <f>SUM(H20:H46)/2</f>
        <v>222604.89</v>
      </c>
      <c r="I48" s="9">
        <f>SUM(I20:I46)/2</f>
        <v>224110.8659682594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11372.7</v>
      </c>
      <c r="E50" s="12">
        <f>D50/G2</f>
        <v>0.99997362173568982</v>
      </c>
      <c r="F50" s="11">
        <f>I50/D50</f>
        <v>28.250745205623993</v>
      </c>
      <c r="G50" s="10"/>
      <c r="H50" s="9">
        <f>H48+H19</f>
        <v>319128.27</v>
      </c>
      <c r="I50" s="9">
        <f>I48+I19</f>
        <v>321287.25</v>
      </c>
      <c r="J50" s="106">
        <f>D50-G2</f>
        <v>-0.2999999999992724</v>
      </c>
      <c r="K50" s="8"/>
    </row>
    <row r="51" spans="1:11" ht="23.25" x14ac:dyDescent="0.35">
      <c r="A51" s="174" t="s">
        <v>729</v>
      </c>
      <c r="B51" s="169"/>
      <c r="C51" s="170"/>
      <c r="G51" s="7"/>
      <c r="H51" s="6"/>
      <c r="I51" s="6">
        <f>+I50/D50</f>
        <v>28.250745205623993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730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730</v>
      </c>
      <c r="D2" s="96" t="s">
        <v>3</v>
      </c>
      <c r="E2" s="95" t="s">
        <v>71</v>
      </c>
      <c r="F2" s="94" t="s">
        <v>5</v>
      </c>
      <c r="G2" s="93">
        <f>13329.4+1294.6</f>
        <v>14624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192</v>
      </c>
      <c r="F3" s="88" t="s">
        <v>8</v>
      </c>
      <c r="G3" s="87">
        <v>27.8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76.166666666666671</v>
      </c>
      <c r="F4" s="81" t="s">
        <v>12</v>
      </c>
      <c r="G4" s="80">
        <f>G2*G3</f>
        <v>406547.20000000001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-2.0653929982783703E-2</v>
      </c>
      <c r="F6" s="69" t="s">
        <v>16</v>
      </c>
      <c r="G6" s="68">
        <f>(I50-I19)/(D50-(SUM(D42:D44)+D19))</f>
        <v>33.375519251293014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 t="e">
        <f t="shared" ref="E10:E19" si="1">D10/$D$19</f>
        <v>#DIV/0!</v>
      </c>
      <c r="F10" s="28">
        <f t="shared" ref="F10:F18" si="2">C10-(C10*$E$6)</f>
        <v>28.374179253521387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</v>
      </c>
      <c r="D11" s="30"/>
      <c r="E11" s="29" t="e">
        <f t="shared" si="1"/>
        <v>#DIV/0!</v>
      </c>
      <c r="F11" s="28">
        <f t="shared" si="2"/>
        <v>29.598963969500726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/>
      <c r="E12" s="29" t="e">
        <f t="shared" si="1"/>
        <v>#DIV/0!</v>
      </c>
      <c r="F12" s="28">
        <f t="shared" si="2"/>
        <v>26.94526375154549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</v>
      </c>
      <c r="D13" s="30"/>
      <c r="E13" s="29" t="e">
        <f t="shared" si="1"/>
        <v>#DIV/0!</v>
      </c>
      <c r="F13" s="28">
        <f t="shared" si="2"/>
        <v>29.598963969500726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32.4</v>
      </c>
      <c r="D14" s="30"/>
      <c r="E14" s="29" t="e">
        <f t="shared" si="1"/>
        <v>#DIV/0!</v>
      </c>
      <c r="F14" s="28">
        <f t="shared" si="2"/>
        <v>33.069187331442194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26.7</v>
      </c>
      <c r="D15" s="30"/>
      <c r="E15" s="29" t="e">
        <f t="shared" si="1"/>
        <v>#DIV/0!</v>
      </c>
      <c r="F15" s="28">
        <f t="shared" si="2"/>
        <v>27.251459930540324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 t="e">
        <f t="shared" si="1"/>
        <v>#DIV/0!</v>
      </c>
      <c r="F16" s="28">
        <f t="shared" si="2"/>
        <v>37.253868444371605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53.8</v>
      </c>
      <c r="D17" s="30"/>
      <c r="E17" s="29" t="e">
        <f t="shared" si="1"/>
        <v>#DIV/0!</v>
      </c>
      <c r="F17" s="28">
        <f t="shared" si="2"/>
        <v>54.911181433073757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47.1</v>
      </c>
      <c r="D18" s="30"/>
      <c r="E18" s="29" t="e">
        <f t="shared" si="1"/>
        <v>#DIV/0!</v>
      </c>
      <c r="F18" s="28">
        <f t="shared" si="2"/>
        <v>48.072800102189113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69.900000000000006</v>
      </c>
      <c r="D21" s="30">
        <v>162.9</v>
      </c>
      <c r="E21" s="29">
        <f>D21/$D$48</f>
        <v>1.1139223194748358E-2</v>
      </c>
      <c r="F21" s="28">
        <f>C21-(C21*$E$6)</f>
        <v>71.343709705796584</v>
      </c>
      <c r="G21" s="27" t="str">
        <f>IF(C21&gt;=F21,"-","+")</f>
        <v>+</v>
      </c>
      <c r="H21" s="26">
        <f>C21*D21</f>
        <v>11386.710000000001</v>
      </c>
      <c r="I21" s="26">
        <f>F21*D21</f>
        <v>11621.890311074265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</v>
      </c>
      <c r="D22" s="30">
        <v>516.79999999999995</v>
      </c>
      <c r="E22" s="29">
        <f>D22/$D$48</f>
        <v>3.5339168490153165E-2</v>
      </c>
      <c r="F22" s="28">
        <f>C22-(C22*$E$6)</f>
        <v>47.970734709190836</v>
      </c>
      <c r="G22" s="27" t="str">
        <f>IF(C22&gt;=F22,"-","+")</f>
        <v>+</v>
      </c>
      <c r="H22" s="26">
        <f>C22*D22</f>
        <v>24289.599999999999</v>
      </c>
      <c r="I22" s="26">
        <f>F22*D22</f>
        <v>24791.275697709822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42.8</v>
      </c>
      <c r="D23" s="30">
        <v>313.39999999999998</v>
      </c>
      <c r="E23" s="29">
        <f>D23/$D$48</f>
        <v>2.143052516411378E-2</v>
      </c>
      <c r="F23" s="28">
        <f>C23-(C23*$E$6)</f>
        <v>43.683988203263141</v>
      </c>
      <c r="G23" s="27" t="str">
        <f>IF(C23&gt;=F23,"-","+")</f>
        <v>+</v>
      </c>
      <c r="H23" s="26">
        <f>C23*D23</f>
        <v>13413.519999999999</v>
      </c>
      <c r="I23" s="26">
        <f>F23*D23</f>
        <v>13690.561902902667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49.430903232302889</v>
      </c>
      <c r="D24" s="22">
        <f>SUM(D21:D23)</f>
        <v>993.09999999999991</v>
      </c>
      <c r="E24" s="21">
        <f>D24/$D$48</f>
        <v>6.7908916849015302E-2</v>
      </c>
      <c r="F24" s="20">
        <f>I24/D24</f>
        <v>50.451845646648636</v>
      </c>
      <c r="G24" s="19">
        <f>F24/C24-1</f>
        <v>2.0653929982783925E-2</v>
      </c>
      <c r="H24" s="18">
        <f>SUM(H21:H23)</f>
        <v>49089.829999999994</v>
      </c>
      <c r="I24" s="18">
        <f>SUM(I21:I23)</f>
        <v>50103.727911686758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37.299999999999997</v>
      </c>
      <c r="D26" s="30">
        <v>2396</v>
      </c>
      <c r="E26" s="29">
        <f t="shared" ref="E26:E32" si="7">D26/$D$48</f>
        <v>0.16384026258205686</v>
      </c>
      <c r="F26" s="28">
        <f t="shared" ref="F26:F31" si="8">C26-(C26*$E$6)</f>
        <v>38.070391588357829</v>
      </c>
      <c r="G26" s="27" t="str">
        <f t="shared" ref="G26:G31" si="9">IF(C26&gt;=F26,"-","+")</f>
        <v>+</v>
      </c>
      <c r="H26" s="26">
        <f t="shared" ref="H26:H31" si="10">C26*D26</f>
        <v>89370.799999999988</v>
      </c>
      <c r="I26" s="26">
        <f t="shared" ref="I26:I31" si="11">F26*D26</f>
        <v>91216.658245705359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2384.6999999999998</v>
      </c>
      <c r="E27" s="29">
        <f t="shared" si="7"/>
        <v>0.16306756017505467</v>
      </c>
      <c r="F27" s="28">
        <f t="shared" si="8"/>
        <v>33.885710475428425</v>
      </c>
      <c r="G27" s="27" t="str">
        <f t="shared" si="9"/>
        <v>+</v>
      </c>
      <c r="H27" s="26">
        <f t="shared" si="10"/>
        <v>79172.039999999994</v>
      </c>
      <c r="I27" s="26">
        <f t="shared" si="11"/>
        <v>80807.253770754163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1646.2</v>
      </c>
      <c r="E28" s="29">
        <f t="shared" si="7"/>
        <v>0.11256838074398248</v>
      </c>
      <c r="F28" s="28">
        <f t="shared" si="8"/>
        <v>33.885710475428425</v>
      </c>
      <c r="G28" s="27" t="str">
        <f t="shared" si="9"/>
        <v>+</v>
      </c>
      <c r="H28" s="26">
        <f t="shared" si="10"/>
        <v>54653.840000000004</v>
      </c>
      <c r="I28" s="26">
        <f t="shared" si="11"/>
        <v>55782.656584650278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1375.3</v>
      </c>
      <c r="E29" s="29">
        <f t="shared" si="7"/>
        <v>9.4044037199124714E-2</v>
      </c>
      <c r="F29" s="28">
        <f t="shared" si="8"/>
        <v>32.762991152447356</v>
      </c>
      <c r="G29" s="27" t="str">
        <f t="shared" si="9"/>
        <v>+</v>
      </c>
      <c r="H29" s="26">
        <f t="shared" si="10"/>
        <v>44147.13</v>
      </c>
      <c r="I29" s="26">
        <f t="shared" si="11"/>
        <v>45058.941731960847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771.8</v>
      </c>
      <c r="E30" s="29">
        <f t="shared" si="7"/>
        <v>5.2776258205689271E-2</v>
      </c>
      <c r="F30" s="28">
        <f t="shared" si="8"/>
        <v>32.762991152447356</v>
      </c>
      <c r="G30" s="27" t="str">
        <f t="shared" si="9"/>
        <v>+</v>
      </c>
      <c r="H30" s="26">
        <f t="shared" si="10"/>
        <v>24774.78</v>
      </c>
      <c r="I30" s="26">
        <f t="shared" si="11"/>
        <v>25286.476571458868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32.700000000000003</v>
      </c>
      <c r="D31" s="30">
        <v>363.2</v>
      </c>
      <c r="E31" s="29">
        <f t="shared" si="7"/>
        <v>2.4835886214442011E-2</v>
      </c>
      <c r="F31" s="28">
        <f t="shared" si="8"/>
        <v>33.375383510437032</v>
      </c>
      <c r="G31" s="27" t="str">
        <f t="shared" si="9"/>
        <v>+</v>
      </c>
      <c r="H31" s="26">
        <f t="shared" si="10"/>
        <v>11876.640000000001</v>
      </c>
      <c r="I31" s="26">
        <f t="shared" si="11"/>
        <v>12121.939290990729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34.014594056303984</v>
      </c>
      <c r="D32" s="22">
        <f>SUM(D26:D31)</f>
        <v>8937.2000000000007</v>
      </c>
      <c r="E32" s="21">
        <f t="shared" si="7"/>
        <v>0.61113238512035006</v>
      </c>
      <c r="F32" s="20">
        <f>I32/D32</f>
        <v>34.717129100335697</v>
      </c>
      <c r="G32" s="19">
        <f>F32/C32-1</f>
        <v>2.0653929982783703E-2</v>
      </c>
      <c r="H32" s="18">
        <f>SUM(H26:H31)</f>
        <v>303995.23</v>
      </c>
      <c r="I32" s="18">
        <f>SUM(I26:I31)</f>
        <v>310273.92619552021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2245.6</v>
      </c>
      <c r="E34" s="29">
        <f t="shared" ref="E34:E40" si="13">D34/$D$48</f>
        <v>0.15355579868708968</v>
      </c>
      <c r="F34" s="28">
        <f t="shared" ref="F34:F39" si="14">C34-(C34*$E$6)</f>
        <v>20.004817027662561</v>
      </c>
      <c r="G34" s="27" t="str">
        <f t="shared" ref="G34:G39" si="15">IF(C34&gt;=F34,"-","+")</f>
        <v>+</v>
      </c>
      <c r="H34" s="26">
        <f t="shared" ref="H34:H39" si="16">C34*D34</f>
        <v>44013.760000000002</v>
      </c>
      <c r="I34" s="26">
        <f t="shared" ref="I34:I39" si="17">F34*D34</f>
        <v>44922.817117319042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/>
      <c r="E35" s="29">
        <f t="shared" si="13"/>
        <v>0</v>
      </c>
      <c r="F35" s="28">
        <f t="shared" si="14"/>
        <v>15.411874342740033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12.349912552791682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32.762991152447356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32.762991152447356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33.885710475428425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19.600000000000001</v>
      </c>
      <c r="D40" s="22">
        <f>SUM(D34:D39)</f>
        <v>2245.6</v>
      </c>
      <c r="E40" s="113">
        <f t="shared" si="13"/>
        <v>0.15355579868708968</v>
      </c>
      <c r="F40" s="20">
        <f>I40/D40</f>
        <v>20.004817027662561</v>
      </c>
      <c r="G40" s="19">
        <f>F40/C40-1</f>
        <v>2.0653929982783703E-2</v>
      </c>
      <c r="H40" s="18">
        <f>SUM(H34:H39)</f>
        <v>44013.760000000002</v>
      </c>
      <c r="I40" s="18">
        <f>SUM(I34:I39)</f>
        <v>44922.817117319042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2284</v>
      </c>
      <c r="E42" s="107">
        <f>D42/$D$48</f>
        <v>0.15618161925601748</v>
      </c>
      <c r="F42" s="28">
        <f>C42-(C42*$E$6)</f>
        <v>0.51032696499139185</v>
      </c>
      <c r="G42" s="27" t="str">
        <f>IF(C42&gt;=F42,"-","+")</f>
        <v>+</v>
      </c>
      <c r="H42" s="26">
        <f>C42*D42</f>
        <v>1142</v>
      </c>
      <c r="I42" s="26">
        <f>F42*D42</f>
        <v>1165.5867880403389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159</v>
      </c>
      <c r="E43" s="107">
        <f>D43/$D$48</f>
        <v>1.0872538293216629E-2</v>
      </c>
      <c r="F43" s="28">
        <f>C43-(C43*$E$6)</f>
        <v>0.51032696499139185</v>
      </c>
      <c r="G43" s="27" t="str">
        <f>IF(C43&gt;=F43,"-","+")</f>
        <v>+</v>
      </c>
      <c r="H43" s="26">
        <f>C43*D43</f>
        <v>79.5</v>
      </c>
      <c r="I43" s="26">
        <f>F43*D43</f>
        <v>81.1419874336313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3.4874179431072203E-4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0.49895837588333813</v>
      </c>
      <c r="D46" s="22">
        <f>SUM(D41:D45)</f>
        <v>2448.1</v>
      </c>
      <c r="E46" s="113">
        <f>D46/$D$48</f>
        <v>0.16740289934354483</v>
      </c>
      <c r="F46" s="20">
        <f>I46/D46</f>
        <v>0.509263827243156</v>
      </c>
      <c r="G46" s="19">
        <f>F46/C46-1</f>
        <v>2.0653929982783481E-2</v>
      </c>
      <c r="H46" s="18">
        <f>SUM(H41:H44)</f>
        <v>1221.5</v>
      </c>
      <c r="I46" s="18">
        <f>SUM(I41:I44)</f>
        <v>1246.7287754739702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103.5444556644902</v>
      </c>
      <c r="D48" s="13">
        <f>D24+D32+D40+D46</f>
        <v>14624.000000000002</v>
      </c>
      <c r="E48" s="12">
        <f>SUM(E20:E46)/2</f>
        <v>0.99999999999999978</v>
      </c>
      <c r="F48" s="11">
        <f>I48/D48</f>
        <v>27.8</v>
      </c>
      <c r="G48" s="10"/>
      <c r="H48" s="9">
        <f>SUM(H20:H46)/2</f>
        <v>398320.32</v>
      </c>
      <c r="I48" s="9">
        <f>SUM(I20:I46)/2</f>
        <v>406547.20000000007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14623.999999999996</v>
      </c>
      <c r="E50" s="12">
        <f>D50/G2</f>
        <v>0.99999999999999978</v>
      </c>
      <c r="F50" s="11">
        <f>I50/D50</f>
        <v>27.800000000000011</v>
      </c>
      <c r="G50" s="10"/>
      <c r="H50" s="9">
        <f>H48+H19</f>
        <v>398320.32</v>
      </c>
      <c r="I50" s="9">
        <f>I48+I19</f>
        <v>406547.20000000007</v>
      </c>
      <c r="J50" s="106">
        <f>D50-G2</f>
        <v>0</v>
      </c>
      <c r="K50" s="8"/>
    </row>
    <row r="51" spans="1:11" ht="23.25" x14ac:dyDescent="0.35">
      <c r="A51" s="174" t="s">
        <v>731</v>
      </c>
      <c r="B51" s="169"/>
      <c r="C51" s="170"/>
      <c r="G51" s="7"/>
      <c r="H51" s="6"/>
      <c r="I51" s="6">
        <f>+I50/D50</f>
        <v>27.800000000000011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>
    <tabColor rgb="FF92D050"/>
  </sheetPr>
  <dimension ref="A1:K56"/>
  <sheetViews>
    <sheetView topLeftCell="A2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730</v>
      </c>
      <c r="D1" s="100" t="s">
        <v>1</v>
      </c>
      <c r="E1" s="168" t="s">
        <v>732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730</v>
      </c>
      <c r="D2" s="96" t="s">
        <v>3</v>
      </c>
      <c r="E2" s="95" t="s">
        <v>112</v>
      </c>
      <c r="F2" s="94" t="s">
        <v>5</v>
      </c>
      <c r="G2" s="93">
        <v>4052.5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72</v>
      </c>
      <c r="F3" s="88" t="s">
        <v>8</v>
      </c>
      <c r="G3" s="87">
        <v>23.89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56.284722222222221</v>
      </c>
      <c r="F4" s="81" t="s">
        <v>12</v>
      </c>
      <c r="G4" s="80">
        <f>G2*G3</f>
        <v>96814.225000000006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-0.12062463560453729</v>
      </c>
      <c r="F6" s="69" t="s">
        <v>16</v>
      </c>
      <c r="G6" s="68">
        <f>(I50-I19)/(D50-(SUM(D42:D44)+D19))</f>
        <v>31.186130975389766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23.9</v>
      </c>
      <c r="D10" s="30"/>
      <c r="E10" s="29" t="e">
        <f t="shared" ref="E10:E19" si="1">D10/$D$19</f>
        <v>#DIV/0!</v>
      </c>
      <c r="F10" s="28">
        <f t="shared" ref="F10:F18" si="2">C10-(C10*$E$6)</f>
        <v>26.782928790948439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24.9</v>
      </c>
      <c r="D11" s="30"/>
      <c r="E11" s="29" t="e">
        <f t="shared" si="1"/>
        <v>#DIV/0!</v>
      </c>
      <c r="F11" s="28">
        <f t="shared" si="2"/>
        <v>27.903553426552978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22.7</v>
      </c>
      <c r="D12" s="30"/>
      <c r="E12" s="29" t="e">
        <f t="shared" si="1"/>
        <v>#DIV/0!</v>
      </c>
      <c r="F12" s="28">
        <f t="shared" si="2"/>
        <v>25.438179228222996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24.9</v>
      </c>
      <c r="D13" s="30"/>
      <c r="E13" s="29" t="e">
        <f t="shared" si="1"/>
        <v>#DIV/0!</v>
      </c>
      <c r="F13" s="28">
        <f t="shared" si="2"/>
        <v>27.903553426552978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27.8</v>
      </c>
      <c r="D14" s="30"/>
      <c r="E14" s="29" t="e">
        <f t="shared" si="1"/>
        <v>#DIV/0!</v>
      </c>
      <c r="F14" s="28">
        <f t="shared" si="2"/>
        <v>31.153364869806136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22.9</v>
      </c>
      <c r="D15" s="30"/>
      <c r="E15" s="29" t="e">
        <f t="shared" si="1"/>
        <v>#DIV/0!</v>
      </c>
      <c r="F15" s="28">
        <f t="shared" si="2"/>
        <v>25.662304155343904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31.4</v>
      </c>
      <c r="D16" s="30"/>
      <c r="E16" s="29" t="e">
        <f t="shared" si="1"/>
        <v>#DIV/0!</v>
      </c>
      <c r="F16" s="28">
        <f t="shared" si="2"/>
        <v>35.187613557982466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46.2</v>
      </c>
      <c r="D17" s="30"/>
      <c r="E17" s="29" t="e">
        <f t="shared" si="1"/>
        <v>#DIV/0!</v>
      </c>
      <c r="F17" s="28">
        <f t="shared" si="2"/>
        <v>51.772858164929623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40.5</v>
      </c>
      <c r="D18" s="30"/>
      <c r="E18" s="29" t="e">
        <f t="shared" si="1"/>
        <v>#DIV/0!</v>
      </c>
      <c r="F18" s="28">
        <f t="shared" si="2"/>
        <v>45.385297741983763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60.1</v>
      </c>
      <c r="D21" s="30">
        <v>55.9</v>
      </c>
      <c r="E21" s="29">
        <f>D21/$D$48</f>
        <v>1.3793954349167178E-2</v>
      </c>
      <c r="F21" s="28">
        <f>C21-(C21*$E$6)</f>
        <v>67.349540599832693</v>
      </c>
      <c r="G21" s="27" t="str">
        <f>IF(C21&gt;=F21,"-","+")</f>
        <v>+</v>
      </c>
      <c r="H21" s="26">
        <f>C21*D21</f>
        <v>3359.59</v>
      </c>
      <c r="I21" s="26">
        <f>F21*D21</f>
        <v>3764.8393195306476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40.4</v>
      </c>
      <c r="D22" s="30">
        <v>101.2</v>
      </c>
      <c r="E22" s="29">
        <f>D22/$D$48</f>
        <v>2.4972239358420727E-2</v>
      </c>
      <c r="F22" s="28">
        <f>C22-(C22*$E$6)</f>
        <v>45.273235278423307</v>
      </c>
      <c r="G22" s="27" t="str">
        <f>IF(C22&gt;=F22,"-","+")</f>
        <v>+</v>
      </c>
      <c r="H22" s="26">
        <f>C22*D22</f>
        <v>4088.48</v>
      </c>
      <c r="I22" s="26">
        <f>F22*D22</f>
        <v>4581.6514101764387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36.799999999999997</v>
      </c>
      <c r="D23" s="30">
        <v>86.6</v>
      </c>
      <c r="E23" s="29">
        <f>D23/$D$48</f>
        <v>2.1369524984577417E-2</v>
      </c>
      <c r="F23" s="28">
        <f>C23-(C23*$E$6)</f>
        <v>41.238986590246967</v>
      </c>
      <c r="G23" s="27" t="str">
        <f>IF(C23&gt;=F23,"-","+")</f>
        <v>+</v>
      </c>
      <c r="H23" s="26">
        <f>C23*D23</f>
        <v>3186.8799999999997</v>
      </c>
      <c r="I23" s="26">
        <f>F23*D23</f>
        <v>3571.2962387153871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43.639515798112434</v>
      </c>
      <c r="D24" s="22">
        <f>SUM(D21:D23)</f>
        <v>243.7</v>
      </c>
      <c r="E24" s="21">
        <f>D24/$D$48</f>
        <v>6.0135718692165323E-2</v>
      </c>
      <c r="F24" s="20">
        <f>I24/D24</f>
        <v>48.903516489218191</v>
      </c>
      <c r="G24" s="19">
        <f>F24/C24-1</f>
        <v>0.12062463560453729</v>
      </c>
      <c r="H24" s="18">
        <f>SUM(H21:H23)</f>
        <v>10634.949999999999</v>
      </c>
      <c r="I24" s="18">
        <f>SUM(I21:I23)</f>
        <v>11917.786968422473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32.1</v>
      </c>
      <c r="D26" s="30">
        <v>715.2</v>
      </c>
      <c r="E26" s="29">
        <f t="shared" ref="E26:E32" si="7">D26/$D$48</f>
        <v>0.17648365206662553</v>
      </c>
      <c r="F26" s="28">
        <f t="shared" ref="F26:F31" si="8">C26-(C26*$E$6)</f>
        <v>35.972050802905649</v>
      </c>
      <c r="G26" s="27" t="str">
        <f t="shared" ref="G26:G31" si="9">IF(C26&gt;=F26,"-","+")</f>
        <v>+</v>
      </c>
      <c r="H26" s="26">
        <f t="shared" ref="H26:H31" si="10">C26*D26</f>
        <v>22957.920000000002</v>
      </c>
      <c r="I26" s="26">
        <f t="shared" ref="I26:I31" si="11">F26*D26</f>
        <v>25727.21073423812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28.5</v>
      </c>
      <c r="D27" s="30">
        <v>611</v>
      </c>
      <c r="E27" s="29">
        <f t="shared" si="7"/>
        <v>0.15077112893275754</v>
      </c>
      <c r="F27" s="28">
        <f t="shared" si="8"/>
        <v>31.937802114729312</v>
      </c>
      <c r="G27" s="27" t="str">
        <f t="shared" si="9"/>
        <v>+</v>
      </c>
      <c r="H27" s="26">
        <f t="shared" si="10"/>
        <v>17413.5</v>
      </c>
      <c r="I27" s="26">
        <f t="shared" si="11"/>
        <v>19513.997092099609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28.5</v>
      </c>
      <c r="D28" s="30">
        <v>320.5</v>
      </c>
      <c r="E28" s="29">
        <f t="shared" si="7"/>
        <v>7.9086983343615039E-2</v>
      </c>
      <c r="F28" s="28">
        <f t="shared" si="8"/>
        <v>31.937802114729312</v>
      </c>
      <c r="G28" s="27" t="str">
        <f t="shared" si="9"/>
        <v>+</v>
      </c>
      <c r="H28" s="26">
        <f t="shared" si="10"/>
        <v>9134.25</v>
      </c>
      <c r="I28" s="26">
        <f t="shared" si="11"/>
        <v>10236.065577770745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27.6</v>
      </c>
      <c r="D29" s="30">
        <v>309.2</v>
      </c>
      <c r="E29" s="29">
        <f t="shared" si="7"/>
        <v>7.629858112276372E-2</v>
      </c>
      <c r="F29" s="28">
        <f t="shared" si="8"/>
        <v>30.929239942685232</v>
      </c>
      <c r="G29" s="27" t="str">
        <f t="shared" si="9"/>
        <v>+</v>
      </c>
      <c r="H29" s="26">
        <f t="shared" si="10"/>
        <v>8533.92</v>
      </c>
      <c r="I29" s="26">
        <f t="shared" si="11"/>
        <v>9563.3209902782728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27.6</v>
      </c>
      <c r="D30" s="30">
        <v>215.9</v>
      </c>
      <c r="E30" s="29">
        <f t="shared" si="7"/>
        <v>5.3275755706354101E-2</v>
      </c>
      <c r="F30" s="28">
        <f t="shared" si="8"/>
        <v>30.929239942685232</v>
      </c>
      <c r="G30" s="27" t="str">
        <f t="shared" si="9"/>
        <v>+</v>
      </c>
      <c r="H30" s="26">
        <f t="shared" si="10"/>
        <v>5958.84</v>
      </c>
      <c r="I30" s="26">
        <f t="shared" si="11"/>
        <v>6677.6229036257419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28.1</v>
      </c>
      <c r="D31" s="30">
        <v>88.9</v>
      </c>
      <c r="E31" s="29">
        <f t="shared" si="7"/>
        <v>2.1937075879086981E-2</v>
      </c>
      <c r="F31" s="28">
        <f t="shared" si="8"/>
        <v>31.4895522604875</v>
      </c>
      <c r="G31" s="27" t="str">
        <f t="shared" si="9"/>
        <v>+</v>
      </c>
      <c r="H31" s="26">
        <f t="shared" si="10"/>
        <v>2498.09</v>
      </c>
      <c r="I31" s="26">
        <f t="shared" si="11"/>
        <v>2799.421195957339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29.414128367319847</v>
      </c>
      <c r="D32" s="22">
        <f>SUM(D26:D31)</f>
        <v>2260.7000000000003</v>
      </c>
      <c r="E32" s="21">
        <f t="shared" si="7"/>
        <v>0.55785317705120296</v>
      </c>
      <c r="F32" s="20">
        <f>I32/D32</f>
        <v>32.962196883252894</v>
      </c>
      <c r="G32" s="19">
        <f>F32/C32-1</f>
        <v>0.12062463560453751</v>
      </c>
      <c r="H32" s="18">
        <f>SUM(H26:H31)</f>
        <v>66496.51999999999</v>
      </c>
      <c r="I32" s="18">
        <f>SUM(I26:I31)</f>
        <v>74517.638493969833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16.899999999999999</v>
      </c>
      <c r="D34" s="30">
        <f>235.1+60.1</f>
        <v>295.2</v>
      </c>
      <c r="E34" s="29">
        <f t="shared" ref="E34:E40" si="13">D34/$D$48</f>
        <v>7.2843923504009853E-2</v>
      </c>
      <c r="F34" s="28">
        <f t="shared" ref="F34:F39" si="14">C34-(C34*$E$6)</f>
        <v>18.93855634171668</v>
      </c>
      <c r="G34" s="27" t="str">
        <f t="shared" ref="G34:G39" si="15">IF(C34&gt;=F34,"-","+")</f>
        <v>+</v>
      </c>
      <c r="H34" s="26">
        <f t="shared" ref="H34:H39" si="16">C34*D34</f>
        <v>4988.8799999999992</v>
      </c>
      <c r="I34" s="26">
        <f t="shared" ref="I34:I39" si="17">F34*D34</f>
        <v>5590.6618320747639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</v>
      </c>
      <c r="D35" s="30">
        <v>299.5</v>
      </c>
      <c r="E35" s="29">
        <f t="shared" si="13"/>
        <v>7.3904996915484258E-2</v>
      </c>
      <c r="F35" s="28">
        <f t="shared" si="14"/>
        <v>14.568120262858985</v>
      </c>
      <c r="G35" s="27" t="str">
        <f t="shared" si="15"/>
        <v>+</v>
      </c>
      <c r="H35" s="26">
        <f t="shared" si="16"/>
        <v>3893.5</v>
      </c>
      <c r="I35" s="26">
        <f t="shared" si="17"/>
        <v>4363.1520187262659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11.654496210287189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27.6</v>
      </c>
      <c r="D37" s="30"/>
      <c r="E37" s="29">
        <f t="shared" si="13"/>
        <v>0</v>
      </c>
      <c r="F37" s="28">
        <f t="shared" si="14"/>
        <v>30.929239942685232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27.6</v>
      </c>
      <c r="D38" s="30"/>
      <c r="E38" s="29">
        <f t="shared" si="13"/>
        <v>0</v>
      </c>
      <c r="F38" s="28">
        <f t="shared" si="14"/>
        <v>30.929239942685232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28.5</v>
      </c>
      <c r="D39" s="30"/>
      <c r="E39" s="29">
        <f t="shared" si="13"/>
        <v>0</v>
      </c>
      <c r="F39" s="28">
        <f t="shared" si="14"/>
        <v>31.937802114729312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14.935900454010422</v>
      </c>
      <c r="D40" s="22">
        <f>SUM(D34:D39)</f>
        <v>594.70000000000005</v>
      </c>
      <c r="E40" s="113">
        <f t="shared" si="13"/>
        <v>0.14674892041949414</v>
      </c>
      <c r="F40" s="20">
        <f>I40/D40</f>
        <v>16.737538003701076</v>
      </c>
      <c r="G40" s="19">
        <f>F40/C40-1</f>
        <v>0.12062463560453751</v>
      </c>
      <c r="H40" s="18">
        <f>SUM(H34:H39)</f>
        <v>8882.3799999999992</v>
      </c>
      <c r="I40" s="18">
        <f>SUM(I34:I39)</f>
        <v>9953.8138508010306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373+50.6+485.5</f>
        <v>909.1</v>
      </c>
      <c r="E42" s="107">
        <f>D42/$D$48</f>
        <v>0.22433066008636643</v>
      </c>
      <c r="F42" s="28">
        <f>C42-(C42*$E$6)</f>
        <v>0.44824985424181496</v>
      </c>
      <c r="G42" s="27" t="str">
        <f>IF(C42&gt;=F42,"-","+")</f>
        <v>+</v>
      </c>
      <c r="H42" s="26">
        <f>C42*D42</f>
        <v>363.64000000000004</v>
      </c>
      <c r="I42" s="26">
        <f>F42*D42</f>
        <v>407.503942491234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39</v>
      </c>
      <c r="E43" s="107">
        <f>D43/$D$48</f>
        <v>9.6236890808143113E-3</v>
      </c>
      <c r="F43" s="28">
        <f>C43-(C43*$E$6)</f>
        <v>0.44824985424181496</v>
      </c>
      <c r="G43" s="27" t="str">
        <f>IF(C43&gt;=F43,"-","+")</f>
        <v>+</v>
      </c>
      <c r="H43" s="26">
        <f>C43*D43</f>
        <v>15.600000000000001</v>
      </c>
      <c r="I43" s="26">
        <f>F43*D43</f>
        <v>17.481744315430785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1.3078346699568165E-3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0.39777637927417669</v>
      </c>
      <c r="D46" s="22">
        <f>SUM(D41:D45)</f>
        <v>953.4</v>
      </c>
      <c r="E46" s="113">
        <f>D46/$D$48</f>
        <v>0.23526218383713754</v>
      </c>
      <c r="F46" s="20">
        <f>I46/D46</f>
        <v>0.44575801007621646</v>
      </c>
      <c r="G46" s="19">
        <f>F46/C46-1</f>
        <v>0.12062463560453729</v>
      </c>
      <c r="H46" s="18">
        <f>SUM(H41:H44)</f>
        <v>379.24000000000007</v>
      </c>
      <c r="I46" s="18">
        <f>SUM(I41:I44)</f>
        <v>424.98568680666477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88.387320998716874</v>
      </c>
      <c r="D48" s="13">
        <f>D24+D32+D40+D46</f>
        <v>4052.5000000000005</v>
      </c>
      <c r="E48" s="12">
        <f>SUM(E20:E46)/2</f>
        <v>1</v>
      </c>
      <c r="F48" s="11">
        <f>I48/D48</f>
        <v>23.889999999999993</v>
      </c>
      <c r="G48" s="10"/>
      <c r="H48" s="9">
        <f>SUM(H20:H46)/2</f>
        <v>86393.090000000011</v>
      </c>
      <c r="I48" s="9">
        <f>SUM(I20:I46)/2</f>
        <v>96814.224999999991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4052.5</v>
      </c>
      <c r="E50" s="12">
        <f>D50/G2</f>
        <v>1</v>
      </c>
      <c r="F50" s="11">
        <f>I50/D50</f>
        <v>23.889999999999997</v>
      </c>
      <c r="G50" s="10"/>
      <c r="H50" s="9">
        <f>H48+H19</f>
        <v>86393.090000000011</v>
      </c>
      <c r="I50" s="9">
        <f>I48+I19</f>
        <v>96814.224999999991</v>
      </c>
      <c r="J50" s="106">
        <f>D50-G2</f>
        <v>0</v>
      </c>
      <c r="K50" s="8"/>
    </row>
    <row r="51" spans="1:11" ht="23.25" x14ac:dyDescent="0.35">
      <c r="A51" s="174" t="s">
        <v>733</v>
      </c>
      <c r="B51" s="169"/>
      <c r="C51" s="170"/>
      <c r="G51" s="7"/>
      <c r="H51" s="6"/>
      <c r="I51" s="6">
        <f>+I50/D50</f>
        <v>23.889999999999997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730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730</v>
      </c>
      <c r="D2" s="96" t="s">
        <v>3</v>
      </c>
      <c r="E2" s="95" t="s">
        <v>71</v>
      </c>
      <c r="F2" s="94" t="s">
        <v>5</v>
      </c>
      <c r="G2" s="93">
        <v>16161.1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192</v>
      </c>
      <c r="F3" s="88" t="s">
        <v>8</v>
      </c>
      <c r="G3" s="87">
        <v>27.75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84.17239583333334</v>
      </c>
      <c r="F4" s="81" t="s">
        <v>12</v>
      </c>
      <c r="G4" s="80">
        <f>G2*G3</f>
        <v>448470.52500000002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-4.2233108603912939E-3</v>
      </c>
      <c r="F6" s="69" t="s">
        <v>16</v>
      </c>
      <c r="G6" s="68">
        <f>(I50-I19)/(D50-(SUM(D42:D44)+D19))</f>
        <v>32.885422793813241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>
        <f t="shared" ref="E10:E19" si="1">D10/$D$19</f>
        <v>0</v>
      </c>
      <c r="F10" s="28">
        <f t="shared" ref="F10:F18" si="2">C10-(C10*$E$6)</f>
        <v>27.917408041918879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28.9</v>
      </c>
      <c r="D11" s="30">
        <v>1144.2</v>
      </c>
      <c r="E11" s="29">
        <f t="shared" si="1"/>
        <v>0.38485082910093843</v>
      </c>
      <c r="F11" s="28">
        <f t="shared" si="2"/>
        <v>29.022053683865305</v>
      </c>
      <c r="G11" s="27" t="str">
        <f t="shared" si="3"/>
        <v>+</v>
      </c>
      <c r="H11" s="34">
        <f t="shared" si="4"/>
        <v>33067.379999999997</v>
      </c>
      <c r="I11" s="34">
        <f t="shared" si="5"/>
        <v>33207.033825078681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>
        <v>1418.7</v>
      </c>
      <c r="E12" s="29">
        <f t="shared" si="1"/>
        <v>0.47717870236453536</v>
      </c>
      <c r="F12" s="28">
        <f t="shared" si="2"/>
        <v>26.511495406714328</v>
      </c>
      <c r="G12" s="27" t="str">
        <f t="shared" si="3"/>
        <v>+</v>
      </c>
      <c r="H12" s="34">
        <f t="shared" si="4"/>
        <v>37453.68</v>
      </c>
      <c r="I12" s="34">
        <f t="shared" si="5"/>
        <v>37611.85853350562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28.9</v>
      </c>
      <c r="D13" s="30">
        <f>45.7+285.5</f>
        <v>331.2</v>
      </c>
      <c r="E13" s="29">
        <f t="shared" si="1"/>
        <v>0.11139887659345464</v>
      </c>
      <c r="F13" s="28">
        <f t="shared" si="2"/>
        <v>29.022053683865305</v>
      </c>
      <c r="G13" s="27" t="str">
        <f t="shared" si="3"/>
        <v>+</v>
      </c>
      <c r="H13" s="34">
        <f t="shared" si="4"/>
        <v>9571.6799999999985</v>
      </c>
      <c r="I13" s="34">
        <f t="shared" si="5"/>
        <v>9612.1041800961884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32.299999999999997</v>
      </c>
      <c r="D14" s="30"/>
      <c r="E14" s="29">
        <f t="shared" si="1"/>
        <v>0</v>
      </c>
      <c r="F14" s="28">
        <f t="shared" si="2"/>
        <v>32.436412940790639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>
        <v>79</v>
      </c>
      <c r="E15" s="29">
        <f t="shared" si="1"/>
        <v>2.6571591941071608E-2</v>
      </c>
      <c r="F15" s="28">
        <f t="shared" si="2"/>
        <v>26.712340068886409</v>
      </c>
      <c r="G15" s="27" t="str">
        <f t="shared" si="3"/>
        <v>+</v>
      </c>
      <c r="H15" s="34">
        <f t="shared" si="4"/>
        <v>2101.4</v>
      </c>
      <c r="I15" s="34">
        <f t="shared" si="5"/>
        <v>2110.2748654420261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>
        <f t="shared" si="1"/>
        <v>0</v>
      </c>
      <c r="F16" s="28">
        <f t="shared" si="2"/>
        <v>36.654150846404285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53.7</v>
      </c>
      <c r="D17" s="30"/>
      <c r="E17" s="29">
        <f t="shared" si="1"/>
        <v>0</v>
      </c>
      <c r="F17" s="28">
        <f t="shared" si="2"/>
        <v>53.926791793203016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</v>
      </c>
      <c r="D18" s="30"/>
      <c r="E18" s="29">
        <f t="shared" si="1"/>
        <v>0</v>
      </c>
      <c r="F18" s="28">
        <f t="shared" si="2"/>
        <v>47.198495610438393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27.645938582624193</v>
      </c>
      <c r="D19" s="49">
        <f>SUM(D10:D18)</f>
        <v>2973.1</v>
      </c>
      <c r="E19" s="48">
        <f t="shared" si="1"/>
        <v>1</v>
      </c>
      <c r="F19" s="47">
        <f>I19/D19</f>
        <v>27.762695975285901</v>
      </c>
      <c r="G19" s="46">
        <f>F19/C19-1</f>
        <v>4.2233108603912939E-3</v>
      </c>
      <c r="H19" s="9">
        <f>SUM(H10:H18)</f>
        <v>82194.139999999985</v>
      </c>
      <c r="I19" s="9">
        <f>SUM(I10:I18)</f>
        <v>82541.271404122512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69.8</v>
      </c>
      <c r="D21" s="30">
        <v>174.7</v>
      </c>
      <c r="E21" s="29">
        <f>D21/$D$48</f>
        <v>1.3246891113133151E-2</v>
      </c>
      <c r="F21" s="28">
        <f>C21-(C21*$E$6)</f>
        <v>70.094787098055306</v>
      </c>
      <c r="G21" s="27" t="str">
        <f>IF(C21&gt;=F21,"-","+")</f>
        <v>+</v>
      </c>
      <c r="H21" s="26">
        <f>C21*D21</f>
        <v>12194.06</v>
      </c>
      <c r="I21" s="26">
        <f>F21*D21</f>
        <v>12245.559306030262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46.9</v>
      </c>
      <c r="D22" s="30">
        <v>408.4</v>
      </c>
      <c r="E22" s="29">
        <f>D22/$D$48</f>
        <v>3.0967546254170458E-2</v>
      </c>
      <c r="F22" s="28">
        <f>C22-(C22*$E$6)</f>
        <v>47.098073279352349</v>
      </c>
      <c r="G22" s="27" t="str">
        <f>IF(C22&gt;=F22,"-","+")</f>
        <v>+</v>
      </c>
      <c r="H22" s="26">
        <f>C22*D22</f>
        <v>19153.96</v>
      </c>
      <c r="I22" s="26">
        <f>F22*D22</f>
        <v>19234.853127287497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>
        <v>324.7</v>
      </c>
      <c r="E23" s="29">
        <f>D23/$D$48</f>
        <v>2.462086745526236E-2</v>
      </c>
      <c r="F23" s="28">
        <f>C23-(C23*$E$6)</f>
        <v>42.88033537373871</v>
      </c>
      <c r="G23" s="27" t="str">
        <f>IF(C23&gt;=F23,"-","+")</f>
        <v>+</v>
      </c>
      <c r="H23" s="26">
        <f>C23*D23</f>
        <v>13864.69</v>
      </c>
      <c r="I23" s="26">
        <f>F23*D23</f>
        <v>13923.244895852959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49.804703679224502</v>
      </c>
      <c r="D24" s="22">
        <f>SUM(D21:D23)</f>
        <v>907.8</v>
      </c>
      <c r="E24" s="21">
        <f>D24/$D$48</f>
        <v>6.883530482256596E-2</v>
      </c>
      <c r="F24" s="20">
        <f>I24/D24</f>
        <v>50.015044425171538</v>
      </c>
      <c r="G24" s="19">
        <f>F24/C24-1</f>
        <v>4.2233108603912939E-3</v>
      </c>
      <c r="H24" s="18">
        <f>SUM(H21:H23)</f>
        <v>45212.71</v>
      </c>
      <c r="I24" s="18">
        <f>SUM(I21:I23)</f>
        <v>45403.657329170717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>
        <f>952.2+210+1307.1</f>
        <v>2469.3000000000002</v>
      </c>
      <c r="E26" s="29">
        <f t="shared" ref="E26:E32" si="7">D26/$D$48</f>
        <v>0.18723839854413105</v>
      </c>
      <c r="F26" s="28">
        <f t="shared" ref="F26:F31" si="8">C26-(C26*$E$6)</f>
        <v>37.357107164006557</v>
      </c>
      <c r="G26" s="27" t="str">
        <f t="shared" ref="G26:G31" si="9">IF(C26&gt;=F26,"-","+")</f>
        <v>+</v>
      </c>
      <c r="H26" s="26">
        <f t="shared" ref="H26:H31" si="10">C26*D26</f>
        <v>91857.960000000021</v>
      </c>
      <c r="I26" s="26">
        <f t="shared" ref="I26:I31" si="11">F26*D26</f>
        <v>92245.904720081395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1962.9</v>
      </c>
      <c r="E27" s="29">
        <f t="shared" si="7"/>
        <v>0.14883985441310282</v>
      </c>
      <c r="F27" s="28">
        <f t="shared" si="8"/>
        <v>33.340213920564992</v>
      </c>
      <c r="G27" s="27" t="str">
        <f t="shared" si="9"/>
        <v>+</v>
      </c>
      <c r="H27" s="26">
        <f t="shared" si="10"/>
        <v>65168.280000000006</v>
      </c>
      <c r="I27" s="26">
        <f t="shared" si="11"/>
        <v>65443.505904677026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1341.4</v>
      </c>
      <c r="E28" s="29">
        <f t="shared" si="7"/>
        <v>0.10171367910221414</v>
      </c>
      <c r="F28" s="28">
        <f t="shared" si="8"/>
        <v>33.340213920564992</v>
      </c>
      <c r="G28" s="27" t="str">
        <f t="shared" si="9"/>
        <v>+</v>
      </c>
      <c r="H28" s="26">
        <f t="shared" si="10"/>
        <v>44534.48</v>
      </c>
      <c r="I28" s="26">
        <f t="shared" si="11"/>
        <v>44722.562953045883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1270.5</v>
      </c>
      <c r="E29" s="29">
        <f t="shared" si="7"/>
        <v>9.6337579617834401E-2</v>
      </c>
      <c r="F29" s="28">
        <f t="shared" si="8"/>
        <v>32.235568278618565</v>
      </c>
      <c r="G29" s="27" t="str">
        <f t="shared" si="9"/>
        <v>+</v>
      </c>
      <c r="H29" s="26">
        <f t="shared" si="10"/>
        <v>40783.050000000003</v>
      </c>
      <c r="I29" s="26">
        <f t="shared" si="11"/>
        <v>40955.289497984886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760.6</v>
      </c>
      <c r="E30" s="29">
        <f t="shared" si="7"/>
        <v>5.7673642705489844E-2</v>
      </c>
      <c r="F30" s="28">
        <f t="shared" si="8"/>
        <v>32.235568278618565</v>
      </c>
      <c r="G30" s="27" t="str">
        <f t="shared" si="9"/>
        <v>+</v>
      </c>
      <c r="H30" s="26">
        <f t="shared" si="10"/>
        <v>24415.260000000002</v>
      </c>
      <c r="I30" s="26">
        <f t="shared" si="11"/>
        <v>24518.37323271728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32.6</v>
      </c>
      <c r="D31" s="30">
        <f>167+13+142.8</f>
        <v>322.8</v>
      </c>
      <c r="E31" s="29">
        <f t="shared" si="7"/>
        <v>2.4476797088262059E-2</v>
      </c>
      <c r="F31" s="28">
        <f t="shared" si="8"/>
        <v>32.737679934048757</v>
      </c>
      <c r="G31" s="27" t="str">
        <f t="shared" si="9"/>
        <v>+</v>
      </c>
      <c r="H31" s="26">
        <f t="shared" si="10"/>
        <v>10523.28</v>
      </c>
      <c r="I31" s="26">
        <f t="shared" si="11"/>
        <v>10567.72308271094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34.116556136573365</v>
      </c>
      <c r="D32" s="22">
        <f>SUM(D26:D31)</f>
        <v>8127.5000000000009</v>
      </c>
      <c r="E32" s="21">
        <f t="shared" si="7"/>
        <v>0.61627995147103432</v>
      </c>
      <c r="F32" s="20">
        <f>I32/D32</f>
        <v>34.260640958624101</v>
      </c>
      <c r="G32" s="19">
        <f>F32/C32-1</f>
        <v>4.2233108603912939E-3</v>
      </c>
      <c r="H32" s="18">
        <f>SUM(H26:H31)</f>
        <v>277282.31000000006</v>
      </c>
      <c r="I32" s="18">
        <f>SUM(I26:I31)</f>
        <v>278453.35939121741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2085</v>
      </c>
      <c r="E34" s="29">
        <f t="shared" ref="E34:E40" si="13">D34/$D$48</f>
        <v>0.15809827115559599</v>
      </c>
      <c r="F34" s="28">
        <f t="shared" ref="F34:F39" si="14">C34-(C34*$E$6)</f>
        <v>19.682776892863671</v>
      </c>
      <c r="G34" s="27" t="str">
        <f t="shared" ref="G34:G39" si="15">IF(C34&gt;=F34,"-","+")</f>
        <v>+</v>
      </c>
      <c r="H34" s="26">
        <f t="shared" ref="H34:H39" si="16">C34*D34</f>
        <v>40866</v>
      </c>
      <c r="I34" s="26">
        <f t="shared" ref="I34:I39" si="17">F34*D34</f>
        <v>41038.589821620757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/>
      <c r="E35" s="29">
        <f t="shared" si="13"/>
        <v>0</v>
      </c>
      <c r="F35" s="28">
        <f t="shared" si="14"/>
        <v>15.163771993991908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12.151102061410734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32.235568278618565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32.235568278618565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33.340213920564992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19.600000000000001</v>
      </c>
      <c r="D40" s="22">
        <f>SUM(D34:D39)</f>
        <v>2085</v>
      </c>
      <c r="E40" s="113">
        <f t="shared" si="13"/>
        <v>0.15809827115559599</v>
      </c>
      <c r="F40" s="20">
        <f>I40/D40</f>
        <v>19.682776892863671</v>
      </c>
      <c r="G40" s="19">
        <f>F40/C40-1</f>
        <v>4.2233108603912939E-3</v>
      </c>
      <c r="H40" s="18">
        <f>SUM(H34:H39)</f>
        <v>40866</v>
      </c>
      <c r="I40" s="18">
        <f>SUM(I34:I39)</f>
        <v>41038.589821620757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1960</v>
      </c>
      <c r="E42" s="107">
        <f>D42/$D$48</f>
        <v>0.14861995753715498</v>
      </c>
      <c r="F42" s="28">
        <f>C42-(C42*$E$6)</f>
        <v>0.50211165543019565</v>
      </c>
      <c r="G42" s="27" t="str">
        <f>IF(C42&gt;=F42,"-","+")</f>
        <v>+</v>
      </c>
      <c r="H42" s="26">
        <f>C42*D42</f>
        <v>980</v>
      </c>
      <c r="I42" s="26">
        <f>F42*D42</f>
        <v>984.13884464318346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98.6</v>
      </c>
      <c r="E43" s="107">
        <f>D43/$D$48</f>
        <v>7.4764937822262663E-3</v>
      </c>
      <c r="F43" s="28">
        <f>C43-(C43*$E$6)</f>
        <v>0.50211165543019565</v>
      </c>
      <c r="G43" s="27" t="str">
        <f>IF(C43&gt;=F43,"-","+")</f>
        <v>+</v>
      </c>
      <c r="H43" s="26">
        <f>C43*D43</f>
        <v>49.3</v>
      </c>
      <c r="I43" s="26">
        <f>F43*D43</f>
        <v>49.508209225417289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</v>
      </c>
      <c r="E44" s="107">
        <f>D44/$D$48</f>
        <v>1.5165301789505612E-4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7.1</v>
      </c>
      <c r="E45" s="107">
        <f>D45/$D$48</f>
        <v>5.383682135274492E-4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0.49779948735309765</v>
      </c>
      <c r="D46" s="22">
        <f>SUM(D41:D45)</f>
        <v>2067.6999999999998</v>
      </c>
      <c r="E46" s="113">
        <f>D46/$D$48</f>
        <v>0.15678647255080375</v>
      </c>
      <c r="F46" s="20">
        <f>I46/D46</f>
        <v>0.49990184933433324</v>
      </c>
      <c r="G46" s="19">
        <f>F46/C46-1</f>
        <v>4.2233108603912939E-3</v>
      </c>
      <c r="H46" s="18">
        <f>SUM(H41:H44)</f>
        <v>1029.3</v>
      </c>
      <c r="I46" s="18">
        <f>SUM(I41:I44)</f>
        <v>1033.6470538686008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104.01905930315095</v>
      </c>
      <c r="D48" s="13">
        <f>D24+D32+D40+D46</f>
        <v>13188</v>
      </c>
      <c r="E48" s="12">
        <f>SUM(E20:E46)/2</f>
        <v>1</v>
      </c>
      <c r="F48" s="11">
        <f>I48/D48</f>
        <v>27.747137821950059</v>
      </c>
      <c r="G48" s="10"/>
      <c r="H48" s="9">
        <f>SUM(H20:H46)/2</f>
        <v>364390.32000000007</v>
      </c>
      <c r="I48" s="9">
        <f>SUM(I20:I46)/2</f>
        <v>365929.25359587738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16161.099999999999</v>
      </c>
      <c r="E50" s="12">
        <f>D50/G2</f>
        <v>0.99999999999999989</v>
      </c>
      <c r="F50" s="11">
        <f>I50/D50</f>
        <v>27.749999999999996</v>
      </c>
      <c r="G50" s="10"/>
      <c r="H50" s="9">
        <f>H48+H19</f>
        <v>446584.46000000008</v>
      </c>
      <c r="I50" s="9">
        <f>I48+I19</f>
        <v>448470.52499999991</v>
      </c>
      <c r="J50" s="106">
        <f>D50-G2</f>
        <v>0</v>
      </c>
      <c r="K50" s="8"/>
    </row>
    <row r="51" spans="1:11" ht="23.25" x14ac:dyDescent="0.35">
      <c r="A51" s="174" t="s">
        <v>734</v>
      </c>
      <c r="B51" s="169"/>
      <c r="C51" s="170"/>
      <c r="G51" s="7"/>
      <c r="H51" s="6"/>
      <c r="I51" s="6">
        <f>+I50/D50</f>
        <v>27.749999999999996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730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735</v>
      </c>
      <c r="D2" s="96" t="s">
        <v>3</v>
      </c>
      <c r="E2" s="95" t="s">
        <v>112</v>
      </c>
      <c r="F2" s="94" t="s">
        <v>5</v>
      </c>
      <c r="G2" s="93">
        <v>1061.0999999999999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16</v>
      </c>
      <c r="F3" s="88" t="s">
        <v>8</v>
      </c>
      <c r="G3" s="87">
        <v>24.98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66.318749999999994</v>
      </c>
      <c r="F4" s="81" t="s">
        <v>12</v>
      </c>
      <c r="G4" s="80">
        <f>G2*G3</f>
        <v>26506.277999999998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-3.8148116089951944E-2</v>
      </c>
      <c r="F6" s="69" t="s">
        <v>16</v>
      </c>
      <c r="G6" s="68">
        <f>(I50-I19)/(D50-(SUM(D42:D44)+D19))</f>
        <v>31.0268968746342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25.9537029022488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26.99185101833875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24.707925162940857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26.99185101833875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 t="e">
        <f t="shared" si="1"/>
        <v>#DIV/0!</v>
      </c>
      <c r="F14" s="28">
        <f t="shared" si="2"/>
        <v>30.210110178217604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24.915554786158847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32.799999999999997</v>
      </c>
      <c r="D16" s="30"/>
      <c r="E16" s="29" t="e">
        <f t="shared" si="1"/>
        <v>#DIV/0!</v>
      </c>
      <c r="F16" s="28">
        <f t="shared" si="2"/>
        <v>34.051258207750422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/>
      <c r="E17" s="29" t="e">
        <f t="shared" si="1"/>
        <v>#DIV/0!</v>
      </c>
      <c r="F17" s="28">
        <f t="shared" si="2"/>
        <v>50.142554007144675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42.3</v>
      </c>
      <c r="D18" s="30"/>
      <c r="E18" s="29" t="e">
        <f t="shared" si="1"/>
        <v>#DIV/0!</v>
      </c>
      <c r="F18" s="28">
        <f t="shared" si="2"/>
        <v>43.913665310604962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62.8</v>
      </c>
      <c r="D21" s="30">
        <v>14</v>
      </c>
      <c r="E21" s="29">
        <f>D21/$D$48</f>
        <v>1.3193855433041182E-2</v>
      </c>
      <c r="F21" s="28">
        <f>C21-(C21*$E$6)</f>
        <v>65.195701690448985</v>
      </c>
      <c r="G21" s="27" t="str">
        <f>IF(C21&gt;=F21,"-","+")</f>
        <v>+</v>
      </c>
      <c r="H21" s="26">
        <f>C21*D21</f>
        <v>879.19999999999993</v>
      </c>
      <c r="I21" s="26">
        <f>F21*D21</f>
        <v>912.73982366628582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28.5</v>
      </c>
      <c r="E22" s="29">
        <f>D22/$D$48</f>
        <v>2.6858919988690978E-2</v>
      </c>
      <c r="F22" s="28">
        <f>C22-(C22*$E$6)</f>
        <v>43.809850498995978</v>
      </c>
      <c r="G22" s="27" t="str">
        <f>IF(C22&gt;=F22,"-","+")</f>
        <v>+</v>
      </c>
      <c r="H22" s="26">
        <f>C22*D22</f>
        <v>1202.7</v>
      </c>
      <c r="I22" s="26">
        <f>F22*D22</f>
        <v>1248.5807392213853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>
        <v>20</v>
      </c>
      <c r="E23" s="29">
        <f>D23/$D$48</f>
        <v>1.8848364904344547E-2</v>
      </c>
      <c r="F23" s="28">
        <f>C23-(C23*$E$6)</f>
        <v>39.968702469463153</v>
      </c>
      <c r="G23" s="27" t="str">
        <f>IF(C23&gt;=F23,"-","+")</f>
        <v>+</v>
      </c>
      <c r="H23" s="26">
        <f>C23*D23</f>
        <v>770</v>
      </c>
      <c r="I23" s="26">
        <f>F23*D23</f>
        <v>799.37404938926306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45.630400000000002</v>
      </c>
      <c r="D24" s="22">
        <f>SUM(D21:D23)</f>
        <v>62.5</v>
      </c>
      <c r="E24" s="21">
        <f>D24/$D$48</f>
        <v>5.8901140326076705E-2</v>
      </c>
      <c r="F24" s="20">
        <f>I24/D24</f>
        <v>47.371113796430947</v>
      </c>
      <c r="G24" s="19">
        <f>F24/C24-1</f>
        <v>3.8148116089951944E-2</v>
      </c>
      <c r="H24" s="18">
        <f>SUM(H21:H23)</f>
        <v>2851.9</v>
      </c>
      <c r="I24" s="18">
        <f>SUM(I21:I23)</f>
        <v>2960.6946122769341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v>214</v>
      </c>
      <c r="E26" s="29">
        <f t="shared" ref="E26:E32" si="7">D26/$D$48</f>
        <v>0.20167750447648664</v>
      </c>
      <c r="F26" s="28">
        <f t="shared" ref="F26:F31" si="8">C26-(C26*$E$6)</f>
        <v>34.77796188901339</v>
      </c>
      <c r="G26" s="27" t="str">
        <f t="shared" ref="G26:G31" si="9">IF(C26&gt;=F26,"-","+")</f>
        <v>+</v>
      </c>
      <c r="H26" s="26">
        <f t="shared" ref="H26:H31" si="10">C26*D26</f>
        <v>7169</v>
      </c>
      <c r="I26" s="26">
        <f t="shared" ref="I26:I31" si="11">F26*D26</f>
        <v>7442.4838442488654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161</v>
      </c>
      <c r="E27" s="29">
        <f t="shared" si="7"/>
        <v>0.15172933747997358</v>
      </c>
      <c r="F27" s="28">
        <f t="shared" si="8"/>
        <v>31.040628671089561</v>
      </c>
      <c r="G27" s="27" t="str">
        <f t="shared" si="9"/>
        <v>+</v>
      </c>
      <c r="H27" s="26">
        <f t="shared" si="10"/>
        <v>4813.8999999999996</v>
      </c>
      <c r="I27" s="26">
        <f t="shared" si="11"/>
        <v>4997.5412160454189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105</v>
      </c>
      <c r="E28" s="29">
        <f t="shared" si="7"/>
        <v>9.895391574780886E-2</v>
      </c>
      <c r="F28" s="28">
        <f t="shared" si="8"/>
        <v>31.040628671089561</v>
      </c>
      <c r="G28" s="27" t="str">
        <f t="shared" si="9"/>
        <v>+</v>
      </c>
      <c r="H28" s="26">
        <f t="shared" si="10"/>
        <v>3139.5</v>
      </c>
      <c r="I28" s="26">
        <f t="shared" si="11"/>
        <v>3259.2660104644037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100.1</v>
      </c>
      <c r="E29" s="29">
        <f t="shared" si="7"/>
        <v>9.4336066346244446E-2</v>
      </c>
      <c r="F29" s="28">
        <f t="shared" si="8"/>
        <v>30.002480554999611</v>
      </c>
      <c r="G29" s="27" t="str">
        <f t="shared" si="9"/>
        <v>+</v>
      </c>
      <c r="H29" s="26">
        <f t="shared" si="10"/>
        <v>2892.89</v>
      </c>
      <c r="I29" s="26">
        <f t="shared" si="11"/>
        <v>3003.248303555461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60</v>
      </c>
      <c r="E30" s="29">
        <f t="shared" si="7"/>
        <v>5.6545094713033636E-2</v>
      </c>
      <c r="F30" s="28">
        <f t="shared" si="8"/>
        <v>30.002480554999611</v>
      </c>
      <c r="G30" s="27" t="str">
        <f t="shared" si="9"/>
        <v>+</v>
      </c>
      <c r="H30" s="26">
        <f t="shared" si="10"/>
        <v>1734</v>
      </c>
      <c r="I30" s="26">
        <f t="shared" si="11"/>
        <v>1800.1488332999766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19</v>
      </c>
      <c r="E31" s="29">
        <f t="shared" si="7"/>
        <v>1.7905946659127318E-2</v>
      </c>
      <c r="F31" s="28">
        <f t="shared" si="8"/>
        <v>30.521554613044586</v>
      </c>
      <c r="G31" s="27" t="str">
        <f t="shared" si="9"/>
        <v>+</v>
      </c>
      <c r="H31" s="26">
        <f t="shared" si="10"/>
        <v>558.6</v>
      </c>
      <c r="I31" s="26">
        <f t="shared" si="11"/>
        <v>579.90953764784717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30.811546047640721</v>
      </c>
      <c r="D32" s="22">
        <f>SUM(D26:D31)</f>
        <v>659.1</v>
      </c>
      <c r="E32" s="21">
        <f t="shared" si="7"/>
        <v>0.62114786542267453</v>
      </c>
      <c r="F32" s="20">
        <f>I32/D32</f>
        <v>31.986948483177013</v>
      </c>
      <c r="G32" s="19">
        <f>F32/C32-1</f>
        <v>3.8148116089951722E-2</v>
      </c>
      <c r="H32" s="18">
        <f>SUM(H26:H31)</f>
        <v>20307.89</v>
      </c>
      <c r="I32" s="18">
        <f>SUM(I26:I31)</f>
        <v>21082.59774526197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v>130.1</v>
      </c>
      <c r="E34" s="29">
        <f t="shared" ref="E34:E40" si="13">D34/$D$48</f>
        <v>0.12260861370276127</v>
      </c>
      <c r="F34" s="28">
        <f t="shared" ref="F34:F39" si="14">C34-(C34*$E$6)</f>
        <v>18.271406843183154</v>
      </c>
      <c r="G34" s="27" t="str">
        <f t="shared" ref="G34:G39" si="15">IF(C34&gt;=F34,"-","+")</f>
        <v>+</v>
      </c>
      <c r="H34" s="26">
        <f t="shared" ref="H34:H39" si="16">C34*D34</f>
        <v>2289.7600000000002</v>
      </c>
      <c r="I34" s="26">
        <f t="shared" ref="I34:I39" si="17">F34*D34</f>
        <v>2377.1100302981281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/>
      <c r="E35" s="29">
        <f t="shared" si="13"/>
        <v>0</v>
      </c>
      <c r="F35" s="28">
        <f t="shared" si="14"/>
        <v>14.118814378823346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11.315814465380477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30.002480554999611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30.002480554999611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31.040628671089561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17.600000000000001</v>
      </c>
      <c r="D40" s="22">
        <f>SUM(D34:D39)</f>
        <v>130.1</v>
      </c>
      <c r="E40" s="21">
        <f t="shared" si="13"/>
        <v>0.12260861370276127</v>
      </c>
      <c r="F40" s="20">
        <f>I40/D40</f>
        <v>18.271406843183154</v>
      </c>
      <c r="G40" s="19">
        <f>F40/C40-1</f>
        <v>3.8148116089951944E-2</v>
      </c>
      <c r="H40" s="18">
        <f>SUM(H34:H39)</f>
        <v>2289.7600000000002</v>
      </c>
      <c r="I40" s="18">
        <f>SUM(I34:I39)</f>
        <v>2377.1100302981281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197</v>
      </c>
      <c r="E42" s="107">
        <f>D42/$D$48</f>
        <v>0.18565639430779377</v>
      </c>
      <c r="F42" s="28">
        <f>C42-(C42*$E$6)</f>
        <v>0.41525924643598078</v>
      </c>
      <c r="G42" s="27" t="str">
        <f>IF(C42&gt;=F42,"-","+")</f>
        <v>+</v>
      </c>
      <c r="H42" s="26">
        <f>C42*D42</f>
        <v>78.800000000000011</v>
      </c>
      <c r="I42" s="26">
        <f>F42*D42</f>
        <v>81.806071547888209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9.8000000000000007</v>
      </c>
      <c r="E43" s="107">
        <f>D43/$D$48</f>
        <v>9.2356988031288278E-3</v>
      </c>
      <c r="F43" s="28">
        <f>C43-(C43*$E$6)</f>
        <v>0.41525924643598078</v>
      </c>
      <c r="G43" s="27" t="str">
        <f>IF(C43&gt;=F43,"-","+")</f>
        <v>+</v>
      </c>
      <c r="H43" s="26">
        <f>C43*D43</f>
        <v>3.9200000000000004</v>
      </c>
      <c r="I43" s="26">
        <f>F43*D43</f>
        <v>4.0695406150726123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2.6</v>
      </c>
      <c r="E45" s="107">
        <f>D45/$D$48</f>
        <v>2.450287437564791E-3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0.39503342884431714</v>
      </c>
      <c r="D46" s="22">
        <f>SUM(D41:D45)</f>
        <v>209.4</v>
      </c>
      <c r="E46" s="21">
        <f>D46/$D$48</f>
        <v>0.19734238054848741</v>
      </c>
      <c r="F46" s="20">
        <f>I46/D46</f>
        <v>0.41010320994728183</v>
      </c>
      <c r="G46" s="19">
        <f>F46/C46-1</f>
        <v>3.8148116089951722E-2</v>
      </c>
      <c r="H46" s="18">
        <f>SUM(H41:H44)</f>
        <v>82.720000000000013</v>
      </c>
      <c r="I46" s="18">
        <f>SUM(I41:I44)</f>
        <v>85.87561216296082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94.436979476485035</v>
      </c>
      <c r="D48" s="13">
        <f>D24+D32+D40+D46</f>
        <v>1061.1000000000001</v>
      </c>
      <c r="E48" s="12">
        <f>SUM(E20:E46)/2</f>
        <v>0.99999999999999978</v>
      </c>
      <c r="F48" s="11">
        <f>I48/D48</f>
        <v>24.979999999999993</v>
      </c>
      <c r="G48" s="10"/>
      <c r="H48" s="9">
        <f>SUM(H20:H46)/2</f>
        <v>25532.27</v>
      </c>
      <c r="I48" s="9">
        <f>SUM(I20:I46)/2</f>
        <v>26506.277999999995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1061.0999999999999</v>
      </c>
      <c r="E50" s="12">
        <f>D50/G2</f>
        <v>1</v>
      </c>
      <c r="F50" s="11">
        <f>I50/D50</f>
        <v>24.979999999999997</v>
      </c>
      <c r="G50" s="10"/>
      <c r="H50" s="9">
        <f>H48+H19</f>
        <v>25532.27</v>
      </c>
      <c r="I50" s="9">
        <f>I48+I19</f>
        <v>26506.277999999995</v>
      </c>
      <c r="J50" s="106">
        <f>D50-G2</f>
        <v>0</v>
      </c>
      <c r="K50" s="8"/>
    </row>
    <row r="51" spans="1:11" ht="23.25" x14ac:dyDescent="0.35">
      <c r="A51" s="174" t="s">
        <v>736</v>
      </c>
      <c r="B51" s="169"/>
      <c r="C51" s="170"/>
      <c r="G51" s="7"/>
      <c r="H51" s="6"/>
      <c r="I51" s="6">
        <f>+I50/D50</f>
        <v>24.979999999999997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730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735</v>
      </c>
      <c r="D2" s="96" t="s">
        <v>3</v>
      </c>
      <c r="E2" s="95" t="s">
        <v>112</v>
      </c>
      <c r="F2" s="94" t="s">
        <v>5</v>
      </c>
      <c r="G2" s="93">
        <v>6610.8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92</v>
      </c>
      <c r="F3" s="88" t="s">
        <v>8</v>
      </c>
      <c r="G3" s="87">
        <v>24.98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71.856521739130443</v>
      </c>
      <c r="F4" s="81" t="s">
        <v>12</v>
      </c>
      <c r="G4" s="80">
        <f>G2*G3</f>
        <v>165137.78400000001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-6.8470534494773139E-2</v>
      </c>
      <c r="F6" s="69" t="s">
        <v>16</v>
      </c>
      <c r="G6" s="68">
        <f>(I50-I19)/(D50-(SUM(D42:D44)+D19))</f>
        <v>31.414724827363177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26.711763362369329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27.7802338968641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25.429598720975601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27.7802338968641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 t="e">
        <f t="shared" si="1"/>
        <v>#DIV/0!</v>
      </c>
      <c r="F14" s="28">
        <f t="shared" si="2"/>
        <v>31.0924925537979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25.643292827874554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32.799999999999997</v>
      </c>
      <c r="D16" s="30"/>
      <c r="E16" s="29" t="e">
        <f t="shared" si="1"/>
        <v>#DIV/0!</v>
      </c>
      <c r="F16" s="28">
        <f t="shared" si="2"/>
        <v>35.045833531428556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/>
      <c r="E17" s="29" t="e">
        <f t="shared" si="1"/>
        <v>#DIV/0!</v>
      </c>
      <c r="F17" s="28">
        <f t="shared" si="2"/>
        <v>51.607126816097541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42.3</v>
      </c>
      <c r="D18" s="30"/>
      <c r="E18" s="29" t="e">
        <f t="shared" si="1"/>
        <v>#DIV/0!</v>
      </c>
      <c r="F18" s="28">
        <f t="shared" si="2"/>
        <v>45.196303609128904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62.8</v>
      </c>
      <c r="D21" s="30">
        <v>83.3</v>
      </c>
      <c r="E21" s="29">
        <f>D21/$D$48</f>
        <v>1.2600592969080898E-2</v>
      </c>
      <c r="F21" s="28">
        <f>C21-(C21*$E$6)</f>
        <v>67.099949566271746</v>
      </c>
      <c r="G21" s="27" t="str">
        <f>IF(C21&gt;=F21,"-","+")</f>
        <v>+</v>
      </c>
      <c r="H21" s="26">
        <f>C21*D21</f>
        <v>5231.24</v>
      </c>
      <c r="I21" s="26">
        <f>F21*D21</f>
        <v>5589.4257988704367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172.4</v>
      </c>
      <c r="E22" s="29">
        <f>D22/$D$48</f>
        <v>2.6078538149694439E-2</v>
      </c>
      <c r="F22" s="28">
        <f>C22-(C22*$E$6)</f>
        <v>45.089456555679426</v>
      </c>
      <c r="G22" s="27" t="str">
        <f>IF(C22&gt;=F22,"-","+")</f>
        <v>+</v>
      </c>
      <c r="H22" s="26">
        <f>C22*D22</f>
        <v>7275.2800000000007</v>
      </c>
      <c r="I22" s="26">
        <f>F22*D22</f>
        <v>7773.4223101991338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>
        <v>156</v>
      </c>
      <c r="E23" s="29">
        <f>D23/$D$48</f>
        <v>2.359774913777455E-2</v>
      </c>
      <c r="F23" s="28">
        <f>C23-(C23*$E$6)</f>
        <v>41.136115578048766</v>
      </c>
      <c r="G23" s="27" t="str">
        <f>IF(C23&gt;=F23,"-","+")</f>
        <v>+</v>
      </c>
      <c r="H23" s="26">
        <f>C23*D23</f>
        <v>6006</v>
      </c>
      <c r="I23" s="26">
        <f>F23*D23</f>
        <v>6417.2340301756076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44.966043235365561</v>
      </c>
      <c r="D24" s="22">
        <f>SUM(D21:D23)</f>
        <v>411.7</v>
      </c>
      <c r="E24" s="21">
        <f>D24/$D$48</f>
        <v>6.2276880256549885E-2</v>
      </c>
      <c r="F24" s="20">
        <f>I24/D24</f>
        <v>48.044892249806125</v>
      </c>
      <c r="G24" s="19">
        <f>F24/C24-1</f>
        <v>6.8470534494773361E-2</v>
      </c>
      <c r="H24" s="18">
        <f>SUM(H21:H23)</f>
        <v>18512.52</v>
      </c>
      <c r="I24" s="18">
        <f>SUM(I21:I23)</f>
        <v>19780.08213924518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f>404.4+85+676</f>
        <v>1165.4000000000001</v>
      </c>
      <c r="E26" s="29">
        <f t="shared" ref="E26:E32" si="7">D26/$D$48</f>
        <v>0.17628728746899014</v>
      </c>
      <c r="F26" s="28">
        <f t="shared" ref="F26:F31" si="8">C26-(C26*$E$6)</f>
        <v>35.793762905574901</v>
      </c>
      <c r="G26" s="27" t="str">
        <f t="shared" ref="G26:G31" si="9">IF(C26&gt;=F26,"-","+")</f>
        <v>+</v>
      </c>
      <c r="H26" s="26">
        <f t="shared" ref="H26:H31" si="10">C26*D26</f>
        <v>39040.9</v>
      </c>
      <c r="I26" s="26">
        <f t="shared" ref="I26:I31" si="11">F26*D26</f>
        <v>41714.051290156996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1025.8</v>
      </c>
      <c r="E27" s="29">
        <f t="shared" si="7"/>
        <v>0.15517032734313546</v>
      </c>
      <c r="F27" s="28">
        <f t="shared" si="8"/>
        <v>31.947268981393716</v>
      </c>
      <c r="G27" s="27" t="str">
        <f t="shared" si="9"/>
        <v>+</v>
      </c>
      <c r="H27" s="26">
        <f t="shared" si="10"/>
        <v>30671.42</v>
      </c>
      <c r="I27" s="26">
        <f t="shared" si="11"/>
        <v>32771.508521113676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581.4</v>
      </c>
      <c r="E28" s="29">
        <f t="shared" si="7"/>
        <v>8.7946995825013613E-2</v>
      </c>
      <c r="F28" s="28">
        <f t="shared" si="8"/>
        <v>31.947268981393716</v>
      </c>
      <c r="G28" s="27" t="str">
        <f t="shared" si="9"/>
        <v>+</v>
      </c>
      <c r="H28" s="26">
        <f t="shared" si="10"/>
        <v>17383.859999999997</v>
      </c>
      <c r="I28" s="26">
        <f t="shared" si="11"/>
        <v>18574.142185782304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551.4</v>
      </c>
      <c r="E29" s="29">
        <f t="shared" si="7"/>
        <v>8.3408967144672344E-2</v>
      </c>
      <c r="F29" s="28">
        <f t="shared" si="8"/>
        <v>30.878798446898941</v>
      </c>
      <c r="G29" s="27" t="str">
        <f t="shared" si="9"/>
        <v>+</v>
      </c>
      <c r="H29" s="26">
        <f t="shared" si="10"/>
        <v>15935.46</v>
      </c>
      <c r="I29" s="26">
        <f t="shared" si="11"/>
        <v>17026.569463620075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434.8</v>
      </c>
      <c r="E30" s="29">
        <f t="shared" si="7"/>
        <v>6.5771162340412664E-2</v>
      </c>
      <c r="F30" s="28">
        <f t="shared" si="8"/>
        <v>30.878798446898941</v>
      </c>
      <c r="G30" s="27" t="str">
        <f t="shared" si="9"/>
        <v>+</v>
      </c>
      <c r="H30" s="26">
        <f t="shared" si="10"/>
        <v>12565.72</v>
      </c>
      <c r="I30" s="26">
        <f t="shared" si="11"/>
        <v>13426.10156471166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103.5</v>
      </c>
      <c r="E31" s="29">
        <f t="shared" si="7"/>
        <v>1.5656198947177347E-2</v>
      </c>
      <c r="F31" s="28">
        <f t="shared" si="8"/>
        <v>31.41303371414633</v>
      </c>
      <c r="G31" s="27" t="str">
        <f t="shared" si="9"/>
        <v>+</v>
      </c>
      <c r="H31" s="26">
        <f t="shared" si="10"/>
        <v>3042.8999999999996</v>
      </c>
      <c r="I31" s="26">
        <f t="shared" si="11"/>
        <v>3251.2489894141449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30.717515470056703</v>
      </c>
      <c r="D32" s="22">
        <f>SUM(D26:D31)</f>
        <v>3862.3</v>
      </c>
      <c r="E32" s="21">
        <f t="shared" si="7"/>
        <v>0.58424093906940155</v>
      </c>
      <c r="F32" s="20">
        <f>I32/D32</f>
        <v>32.820760172642949</v>
      </c>
      <c r="G32" s="19">
        <f>F32/C32-1</f>
        <v>6.8470534494773139E-2</v>
      </c>
      <c r="H32" s="18">
        <f>SUM(H26:H31)</f>
        <v>118640.26000000001</v>
      </c>
      <c r="I32" s="18">
        <f>SUM(I26:I31)</f>
        <v>126763.62201479886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f>398.7+493.7</f>
        <v>892.4</v>
      </c>
      <c r="E34" s="29">
        <f t="shared" ref="E34:E40" si="13">D34/$D$48</f>
        <v>0.13499122647788467</v>
      </c>
      <c r="F34" s="28">
        <f t="shared" ref="F34:F39" si="14">C34-(C34*$E$6)</f>
        <v>18.805081407108009</v>
      </c>
      <c r="G34" s="27" t="str">
        <f t="shared" ref="G34:G39" si="15">IF(C34&gt;=F34,"-","+")</f>
        <v>+</v>
      </c>
      <c r="H34" s="26">
        <f t="shared" ref="H34:H39" si="16">C34*D34</f>
        <v>15706.240000000002</v>
      </c>
      <c r="I34" s="26">
        <f t="shared" ref="I34:I39" si="17">F34*D34</f>
        <v>16781.654647703188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84.9</v>
      </c>
      <c r="E35" s="29">
        <f t="shared" si="13"/>
        <v>1.2842621165365766E-2</v>
      </c>
      <c r="F35" s="28">
        <f t="shared" si="14"/>
        <v>14.531199269128914</v>
      </c>
      <c r="G35" s="27" t="str">
        <f t="shared" si="15"/>
        <v>+</v>
      </c>
      <c r="H35" s="26">
        <f t="shared" si="16"/>
        <v>1154.6400000000001</v>
      </c>
      <c r="I35" s="26">
        <f t="shared" si="17"/>
        <v>1233.698817949045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11.646328825993027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30.878798446898941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30.878798446898941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31.947268981393716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17.252512022920293</v>
      </c>
      <c r="D40" s="22">
        <f>SUM(D34:D39)</f>
        <v>977.3</v>
      </c>
      <c r="E40" s="113">
        <f t="shared" si="13"/>
        <v>0.14783384764325042</v>
      </c>
      <c r="F40" s="20">
        <f>I40/D40</f>
        <v>18.433800742507145</v>
      </c>
      <c r="G40" s="19">
        <f>F40/C40-1</f>
        <v>6.8470534494773139E-2</v>
      </c>
      <c r="H40" s="18">
        <f>SUM(H34:H39)</f>
        <v>16860.88</v>
      </c>
      <c r="I40" s="18">
        <f>SUM(I34:I39)</f>
        <v>18015.353465652232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610+68.1+635.3</f>
        <v>1313.4</v>
      </c>
      <c r="E42" s="107">
        <f>D42/$D$48</f>
        <v>0.19867489562534035</v>
      </c>
      <c r="F42" s="28">
        <f>C42-(C42*$E$6)</f>
        <v>0.42738821379790926</v>
      </c>
      <c r="G42" s="27" t="str">
        <f>IF(C42&gt;=F42,"-","+")</f>
        <v>+</v>
      </c>
      <c r="H42" s="26">
        <f>C42*D42</f>
        <v>525.36</v>
      </c>
      <c r="I42" s="26">
        <f>F42*D42</f>
        <v>561.33168000217404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40.700000000000003</v>
      </c>
      <c r="E43" s="107">
        <f>D43/$D$48</f>
        <v>6.1565922429963095E-3</v>
      </c>
      <c r="F43" s="28">
        <f>C43-(C43*$E$6)</f>
        <v>0.42738821379790926</v>
      </c>
      <c r="G43" s="27" t="str">
        <f>IF(C43&gt;=F43,"-","+")</f>
        <v>+</v>
      </c>
      <c r="H43" s="26">
        <f>C43*D43</f>
        <v>16.28</v>
      </c>
      <c r="I43" s="26">
        <f>F43*D43</f>
        <v>17.394700301574908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8.1684516246142676E-4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0.39841118058109593</v>
      </c>
      <c r="D46" s="22">
        <f>SUM(D41:D45)</f>
        <v>1359.5000000000002</v>
      </c>
      <c r="E46" s="113">
        <f>D46/$D$48</f>
        <v>0.20564833303079813</v>
      </c>
      <c r="F46" s="20">
        <f>I46/D46</f>
        <v>0.42569060706417711</v>
      </c>
      <c r="G46" s="19">
        <f>F46/C46-1</f>
        <v>6.8470534494773139E-2</v>
      </c>
      <c r="H46" s="18">
        <f>SUM(H41:H44)</f>
        <v>541.64</v>
      </c>
      <c r="I46" s="18">
        <f>SUM(I41:I44)</f>
        <v>578.7263803037489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93.334481908923635</v>
      </c>
      <c r="D48" s="13">
        <f>D24+D32+D40+D46</f>
        <v>6610.8</v>
      </c>
      <c r="E48" s="12">
        <f>SUM(E20:E46)/2</f>
        <v>1.0000000000000002</v>
      </c>
      <c r="F48" s="11">
        <f>I48/D48</f>
        <v>24.979999999999997</v>
      </c>
      <c r="G48" s="10"/>
      <c r="H48" s="9">
        <f>SUM(H20:H46)/2</f>
        <v>154555.30000000002</v>
      </c>
      <c r="I48" s="9">
        <f>SUM(I20:I46)/2</f>
        <v>165137.78399999999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6610.7999999999993</v>
      </c>
      <c r="E50" s="12">
        <f>D50/G2</f>
        <v>0.99999999999999989</v>
      </c>
      <c r="F50" s="11">
        <f>I50/D50</f>
        <v>24.98</v>
      </c>
      <c r="G50" s="10"/>
      <c r="H50" s="9">
        <f>H48+H19</f>
        <v>154555.30000000002</v>
      </c>
      <c r="I50" s="9">
        <f>I48+I19</f>
        <v>165137.78399999999</v>
      </c>
      <c r="J50" s="106">
        <f>D50-G2</f>
        <v>0</v>
      </c>
      <c r="K50" s="8"/>
    </row>
    <row r="51" spans="1:11" ht="23.25" x14ac:dyDescent="0.35">
      <c r="A51" s="174" t="s">
        <v>737</v>
      </c>
      <c r="B51" s="169"/>
      <c r="C51" s="170"/>
      <c r="G51" s="7"/>
      <c r="H51" s="6"/>
      <c r="I51" s="6">
        <f>+I50/D50</f>
        <v>24.98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735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735</v>
      </c>
      <c r="D2" s="96" t="s">
        <v>3</v>
      </c>
      <c r="E2" s="95" t="s">
        <v>71</v>
      </c>
      <c r="F2" s="94" t="s">
        <v>5</v>
      </c>
      <c r="G2" s="93">
        <v>22408.3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279</v>
      </c>
      <c r="F3" s="88" t="s">
        <v>8</v>
      </c>
      <c r="G3" s="87">
        <v>28.2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80.316487455197134</v>
      </c>
      <c r="F4" s="81" t="s">
        <v>12</v>
      </c>
      <c r="G4" s="80">
        <f>G2*G3</f>
        <v>631914.05999999994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-2.4491338620531433E-3</v>
      </c>
      <c r="F6" s="69" t="s">
        <v>16</v>
      </c>
      <c r="G6" s="68">
        <f>(I50-I19)/(D50-(SUM(D42:D44)+D19))</f>
        <v>33.228783469633242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28.2</v>
      </c>
      <c r="D10" s="30"/>
      <c r="E10" s="29">
        <f t="shared" ref="E10:E19" si="1">D10/$D$19</f>
        <v>0</v>
      </c>
      <c r="F10" s="28">
        <f t="shared" ref="F10:F18" si="2">C10-(C10*$E$6)</f>
        <v>28.269065574909899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>
        <v>3967.3</v>
      </c>
      <c r="E11" s="29">
        <f t="shared" si="1"/>
        <v>0.69245806643045404</v>
      </c>
      <c r="F11" s="28">
        <f t="shared" si="2"/>
        <v>29.472004535544361</v>
      </c>
      <c r="G11" s="27" t="str">
        <f t="shared" si="3"/>
        <v>+</v>
      </c>
      <c r="H11" s="34">
        <f t="shared" si="4"/>
        <v>116638.62</v>
      </c>
      <c r="I11" s="34">
        <f t="shared" si="5"/>
        <v>116924.28359386516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26.8</v>
      </c>
      <c r="D12" s="30">
        <v>909.9</v>
      </c>
      <c r="E12" s="29">
        <f t="shared" si="1"/>
        <v>0.15881521302776952</v>
      </c>
      <c r="F12" s="28">
        <f t="shared" si="2"/>
        <v>26.865636787503025</v>
      </c>
      <c r="G12" s="27" t="str">
        <f t="shared" si="3"/>
        <v>+</v>
      </c>
      <c r="H12" s="34">
        <f t="shared" si="4"/>
        <v>24385.32</v>
      </c>
      <c r="I12" s="34">
        <f t="shared" si="5"/>
        <v>24445.042912949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>
        <v>513.79999999999995</v>
      </c>
      <c r="E13" s="29">
        <f t="shared" si="1"/>
        <v>8.9679367461993606E-2</v>
      </c>
      <c r="F13" s="28">
        <f t="shared" si="2"/>
        <v>29.472004535544361</v>
      </c>
      <c r="G13" s="27" t="str">
        <f t="shared" si="3"/>
        <v>+</v>
      </c>
      <c r="H13" s="34">
        <f t="shared" si="4"/>
        <v>15105.719999999998</v>
      </c>
      <c r="I13" s="34">
        <f t="shared" si="5"/>
        <v>15142.71593036269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32.799999999999997</v>
      </c>
      <c r="D14" s="30">
        <v>151.30000000000001</v>
      </c>
      <c r="E14" s="29">
        <f t="shared" si="1"/>
        <v>2.6408112683922992E-2</v>
      </c>
      <c r="F14" s="28">
        <f t="shared" si="2"/>
        <v>32.88033159067534</v>
      </c>
      <c r="G14" s="27" t="str">
        <f t="shared" si="3"/>
        <v>+</v>
      </c>
      <c r="H14" s="34">
        <f t="shared" si="4"/>
        <v>4962.6400000000003</v>
      </c>
      <c r="I14" s="34">
        <f t="shared" si="5"/>
        <v>4974.7941696691796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>
        <v>126</v>
      </c>
      <c r="E15" s="29">
        <f t="shared" si="1"/>
        <v>2.1992215453894889E-2</v>
      </c>
      <c r="F15" s="28">
        <f t="shared" si="2"/>
        <v>27.166371527661642</v>
      </c>
      <c r="G15" s="27" t="str">
        <f t="shared" si="3"/>
        <v>+</v>
      </c>
      <c r="H15" s="34">
        <f t="shared" si="4"/>
        <v>3414.6000000000004</v>
      </c>
      <c r="I15" s="34">
        <f t="shared" si="5"/>
        <v>3422.9628124853671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37.190862866282174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54.5</v>
      </c>
      <c r="D17" s="30">
        <v>21</v>
      </c>
      <c r="E17" s="29">
        <f t="shared" si="1"/>
        <v>3.6653692423158149E-3</v>
      </c>
      <c r="F17" s="28">
        <f t="shared" si="2"/>
        <v>54.633477795481895</v>
      </c>
      <c r="G17" s="27" t="str">
        <f t="shared" si="3"/>
        <v>+</v>
      </c>
      <c r="H17" s="34">
        <f t="shared" si="4"/>
        <v>1144.5</v>
      </c>
      <c r="I17" s="34">
        <f t="shared" si="5"/>
        <v>1147.3030337051198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47.8</v>
      </c>
      <c r="D18" s="30">
        <v>40</v>
      </c>
      <c r="E18" s="29">
        <f t="shared" si="1"/>
        <v>6.9816556996491717E-3</v>
      </c>
      <c r="F18" s="28">
        <f t="shared" si="2"/>
        <v>47.917068598606136</v>
      </c>
      <c r="G18" s="27" t="str">
        <f t="shared" si="3"/>
        <v>+</v>
      </c>
      <c r="H18" s="34">
        <f t="shared" si="4"/>
        <v>1912</v>
      </c>
      <c r="I18" s="34">
        <f t="shared" si="5"/>
        <v>1916.6827439442454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29.246749166564854</v>
      </c>
      <c r="D19" s="49">
        <f>SUM(D10:D18)</f>
        <v>5729.3</v>
      </c>
      <c r="E19" s="48">
        <f t="shared" si="1"/>
        <v>1</v>
      </c>
      <c r="F19" s="47">
        <f>I19/D19</f>
        <v>29.31837837030367</v>
      </c>
      <c r="G19" s="46">
        <f>F19/C19-1</f>
        <v>2.4491338620533654E-3</v>
      </c>
      <c r="H19" s="9">
        <f>SUM(H10:H18)</f>
        <v>167563.40000000002</v>
      </c>
      <c r="I19" s="9">
        <f>SUM(I10:I18)</f>
        <v>167973.78519698081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70.900000000000006</v>
      </c>
      <c r="D21" s="30">
        <v>168.5</v>
      </c>
      <c r="E21" s="29">
        <f>D21/$D$48</f>
        <v>1.0102402992949303E-2</v>
      </c>
      <c r="F21" s="28">
        <f>C21-(C21*$E$6)</f>
        <v>71.073643590819572</v>
      </c>
      <c r="G21" s="27" t="str">
        <f>IF(C21&gt;=F21,"-","+")</f>
        <v>+</v>
      </c>
      <c r="H21" s="26">
        <f>C21*D21</f>
        <v>11946.650000000001</v>
      </c>
      <c r="I21" s="26">
        <f>F21*D21</f>
        <v>11975.908945053097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47.6</v>
      </c>
      <c r="D22" s="30">
        <v>636.6</v>
      </c>
      <c r="E22" s="29">
        <f>D22/$D$48</f>
        <v>3.8167298191759798E-2</v>
      </c>
      <c r="F22" s="28">
        <f>C22-(C22*$E$6)</f>
        <v>47.716578771833731</v>
      </c>
      <c r="G22" s="27" t="str">
        <f>IF(C22&gt;=F22,"-","+")</f>
        <v>+</v>
      </c>
      <c r="H22" s="26">
        <f>C22*D22</f>
        <v>30302.160000000003</v>
      </c>
      <c r="I22" s="26">
        <f>F22*D22</f>
        <v>30376.374046149354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43.4</v>
      </c>
      <c r="D23" s="30">
        <v>306.10000000000002</v>
      </c>
      <c r="E23" s="29">
        <f>D23/$D$48</f>
        <v>1.8352199146242025E-2</v>
      </c>
      <c r="F23" s="28">
        <f>C23-(C23*$E$6)</f>
        <v>43.506292409613103</v>
      </c>
      <c r="G23" s="27" t="str">
        <f>IF(C23&gt;=F23,"-","+")</f>
        <v>+</v>
      </c>
      <c r="H23" s="26">
        <f>C23*D23</f>
        <v>13284.74</v>
      </c>
      <c r="I23" s="26">
        <f>F23*D23</f>
        <v>13317.276106582573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49.976196904247658</v>
      </c>
      <c r="D24" s="22">
        <f>SUM(D21:D23)</f>
        <v>1111.2</v>
      </c>
      <c r="E24" s="21">
        <f>D24/$D$48</f>
        <v>6.6621900330951125E-2</v>
      </c>
      <c r="F24" s="20">
        <f>I24/D24</f>
        <v>50.098595300382485</v>
      </c>
      <c r="G24" s="19">
        <f>F24/C24-1</f>
        <v>2.4491338620531433E-3</v>
      </c>
      <c r="H24" s="18">
        <f>SUM(H21:H23)</f>
        <v>55533.55</v>
      </c>
      <c r="I24" s="18">
        <f>SUM(I21:I23)</f>
        <v>55669.559097785022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37.799999999999997</v>
      </c>
      <c r="D26" s="30">
        <f>218.3+2938.6</f>
        <v>3156.9</v>
      </c>
      <c r="E26" s="29">
        <f t="shared" ref="E26:E32" si="7">D26/$D$48</f>
        <v>0.18927166770588516</v>
      </c>
      <c r="F26" s="28">
        <f t="shared" ref="F26:F31" si="8">C26-(C26*$E$6)</f>
        <v>37.892577259985607</v>
      </c>
      <c r="G26" s="27" t="str">
        <f t="shared" ref="G26:G31" si="9">IF(C26&gt;=F26,"-","+")</f>
        <v>+</v>
      </c>
      <c r="H26" s="26">
        <f t="shared" ref="H26:H31" si="10">C26*D26</f>
        <v>119330.81999999999</v>
      </c>
      <c r="I26" s="26">
        <f t="shared" ref="I26:I31" si="11">F26*D26</f>
        <v>119623.07715204857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33.700000000000003</v>
      </c>
      <c r="D27" s="30">
        <f>2319.7+166</f>
        <v>2485.6999999999998</v>
      </c>
      <c r="E27" s="29">
        <f t="shared" si="7"/>
        <v>0.14902992949302124</v>
      </c>
      <c r="F27" s="28">
        <f t="shared" si="8"/>
        <v>33.782535811151192</v>
      </c>
      <c r="G27" s="27" t="str">
        <f t="shared" si="9"/>
        <v>+</v>
      </c>
      <c r="H27" s="26">
        <f t="shared" si="10"/>
        <v>83768.09</v>
      </c>
      <c r="I27" s="26">
        <f t="shared" si="11"/>
        <v>83973.249265778504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33.700000000000003</v>
      </c>
      <c r="D28" s="30">
        <v>1684.1</v>
      </c>
      <c r="E28" s="29">
        <f t="shared" si="7"/>
        <v>0.10097007050697875</v>
      </c>
      <c r="F28" s="28">
        <f t="shared" si="8"/>
        <v>33.782535811151192</v>
      </c>
      <c r="G28" s="27" t="str">
        <f t="shared" si="9"/>
        <v>+</v>
      </c>
      <c r="H28" s="26">
        <f t="shared" si="10"/>
        <v>56754.17</v>
      </c>
      <c r="I28" s="26">
        <f t="shared" si="11"/>
        <v>56893.168559559716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1690.8</v>
      </c>
      <c r="E29" s="29">
        <f t="shared" si="7"/>
        <v>0.10137176843014052</v>
      </c>
      <c r="F29" s="28">
        <f t="shared" si="8"/>
        <v>32.679841763902935</v>
      </c>
      <c r="G29" s="27" t="str">
        <f t="shared" si="9"/>
        <v>+</v>
      </c>
      <c r="H29" s="26">
        <f t="shared" si="10"/>
        <v>55120.08</v>
      </c>
      <c r="I29" s="26">
        <f t="shared" si="11"/>
        <v>55255.076454407084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956.8</v>
      </c>
      <c r="E30" s="29">
        <f t="shared" si="7"/>
        <v>5.7364861624058704E-2</v>
      </c>
      <c r="F30" s="28">
        <f t="shared" si="8"/>
        <v>32.679841763902935</v>
      </c>
      <c r="G30" s="27" t="str">
        <f t="shared" si="9"/>
        <v>+</v>
      </c>
      <c r="H30" s="26">
        <f t="shared" si="10"/>
        <v>31191.68</v>
      </c>
      <c r="I30" s="26">
        <f t="shared" si="11"/>
        <v>31268.072599702326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33.1</v>
      </c>
      <c r="D31" s="30">
        <f>41.4+159.7</f>
        <v>201.1</v>
      </c>
      <c r="E31" s="29">
        <f t="shared" si="7"/>
        <v>1.2056933186243944E-2</v>
      </c>
      <c r="F31" s="28">
        <f t="shared" si="8"/>
        <v>33.181066330833957</v>
      </c>
      <c r="G31" s="27" t="str">
        <f t="shared" si="9"/>
        <v>+</v>
      </c>
      <c r="H31" s="26">
        <f t="shared" si="10"/>
        <v>6656.41</v>
      </c>
      <c r="I31" s="26">
        <f t="shared" si="11"/>
        <v>6672.7124391307088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34.673944021856627</v>
      </c>
      <c r="D32" s="22">
        <f>SUM(D26:D31)</f>
        <v>10175.4</v>
      </c>
      <c r="E32" s="21">
        <f t="shared" si="7"/>
        <v>0.61006523094632836</v>
      </c>
      <c r="F32" s="20">
        <f>I32/D32</f>
        <v>34.758865152291499</v>
      </c>
      <c r="G32" s="19">
        <f>F32/C32-1</f>
        <v>2.4491338620533654E-3</v>
      </c>
      <c r="H32" s="18">
        <f>SUM(H26:H31)</f>
        <v>352821.24999999994</v>
      </c>
      <c r="I32" s="18">
        <f>SUM(I26:I31)</f>
        <v>353685.3564706269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v>2668.01</v>
      </c>
      <c r="E34" s="29">
        <f t="shared" ref="E34:E40" si="13">D34/$D$48</f>
        <v>0.15996030984699505</v>
      </c>
      <c r="F34" s="28">
        <f t="shared" ref="F34:F39" si="14">C34-(C34*$E$6)</f>
        <v>19.948737763854854</v>
      </c>
      <c r="G34" s="27" t="str">
        <f t="shared" ref="G34:G39" si="15">IF(C34&gt;=F34,"-","+")</f>
        <v>+</v>
      </c>
      <c r="H34" s="26">
        <f t="shared" ref="H34:H39" si="16">C34*D34</f>
        <v>53093.398999999998</v>
      </c>
      <c r="I34" s="26">
        <f t="shared" ref="I34:I39" si="17">F34*D34</f>
        <v>53223.431841342397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/>
      <c r="E35" s="29">
        <f t="shared" si="13"/>
        <v>0</v>
      </c>
      <c r="F35" s="28">
        <f t="shared" si="14"/>
        <v>15.337471748089413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12.330124346503254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32.679841763902935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32.679841763902935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33.700000000000003</v>
      </c>
      <c r="D39" s="30"/>
      <c r="E39" s="29">
        <f t="shared" si="13"/>
        <v>0</v>
      </c>
      <c r="F39" s="28">
        <f t="shared" si="14"/>
        <v>33.782535811151192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19.899999999999999</v>
      </c>
      <c r="D40" s="22">
        <f>SUM(D34:D39)</f>
        <v>2668.01</v>
      </c>
      <c r="E40" s="113">
        <f t="shared" si="13"/>
        <v>0.15996030984699505</v>
      </c>
      <c r="F40" s="20">
        <f>I40/D40</f>
        <v>19.948737763854854</v>
      </c>
      <c r="G40" s="19">
        <f>F40/C40-1</f>
        <v>2.4491338620531433E-3</v>
      </c>
      <c r="H40" s="18">
        <f>SUM(H34:H39)</f>
        <v>53093.398999999998</v>
      </c>
      <c r="I40" s="18">
        <f>SUM(I34:I39)</f>
        <v>53223.431841342397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2564</v>
      </c>
      <c r="E42" s="107">
        <f>D42/$D$48</f>
        <v>0.15372439925176268</v>
      </c>
      <c r="F42" s="28">
        <f>C42-(C42*$E$6)</f>
        <v>0.50122456693102657</v>
      </c>
      <c r="G42" s="27" t="str">
        <f>IF(C42&gt;=F42,"-","+")</f>
        <v>+</v>
      </c>
      <c r="H42" s="26">
        <f>C42*D42</f>
        <v>1282</v>
      </c>
      <c r="I42" s="26">
        <f>F42*D42</f>
        <v>1285.1397896111521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f>130.7+22.5</f>
        <v>153.19999999999999</v>
      </c>
      <c r="E43" s="107">
        <f>D43/$D$48</f>
        <v>9.1850928102067235E-3</v>
      </c>
      <c r="F43" s="28">
        <f>C43-(C43*$E$6)</f>
        <v>0.50122456693102657</v>
      </c>
      <c r="G43" s="27" t="str">
        <f>IF(C43&gt;=F43,"-","+")</f>
        <v>+</v>
      </c>
      <c r="H43" s="26">
        <f>C43*D43</f>
        <v>76.599999999999994</v>
      </c>
      <c r="I43" s="26">
        <f>F43*D43</f>
        <v>76.787603653833258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7.39</v>
      </c>
      <c r="E45" s="107">
        <f>D45/$D$48</f>
        <v>4.4306681375605542E-4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0.49864383265005013</v>
      </c>
      <c r="D46" s="22">
        <f>SUM(D41:D45)</f>
        <v>2724.5899999999997</v>
      </c>
      <c r="E46" s="113">
        <f>D46/$D$48</f>
        <v>0.16335255887572542</v>
      </c>
      <c r="F46" s="20">
        <f>I46/D46</f>
        <v>0.49986507814569731</v>
      </c>
      <c r="G46" s="19">
        <f>F46/C46-1</f>
        <v>2.4491338620531433E-3</v>
      </c>
      <c r="H46" s="18">
        <f>SUM(H41:H44)</f>
        <v>1358.6</v>
      </c>
      <c r="I46" s="18">
        <f>SUM(I41:I44)</f>
        <v>1361.9273932649853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105.04878475875434</v>
      </c>
      <c r="D48" s="13">
        <f>D24+D32+D40+D46</f>
        <v>16679.2</v>
      </c>
      <c r="E48" s="12">
        <f>SUM(E20:E46)/2</f>
        <v>1</v>
      </c>
      <c r="F48" s="11">
        <f>I48/D48</f>
        <v>27.815499232758118</v>
      </c>
      <c r="G48" s="10"/>
      <c r="H48" s="9">
        <f>SUM(H20:H46)/2</f>
        <v>462806.79899999988</v>
      </c>
      <c r="I48" s="9">
        <f>SUM(I20:I46)/2</f>
        <v>463940.27480301925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22408.499999999996</v>
      </c>
      <c r="E50" s="12">
        <f>D50/G2</f>
        <v>1.0000089252642992</v>
      </c>
      <c r="F50" s="11">
        <f>I50/D50</f>
        <v>28.199748309793165</v>
      </c>
      <c r="G50" s="10"/>
      <c r="H50" s="9">
        <f>H48+H19</f>
        <v>630370.19899999991</v>
      </c>
      <c r="I50" s="9">
        <f>I48+I19</f>
        <v>631914.06000000006</v>
      </c>
      <c r="J50" s="106">
        <f>D50-G2</f>
        <v>0.19999999999708962</v>
      </c>
      <c r="K50" s="8"/>
    </row>
    <row r="51" spans="1:11" ht="23.25" x14ac:dyDescent="0.35">
      <c r="A51" s="174" t="s">
        <v>738</v>
      </c>
      <c r="B51" s="169"/>
      <c r="C51" s="170"/>
      <c r="G51" s="7"/>
      <c r="H51" s="6"/>
      <c r="I51" s="6">
        <f>+I50/D50</f>
        <v>28.199748309793165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730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735</v>
      </c>
      <c r="D2" s="96" t="s">
        <v>3</v>
      </c>
      <c r="E2" s="95" t="s">
        <v>107</v>
      </c>
      <c r="F2" s="94" t="s">
        <v>5</v>
      </c>
      <c r="G2" s="93">
        <v>4091.4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52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78.680769230769229</v>
      </c>
      <c r="F4" s="81" t="s">
        <v>12</v>
      </c>
      <c r="G4" s="80">
        <f>G2*G3</f>
        <v>108422.1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-2.7317946942257976E-3</v>
      </c>
      <c r="F6" s="69" t="s">
        <v>16</v>
      </c>
      <c r="G6" s="68">
        <f>(I50-I19)/(D50-(SUM(D42:D44)+D19))</f>
        <v>31.108300182029712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26.572392559396985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>
        <f t="shared" si="1"/>
        <v>0</v>
      </c>
      <c r="F11" s="28">
        <f t="shared" si="2"/>
        <v>27.675397533560634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>
        <f t="shared" si="1"/>
        <v>0</v>
      </c>
      <c r="F12" s="28">
        <f t="shared" si="2"/>
        <v>25.268841226294491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27.675397533560634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30.984412456051576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/>
      <c r="E15" s="29">
        <f t="shared" si="1"/>
        <v>0</v>
      </c>
      <c r="F15" s="28">
        <f t="shared" si="2"/>
        <v>25.469387585233335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>
        <v>11</v>
      </c>
      <c r="E16" s="29">
        <f t="shared" si="1"/>
        <v>0.1864406779661017</v>
      </c>
      <c r="F16" s="28">
        <f t="shared" si="2"/>
        <v>34.895066455359057</v>
      </c>
      <c r="G16" s="27" t="str">
        <f t="shared" si="3"/>
        <v>+</v>
      </c>
      <c r="H16" s="34">
        <f t="shared" si="4"/>
        <v>382.79999999999995</v>
      </c>
      <c r="I16" s="34">
        <f t="shared" si="5"/>
        <v>383.84573100894966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>
        <v>48</v>
      </c>
      <c r="E17" s="29">
        <f t="shared" si="1"/>
        <v>0.81355932203389836</v>
      </c>
      <c r="F17" s="28">
        <f t="shared" si="2"/>
        <v>51.440141067813784</v>
      </c>
      <c r="G17" s="27" t="str">
        <f t="shared" si="3"/>
        <v>+</v>
      </c>
      <c r="H17" s="34">
        <f t="shared" si="4"/>
        <v>2462.3999999999996</v>
      </c>
      <c r="I17" s="34">
        <f t="shared" si="5"/>
        <v>2469.1267712550616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45.022657581770737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48.223728813559319</v>
      </c>
      <c r="D19" s="49">
        <f>SUM(D10:D18)</f>
        <v>59</v>
      </c>
      <c r="E19" s="48">
        <f t="shared" si="1"/>
        <v>1</v>
      </c>
      <c r="F19" s="47">
        <f>I19/D19</f>
        <v>48.355466140067989</v>
      </c>
      <c r="G19" s="46">
        <f>F19/C19-1</f>
        <v>2.7317946942257976E-3</v>
      </c>
      <c r="H19" s="9">
        <f>SUM(H10:H18)</f>
        <v>2845.2</v>
      </c>
      <c r="I19" s="9">
        <f>SUM(I10:I18)</f>
        <v>2852.9725022640114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>
        <v>44.4</v>
      </c>
      <c r="E21" s="29">
        <f>D21/$D$48</f>
        <v>1.1010812419402835E-2</v>
      </c>
      <c r="F21" s="28">
        <f>C21-(C21*$E$6)</f>
        <v>66.781937526635431</v>
      </c>
      <c r="G21" s="27" t="str">
        <f>IF(C21&gt;=F21,"-","+")</f>
        <v>+</v>
      </c>
      <c r="H21" s="26">
        <f>C21*D21</f>
        <v>2957.0399999999995</v>
      </c>
      <c r="I21" s="26">
        <f>F21*D21</f>
        <v>2965.118026182613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97.5</v>
      </c>
      <c r="E22" s="29">
        <f>D22/$D$48</f>
        <v>2.4179148893958929E-2</v>
      </c>
      <c r="F22" s="28">
        <f>C22-(C22*$E$6)</f>
        <v>44.922384402301311</v>
      </c>
      <c r="G22" s="27" t="str">
        <f>IF(C22&gt;=F22,"-","+")</f>
        <v>+</v>
      </c>
      <c r="H22" s="26">
        <f>C22*D22</f>
        <v>4368</v>
      </c>
      <c r="I22" s="26">
        <f>F22*D22</f>
        <v>4379.9324792243779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>
        <v>94</v>
      </c>
      <c r="E23" s="29">
        <f>D23/$D$48</f>
        <v>2.331117944648348E-2</v>
      </c>
      <c r="F23" s="28">
        <f>C23-(C23*$E$6)</f>
        <v>40.911457223524408</v>
      </c>
      <c r="G23" s="27" t="str">
        <f>IF(C23&gt;=F23,"-","+")</f>
        <v>+</v>
      </c>
      <c r="H23" s="26">
        <f>C23*D23</f>
        <v>3835.2</v>
      </c>
      <c r="I23" s="26">
        <f>F23*D23</f>
        <v>3845.6769790112944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47.309198813056369</v>
      </c>
      <c r="D24" s="22">
        <f>SUM(D21:D23)</f>
        <v>235.9</v>
      </c>
      <c r="E24" s="21">
        <f>D24/$D$48</f>
        <v>5.8501140759845249E-2</v>
      </c>
      <c r="F24" s="20">
        <f>I24/D24</f>
        <v>47.438437831361952</v>
      </c>
      <c r="G24" s="19">
        <f>F24/C24-1</f>
        <v>2.7317946942257976E-3</v>
      </c>
      <c r="H24" s="18">
        <f>SUM(H21:H23)</f>
        <v>11160.239999999998</v>
      </c>
      <c r="I24" s="18">
        <f>SUM(I21:I23)</f>
        <v>11190.727484418285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>
        <f>246+55.1+514</f>
        <v>815.1</v>
      </c>
      <c r="E26" s="29">
        <f t="shared" ref="E26:E32" si="7">D26/$D$48</f>
        <v>0.20213768475349667</v>
      </c>
      <c r="F26" s="28">
        <f t="shared" ref="F26:F31" si="8">C26-(C26*$E$6)</f>
        <v>35.697251891114441</v>
      </c>
      <c r="G26" s="27" t="str">
        <f t="shared" ref="G26:G31" si="9">IF(C26&gt;=F26,"-","+")</f>
        <v>+</v>
      </c>
      <c r="H26" s="26">
        <f t="shared" ref="H26:H31" si="10">C26*D26</f>
        <v>29017.56</v>
      </c>
      <c r="I26" s="26">
        <f t="shared" ref="I26:I31" si="11">F26*D26</f>
        <v>29096.83001644738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617</v>
      </c>
      <c r="E27" s="29">
        <f t="shared" si="7"/>
        <v>0.15301061402638624</v>
      </c>
      <c r="F27" s="28">
        <f t="shared" si="8"/>
        <v>31.786597891806956</v>
      </c>
      <c r="G27" s="27" t="str">
        <f t="shared" si="9"/>
        <v>+</v>
      </c>
      <c r="H27" s="26">
        <f t="shared" si="10"/>
        <v>19558.899999999998</v>
      </c>
      <c r="I27" s="26">
        <f t="shared" si="11"/>
        <v>19612.330899244891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337.9</v>
      </c>
      <c r="E28" s="29">
        <f t="shared" si="7"/>
        <v>8.3796250371986888E-2</v>
      </c>
      <c r="F28" s="28">
        <f t="shared" si="8"/>
        <v>31.786597891806956</v>
      </c>
      <c r="G28" s="27" t="str">
        <f t="shared" si="9"/>
        <v>+</v>
      </c>
      <c r="H28" s="26">
        <f t="shared" si="10"/>
        <v>10711.429999999998</v>
      </c>
      <c r="I28" s="26">
        <f t="shared" si="11"/>
        <v>10740.69142764157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332.4</v>
      </c>
      <c r="E29" s="29">
        <f t="shared" si="7"/>
        <v>8.2432298383096902E-2</v>
      </c>
      <c r="F29" s="28">
        <f t="shared" si="8"/>
        <v>30.68359291764331</v>
      </c>
      <c r="G29" s="27" t="str">
        <f t="shared" si="9"/>
        <v>+</v>
      </c>
      <c r="H29" s="26">
        <f t="shared" si="10"/>
        <v>10171.44</v>
      </c>
      <c r="I29" s="26">
        <f t="shared" si="11"/>
        <v>10199.226285824636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>
        <v>316</v>
      </c>
      <c r="E30" s="29">
        <f t="shared" si="7"/>
        <v>7.8365241543497652E-2</v>
      </c>
      <c r="F30" s="28">
        <f t="shared" si="8"/>
        <v>30.68359291764331</v>
      </c>
      <c r="G30" s="27" t="str">
        <f t="shared" si="9"/>
        <v>+</v>
      </c>
      <c r="H30" s="26">
        <f t="shared" si="10"/>
        <v>9669.6</v>
      </c>
      <c r="I30" s="26">
        <f t="shared" si="11"/>
        <v>9696.0153619752855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>
        <v>99.4</v>
      </c>
      <c r="E31" s="29">
        <f t="shared" si="7"/>
        <v>2.4650332308302745E-2</v>
      </c>
      <c r="F31" s="28">
        <f t="shared" si="8"/>
        <v>31.184958814990424</v>
      </c>
      <c r="G31" s="27" t="str">
        <f t="shared" si="9"/>
        <v>+</v>
      </c>
      <c r="H31" s="26">
        <f t="shared" si="10"/>
        <v>3091.34</v>
      </c>
      <c r="I31" s="26">
        <f t="shared" si="11"/>
        <v>3099.7849062100481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32.655600127095084</v>
      </c>
      <c r="D32" s="22">
        <f>SUM(D26:D31)</f>
        <v>2517.8000000000002</v>
      </c>
      <c r="E32" s="21">
        <f t="shared" si="7"/>
        <v>0.62439242138676709</v>
      </c>
      <c r="F32" s="20">
        <f>I32/D32</f>
        <v>32.744808522259035</v>
      </c>
      <c r="G32" s="19">
        <f>F32/C32-1</f>
        <v>2.7317946942255755E-3</v>
      </c>
      <c r="H32" s="18">
        <f>SUM(H26:H31)</f>
        <v>82220.27</v>
      </c>
      <c r="I32" s="18">
        <f>SUM(I26:I31)</f>
        <v>82444.878897343806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319.1+268</f>
        <v>587.1</v>
      </c>
      <c r="E34" s="29">
        <f t="shared" ref="E34:E40" si="13">D34/$D$48</f>
        <v>0.14559567503223886</v>
      </c>
      <c r="F34" s="28">
        <f t="shared" ref="F34:F39" si="14">C34-(C34*$E$6)</f>
        <v>18.751084560782022</v>
      </c>
      <c r="G34" s="27" t="str">
        <f t="shared" ref="G34:G39" si="15">IF(C34&gt;=F34,"-","+")</f>
        <v>+</v>
      </c>
      <c r="H34" s="26">
        <f t="shared" ref="H34:H39" si="16">C34*D34</f>
        <v>10978.77</v>
      </c>
      <c r="I34" s="26">
        <f t="shared" ref="I34:I39" si="17">F34*D34</f>
        <v>11008.761745635125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46.3</v>
      </c>
      <c r="E35" s="29">
        <f t="shared" si="13"/>
        <v>1.148199583374665E-2</v>
      </c>
      <c r="F35" s="28">
        <f t="shared" si="14"/>
        <v>14.439337843596851</v>
      </c>
      <c r="G35" s="27" t="str">
        <f t="shared" si="15"/>
        <v>+</v>
      </c>
      <c r="H35" s="26">
        <f t="shared" si="16"/>
        <v>666.72</v>
      </c>
      <c r="I35" s="26">
        <f t="shared" si="17"/>
        <v>668.54134215853412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11.63168881845302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30.68359291764331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30.68359291764331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31.786597891806956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18.38568045468898</v>
      </c>
      <c r="D40" s="22">
        <f>SUM(D34:D39)</f>
        <v>633.4</v>
      </c>
      <c r="E40" s="21">
        <f t="shared" si="13"/>
        <v>0.15707767086598548</v>
      </c>
      <c r="F40" s="20">
        <f>I40/D40</f>
        <v>18.435906359004832</v>
      </c>
      <c r="G40" s="19">
        <f>F40/C40-1</f>
        <v>2.7317946942257976E-3</v>
      </c>
      <c r="H40" s="18">
        <f>SUM(H34:H39)</f>
        <v>11645.49</v>
      </c>
      <c r="I40" s="18">
        <f>SUM(I34:I39)</f>
        <v>11677.30308779366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280+31.4+284.6</f>
        <v>596</v>
      </c>
      <c r="E42" s="107">
        <f>D42/$D$48</f>
        <v>0.14780279734153356</v>
      </c>
      <c r="F42" s="28">
        <f>C42-(C42*$E$6)</f>
        <v>0.40109271787769035</v>
      </c>
      <c r="G42" s="27" t="str">
        <f>IF(C42&gt;=F42,"-","+")</f>
        <v>+</v>
      </c>
      <c r="H42" s="26">
        <f>C42*D42</f>
        <v>238.4</v>
      </c>
      <c r="I42" s="26">
        <f>F42*D42</f>
        <v>239.05125985510344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42.8</v>
      </c>
      <c r="E43" s="107">
        <f>D43/$D$48</f>
        <v>1.0614026386271201E-2</v>
      </c>
      <c r="F43" s="28">
        <f>C43-(C43*$E$6)</f>
        <v>0.40109271787769035</v>
      </c>
      <c r="G43" s="27" t="str">
        <f>IF(C43&gt;=F43,"-","+")</f>
        <v>+</v>
      </c>
      <c r="H43" s="26">
        <f>C43*D43</f>
        <v>17.12</v>
      </c>
      <c r="I43" s="26">
        <f>F43*D43</f>
        <v>17.166768325165148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6.5</v>
      </c>
      <c r="E45" s="107">
        <f>D45/$D$48</f>
        <v>1.6119432595972619E-3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0.39597086626375333</v>
      </c>
      <c r="D46" s="22">
        <f>SUM(D41:D45)</f>
        <v>645.29999999999995</v>
      </c>
      <c r="E46" s="21">
        <f>D46/$D$48</f>
        <v>0.16002876698740201</v>
      </c>
      <c r="F46" s="20">
        <f>I46/D46</f>
        <v>0.3970525773752806</v>
      </c>
      <c r="G46" s="19">
        <f>F46/C46-1</f>
        <v>2.7317946942257976E-3</v>
      </c>
      <c r="H46" s="18">
        <f>SUM(H41:H44)</f>
        <v>255.52</v>
      </c>
      <c r="I46" s="18">
        <f>SUM(I41:I44)</f>
        <v>256.21802818026856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98.746450261104187</v>
      </c>
      <c r="D48" s="13">
        <f>D24+D32+D40+D46</f>
        <v>4032.4000000000005</v>
      </c>
      <c r="E48" s="12">
        <f>SUM(E20:E46)/2</f>
        <v>1</v>
      </c>
      <c r="F48" s="11">
        <f>I48/D48</f>
        <v>26.180222075621472</v>
      </c>
      <c r="G48" s="10"/>
      <c r="H48" s="9">
        <f>SUM(H20:H46)/2</f>
        <v>105281.51999999997</v>
      </c>
      <c r="I48" s="9">
        <f>SUM(I20:I46)/2</f>
        <v>105569.12749773604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4091.4000000000005</v>
      </c>
      <c r="E50" s="12">
        <f>D50/G2</f>
        <v>1.0000000000000002</v>
      </c>
      <c r="F50" s="11">
        <f>I50/D50</f>
        <v>26.500000000000007</v>
      </c>
      <c r="G50" s="10"/>
      <c r="H50" s="9">
        <f>H48+H19</f>
        <v>108126.71999999997</v>
      </c>
      <c r="I50" s="9">
        <f>I48+I19</f>
        <v>108422.10000000005</v>
      </c>
      <c r="J50" s="106">
        <f>D50-G2</f>
        <v>0</v>
      </c>
      <c r="K50" s="8"/>
    </row>
    <row r="51" spans="1:11" ht="23.25" x14ac:dyDescent="0.35">
      <c r="A51" s="174" t="s">
        <v>739</v>
      </c>
      <c r="B51" s="169"/>
      <c r="C51" s="170"/>
      <c r="G51" s="7"/>
      <c r="H51" s="6"/>
      <c r="I51" s="6">
        <f>+I50/D50</f>
        <v>26.500000000000007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740</v>
      </c>
      <c r="D1" s="100" t="s">
        <v>1</v>
      </c>
      <c r="E1" s="168" t="s">
        <v>706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741</v>
      </c>
      <c r="D2" s="96" t="s">
        <v>3</v>
      </c>
      <c r="E2" s="95" t="s">
        <v>112</v>
      </c>
      <c r="F2" s="94" t="s">
        <v>5</v>
      </c>
      <c r="G2" s="93">
        <v>4317.2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707</v>
      </c>
      <c r="D3" s="90" t="s">
        <v>7</v>
      </c>
      <c r="E3" s="89">
        <v>72</v>
      </c>
      <c r="F3" s="88" t="s">
        <v>8</v>
      </c>
      <c r="G3" s="87">
        <v>23.83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12</v>
      </c>
      <c r="D4" s="83" t="s">
        <v>11</v>
      </c>
      <c r="E4" s="82">
        <f>G2/E3</f>
        <v>59.961111111111109</v>
      </c>
      <c r="F4" s="81" t="s">
        <v>12</v>
      </c>
      <c r="G4" s="80">
        <f>G2*G3</f>
        <v>102878.87599999999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-0.14586308056314068</v>
      </c>
      <c r="F6" s="69" t="s">
        <v>16</v>
      </c>
      <c r="G6" s="68">
        <f>(I50-I19)/(D50-(SUM(D42:D44)+D19))</f>
        <v>31.56471512287915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23.8</v>
      </c>
      <c r="D10" s="30"/>
      <c r="E10" s="29" t="e">
        <f t="shared" ref="E10:E19" si="1">D10/$D$19</f>
        <v>#DIV/0!</v>
      </c>
      <c r="F10" s="28">
        <f t="shared" ref="F10:F18" si="2">C10-(C10*$E$6)</f>
        <v>27.27154131740275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24.8</v>
      </c>
      <c r="D11" s="30"/>
      <c r="E11" s="29" t="e">
        <f t="shared" si="1"/>
        <v>#DIV/0!</v>
      </c>
      <c r="F11" s="28">
        <f t="shared" si="2"/>
        <v>28.417404397965889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22.7</v>
      </c>
      <c r="D12" s="30"/>
      <c r="E12" s="29" t="e">
        <f t="shared" si="1"/>
        <v>#DIV/0!</v>
      </c>
      <c r="F12" s="28">
        <f t="shared" si="2"/>
        <v>26.011091928783294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24.8</v>
      </c>
      <c r="D13" s="30"/>
      <c r="E13" s="29" t="e">
        <f t="shared" si="1"/>
        <v>#DIV/0!</v>
      </c>
      <c r="F13" s="28">
        <f t="shared" si="2"/>
        <v>28.417404397965889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27.7</v>
      </c>
      <c r="D14" s="30"/>
      <c r="E14" s="29" t="e">
        <f t="shared" si="1"/>
        <v>#DIV/0!</v>
      </c>
      <c r="F14" s="28">
        <f t="shared" si="2"/>
        <v>31.740407331598995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22.9</v>
      </c>
      <c r="D15" s="30"/>
      <c r="E15" s="29" t="e">
        <f t="shared" si="1"/>
        <v>#DIV/0!</v>
      </c>
      <c r="F15" s="28">
        <f t="shared" si="2"/>
        <v>26.240264544895918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31.3</v>
      </c>
      <c r="D16" s="30"/>
      <c r="E16" s="29" t="e">
        <f t="shared" si="1"/>
        <v>#DIV/0!</v>
      </c>
      <c r="F16" s="28">
        <f t="shared" si="2"/>
        <v>35.865514421626301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46.1</v>
      </c>
      <c r="D17" s="30"/>
      <c r="E17" s="29" t="e">
        <f t="shared" si="1"/>
        <v>#DIV/0!</v>
      </c>
      <c r="F17" s="28">
        <f t="shared" si="2"/>
        <v>52.824288013960789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40.4</v>
      </c>
      <c r="D18" s="30"/>
      <c r="E18" s="29" t="e">
        <f t="shared" si="1"/>
        <v>#DIV/0!</v>
      </c>
      <c r="F18" s="28">
        <f t="shared" si="2"/>
        <v>46.292868454750881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59.9</v>
      </c>
      <c r="D21" s="30">
        <v>55.1</v>
      </c>
      <c r="E21" s="29">
        <f>D21/$D$48</f>
        <v>1.27629018808487E-2</v>
      </c>
      <c r="F21" s="28">
        <f>C21-(C21*$E$6)</f>
        <v>68.637198525732117</v>
      </c>
      <c r="G21" s="27" t="str">
        <f>IF(C21&gt;=F21,"-","+")</f>
        <v>+</v>
      </c>
      <c r="H21" s="26">
        <f>C21*D21</f>
        <v>3300.49</v>
      </c>
      <c r="I21" s="26">
        <f>F21*D21</f>
        <v>3781.9096387678396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40.200000000000003</v>
      </c>
      <c r="D22" s="30">
        <v>102.2</v>
      </c>
      <c r="E22" s="29">
        <f>D22/$D$48</f>
        <v>2.3672750857036969E-2</v>
      </c>
      <c r="F22" s="28">
        <f>C22-(C22*$E$6)</f>
        <v>46.06369583863826</v>
      </c>
      <c r="G22" s="27" t="str">
        <f>IF(C22&gt;=F22,"-","+")</f>
        <v>+</v>
      </c>
      <c r="H22" s="26">
        <f>C22*D22</f>
        <v>4108.4400000000005</v>
      </c>
      <c r="I22" s="26">
        <f>F22*D22</f>
        <v>4707.7097147088307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36.700000000000003</v>
      </c>
      <c r="D23" s="30">
        <v>81.3</v>
      </c>
      <c r="E23" s="29">
        <f>D23/$D$48</f>
        <v>1.88316501436116E-2</v>
      </c>
      <c r="F23" s="28">
        <f>C23-(C23*$E$6)</f>
        <v>42.053175056667264</v>
      </c>
      <c r="G23" s="27" t="str">
        <f>IF(C23&gt;=F23,"-","+")</f>
        <v>+</v>
      </c>
      <c r="H23" s="26">
        <f>C23*D23</f>
        <v>2983.71</v>
      </c>
      <c r="I23" s="26">
        <f>F23*D23</f>
        <v>3418.9231321070483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43.55674769488683</v>
      </c>
      <c r="D24" s="22">
        <f>SUM(D21:D23)</f>
        <v>238.60000000000002</v>
      </c>
      <c r="E24" s="21">
        <f>D24/$D$48</f>
        <v>5.5267302881497275E-2</v>
      </c>
      <c r="F24" s="20">
        <f>I24/D24</f>
        <v>49.91006909297451</v>
      </c>
      <c r="G24" s="19">
        <f>F24/C24-1</f>
        <v>0.1458630805631409</v>
      </c>
      <c r="H24" s="18">
        <f>SUM(H21:H23)</f>
        <v>10392.64</v>
      </c>
      <c r="I24" s="18">
        <f>SUM(I21:I23)</f>
        <v>11908.542485583719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</v>
      </c>
      <c r="D26" s="30">
        <v>717</v>
      </c>
      <c r="E26" s="29">
        <f t="shared" ref="E26:E32" si="7">D26/$D$48</f>
        <v>0.16607986658019086</v>
      </c>
      <c r="F26" s="28">
        <f t="shared" ref="F26:F31" si="8">C26-(C26*$E$6)</f>
        <v>36.667618578020502</v>
      </c>
      <c r="G26" s="27" t="str">
        <f t="shared" ref="G26:G31" si="9">IF(C26&gt;=F26,"-","+")</f>
        <v>+</v>
      </c>
      <c r="H26" s="26">
        <f t="shared" ref="H26:H31" si="10">C26*D26</f>
        <v>22944</v>
      </c>
      <c r="I26" s="26">
        <f t="shared" ref="I26:I31" si="11">F26*D26</f>
        <v>26290.6825204407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28.5</v>
      </c>
      <c r="D27" s="30">
        <v>581.20000000000005</v>
      </c>
      <c r="E27" s="29">
        <f t="shared" si="7"/>
        <v>0.1346242935235801</v>
      </c>
      <c r="F27" s="28">
        <f t="shared" si="8"/>
        <v>32.657097796049513</v>
      </c>
      <c r="G27" s="27" t="str">
        <f t="shared" si="9"/>
        <v>+</v>
      </c>
      <c r="H27" s="26">
        <f t="shared" si="10"/>
        <v>16564.2</v>
      </c>
      <c r="I27" s="26">
        <f t="shared" si="11"/>
        <v>18980.305239063979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28.5</v>
      </c>
      <c r="D28" s="30">
        <v>307.10000000000002</v>
      </c>
      <c r="E28" s="29">
        <f t="shared" si="7"/>
        <v>7.1134068377652196E-2</v>
      </c>
      <c r="F28" s="28">
        <f t="shared" si="8"/>
        <v>32.657097796049513</v>
      </c>
      <c r="G28" s="27" t="str">
        <f t="shared" si="9"/>
        <v>+</v>
      </c>
      <c r="H28" s="26">
        <f t="shared" si="10"/>
        <v>8752.35</v>
      </c>
      <c r="I28" s="26">
        <f t="shared" si="11"/>
        <v>10028.994733166806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27.5</v>
      </c>
      <c r="D29" s="30">
        <v>312.60000000000002</v>
      </c>
      <c r="E29" s="29">
        <f t="shared" si="7"/>
        <v>7.240804224960623E-2</v>
      </c>
      <c r="F29" s="28">
        <f t="shared" si="8"/>
        <v>31.511234715486367</v>
      </c>
      <c r="G29" s="27" t="str">
        <f t="shared" si="9"/>
        <v>+</v>
      </c>
      <c r="H29" s="26">
        <f t="shared" si="10"/>
        <v>8596.5</v>
      </c>
      <c r="I29" s="26">
        <f t="shared" si="11"/>
        <v>9850.4119720610397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27.5</v>
      </c>
      <c r="D30" s="30">
        <v>282.2</v>
      </c>
      <c r="E30" s="29">
        <f t="shared" si="7"/>
        <v>6.5366441211896595E-2</v>
      </c>
      <c r="F30" s="28">
        <f t="shared" si="8"/>
        <v>31.511234715486367</v>
      </c>
      <c r="G30" s="27" t="str">
        <f t="shared" si="9"/>
        <v>+</v>
      </c>
      <c r="H30" s="26">
        <f t="shared" si="10"/>
        <v>7760.5</v>
      </c>
      <c r="I30" s="26">
        <f t="shared" si="11"/>
        <v>8892.4704367102531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</v>
      </c>
      <c r="D31" s="30">
        <v>76</v>
      </c>
      <c r="E31" s="29">
        <f t="shared" si="7"/>
        <v>1.7604002594274068E-2</v>
      </c>
      <c r="F31" s="28">
        <f t="shared" si="8"/>
        <v>32.08416625576794</v>
      </c>
      <c r="G31" s="27" t="str">
        <f t="shared" si="9"/>
        <v>+</v>
      </c>
      <c r="H31" s="26">
        <f t="shared" si="10"/>
        <v>2128</v>
      </c>
      <c r="I31" s="26">
        <f t="shared" si="11"/>
        <v>2438.3966354383633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29.324524405781816</v>
      </c>
      <c r="D32" s="22">
        <f>SUM(D26:D31)</f>
        <v>2276.1</v>
      </c>
      <c r="E32" s="21">
        <f t="shared" si="7"/>
        <v>0.52721671453720009</v>
      </c>
      <c r="F32" s="20">
        <f>I32/D32</f>
        <v>33.601889871658159</v>
      </c>
      <c r="G32" s="19">
        <f>F32/C32-1</f>
        <v>0.1458630805631409</v>
      </c>
      <c r="H32" s="18">
        <f>SUM(H26:H31)</f>
        <v>66745.549999999988</v>
      </c>
      <c r="I32" s="18">
        <f>SUM(I26:I31)</f>
        <v>76481.261536881138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</v>
      </c>
      <c r="D34" s="30">
        <f>348.7+334.2</f>
        <v>682.9</v>
      </c>
      <c r="E34" s="29">
        <f t="shared" ref="E34:E40" si="13">D34/$D$48</f>
        <v>0.15818122857407579</v>
      </c>
      <c r="F34" s="28">
        <f t="shared" ref="F34:F39" si="14">C34-(C34*$E$6)</f>
        <v>19.250499753460765</v>
      </c>
      <c r="G34" s="27" t="str">
        <f t="shared" ref="G34:G39" si="15">IF(C34&gt;=F34,"-","+")</f>
        <v>+</v>
      </c>
      <c r="H34" s="26">
        <f t="shared" ref="H34:H39" si="16">C34*D34</f>
        <v>11472.72</v>
      </c>
      <c r="I34" s="26">
        <f t="shared" ref="I34:I39" si="17">F34*D34</f>
        <v>13146.166281638356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</v>
      </c>
      <c r="D35" s="30">
        <v>57.6</v>
      </c>
      <c r="E35" s="29">
        <f t="shared" si="13"/>
        <v>1.3341980913555082E-2</v>
      </c>
      <c r="F35" s="28">
        <f t="shared" si="14"/>
        <v>14.896220047320829</v>
      </c>
      <c r="G35" s="27" t="str">
        <f t="shared" si="15"/>
        <v>+</v>
      </c>
      <c r="H35" s="26">
        <f t="shared" si="16"/>
        <v>748.80000000000007</v>
      </c>
      <c r="I35" s="26">
        <f t="shared" si="17"/>
        <v>858.02227472567984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11.916976037856664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27.5</v>
      </c>
      <c r="D37" s="30"/>
      <c r="E37" s="29">
        <f t="shared" si="13"/>
        <v>0</v>
      </c>
      <c r="F37" s="28">
        <f t="shared" si="14"/>
        <v>31.511234715486367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27.5</v>
      </c>
      <c r="D38" s="30"/>
      <c r="E38" s="29">
        <f t="shared" si="13"/>
        <v>0</v>
      </c>
      <c r="F38" s="28">
        <f t="shared" si="14"/>
        <v>31.511234715486367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28.5</v>
      </c>
      <c r="D39" s="30"/>
      <c r="E39" s="29">
        <f t="shared" si="13"/>
        <v>0</v>
      </c>
      <c r="F39" s="28">
        <f t="shared" si="14"/>
        <v>32.657097796049513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16.50441593517893</v>
      </c>
      <c r="D40" s="22">
        <f>SUM(D34:D39)</f>
        <v>740.5</v>
      </c>
      <c r="E40" s="113">
        <f t="shared" si="13"/>
        <v>0.17152320948763089</v>
      </c>
      <c r="F40" s="20">
        <f>I40/D40</f>
        <v>18.91180088637952</v>
      </c>
      <c r="G40" s="19">
        <f>F40/C40-1</f>
        <v>0.1458630805631409</v>
      </c>
      <c r="H40" s="18">
        <f>SUM(H34:H39)</f>
        <v>12221.519999999999</v>
      </c>
      <c r="I40" s="18">
        <f>SUM(I34:I39)</f>
        <v>14004.188556364035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480+55.9+474.1</f>
        <v>1010</v>
      </c>
      <c r="E42" s="107">
        <f>D42/$D$48</f>
        <v>0.23394792921337906</v>
      </c>
      <c r="F42" s="28">
        <f>C42-(C42*$E$6)</f>
        <v>0.4583452322252563</v>
      </c>
      <c r="G42" s="27" t="str">
        <f>IF(C42&gt;=F42,"-","+")</f>
        <v>+</v>
      </c>
      <c r="H42" s="26">
        <f>C42*D42</f>
        <v>404</v>
      </c>
      <c r="I42" s="26">
        <f>F42*D42</f>
        <v>462.92868454750885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47.9</v>
      </c>
      <c r="E43" s="107">
        <f>D43/$D$48</f>
        <v>1.1095154266654313E-2</v>
      </c>
      <c r="F43" s="28">
        <f>C43-(C43*$E$6)</f>
        <v>0.4583452322252563</v>
      </c>
      <c r="G43" s="27" t="str">
        <f>IF(C43&gt;=F43,"-","+")</f>
        <v>+</v>
      </c>
      <c r="H43" s="26">
        <f>C43*D43</f>
        <v>19.16</v>
      </c>
      <c r="I43" s="26">
        <f>F43*D43</f>
        <v>21.954736623589778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9.4968961363846934E-4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0.39845574387947269</v>
      </c>
      <c r="D46" s="22">
        <f>SUM(D41:D45)</f>
        <v>1062</v>
      </c>
      <c r="E46" s="113">
        <f>D46/$D$48</f>
        <v>0.24599277309367185</v>
      </c>
      <c r="F46" s="20">
        <f>I46/D46</f>
        <v>0.4565757261498104</v>
      </c>
      <c r="G46" s="19">
        <f>F46/C46-1</f>
        <v>0.14586308056314068</v>
      </c>
      <c r="H46" s="18">
        <f>SUM(H41:H44)</f>
        <v>423.16</v>
      </c>
      <c r="I46" s="18">
        <f>SUM(I41:I44)</f>
        <v>484.88342117109863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89.784143779727032</v>
      </c>
      <c r="D48" s="13">
        <f>D24+D32+D40+D46</f>
        <v>4317.2</v>
      </c>
      <c r="E48" s="12">
        <f>SUM(E20:E46)/2</f>
        <v>1.0000000000000002</v>
      </c>
      <c r="F48" s="11">
        <f>I48/D48</f>
        <v>23.830000000000002</v>
      </c>
      <c r="G48" s="10"/>
      <c r="H48" s="9">
        <f>SUM(H20:H46)/2</f>
        <v>89782.87</v>
      </c>
      <c r="I48" s="9">
        <f>SUM(I20:I46)/2</f>
        <v>102878.876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4317.2</v>
      </c>
      <c r="E50" s="12">
        <f>D50/G2</f>
        <v>1</v>
      </c>
      <c r="F50" s="11">
        <f>I50/D50</f>
        <v>23.830000000000002</v>
      </c>
      <c r="G50" s="10"/>
      <c r="H50" s="9">
        <f>H48+H19</f>
        <v>89782.87</v>
      </c>
      <c r="I50" s="9">
        <f>I48+I19</f>
        <v>102878.876</v>
      </c>
      <c r="J50" s="106">
        <f>D50-G2</f>
        <v>0</v>
      </c>
      <c r="K50" s="8"/>
    </row>
    <row r="51" spans="1:11" ht="23.25" x14ac:dyDescent="0.35">
      <c r="A51" s="174" t="s">
        <v>742</v>
      </c>
      <c r="B51" s="169"/>
      <c r="C51" s="170"/>
      <c r="G51" s="7"/>
      <c r="H51" s="6"/>
      <c r="I51" s="6">
        <f>+I50/D50</f>
        <v>23.830000000000002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741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741</v>
      </c>
      <c r="D2" s="96" t="s">
        <v>3</v>
      </c>
      <c r="E2" s="95" t="s">
        <v>112</v>
      </c>
      <c r="F2" s="94" t="s">
        <v>5</v>
      </c>
      <c r="G2" s="93">
        <v>3554.1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64</v>
      </c>
      <c r="F3" s="88" t="s">
        <v>8</v>
      </c>
      <c r="G3" s="87">
        <v>24.12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55.532812499999999</v>
      </c>
      <c r="F4" s="81" t="s">
        <v>12</v>
      </c>
      <c r="G4" s="80">
        <f>G2*G3</f>
        <v>85724.892000000007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-9.4112029810426767E-2</v>
      </c>
      <c r="F6" s="69" t="s">
        <v>16</v>
      </c>
      <c r="G6" s="68">
        <f>(I50-I19)/(D50-(SUM(D42:D44)+D19))</f>
        <v>30.9420292365999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24.1</v>
      </c>
      <c r="D10" s="30"/>
      <c r="E10" s="29" t="e">
        <f t="shared" ref="E10:E19" si="1">D10/$D$19</f>
        <v>#DIV/0!</v>
      </c>
      <c r="F10" s="28">
        <f t="shared" ref="F10:F18" si="2">C10-(C10*$E$6)</f>
        <v>26.368099918431287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25.1</v>
      </c>
      <c r="D11" s="30"/>
      <c r="E11" s="29" t="e">
        <f t="shared" si="1"/>
        <v>#DIV/0!</v>
      </c>
      <c r="F11" s="28">
        <f t="shared" si="2"/>
        <v>27.462211948241713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22.9</v>
      </c>
      <c r="D12" s="30"/>
      <c r="E12" s="29" t="e">
        <f t="shared" si="1"/>
        <v>#DIV/0!</v>
      </c>
      <c r="F12" s="28">
        <f t="shared" si="2"/>
        <v>25.055165482658772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25.1</v>
      </c>
      <c r="D13" s="30"/>
      <c r="E13" s="29" t="e">
        <f t="shared" si="1"/>
        <v>#DIV/0!</v>
      </c>
      <c r="F13" s="28">
        <f t="shared" si="2"/>
        <v>27.462211948241713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28.1</v>
      </c>
      <c r="D14" s="30"/>
      <c r="E14" s="29" t="e">
        <f t="shared" si="1"/>
        <v>#DIV/0!</v>
      </c>
      <c r="F14" s="28">
        <f t="shared" si="2"/>
        <v>30.744548037672992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23.2</v>
      </c>
      <c r="D15" s="30"/>
      <c r="E15" s="29" t="e">
        <f t="shared" si="1"/>
        <v>#DIV/0!</v>
      </c>
      <c r="F15" s="28">
        <f t="shared" si="2"/>
        <v>25.383399091601902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31.7</v>
      </c>
      <c r="D16" s="30"/>
      <c r="E16" s="29" t="e">
        <f t="shared" si="1"/>
        <v>#DIV/0!</v>
      </c>
      <c r="F16" s="28">
        <f t="shared" si="2"/>
        <v>34.683351344990527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46.7</v>
      </c>
      <c r="D17" s="30"/>
      <c r="E17" s="29" t="e">
        <f t="shared" si="1"/>
        <v>#DIV/0!</v>
      </c>
      <c r="F17" s="28">
        <f t="shared" si="2"/>
        <v>51.095031792146933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40.9</v>
      </c>
      <c r="D18" s="30"/>
      <c r="E18" s="29" t="e">
        <f t="shared" si="1"/>
        <v>#DIV/0!</v>
      </c>
      <c r="F18" s="28">
        <f t="shared" si="2"/>
        <v>44.749182019246454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60.7</v>
      </c>
      <c r="D21" s="30">
        <v>47</v>
      </c>
      <c r="E21" s="29">
        <f>D21/$D$48</f>
        <v>1.322416364199094E-2</v>
      </c>
      <c r="F21" s="28">
        <f>C21-(C21*$E$6)</f>
        <v>66.412600209492908</v>
      </c>
      <c r="G21" s="27" t="str">
        <f>IF(C21&gt;=F21,"-","+")</f>
        <v>+</v>
      </c>
      <c r="H21" s="26">
        <f>C21*D21</f>
        <v>2852.9</v>
      </c>
      <c r="I21" s="26">
        <f>F21*D21</f>
        <v>3121.3922098461667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40.700000000000003</v>
      </c>
      <c r="D22" s="30">
        <v>94.9</v>
      </c>
      <c r="E22" s="29">
        <f>D22/$D$48</f>
        <v>2.6701555949466816E-2</v>
      </c>
      <c r="F22" s="28">
        <f>C22-(C22*$E$6)</f>
        <v>44.530359613284375</v>
      </c>
      <c r="G22" s="27" t="str">
        <f>IF(C22&gt;=F22,"-","+")</f>
        <v>+</v>
      </c>
      <c r="H22" s="26">
        <f>C22*D22</f>
        <v>3862.4300000000003</v>
      </c>
      <c r="I22" s="26">
        <f>F22*D22</f>
        <v>4225.9311273006879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37.1</v>
      </c>
      <c r="D23" s="30">
        <v>66.7</v>
      </c>
      <c r="E23" s="29">
        <f>D23/$D$48</f>
        <v>1.876705776427225E-2</v>
      </c>
      <c r="F23" s="28">
        <f>C23-(C23*$E$6)</f>
        <v>40.591556305966833</v>
      </c>
      <c r="G23" s="27" t="str">
        <f>IF(C23&gt;=F23,"-","+")</f>
        <v>+</v>
      </c>
      <c r="H23" s="26">
        <f>C23*D23</f>
        <v>2474.5700000000002</v>
      </c>
      <c r="I23" s="26">
        <f>F23*D23</f>
        <v>2707.4568056079879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44.055129434324058</v>
      </c>
      <c r="D24" s="22">
        <f>SUM(D21:D23)</f>
        <v>208.60000000000002</v>
      </c>
      <c r="E24" s="21">
        <f>D24/$D$48</f>
        <v>5.8692777355730009E-2</v>
      </c>
      <c r="F24" s="20">
        <f>I24/D24</f>
        <v>48.20124708894938</v>
      </c>
      <c r="G24" s="19">
        <f>F24/C24-1</f>
        <v>9.4112029810426989E-2</v>
      </c>
      <c r="H24" s="18">
        <f>SUM(H21:H23)</f>
        <v>9189.9</v>
      </c>
      <c r="I24" s="18">
        <f>SUM(I21:I23)</f>
        <v>10054.780142754842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32.4</v>
      </c>
      <c r="D26" s="30">
        <v>745</v>
      </c>
      <c r="E26" s="29">
        <f t="shared" ref="E26:E32" si="7">D26/$D$48</f>
        <v>0.20961706198475002</v>
      </c>
      <c r="F26" s="28">
        <f t="shared" ref="F26:F31" si="8">C26-(C26*$E$6)</f>
        <v>35.449229765857822</v>
      </c>
      <c r="G26" s="27" t="str">
        <f t="shared" ref="G26:G31" si="9">IF(C26&gt;=F26,"-","+")</f>
        <v>+</v>
      </c>
      <c r="H26" s="26">
        <f t="shared" ref="H26:H31" si="10">C26*D26</f>
        <v>24138</v>
      </c>
      <c r="I26" s="26">
        <f t="shared" ref="I26:I31" si="11">F26*D26</f>
        <v>26409.676175564076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28.8</v>
      </c>
      <c r="D27" s="30">
        <v>504.5</v>
      </c>
      <c r="E27" s="29">
        <f t="shared" si="7"/>
        <v>0.14194873526349849</v>
      </c>
      <c r="F27" s="28">
        <f t="shared" si="8"/>
        <v>31.510426458540291</v>
      </c>
      <c r="G27" s="27" t="str">
        <f t="shared" si="9"/>
        <v>+</v>
      </c>
      <c r="H27" s="26">
        <f t="shared" si="10"/>
        <v>14529.6</v>
      </c>
      <c r="I27" s="26">
        <f t="shared" si="11"/>
        <v>15897.010148333577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28.8</v>
      </c>
      <c r="D28" s="30">
        <v>240</v>
      </c>
      <c r="E28" s="29">
        <f t="shared" si="7"/>
        <v>6.7527644129315445E-2</v>
      </c>
      <c r="F28" s="28">
        <f t="shared" si="8"/>
        <v>31.510426458540291</v>
      </c>
      <c r="G28" s="27" t="str">
        <f t="shared" si="9"/>
        <v>+</v>
      </c>
      <c r="H28" s="26">
        <f t="shared" si="10"/>
        <v>6912</v>
      </c>
      <c r="I28" s="26">
        <f t="shared" si="11"/>
        <v>7562.50235004967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27.9</v>
      </c>
      <c r="D29" s="30">
        <v>225.6</v>
      </c>
      <c r="E29" s="29">
        <f t="shared" si="7"/>
        <v>6.3475985481556516E-2</v>
      </c>
      <c r="F29" s="28">
        <f t="shared" si="8"/>
        <v>30.525725631710905</v>
      </c>
      <c r="G29" s="27" t="str">
        <f t="shared" si="9"/>
        <v>+</v>
      </c>
      <c r="H29" s="26">
        <f t="shared" si="10"/>
        <v>6294.24</v>
      </c>
      <c r="I29" s="26">
        <f t="shared" si="11"/>
        <v>6886.6037025139804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27.9</v>
      </c>
      <c r="D30" s="30">
        <v>213.6</v>
      </c>
      <c r="E30" s="29">
        <f t="shared" si="7"/>
        <v>6.0099603275090743E-2</v>
      </c>
      <c r="F30" s="28">
        <f t="shared" si="8"/>
        <v>30.525725631710905</v>
      </c>
      <c r="G30" s="27" t="str">
        <f t="shared" si="9"/>
        <v>+</v>
      </c>
      <c r="H30" s="26">
        <f t="shared" si="10"/>
        <v>5959.44</v>
      </c>
      <c r="I30" s="26">
        <f t="shared" si="11"/>
        <v>6520.2949949334488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28.3</v>
      </c>
      <c r="D31" s="30">
        <v>50</v>
      </c>
      <c r="E31" s="29">
        <f t="shared" si="7"/>
        <v>1.4068259193607383E-2</v>
      </c>
      <c r="F31" s="28">
        <f t="shared" si="8"/>
        <v>30.963370443635078</v>
      </c>
      <c r="G31" s="27" t="str">
        <f t="shared" si="9"/>
        <v>+</v>
      </c>
      <c r="H31" s="26">
        <f t="shared" si="10"/>
        <v>1415</v>
      </c>
      <c r="I31" s="26">
        <f t="shared" si="11"/>
        <v>1548.1685221817538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29.943033304695003</v>
      </c>
      <c r="D32" s="22">
        <f>SUM(D26:D31)</f>
        <v>1978.6999999999998</v>
      </c>
      <c r="E32" s="21">
        <f t="shared" si="7"/>
        <v>0.55673728932781852</v>
      </c>
      <c r="F32" s="20">
        <f>I32/D32</f>
        <v>32.761032947681059</v>
      </c>
      <c r="G32" s="19">
        <f>F32/C32-1</f>
        <v>9.4112029810426767E-2</v>
      </c>
      <c r="H32" s="18">
        <f>SUM(H26:H31)</f>
        <v>59248.28</v>
      </c>
      <c r="I32" s="18">
        <f>SUM(I26:I31)</f>
        <v>64824.255893576505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</v>
      </c>
      <c r="D34" s="30">
        <f>241.4+280.2</f>
        <v>521.6</v>
      </c>
      <c r="E34" s="29">
        <f t="shared" ref="E34:E40" si="13">D34/$D$48</f>
        <v>0.14676007990771223</v>
      </c>
      <c r="F34" s="28">
        <f t="shared" ref="F34:F39" si="14">C34-(C34*$E$6)</f>
        <v>18.599904506777253</v>
      </c>
      <c r="G34" s="27" t="str">
        <f t="shared" ref="G34:G39" si="15">IF(C34&gt;=F34,"-","+")</f>
        <v>+</v>
      </c>
      <c r="H34" s="26">
        <f t="shared" ref="H34:H39" si="16">C34*D34</f>
        <v>8867.2000000000007</v>
      </c>
      <c r="I34" s="26">
        <f t="shared" ref="I34:I39" si="17">F34*D34</f>
        <v>9701.7101907350152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13.1</v>
      </c>
      <c r="D35" s="30">
        <v>55.9</v>
      </c>
      <c r="E35" s="29">
        <f t="shared" si="13"/>
        <v>1.5728313778453053E-2</v>
      </c>
      <c r="F35" s="28">
        <f t="shared" si="14"/>
        <v>14.332867590516591</v>
      </c>
      <c r="G35" s="27" t="str">
        <f t="shared" si="15"/>
        <v>+</v>
      </c>
      <c r="H35" s="26">
        <f t="shared" si="16"/>
        <v>732.29</v>
      </c>
      <c r="I35" s="26">
        <f t="shared" si="17"/>
        <v>801.20729830987739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10.5</v>
      </c>
      <c r="D36" s="30"/>
      <c r="E36" s="29">
        <f t="shared" si="13"/>
        <v>0</v>
      </c>
      <c r="F36" s="28">
        <f t="shared" si="14"/>
        <v>11.488176313009481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27.9</v>
      </c>
      <c r="D37" s="30"/>
      <c r="E37" s="29">
        <f t="shared" si="13"/>
        <v>0</v>
      </c>
      <c r="F37" s="28">
        <f t="shared" si="14"/>
        <v>30.525725631710905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27.9</v>
      </c>
      <c r="D38" s="30"/>
      <c r="E38" s="29">
        <f t="shared" si="13"/>
        <v>0</v>
      </c>
      <c r="F38" s="28">
        <f t="shared" si="14"/>
        <v>30.525725631710905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28.8</v>
      </c>
      <c r="D39" s="30"/>
      <c r="E39" s="29">
        <f t="shared" si="13"/>
        <v>0</v>
      </c>
      <c r="F39" s="28">
        <f t="shared" si="14"/>
        <v>31.510426458540291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16.622493506493509</v>
      </c>
      <c r="D40" s="22">
        <f>SUM(D34:D39)</f>
        <v>577.5</v>
      </c>
      <c r="E40" s="113">
        <f t="shared" si="13"/>
        <v>0.16248839368616527</v>
      </c>
      <c r="F40" s="20">
        <f>I40/D40</f>
        <v>18.186870110900244</v>
      </c>
      <c r="G40" s="19">
        <f>F40/C40-1</f>
        <v>9.4112029810426323E-2</v>
      </c>
      <c r="H40" s="18">
        <f>SUM(H34:H39)</f>
        <v>9599.4900000000016</v>
      </c>
      <c r="I40" s="18">
        <f>SUM(I34:I39)</f>
        <v>10502.917489044892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300+45.1+412.6</f>
        <v>757.7</v>
      </c>
      <c r="E42" s="107">
        <f>D42/$D$48</f>
        <v>0.2131903998199263</v>
      </c>
      <c r="F42" s="28">
        <f>C42-(C42*$E$6)</f>
        <v>0.43764481192417071</v>
      </c>
      <c r="G42" s="27" t="str">
        <f>IF(C42&gt;=F42,"-","+")</f>
        <v>+</v>
      </c>
      <c r="H42" s="26">
        <f>C42*D42</f>
        <v>303.08000000000004</v>
      </c>
      <c r="I42" s="26">
        <f>F42*D42</f>
        <v>331.60347399494418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25.9</v>
      </c>
      <c r="E43" s="107">
        <f>D43/$D$48</f>
        <v>7.2873582622886238E-3</v>
      </c>
      <c r="F43" s="28">
        <f>C43-(C43*$E$6)</f>
        <v>0.43764481192417071</v>
      </c>
      <c r="G43" s="27" t="str">
        <f>IF(C43&gt;=F43,"-","+")</f>
        <v>+</v>
      </c>
      <c r="H43" s="26">
        <f>C43*D43</f>
        <v>10.36</v>
      </c>
      <c r="I43" s="26">
        <f>F43*D43</f>
        <v>11.335000628836021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1.6037815480712417E-3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0.39711136450019008</v>
      </c>
      <c r="D46" s="22">
        <f>SUM(D41:D45)</f>
        <v>789.30000000000007</v>
      </c>
      <c r="E46" s="113">
        <f>D46/$D$48</f>
        <v>0.22208153963028618</v>
      </c>
      <c r="F46" s="20">
        <f>I46/D46</f>
        <v>0.43448432107409118</v>
      </c>
      <c r="G46" s="19">
        <f>F46/C46-1</f>
        <v>9.4112029810426767E-2</v>
      </c>
      <c r="H46" s="18">
        <f>SUM(H41:H44)</f>
        <v>313.44000000000005</v>
      </c>
      <c r="I46" s="18">
        <f>SUM(I41:I44)</f>
        <v>342.93847462378022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91.017767610012768</v>
      </c>
      <c r="D48" s="13">
        <f>D24+D32+D40+D46</f>
        <v>3554.1</v>
      </c>
      <c r="E48" s="12">
        <f>SUM(E20:E46)/2</f>
        <v>0.99999999999999989</v>
      </c>
      <c r="F48" s="11">
        <f>I48/D48</f>
        <v>24.120000000000008</v>
      </c>
      <c r="G48" s="10"/>
      <c r="H48" s="9">
        <f>SUM(H20:H46)/2</f>
        <v>78351.109999999986</v>
      </c>
      <c r="I48" s="9">
        <f>SUM(I20:I46)/2</f>
        <v>85724.892000000022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3554.1</v>
      </c>
      <c r="E50" s="12">
        <f>D50/G2</f>
        <v>1</v>
      </c>
      <c r="F50" s="11">
        <f>I50/D50</f>
        <v>24.120000000000008</v>
      </c>
      <c r="G50" s="10"/>
      <c r="H50" s="9">
        <f>H48+H19</f>
        <v>78351.109999999986</v>
      </c>
      <c r="I50" s="9">
        <f>I48+I19</f>
        <v>85724.892000000022</v>
      </c>
      <c r="J50" s="106">
        <f>D50-G2</f>
        <v>0</v>
      </c>
      <c r="K50" s="8"/>
    </row>
    <row r="51" spans="1:11" ht="23.25" x14ac:dyDescent="0.35">
      <c r="A51" s="174" t="s">
        <v>743</v>
      </c>
      <c r="B51" s="169"/>
      <c r="C51" s="170"/>
      <c r="G51" s="7"/>
      <c r="H51" s="6"/>
      <c r="I51" s="6">
        <f>+I50/D50</f>
        <v>24.120000000000008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735</v>
      </c>
      <c r="D1" s="100" t="s">
        <v>1</v>
      </c>
      <c r="E1" s="168" t="s">
        <v>706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741</v>
      </c>
      <c r="D2" s="96" t="s">
        <v>3</v>
      </c>
      <c r="E2" s="95" t="s">
        <v>107</v>
      </c>
      <c r="F2" s="94" t="s">
        <v>5</v>
      </c>
      <c r="G2" s="93">
        <v>2172.1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707</v>
      </c>
      <c r="D3" s="90" t="s">
        <v>7</v>
      </c>
      <c r="E3" s="89">
        <v>28</v>
      </c>
      <c r="F3" s="88" t="s">
        <v>8</v>
      </c>
      <c r="G3" s="87">
        <v>26.4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12</v>
      </c>
      <c r="D4" s="83" t="s">
        <v>11</v>
      </c>
      <c r="E4" s="82">
        <f>G2/E3</f>
        <v>77.575000000000003</v>
      </c>
      <c r="F4" s="81" t="s">
        <v>12</v>
      </c>
      <c r="G4" s="80">
        <f>G2*G3</f>
        <v>57343.439999999995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-8.7348640251027065E-2</v>
      </c>
      <c r="F6" s="69" t="s">
        <v>16</v>
      </c>
      <c r="G6" s="68">
        <f>(I50-I19)/(D50-(SUM(D42:D44)+D19))</f>
        <v>33.51653515693495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 t="e">
        <f t="shared" ref="E10:E19" si="1">D10/$D$19</f>
        <v>#DIV/0!</v>
      </c>
      <c r="F10" s="28">
        <f t="shared" ref="F10:F18" si="2">C10-(C10*$E$6)</f>
        <v>28.706004102627112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/>
      <c r="E11" s="29" t="e">
        <f t="shared" si="1"/>
        <v>#DIV/0!</v>
      </c>
      <c r="F11" s="28">
        <f t="shared" si="2"/>
        <v>29.902087606903244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 t="e">
        <f t="shared" si="1"/>
        <v>#DIV/0!</v>
      </c>
      <c r="F12" s="28">
        <f t="shared" si="2"/>
        <v>27.29245087030078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 t="e">
        <f t="shared" si="1"/>
        <v>#DIV/0!</v>
      </c>
      <c r="F13" s="28">
        <f t="shared" si="2"/>
        <v>29.902087606903244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 t="e">
        <f t="shared" si="1"/>
        <v>#DIV/0!</v>
      </c>
      <c r="F14" s="28">
        <f t="shared" si="2"/>
        <v>33.38160325570653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 t="e">
        <f t="shared" si="1"/>
        <v>#DIV/0!</v>
      </c>
      <c r="F15" s="28">
        <f t="shared" si="2"/>
        <v>27.509920598350984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 t="e">
        <f t="shared" si="1"/>
        <v>#DIV/0!</v>
      </c>
      <c r="F16" s="28">
        <f t="shared" si="2"/>
        <v>37.730997816710641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 t="e">
        <f t="shared" si="1"/>
        <v>#DIV/0!</v>
      </c>
      <c r="F17" s="28">
        <f t="shared" si="2"/>
        <v>55.563515516827486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 t="e">
        <f t="shared" si="1"/>
        <v>#DIV/0!</v>
      </c>
      <c r="F18" s="28">
        <f t="shared" si="2"/>
        <v>48.604484219220915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25.6</v>
      </c>
      <c r="E21" s="29">
        <f>D21/$D$48</f>
        <v>1.1785829381704343E-2</v>
      </c>
      <c r="F21" s="28">
        <f>C21-(C21*$E$6)</f>
        <v>72.1999497126682</v>
      </c>
      <c r="G21" s="27" t="str">
        <f>IF(C21&gt;=F21,"-","+")</f>
        <v>+</v>
      </c>
      <c r="H21" s="26">
        <f>C21*D21</f>
        <v>1699.8400000000001</v>
      </c>
      <c r="I21" s="26">
        <f>F21*D21</f>
        <v>1848.3187126443061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57.7</v>
      </c>
      <c r="E22" s="29">
        <f>D22/$D$48</f>
        <v>2.6564154504857052E-2</v>
      </c>
      <c r="F22" s="28">
        <f>C22-(C22*$E$6)</f>
        <v>48.495749355195812</v>
      </c>
      <c r="G22" s="27" t="str">
        <f>IF(C22&gt;=F22,"-","+")</f>
        <v>+</v>
      </c>
      <c r="H22" s="26">
        <f>C22*D22</f>
        <v>2573.42</v>
      </c>
      <c r="I22" s="26">
        <f>F22*D22</f>
        <v>2798.2047377947983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40.700000000000003</v>
      </c>
      <c r="D23" s="30">
        <v>44.7</v>
      </c>
      <c r="E23" s="29">
        <f>D23/$D$48</f>
        <v>2.0579163021960317E-2</v>
      </c>
      <c r="F23" s="28">
        <f>C23-(C23*$E$6)</f>
        <v>44.255089658216804</v>
      </c>
      <c r="G23" s="27" t="str">
        <f>IF(C23&gt;=F23,"-","+")</f>
        <v>+</v>
      </c>
      <c r="H23" s="26">
        <f>C23*D23</f>
        <v>1819.2900000000002</v>
      </c>
      <c r="I23" s="26">
        <f>F23*D23</f>
        <v>1978.2025077222913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47.598046875000001</v>
      </c>
      <c r="D24" s="22">
        <f>SUM(D21:D23)</f>
        <v>128</v>
      </c>
      <c r="E24" s="21">
        <f>D24/$D$48</f>
        <v>5.8929146908521711E-2</v>
      </c>
      <c r="F24" s="20">
        <f>I24/D24</f>
        <v>51.755671548135908</v>
      </c>
      <c r="G24" s="19">
        <f>F24/C24-1</f>
        <v>8.7348640251027287E-2</v>
      </c>
      <c r="H24" s="18">
        <f>SUM(H21:H23)</f>
        <v>6092.55</v>
      </c>
      <c r="I24" s="18">
        <f>SUM(I21:I23)</f>
        <v>6624.7259581613962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f>140+52+217.6</f>
        <v>409.6</v>
      </c>
      <c r="E26" s="29">
        <f t="shared" ref="E26:E32" si="7">D26/$D$48</f>
        <v>0.18857327010726949</v>
      </c>
      <c r="F26" s="28">
        <f t="shared" ref="F26:F31" si="8">C26-(C26*$E$6)</f>
        <v>38.492141864886356</v>
      </c>
      <c r="G26" s="27" t="str">
        <f t="shared" ref="G26:G31" si="9">IF(C26&gt;=F26,"-","+")</f>
        <v>+</v>
      </c>
      <c r="H26" s="26">
        <f t="shared" ref="H26:H31" si="10">C26*D26</f>
        <v>14499.84</v>
      </c>
      <c r="I26" s="26">
        <f t="shared" ref="I26:I31" si="11">F26*D26</f>
        <v>15766.381307857453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325.89999999999998</v>
      </c>
      <c r="E27" s="29">
        <f t="shared" si="7"/>
        <v>0.15003913263661894</v>
      </c>
      <c r="F27" s="28">
        <f t="shared" si="8"/>
        <v>34.251482167907355</v>
      </c>
      <c r="G27" s="27" t="str">
        <f t="shared" si="9"/>
        <v>+</v>
      </c>
      <c r="H27" s="26">
        <f t="shared" si="10"/>
        <v>10265.849999999999</v>
      </c>
      <c r="I27" s="26">
        <f t="shared" si="11"/>
        <v>11162.558038521007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160.80000000000001</v>
      </c>
      <c r="E28" s="29">
        <f t="shared" si="7"/>
        <v>7.4029740803830402E-2</v>
      </c>
      <c r="F28" s="28">
        <f t="shared" si="8"/>
        <v>34.251482167907355</v>
      </c>
      <c r="G28" s="27" t="str">
        <f t="shared" si="9"/>
        <v>+</v>
      </c>
      <c r="H28" s="26">
        <f t="shared" si="10"/>
        <v>5065.2000000000007</v>
      </c>
      <c r="I28" s="26">
        <f t="shared" si="11"/>
        <v>5507.638332599503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v>164</v>
      </c>
      <c r="E29" s="29">
        <f t="shared" si="7"/>
        <v>7.5502969476543447E-2</v>
      </c>
      <c r="F29" s="28">
        <f t="shared" si="8"/>
        <v>33.164133527656325</v>
      </c>
      <c r="G29" s="27" t="str">
        <f t="shared" si="9"/>
        <v>+</v>
      </c>
      <c r="H29" s="26">
        <f t="shared" si="10"/>
        <v>5002</v>
      </c>
      <c r="I29" s="26">
        <f t="shared" si="11"/>
        <v>5438.9178985356375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112.7</v>
      </c>
      <c r="E30" s="29">
        <f t="shared" si="7"/>
        <v>5.1885272317112478E-2</v>
      </c>
      <c r="F30" s="28">
        <f t="shared" si="8"/>
        <v>33.164133527656325</v>
      </c>
      <c r="G30" s="27" t="str">
        <f t="shared" si="9"/>
        <v>+</v>
      </c>
      <c r="H30" s="26">
        <f t="shared" si="10"/>
        <v>3437.35</v>
      </c>
      <c r="I30" s="26">
        <f t="shared" si="11"/>
        <v>3737.5978485668679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57.5</v>
      </c>
      <c r="E31" s="29">
        <f t="shared" si="7"/>
        <v>2.6472077712812486E-2</v>
      </c>
      <c r="F31" s="28">
        <f t="shared" si="8"/>
        <v>33.707807847781837</v>
      </c>
      <c r="G31" s="27" t="str">
        <f t="shared" si="9"/>
        <v>+</v>
      </c>
      <c r="H31" s="26">
        <f t="shared" si="10"/>
        <v>1782.5</v>
      </c>
      <c r="I31" s="26">
        <f t="shared" si="11"/>
        <v>1938.1989512474556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32.549971556277931</v>
      </c>
      <c r="D32" s="22">
        <f>SUM(D26:D31)</f>
        <v>1230.5</v>
      </c>
      <c r="E32" s="21">
        <f t="shared" si="7"/>
        <v>0.56650246305418717</v>
      </c>
      <c r="F32" s="20">
        <f>I32/D32</f>
        <v>35.393167311928423</v>
      </c>
      <c r="G32" s="19">
        <f>F32/C32-1</f>
        <v>8.7348640251027287E-2</v>
      </c>
      <c r="H32" s="18">
        <f>SUM(H26:H31)</f>
        <v>40052.74</v>
      </c>
      <c r="I32" s="18">
        <f>SUM(I26:I31)</f>
        <v>43551.292377327925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161+163.2</f>
        <v>324.2</v>
      </c>
      <c r="E34" s="29">
        <f t="shared" ref="E34:E40" si="13">D34/$D$48</f>
        <v>0.14925647990424012</v>
      </c>
      <c r="F34" s="28">
        <f t="shared" ref="F34:F39" si="14">C34-(C34*$E$6)</f>
        <v>20.333419572694204</v>
      </c>
      <c r="G34" s="27" t="str">
        <f t="shared" ref="G34:G39" si="15">IF(C34&gt;=F34,"-","+")</f>
        <v>+</v>
      </c>
      <c r="H34" s="26">
        <f t="shared" ref="H34:H39" si="16">C34*D34</f>
        <v>6062.54</v>
      </c>
      <c r="I34" s="26">
        <f t="shared" ref="I34:I39" si="17">F34*D34</f>
        <v>6592.0946254674609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>
        <v>24.1</v>
      </c>
      <c r="E35" s="29">
        <f t="shared" si="13"/>
        <v>1.1095253441370103E-2</v>
      </c>
      <c r="F35" s="28">
        <f t="shared" si="14"/>
        <v>15.549085555589688</v>
      </c>
      <c r="G35" s="27" t="str">
        <f t="shared" si="15"/>
        <v>+</v>
      </c>
      <c r="H35" s="26">
        <f t="shared" si="16"/>
        <v>344.63000000000005</v>
      </c>
      <c r="I35" s="26">
        <f t="shared" si="17"/>
        <v>374.73296188971148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12.504509362886811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33.164133527656325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33.164133527656325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34.251482167907355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18.395549813379269</v>
      </c>
      <c r="D40" s="22">
        <f>SUM(D34:D39)</f>
        <v>348.3</v>
      </c>
      <c r="E40" s="113">
        <f t="shared" si="13"/>
        <v>0.16035173334561026</v>
      </c>
      <c r="F40" s="20">
        <f>I40/D40</f>
        <v>20.00237607624798</v>
      </c>
      <c r="G40" s="19">
        <f>F40/C40-1</f>
        <v>8.7348640251026843E-2</v>
      </c>
      <c r="H40" s="18">
        <f>SUM(H34:H39)</f>
        <v>6407.17</v>
      </c>
      <c r="I40" s="18">
        <f>SUM(I34:I39)</f>
        <v>6966.827587357172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200+23.5+215.6</f>
        <v>439.1</v>
      </c>
      <c r="E42" s="107">
        <f>D42/$D$48</f>
        <v>0.20215459693384286</v>
      </c>
      <c r="F42" s="28">
        <f>C42-(C42*$E$6)</f>
        <v>0.43493945610041085</v>
      </c>
      <c r="G42" s="27" t="str">
        <f>IF(C42&gt;=F42,"-","+")</f>
        <v>+</v>
      </c>
      <c r="H42" s="26">
        <f>C42*D42</f>
        <v>175.64000000000001</v>
      </c>
      <c r="I42" s="26">
        <f>F42*D42</f>
        <v>190.98191517369042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22.1</v>
      </c>
      <c r="E43" s="107">
        <f>D43/$D$48</f>
        <v>1.0174485520924452E-2</v>
      </c>
      <c r="F43" s="28">
        <f>C43-(C43*$E$6)</f>
        <v>0.43493945610041085</v>
      </c>
      <c r="G43" s="27" t="str">
        <f>IF(C43&gt;=F43,"-","+")</f>
        <v>+</v>
      </c>
      <c r="H43" s="26">
        <f>C43*D43</f>
        <v>8.8400000000000016</v>
      </c>
      <c r="I43" s="26">
        <f>F43*D43</f>
        <v>9.6121619798190796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1.8875742369135859E-3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0.39647539222007305</v>
      </c>
      <c r="D46" s="22">
        <f>SUM(D41:D45)</f>
        <v>465.30000000000007</v>
      </c>
      <c r="E46" s="113">
        <f>D46/$D$48</f>
        <v>0.21421665669168091</v>
      </c>
      <c r="F46" s="20">
        <f>I46/D46</f>
        <v>0.43110697862348912</v>
      </c>
      <c r="G46" s="19">
        <f>F46/C46-1</f>
        <v>8.7348640251027287E-2</v>
      </c>
      <c r="H46" s="18">
        <f>SUM(H41:H44)</f>
        <v>184.48000000000002</v>
      </c>
      <c r="I46" s="18">
        <f>SUM(I41:I44)</f>
        <v>200.59407715350952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98.940043636877263</v>
      </c>
      <c r="D48" s="13">
        <f>D24+D32+D40+D46</f>
        <v>2172.1</v>
      </c>
      <c r="E48" s="12">
        <f>SUM(E20:E46)/2</f>
        <v>1.0000000000000002</v>
      </c>
      <c r="F48" s="11">
        <f>I48/D48</f>
        <v>26.400000000000002</v>
      </c>
      <c r="G48" s="10"/>
      <c r="H48" s="9">
        <f>SUM(H20:H46)/2</f>
        <v>52736.939999999995</v>
      </c>
      <c r="I48" s="9">
        <f>SUM(I20:I46)/2</f>
        <v>57343.44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2172.1</v>
      </c>
      <c r="E50" s="12">
        <f>D50/G2</f>
        <v>1</v>
      </c>
      <c r="F50" s="11">
        <f>I50/D50</f>
        <v>26.400000000000002</v>
      </c>
      <c r="G50" s="10"/>
      <c r="H50" s="9">
        <f>H48+H19</f>
        <v>52736.939999999995</v>
      </c>
      <c r="I50" s="9">
        <f>I48+I19</f>
        <v>57343.44</v>
      </c>
      <c r="J50" s="106">
        <f>D50-G2</f>
        <v>0</v>
      </c>
      <c r="K50" s="8"/>
    </row>
    <row r="51" spans="1:11" ht="23.25" x14ac:dyDescent="0.35">
      <c r="A51" s="174" t="s">
        <v>744</v>
      </c>
      <c r="B51" s="169"/>
      <c r="C51" s="170"/>
      <c r="G51" s="7"/>
      <c r="H51" s="6"/>
      <c r="I51" s="6">
        <f>+I50/D50</f>
        <v>26.400000000000002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741</v>
      </c>
      <c r="D2" s="96" t="s">
        <v>3</v>
      </c>
      <c r="E2" s="95" t="s">
        <v>112</v>
      </c>
      <c r="F2" s="94" t="s">
        <v>5</v>
      </c>
      <c r="G2" s="93">
        <v>7944.5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136</v>
      </c>
      <c r="F3" s="88" t="s">
        <v>8</v>
      </c>
      <c r="G3" s="87">
        <v>23.72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58.415441176470587</v>
      </c>
      <c r="F4" s="81" t="s">
        <v>12</v>
      </c>
      <c r="G4" s="80">
        <f>G2*G3</f>
        <v>188443.53999999998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-0.11105009477708938</v>
      </c>
      <c r="F6" s="69" t="s">
        <v>16</v>
      </c>
      <c r="G6" s="68">
        <f>(I50-I19)/(D50-(SUM(D42:D44)+D19))</f>
        <v>30.727596638829457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23.7</v>
      </c>
      <c r="D10" s="30"/>
      <c r="E10" s="29">
        <f t="shared" ref="E10:E19" si="1">D10/$D$19</f>
        <v>0</v>
      </c>
      <c r="F10" s="28">
        <f t="shared" ref="F10:F18" si="2">C10-(C10*$E$6)</f>
        <v>26.331887246217018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>
        <f t="shared" si="1"/>
        <v>0</v>
      </c>
      <c r="F11" s="28">
        <f t="shared" si="2"/>
        <v>27.442937340994106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22.6</v>
      </c>
      <c r="D12" s="30"/>
      <c r="E12" s="29">
        <f t="shared" si="1"/>
        <v>0</v>
      </c>
      <c r="F12" s="28">
        <f t="shared" si="2"/>
        <v>25.109732141962223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/>
      <c r="E13" s="29">
        <f t="shared" si="1"/>
        <v>0</v>
      </c>
      <c r="F13" s="28">
        <f t="shared" si="2"/>
        <v>27.442937340994106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27.6</v>
      </c>
      <c r="D14" s="30"/>
      <c r="E14" s="29">
        <f t="shared" si="1"/>
        <v>0</v>
      </c>
      <c r="F14" s="28">
        <f t="shared" si="2"/>
        <v>30.66498261584767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22.8</v>
      </c>
      <c r="D15" s="30"/>
      <c r="E15" s="29">
        <f t="shared" si="1"/>
        <v>0</v>
      </c>
      <c r="F15" s="28">
        <f t="shared" si="2"/>
        <v>25.331942160917638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31.2</v>
      </c>
      <c r="D16" s="30">
        <v>28.5</v>
      </c>
      <c r="E16" s="29">
        <f t="shared" si="1"/>
        <v>0.53773584905660377</v>
      </c>
      <c r="F16" s="28">
        <f t="shared" si="2"/>
        <v>34.664762957045191</v>
      </c>
      <c r="G16" s="27" t="str">
        <f t="shared" si="3"/>
        <v>+</v>
      </c>
      <c r="H16" s="34">
        <f t="shared" si="4"/>
        <v>889.19999999999993</v>
      </c>
      <c r="I16" s="34">
        <f t="shared" si="5"/>
        <v>987.945744275788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45.9</v>
      </c>
      <c r="D17" s="30">
        <v>24.5</v>
      </c>
      <c r="E17" s="29">
        <f t="shared" si="1"/>
        <v>0.46226415094339623</v>
      </c>
      <c r="F17" s="28">
        <f t="shared" si="2"/>
        <v>50.997199350268403</v>
      </c>
      <c r="G17" s="27" t="str">
        <f t="shared" si="3"/>
        <v>+</v>
      </c>
      <c r="H17" s="34">
        <f t="shared" si="4"/>
        <v>1124.55</v>
      </c>
      <c r="I17" s="34">
        <f t="shared" si="5"/>
        <v>1249.431384081576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40.200000000000003</v>
      </c>
      <c r="D18" s="30"/>
      <c r="E18" s="29">
        <f t="shared" si="1"/>
        <v>0</v>
      </c>
      <c r="F18" s="28">
        <f t="shared" si="2"/>
        <v>44.664213810038994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37.995283018867923</v>
      </c>
      <c r="D19" s="49">
        <f>SUM(D10:D18)</f>
        <v>53</v>
      </c>
      <c r="E19" s="48">
        <f t="shared" si="1"/>
        <v>1</v>
      </c>
      <c r="F19" s="47">
        <f>I19/D19</f>
        <v>42.214662799195551</v>
      </c>
      <c r="G19" s="46">
        <f>F19/C19-1</f>
        <v>0.1110500947770896</v>
      </c>
      <c r="H19" s="9">
        <f>SUM(H10:H18)</f>
        <v>2013.75</v>
      </c>
      <c r="I19" s="9">
        <f>SUM(I10:I18)</f>
        <v>2237.3771283573642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59.7</v>
      </c>
      <c r="D21" s="30">
        <v>95.8</v>
      </c>
      <c r="E21" s="29">
        <f>D21/$D$48</f>
        <v>1.2139643920674141E-2</v>
      </c>
      <c r="F21" s="28">
        <f>C21-(C21*$E$6)</f>
        <v>66.329690658192234</v>
      </c>
      <c r="G21" s="27" t="str">
        <f>IF(C21&gt;=F21,"-","+")</f>
        <v>+</v>
      </c>
      <c r="H21" s="26">
        <f>C21*D21</f>
        <v>5719.26</v>
      </c>
      <c r="I21" s="26">
        <f>F21*D21</f>
        <v>6354.384365054816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40.1</v>
      </c>
      <c r="D22" s="30">
        <v>174.1</v>
      </c>
      <c r="E22" s="29">
        <f>D22/$D$48</f>
        <v>2.2061711968573778E-2</v>
      </c>
      <c r="F22" s="28">
        <f>C22-(C22*$E$6)</f>
        <v>44.553108800561283</v>
      </c>
      <c r="G22" s="27" t="str">
        <f>IF(C22&gt;=F22,"-","+")</f>
        <v>+</v>
      </c>
      <c r="H22" s="26">
        <f>C22*D22</f>
        <v>6981.41</v>
      </c>
      <c r="I22" s="26">
        <f>F22*D22</f>
        <v>7756.6962421777189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36.5</v>
      </c>
      <c r="D23" s="30">
        <v>137.69999999999999</v>
      </c>
      <c r="E23" s="29">
        <f>D23/$D$48</f>
        <v>1.744915415320281E-2</v>
      </c>
      <c r="F23" s="28">
        <f>C23-(C23*$E$6)</f>
        <v>40.553328459363762</v>
      </c>
      <c r="G23" s="27" t="str">
        <f>IF(C23&gt;=F23,"-","+")</f>
        <v>+</v>
      </c>
      <c r="H23" s="26">
        <f>C23*D23</f>
        <v>5026.0499999999993</v>
      </c>
      <c r="I23" s="26">
        <f>F23*D23</f>
        <v>5584.1933288543896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43.490480863591763</v>
      </c>
      <c r="D24" s="22">
        <f>SUM(D21:D23)</f>
        <v>407.59999999999997</v>
      </c>
      <c r="E24" s="21">
        <f>D24/$D$48</f>
        <v>5.1650510042450727E-2</v>
      </c>
      <c r="F24" s="20">
        <f>I24/D24</f>
        <v>48.32010288539481</v>
      </c>
      <c r="G24" s="19">
        <f>F24/C24-1</f>
        <v>0.11105009477708916</v>
      </c>
      <c r="H24" s="18">
        <f>SUM(H21:H23)</f>
        <v>17726.72</v>
      </c>
      <c r="I24" s="18">
        <f>SUM(I21:I23)</f>
        <v>19695.273936086924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31.8</v>
      </c>
      <c r="D26" s="30">
        <v>1492</v>
      </c>
      <c r="E26" s="29">
        <f t="shared" ref="E26:E32" si="7">D26/$D$48</f>
        <v>0.18906418298168914</v>
      </c>
      <c r="F26" s="28">
        <f t="shared" ref="F26:F31" si="8">C26-(C26*$E$6)</f>
        <v>35.331393013911445</v>
      </c>
      <c r="G26" s="27" t="str">
        <f t="shared" ref="G26:G31" si="9">IF(C26&gt;=F26,"-","+")</f>
        <v>+</v>
      </c>
      <c r="H26" s="26">
        <f t="shared" ref="H26:H31" si="10">C26*D26</f>
        <v>47445.599999999999</v>
      </c>
      <c r="I26" s="26">
        <f t="shared" ref="I26:I31" si="11">F26*D26</f>
        <v>52714.438376755876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28.3</v>
      </c>
      <c r="D27" s="30">
        <v>1112.9000000000001</v>
      </c>
      <c r="E27" s="29">
        <f t="shared" si="7"/>
        <v>0.14102515364632831</v>
      </c>
      <c r="F27" s="28">
        <f t="shared" si="8"/>
        <v>31.442717682191631</v>
      </c>
      <c r="G27" s="27" t="str">
        <f t="shared" si="9"/>
        <v>+</v>
      </c>
      <c r="H27" s="26">
        <f t="shared" si="10"/>
        <v>31495.070000000003</v>
      </c>
      <c r="I27" s="26">
        <f t="shared" si="11"/>
        <v>34992.600508511066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28.3</v>
      </c>
      <c r="D28" s="30">
        <v>619.4</v>
      </c>
      <c r="E28" s="29">
        <f t="shared" si="7"/>
        <v>7.8489514034087299E-2</v>
      </c>
      <c r="F28" s="28">
        <f t="shared" si="8"/>
        <v>31.442717682191631</v>
      </c>
      <c r="G28" s="27" t="str">
        <f t="shared" si="9"/>
        <v>+</v>
      </c>
      <c r="H28" s="26">
        <f t="shared" si="10"/>
        <v>17529.02</v>
      </c>
      <c r="I28" s="26">
        <f t="shared" si="11"/>
        <v>19475.619332349495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720.1</v>
      </c>
      <c r="E29" s="29">
        <f t="shared" si="7"/>
        <v>9.1250079199138301E-2</v>
      </c>
      <c r="F29" s="28">
        <f t="shared" si="8"/>
        <v>30.442772596892247</v>
      </c>
      <c r="G29" s="27" t="str">
        <f t="shared" si="9"/>
        <v>+</v>
      </c>
      <c r="H29" s="26">
        <f t="shared" si="10"/>
        <v>19730.739999999998</v>
      </c>
      <c r="I29" s="26">
        <f t="shared" si="11"/>
        <v>21921.840547022108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329.4</v>
      </c>
      <c r="E30" s="29">
        <f t="shared" si="7"/>
        <v>4.1741113856681229E-2</v>
      </c>
      <c r="F30" s="28">
        <f t="shared" si="8"/>
        <v>30.442772596892247</v>
      </c>
      <c r="G30" s="27" t="str">
        <f t="shared" si="9"/>
        <v>+</v>
      </c>
      <c r="H30" s="26">
        <f t="shared" si="10"/>
        <v>9025.56</v>
      </c>
      <c r="I30" s="26">
        <f t="shared" si="11"/>
        <v>10027.849293416306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27.9</v>
      </c>
      <c r="D31" s="30">
        <v>124.1</v>
      </c>
      <c r="E31" s="29">
        <f t="shared" si="7"/>
        <v>1.5725780903503767E-2</v>
      </c>
      <c r="F31" s="28">
        <f t="shared" si="8"/>
        <v>30.998297644280793</v>
      </c>
      <c r="G31" s="27" t="str">
        <f t="shared" si="9"/>
        <v>+</v>
      </c>
      <c r="H31" s="26">
        <f t="shared" si="10"/>
        <v>3462.39</v>
      </c>
      <c r="I31" s="26">
        <f t="shared" si="11"/>
        <v>3846.8887376552461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29.261324723163323</v>
      </c>
      <c r="D32" s="22">
        <f>SUM(D26:D31)</f>
        <v>4397.9000000000005</v>
      </c>
      <c r="E32" s="21">
        <f t="shared" si="7"/>
        <v>0.55729582462142813</v>
      </c>
      <c r="F32" s="20">
        <f>I32/D32</f>
        <v>32.510797606973796</v>
      </c>
      <c r="G32" s="19">
        <f>F32/C32-1</f>
        <v>0.11105009477708938</v>
      </c>
      <c r="H32" s="18">
        <f>SUM(H26:H31)</f>
        <v>128688.37999999999</v>
      </c>
      <c r="I32" s="18">
        <f>SUM(I26:I31)</f>
        <v>142979.23679571008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</v>
      </c>
      <c r="D34" s="30">
        <f>526.6+595.5</f>
        <v>1122.0999999999999</v>
      </c>
      <c r="E34" s="29">
        <f t="shared" ref="E34:E40" si="13">D34/$D$48</f>
        <v>0.14219096496230119</v>
      </c>
      <c r="F34" s="28">
        <f t="shared" ref="F34:F39" si="14">C34-(C34*$E$6)</f>
        <v>18.665641592255103</v>
      </c>
      <c r="G34" s="27" t="str">
        <f t="shared" ref="G34:G39" si="15">IF(C34&gt;=F34,"-","+")</f>
        <v>+</v>
      </c>
      <c r="H34" s="26">
        <f t="shared" ref="H34:H39" si="16">C34*D34</f>
        <v>18851.28</v>
      </c>
      <c r="I34" s="26">
        <f t="shared" ref="I34:I39" si="17">F34*D34</f>
        <v>20944.71643066945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123.7</v>
      </c>
      <c r="E35" s="29">
        <f t="shared" si="13"/>
        <v>1.5675093454983208E-2</v>
      </c>
      <c r="F35" s="28">
        <f t="shared" si="14"/>
        <v>14.332546222624453</v>
      </c>
      <c r="G35" s="27" t="str">
        <f t="shared" si="15"/>
        <v>+</v>
      </c>
      <c r="H35" s="26">
        <f t="shared" si="16"/>
        <v>1595.73</v>
      </c>
      <c r="I35" s="26">
        <f t="shared" si="17"/>
        <v>1772.9359677386449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11.554920985681729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30.442772596892247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30.442772596892247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28.3</v>
      </c>
      <c r="D39" s="30"/>
      <c r="E39" s="29">
        <f t="shared" si="13"/>
        <v>0</v>
      </c>
      <c r="F39" s="28">
        <f t="shared" si="14"/>
        <v>31.442717682191631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16.412754856317225</v>
      </c>
      <c r="D40" s="22">
        <f>SUM(D34:D39)</f>
        <v>1245.8</v>
      </c>
      <c r="E40" s="113">
        <f t="shared" si="13"/>
        <v>0.15786605841728441</v>
      </c>
      <c r="F40" s="20">
        <f>I40/D40</f>
        <v>18.235392838664389</v>
      </c>
      <c r="G40" s="19">
        <f>F40/C40-1</f>
        <v>0.1110500947770896</v>
      </c>
      <c r="H40" s="18">
        <f>SUM(H34:H39)</f>
        <v>20447.009999999998</v>
      </c>
      <c r="I40" s="18">
        <f>SUM(I34:I39)</f>
        <v>22717.652398408096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800+92.4+868.4</f>
        <v>1760.8</v>
      </c>
      <c r="E42" s="107">
        <f>D42/$D$48</f>
        <v>0.22312614838750552</v>
      </c>
      <c r="F42" s="28">
        <f>C42-(C42*$E$6)</f>
        <v>0.44442003791083579</v>
      </c>
      <c r="G42" s="27" t="str">
        <f>IF(C42&gt;=F42,"-","+")</f>
        <v>+</v>
      </c>
      <c r="H42" s="26">
        <f>C42*D42</f>
        <v>704.32</v>
      </c>
      <c r="I42" s="26">
        <f>F42*D42</f>
        <v>782.53480275339962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70.8</v>
      </c>
      <c r="E43" s="107">
        <f>D43/$D$48</f>
        <v>8.9716783881391357E-3</v>
      </c>
      <c r="F43" s="28">
        <f>C43-(C43*$E$6)</f>
        <v>0.44442003791083579</v>
      </c>
      <c r="G43" s="27" t="str">
        <f>IF(C43&gt;=F43,"-","+")</f>
        <v>+</v>
      </c>
      <c r="H43" s="26">
        <f>C43*D43</f>
        <v>28.32</v>
      </c>
      <c r="I43" s="26">
        <f>F43*D43</f>
        <v>31.464938684087173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8.6</v>
      </c>
      <c r="E45" s="107">
        <f>D45/$D$48</f>
        <v>1.0897801431920418E-3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0.39813063797413334</v>
      </c>
      <c r="D46" s="22">
        <f>SUM(D41:D45)</f>
        <v>1840.1999999999998</v>
      </c>
      <c r="E46" s="113">
        <f>D46/$D$48</f>
        <v>0.23318760691883667</v>
      </c>
      <c r="F46" s="20">
        <f>I46/D46</f>
        <v>0.44234308305482389</v>
      </c>
      <c r="G46" s="19">
        <f>F46/C46-1</f>
        <v>0.11105009477708938</v>
      </c>
      <c r="H46" s="18">
        <f>SUM(H41:H44)</f>
        <v>732.6400000000001</v>
      </c>
      <c r="I46" s="18">
        <f>SUM(I41:I44)</f>
        <v>813.99974143748682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89.562691081046438</v>
      </c>
      <c r="D48" s="13">
        <f>D24+D32+D40+D46</f>
        <v>7891.5000000000009</v>
      </c>
      <c r="E48" s="12">
        <f>SUM(E20:E46)/2</f>
        <v>0.99999999999999978</v>
      </c>
      <c r="F48" s="11">
        <f>I48/D48</f>
        <v>23.595788236918533</v>
      </c>
      <c r="G48" s="10"/>
      <c r="H48" s="9">
        <f>SUM(H20:H46)/2</f>
        <v>167594.75</v>
      </c>
      <c r="I48" s="9">
        <f>SUM(I20:I46)/2</f>
        <v>186206.16287164262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7944.5</v>
      </c>
      <c r="E50" s="12">
        <f>D50/G2</f>
        <v>1</v>
      </c>
      <c r="F50" s="11">
        <f>I50/D50</f>
        <v>23.72</v>
      </c>
      <c r="G50" s="10"/>
      <c r="H50" s="9">
        <f>H48+H19</f>
        <v>169608.5</v>
      </c>
      <c r="I50" s="9">
        <f>I48+I19</f>
        <v>188443.53999999998</v>
      </c>
      <c r="J50" s="106">
        <f>D50-G2</f>
        <v>0</v>
      </c>
      <c r="K50" s="8"/>
    </row>
    <row r="51" spans="1:11" ht="23.25" x14ac:dyDescent="0.35">
      <c r="A51" s="174" t="s">
        <v>745</v>
      </c>
      <c r="B51" s="169"/>
      <c r="C51" s="170"/>
      <c r="G51" s="7"/>
      <c r="H51" s="6"/>
      <c r="I51" s="6">
        <f>+I50/D50</f>
        <v>23.72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746</v>
      </c>
      <c r="D1" s="100" t="s">
        <v>1</v>
      </c>
      <c r="E1" s="168" t="s">
        <v>97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746</v>
      </c>
      <c r="D2" s="96" t="s">
        <v>3</v>
      </c>
      <c r="E2" s="95" t="s">
        <v>362</v>
      </c>
      <c r="F2" s="94" t="s">
        <v>5</v>
      </c>
      <c r="G2" s="93">
        <v>10670.8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164</v>
      </c>
      <c r="F3" s="88" t="s">
        <v>8</v>
      </c>
      <c r="G3" s="87">
        <v>27.85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65.065853658536582</v>
      </c>
      <c r="F4" s="81" t="s">
        <v>12</v>
      </c>
      <c r="G4" s="80">
        <f>G2*G3</f>
        <v>297181.77999999997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-8.1089562572953522E-3</v>
      </c>
      <c r="F6" s="69" t="s">
        <v>16</v>
      </c>
      <c r="G6" s="68">
        <f>(I50-I19)/(D50-(SUM(D42:D44)+D19))</f>
        <v>33.557111562782282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27.9</v>
      </c>
      <c r="D10" s="30"/>
      <c r="E10" s="29" t="e">
        <f t="shared" ref="E10:E19" si="1">D10/$D$19</f>
        <v>#DIV/0!</v>
      </c>
      <c r="F10" s="28">
        <f t="shared" ref="F10:F18" si="2">C10-(C10*$E$6)</f>
        <v>28.126239879578538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</v>
      </c>
      <c r="D11" s="30"/>
      <c r="E11" s="29" t="e">
        <f t="shared" si="1"/>
        <v>#DIV/0!</v>
      </c>
      <c r="F11" s="28">
        <f t="shared" si="2"/>
        <v>29.235159731461565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26.5</v>
      </c>
      <c r="D12" s="30"/>
      <c r="E12" s="29" t="e">
        <f t="shared" si="1"/>
        <v>#DIV/0!</v>
      </c>
      <c r="F12" s="28">
        <f t="shared" si="2"/>
        <v>26.714887340818326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</v>
      </c>
      <c r="D13" s="30"/>
      <c r="E13" s="29" t="e">
        <f t="shared" si="1"/>
        <v>#DIV/0!</v>
      </c>
      <c r="F13" s="28">
        <f t="shared" si="2"/>
        <v>29.235159731461565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32.4</v>
      </c>
      <c r="D14" s="30"/>
      <c r="E14" s="29" t="e">
        <f t="shared" si="1"/>
        <v>#DIV/0!</v>
      </c>
      <c r="F14" s="28">
        <f t="shared" si="2"/>
        <v>32.662730182736368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26.7</v>
      </c>
      <c r="D15" s="30"/>
      <c r="E15" s="29" t="e">
        <f t="shared" si="1"/>
        <v>#DIV/0!</v>
      </c>
      <c r="F15" s="28">
        <f t="shared" si="2"/>
        <v>26.916509132069784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36.6</v>
      </c>
      <c r="D16" s="30"/>
      <c r="E16" s="29" t="e">
        <f t="shared" si="1"/>
        <v>#DIV/0!</v>
      </c>
      <c r="F16" s="28">
        <f t="shared" si="2"/>
        <v>36.896787799017012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53.9</v>
      </c>
      <c r="D17" s="30"/>
      <c r="E17" s="29" t="e">
        <f t="shared" si="1"/>
        <v>#DIV/0!</v>
      </c>
      <c r="F17" s="28">
        <f t="shared" si="2"/>
        <v>54.337072742268219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47.2</v>
      </c>
      <c r="D18" s="30"/>
      <c r="E18" s="29" t="e">
        <f t="shared" si="1"/>
        <v>#DIV/0!</v>
      </c>
      <c r="F18" s="28">
        <f t="shared" si="2"/>
        <v>47.582742735344347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</v>
      </c>
      <c r="D21" s="30">
        <v>119.5</v>
      </c>
      <c r="E21" s="29">
        <f>D21/$D$48</f>
        <v>1.1198785470630131E-2</v>
      </c>
      <c r="F21" s="28">
        <f>C21-(C21*$E$6)</f>
        <v>70.567626938010676</v>
      </c>
      <c r="G21" s="27" t="str">
        <f>IF(C21&gt;=F21,"-","+")</f>
        <v>+</v>
      </c>
      <c r="H21" s="26">
        <f>C21*D21</f>
        <v>8365</v>
      </c>
      <c r="I21" s="26">
        <f>F21*D21</f>
        <v>8432.8314190922756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</v>
      </c>
      <c r="D22" s="30">
        <v>380</v>
      </c>
      <c r="E22" s="29">
        <f>D22/$D$48</f>
        <v>3.5611200659744352E-2</v>
      </c>
      <c r="F22" s="28">
        <f>C22-(C22*$E$6)</f>
        <v>47.381120944092885</v>
      </c>
      <c r="G22" s="27" t="str">
        <f>IF(C22&gt;=F22,"-","+")</f>
        <v>+</v>
      </c>
      <c r="H22" s="26">
        <f>C22*D22</f>
        <v>17860</v>
      </c>
      <c r="I22" s="26">
        <f>F22*D22</f>
        <v>18004.825958755297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42.9</v>
      </c>
      <c r="D23" s="30">
        <v>230.9</v>
      </c>
      <c r="E23" s="29">
        <f>D23/$D$48</f>
        <v>2.163849008509203E-2</v>
      </c>
      <c r="F23" s="28">
        <f>C23-(C23*$E$6)</f>
        <v>43.247874223437968</v>
      </c>
      <c r="G23" s="27" t="str">
        <f>IF(C23&gt;=F23,"-","+")</f>
        <v>+</v>
      </c>
      <c r="H23" s="26">
        <f>C23*D23</f>
        <v>9905.61</v>
      </c>
      <c r="I23" s="26">
        <f>F23*D23</f>
        <v>9985.934158191827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49.46688116100767</v>
      </c>
      <c r="D24" s="22">
        <f>SUM(D21:D23)</f>
        <v>730.4</v>
      </c>
      <c r="E24" s="21">
        <f>D24/$D$48</f>
        <v>6.8448476215466514E-2</v>
      </c>
      <c r="F24" s="20">
        <f>I24/D24</f>
        <v>49.868005936527112</v>
      </c>
      <c r="G24" s="19">
        <f>F24/C24-1</f>
        <v>8.1089562572953522E-3</v>
      </c>
      <c r="H24" s="18">
        <f>SUM(H21:H23)</f>
        <v>36130.61</v>
      </c>
      <c r="I24" s="18">
        <f>SUM(I21:I23)</f>
        <v>36423.591536039399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37.4</v>
      </c>
      <c r="D26" s="30">
        <v>1766.2</v>
      </c>
      <c r="E26" s="29">
        <f t="shared" ref="E26:E32" si="7">D26/$D$48</f>
        <v>0.16551711211905387</v>
      </c>
      <c r="F26" s="28">
        <f t="shared" ref="F26:F31" si="8">C26-(C26*$E$6)</f>
        <v>37.703274964022846</v>
      </c>
      <c r="G26" s="27" t="str">
        <f t="shared" ref="G26:G31" si="9">IF(C26&gt;=F26,"-","+")</f>
        <v>+</v>
      </c>
      <c r="H26" s="26">
        <f t="shared" ref="H26:H31" si="10">C26*D26</f>
        <v>66055.88</v>
      </c>
      <c r="I26" s="26">
        <f t="shared" ref="I26:I31" si="11">F26*D26</f>
        <v>66591.524241457155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33.299999999999997</v>
      </c>
      <c r="D27" s="30">
        <v>1832.9</v>
      </c>
      <c r="E27" s="29">
        <f t="shared" si="7"/>
        <v>0.17176781497169849</v>
      </c>
      <c r="F27" s="28">
        <f t="shared" si="8"/>
        <v>33.570028243367929</v>
      </c>
      <c r="G27" s="27" t="str">
        <f t="shared" si="9"/>
        <v>+</v>
      </c>
      <c r="H27" s="26">
        <f t="shared" si="10"/>
        <v>61035.57</v>
      </c>
      <c r="I27" s="26">
        <f t="shared" si="11"/>
        <v>61530.504767269078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33.299999999999997</v>
      </c>
      <c r="D28" s="30">
        <v>1383.7</v>
      </c>
      <c r="E28" s="29">
        <f t="shared" si="7"/>
        <v>0.12967162724444278</v>
      </c>
      <c r="F28" s="28">
        <f t="shared" si="8"/>
        <v>33.570028243367929</v>
      </c>
      <c r="G28" s="27" t="str">
        <f t="shared" si="9"/>
        <v>+</v>
      </c>
      <c r="H28" s="26">
        <f t="shared" si="10"/>
        <v>46077.21</v>
      </c>
      <c r="I28" s="26">
        <f t="shared" si="11"/>
        <v>46450.848080348202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32.200000000000003</v>
      </c>
      <c r="D29" s="30">
        <v>1085.4000000000001</v>
      </c>
      <c r="E29" s="29">
        <f t="shared" si="7"/>
        <v>0.10171683472654348</v>
      </c>
      <c r="F29" s="28">
        <f t="shared" si="8"/>
        <v>32.461108391484913</v>
      </c>
      <c r="G29" s="27" t="str">
        <f t="shared" si="9"/>
        <v>+</v>
      </c>
      <c r="H29" s="26">
        <f t="shared" si="10"/>
        <v>34949.880000000005</v>
      </c>
      <c r="I29" s="26">
        <f t="shared" si="11"/>
        <v>35233.287048117731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32.200000000000003</v>
      </c>
      <c r="D30" s="30">
        <v>458.4</v>
      </c>
      <c r="E30" s="29">
        <f t="shared" si="7"/>
        <v>4.2958353637965289E-2</v>
      </c>
      <c r="F30" s="28">
        <f t="shared" si="8"/>
        <v>32.461108391484913</v>
      </c>
      <c r="G30" s="27" t="str">
        <f t="shared" si="9"/>
        <v>+</v>
      </c>
      <c r="H30" s="26">
        <f t="shared" si="10"/>
        <v>14760.480000000001</v>
      </c>
      <c r="I30" s="26">
        <f t="shared" si="11"/>
        <v>14880.172086656683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32.700000000000003</v>
      </c>
      <c r="D31" s="30">
        <v>265.60000000000002</v>
      </c>
      <c r="E31" s="29">
        <f t="shared" si="7"/>
        <v>2.4890354987442371E-2</v>
      </c>
      <c r="F31" s="28">
        <f t="shared" si="8"/>
        <v>32.965162869613557</v>
      </c>
      <c r="G31" s="27" t="str">
        <f t="shared" si="9"/>
        <v>+</v>
      </c>
      <c r="H31" s="26">
        <f t="shared" si="10"/>
        <v>8685.1200000000008</v>
      </c>
      <c r="I31" s="26">
        <f t="shared" si="11"/>
        <v>8755.5472581693612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34.092656282206057</v>
      </c>
      <c r="D32" s="22">
        <f>SUM(D26:D31)</f>
        <v>6792.2000000000007</v>
      </c>
      <c r="E32" s="21">
        <f t="shared" si="7"/>
        <v>0.63652209768714629</v>
      </c>
      <c r="F32" s="20">
        <f>I32/D32</f>
        <v>34.369112140693467</v>
      </c>
      <c r="G32" s="19">
        <f>F32/C32-1</f>
        <v>8.1089562572951301E-3</v>
      </c>
      <c r="H32" s="18">
        <f>SUM(H26:H31)</f>
        <v>231564.14</v>
      </c>
      <c r="I32" s="18">
        <f>SUM(I26:I31)</f>
        <v>233441.88348201819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19.7</v>
      </c>
      <c r="D34" s="30">
        <v>1329.4</v>
      </c>
      <c r="E34" s="29">
        <f t="shared" ref="E34:E40" si="13">D34/$D$48</f>
        <v>0.12458297409753723</v>
      </c>
      <c r="F34" s="28">
        <f t="shared" ref="F34:F39" si="14">C34-(C34*$E$6)</f>
        <v>19.859746438268719</v>
      </c>
      <c r="G34" s="27" t="str">
        <f t="shared" ref="G34:G39" si="15">IF(C34&gt;=F34,"-","+")</f>
        <v>+</v>
      </c>
      <c r="H34" s="26">
        <f t="shared" ref="H34:H39" si="16">C34*D34</f>
        <v>26189.18</v>
      </c>
      <c r="I34" s="26">
        <f t="shared" ref="I34:I39" si="17">F34*D34</f>
        <v>26401.546915034436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/>
      <c r="E35" s="29">
        <f t="shared" si="13"/>
        <v>0</v>
      </c>
      <c r="F35" s="28">
        <f t="shared" si="14"/>
        <v>15.222445239485159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12.298929266339002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32.200000000000003</v>
      </c>
      <c r="D37" s="30"/>
      <c r="E37" s="29">
        <f t="shared" si="13"/>
        <v>0</v>
      </c>
      <c r="F37" s="28">
        <f t="shared" si="14"/>
        <v>32.461108391484913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32.200000000000003</v>
      </c>
      <c r="D38" s="30"/>
      <c r="E38" s="29">
        <f t="shared" si="13"/>
        <v>0</v>
      </c>
      <c r="F38" s="28">
        <f t="shared" si="14"/>
        <v>32.461108391484913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33.299999999999997</v>
      </c>
      <c r="D39" s="30"/>
      <c r="E39" s="29">
        <f t="shared" si="13"/>
        <v>0</v>
      </c>
      <c r="F39" s="28">
        <f t="shared" si="14"/>
        <v>33.570028243367929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19.7</v>
      </c>
      <c r="D40" s="22">
        <f>SUM(D34:D39)</f>
        <v>1329.4</v>
      </c>
      <c r="E40" s="113">
        <f t="shared" si="13"/>
        <v>0.12458297409753723</v>
      </c>
      <c r="F40" s="20">
        <f>I40/D40</f>
        <v>19.859746438268719</v>
      </c>
      <c r="G40" s="19">
        <f>F40/C40-1</f>
        <v>8.1089562572953522E-3</v>
      </c>
      <c r="H40" s="18">
        <f>SUM(H34:H39)</f>
        <v>26189.18</v>
      </c>
      <c r="I40" s="18">
        <f>SUM(I34:I39)</f>
        <v>26401.546915034436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1723</v>
      </c>
      <c r="E42" s="107">
        <f>D42/$D$48</f>
        <v>0.16146868088615662</v>
      </c>
      <c r="F42" s="28">
        <f>C42-(C42*$E$6)</f>
        <v>0.50405447812864768</v>
      </c>
      <c r="G42" s="27" t="str">
        <f>IF(C42&gt;=F42,"-","+")</f>
        <v>+</v>
      </c>
      <c r="H42" s="26">
        <f>C42*D42</f>
        <v>861.5</v>
      </c>
      <c r="I42" s="26">
        <f>F42*D42</f>
        <v>868.48586581565996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91.8</v>
      </c>
      <c r="E43" s="107">
        <f>D43/$D$48</f>
        <v>8.6029163699066612E-3</v>
      </c>
      <c r="F43" s="28">
        <f>C43-(C43*$E$6)</f>
        <v>0.50405447812864768</v>
      </c>
      <c r="G43" s="27" t="str">
        <f>IF(C43&gt;=F43,"-","+")</f>
        <v>+</v>
      </c>
      <c r="H43" s="26">
        <f>C43*D43</f>
        <v>45.9</v>
      </c>
      <c r="I43" s="26">
        <f>F43*D43</f>
        <v>46.272201092209855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3.7485474378678264E-4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0.49890037387288322</v>
      </c>
      <c r="D46" s="22">
        <f>SUM(D41:D45)</f>
        <v>1818.8</v>
      </c>
      <c r="E46" s="113">
        <f>D46/$D$48</f>
        <v>0.17044645199985006</v>
      </c>
      <c r="F46" s="20">
        <f>I46/D46</f>
        <v>0.50294593518136677</v>
      </c>
      <c r="G46" s="19">
        <f>F46/C46-1</f>
        <v>8.1089562572953522E-3</v>
      </c>
      <c r="H46" s="18">
        <f>SUM(H41:H44)</f>
        <v>907.4</v>
      </c>
      <c r="I46" s="18">
        <f>SUM(I41:I44)</f>
        <v>914.75806690786976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103.75843781708662</v>
      </c>
      <c r="D48" s="13">
        <f>D24+D32+D40+D46</f>
        <v>10670.8</v>
      </c>
      <c r="E48" s="12">
        <f>SUM(E20:E46)/2</f>
        <v>1</v>
      </c>
      <c r="F48" s="11">
        <f>I48/D48</f>
        <v>27.849999999999994</v>
      </c>
      <c r="G48" s="10"/>
      <c r="H48" s="9">
        <f>SUM(H20:H46)/2</f>
        <v>294791.33000000007</v>
      </c>
      <c r="I48" s="9">
        <f>SUM(I20:I46)/2</f>
        <v>297181.77999999991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10670.8</v>
      </c>
      <c r="E50" s="12">
        <f>D50/G2</f>
        <v>1</v>
      </c>
      <c r="F50" s="11">
        <f>I50/D50</f>
        <v>27.849999999999994</v>
      </c>
      <c r="G50" s="10"/>
      <c r="H50" s="9">
        <f>H48+H19</f>
        <v>294791.33000000007</v>
      </c>
      <c r="I50" s="9">
        <f>I48+I19</f>
        <v>297181.77999999991</v>
      </c>
      <c r="J50" s="106">
        <f>D50-G2</f>
        <v>0</v>
      </c>
      <c r="K50" s="8"/>
    </row>
    <row r="51" spans="1:11" ht="23.25" x14ac:dyDescent="0.35">
      <c r="A51" s="174" t="s">
        <v>747</v>
      </c>
      <c r="B51" s="169"/>
      <c r="C51" s="170"/>
      <c r="G51" s="7"/>
      <c r="H51" s="6"/>
      <c r="I51" s="6">
        <f>+I50/D50</f>
        <v>27.849999999999994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>
    <tabColor rgb="FF92D050"/>
  </sheetPr>
  <dimension ref="A1:K56"/>
  <sheetViews>
    <sheetView topLeftCell="B1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746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746</v>
      </c>
      <c r="D2" s="96" t="s">
        <v>3</v>
      </c>
      <c r="E2" s="95" t="s">
        <v>360</v>
      </c>
      <c r="F2" s="94" t="s">
        <v>5</v>
      </c>
      <c r="G2" s="93">
        <v>30279.4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324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93.454938271604945</v>
      </c>
      <c r="F4" s="81" t="s">
        <v>12</v>
      </c>
      <c r="G4" s="80">
        <f>G2*G3</f>
        <v>802404.10000000009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-8.5668611632587766E-2</v>
      </c>
      <c r="F6" s="69" t="s">
        <v>16</v>
      </c>
      <c r="G6" s="68">
        <f>(I50-I19)/(D50-(SUM(D42:D44)+D19))</f>
        <v>31.842457459337023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28.770218208263575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>
        <f t="shared" si="1"/>
        <v>0</v>
      </c>
      <c r="F11" s="28">
        <f t="shared" si="2"/>
        <v>29.964453681059425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>
        <f t="shared" si="1"/>
        <v>0</v>
      </c>
      <c r="F12" s="28">
        <f t="shared" si="2"/>
        <v>27.35884901314121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29.964453681059425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33.547160099446963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/>
      <c r="E15" s="29">
        <f t="shared" si="1"/>
        <v>0</v>
      </c>
      <c r="F15" s="28">
        <f t="shared" si="2"/>
        <v>27.575982735467729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>
        <f t="shared" si="1"/>
        <v>0</v>
      </c>
      <c r="F16" s="28">
        <f t="shared" si="2"/>
        <v>37.781267684814054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>
        <v>12</v>
      </c>
      <c r="E17" s="29">
        <f t="shared" si="1"/>
        <v>1</v>
      </c>
      <c r="F17" s="28">
        <f t="shared" si="2"/>
        <v>55.694799776751751</v>
      </c>
      <c r="G17" s="27" t="str">
        <f t="shared" si="3"/>
        <v>+</v>
      </c>
      <c r="H17" s="34">
        <f t="shared" si="4"/>
        <v>615.59999999999991</v>
      </c>
      <c r="I17" s="34">
        <f t="shared" si="5"/>
        <v>668.33759732102101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48.74652066230319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51.29999999999999</v>
      </c>
      <c r="D19" s="49">
        <f>SUM(D10:D18)</f>
        <v>12</v>
      </c>
      <c r="E19" s="48">
        <f t="shared" si="1"/>
        <v>1</v>
      </c>
      <c r="F19" s="47">
        <f>I19/D19</f>
        <v>55.694799776751751</v>
      </c>
      <c r="G19" s="46">
        <f>F19/C19-1</f>
        <v>8.5668611632587988E-2</v>
      </c>
      <c r="H19" s="9">
        <f>SUM(H10:H18)</f>
        <v>615.59999999999991</v>
      </c>
      <c r="I19" s="9">
        <f>SUM(I10:I18)</f>
        <v>668.33759732102101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/>
      <c r="E21" s="29">
        <f>D21/$D$48</f>
        <v>0</v>
      </c>
      <c r="F21" s="28">
        <f>C21-(C21*$E$6)</f>
        <v>72.30552953473034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1576.4</v>
      </c>
      <c r="E22" s="29">
        <f>D22/$D$48</f>
        <v>5.2082438531225024E-2</v>
      </c>
      <c r="F22" s="28">
        <f>C22-(C22*$E$6)</f>
        <v>48.637953801139929</v>
      </c>
      <c r="G22" s="27" t="str">
        <f>IF(C22&gt;=F22,"-","+")</f>
        <v>+</v>
      </c>
      <c r="H22" s="26">
        <f>C22*D22</f>
        <v>70622.720000000001</v>
      </c>
      <c r="I22" s="26">
        <f>F22*D22</f>
        <v>76672.870372116988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/>
      <c r="E23" s="29">
        <f>D23/$D$48</f>
        <v>0</v>
      </c>
      <c r="F23" s="28">
        <f>C23-(C23*$E$6)</f>
        <v>44.295279354609576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</v>
      </c>
      <c r="D24" s="22">
        <f>SUM(D21:D23)</f>
        <v>1576.4</v>
      </c>
      <c r="E24" s="21">
        <f>D24/$D$48</f>
        <v>5.2082438531225024E-2</v>
      </c>
      <c r="F24" s="20">
        <f>I24/D24</f>
        <v>48.637953801139929</v>
      </c>
      <c r="G24" s="19">
        <f>F24/C24-1</f>
        <v>8.5668611632587766E-2</v>
      </c>
      <c r="H24" s="18">
        <f>SUM(H21:H23)</f>
        <v>70622.720000000001</v>
      </c>
      <c r="I24" s="18">
        <f>SUM(I21:I23)</f>
        <v>76672.870372116988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/>
      <c r="E26" s="29">
        <f t="shared" ref="E26:E32" si="7">D26/$D$48</f>
        <v>0</v>
      </c>
      <c r="F26" s="28">
        <f t="shared" ref="F26:F31" si="8">C26-(C26*$E$6)</f>
        <v>38.649802574120123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7048.1</v>
      </c>
      <c r="E27" s="29">
        <f t="shared" si="7"/>
        <v>0.23286109807912145</v>
      </c>
      <c r="F27" s="28">
        <f t="shared" si="8"/>
        <v>34.415694988753032</v>
      </c>
      <c r="G27" s="27" t="str">
        <f t="shared" si="9"/>
        <v>+</v>
      </c>
      <c r="H27" s="26">
        <f t="shared" si="10"/>
        <v>223424.77000000002</v>
      </c>
      <c r="I27" s="26">
        <f t="shared" si="11"/>
        <v>242565.25985023024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5509.6</v>
      </c>
      <c r="E28" s="29">
        <f t="shared" si="7"/>
        <v>0.18203083185209171</v>
      </c>
      <c r="F28" s="28">
        <f t="shared" si="8"/>
        <v>34.415694988753032</v>
      </c>
      <c r="G28" s="27" t="str">
        <f t="shared" si="9"/>
        <v>+</v>
      </c>
      <c r="H28" s="26">
        <f t="shared" si="10"/>
        <v>174654.32</v>
      </c>
      <c r="I28" s="26">
        <f t="shared" si="11"/>
        <v>189616.71311003371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5311.9</v>
      </c>
      <c r="E29" s="29">
        <f t="shared" si="7"/>
        <v>0.1754990517850889</v>
      </c>
      <c r="F29" s="28">
        <f t="shared" si="8"/>
        <v>33.221459515957186</v>
      </c>
      <c r="G29" s="27" t="str">
        <f t="shared" si="9"/>
        <v>+</v>
      </c>
      <c r="H29" s="26">
        <f t="shared" si="10"/>
        <v>162544.13999999998</v>
      </c>
      <c r="I29" s="26">
        <f t="shared" si="11"/>
        <v>176469.07080281296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/>
      <c r="E30" s="29">
        <f t="shared" si="7"/>
        <v>0</v>
      </c>
      <c r="F30" s="28">
        <f t="shared" si="8"/>
        <v>33.221459515957186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/>
      <c r="E31" s="29">
        <f t="shared" si="7"/>
        <v>0</v>
      </c>
      <c r="F31" s="28">
        <f t="shared" si="8"/>
        <v>33.764293821773478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31.373015064690872</v>
      </c>
      <c r="D32" s="22">
        <f>SUM(D26:D31)</f>
        <v>17869.599999999999</v>
      </c>
      <c r="E32" s="21">
        <f t="shared" si="7"/>
        <v>0.590390981716302</v>
      </c>
      <c r="F32" s="20">
        <f>I32/D32</f>
        <v>34.060697708011197</v>
      </c>
      <c r="G32" s="19">
        <f>F32/C32-1</f>
        <v>8.5668611632587766E-2</v>
      </c>
      <c r="H32" s="18">
        <f>SUM(H26:H31)</f>
        <v>560623.23</v>
      </c>
      <c r="I32" s="18">
        <f>SUM(I26:I31)</f>
        <v>608651.04376307689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2560.2+2731.9</f>
        <v>5292.1</v>
      </c>
      <c r="E34" s="29">
        <f t="shared" ref="E34:E40" si="13">D34/$D$48</f>
        <v>0.17484488261297637</v>
      </c>
      <c r="F34" s="28">
        <f t="shared" ref="F34:F39" si="14">C34-(C34*$E$6)</f>
        <v>20.302003037529392</v>
      </c>
      <c r="G34" s="27" t="str">
        <f t="shared" ref="G34:G39" si="15">IF(C34&gt;=F34,"-","+")</f>
        <v>+</v>
      </c>
      <c r="H34" s="26">
        <f t="shared" ref="H34:H39" si="16">C34*D34</f>
        <v>98962.27</v>
      </c>
      <c r="I34" s="26">
        <f t="shared" ref="I34:I39" si="17">F34*D34</f>
        <v>107440.23027490931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432.5</v>
      </c>
      <c r="E35" s="29">
        <f t="shared" si="13"/>
        <v>1.4289301360539724E-2</v>
      </c>
      <c r="F35" s="28">
        <f t="shared" si="14"/>
        <v>15.633628007509264</v>
      </c>
      <c r="G35" s="27" t="str">
        <f t="shared" si="15"/>
        <v>+</v>
      </c>
      <c r="H35" s="26">
        <f t="shared" si="16"/>
        <v>6228</v>
      </c>
      <c r="I35" s="26">
        <f t="shared" si="17"/>
        <v>6761.5441132477572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12.593755894938017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33.221459515957186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33.221459515957186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34.415694988753032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18.375130140097124</v>
      </c>
      <c r="D40" s="22">
        <f>SUM(D34:D39)</f>
        <v>5724.6</v>
      </c>
      <c r="E40" s="113">
        <f t="shared" si="13"/>
        <v>0.18913418397351608</v>
      </c>
      <c r="F40" s="20">
        <f>I40/D40</f>
        <v>19.949302027767366</v>
      </c>
      <c r="G40" s="19">
        <f>F40/C40-1</f>
        <v>8.5668611632587988E-2</v>
      </c>
      <c r="H40" s="18">
        <f>SUM(H34:H39)</f>
        <v>105190.27</v>
      </c>
      <c r="I40" s="18">
        <f>SUM(I34:I39)</f>
        <v>114201.77438815706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379.4+2918.1+1671</f>
        <v>4968.5</v>
      </c>
      <c r="E42" s="107">
        <f>D42/$D$48</f>
        <v>0.16415351169905576</v>
      </c>
      <c r="F42" s="28">
        <f>C42-(C42*$E$6)</f>
        <v>0.43426744465303513</v>
      </c>
      <c r="G42" s="27" t="str">
        <f>IF(C42&gt;=F42,"-","+")</f>
        <v>+</v>
      </c>
      <c r="H42" s="26">
        <f>C42*D42</f>
        <v>1987.4</v>
      </c>
      <c r="I42" s="26">
        <f>F42*D42</f>
        <v>2157.6577987586052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120.7</v>
      </c>
      <c r="E43" s="107">
        <f>D43/$D$48</f>
        <v>3.9877888421205659E-3</v>
      </c>
      <c r="F43" s="28">
        <f>C43-(C43*$E$6)</f>
        <v>0.43426744465303513</v>
      </c>
      <c r="G43" s="27" t="str">
        <f>IF(C43&gt;=F43,"-","+")</f>
        <v>+</v>
      </c>
      <c r="H43" s="26">
        <f>C43*D43</f>
        <v>48.28</v>
      </c>
      <c r="I43" s="26">
        <f>F43*D43</f>
        <v>52.416080569621343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7.6</v>
      </c>
      <c r="E45" s="107">
        <f>D45/$D$48</f>
        <v>2.5109523778058239E-4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0.399403547323811</v>
      </c>
      <c r="D46" s="22">
        <f>SUM(D41:D45)</f>
        <v>5096.8</v>
      </c>
      <c r="E46" s="113">
        <f>D46/$D$48</f>
        <v>0.16839239577895693</v>
      </c>
      <c r="F46" s="20">
        <f>I46/D46</f>
        <v>0.43361989470417256</v>
      </c>
      <c r="G46" s="19">
        <f>F46/C46-1</f>
        <v>8.5668611632587988E-2</v>
      </c>
      <c r="H46" s="18">
        <f>SUM(H41:H44)</f>
        <v>2035.68</v>
      </c>
      <c r="I46" s="18">
        <f>SUM(I41:I44)</f>
        <v>2210.0738793282267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94.947548752111814</v>
      </c>
      <c r="D48" s="13">
        <f>D24+D32+D40+D46</f>
        <v>30267.399999999998</v>
      </c>
      <c r="E48" s="12">
        <f>SUM(E20:E46)/2</f>
        <v>1</v>
      </c>
      <c r="F48" s="11">
        <f>I48/D48</f>
        <v>26.488425249697013</v>
      </c>
      <c r="G48" s="10"/>
      <c r="H48" s="9">
        <f>SUM(H20:H46)/2</f>
        <v>738471.89999999991</v>
      </c>
      <c r="I48" s="9">
        <f>SUM(I20:I46)/2</f>
        <v>801735.76240267931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30279.399999999998</v>
      </c>
      <c r="E50" s="12">
        <f>D50/G2</f>
        <v>0.99999999999999989</v>
      </c>
      <c r="F50" s="11">
        <f>I50/D50</f>
        <v>26.500000000000014</v>
      </c>
      <c r="G50" s="10"/>
      <c r="H50" s="9">
        <f>H48+H19</f>
        <v>739087.49999999988</v>
      </c>
      <c r="I50" s="9">
        <f>I48+I19</f>
        <v>802404.10000000033</v>
      </c>
      <c r="J50" s="106">
        <f>D50-G2</f>
        <v>0</v>
      </c>
      <c r="K50" s="8"/>
    </row>
    <row r="51" spans="1:11" ht="23.25" x14ac:dyDescent="0.35">
      <c r="A51" s="174" t="s">
        <v>748</v>
      </c>
      <c r="B51" s="169"/>
      <c r="C51" s="170"/>
      <c r="G51" s="7"/>
      <c r="H51" s="6"/>
      <c r="I51" s="6">
        <f>+I50/D50</f>
        <v>26.500000000000014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749</v>
      </c>
      <c r="D1" s="100" t="s">
        <v>1</v>
      </c>
      <c r="E1" s="168" t="s">
        <v>750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746</v>
      </c>
      <c r="D2" s="96" t="s">
        <v>3</v>
      </c>
      <c r="E2" s="95" t="s">
        <v>107</v>
      </c>
      <c r="F2" s="94" t="s">
        <v>5</v>
      </c>
      <c r="G2" s="93">
        <v>10138.6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164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61.820731707317073</v>
      </c>
      <c r="F4" s="81" t="s">
        <v>12</v>
      </c>
      <c r="G4" s="80">
        <f>G2*G3</f>
        <v>268672.90000000002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-3.6316269650386035E-2</v>
      </c>
      <c r="F6" s="69" t="s">
        <v>16</v>
      </c>
      <c r="G6" s="68">
        <f>(I50-I19)/(D50-(SUM(D42:D44)+D19))</f>
        <v>32.598807082886594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27.462381145735229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>
        <v>433.4</v>
      </c>
      <c r="E11" s="29">
        <f t="shared" si="1"/>
        <v>0.48273557585208288</v>
      </c>
      <c r="F11" s="28">
        <f t="shared" si="2"/>
        <v>28.602329042350657</v>
      </c>
      <c r="G11" s="27" t="str">
        <f t="shared" si="3"/>
        <v>+</v>
      </c>
      <c r="H11" s="34">
        <f t="shared" si="4"/>
        <v>11961.84</v>
      </c>
      <c r="I11" s="34">
        <f t="shared" si="5"/>
        <v>12396.249406954774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>
        <v>464.4</v>
      </c>
      <c r="E12" s="29">
        <f t="shared" si="1"/>
        <v>0.51726442414791718</v>
      </c>
      <c r="F12" s="28">
        <f t="shared" si="2"/>
        <v>26.115169995189728</v>
      </c>
      <c r="G12" s="27" t="str">
        <f t="shared" si="3"/>
        <v>+</v>
      </c>
      <c r="H12" s="34">
        <f t="shared" si="4"/>
        <v>11702.88</v>
      </c>
      <c r="I12" s="34">
        <f t="shared" si="5"/>
        <v>12127.884945766109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28.602329042350657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32.022172732196928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/>
      <c r="E15" s="29">
        <f t="shared" si="1"/>
        <v>0</v>
      </c>
      <c r="F15" s="28">
        <f t="shared" si="2"/>
        <v>26.322433249119804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>
        <f t="shared" si="1"/>
        <v>0</v>
      </c>
      <c r="F16" s="28">
        <f t="shared" si="2"/>
        <v>36.063806183833428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/>
      <c r="E17" s="29">
        <f t="shared" si="1"/>
        <v>0</v>
      </c>
      <c r="F17" s="28">
        <f t="shared" si="2"/>
        <v>53.163024633064801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46.530600507302331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26.358565382045001</v>
      </c>
      <c r="D19" s="49">
        <f>SUM(D10:D18)</f>
        <v>897.8</v>
      </c>
      <c r="E19" s="48">
        <f t="shared" si="1"/>
        <v>1</v>
      </c>
      <c r="F19" s="47">
        <f>I19/D19</f>
        <v>27.315810150056674</v>
      </c>
      <c r="G19" s="46">
        <f>F19/C19-1</f>
        <v>3.6316269650385813E-2</v>
      </c>
      <c r="H19" s="9">
        <f>SUM(H10:H18)</f>
        <v>23664.720000000001</v>
      </c>
      <c r="I19" s="9">
        <f>SUM(I10:I18)</f>
        <v>24524.134352720881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>
        <v>140</v>
      </c>
      <c r="E21" s="29">
        <f>D21/$D$48</f>
        <v>1.5150203445589124E-2</v>
      </c>
      <c r="F21" s="28">
        <f>C21-(C21*$E$6)</f>
        <v>69.018663558715701</v>
      </c>
      <c r="G21" s="27" t="str">
        <f>IF(C21&gt;=F21,"-","+")</f>
        <v>+</v>
      </c>
      <c r="H21" s="26">
        <f>C21*D21</f>
        <v>9324</v>
      </c>
      <c r="I21" s="26">
        <f>F21*D21</f>
        <v>9662.612898220199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282.60000000000002</v>
      </c>
      <c r="E22" s="29">
        <f>D22/$D$48</f>
        <v>3.0581767812310621E-2</v>
      </c>
      <c r="F22" s="28">
        <f>C22-(C22*$E$6)</f>
        <v>46.426968880337292</v>
      </c>
      <c r="G22" s="27" t="str">
        <f>IF(C22&gt;=F22,"-","+")</f>
        <v>+</v>
      </c>
      <c r="H22" s="26">
        <f>C22*D22</f>
        <v>12660.48</v>
      </c>
      <c r="I22" s="26">
        <f>F22*D22</f>
        <v>13120.26140558332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>
        <v>245.9</v>
      </c>
      <c r="E23" s="29">
        <f>D23/$D$48</f>
        <v>2.6610250194788326E-2</v>
      </c>
      <c r="F23" s="28">
        <f>C23-(C23*$E$6)</f>
        <v>42.281703801735745</v>
      </c>
      <c r="G23" s="27" t="str">
        <f>IF(C23&gt;=F23,"-","+")</f>
        <v>+</v>
      </c>
      <c r="H23" s="26">
        <f>C23*D23</f>
        <v>10032.719999999999</v>
      </c>
      <c r="I23" s="26">
        <f>F23*D23</f>
        <v>10397.07096484682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47.894091249065063</v>
      </c>
      <c r="D24" s="22">
        <f>SUM(D21:D23)</f>
        <v>668.5</v>
      </c>
      <c r="E24" s="21">
        <f>D24/$D$48</f>
        <v>7.2342221452688066E-2</v>
      </c>
      <c r="F24" s="20">
        <f>I24/D24</f>
        <v>49.633425981526308</v>
      </c>
      <c r="G24" s="19">
        <f>F24/C24-1</f>
        <v>3.6316269650386035E-2</v>
      </c>
      <c r="H24" s="18">
        <f>SUM(H21:H23)</f>
        <v>32017.199999999997</v>
      </c>
      <c r="I24" s="18">
        <f>SUM(I21:I23)</f>
        <v>33179.945268650335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>
        <f>556.2+1420</f>
        <v>1976.2</v>
      </c>
      <c r="E26" s="29">
        <f t="shared" ref="E26:E32" si="7">D26/$D$48</f>
        <v>0.21385594320838019</v>
      </c>
      <c r="F26" s="28">
        <f t="shared" ref="F26:F31" si="8">C26-(C26*$E$6)</f>
        <v>36.892859199553747</v>
      </c>
      <c r="G26" s="27" t="str">
        <f t="shared" ref="G26:G31" si="9">IF(C26&gt;=F26,"-","+")</f>
        <v>+</v>
      </c>
      <c r="H26" s="26">
        <f t="shared" ref="H26:H31" si="10">C26*D26</f>
        <v>70352.72</v>
      </c>
      <c r="I26" s="26">
        <f t="shared" ref="I26:I31" si="11">F26*D26</f>
        <v>72907.668350158114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1310.9</v>
      </c>
      <c r="E27" s="29">
        <f t="shared" si="7"/>
        <v>0.14186001212016275</v>
      </c>
      <c r="F27" s="28">
        <f t="shared" si="8"/>
        <v>32.851225747917233</v>
      </c>
      <c r="G27" s="27" t="str">
        <f t="shared" si="9"/>
        <v>+</v>
      </c>
      <c r="H27" s="26">
        <f t="shared" si="10"/>
        <v>41555.53</v>
      </c>
      <c r="I27" s="26">
        <f t="shared" si="11"/>
        <v>43064.671832944703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811.6</v>
      </c>
      <c r="E28" s="29">
        <f t="shared" si="7"/>
        <v>8.78278936888581E-2</v>
      </c>
      <c r="F28" s="28">
        <f t="shared" si="8"/>
        <v>32.851225747917233</v>
      </c>
      <c r="G28" s="27" t="str">
        <f t="shared" si="9"/>
        <v>+</v>
      </c>
      <c r="H28" s="26">
        <f t="shared" si="10"/>
        <v>25727.72</v>
      </c>
      <c r="I28" s="26">
        <f t="shared" si="11"/>
        <v>26662.054817009626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759.8</v>
      </c>
      <c r="E29" s="29">
        <f t="shared" si="7"/>
        <v>8.2222318413990123E-2</v>
      </c>
      <c r="F29" s="28">
        <f t="shared" si="8"/>
        <v>31.711277851301816</v>
      </c>
      <c r="G29" s="27" t="str">
        <f t="shared" si="9"/>
        <v>+</v>
      </c>
      <c r="H29" s="26">
        <f t="shared" si="10"/>
        <v>23249.88</v>
      </c>
      <c r="I29" s="26">
        <f t="shared" si="11"/>
        <v>24094.228911419119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>
        <v>367</v>
      </c>
      <c r="E30" s="29">
        <f t="shared" si="7"/>
        <v>3.9715176175222917E-2</v>
      </c>
      <c r="F30" s="28">
        <f t="shared" si="8"/>
        <v>31.711277851301816</v>
      </c>
      <c r="G30" s="27" t="str">
        <f t="shared" si="9"/>
        <v>+</v>
      </c>
      <c r="H30" s="26">
        <f t="shared" si="10"/>
        <v>11230.2</v>
      </c>
      <c r="I30" s="26">
        <f t="shared" si="11"/>
        <v>11638.038971427766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>
        <v>127</v>
      </c>
      <c r="E31" s="29">
        <f t="shared" si="7"/>
        <v>1.3743398839927277E-2</v>
      </c>
      <c r="F31" s="28">
        <f t="shared" si="8"/>
        <v>32.229435986127008</v>
      </c>
      <c r="G31" s="27" t="str">
        <f t="shared" si="9"/>
        <v>+</v>
      </c>
      <c r="H31" s="26">
        <f t="shared" si="10"/>
        <v>3949.7000000000003</v>
      </c>
      <c r="I31" s="26">
        <f t="shared" si="11"/>
        <v>4093.1383702381299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32.894114899579634</v>
      </c>
      <c r="D32" s="22">
        <f>SUM(D26:D31)</f>
        <v>5352.5000000000009</v>
      </c>
      <c r="E32" s="21">
        <f t="shared" si="7"/>
        <v>0.57922474244654143</v>
      </c>
      <c r="F32" s="20">
        <f>I32/D32</f>
        <v>34.088706446183544</v>
      </c>
      <c r="G32" s="19">
        <f>F32/C32-1</f>
        <v>3.6316269650385813E-2</v>
      </c>
      <c r="H32" s="18">
        <f>SUM(H26:H31)</f>
        <v>176065.75000000003</v>
      </c>
      <c r="I32" s="18">
        <f>SUM(I26:I31)</f>
        <v>182459.80125319745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714.8+619.6</f>
        <v>1334.4</v>
      </c>
      <c r="E34" s="29">
        <f t="shared" ref="E34:E40" si="13">D34/$D$48</f>
        <v>0.14440308198424379</v>
      </c>
      <c r="F34" s="28">
        <f t="shared" ref="F34:F39" si="14">C34-(C34*$E$6)</f>
        <v>19.379114242462219</v>
      </c>
      <c r="G34" s="27" t="str">
        <f t="shared" ref="G34:G39" si="15">IF(C34&gt;=F34,"-","+")</f>
        <v>+</v>
      </c>
      <c r="H34" s="26">
        <f t="shared" ref="H34:H39" si="16">C34*D34</f>
        <v>24953.280000000002</v>
      </c>
      <c r="I34" s="26">
        <f t="shared" ref="I34:I39" si="17">F34*D34</f>
        <v>25859.490045141585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128.9</v>
      </c>
      <c r="E35" s="29">
        <f t="shared" si="13"/>
        <v>1.3949008743831702E-2</v>
      </c>
      <c r="F35" s="28">
        <f t="shared" si="14"/>
        <v>14.922954282965559</v>
      </c>
      <c r="G35" s="27" t="str">
        <f t="shared" si="15"/>
        <v>+</v>
      </c>
      <c r="H35" s="26">
        <f t="shared" si="16"/>
        <v>1856.16</v>
      </c>
      <c r="I35" s="26">
        <f t="shared" si="17"/>
        <v>1923.5688070742606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12.021268727944477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31.711277851301816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31.711277851301816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32.851225747917233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18.321219162167701</v>
      </c>
      <c r="D40" s="22">
        <f>SUM(D34:D39)</f>
        <v>1463.3000000000002</v>
      </c>
      <c r="E40" s="113">
        <f t="shared" si="13"/>
        <v>0.15835209072807549</v>
      </c>
      <c r="F40" s="20">
        <f>I40/D40</f>
        <v>18.986577497584804</v>
      </c>
      <c r="G40" s="19">
        <f>F40/C40-1</f>
        <v>3.6316269650386035E-2</v>
      </c>
      <c r="H40" s="18">
        <f>SUM(H34:H39)</f>
        <v>26809.440000000002</v>
      </c>
      <c r="I40" s="18">
        <f>SUM(I34:I39)</f>
        <v>27783.058852215847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778+105.3+804.7</f>
        <v>1688</v>
      </c>
      <c r="E42" s="107">
        <f>D42/$D$48</f>
        <v>0.18266816725824603</v>
      </c>
      <c r="F42" s="28">
        <f>C42-(C42*$E$6)</f>
        <v>0.41452650786015444</v>
      </c>
      <c r="G42" s="27" t="str">
        <f>IF(C42&gt;=F42,"-","+")</f>
        <v>+</v>
      </c>
      <c r="H42" s="26">
        <f>C42*D42</f>
        <v>675.2</v>
      </c>
      <c r="I42" s="26">
        <f>F42*D42</f>
        <v>699.72074526794074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63.3</v>
      </c>
      <c r="E43" s="107">
        <f>D43/$D$48</f>
        <v>6.850056272184225E-3</v>
      </c>
      <c r="F43" s="28">
        <f>C43-(C43*$E$6)</f>
        <v>0.41452650786015444</v>
      </c>
      <c r="G43" s="27" t="str">
        <f>IF(C43&gt;=F43,"-","+")</f>
        <v>+</v>
      </c>
      <c r="H43" s="26">
        <f>C43*D43</f>
        <v>25.32</v>
      </c>
      <c r="I43" s="26">
        <f>F43*D43</f>
        <v>26.239527947547774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5.6272184226473893E-4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0.39881582692855116</v>
      </c>
      <c r="D46" s="22">
        <f>SUM(D41:D45)</f>
        <v>1756.5</v>
      </c>
      <c r="E46" s="113">
        <f>D46/$D$48</f>
        <v>0.19008094537269499</v>
      </c>
      <c r="F46" s="20">
        <f>I46/D46</f>
        <v>0.41329933004013009</v>
      </c>
      <c r="G46" s="19">
        <f>F46/C46-1</f>
        <v>3.6316269650386035E-2</v>
      </c>
      <c r="H46" s="18">
        <f>SUM(H41:H44)</f>
        <v>700.5200000000001</v>
      </c>
      <c r="I46" s="18">
        <f>SUM(I41:I44)</f>
        <v>725.96027321548854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99.508241137740939</v>
      </c>
      <c r="D48" s="13">
        <f>D24+D32+D40+D46</f>
        <v>9240.8000000000011</v>
      </c>
      <c r="E48" s="12">
        <f>SUM(E20:E46)/2</f>
        <v>1</v>
      </c>
      <c r="F48" s="11">
        <f>I48/D48</f>
        <v>26.420739075326715</v>
      </c>
      <c r="G48" s="10"/>
      <c r="H48" s="9">
        <f>SUM(H20:H46)/2</f>
        <v>235592.91000000003</v>
      </c>
      <c r="I48" s="9">
        <f>SUM(I20:I46)/2</f>
        <v>244148.76564727913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10138.6</v>
      </c>
      <c r="E50" s="12">
        <f>D50/G2</f>
        <v>1</v>
      </c>
      <c r="F50" s="11">
        <f>I50/D50</f>
        <v>26.5</v>
      </c>
      <c r="G50" s="10"/>
      <c r="H50" s="9">
        <f>H48+H19</f>
        <v>259257.63000000003</v>
      </c>
      <c r="I50" s="9">
        <f>I48+I19</f>
        <v>268672.90000000002</v>
      </c>
      <c r="J50" s="106">
        <f>D50-G2</f>
        <v>0</v>
      </c>
      <c r="K50" s="8"/>
    </row>
    <row r="51" spans="1:11" ht="23.25" x14ac:dyDescent="0.35">
      <c r="A51" s="174" t="s">
        <v>751</v>
      </c>
      <c r="B51" s="169"/>
      <c r="C51" s="170"/>
      <c r="G51" s="7"/>
      <c r="H51" s="6"/>
      <c r="I51" s="6">
        <f>+I50/D50</f>
        <v>26.5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746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749</v>
      </c>
      <c r="D2" s="96" t="s">
        <v>3</v>
      </c>
      <c r="E2" s="95" t="s">
        <v>112</v>
      </c>
      <c r="F2" s="94" t="s">
        <v>5</v>
      </c>
      <c r="G2" s="93">
        <v>4070.6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60</v>
      </c>
      <c r="F3" s="88" t="s">
        <v>8</v>
      </c>
      <c r="G3" s="87">
        <v>25.25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67.843333333333334</v>
      </c>
      <c r="F4" s="81" t="s">
        <v>12</v>
      </c>
      <c r="G4" s="80">
        <f>G2*G3</f>
        <v>102782.65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-8.9877244049543448E-2</v>
      </c>
      <c r="F6" s="69" t="s">
        <v>16</v>
      </c>
      <c r="G6" s="68">
        <f>(I50-I19)/(D50-(SUM(D42:D44)+D19))</f>
        <v>31.735430326866005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>
        <f t="shared" ref="E10:E19" si="1">D10/$D$19</f>
        <v>0</v>
      </c>
      <c r="F10" s="28">
        <f t="shared" ref="F10:F18" si="2">C10-(C10*$E$6)</f>
        <v>27.573894274453451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>
        <f t="shared" si="1"/>
        <v>0</v>
      </c>
      <c r="F11" s="28">
        <f t="shared" si="2"/>
        <v>28.663771518502994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>
        <f t="shared" si="1"/>
        <v>0</v>
      </c>
      <c r="F12" s="28">
        <f t="shared" si="2"/>
        <v>26.157053857189041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>
        <f t="shared" si="1"/>
        <v>0</v>
      </c>
      <c r="F13" s="28">
        <f t="shared" si="2"/>
        <v>28.663771518502994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>
        <f t="shared" si="1"/>
        <v>0</v>
      </c>
      <c r="F14" s="28">
        <f t="shared" si="2"/>
        <v>32.042390975056577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>
        <f t="shared" si="1"/>
        <v>0</v>
      </c>
      <c r="F15" s="28">
        <f t="shared" si="2"/>
        <v>26.37502930599895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>
        <f t="shared" si="1"/>
        <v>0</v>
      </c>
      <c r="F16" s="28">
        <f t="shared" si="2"/>
        <v>36.183924502444846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48.8</v>
      </c>
      <c r="D17" s="30">
        <v>21.8</v>
      </c>
      <c r="E17" s="29">
        <f t="shared" si="1"/>
        <v>1</v>
      </c>
      <c r="F17" s="28">
        <f t="shared" si="2"/>
        <v>53.186009509617719</v>
      </c>
      <c r="G17" s="27" t="str">
        <f t="shared" si="3"/>
        <v>+</v>
      </c>
      <c r="H17" s="34">
        <f t="shared" si="4"/>
        <v>1063.8399999999999</v>
      </c>
      <c r="I17" s="34">
        <f t="shared" si="5"/>
        <v>1159.4550073096664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>
        <f t="shared" si="1"/>
        <v>0</v>
      </c>
      <c r="F18" s="28">
        <f t="shared" si="2"/>
        <v>46.646746045320455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48.8</v>
      </c>
      <c r="D19" s="49">
        <f>SUM(D10:D18)</f>
        <v>21.8</v>
      </c>
      <c r="E19" s="48">
        <f t="shared" si="1"/>
        <v>1</v>
      </c>
      <c r="F19" s="47">
        <f>I19/D19</f>
        <v>53.186009509617719</v>
      </c>
      <c r="G19" s="46">
        <f>F19/C19-1</f>
        <v>8.9877244049543448E-2</v>
      </c>
      <c r="H19" s="9">
        <f>SUM(H10:H18)</f>
        <v>1063.8399999999999</v>
      </c>
      <c r="I19" s="9">
        <f>SUM(I10:I18)</f>
        <v>1159.4550073096664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63.5</v>
      </c>
      <c r="D21" s="30">
        <v>46.7</v>
      </c>
      <c r="E21" s="29">
        <f>D21/$D$48</f>
        <v>1.1534281762497531E-2</v>
      </c>
      <c r="F21" s="28">
        <f>C21-(C21*$E$6)</f>
        <v>69.207204997146007</v>
      </c>
      <c r="G21" s="27" t="str">
        <f>IF(C21&gt;=F21,"-","+")</f>
        <v>+</v>
      </c>
      <c r="H21" s="26">
        <f>C21*D21</f>
        <v>2965.4500000000003</v>
      </c>
      <c r="I21" s="26">
        <f>F21*D21</f>
        <v>3231.9764733667189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42.6</v>
      </c>
      <c r="D22" s="30">
        <v>99.4</v>
      </c>
      <c r="E22" s="29">
        <f>D22/$D$48</f>
        <v>2.4550484094052558E-2</v>
      </c>
      <c r="F22" s="28">
        <f>C22-(C22*$E$6)</f>
        <v>46.428770596510553</v>
      </c>
      <c r="G22" s="27" t="str">
        <f>IF(C22&gt;=F22,"-","+")</f>
        <v>+</v>
      </c>
      <c r="H22" s="26">
        <f>C22*D22</f>
        <v>4234.4400000000005</v>
      </c>
      <c r="I22" s="26">
        <f>F22*D22</f>
        <v>4615.0197972931492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v>77</v>
      </c>
      <c r="E23" s="29">
        <f>D23/$D$48</f>
        <v>1.9017980636237896E-2</v>
      </c>
      <c r="F23" s="28">
        <f>C23-(C23*$E$6)</f>
        <v>42.396224793527239</v>
      </c>
      <c r="G23" s="27" t="str">
        <f>IF(C23&gt;=F23,"-","+")</f>
        <v>+</v>
      </c>
      <c r="H23" s="26">
        <f>C23*D23</f>
        <v>2995.2999999999997</v>
      </c>
      <c r="I23" s="26">
        <f>F23*D23</f>
        <v>3264.5093091015974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45.697848498431192</v>
      </c>
      <c r="D24" s="22">
        <f>SUM(D21:D23)</f>
        <v>223.10000000000002</v>
      </c>
      <c r="E24" s="21">
        <f>D24/$D$48</f>
        <v>5.5102746492787992E-2</v>
      </c>
      <c r="F24" s="20">
        <f>I24/D24</f>
        <v>49.805045180463758</v>
      </c>
      <c r="G24" s="19">
        <f>F24/C24-1</f>
        <v>8.9877244049543448E-2</v>
      </c>
      <c r="H24" s="18">
        <f>SUM(H21:H23)</f>
        <v>10195.19</v>
      </c>
      <c r="I24" s="18">
        <f>SUM(I21:I23)</f>
        <v>11111.505579761466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f>101.7+652</f>
        <v>753.7</v>
      </c>
      <c r="E26" s="29">
        <f t="shared" ref="E26:E32" si="7">D26/$D$48</f>
        <v>0.18615392214977278</v>
      </c>
      <c r="F26" s="28">
        <f t="shared" ref="F26:F31" si="8">C26-(C26*$E$6)</f>
        <v>36.946838573279521</v>
      </c>
      <c r="G26" s="27" t="str">
        <f t="shared" ref="G26:G31" si="9">IF(C26&gt;=F26,"-","+")</f>
        <v>+</v>
      </c>
      <c r="H26" s="26">
        <f t="shared" ref="H26:H31" si="10">C26*D26</f>
        <v>25550.43</v>
      </c>
      <c r="I26" s="26">
        <f t="shared" ref="I26:I31" si="11">F26*D26</f>
        <v>27846.832232680776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593.79999999999995</v>
      </c>
      <c r="E27" s="29">
        <f t="shared" si="7"/>
        <v>0.14666073898439042</v>
      </c>
      <c r="F27" s="28">
        <f t="shared" si="8"/>
        <v>32.914292770296214</v>
      </c>
      <c r="G27" s="27" t="str">
        <f t="shared" si="9"/>
        <v>+</v>
      </c>
      <c r="H27" s="26">
        <f t="shared" si="10"/>
        <v>17932.759999999998</v>
      </c>
      <c r="I27" s="26">
        <f t="shared" si="11"/>
        <v>19544.507047001891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313.7</v>
      </c>
      <c r="E28" s="29">
        <f t="shared" si="7"/>
        <v>7.7479747085556203E-2</v>
      </c>
      <c r="F28" s="28">
        <f t="shared" si="8"/>
        <v>32.914292770296214</v>
      </c>
      <c r="G28" s="27" t="str">
        <f t="shared" si="9"/>
        <v>+</v>
      </c>
      <c r="H28" s="26">
        <f t="shared" si="10"/>
        <v>9473.74</v>
      </c>
      <c r="I28" s="26">
        <f t="shared" si="11"/>
        <v>10325.213642041923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307.2</v>
      </c>
      <c r="E29" s="29">
        <f t="shared" si="7"/>
        <v>7.5874333135743918E-2</v>
      </c>
      <c r="F29" s="28">
        <f t="shared" si="8"/>
        <v>31.824415526246668</v>
      </c>
      <c r="G29" s="27" t="str">
        <f t="shared" si="9"/>
        <v>+</v>
      </c>
      <c r="H29" s="26">
        <f t="shared" si="10"/>
        <v>8970.24</v>
      </c>
      <c r="I29" s="26">
        <f t="shared" si="11"/>
        <v>9776.4604496629763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226</v>
      </c>
      <c r="E30" s="29">
        <f t="shared" si="7"/>
        <v>5.5819008101165773E-2</v>
      </c>
      <c r="F30" s="28">
        <f t="shared" si="8"/>
        <v>31.824415526246668</v>
      </c>
      <c r="G30" s="27" t="str">
        <f t="shared" si="9"/>
        <v>+</v>
      </c>
      <c r="H30" s="26">
        <f t="shared" si="10"/>
        <v>6599.2</v>
      </c>
      <c r="I30" s="26">
        <f t="shared" si="11"/>
        <v>7192.3179089317473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52</v>
      </c>
      <c r="E31" s="29">
        <f t="shared" si="7"/>
        <v>1.284331159849832E-2</v>
      </c>
      <c r="F31" s="28">
        <f t="shared" si="8"/>
        <v>32.369354148271441</v>
      </c>
      <c r="G31" s="27" t="str">
        <f t="shared" si="9"/>
        <v>+</v>
      </c>
      <c r="H31" s="26">
        <f t="shared" si="10"/>
        <v>1544.3999999999999</v>
      </c>
      <c r="I31" s="26">
        <f t="shared" si="11"/>
        <v>1683.2064157101149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31.192472400284895</v>
      </c>
      <c r="D32" s="22">
        <f>SUM(D26:D31)</f>
        <v>2246.4</v>
      </c>
      <c r="E32" s="21">
        <f t="shared" si="7"/>
        <v>0.55483106105512747</v>
      </c>
      <c r="F32" s="20">
        <f>I32/D32</f>
        <v>33.995965854713951</v>
      </c>
      <c r="G32" s="19">
        <f>F32/C32-1</f>
        <v>8.9877244049543448E-2</v>
      </c>
      <c r="H32" s="18">
        <f>SUM(H26:H31)</f>
        <v>70070.76999999999</v>
      </c>
      <c r="I32" s="18">
        <f>SUM(I26:I31)</f>
        <v>76368.537696029423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355+308.6</f>
        <v>663.6</v>
      </c>
      <c r="E34" s="29">
        <f t="shared" ref="E34:E40" si="13">D34/$D$48</f>
        <v>0.16390041493775934</v>
      </c>
      <c r="F34" s="28">
        <f t="shared" ref="F34:F39" si="14">C34-(C34*$E$6)</f>
        <v>19.399814944081875</v>
      </c>
      <c r="G34" s="27" t="str">
        <f t="shared" ref="G34:G39" si="15">IF(C34&gt;=F34,"-","+")</f>
        <v>+</v>
      </c>
      <c r="H34" s="26">
        <f t="shared" ref="H34:H39" si="16">C34*D34</f>
        <v>11812.080000000002</v>
      </c>
      <c r="I34" s="26">
        <f t="shared" ref="I34:I39" si="17">F34*D34</f>
        <v>12873.717196892732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60.3</v>
      </c>
      <c r="E35" s="29">
        <f t="shared" si="13"/>
        <v>1.4893301719027859E-2</v>
      </c>
      <c r="F35" s="28">
        <f t="shared" si="14"/>
        <v>14.931318243478744</v>
      </c>
      <c r="G35" s="27" t="str">
        <f t="shared" si="15"/>
        <v>+</v>
      </c>
      <c r="H35" s="26">
        <f t="shared" si="16"/>
        <v>826.1099999999999</v>
      </c>
      <c r="I35" s="26">
        <f t="shared" si="17"/>
        <v>900.3584900817682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11.988649684544978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31.824415526246668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31.824415526246668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32.914292770296214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17.458474927476175</v>
      </c>
      <c r="D40" s="22">
        <f>SUM(D34:D39)</f>
        <v>723.9</v>
      </c>
      <c r="E40" s="113">
        <f t="shared" si="13"/>
        <v>0.17879371665678717</v>
      </c>
      <c r="F40" s="20">
        <f>I40/D40</f>
        <v>19.027594539265785</v>
      </c>
      <c r="G40" s="19">
        <f>F40/C40-1</f>
        <v>8.9877244049543448E-2</v>
      </c>
      <c r="H40" s="18">
        <f>SUM(H34:H39)</f>
        <v>12638.190000000002</v>
      </c>
      <c r="I40" s="18">
        <f>SUM(I34:I39)</f>
        <v>13774.0756869745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370+396.8+52.7</f>
        <v>819.5</v>
      </c>
      <c r="E42" s="107">
        <f>D42/$D$48</f>
        <v>0.20240565105710334</v>
      </c>
      <c r="F42" s="28">
        <f>C42-(C42*$E$6)</f>
        <v>0.43595089761981742</v>
      </c>
      <c r="G42" s="27" t="str">
        <f>IF(C42&gt;=F42,"-","+")</f>
        <v>+</v>
      </c>
      <c r="H42" s="26">
        <f>C42*D42</f>
        <v>327.8</v>
      </c>
      <c r="I42" s="26">
        <f>F42*D42</f>
        <v>357.26176059944038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27.1</v>
      </c>
      <c r="E43" s="107">
        <f>D43/$D$48</f>
        <v>6.6933412369097013E-3</v>
      </c>
      <c r="F43" s="28">
        <f>C43-(C43*$E$6)</f>
        <v>0.43595089761981742</v>
      </c>
      <c r="G43" s="27" t="str">
        <f>IF(C43&gt;=F43,"-","+")</f>
        <v>+</v>
      </c>
      <c r="H43" s="26">
        <f>C43*D43</f>
        <v>10.840000000000002</v>
      </c>
      <c r="I43" s="26">
        <f>F43*D43</f>
        <v>11.814269325497053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8.8000000000000007</v>
      </c>
      <c r="E45" s="107">
        <f>D45/$D$48</f>
        <v>2.1734835012843312E-3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0.39588496609773205</v>
      </c>
      <c r="D46" s="22">
        <f>SUM(D41:D45)</f>
        <v>855.4</v>
      </c>
      <c r="E46" s="113">
        <f>D46/$D$48</f>
        <v>0.21127247579529734</v>
      </c>
      <c r="F46" s="20">
        <f>I46/D46</f>
        <v>0.43146601581124316</v>
      </c>
      <c r="G46" s="19">
        <f>F46/C46-1</f>
        <v>8.9877244049543448E-2</v>
      </c>
      <c r="H46" s="18">
        <f>SUM(H41:H44)</f>
        <v>338.64</v>
      </c>
      <c r="I46" s="18">
        <f>SUM(I41:I44)</f>
        <v>369.07602992493742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94.744680792289984</v>
      </c>
      <c r="D48" s="13">
        <f>D24+D32+D40+D46</f>
        <v>4048.8</v>
      </c>
      <c r="E48" s="12">
        <f>SUM(E20:E46)/2</f>
        <v>0.99999999999999989</v>
      </c>
      <c r="F48" s="11">
        <f>I48/D48</f>
        <v>25.099583825501465</v>
      </c>
      <c r="G48" s="10"/>
      <c r="H48" s="9">
        <f>SUM(H20:H46)/2</f>
        <v>93242.79</v>
      </c>
      <c r="I48" s="9">
        <f>SUM(I20:I46)/2</f>
        <v>101623.19499269033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4070.6000000000004</v>
      </c>
      <c r="E50" s="12">
        <f>D50/G2</f>
        <v>1.0000000000000002</v>
      </c>
      <c r="F50" s="11">
        <f>I50/D50</f>
        <v>25.249999999999996</v>
      </c>
      <c r="G50" s="10"/>
      <c r="H50" s="9">
        <f>H48+H19</f>
        <v>94306.62999999999</v>
      </c>
      <c r="I50" s="9">
        <f>I48+I19</f>
        <v>102782.65</v>
      </c>
      <c r="J50" s="106">
        <f>D50-G2</f>
        <v>0</v>
      </c>
      <c r="K50" s="8"/>
    </row>
    <row r="51" spans="1:11" ht="23.25" x14ac:dyDescent="0.35">
      <c r="A51" s="174" t="s">
        <v>752</v>
      </c>
      <c r="B51" s="169"/>
      <c r="C51" s="170"/>
      <c r="G51" s="7"/>
      <c r="H51" s="6"/>
      <c r="I51" s="6">
        <f>+I50/D50</f>
        <v>25.249999999999996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753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753</v>
      </c>
      <c r="D2" s="96" t="s">
        <v>3</v>
      </c>
      <c r="E2" s="95" t="s">
        <v>112</v>
      </c>
      <c r="F2" s="94" t="s">
        <v>5</v>
      </c>
      <c r="G2" s="93">
        <v>3531.7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62</v>
      </c>
      <c r="F3" s="88" t="s">
        <v>8</v>
      </c>
      <c r="G3" s="87">
        <v>23.88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56.96290322580645</v>
      </c>
      <c r="F4" s="81" t="s">
        <v>12</v>
      </c>
      <c r="G4" s="80">
        <f>G2*G3</f>
        <v>84336.995999999999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-0.12211738346008705</v>
      </c>
      <c r="F6" s="69" t="s">
        <v>16</v>
      </c>
      <c r="G6" s="68">
        <f>(I50-I19)/(D50-(SUM(D42:D44)+D19))</f>
        <v>31.00054989891564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23.9</v>
      </c>
      <c r="D10" s="30"/>
      <c r="E10" s="29" t="e">
        <f t="shared" ref="E10:E19" si="1">D10/$D$19</f>
        <v>#DIV/0!</v>
      </c>
      <c r="F10" s="28">
        <f t="shared" ref="F10:F18" si="2">C10-(C10*$E$6)</f>
        <v>26.818605464696077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24.9</v>
      </c>
      <c r="D11" s="30"/>
      <c r="E11" s="29" t="e">
        <f t="shared" si="1"/>
        <v>#DIV/0!</v>
      </c>
      <c r="F11" s="28">
        <f t="shared" si="2"/>
        <v>27.940722848156167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22.7</v>
      </c>
      <c r="D12" s="30"/>
      <c r="E12" s="29" t="e">
        <f t="shared" si="1"/>
        <v>#DIV/0!</v>
      </c>
      <c r="F12" s="28">
        <f t="shared" si="2"/>
        <v>25.472064604543974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24.9</v>
      </c>
      <c r="D13" s="30"/>
      <c r="E13" s="29" t="e">
        <f t="shared" si="1"/>
        <v>#DIV/0!</v>
      </c>
      <c r="F13" s="28">
        <f t="shared" si="2"/>
        <v>27.940722848156167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27.8</v>
      </c>
      <c r="D14" s="30"/>
      <c r="E14" s="29" t="e">
        <f t="shared" si="1"/>
        <v>#DIV/0!</v>
      </c>
      <c r="F14" s="28">
        <f t="shared" si="2"/>
        <v>31.19486326019042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22.9</v>
      </c>
      <c r="D15" s="30"/>
      <c r="E15" s="29" t="e">
        <f t="shared" si="1"/>
        <v>#DIV/0!</v>
      </c>
      <c r="F15" s="28">
        <f t="shared" si="2"/>
        <v>25.696488081235991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31.4</v>
      </c>
      <c r="D16" s="30"/>
      <c r="E16" s="29" t="e">
        <f t="shared" si="1"/>
        <v>#DIV/0!</v>
      </c>
      <c r="F16" s="28">
        <f t="shared" si="2"/>
        <v>35.234485840646734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46.2</v>
      </c>
      <c r="D17" s="30"/>
      <c r="E17" s="29" t="e">
        <f t="shared" si="1"/>
        <v>#DIV/0!</v>
      </c>
      <c r="F17" s="28">
        <f t="shared" si="2"/>
        <v>51.841823115856023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40.5</v>
      </c>
      <c r="D18" s="30"/>
      <c r="E18" s="29" t="e">
        <f t="shared" si="1"/>
        <v>#DIV/0!</v>
      </c>
      <c r="F18" s="28">
        <f t="shared" si="2"/>
        <v>45.445754030133529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60.1</v>
      </c>
      <c r="D21" s="30">
        <v>40.799999999999997</v>
      </c>
      <c r="E21" s="29">
        <f>D21/$D$48</f>
        <v>1.1552510122603844E-2</v>
      </c>
      <c r="F21" s="28">
        <f>C21-(C21*$E$6)</f>
        <v>67.439254745951231</v>
      </c>
      <c r="G21" s="27" t="str">
        <f>IF(C21&gt;=F21,"-","+")</f>
        <v>+</v>
      </c>
      <c r="H21" s="26">
        <f>C21*D21</f>
        <v>2452.08</v>
      </c>
      <c r="I21" s="26">
        <f>F21*D21</f>
        <v>2751.52159363481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40.299999999999997</v>
      </c>
      <c r="D22" s="30">
        <v>87.9</v>
      </c>
      <c r="E22" s="29">
        <f>D22/$D$48</f>
        <v>2.4888863720021519E-2</v>
      </c>
      <c r="F22" s="28">
        <f>C22-(C22*$E$6)</f>
        <v>45.221330553441504</v>
      </c>
      <c r="G22" s="27" t="str">
        <f>IF(C22&gt;=F22,"-","+")</f>
        <v>+</v>
      </c>
      <c r="H22" s="26">
        <f>C22*D22</f>
        <v>3542.37</v>
      </c>
      <c r="I22" s="26">
        <f>F22*D22</f>
        <v>3974.9549556475085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36.799999999999997</v>
      </c>
      <c r="D23" s="30">
        <v>62.6</v>
      </c>
      <c r="E23" s="29">
        <f>D23/$D$48</f>
        <v>1.7725174844975506E-2</v>
      </c>
      <c r="F23" s="28">
        <f>C23-(C23*$E$6)</f>
        <v>41.293919711331199</v>
      </c>
      <c r="G23" s="27" t="str">
        <f>IF(C23&gt;=F23,"-","+")</f>
        <v>+</v>
      </c>
      <c r="H23" s="26">
        <f>C23*D23</f>
        <v>2303.6799999999998</v>
      </c>
      <c r="I23" s="26">
        <f>F23*D23</f>
        <v>2584.9993739293332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43.377574490329323</v>
      </c>
      <c r="D24" s="22">
        <f>SUM(D21:D23)</f>
        <v>191.29999999999998</v>
      </c>
      <c r="E24" s="21">
        <f>D24/$D$48</f>
        <v>5.416654868760086E-2</v>
      </c>
      <c r="F24" s="20">
        <f>I24/D24</f>
        <v>48.674730387933366</v>
      </c>
      <c r="G24" s="19">
        <f>F24/C24-1</f>
        <v>0.12211738346008727</v>
      </c>
      <c r="H24" s="18">
        <f>SUM(H21:H23)</f>
        <v>8298.1299999999992</v>
      </c>
      <c r="I24" s="18">
        <f>SUM(I21:I23)</f>
        <v>9311.4759232116521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</v>
      </c>
      <c r="D26" s="30">
        <f>588+78</f>
        <v>666</v>
      </c>
      <c r="E26" s="29">
        <f t="shared" ref="E26:E32" si="7">D26/$D$48</f>
        <v>0.18857773876603334</v>
      </c>
      <c r="F26" s="28">
        <f t="shared" ref="F26:F31" si="8">C26-(C26*$E$6)</f>
        <v>35.907756270722786</v>
      </c>
      <c r="G26" s="27" t="str">
        <f t="shared" ref="G26:G31" si="9">IF(C26&gt;=F26,"-","+")</f>
        <v>+</v>
      </c>
      <c r="H26" s="26">
        <f t="shared" ref="H26:H31" si="10">C26*D26</f>
        <v>21312</v>
      </c>
      <c r="I26" s="26">
        <f t="shared" ref="I26:I31" si="11">F26*D26</f>
        <v>23914.565676301376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28.5</v>
      </c>
      <c r="D27" s="30">
        <v>525.70000000000005</v>
      </c>
      <c r="E27" s="29">
        <f t="shared" si="7"/>
        <v>0.14885182773168729</v>
      </c>
      <c r="F27" s="28">
        <f t="shared" si="8"/>
        <v>31.98034542861248</v>
      </c>
      <c r="G27" s="27" t="str">
        <f t="shared" si="9"/>
        <v>+</v>
      </c>
      <c r="H27" s="26">
        <f t="shared" si="10"/>
        <v>14982.45</v>
      </c>
      <c r="I27" s="26">
        <f t="shared" si="11"/>
        <v>16812.067591821582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28.5</v>
      </c>
      <c r="D28" s="30">
        <v>246.9</v>
      </c>
      <c r="E28" s="29">
        <f t="shared" si="7"/>
        <v>6.9909675227227672E-2</v>
      </c>
      <c r="F28" s="28">
        <f t="shared" si="8"/>
        <v>31.98034542861248</v>
      </c>
      <c r="G28" s="27" t="str">
        <f t="shared" si="9"/>
        <v>+</v>
      </c>
      <c r="H28" s="26">
        <f t="shared" si="10"/>
        <v>7036.6500000000005</v>
      </c>
      <c r="I28" s="26">
        <f t="shared" si="11"/>
        <v>7895.9472863244218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27.6</v>
      </c>
      <c r="D29" s="30">
        <v>238.7</v>
      </c>
      <c r="E29" s="29">
        <f t="shared" si="7"/>
        <v>6.7587847212390625E-2</v>
      </c>
      <c r="F29" s="28">
        <f t="shared" si="8"/>
        <v>30.970439783498403</v>
      </c>
      <c r="G29" s="27" t="str">
        <f t="shared" si="9"/>
        <v>+</v>
      </c>
      <c r="H29" s="26">
        <f t="shared" si="10"/>
        <v>6588.12</v>
      </c>
      <c r="I29" s="26">
        <f t="shared" si="11"/>
        <v>7392.6439763210683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27.6</v>
      </c>
      <c r="D30" s="30">
        <v>169</v>
      </c>
      <c r="E30" s="29">
        <f t="shared" si="7"/>
        <v>4.7852309086275725E-2</v>
      </c>
      <c r="F30" s="28">
        <f t="shared" si="8"/>
        <v>30.970439783498403</v>
      </c>
      <c r="G30" s="27" t="str">
        <f t="shared" si="9"/>
        <v>+</v>
      </c>
      <c r="H30" s="26">
        <f t="shared" si="10"/>
        <v>4664.4000000000005</v>
      </c>
      <c r="I30" s="26">
        <f t="shared" si="11"/>
        <v>5234.00432341123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28.1</v>
      </c>
      <c r="D31" s="30">
        <v>64</v>
      </c>
      <c r="E31" s="29">
        <f t="shared" si="7"/>
        <v>1.8121584506045247E-2</v>
      </c>
      <c r="F31" s="28">
        <f t="shared" si="8"/>
        <v>31.531498475228446</v>
      </c>
      <c r="G31" s="27" t="str">
        <f t="shared" si="9"/>
        <v>+</v>
      </c>
      <c r="H31" s="26">
        <f t="shared" si="10"/>
        <v>1798.4</v>
      </c>
      <c r="I31" s="26">
        <f t="shared" si="11"/>
        <v>2018.0159024146205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29.514746374914935</v>
      </c>
      <c r="D32" s="22">
        <f>SUM(D26:D31)</f>
        <v>1910.3000000000002</v>
      </c>
      <c r="E32" s="21">
        <f t="shared" si="7"/>
        <v>0.5409009825296599</v>
      </c>
      <c r="F32" s="20">
        <f>I32/D32</f>
        <v>33.119009975707634</v>
      </c>
      <c r="G32" s="19">
        <f>F32/C32-1</f>
        <v>0.12211738346008705</v>
      </c>
      <c r="H32" s="18">
        <f>SUM(H26:H31)</f>
        <v>56382.020000000004</v>
      </c>
      <c r="I32" s="18">
        <f>SUM(I26:I31)</f>
        <v>63267.244756594293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16.899999999999999</v>
      </c>
      <c r="D34" s="30">
        <f>300.3+260</f>
        <v>560.29999999999995</v>
      </c>
      <c r="E34" s="29">
        <f t="shared" ref="E34:E40" si="13">D34/$D$48</f>
        <v>0.15864880935526798</v>
      </c>
      <c r="F34" s="28">
        <f t="shared" ref="F34:F39" si="14">C34-(C34*$E$6)</f>
        <v>18.96378378047547</v>
      </c>
      <c r="G34" s="27" t="str">
        <f t="shared" ref="G34:G39" si="15">IF(C34&gt;=F34,"-","+")</f>
        <v>+</v>
      </c>
      <c r="H34" s="26">
        <f t="shared" ref="H34:H39" si="16">C34*D34</f>
        <v>9469.0699999999979</v>
      </c>
      <c r="I34" s="26">
        <f t="shared" ref="I34:I39" si="17">F34*D34</f>
        <v>10625.408052200406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</v>
      </c>
      <c r="D35" s="30">
        <v>52.7</v>
      </c>
      <c r="E35" s="29">
        <f t="shared" si="13"/>
        <v>1.4921992241696633E-2</v>
      </c>
      <c r="F35" s="28">
        <f t="shared" si="14"/>
        <v>14.587525984981131</v>
      </c>
      <c r="G35" s="27" t="str">
        <f t="shared" si="15"/>
        <v>+</v>
      </c>
      <c r="H35" s="26">
        <f t="shared" si="16"/>
        <v>685.1</v>
      </c>
      <c r="I35" s="26">
        <f t="shared" si="17"/>
        <v>768.76261940850566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11.670020787984905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27.6</v>
      </c>
      <c r="D37" s="30"/>
      <c r="E37" s="29">
        <f t="shared" si="13"/>
        <v>0</v>
      </c>
      <c r="F37" s="28">
        <f t="shared" si="14"/>
        <v>30.970439783498403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27.6</v>
      </c>
      <c r="D38" s="30"/>
      <c r="E38" s="29">
        <f t="shared" si="13"/>
        <v>0</v>
      </c>
      <c r="F38" s="28">
        <f t="shared" si="14"/>
        <v>30.970439783498403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28.5</v>
      </c>
      <c r="D39" s="30"/>
      <c r="E39" s="29">
        <f t="shared" si="13"/>
        <v>0</v>
      </c>
      <c r="F39" s="28">
        <f t="shared" si="14"/>
        <v>31.98034542861248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16.564714518760194</v>
      </c>
      <c r="D40" s="22">
        <f>SUM(D34:D39)</f>
        <v>613</v>
      </c>
      <c r="E40" s="113">
        <f t="shared" si="13"/>
        <v>0.17357080159696461</v>
      </c>
      <c r="F40" s="20">
        <f>I40/D40</f>
        <v>18.587554113554507</v>
      </c>
      <c r="G40" s="19">
        <f>F40/C40-1</f>
        <v>0.12211738346008727</v>
      </c>
      <c r="H40" s="18">
        <f>SUM(H34:H39)</f>
        <v>10154.169999999998</v>
      </c>
      <c r="I40" s="18">
        <f>SUM(I34:I39)</f>
        <v>11394.170671608912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383.1+43.6+355</f>
        <v>781.7</v>
      </c>
      <c r="E42" s="107">
        <f>D42/$D$48</f>
        <v>0.22133816575586829</v>
      </c>
      <c r="F42" s="28">
        <f>C42-(C42*$E$6)</f>
        <v>0.44884695338403485</v>
      </c>
      <c r="G42" s="27" t="str">
        <f>IF(C42&gt;=F42,"-","+")</f>
        <v>+</v>
      </c>
      <c r="H42" s="26">
        <f>C42*D42</f>
        <v>312.68000000000006</v>
      </c>
      <c r="I42" s="26">
        <f>F42*D42</f>
        <v>350.86366346030007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29.5</v>
      </c>
      <c r="E43" s="107">
        <f>D43/$D$48</f>
        <v>8.3529178582552304E-3</v>
      </c>
      <c r="F43" s="28">
        <f>C43-(C43*$E$6)</f>
        <v>0.44884695338403485</v>
      </c>
      <c r="G43" s="27" t="str">
        <f>IF(C43&gt;=F43,"-","+")</f>
        <v>+</v>
      </c>
      <c r="H43" s="26">
        <f>C43*D43</f>
        <v>11.8</v>
      </c>
      <c r="I43" s="26">
        <f>F43*D43</f>
        <v>13.240985124829027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5.9</v>
      </c>
      <c r="E45" s="107">
        <f>D45/$D$48</f>
        <v>1.6705835716510462E-3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0.39711173662954358</v>
      </c>
      <c r="D46" s="22">
        <f>SUM(D41:D45)</f>
        <v>817.1</v>
      </c>
      <c r="E46" s="113">
        <f>D46/$D$48</f>
        <v>0.23136166718577456</v>
      </c>
      <c r="F46" s="20">
        <f>I46/D46</f>
        <v>0.4456059828480346</v>
      </c>
      <c r="G46" s="19">
        <f>F46/C46-1</f>
        <v>0.12211738346008683</v>
      </c>
      <c r="H46" s="18">
        <f>SUM(H41:H44)</f>
        <v>324.48000000000008</v>
      </c>
      <c r="I46" s="18">
        <f>SUM(I41:I44)</f>
        <v>364.1046485851291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89.854147120633996</v>
      </c>
      <c r="D48" s="13">
        <f>D24+D32+D40+D46</f>
        <v>3531.7000000000003</v>
      </c>
      <c r="E48" s="12">
        <f>SUM(E20:E46)/2</f>
        <v>1</v>
      </c>
      <c r="F48" s="11">
        <f>I48/D48</f>
        <v>23.88</v>
      </c>
      <c r="G48" s="10"/>
      <c r="H48" s="9">
        <f>SUM(H20:H46)/2</f>
        <v>75158.8</v>
      </c>
      <c r="I48" s="9">
        <f>SUM(I20:I46)/2</f>
        <v>84336.995999999999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3531.7000000000003</v>
      </c>
      <c r="E50" s="12">
        <f>D50/G2</f>
        <v>1.0000000000000002</v>
      </c>
      <c r="F50" s="11">
        <f>I50/D50</f>
        <v>23.88</v>
      </c>
      <c r="G50" s="10"/>
      <c r="H50" s="9">
        <f>H48+H19</f>
        <v>75158.8</v>
      </c>
      <c r="I50" s="9">
        <f>I48+I19</f>
        <v>84336.995999999999</v>
      </c>
      <c r="J50" s="106">
        <f>D50-G2</f>
        <v>0</v>
      </c>
      <c r="K50" s="8"/>
    </row>
    <row r="51" spans="1:11" ht="23.25" x14ac:dyDescent="0.35">
      <c r="A51" s="174" t="s">
        <v>754</v>
      </c>
      <c r="B51" s="169"/>
      <c r="C51" s="170"/>
      <c r="G51" s="7"/>
      <c r="H51" s="6"/>
      <c r="I51" s="6">
        <f>+I50/D50</f>
        <v>23.88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753</v>
      </c>
      <c r="D1" s="100" t="s">
        <v>1</v>
      </c>
      <c r="E1" s="168" t="s">
        <v>732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753</v>
      </c>
      <c r="D2" s="96" t="s">
        <v>3</v>
      </c>
      <c r="E2" s="95" t="s">
        <v>112</v>
      </c>
      <c r="F2" s="94" t="s">
        <v>5</v>
      </c>
      <c r="G2" s="93">
        <v>5553.9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92</v>
      </c>
      <c r="F3" s="88" t="s">
        <v>8</v>
      </c>
      <c r="G3" s="87">
        <v>24.16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60.368478260869558</v>
      </c>
      <c r="F4" s="81" t="s">
        <v>12</v>
      </c>
      <c r="G4" s="80">
        <f>G2*G3</f>
        <v>134182.22399999999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-0.13247782513846418</v>
      </c>
      <c r="F6" s="69" t="s">
        <v>16</v>
      </c>
      <c r="G6" s="68">
        <f>(I50-I19)/(D50-(SUM(D42:D44)+D19))</f>
        <v>31.708822459059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24.2</v>
      </c>
      <c r="D10" s="30"/>
      <c r="E10" s="29" t="e">
        <f t="shared" ref="E10:E19" si="1">D10/$D$19</f>
        <v>#DIV/0!</v>
      </c>
      <c r="F10" s="28">
        <f t="shared" ref="F10:F18" si="2">C10-(C10*$E$6)</f>
        <v>27.405963368350832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25.2</v>
      </c>
      <c r="D11" s="30"/>
      <c r="E11" s="29" t="e">
        <f t="shared" si="1"/>
        <v>#DIV/0!</v>
      </c>
      <c r="F11" s="28">
        <f t="shared" si="2"/>
        <v>28.538441193489298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</v>
      </c>
      <c r="D12" s="30"/>
      <c r="E12" s="29" t="e">
        <f t="shared" si="1"/>
        <v>#DIV/0!</v>
      </c>
      <c r="F12" s="28">
        <f t="shared" si="2"/>
        <v>26.046989978184676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25.2</v>
      </c>
      <c r="D13" s="30"/>
      <c r="E13" s="29" t="e">
        <f t="shared" si="1"/>
        <v>#DIV/0!</v>
      </c>
      <c r="F13" s="28">
        <f t="shared" si="2"/>
        <v>28.538441193489298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28.1</v>
      </c>
      <c r="D14" s="30"/>
      <c r="E14" s="29" t="e">
        <f t="shared" si="1"/>
        <v>#DIV/0!</v>
      </c>
      <c r="F14" s="28">
        <f t="shared" si="2"/>
        <v>31.822626886390843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23.2</v>
      </c>
      <c r="D15" s="30"/>
      <c r="E15" s="29" t="e">
        <f t="shared" si="1"/>
        <v>#DIV/0!</v>
      </c>
      <c r="F15" s="28">
        <f t="shared" si="2"/>
        <v>26.273485543212367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31.8</v>
      </c>
      <c r="D16" s="30"/>
      <c r="E16" s="29" t="e">
        <f t="shared" si="1"/>
        <v>#DIV/0!</v>
      </c>
      <c r="F16" s="28">
        <f t="shared" si="2"/>
        <v>36.012794839403163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46.7</v>
      </c>
      <c r="D17" s="30"/>
      <c r="E17" s="29" t="e">
        <f t="shared" si="1"/>
        <v>#DIV/0!</v>
      </c>
      <c r="F17" s="28">
        <f t="shared" si="2"/>
        <v>52.886714433966283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40.9</v>
      </c>
      <c r="D18" s="30"/>
      <c r="E18" s="29" t="e">
        <f t="shared" si="1"/>
        <v>#DIV/0!</v>
      </c>
      <c r="F18" s="28">
        <f t="shared" si="2"/>
        <v>46.318343048163186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60.8</v>
      </c>
      <c r="D21" s="30">
        <v>73.400000000000006</v>
      </c>
      <c r="E21" s="29">
        <f>D21/$D$48</f>
        <v>1.3215938349628191E-2</v>
      </c>
      <c r="F21" s="28">
        <f>C21-(C21*$E$6)</f>
        <v>68.85465176841862</v>
      </c>
      <c r="G21" s="27" t="str">
        <f>IF(C21&gt;=F21,"-","+")</f>
        <v>+</v>
      </c>
      <c r="H21" s="26">
        <f>C21*D21</f>
        <v>4462.72</v>
      </c>
      <c r="I21" s="26">
        <f>F21*D21</f>
        <v>5053.9314398019269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40.799999999999997</v>
      </c>
      <c r="D22" s="30">
        <v>134.5</v>
      </c>
      <c r="E22" s="29">
        <f>D22/$D$48</f>
        <v>2.4217216730585717E-2</v>
      </c>
      <c r="F22" s="28">
        <f>C22-(C22*$E$6)</f>
        <v>46.205095265649334</v>
      </c>
      <c r="G22" s="27" t="str">
        <f>IF(C22&gt;=F22,"-","+")</f>
        <v>+</v>
      </c>
      <c r="H22" s="26">
        <f>C22*D22</f>
        <v>5487.5999999999995</v>
      </c>
      <c r="I22" s="26">
        <f>F22*D22</f>
        <v>6214.5853132298353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37.200000000000003</v>
      </c>
      <c r="D23" s="30">
        <v>101.4</v>
      </c>
      <c r="E23" s="29">
        <f>D23/$D$48</f>
        <v>1.8257440717333769E-2</v>
      </c>
      <c r="F23" s="28">
        <f>C23-(C23*$E$6)</f>
        <v>42.128175095150873</v>
      </c>
      <c r="G23" s="27" t="str">
        <f>IF(C23&gt;=F23,"-","+")</f>
        <v>+</v>
      </c>
      <c r="H23" s="26">
        <f>C23*D23</f>
        <v>3772.0800000000004</v>
      </c>
      <c r="I23" s="26">
        <f>F23*D23</f>
        <v>4271.7969546482991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44.365987714193338</v>
      </c>
      <c r="D24" s="22">
        <f>SUM(D21:D23)</f>
        <v>309.3</v>
      </c>
      <c r="E24" s="21">
        <f>D24/$D$48</f>
        <v>5.5690595797547676E-2</v>
      </c>
      <c r="F24" s="20">
        <f>I24/D24</f>
        <v>50.243497276689503</v>
      </c>
      <c r="G24" s="19">
        <f>F24/C24-1</f>
        <v>0.1324778251384644</v>
      </c>
      <c r="H24" s="18">
        <f>SUM(H21:H23)</f>
        <v>13722.4</v>
      </c>
      <c r="I24" s="18">
        <f>SUM(I21:I23)</f>
        <v>15540.313707680063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32.4</v>
      </c>
      <c r="D26" s="30">
        <f>847+155</f>
        <v>1002</v>
      </c>
      <c r="E26" s="29">
        <f t="shared" ref="E26:E32" si="7">D26/$D$48</f>
        <v>0.18041376330146386</v>
      </c>
      <c r="F26" s="28">
        <f t="shared" ref="F26:F31" si="8">C26-(C26*$E$6)</f>
        <v>36.692281534486241</v>
      </c>
      <c r="G26" s="27" t="str">
        <f t="shared" ref="G26:G31" si="9">IF(C26&gt;=F26,"-","+")</f>
        <v>+</v>
      </c>
      <c r="H26" s="26">
        <f t="shared" ref="H26:H31" si="10">C26*D26</f>
        <v>32464.799999999999</v>
      </c>
      <c r="I26" s="26">
        <f t="shared" ref="I26:I31" si="11">F26*D26</f>
        <v>36765.666097555215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28.9</v>
      </c>
      <c r="D27" s="30">
        <v>771.4</v>
      </c>
      <c r="E27" s="29">
        <f t="shared" si="7"/>
        <v>0.13889339023028863</v>
      </c>
      <c r="F27" s="28">
        <f t="shared" si="8"/>
        <v>32.728609146501611</v>
      </c>
      <c r="G27" s="27" t="str">
        <f t="shared" si="9"/>
        <v>+</v>
      </c>
      <c r="H27" s="26">
        <f t="shared" si="10"/>
        <v>22293.46</v>
      </c>
      <c r="I27" s="26">
        <f t="shared" si="11"/>
        <v>25246.849095611342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28.9</v>
      </c>
      <c r="D28" s="30">
        <v>366.9</v>
      </c>
      <c r="E28" s="29">
        <f t="shared" si="7"/>
        <v>6.6061686382541993E-2</v>
      </c>
      <c r="F28" s="28">
        <f t="shared" si="8"/>
        <v>32.728609146501611</v>
      </c>
      <c r="G28" s="27" t="str">
        <f t="shared" si="9"/>
        <v>+</v>
      </c>
      <c r="H28" s="26">
        <f t="shared" si="10"/>
        <v>10603.409999999998</v>
      </c>
      <c r="I28" s="26">
        <f t="shared" si="11"/>
        <v>12008.126695851441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27.9</v>
      </c>
      <c r="D29" s="30">
        <v>378.2</v>
      </c>
      <c r="E29" s="29">
        <f t="shared" si="7"/>
        <v>6.8096292695223173E-2</v>
      </c>
      <c r="F29" s="28">
        <f t="shared" si="8"/>
        <v>31.596131321363149</v>
      </c>
      <c r="G29" s="27" t="str">
        <f t="shared" si="9"/>
        <v>+</v>
      </c>
      <c r="H29" s="26">
        <f t="shared" si="10"/>
        <v>10551.779999999999</v>
      </c>
      <c r="I29" s="26">
        <f t="shared" si="11"/>
        <v>11949.656865739542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27.9</v>
      </c>
      <c r="D30" s="30">
        <v>314.60000000000002</v>
      </c>
      <c r="E30" s="29">
        <f t="shared" si="7"/>
        <v>5.6644880174291944E-2</v>
      </c>
      <c r="F30" s="28">
        <f t="shared" si="8"/>
        <v>31.596131321363149</v>
      </c>
      <c r="G30" s="27" t="str">
        <f t="shared" si="9"/>
        <v>+</v>
      </c>
      <c r="H30" s="26">
        <f t="shared" si="10"/>
        <v>8777.34</v>
      </c>
      <c r="I30" s="26">
        <f t="shared" si="11"/>
        <v>9940.1429137008472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28.4</v>
      </c>
      <c r="D31" s="30">
        <v>92.6</v>
      </c>
      <c r="E31" s="29">
        <f t="shared" si="7"/>
        <v>1.6672968544626299E-2</v>
      </c>
      <c r="F31" s="28">
        <f t="shared" si="8"/>
        <v>32.162370233932378</v>
      </c>
      <c r="G31" s="27" t="str">
        <f t="shared" si="9"/>
        <v>+</v>
      </c>
      <c r="H31" s="26">
        <f t="shared" si="10"/>
        <v>2629.8399999999997</v>
      </c>
      <c r="I31" s="26">
        <f t="shared" si="11"/>
        <v>2978.235483662138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29.846064189766544</v>
      </c>
      <c r="D32" s="22">
        <f>SUM(D26:D31)</f>
        <v>2925.7</v>
      </c>
      <c r="E32" s="21">
        <f t="shared" si="7"/>
        <v>0.52678298132843593</v>
      </c>
      <c r="F32" s="20">
        <f>I32/D32</f>
        <v>33.800005862569826</v>
      </c>
      <c r="G32" s="19">
        <f>F32/C32-1</f>
        <v>0.13247782513846462</v>
      </c>
      <c r="H32" s="18">
        <f>SUM(H26:H31)</f>
        <v>87320.629999999976</v>
      </c>
      <c r="I32" s="18">
        <f>SUM(I26:I31)</f>
        <v>98888.677152120537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17.100000000000001</v>
      </c>
      <c r="D34" s="30">
        <f>485.1+504</f>
        <v>989.1</v>
      </c>
      <c r="E34" s="29">
        <f t="shared" ref="E34:E40" si="13">D34/$D$48</f>
        <v>0.1780910711391995</v>
      </c>
      <c r="F34" s="28">
        <f t="shared" ref="F34:F39" si="14">C34-(C34*$E$6)</f>
        <v>19.365370809867738</v>
      </c>
      <c r="G34" s="27" t="str">
        <f t="shared" ref="G34:G39" si="15">IF(C34&gt;=F34,"-","+")</f>
        <v>+</v>
      </c>
      <c r="H34" s="26">
        <f t="shared" ref="H34:H39" si="16">C34*D34</f>
        <v>16913.61</v>
      </c>
      <c r="I34" s="26">
        <f t="shared" ref="I34:I39" si="17">F34*D34</f>
        <v>19154.288268040178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13.1</v>
      </c>
      <c r="D35" s="30"/>
      <c r="E35" s="29">
        <f t="shared" si="13"/>
        <v>0</v>
      </c>
      <c r="F35" s="28">
        <f t="shared" si="14"/>
        <v>14.83545950931388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12.004264946467719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27.9</v>
      </c>
      <c r="D37" s="30"/>
      <c r="E37" s="29">
        <f t="shared" si="13"/>
        <v>0</v>
      </c>
      <c r="F37" s="28">
        <f t="shared" si="14"/>
        <v>31.596131321363149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27.9</v>
      </c>
      <c r="D38" s="30"/>
      <c r="E38" s="29">
        <f t="shared" si="13"/>
        <v>0</v>
      </c>
      <c r="F38" s="28">
        <f t="shared" si="14"/>
        <v>31.596131321363149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28.9</v>
      </c>
      <c r="D39" s="30"/>
      <c r="E39" s="29">
        <f t="shared" si="13"/>
        <v>0</v>
      </c>
      <c r="F39" s="28">
        <f t="shared" si="14"/>
        <v>32.728609146501611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17.100000000000001</v>
      </c>
      <c r="D40" s="22">
        <f>SUM(D34:D39)</f>
        <v>989.1</v>
      </c>
      <c r="E40" s="113">
        <f t="shared" si="13"/>
        <v>0.1780910711391995</v>
      </c>
      <c r="F40" s="20">
        <f>I40/D40</f>
        <v>19.365370809867738</v>
      </c>
      <c r="G40" s="19">
        <f>F40/C40-1</f>
        <v>0.13247782513846418</v>
      </c>
      <c r="H40" s="18">
        <f>SUM(H34:H39)</f>
        <v>16913.61</v>
      </c>
      <c r="I40" s="18">
        <f>SUM(I34:I39)</f>
        <v>19154.288268040178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75.9+615.7+580</f>
        <v>1271.5999999999999</v>
      </c>
      <c r="E42" s="107">
        <f>D42/$D$48</f>
        <v>0.22895622895622894</v>
      </c>
      <c r="F42" s="28">
        <f>C42-(C42*$E$6)</f>
        <v>0.45299113005538572</v>
      </c>
      <c r="G42" s="27" t="str">
        <f>IF(C42&gt;=F42,"-","+")</f>
        <v>+</v>
      </c>
      <c r="H42" s="26">
        <f>C42*D42</f>
        <v>508.64</v>
      </c>
      <c r="I42" s="26">
        <f>F42*D42</f>
        <v>576.02352097842845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50.6</v>
      </c>
      <c r="E43" s="107">
        <f>D43/$D$48</f>
        <v>9.1107149930679358E-3</v>
      </c>
      <c r="F43" s="28">
        <f>C43-(C43*$E$6)</f>
        <v>0.45299113005538572</v>
      </c>
      <c r="G43" s="27" t="str">
        <f>IF(C43&gt;=F43,"-","+")</f>
        <v>+</v>
      </c>
      <c r="H43" s="26">
        <f>C43*D43</f>
        <v>20.240000000000002</v>
      </c>
      <c r="I43" s="26">
        <f>F43*D43</f>
        <v>22.921351180802517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7.6</v>
      </c>
      <c r="E45" s="107">
        <f>D45/$D$48</f>
        <v>1.368407785520085E-3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0.39771394194615739</v>
      </c>
      <c r="D46" s="22">
        <f>SUM(D41:D45)</f>
        <v>1329.7999999999997</v>
      </c>
      <c r="E46" s="113">
        <f>D46/$D$48</f>
        <v>0.23943535173481695</v>
      </c>
      <c r="F46" s="20">
        <f>I46/D46</f>
        <v>0.45040222000242974</v>
      </c>
      <c r="G46" s="19">
        <f>F46/C46-1</f>
        <v>0.13247782513846418</v>
      </c>
      <c r="H46" s="18">
        <f>SUM(H41:H44)</f>
        <v>528.88</v>
      </c>
      <c r="I46" s="18">
        <f>SUM(I41:I44)</f>
        <v>598.94487215923095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91.709765845906034</v>
      </c>
      <c r="D48" s="13">
        <f>D24+D32+D40+D46</f>
        <v>5553.9</v>
      </c>
      <c r="E48" s="12">
        <f>SUM(E20:E46)/2</f>
        <v>1</v>
      </c>
      <c r="F48" s="11">
        <f>I48/D48</f>
        <v>24.16</v>
      </c>
      <c r="G48" s="10"/>
      <c r="H48" s="9">
        <f>SUM(H20:H46)/2</f>
        <v>118485.51999999999</v>
      </c>
      <c r="I48" s="9">
        <f>SUM(I20:I46)/2</f>
        <v>134182.22399999999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5553.9000000000005</v>
      </c>
      <c r="E50" s="12">
        <f>D50/G2</f>
        <v>1.0000000000000002</v>
      </c>
      <c r="F50" s="11">
        <f>I50/D50</f>
        <v>24.159999999999997</v>
      </c>
      <c r="G50" s="10"/>
      <c r="H50" s="9">
        <f>H48+H19</f>
        <v>118485.51999999999</v>
      </c>
      <c r="I50" s="9">
        <f>I48+I19</f>
        <v>134182.22399999999</v>
      </c>
      <c r="J50" s="106">
        <f>D50-G2</f>
        <v>0</v>
      </c>
      <c r="K50" s="8"/>
    </row>
    <row r="51" spans="1:11" ht="23.25" x14ac:dyDescent="0.35">
      <c r="A51" s="174" t="s">
        <v>755</v>
      </c>
      <c r="B51" s="169"/>
      <c r="C51" s="170"/>
      <c r="G51" s="7"/>
      <c r="H51" s="6"/>
      <c r="I51" s="6">
        <f>+I50/D50</f>
        <v>24.159999999999997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756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753</v>
      </c>
      <c r="D2" s="96" t="s">
        <v>3</v>
      </c>
      <c r="E2" s="95" t="s">
        <v>112</v>
      </c>
      <c r="F2" s="94" t="s">
        <v>5</v>
      </c>
      <c r="G2" s="93">
        <v>3379.7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50</v>
      </c>
      <c r="F3" s="88" t="s">
        <v>8</v>
      </c>
      <c r="G3" s="87">
        <v>24.42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67.593999999999994</v>
      </c>
      <c r="F4" s="81" t="s">
        <v>12</v>
      </c>
      <c r="G4" s="80">
        <f>G2*G3</f>
        <v>82532.274000000005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-0.10114973782871495</v>
      </c>
      <c r="F6" s="69" t="s">
        <v>16</v>
      </c>
      <c r="G6" s="68">
        <f>(I50-I19)/(D50-(SUM(D42:D44)+D19))</f>
        <v>31.145429638854303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24.4</v>
      </c>
      <c r="D10" s="30"/>
      <c r="E10" s="29" t="e">
        <f t="shared" ref="E10:E19" si="1">D10/$D$19</f>
        <v>#DIV/0!</v>
      </c>
      <c r="F10" s="28">
        <f t="shared" ref="F10:F18" si="2">C10-(C10*$E$6)</f>
        <v>26.868053603020641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25.4</v>
      </c>
      <c r="D11" s="30"/>
      <c r="E11" s="29" t="e">
        <f t="shared" si="1"/>
        <v>#DIV/0!</v>
      </c>
      <c r="F11" s="28">
        <f t="shared" si="2"/>
        <v>27.969203340849358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23.2</v>
      </c>
      <c r="D12" s="30"/>
      <c r="E12" s="29" t="e">
        <f t="shared" si="1"/>
        <v>#DIV/0!</v>
      </c>
      <c r="F12" s="28">
        <f t="shared" si="2"/>
        <v>25.546673917626187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25.4</v>
      </c>
      <c r="D13" s="30"/>
      <c r="E13" s="29" t="e">
        <f t="shared" si="1"/>
        <v>#DIV/0!</v>
      </c>
      <c r="F13" s="28">
        <f t="shared" si="2"/>
        <v>27.969203340849358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28.4</v>
      </c>
      <c r="D14" s="30"/>
      <c r="E14" s="29" t="e">
        <f t="shared" si="1"/>
        <v>#DIV/0!</v>
      </c>
      <c r="F14" s="28">
        <f t="shared" si="2"/>
        <v>31.272652554335501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23.4</v>
      </c>
      <c r="D15" s="30"/>
      <c r="E15" s="29" t="e">
        <f t="shared" si="1"/>
        <v>#DIV/0!</v>
      </c>
      <c r="F15" s="28">
        <f t="shared" si="2"/>
        <v>25.766903865191928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32.1</v>
      </c>
      <c r="D16" s="30"/>
      <c r="E16" s="29" t="e">
        <f t="shared" si="1"/>
        <v>#DIV/0!</v>
      </c>
      <c r="F16" s="28">
        <f t="shared" si="2"/>
        <v>35.346906584301749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47.2</v>
      </c>
      <c r="D17" s="30"/>
      <c r="E17" s="29" t="e">
        <f t="shared" si="1"/>
        <v>#DIV/0!</v>
      </c>
      <c r="F17" s="28">
        <f t="shared" si="2"/>
        <v>51.974267625515353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41.4</v>
      </c>
      <c r="D18" s="30"/>
      <c r="E18" s="29" t="e">
        <f t="shared" si="1"/>
        <v>#DIV/0!</v>
      </c>
      <c r="F18" s="28">
        <f t="shared" si="2"/>
        <v>45.587599146108801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61.4</v>
      </c>
      <c r="D21" s="30">
        <v>40.9</v>
      </c>
      <c r="E21" s="29">
        <f>D21/$D$48</f>
        <v>1.2101665828327958E-2</v>
      </c>
      <c r="F21" s="28">
        <f>C21-(C21*$E$6)</f>
        <v>67.610593902683092</v>
      </c>
      <c r="G21" s="27" t="str">
        <f>IF(C21&gt;=F21,"-","+")</f>
        <v>+</v>
      </c>
      <c r="H21" s="26">
        <f>C21*D21</f>
        <v>2511.2599999999998</v>
      </c>
      <c r="I21" s="26">
        <f>F21*D21</f>
        <v>2765.2732906197384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41.2</v>
      </c>
      <c r="D22" s="30">
        <v>86</v>
      </c>
      <c r="E22" s="29">
        <f>D22/$D$48</f>
        <v>2.5446045506997663E-2</v>
      </c>
      <c r="F22" s="28">
        <f>C22-(C22*$E$6)</f>
        <v>45.367369198543059</v>
      </c>
      <c r="G22" s="27" t="str">
        <f>IF(C22&gt;=F22,"-","+")</f>
        <v>+</v>
      </c>
      <c r="H22" s="26">
        <f>C22*D22</f>
        <v>3543.2000000000003</v>
      </c>
      <c r="I22" s="26">
        <f>F22*D22</f>
        <v>3901.5937510747031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37.6</v>
      </c>
      <c r="D23" s="30">
        <v>67.2</v>
      </c>
      <c r="E23" s="29">
        <f>D23/$D$48</f>
        <v>1.9883421605467941E-2</v>
      </c>
      <c r="F23" s="28">
        <f>C23-(C23*$E$6)</f>
        <v>41.403230142359682</v>
      </c>
      <c r="G23" s="27" t="str">
        <f>IF(C23&gt;=F23,"-","+")</f>
        <v>+</v>
      </c>
      <c r="H23" s="26">
        <f>C23*D23</f>
        <v>2526.7200000000003</v>
      </c>
      <c r="I23" s="26">
        <f>F23*D23</f>
        <v>2782.2970655665708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44.210097887686757</v>
      </c>
      <c r="D24" s="22">
        <f>SUM(D21:D23)</f>
        <v>194.10000000000002</v>
      </c>
      <c r="E24" s="21">
        <f>D24/$D$48</f>
        <v>5.7431132940793571E-2</v>
      </c>
      <c r="F24" s="20">
        <f>I24/D24</f>
        <v>48.681937698408099</v>
      </c>
      <c r="G24" s="19">
        <f>F24/C24-1</f>
        <v>0.10114973782871495</v>
      </c>
      <c r="H24" s="18">
        <f>SUM(H21:H23)</f>
        <v>8581.18</v>
      </c>
      <c r="I24" s="18">
        <f>SUM(I21:I23)</f>
        <v>9449.1641072610128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32.799999999999997</v>
      </c>
      <c r="D26" s="30">
        <v>634</v>
      </c>
      <c r="E26" s="29">
        <f t="shared" ref="E26:E32" si="7">D26/$D$48</f>
        <v>0.18759061455158743</v>
      </c>
      <c r="F26" s="28">
        <f t="shared" ref="F26:F31" si="8">C26-(C26*$E$6)</f>
        <v>36.11771140078185</v>
      </c>
      <c r="G26" s="27" t="str">
        <f t="shared" ref="G26:G31" si="9">IF(C26&gt;=F26,"-","+")</f>
        <v>+</v>
      </c>
      <c r="H26" s="26">
        <f t="shared" ref="H26:H31" si="10">C26*D26</f>
        <v>20795.199999999997</v>
      </c>
      <c r="I26" s="26">
        <f t="shared" ref="I26:I31" si="11">F26*D26</f>
        <v>22898.629028095693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29.2</v>
      </c>
      <c r="D27" s="30">
        <v>504.6</v>
      </c>
      <c r="E27" s="29">
        <f t="shared" si="7"/>
        <v>0.1493031925910584</v>
      </c>
      <c r="F27" s="28">
        <f t="shared" si="8"/>
        <v>32.153572344598473</v>
      </c>
      <c r="G27" s="27" t="str">
        <f t="shared" si="9"/>
        <v>+</v>
      </c>
      <c r="H27" s="26">
        <f t="shared" si="10"/>
        <v>14734.32</v>
      </c>
      <c r="I27" s="26">
        <f t="shared" si="11"/>
        <v>16224.69260508439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29.2</v>
      </c>
      <c r="D28" s="30">
        <v>221.8</v>
      </c>
      <c r="E28" s="29">
        <f t="shared" si="7"/>
        <v>6.5627126668047472E-2</v>
      </c>
      <c r="F28" s="28">
        <f t="shared" si="8"/>
        <v>32.153572344598473</v>
      </c>
      <c r="G28" s="27" t="str">
        <f t="shared" si="9"/>
        <v>+</v>
      </c>
      <c r="H28" s="26">
        <f t="shared" si="10"/>
        <v>6476.56</v>
      </c>
      <c r="I28" s="26">
        <f t="shared" si="11"/>
        <v>7131.6623460319415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28.2</v>
      </c>
      <c r="D29" s="30">
        <v>254.5</v>
      </c>
      <c r="E29" s="29">
        <f t="shared" si="7"/>
        <v>7.530254164570821E-2</v>
      </c>
      <c r="F29" s="28">
        <f t="shared" si="8"/>
        <v>31.05242260676976</v>
      </c>
      <c r="G29" s="27" t="str">
        <f t="shared" si="9"/>
        <v>+</v>
      </c>
      <c r="H29" s="26">
        <f t="shared" si="10"/>
        <v>7176.9</v>
      </c>
      <c r="I29" s="26">
        <f t="shared" si="11"/>
        <v>7902.8415534229034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28.2</v>
      </c>
      <c r="D30" s="30">
        <v>173.4</v>
      </c>
      <c r="E30" s="29">
        <f t="shared" si="7"/>
        <v>5.1306328964109242E-2</v>
      </c>
      <c r="F30" s="28">
        <f t="shared" si="8"/>
        <v>31.05242260676976</v>
      </c>
      <c r="G30" s="27" t="str">
        <f t="shared" si="9"/>
        <v>+</v>
      </c>
      <c r="H30" s="26">
        <f t="shared" si="10"/>
        <v>4889.88</v>
      </c>
      <c r="I30" s="26">
        <f t="shared" si="11"/>
        <v>5384.4900800138766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28.7</v>
      </c>
      <c r="D31" s="30">
        <v>62.3</v>
      </c>
      <c r="E31" s="29">
        <f t="shared" si="7"/>
        <v>1.8433588780069236E-2</v>
      </c>
      <c r="F31" s="28">
        <f t="shared" si="8"/>
        <v>31.60299747568412</v>
      </c>
      <c r="G31" s="27" t="str">
        <f t="shared" si="9"/>
        <v>+</v>
      </c>
      <c r="H31" s="26">
        <f t="shared" si="10"/>
        <v>1788.0099999999998</v>
      </c>
      <c r="I31" s="26">
        <f t="shared" si="11"/>
        <v>1968.8667427351206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30.18527504593105</v>
      </c>
      <c r="D32" s="22">
        <f>SUM(D26:D31)</f>
        <v>1850.6</v>
      </c>
      <c r="E32" s="21">
        <f t="shared" si="7"/>
        <v>0.5475633932005799</v>
      </c>
      <c r="F32" s="20">
        <f>I32/D32</f>
        <v>33.238507703114621</v>
      </c>
      <c r="G32" s="19">
        <f>F32/C32-1</f>
        <v>0.10114973782871473</v>
      </c>
      <c r="H32" s="18">
        <f>SUM(H26:H31)</f>
        <v>55860.869999999995</v>
      </c>
      <c r="I32" s="18">
        <f>SUM(I26:I31)</f>
        <v>61511.18235538392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</v>
      </c>
      <c r="D34" s="30">
        <f>265.5+290.1</f>
        <v>555.6</v>
      </c>
      <c r="E34" s="29">
        <f t="shared" ref="E34:E40" si="13">D34/$D$48</f>
        <v>0.16439328934520817</v>
      </c>
      <c r="F34" s="28">
        <f t="shared" ref="F34:F39" si="14">C34-(C34*$E$6)</f>
        <v>19.049890464436771</v>
      </c>
      <c r="G34" s="27" t="str">
        <f t="shared" ref="G34:G39" si="15">IF(C34&gt;=F34,"-","+")</f>
        <v>+</v>
      </c>
      <c r="H34" s="26">
        <f t="shared" ref="H34:H39" si="16">C34*D34</f>
        <v>9611.880000000001</v>
      </c>
      <c r="I34" s="26">
        <f t="shared" ref="I34:I39" si="17">F34*D34</f>
        <v>10584.119142041071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>
        <v>45.5</v>
      </c>
      <c r="E35" s="29">
        <f t="shared" si="13"/>
        <v>1.3462733378702253E-2</v>
      </c>
      <c r="F35" s="28">
        <f t="shared" si="14"/>
        <v>14.64529151312191</v>
      </c>
      <c r="G35" s="27" t="str">
        <f t="shared" si="15"/>
        <v>+</v>
      </c>
      <c r="H35" s="26">
        <f t="shared" si="16"/>
        <v>605.15</v>
      </c>
      <c r="I35" s="26">
        <f t="shared" si="17"/>
        <v>666.36076384704688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11.782302194767249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28.2</v>
      </c>
      <c r="D37" s="30"/>
      <c r="E37" s="29">
        <f t="shared" si="13"/>
        <v>0</v>
      </c>
      <c r="F37" s="28">
        <f t="shared" si="14"/>
        <v>31.05242260676976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28.2</v>
      </c>
      <c r="D38" s="30"/>
      <c r="E38" s="29">
        <f t="shared" si="13"/>
        <v>0</v>
      </c>
      <c r="F38" s="28">
        <f t="shared" si="14"/>
        <v>31.05242260676976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29.2</v>
      </c>
      <c r="D39" s="30"/>
      <c r="E39" s="29">
        <f t="shared" si="13"/>
        <v>0</v>
      </c>
      <c r="F39" s="28">
        <f t="shared" si="14"/>
        <v>32.153572344598473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16.997221760106473</v>
      </c>
      <c r="D40" s="22">
        <f>SUM(D34:D39)</f>
        <v>601.1</v>
      </c>
      <c r="E40" s="113">
        <f t="shared" si="13"/>
        <v>0.17785602272391043</v>
      </c>
      <c r="F40" s="20">
        <f>I40/D40</f>
        <v>18.716486284957774</v>
      </c>
      <c r="G40" s="19">
        <f>F40/C40-1</f>
        <v>0.10114973782871517</v>
      </c>
      <c r="H40" s="18">
        <f>SUM(H34:H39)</f>
        <v>10217.030000000001</v>
      </c>
      <c r="I40" s="18">
        <f>SUM(I34:I39)</f>
        <v>11250.479905888118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320+43.6+339.8</f>
        <v>703.40000000000009</v>
      </c>
      <c r="E42" s="107">
        <f>D42/$D$48</f>
        <v>0.20812498150723441</v>
      </c>
      <c r="F42" s="28">
        <f>C42-(C42*$E$6)</f>
        <v>0.44045989513148598</v>
      </c>
      <c r="G42" s="27" t="str">
        <f>IF(C42&gt;=F42,"-","+")</f>
        <v>+</v>
      </c>
      <c r="H42" s="26">
        <f>C42*D42</f>
        <v>281.36000000000007</v>
      </c>
      <c r="I42" s="26">
        <f>F42*D42</f>
        <v>309.81949023548725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26.4</v>
      </c>
      <c r="E43" s="107">
        <f>D43/$D$48</f>
        <v>7.8113442021481199E-3</v>
      </c>
      <c r="F43" s="28">
        <f>C43-(C43*$E$6)</f>
        <v>0.44045989513148598</v>
      </c>
      <c r="G43" s="27" t="str">
        <f>IF(C43&gt;=F43,"-","+")</f>
        <v>+</v>
      </c>
      <c r="H43" s="26">
        <f>C43*D43</f>
        <v>10.56</v>
      </c>
      <c r="I43" s="26">
        <f>F43*D43</f>
        <v>11.628141231471229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1.2131254253336095E-3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0.39776536312849164</v>
      </c>
      <c r="D46" s="22">
        <f>SUM(D41:D45)</f>
        <v>733.90000000000009</v>
      </c>
      <c r="E46" s="113">
        <f>D46/$D$48</f>
        <v>0.21714945113471615</v>
      </c>
      <c r="F46" s="20">
        <f>I46/D46</f>
        <v>0.43799922532628205</v>
      </c>
      <c r="G46" s="19">
        <f>F46/C46-1</f>
        <v>0.10114973782871473</v>
      </c>
      <c r="H46" s="18">
        <f>SUM(H41:H44)</f>
        <v>291.92000000000007</v>
      </c>
      <c r="I46" s="18">
        <f>SUM(I41:I44)</f>
        <v>321.44763146695846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91.790360056852762</v>
      </c>
      <c r="D48" s="13">
        <f>D24+D32+D40+D46</f>
        <v>3379.7</v>
      </c>
      <c r="E48" s="12">
        <f>SUM(E20:E46)/2</f>
        <v>1.0000000000000002</v>
      </c>
      <c r="F48" s="11">
        <f>I48/D48</f>
        <v>24.42</v>
      </c>
      <c r="G48" s="10"/>
      <c r="H48" s="9">
        <f>SUM(H20:H46)/2</f>
        <v>74950.999999999985</v>
      </c>
      <c r="I48" s="9">
        <f>SUM(I20:I46)/2</f>
        <v>82532.274000000005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3379.7</v>
      </c>
      <c r="E50" s="12">
        <f>D50/G2</f>
        <v>1</v>
      </c>
      <c r="F50" s="11">
        <f>I50/D50</f>
        <v>24.42</v>
      </c>
      <c r="G50" s="10"/>
      <c r="H50" s="9">
        <f>H48+H19</f>
        <v>74950.999999999985</v>
      </c>
      <c r="I50" s="9">
        <f>I48+I19</f>
        <v>82532.274000000005</v>
      </c>
      <c r="J50" s="106">
        <f>D50-G2</f>
        <v>0</v>
      </c>
      <c r="K50" s="8"/>
    </row>
    <row r="51" spans="1:11" ht="23.25" x14ac:dyDescent="0.35">
      <c r="A51" s="174" t="s">
        <v>757</v>
      </c>
      <c r="B51" s="169"/>
      <c r="C51" s="170"/>
      <c r="G51" s="7"/>
      <c r="H51" s="6"/>
      <c r="I51" s="6">
        <f>+I50/D50</f>
        <v>24.42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753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753</v>
      </c>
      <c r="D2" s="96" t="s">
        <v>3</v>
      </c>
      <c r="E2" s="95" t="s">
        <v>112</v>
      </c>
      <c r="F2" s="94" t="s">
        <v>5</v>
      </c>
      <c r="G2" s="93">
        <v>5626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96</v>
      </c>
      <c r="F3" s="88" t="s">
        <v>8</v>
      </c>
      <c r="G3" s="87">
        <v>24.22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58.604166666666664</v>
      </c>
      <c r="F4" s="81" t="s">
        <v>12</v>
      </c>
      <c r="G4" s="80">
        <f>G2*G3</f>
        <v>136261.72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-0.16197422950040163</v>
      </c>
      <c r="F6" s="69" t="s">
        <v>16</v>
      </c>
      <c r="G6" s="68">
        <f>(I50-I19)/(D50-(SUM(D42:D44)+D19))</f>
        <v>32.889569473741986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24.2</v>
      </c>
      <c r="D10" s="30"/>
      <c r="E10" s="29">
        <f t="shared" ref="E10:E19" si="1">D10/$D$19</f>
        <v>0</v>
      </c>
      <c r="F10" s="28">
        <f t="shared" ref="F10:F18" si="2">C10-(C10*$E$6)</f>
        <v>28.119776353909717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25.2</v>
      </c>
      <c r="D11" s="30"/>
      <c r="E11" s="29">
        <f t="shared" si="1"/>
        <v>0</v>
      </c>
      <c r="F11" s="28">
        <f t="shared" si="2"/>
        <v>29.281750583410119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</v>
      </c>
      <c r="D12" s="30"/>
      <c r="E12" s="29">
        <f t="shared" si="1"/>
        <v>0</v>
      </c>
      <c r="F12" s="28">
        <f t="shared" si="2"/>
        <v>26.725407278509238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25.2</v>
      </c>
      <c r="D13" s="30"/>
      <c r="E13" s="29">
        <f t="shared" si="1"/>
        <v>0</v>
      </c>
      <c r="F13" s="28">
        <f t="shared" si="2"/>
        <v>29.281750583410119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28.2</v>
      </c>
      <c r="D14" s="30"/>
      <c r="E14" s="29">
        <f t="shared" si="1"/>
        <v>0</v>
      </c>
      <c r="F14" s="28">
        <f t="shared" si="2"/>
        <v>32.767673271911328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23.3</v>
      </c>
      <c r="D15" s="30"/>
      <c r="E15" s="29">
        <f t="shared" si="1"/>
        <v>0</v>
      </c>
      <c r="F15" s="28">
        <f t="shared" si="2"/>
        <v>27.07399954735936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31.8</v>
      </c>
      <c r="D16" s="30"/>
      <c r="E16" s="29">
        <f t="shared" si="1"/>
        <v>0</v>
      </c>
      <c r="F16" s="28">
        <f t="shared" si="2"/>
        <v>36.950780498112771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46.8</v>
      </c>
      <c r="D17" s="30">
        <v>19.600000000000001</v>
      </c>
      <c r="E17" s="29">
        <f t="shared" si="1"/>
        <v>1</v>
      </c>
      <c r="F17" s="28">
        <f t="shared" si="2"/>
        <v>54.380393940618795</v>
      </c>
      <c r="G17" s="27" t="str">
        <f t="shared" si="3"/>
        <v>+</v>
      </c>
      <c r="H17" s="34">
        <f t="shared" si="4"/>
        <v>917.28</v>
      </c>
      <c r="I17" s="34">
        <f t="shared" si="5"/>
        <v>1065.8557212361284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</v>
      </c>
      <c r="D18" s="30"/>
      <c r="E18" s="29">
        <f t="shared" si="1"/>
        <v>0</v>
      </c>
      <c r="F18" s="28">
        <f t="shared" si="2"/>
        <v>47.640943409516467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46.8</v>
      </c>
      <c r="D19" s="49">
        <f>SUM(D10:D18)</f>
        <v>19.600000000000001</v>
      </c>
      <c r="E19" s="48">
        <f t="shared" si="1"/>
        <v>1</v>
      </c>
      <c r="F19" s="47">
        <f>I19/D19</f>
        <v>54.380393940618788</v>
      </c>
      <c r="G19" s="46">
        <f>F19/C19-1</f>
        <v>0.16197422950040141</v>
      </c>
      <c r="H19" s="9">
        <f>SUM(H10:H18)</f>
        <v>917.28</v>
      </c>
      <c r="I19" s="9">
        <f>SUM(I10:I18)</f>
        <v>1065.8557212361284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60.9</v>
      </c>
      <c r="D21" s="30">
        <v>73.3</v>
      </c>
      <c r="E21" s="29">
        <f>D21/$D$48</f>
        <v>1.3074343607305935E-2</v>
      </c>
      <c r="F21" s="28">
        <f>C21-(C21*$E$6)</f>
        <v>70.764230576574462</v>
      </c>
      <c r="G21" s="27" t="str">
        <f>IF(C21&gt;=F21,"-","+")</f>
        <v>+</v>
      </c>
      <c r="H21" s="26">
        <f>C21*D21</f>
        <v>4463.9699999999993</v>
      </c>
      <c r="I21" s="26">
        <f>F21*D21</f>
        <v>5187.0181012629082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40.9</v>
      </c>
      <c r="D22" s="30">
        <v>132.4</v>
      </c>
      <c r="E22" s="29">
        <f>D22/$D$48</f>
        <v>2.3615867579908675E-2</v>
      </c>
      <c r="F22" s="28">
        <f>C22-(C22*$E$6)</f>
        <v>47.524745986566423</v>
      </c>
      <c r="G22" s="27" t="str">
        <f>IF(C22&gt;=F22,"-","+")</f>
        <v>+</v>
      </c>
      <c r="H22" s="26">
        <f>C22*D22</f>
        <v>5415.16</v>
      </c>
      <c r="I22" s="26">
        <f>F22*D22</f>
        <v>6292.2763686213948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37.299999999999997</v>
      </c>
      <c r="D23" s="30">
        <v>98.5</v>
      </c>
      <c r="E23" s="29">
        <f>D23/$D$48</f>
        <v>1.7569206621004564E-2</v>
      </c>
      <c r="F23" s="28">
        <f>C23-(C23*$E$6)</f>
        <v>43.34163876036498</v>
      </c>
      <c r="G23" s="27" t="str">
        <f>IF(C23&gt;=F23,"-","+")</f>
        <v>+</v>
      </c>
      <c r="H23" s="26">
        <f>C23*D23</f>
        <v>3674.0499999999997</v>
      </c>
      <c r="I23" s="26">
        <f>F23*D23</f>
        <v>4269.1514178959505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44.553517422748186</v>
      </c>
      <c r="D24" s="22">
        <f>SUM(D21:D23)</f>
        <v>304.2</v>
      </c>
      <c r="E24" s="21">
        <f>D24/$D$48</f>
        <v>5.4259417808219169E-2</v>
      </c>
      <c r="F24" s="20">
        <f>I24/D24</f>
        <v>51.77003907883055</v>
      </c>
      <c r="G24" s="19">
        <f>F24/C24-1</f>
        <v>0.16197422950040186</v>
      </c>
      <c r="H24" s="18">
        <f>SUM(H21:H23)</f>
        <v>13553.179999999998</v>
      </c>
      <c r="I24" s="18">
        <f>SUM(I21:I23)</f>
        <v>15748.445887780254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32.5</v>
      </c>
      <c r="D26" s="30">
        <f>812.2+170.1</f>
        <v>982.30000000000007</v>
      </c>
      <c r="E26" s="29">
        <f t="shared" ref="E26:E32" si="7">D26/$D$48</f>
        <v>0.17521047374429224</v>
      </c>
      <c r="F26" s="28">
        <f t="shared" ref="F26:F31" si="8">C26-(C26*$E$6)</f>
        <v>37.764162458763053</v>
      </c>
      <c r="G26" s="27" t="str">
        <f t="shared" ref="G26:G31" si="9">IF(C26&gt;=F26,"-","+")</f>
        <v>+</v>
      </c>
      <c r="H26" s="26">
        <f t="shared" ref="H26:H31" si="10">C26*D26</f>
        <v>31924.750000000004</v>
      </c>
      <c r="I26" s="26">
        <f t="shared" ref="I26:I31" si="11">F26*D26</f>
        <v>37095.736783242952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28.9</v>
      </c>
      <c r="D27" s="30">
        <v>819.2</v>
      </c>
      <c r="E27" s="29">
        <f t="shared" si="7"/>
        <v>0.14611872146118721</v>
      </c>
      <c r="F27" s="28">
        <f t="shared" si="8"/>
        <v>33.581055232561603</v>
      </c>
      <c r="G27" s="27" t="str">
        <f t="shared" si="9"/>
        <v>+</v>
      </c>
      <c r="H27" s="26">
        <f t="shared" si="10"/>
        <v>23674.880000000001</v>
      </c>
      <c r="I27" s="26">
        <f t="shared" si="11"/>
        <v>27509.600446514465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28.9</v>
      </c>
      <c r="D28" s="30">
        <v>349.3</v>
      </c>
      <c r="E28" s="29">
        <f t="shared" si="7"/>
        <v>6.2303795662100453E-2</v>
      </c>
      <c r="F28" s="28">
        <f t="shared" si="8"/>
        <v>33.581055232561603</v>
      </c>
      <c r="G28" s="27" t="str">
        <f t="shared" si="9"/>
        <v>+</v>
      </c>
      <c r="H28" s="26">
        <f t="shared" si="10"/>
        <v>10094.77</v>
      </c>
      <c r="I28" s="26">
        <f t="shared" si="11"/>
        <v>11729.862592733769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</v>
      </c>
      <c r="D29" s="30">
        <v>386.1</v>
      </c>
      <c r="E29" s="29">
        <f t="shared" si="7"/>
        <v>6.8867722602739725E-2</v>
      </c>
      <c r="F29" s="28">
        <f t="shared" si="8"/>
        <v>32.535278426011246</v>
      </c>
      <c r="G29" s="27" t="str">
        <f t="shared" si="9"/>
        <v>+</v>
      </c>
      <c r="H29" s="26">
        <f t="shared" si="10"/>
        <v>10810.800000000001</v>
      </c>
      <c r="I29" s="26">
        <f t="shared" si="11"/>
        <v>12561.871000282943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</v>
      </c>
      <c r="D30" s="30">
        <v>315.3</v>
      </c>
      <c r="E30" s="29">
        <f t="shared" si="7"/>
        <v>5.6239297945205477E-2</v>
      </c>
      <c r="F30" s="28">
        <f t="shared" si="8"/>
        <v>32.535278426011246</v>
      </c>
      <c r="G30" s="27" t="str">
        <f t="shared" si="9"/>
        <v>+</v>
      </c>
      <c r="H30" s="26">
        <f t="shared" si="10"/>
        <v>8828.4</v>
      </c>
      <c r="I30" s="26">
        <f t="shared" si="11"/>
        <v>10258.373287721346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28.5</v>
      </c>
      <c r="D31" s="30">
        <v>82.3</v>
      </c>
      <c r="E31" s="29">
        <f t="shared" si="7"/>
        <v>1.4679651826484017E-2</v>
      </c>
      <c r="F31" s="28">
        <f t="shared" si="8"/>
        <v>33.116265540761447</v>
      </c>
      <c r="G31" s="27" t="str">
        <f t="shared" si="9"/>
        <v>+</v>
      </c>
      <c r="H31" s="26">
        <f t="shared" si="10"/>
        <v>2345.5499999999997</v>
      </c>
      <c r="I31" s="26">
        <f t="shared" si="11"/>
        <v>2725.4686540046669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29.878735730107341</v>
      </c>
      <c r="D32" s="22">
        <f>SUM(D26:D31)</f>
        <v>2934.5000000000005</v>
      </c>
      <c r="E32" s="21">
        <f t="shared" si="7"/>
        <v>0.52341966324200917</v>
      </c>
      <c r="F32" s="20">
        <f>I32/D32</f>
        <v>34.718320928437599</v>
      </c>
      <c r="G32" s="19">
        <f>F32/C32-1</f>
        <v>0.16197422950040163</v>
      </c>
      <c r="H32" s="18">
        <f>SUM(H26:H31)</f>
        <v>87679.150000000009</v>
      </c>
      <c r="I32" s="18">
        <f>SUM(I26:I31)</f>
        <v>101880.91276450014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17.100000000000001</v>
      </c>
      <c r="D34" s="30">
        <f>381+412.9</f>
        <v>793.9</v>
      </c>
      <c r="E34" s="29">
        <f t="shared" ref="E34:E40" si="13">D34/$D$48</f>
        <v>0.14160602168949771</v>
      </c>
      <c r="F34" s="28">
        <f t="shared" ref="F34:F39" si="14">C34-(C34*$E$6)</f>
        <v>19.869759324456869</v>
      </c>
      <c r="G34" s="27" t="str">
        <f t="shared" ref="G34:G39" si="15">IF(C34&gt;=F34,"-","+")</f>
        <v>+</v>
      </c>
      <c r="H34" s="26">
        <f t="shared" ref="H34:H39" si="16">C34*D34</f>
        <v>13575.69</v>
      </c>
      <c r="I34" s="26">
        <f t="shared" ref="I34:I39" si="17">F34*D34</f>
        <v>15774.601927686308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13.2</v>
      </c>
      <c r="D35" s="30">
        <v>71.5</v>
      </c>
      <c r="E35" s="29">
        <f t="shared" si="13"/>
        <v>1.2753281963470319E-2</v>
      </c>
      <c r="F35" s="28">
        <f t="shared" si="14"/>
        <v>15.338059829405301</v>
      </c>
      <c r="G35" s="27" t="str">
        <f t="shared" si="15"/>
        <v>+</v>
      </c>
      <c r="H35" s="26">
        <f t="shared" si="16"/>
        <v>943.8</v>
      </c>
      <c r="I35" s="26">
        <f t="shared" si="17"/>
        <v>1096.6712778024789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12.316926832704256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</v>
      </c>
      <c r="D37" s="30"/>
      <c r="E37" s="29">
        <f t="shared" si="13"/>
        <v>0</v>
      </c>
      <c r="F37" s="28">
        <f t="shared" si="14"/>
        <v>32.535278426011246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</v>
      </c>
      <c r="D38" s="30"/>
      <c r="E38" s="29">
        <f t="shared" si="13"/>
        <v>0</v>
      </c>
      <c r="F38" s="28">
        <f t="shared" si="14"/>
        <v>32.535278426011246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28.9</v>
      </c>
      <c r="D39" s="30"/>
      <c r="E39" s="29">
        <f t="shared" si="13"/>
        <v>0</v>
      </c>
      <c r="F39" s="28">
        <f t="shared" si="14"/>
        <v>33.581055232561603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16.777779061705569</v>
      </c>
      <c r="D40" s="22">
        <f>SUM(D34:D39)</f>
        <v>865.4</v>
      </c>
      <c r="E40" s="113">
        <f t="shared" si="13"/>
        <v>0.15435930365296802</v>
      </c>
      <c r="F40" s="20">
        <f>I40/D40</f>
        <v>19.495346897953301</v>
      </c>
      <c r="G40" s="19">
        <f>F40/C40-1</f>
        <v>0.16197422950040163</v>
      </c>
      <c r="H40" s="18">
        <f>SUM(H34:H39)</f>
        <v>14519.49</v>
      </c>
      <c r="I40" s="18">
        <f>SUM(I34:I39)</f>
        <v>16871.273205488786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720+72+643.1</f>
        <v>1435.1</v>
      </c>
      <c r="E42" s="107">
        <f>D42/$D$48</f>
        <v>0.25597531392694062</v>
      </c>
      <c r="F42" s="28">
        <f>C42-(C42*$E$6)</f>
        <v>0.46478969180016066</v>
      </c>
      <c r="G42" s="27" t="str">
        <f>IF(C42&gt;=F42,"-","+")</f>
        <v>+</v>
      </c>
      <c r="H42" s="26">
        <f>C42*D42</f>
        <v>574.04</v>
      </c>
      <c r="I42" s="26">
        <f>F42*D42</f>
        <v>667.01968670241058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60.7</v>
      </c>
      <c r="E43" s="107">
        <f>D43/$D$48</f>
        <v>1.082691210045662E-2</v>
      </c>
      <c r="F43" s="28">
        <f>C43-(C43*$E$6)</f>
        <v>0.46478969180016066</v>
      </c>
      <c r="G43" s="27" t="str">
        <f>IF(C43&gt;=F43,"-","+")</f>
        <v>+</v>
      </c>
      <c r="H43" s="26">
        <f>C43*D43</f>
        <v>24.28</v>
      </c>
      <c r="I43" s="26">
        <f>F43*D43</f>
        <v>28.212734292269754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6.5</v>
      </c>
      <c r="E45" s="107">
        <f>D45/$D$48</f>
        <v>1.1593892694063926E-3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0.39826932037542434</v>
      </c>
      <c r="D46" s="22">
        <f>SUM(D41:D45)</f>
        <v>1502.3</v>
      </c>
      <c r="E46" s="113">
        <f>D46/$D$48</f>
        <v>0.26796161529680362</v>
      </c>
      <c r="F46" s="20">
        <f>I46/D46</f>
        <v>0.46277868667688232</v>
      </c>
      <c r="G46" s="19">
        <f>F46/C46-1</f>
        <v>0.16197422950040163</v>
      </c>
      <c r="H46" s="18">
        <f>SUM(H41:H44)</f>
        <v>598.31999999999994</v>
      </c>
      <c r="I46" s="18">
        <f>SUM(I41:I44)</f>
        <v>695.2324209946803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91.608301534936516</v>
      </c>
      <c r="D48" s="13">
        <f>D24+D32+D40+D46</f>
        <v>5606.4000000000005</v>
      </c>
      <c r="E48" s="12">
        <f>SUM(E20:E46)/2</f>
        <v>1</v>
      </c>
      <c r="F48" s="11">
        <f>I48/D48</f>
        <v>24.114559125064897</v>
      </c>
      <c r="G48" s="10"/>
      <c r="H48" s="9">
        <f>SUM(H20:H46)/2</f>
        <v>116350.14000000001</v>
      </c>
      <c r="I48" s="9">
        <f>SUM(I20:I46)/2</f>
        <v>135195.86427876385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5626.0000000000009</v>
      </c>
      <c r="E50" s="12">
        <f>D50/G2</f>
        <v>1.0000000000000002</v>
      </c>
      <c r="F50" s="11">
        <f>I50/D50</f>
        <v>24.219999999999992</v>
      </c>
      <c r="G50" s="10"/>
      <c r="H50" s="9">
        <f>H48+H19</f>
        <v>117267.42000000001</v>
      </c>
      <c r="I50" s="9">
        <f>I48+I19</f>
        <v>136261.71999999997</v>
      </c>
      <c r="J50" s="106">
        <f>D50-G2</f>
        <v>0</v>
      </c>
      <c r="K50" s="8"/>
    </row>
    <row r="51" spans="1:11" ht="23.25" x14ac:dyDescent="0.35">
      <c r="A51" s="174" t="s">
        <v>758</v>
      </c>
      <c r="B51" s="169"/>
      <c r="C51" s="170"/>
      <c r="G51" s="7"/>
      <c r="H51" s="6"/>
      <c r="I51" s="6">
        <f>+I50/D50</f>
        <v>24.219999999999992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>
    <tabColor rgb="FF92D050"/>
  </sheetPr>
  <dimension ref="A1:K56"/>
  <sheetViews>
    <sheetView topLeftCell="A10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759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759</v>
      </c>
      <c r="D2" s="96" t="s">
        <v>3</v>
      </c>
      <c r="E2" s="95" t="s">
        <v>360</v>
      </c>
      <c r="F2" s="94" t="s">
        <v>5</v>
      </c>
      <c r="G2" s="93">
        <v>14127.6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180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78.486666666666665</v>
      </c>
      <c r="F4" s="81" t="s">
        <v>12</v>
      </c>
      <c r="G4" s="80">
        <f>G2*G3</f>
        <v>374381.4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-9.4059162318169465E-2</v>
      </c>
      <c r="F6" s="69" t="s">
        <v>16</v>
      </c>
      <c r="G6" s="68">
        <f>(I50-I19)/(D50-(SUM(D42:D44)+D19))</f>
        <v>31.924322871165316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28.992567801431491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>
        <f t="shared" si="1"/>
        <v>0</v>
      </c>
      <c r="F11" s="28">
        <f t="shared" si="2"/>
        <v>30.19603287998148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>
        <f t="shared" si="1"/>
        <v>0</v>
      </c>
      <c r="F12" s="28">
        <f t="shared" si="2"/>
        <v>27.570290890417869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30.19603287998148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33.806428115631434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>
        <v>102.7</v>
      </c>
      <c r="E15" s="29">
        <f t="shared" si="1"/>
        <v>0.57794034890264501</v>
      </c>
      <c r="F15" s="28">
        <f t="shared" si="2"/>
        <v>27.789102722881502</v>
      </c>
      <c r="G15" s="27" t="str">
        <f t="shared" si="3"/>
        <v>+</v>
      </c>
      <c r="H15" s="34">
        <f t="shared" si="4"/>
        <v>2608.58</v>
      </c>
      <c r="I15" s="34">
        <f t="shared" si="5"/>
        <v>2853.9408496399305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>
        <f t="shared" si="1"/>
        <v>0</v>
      </c>
      <c r="F16" s="28">
        <f t="shared" si="2"/>
        <v>38.073258848672296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>
        <v>75</v>
      </c>
      <c r="E17" s="29">
        <f t="shared" si="1"/>
        <v>0.4220596510973551</v>
      </c>
      <c r="F17" s="28">
        <f t="shared" si="2"/>
        <v>56.125235026922091</v>
      </c>
      <c r="G17" s="27" t="str">
        <f t="shared" si="3"/>
        <v>+</v>
      </c>
      <c r="H17" s="34">
        <f t="shared" si="4"/>
        <v>3847.5</v>
      </c>
      <c r="I17" s="34">
        <f t="shared" si="5"/>
        <v>4209.3926270191569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49.123256388085807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36.3313449634215</v>
      </c>
      <c r="D19" s="49">
        <f>SUM(D10:D18)</f>
        <v>177.7</v>
      </c>
      <c r="E19" s="48">
        <f t="shared" si="1"/>
        <v>1</v>
      </c>
      <c r="F19" s="47">
        <f>I19/D19</f>
        <v>39.748640836573365</v>
      </c>
      <c r="G19" s="46">
        <f>F19/C19-1</f>
        <v>9.4059162318169243E-2</v>
      </c>
      <c r="H19" s="9">
        <f>SUM(H10:H18)</f>
        <v>6456.08</v>
      </c>
      <c r="I19" s="9">
        <f>SUM(I10:I18)</f>
        <v>7063.333476659087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/>
      <c r="E21" s="29">
        <f>D21/$D$48</f>
        <v>0</v>
      </c>
      <c r="F21" s="28">
        <f>C21-(C21*$E$6)</f>
        <v>72.864340210390083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636.1</v>
      </c>
      <c r="E22" s="29">
        <f>D22/$D$48</f>
        <v>4.5598893182029983E-2</v>
      </c>
      <c r="F22" s="28">
        <f>C22-(C22*$E$6)</f>
        <v>49.013850471853985</v>
      </c>
      <c r="G22" s="27" t="str">
        <f>IF(C22&gt;=F22,"-","+")</f>
        <v>+</v>
      </c>
      <c r="H22" s="26">
        <f>C22*D22</f>
        <v>28497.279999999999</v>
      </c>
      <c r="I22" s="26">
        <f>F22*D22</f>
        <v>31177.710285146321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/>
      <c r="E23" s="29">
        <f>D23/$D$48</f>
        <v>0</v>
      </c>
      <c r="F23" s="28">
        <f>C23-(C23*$E$6)</f>
        <v>44.637613822581308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</v>
      </c>
      <c r="D24" s="22">
        <f>SUM(D21:D23)</f>
        <v>636.1</v>
      </c>
      <c r="E24" s="21">
        <f>D24/$D$48</f>
        <v>4.5598893182029983E-2</v>
      </c>
      <c r="F24" s="20">
        <f>I24/D24</f>
        <v>49.013850471853985</v>
      </c>
      <c r="G24" s="19">
        <f>F24/C24-1</f>
        <v>9.4059162318169465E-2</v>
      </c>
      <c r="H24" s="18">
        <f>SUM(H21:H23)</f>
        <v>28497.279999999999</v>
      </c>
      <c r="I24" s="18">
        <f>SUM(I21:I23)</f>
        <v>31177.710285146321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/>
      <c r="E26" s="29">
        <f t="shared" ref="E26:E32" si="7">D26/$D$48</f>
        <v>0</v>
      </c>
      <c r="F26" s="28">
        <f t="shared" ref="F26:F31" si="8">C26-(C26*$E$6)</f>
        <v>38.948506178526834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3371.6</v>
      </c>
      <c r="E27" s="29">
        <f t="shared" si="7"/>
        <v>0.24169348884221392</v>
      </c>
      <c r="F27" s="28">
        <f t="shared" si="8"/>
        <v>34.681675445485972</v>
      </c>
      <c r="G27" s="27" t="str">
        <f t="shared" si="9"/>
        <v>+</v>
      </c>
      <c r="H27" s="26">
        <f t="shared" si="10"/>
        <v>106879.72</v>
      </c>
      <c r="I27" s="26">
        <f t="shared" si="11"/>
        <v>116932.73693200049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2478.6</v>
      </c>
      <c r="E28" s="29">
        <f t="shared" si="7"/>
        <v>0.17767869303722608</v>
      </c>
      <c r="F28" s="28">
        <f t="shared" si="8"/>
        <v>34.681675445485972</v>
      </c>
      <c r="G28" s="27" t="str">
        <f t="shared" si="9"/>
        <v>+</v>
      </c>
      <c r="H28" s="26">
        <f t="shared" si="10"/>
        <v>78571.62</v>
      </c>
      <c r="I28" s="26">
        <f t="shared" si="11"/>
        <v>85962.000759181523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2361.1</v>
      </c>
      <c r="E29" s="29">
        <f t="shared" si="7"/>
        <v>0.16925569358920137</v>
      </c>
      <c r="F29" s="28">
        <f t="shared" si="8"/>
        <v>33.47821036693599</v>
      </c>
      <c r="G29" s="27" t="str">
        <f t="shared" si="9"/>
        <v>+</v>
      </c>
      <c r="H29" s="26">
        <f t="shared" si="10"/>
        <v>72249.66</v>
      </c>
      <c r="I29" s="26">
        <f t="shared" si="11"/>
        <v>79045.402497372561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/>
      <c r="E30" s="29">
        <f t="shared" si="7"/>
        <v>0</v>
      </c>
      <c r="F30" s="28">
        <f t="shared" si="8"/>
        <v>33.47821036693599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/>
      <c r="E31" s="29">
        <f t="shared" si="7"/>
        <v>0</v>
      </c>
      <c r="F31" s="28">
        <f t="shared" si="8"/>
        <v>34.02523994809507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31.383702945940353</v>
      </c>
      <c r="D32" s="22">
        <f>SUM(D26:D31)</f>
        <v>8211.2999999999993</v>
      </c>
      <c r="E32" s="21">
        <f t="shared" si="7"/>
        <v>0.58862787546864137</v>
      </c>
      <c r="F32" s="20">
        <f>I32/D32</f>
        <v>34.335627755477766</v>
      </c>
      <c r="G32" s="19">
        <f>F32/C32-1</f>
        <v>9.4059162318169243E-2</v>
      </c>
      <c r="H32" s="18">
        <f>SUM(H26:H31)</f>
        <v>257701</v>
      </c>
      <c r="I32" s="18">
        <f>SUM(I26:I31)</f>
        <v>281940.14018855453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1145.4+1272.2</f>
        <v>2417.6000000000004</v>
      </c>
      <c r="E34" s="29">
        <f t="shared" ref="E34:E40" si="13">D34/$D$48</f>
        <v>0.17330590183442179</v>
      </c>
      <c r="F34" s="28">
        <f t="shared" ref="F34:F39" si="14">C34-(C34*$E$6)</f>
        <v>20.458906335349766</v>
      </c>
      <c r="G34" s="27" t="str">
        <f t="shared" ref="G34:G39" si="15">IF(C34&gt;=F34,"-","+")</f>
        <v>+</v>
      </c>
      <c r="H34" s="26">
        <f t="shared" ref="H34:H39" si="16">C34*D34</f>
        <v>45209.120000000003</v>
      </c>
      <c r="I34" s="26">
        <f t="shared" ref="I34:I39" si="17">F34*D34</f>
        <v>49461.451956341603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232.9</v>
      </c>
      <c r="E35" s="29">
        <f t="shared" si="13"/>
        <v>1.669546018251027E-2</v>
      </c>
      <c r="F35" s="28">
        <f t="shared" si="14"/>
        <v>15.75445193738164</v>
      </c>
      <c r="G35" s="27" t="str">
        <f t="shared" si="15"/>
        <v>+</v>
      </c>
      <c r="H35" s="26">
        <f t="shared" si="16"/>
        <v>3353.76</v>
      </c>
      <c r="I35" s="26">
        <f t="shared" si="17"/>
        <v>3669.2118562161841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12.691086282890765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33.47821036693599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33.47821036693599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34.681675445485972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18.322158083380494</v>
      </c>
      <c r="D40" s="22">
        <f>SUM(D34:D39)</f>
        <v>2650.5000000000005</v>
      </c>
      <c r="E40" s="113">
        <f t="shared" si="13"/>
        <v>0.19000136201693205</v>
      </c>
      <c r="F40" s="20">
        <f>I40/D40</f>
        <v>20.04552492456434</v>
      </c>
      <c r="G40" s="19">
        <f>F40/C40-1</f>
        <v>9.4059162318169465E-2</v>
      </c>
      <c r="H40" s="18">
        <f>SUM(H34:H39)</f>
        <v>48562.880000000005</v>
      </c>
      <c r="I40" s="18">
        <f>SUM(I34:I39)</f>
        <v>53130.663812557788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193+1293.8+856</f>
        <v>2342.8000000000002</v>
      </c>
      <c r="E42" s="107">
        <f>D42/$D$48</f>
        <v>0.16794385622836008</v>
      </c>
      <c r="F42" s="28">
        <f>C42-(C42*$E$6)</f>
        <v>0.43762366492726779</v>
      </c>
      <c r="G42" s="27" t="str">
        <f>IF(C42&gt;=F42,"-","+")</f>
        <v>+</v>
      </c>
      <c r="H42" s="26">
        <f>C42*D42</f>
        <v>937.12000000000012</v>
      </c>
      <c r="I42" s="26">
        <f>F42*D42</f>
        <v>1025.2647221916031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101.2</v>
      </c>
      <c r="E43" s="107">
        <f>D43/$D$48</f>
        <v>7.2545322905540549E-3</v>
      </c>
      <c r="F43" s="28">
        <f>C43-(C43*$E$6)</f>
        <v>0.43762366492726779</v>
      </c>
      <c r="G43" s="27" t="str">
        <f>IF(C43&gt;=F43,"-","+")</f>
        <v>+</v>
      </c>
      <c r="H43" s="26">
        <f>C43*D43</f>
        <v>40.480000000000004</v>
      </c>
      <c r="I43" s="26">
        <f>F43*D43</f>
        <v>44.2875148906395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5.7348081348253396E-4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0.39869494290375207</v>
      </c>
      <c r="D46" s="22">
        <f>SUM(D41:D45)</f>
        <v>2452</v>
      </c>
      <c r="E46" s="113">
        <f>D46/$D$48</f>
        <v>0.17577186933239666</v>
      </c>
      <c r="F46" s="20">
        <f>I46/D46</f>
        <v>0.43619585525376947</v>
      </c>
      <c r="G46" s="19">
        <f>F46/C46-1</f>
        <v>9.4059162318169687E-2</v>
      </c>
      <c r="H46" s="18">
        <f>SUM(H41:H44)</f>
        <v>977.60000000000014</v>
      </c>
      <c r="I46" s="18">
        <f>SUM(I41:I44)</f>
        <v>1069.5522370822428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94.904555972224586</v>
      </c>
      <c r="D48" s="13">
        <f>D24+D32+D40+D46</f>
        <v>13949.9</v>
      </c>
      <c r="E48" s="12">
        <f>SUM(E20:E46)/2</f>
        <v>1</v>
      </c>
      <c r="F48" s="11">
        <f>I48/D48</f>
        <v>26.331232949579636</v>
      </c>
      <c r="G48" s="10"/>
      <c r="H48" s="9">
        <f>SUM(H20:H46)/2</f>
        <v>335738.76</v>
      </c>
      <c r="I48" s="9">
        <f>SUM(I20:I46)/2</f>
        <v>367318.06652334094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14127.599999999999</v>
      </c>
      <c r="E50" s="12">
        <f>D50/G2</f>
        <v>0.99999999999999989</v>
      </c>
      <c r="F50" s="11">
        <f>I50/D50</f>
        <v>26.500000000000004</v>
      </c>
      <c r="G50" s="10"/>
      <c r="H50" s="9">
        <f>H48+H19</f>
        <v>342194.84</v>
      </c>
      <c r="I50" s="9">
        <f>I48+I19</f>
        <v>374381.4</v>
      </c>
      <c r="J50" s="106">
        <f>D50-G2</f>
        <v>0</v>
      </c>
      <c r="K50" s="8"/>
    </row>
    <row r="51" spans="1:11" ht="23.25" x14ac:dyDescent="0.35">
      <c r="A51" s="174" t="s">
        <v>760</v>
      </c>
      <c r="B51" s="169"/>
      <c r="C51" s="170"/>
      <c r="G51" s="7"/>
      <c r="H51" s="6"/>
      <c r="I51" s="6">
        <f>+I50/D50</f>
        <v>26.500000000000004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>
    <tabColor rgb="FF92D050"/>
  </sheetPr>
  <dimension ref="A1:K56"/>
  <sheetViews>
    <sheetView topLeftCell="A10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759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759</v>
      </c>
      <c r="D2" s="96" t="s">
        <v>3</v>
      </c>
      <c r="E2" s="95" t="s">
        <v>112</v>
      </c>
      <c r="F2" s="94" t="s">
        <v>5</v>
      </c>
      <c r="G2" s="93">
        <v>1150.3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24</v>
      </c>
      <c r="F3" s="88" t="s">
        <v>8</v>
      </c>
      <c r="G3" s="87">
        <v>24.78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47.929166666666667</v>
      </c>
      <c r="F4" s="81" t="s">
        <v>12</v>
      </c>
      <c r="G4" s="80">
        <f>G2*G3</f>
        <v>28504.434000000001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-4.4083658749836552E-2</v>
      </c>
      <c r="F6" s="69" t="s">
        <v>16</v>
      </c>
      <c r="G6" s="68">
        <f>(I50-I19)/(D50-(SUM(D42:D44)+D19))</f>
        <v>30.649929032258065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24.8</v>
      </c>
      <c r="D10" s="30"/>
      <c r="E10" s="29" t="e">
        <f t="shared" ref="E10:E19" si="1">D10/$D$19</f>
        <v>#DIV/0!</v>
      </c>
      <c r="F10" s="28">
        <f t="shared" ref="F10:F18" si="2">C10-(C10*$E$6)</f>
        <v>25.893274736995949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25.8</v>
      </c>
      <c r="D11" s="30"/>
      <c r="E11" s="29" t="e">
        <f t="shared" si="1"/>
        <v>#DIV/0!</v>
      </c>
      <c r="F11" s="28">
        <f t="shared" si="2"/>
        <v>26.937358395745783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23.6</v>
      </c>
      <c r="D12" s="30"/>
      <c r="E12" s="29" t="e">
        <f t="shared" si="1"/>
        <v>#DIV/0!</v>
      </c>
      <c r="F12" s="28">
        <f t="shared" si="2"/>
        <v>24.640374346496145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25.8</v>
      </c>
      <c r="D13" s="30"/>
      <c r="E13" s="29" t="e">
        <f t="shared" si="1"/>
        <v>#DIV/0!</v>
      </c>
      <c r="F13" s="28">
        <f t="shared" si="2"/>
        <v>26.937358395745783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28.8</v>
      </c>
      <c r="D14" s="30"/>
      <c r="E14" s="29" t="e">
        <f t="shared" si="1"/>
        <v>#DIV/0!</v>
      </c>
      <c r="F14" s="28">
        <f t="shared" si="2"/>
        <v>30.069609371995295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23.8</v>
      </c>
      <c r="D15" s="30"/>
      <c r="E15" s="29" t="e">
        <f t="shared" si="1"/>
        <v>#DIV/0!</v>
      </c>
      <c r="F15" s="28">
        <f t="shared" si="2"/>
        <v>24.849191078246111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32.6</v>
      </c>
      <c r="D16" s="30"/>
      <c r="E16" s="29" t="e">
        <f t="shared" si="1"/>
        <v>#DIV/0!</v>
      </c>
      <c r="F16" s="28">
        <f t="shared" si="2"/>
        <v>34.037127275244671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47.9</v>
      </c>
      <c r="D17" s="30"/>
      <c r="E17" s="29" t="e">
        <f t="shared" si="1"/>
        <v>#DIV/0!</v>
      </c>
      <c r="F17" s="28">
        <f t="shared" si="2"/>
        <v>50.011607254117166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</v>
      </c>
      <c r="D18" s="30"/>
      <c r="E18" s="29" t="e">
        <f t="shared" si="1"/>
        <v>#DIV/0!</v>
      </c>
      <c r="F18" s="28">
        <f t="shared" si="2"/>
        <v>43.851513667493137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62.3</v>
      </c>
      <c r="D21" s="30">
        <v>14.2</v>
      </c>
      <c r="E21" s="29">
        <f>D21/$D$48</f>
        <v>1.2341387102381366E-2</v>
      </c>
      <c r="F21" s="28">
        <f>C21-(C21*$E$6)</f>
        <v>65.046411940114808</v>
      </c>
      <c r="G21" s="27" t="str">
        <f>IF(C21&gt;=F21,"-","+")</f>
        <v>+</v>
      </c>
      <c r="H21" s="26">
        <f>C21*D21</f>
        <v>884.66</v>
      </c>
      <c r="I21" s="26">
        <f>F21*D21</f>
        <v>923.65904954963025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41.9</v>
      </c>
      <c r="D22" s="30">
        <v>30.9</v>
      </c>
      <c r="E22" s="29">
        <f>D22/$D$48</f>
        <v>2.6855553624196074E-2</v>
      </c>
      <c r="F22" s="28">
        <f>C22-(C22*$E$6)</f>
        <v>43.747105301618149</v>
      </c>
      <c r="G22" s="27" t="str">
        <f>IF(C22&gt;=F22,"-","+")</f>
        <v>+</v>
      </c>
      <c r="H22" s="26">
        <f>C22*D22</f>
        <v>1294.7099999999998</v>
      </c>
      <c r="I22" s="26">
        <f>F22*D22</f>
        <v>1351.7855538200008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38.200000000000003</v>
      </c>
      <c r="D23" s="30">
        <v>25.6</v>
      </c>
      <c r="E23" s="29">
        <f>D23/$D$48</f>
        <v>2.2249261254997394E-2</v>
      </c>
      <c r="F23" s="28">
        <f>C23-(C23*$E$6)</f>
        <v>39.883995764243757</v>
      </c>
      <c r="G23" s="27" t="str">
        <f>IF(C23&gt;=F23,"-","+")</f>
        <v>+</v>
      </c>
      <c r="H23" s="26">
        <f>C23*D23</f>
        <v>977.92000000000007</v>
      </c>
      <c r="I23" s="26">
        <f>F23*D23</f>
        <v>1021.0302915646403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44.657567185289963</v>
      </c>
      <c r="D24" s="22">
        <f>SUM(D21:D23)</f>
        <v>70.699999999999989</v>
      </c>
      <c r="E24" s="21">
        <f>D24/$D$48</f>
        <v>6.1446201981574827E-2</v>
      </c>
      <c r="F24" s="20">
        <f>I24/D24</f>
        <v>46.626236137684188</v>
      </c>
      <c r="G24" s="19">
        <f>F24/C24-1</f>
        <v>4.4083658749836552E-2</v>
      </c>
      <c r="H24" s="18">
        <f>SUM(H21:H23)</f>
        <v>3157.29</v>
      </c>
      <c r="I24" s="18">
        <f>SUM(I21:I23)</f>
        <v>3296.4748949342716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33.299999999999997</v>
      </c>
      <c r="D26" s="30">
        <v>226</v>
      </c>
      <c r="E26" s="29">
        <f t="shared" ref="E26:E32" si="7">D26/$D$48</f>
        <v>0.19641925951677389</v>
      </c>
      <c r="F26" s="28">
        <f t="shared" ref="F26:F31" si="8">C26-(C26*$E$6)</f>
        <v>34.767985836369554</v>
      </c>
      <c r="G26" s="27" t="str">
        <f t="shared" ref="G26:G31" si="9">IF(C26&gt;=F26,"-","+")</f>
        <v>+</v>
      </c>
      <c r="H26" s="26">
        <f t="shared" ref="H26:H31" si="10">C26*D26</f>
        <v>7525.7999999999993</v>
      </c>
      <c r="I26" s="26">
        <f t="shared" ref="I26:I31" si="11">F26*D26</f>
        <v>7857.5647990195193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29.6</v>
      </c>
      <c r="D27" s="30">
        <v>164.6</v>
      </c>
      <c r="E27" s="29">
        <f t="shared" si="7"/>
        <v>0.14305579697549106</v>
      </c>
      <c r="F27" s="28">
        <f t="shared" si="8"/>
        <v>30.904876298995163</v>
      </c>
      <c r="G27" s="27" t="str">
        <f t="shared" si="9"/>
        <v>+</v>
      </c>
      <c r="H27" s="26">
        <f t="shared" si="10"/>
        <v>4872.16</v>
      </c>
      <c r="I27" s="26">
        <f t="shared" si="11"/>
        <v>5086.9426388146039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29.6</v>
      </c>
      <c r="D28" s="30">
        <v>133.4</v>
      </c>
      <c r="E28" s="29">
        <f t="shared" si="7"/>
        <v>0.11593950982096299</v>
      </c>
      <c r="F28" s="28">
        <f t="shared" si="8"/>
        <v>30.904876298995163</v>
      </c>
      <c r="G28" s="27" t="str">
        <f t="shared" si="9"/>
        <v>+</v>
      </c>
      <c r="H28" s="26">
        <f t="shared" si="10"/>
        <v>3948.6400000000003</v>
      </c>
      <c r="I28" s="26">
        <f t="shared" si="11"/>
        <v>4122.7104982859546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28.6</v>
      </c>
      <c r="D29" s="30">
        <v>90.7</v>
      </c>
      <c r="E29" s="29">
        <f t="shared" si="7"/>
        <v>7.8828437337041549E-2</v>
      </c>
      <c r="F29" s="28">
        <f t="shared" si="8"/>
        <v>29.860792640245325</v>
      </c>
      <c r="G29" s="27" t="str">
        <f t="shared" si="9"/>
        <v>+</v>
      </c>
      <c r="H29" s="26">
        <f t="shared" si="10"/>
        <v>2594.0200000000004</v>
      </c>
      <c r="I29" s="26">
        <f t="shared" si="11"/>
        <v>2708.3738924702511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28.6</v>
      </c>
      <c r="D30" s="30">
        <v>61.4</v>
      </c>
      <c r="E30" s="29">
        <f t="shared" si="7"/>
        <v>5.3363462541282811E-2</v>
      </c>
      <c r="F30" s="28">
        <f t="shared" si="8"/>
        <v>29.860792640245325</v>
      </c>
      <c r="G30" s="27" t="str">
        <f t="shared" si="9"/>
        <v>+</v>
      </c>
      <c r="H30" s="26">
        <f t="shared" si="10"/>
        <v>1756.04</v>
      </c>
      <c r="I30" s="26">
        <f t="shared" si="11"/>
        <v>1833.4526681110628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29.1</v>
      </c>
      <c r="D31" s="30">
        <v>19.2</v>
      </c>
      <c r="E31" s="29">
        <f t="shared" si="7"/>
        <v>1.6686945941248046E-2</v>
      </c>
      <c r="F31" s="28">
        <f t="shared" si="8"/>
        <v>30.382834469620246</v>
      </c>
      <c r="G31" s="27" t="str">
        <f t="shared" si="9"/>
        <v>+</v>
      </c>
      <c r="H31" s="26">
        <f t="shared" si="10"/>
        <v>558.72</v>
      </c>
      <c r="I31" s="26">
        <f t="shared" si="11"/>
        <v>583.35042181670872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30.570084855458074</v>
      </c>
      <c r="D32" s="22">
        <f>SUM(D26:D31)</f>
        <v>695.30000000000007</v>
      </c>
      <c r="E32" s="21">
        <f t="shared" si="7"/>
        <v>0.60429341213280041</v>
      </c>
      <c r="F32" s="20">
        <f>I32/D32</f>
        <v>31.917726044179627</v>
      </c>
      <c r="G32" s="19">
        <f>F32/C32-1</f>
        <v>4.408365874983633E-2</v>
      </c>
      <c r="H32" s="18">
        <f>SUM(H26:H31)</f>
        <v>21255.38</v>
      </c>
      <c r="I32" s="18">
        <f>SUM(I26:I31)</f>
        <v>22192.394918518097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17.5</v>
      </c>
      <c r="D34" s="30">
        <v>160</v>
      </c>
      <c r="E34" s="29">
        <f t="shared" ref="E34:E40" si="13">D34/$D$48</f>
        <v>0.13905788284373372</v>
      </c>
      <c r="F34" s="28">
        <f t="shared" ref="F34:F39" si="14">C34-(C34*$E$6)</f>
        <v>18.271464028122139</v>
      </c>
      <c r="G34" s="27" t="str">
        <f t="shared" ref="G34:G39" si="15">IF(C34&gt;=F34,"-","+")</f>
        <v>+</v>
      </c>
      <c r="H34" s="26">
        <f t="shared" ref="H34:H39" si="16">C34*D34</f>
        <v>2800</v>
      </c>
      <c r="I34" s="26">
        <f t="shared" ref="I34:I39" si="17">F34*D34</f>
        <v>2923.4342444995423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13.5</v>
      </c>
      <c r="D35" s="30"/>
      <c r="E35" s="29">
        <f t="shared" si="13"/>
        <v>0</v>
      </c>
      <c r="F35" s="28">
        <f t="shared" si="14"/>
        <v>14.095129393122793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11.276103514498235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28.6</v>
      </c>
      <c r="D37" s="30"/>
      <c r="E37" s="29">
        <f t="shared" si="13"/>
        <v>0</v>
      </c>
      <c r="F37" s="28">
        <f t="shared" si="14"/>
        <v>29.860792640245325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28.6</v>
      </c>
      <c r="D38" s="30"/>
      <c r="E38" s="29">
        <f t="shared" si="13"/>
        <v>0</v>
      </c>
      <c r="F38" s="28">
        <f t="shared" si="14"/>
        <v>29.860792640245325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29.6</v>
      </c>
      <c r="D39" s="30"/>
      <c r="E39" s="29">
        <f t="shared" si="13"/>
        <v>0</v>
      </c>
      <c r="F39" s="28">
        <f t="shared" si="14"/>
        <v>30.904876298995163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</v>
      </c>
      <c r="D40" s="22">
        <f>SUM(D34:D39)</f>
        <v>160</v>
      </c>
      <c r="E40" s="113">
        <f t="shared" si="13"/>
        <v>0.13905788284373372</v>
      </c>
      <c r="F40" s="20">
        <f>I40/D40</f>
        <v>18.271464028122139</v>
      </c>
      <c r="G40" s="19">
        <f>F40/C40-1</f>
        <v>4.4083658749836552E-2</v>
      </c>
      <c r="H40" s="18">
        <f>SUM(H34:H39)</f>
        <v>2800</v>
      </c>
      <c r="I40" s="18">
        <f>SUM(I34:I39)</f>
        <v>2923.4342444995423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213</v>
      </c>
      <c r="E42" s="107">
        <f>D42/$D$48</f>
        <v>0.18512080653572049</v>
      </c>
      <c r="F42" s="28">
        <f>C42-(C42*$E$6)</f>
        <v>0.41763346349993463</v>
      </c>
      <c r="G42" s="27" t="str">
        <f>IF(C42&gt;=F42,"-","+")</f>
        <v>+</v>
      </c>
      <c r="H42" s="26">
        <f>C42*D42</f>
        <v>85.2</v>
      </c>
      <c r="I42" s="26">
        <f>F42*D42</f>
        <v>88.955927725486077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7.6</v>
      </c>
      <c r="E43" s="107">
        <f>D43/$D$48</f>
        <v>6.6052494350773514E-3</v>
      </c>
      <c r="F43" s="28">
        <f>C43-(C43*$E$6)</f>
        <v>0.41763346349993463</v>
      </c>
      <c r="G43" s="27" t="str">
        <f>IF(C43&gt;=F43,"-","+")</f>
        <v>+</v>
      </c>
      <c r="H43" s="26">
        <f>C43*D43</f>
        <v>3.04</v>
      </c>
      <c r="I43" s="26">
        <f>F43*D43</f>
        <v>3.1740143225995032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3.4764470710933427E-3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0.3928762243989315</v>
      </c>
      <c r="D46" s="22">
        <f>SUM(D41:D45)</f>
        <v>224.6</v>
      </c>
      <c r="E46" s="113">
        <f>D46/$D$48</f>
        <v>0.19520250304189118</v>
      </c>
      <c r="F46" s="20">
        <f>I46/D46</f>
        <v>0.41019564580625817</v>
      </c>
      <c r="G46" s="19">
        <f>F46/C46-1</f>
        <v>4.4083658749836552E-2</v>
      </c>
      <c r="H46" s="18">
        <f>SUM(H41:H44)</f>
        <v>88.240000000000009</v>
      </c>
      <c r="I46" s="18">
        <f>SUM(I41:I44)</f>
        <v>92.129942048085582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93.120528265146973</v>
      </c>
      <c r="D48" s="13">
        <f>D24+D32+D40+D46</f>
        <v>1150.5999999999999</v>
      </c>
      <c r="E48" s="12">
        <f>SUM(E20:E46)/2</f>
        <v>1</v>
      </c>
      <c r="F48" s="11">
        <f>I48/D48</f>
        <v>24.773539023118374</v>
      </c>
      <c r="G48" s="10"/>
      <c r="H48" s="9">
        <f>SUM(H20:H46)/2</f>
        <v>27300.91</v>
      </c>
      <c r="I48" s="9">
        <f>SUM(I20:I46)/2</f>
        <v>28504.433999999997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1150.5999999999999</v>
      </c>
      <c r="E50" s="12">
        <f>D50/G2</f>
        <v>1.0002608015300356</v>
      </c>
      <c r="F50" s="11">
        <f>I50/D50</f>
        <v>24.773539023118374</v>
      </c>
      <c r="G50" s="10"/>
      <c r="H50" s="9">
        <f>H48+H19</f>
        <v>27300.91</v>
      </c>
      <c r="I50" s="9">
        <f>I48+I19</f>
        <v>28504.433999999997</v>
      </c>
      <c r="J50" s="106">
        <f>D50-G2</f>
        <v>0.29999999999995453</v>
      </c>
      <c r="K50" s="8"/>
    </row>
    <row r="51" spans="1:11" ht="23.25" x14ac:dyDescent="0.35">
      <c r="A51" s="174" t="s">
        <v>761</v>
      </c>
      <c r="B51" s="169"/>
      <c r="C51" s="170"/>
      <c r="G51" s="7"/>
      <c r="H51" s="6"/>
      <c r="I51" s="6">
        <f>+I50/D50</f>
        <v>24.773539023118374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759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759</v>
      </c>
      <c r="D2" s="96" t="s">
        <v>3</v>
      </c>
      <c r="E2" s="95" t="s">
        <v>71</v>
      </c>
      <c r="F2" s="94" t="s">
        <v>5</v>
      </c>
      <c r="G2" s="93">
        <v>14903.3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204</v>
      </c>
      <c r="F3" s="88" t="s">
        <v>8</v>
      </c>
      <c r="G3" s="87">
        <v>28.1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73.055392156862737</v>
      </c>
      <c r="F4" s="81" t="s">
        <v>12</v>
      </c>
      <c r="G4" s="80">
        <f>G2*G3</f>
        <v>418782.73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-5.2835011579477342E-3</v>
      </c>
      <c r="F6" s="69" t="s">
        <v>16</v>
      </c>
      <c r="G6" s="68">
        <f>(I50-I19)/(D50-(SUM(D42:D44)+D19))</f>
        <v>33.976936432599075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28.1</v>
      </c>
      <c r="D10" s="30"/>
      <c r="E10" s="29" t="e">
        <f t="shared" ref="E10:E19" si="1">D10/$D$19</f>
        <v>#DIV/0!</v>
      </c>
      <c r="F10" s="28">
        <f t="shared" ref="F10:F18" si="2">C10-(C10*$E$6)</f>
        <v>28.248466382538332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29.3</v>
      </c>
      <c r="D11" s="30"/>
      <c r="E11" s="29" t="e">
        <f t="shared" si="1"/>
        <v>#DIV/0!</v>
      </c>
      <c r="F11" s="28">
        <f t="shared" si="2"/>
        <v>29.454806583927869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26.7</v>
      </c>
      <c r="D12" s="30"/>
      <c r="E12" s="29" t="e">
        <f t="shared" si="1"/>
        <v>#DIV/0!</v>
      </c>
      <c r="F12" s="28">
        <f t="shared" si="2"/>
        <v>26.841069480917202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29.3</v>
      </c>
      <c r="D13" s="30"/>
      <c r="E13" s="29" t="e">
        <f t="shared" si="1"/>
        <v>#DIV/0!</v>
      </c>
      <c r="F13" s="28">
        <f t="shared" si="2"/>
        <v>29.454806583927869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32.700000000000003</v>
      </c>
      <c r="D14" s="30"/>
      <c r="E14" s="29" t="e">
        <f t="shared" si="1"/>
        <v>#DIV/0!</v>
      </c>
      <c r="F14" s="28">
        <f t="shared" si="2"/>
        <v>32.872770487864891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</v>
      </c>
      <c r="D15" s="30"/>
      <c r="E15" s="29" t="e">
        <f t="shared" si="1"/>
        <v>#DIV/0!</v>
      </c>
      <c r="F15" s="28">
        <f t="shared" si="2"/>
        <v>27.14265453126459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36.9</v>
      </c>
      <c r="D16" s="30"/>
      <c r="E16" s="29" t="e">
        <f t="shared" si="1"/>
        <v>#DIV/0!</v>
      </c>
      <c r="F16" s="28">
        <f t="shared" si="2"/>
        <v>37.09496119272827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54.4</v>
      </c>
      <c r="D17" s="30"/>
      <c r="E17" s="29" t="e">
        <f t="shared" si="1"/>
        <v>#DIV/0!</v>
      </c>
      <c r="F17" s="28">
        <f t="shared" si="2"/>
        <v>54.687422462992359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47.6</v>
      </c>
      <c r="D18" s="30"/>
      <c r="E18" s="29" t="e">
        <f t="shared" si="1"/>
        <v>#DIV/0!</v>
      </c>
      <c r="F18" s="28">
        <f t="shared" si="2"/>
        <v>47.851494655118316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70.7</v>
      </c>
      <c r="D21" s="30">
        <v>194</v>
      </c>
      <c r="E21" s="29">
        <f>D21/$D$48</f>
        <v>1.3017251212818638E-2</v>
      </c>
      <c r="F21" s="28">
        <f>C21-(C21*$E$6)</f>
        <v>71.073543531866903</v>
      </c>
      <c r="G21" s="27" t="str">
        <f>IF(C21&gt;=F21,"-","+")</f>
        <v>+</v>
      </c>
      <c r="H21" s="26">
        <f>C21*D21</f>
        <v>13715.800000000001</v>
      </c>
      <c r="I21" s="26">
        <f>F21*D21</f>
        <v>13788.267445182179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47.5</v>
      </c>
      <c r="D22" s="30">
        <v>419.2</v>
      </c>
      <c r="E22" s="29">
        <f>D22/$D$48</f>
        <v>2.8127998496977179E-2</v>
      </c>
      <c r="F22" s="28">
        <f>C22-(C22*$E$6)</f>
        <v>47.750966305002514</v>
      </c>
      <c r="G22" s="27" t="str">
        <f>IF(C22&gt;=F22,"-","+")</f>
        <v>+</v>
      </c>
      <c r="H22" s="26">
        <f>C22*D22</f>
        <v>19912</v>
      </c>
      <c r="I22" s="26">
        <f>F22*D22</f>
        <v>20017.205075057052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43.3</v>
      </c>
      <c r="D23" s="30">
        <v>390.4</v>
      </c>
      <c r="E23" s="29">
        <f>D23/$D$48</f>
        <v>2.6195540584971113E-2</v>
      </c>
      <c r="F23" s="28">
        <f>C23-(C23*$E$6)</f>
        <v>43.528775600139134</v>
      </c>
      <c r="G23" s="27" t="str">
        <f>IF(C23&gt;=F23,"-","+")</f>
        <v>+</v>
      </c>
      <c r="H23" s="26">
        <f>C23*D23</f>
        <v>16904.32</v>
      </c>
      <c r="I23" s="26">
        <f>F23*D23</f>
        <v>16993.633994294316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50.350856915105624</v>
      </c>
      <c r="D24" s="22">
        <f>SUM(D21:D23)</f>
        <v>1003.6</v>
      </c>
      <c r="E24" s="21">
        <f>D24/$D$48</f>
        <v>6.7340790294766931E-2</v>
      </c>
      <c r="F24" s="20">
        <f>I24/D24</f>
        <v>50.616885725920234</v>
      </c>
      <c r="G24" s="19">
        <f>F24/C24-1</f>
        <v>5.2835011579475122E-3</v>
      </c>
      <c r="H24" s="18">
        <f>SUM(H21:H23)</f>
        <v>50532.12</v>
      </c>
      <c r="I24" s="18">
        <f>SUM(I21:I23)</f>
        <v>50799.106514533545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37.700000000000003</v>
      </c>
      <c r="D26" s="30">
        <v>2981.8</v>
      </c>
      <c r="E26" s="29">
        <f t="shared" ref="E26:E32" si="7">D26/$D$48</f>
        <v>0.2000764931256836</v>
      </c>
      <c r="F26" s="28">
        <f t="shared" ref="F26:F31" si="8">C26-(C26*$E$6)</f>
        <v>37.899187993654635</v>
      </c>
      <c r="G26" s="27" t="str">
        <f t="shared" ref="G26:G31" si="9">IF(C26&gt;=F26,"-","+")</f>
        <v>+</v>
      </c>
      <c r="H26" s="26">
        <f t="shared" ref="H26:H31" si="10">C26*D26</f>
        <v>112413.86000000002</v>
      </c>
      <c r="I26" s="26">
        <f t="shared" ref="I26:I31" si="11">F26*D26</f>
        <v>113007.7987594794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33.6</v>
      </c>
      <c r="D27" s="30">
        <v>2257.8000000000002</v>
      </c>
      <c r="E27" s="29">
        <f t="shared" si="7"/>
        <v>0.1514966483933089</v>
      </c>
      <c r="F27" s="28">
        <f t="shared" si="8"/>
        <v>33.777525638907044</v>
      </c>
      <c r="G27" s="27" t="str">
        <f t="shared" si="9"/>
        <v>+</v>
      </c>
      <c r="H27" s="26">
        <f t="shared" si="10"/>
        <v>75862.080000000016</v>
      </c>
      <c r="I27" s="26">
        <f t="shared" si="11"/>
        <v>76262.897387524325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33.6</v>
      </c>
      <c r="D28" s="30">
        <v>1661.5</v>
      </c>
      <c r="E28" s="29">
        <f t="shared" si="7"/>
        <v>0.1114853757221555</v>
      </c>
      <c r="F28" s="28">
        <f t="shared" si="8"/>
        <v>33.777525638907044</v>
      </c>
      <c r="G28" s="27" t="str">
        <f t="shared" si="9"/>
        <v>+</v>
      </c>
      <c r="H28" s="26">
        <f t="shared" si="10"/>
        <v>55826.400000000001</v>
      </c>
      <c r="I28" s="26">
        <f t="shared" si="11"/>
        <v>56121.358849044052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32.5</v>
      </c>
      <c r="D29" s="30">
        <v>1203.9000000000001</v>
      </c>
      <c r="E29" s="29">
        <f t="shared" si="7"/>
        <v>8.0780766675836904E-2</v>
      </c>
      <c r="F29" s="28">
        <f t="shared" si="8"/>
        <v>32.671713787633301</v>
      </c>
      <c r="G29" s="27" t="str">
        <f t="shared" si="9"/>
        <v>+</v>
      </c>
      <c r="H29" s="26">
        <f t="shared" si="10"/>
        <v>39126.75</v>
      </c>
      <c r="I29" s="26">
        <f t="shared" si="11"/>
        <v>39333.476228931737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32.5</v>
      </c>
      <c r="D30" s="30">
        <v>938.9</v>
      </c>
      <c r="E30" s="29">
        <f t="shared" si="7"/>
        <v>6.2999469916058856E-2</v>
      </c>
      <c r="F30" s="28">
        <f t="shared" si="8"/>
        <v>32.671713787633301</v>
      </c>
      <c r="G30" s="27" t="str">
        <f t="shared" si="9"/>
        <v>+</v>
      </c>
      <c r="H30" s="26">
        <f t="shared" si="10"/>
        <v>30514.25</v>
      </c>
      <c r="I30" s="26">
        <f t="shared" si="11"/>
        <v>30675.472075208905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</v>
      </c>
      <c r="D31" s="30">
        <v>443.4</v>
      </c>
      <c r="E31" s="29">
        <f t="shared" si="7"/>
        <v>2.9751799936926719E-2</v>
      </c>
      <c r="F31" s="28">
        <f t="shared" si="8"/>
        <v>33.174355538212275</v>
      </c>
      <c r="G31" s="27" t="str">
        <f t="shared" si="9"/>
        <v>+</v>
      </c>
      <c r="H31" s="26">
        <f t="shared" si="10"/>
        <v>14632.199999999999</v>
      </c>
      <c r="I31" s="26">
        <f t="shared" si="11"/>
        <v>14709.509245643321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34.612117251483568</v>
      </c>
      <c r="D32" s="22">
        <f>SUM(D26:D31)</f>
        <v>9487.2999999999993</v>
      </c>
      <c r="E32" s="21">
        <f t="shared" si="7"/>
        <v>0.63659055376997042</v>
      </c>
      <c r="F32" s="20">
        <f>I32/D32</f>
        <v>34.794990413060802</v>
      </c>
      <c r="G32" s="19">
        <f>F32/C32-1</f>
        <v>5.2835011579477342E-3</v>
      </c>
      <c r="H32" s="18">
        <f>SUM(H26:H31)</f>
        <v>328375.54000000004</v>
      </c>
      <c r="I32" s="18">
        <f>SUM(I26:I31)</f>
        <v>330110.51254583173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v>1828.4</v>
      </c>
      <c r="E34" s="29">
        <f t="shared" ref="E34:E40" si="13">D34/$D$48</f>
        <v>0.12268423771916288</v>
      </c>
      <c r="F34" s="28">
        <f t="shared" ref="F34:F39" si="14">C34-(C34*$E$6)</f>
        <v>20.005141673043159</v>
      </c>
      <c r="G34" s="27" t="str">
        <f t="shared" ref="G34:G39" si="15">IF(C34&gt;=F34,"-","+")</f>
        <v>+</v>
      </c>
      <c r="H34" s="26">
        <f t="shared" ref="H34:H39" si="16">C34*D34</f>
        <v>36385.159999999996</v>
      </c>
      <c r="I34" s="26">
        <f t="shared" ref="I34:I39" si="17">F34*D34</f>
        <v>36577.401034992115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/>
      <c r="E35" s="29">
        <f t="shared" si="13"/>
        <v>0</v>
      </c>
      <c r="F35" s="28">
        <f t="shared" si="14"/>
        <v>15.3808375677166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12.364987064242758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32.5</v>
      </c>
      <c r="D37" s="30"/>
      <c r="E37" s="29">
        <f t="shared" si="13"/>
        <v>0</v>
      </c>
      <c r="F37" s="28">
        <f t="shared" si="14"/>
        <v>32.671713787633301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32.5</v>
      </c>
      <c r="D38" s="30"/>
      <c r="E38" s="29">
        <f t="shared" si="13"/>
        <v>0</v>
      </c>
      <c r="F38" s="28">
        <f t="shared" si="14"/>
        <v>32.671713787633301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33.6</v>
      </c>
      <c r="D39" s="30"/>
      <c r="E39" s="29">
        <f t="shared" si="13"/>
        <v>0</v>
      </c>
      <c r="F39" s="28">
        <f t="shared" si="14"/>
        <v>33.777525638907044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19.899999999999999</v>
      </c>
      <c r="D40" s="22">
        <f>SUM(D34:D39)</f>
        <v>1828.4</v>
      </c>
      <c r="E40" s="113">
        <f t="shared" si="13"/>
        <v>0.12268423771916288</v>
      </c>
      <c r="F40" s="20">
        <f>I40/D40</f>
        <v>20.005141673043159</v>
      </c>
      <c r="G40" s="19">
        <f>F40/C40-1</f>
        <v>5.2835011579477342E-3</v>
      </c>
      <c r="H40" s="18">
        <f>SUM(H34:H39)</f>
        <v>36385.159999999996</v>
      </c>
      <c r="I40" s="18">
        <f>SUM(I34:I39)</f>
        <v>36577.401034992115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2458</v>
      </c>
      <c r="E42" s="107">
        <f>D42/$D$48</f>
        <v>0.16492991485107325</v>
      </c>
      <c r="F42" s="28">
        <f>C42-(C42*$E$6)</f>
        <v>0.50264175057897387</v>
      </c>
      <c r="G42" s="27" t="str">
        <f>IF(C42&gt;=F42,"-","+")</f>
        <v>+</v>
      </c>
      <c r="H42" s="26">
        <f>C42*D42</f>
        <v>1229</v>
      </c>
      <c r="I42" s="26">
        <f>F42*D42</f>
        <v>1235.4934229231178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119.8</v>
      </c>
      <c r="E43" s="107">
        <f>D43/$D$48</f>
        <v>8.0384881200807872E-3</v>
      </c>
      <c r="F43" s="28">
        <f>C43-(C43*$E$6)</f>
        <v>0.50264175057897387</v>
      </c>
      <c r="G43" s="27" t="str">
        <f>IF(C43&gt;=F43,"-","+")</f>
        <v>+</v>
      </c>
      <c r="H43" s="26">
        <f>C43*D43</f>
        <v>59.9</v>
      </c>
      <c r="I43" s="26">
        <f>F43*D43</f>
        <v>60.21648171936107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6.2</v>
      </c>
      <c r="E45" s="107">
        <f>D45/$D$48</f>
        <v>4.1601524494575031E-4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0.49880030959752325</v>
      </c>
      <c r="D46" s="22">
        <f>SUM(D41:D45)</f>
        <v>2584</v>
      </c>
      <c r="E46" s="113">
        <f>D46/$D$48</f>
        <v>0.17338441821609979</v>
      </c>
      <c r="F46" s="20">
        <f>I46/D46</f>
        <v>0.50143572161086647</v>
      </c>
      <c r="G46" s="19">
        <f>F46/C46-1</f>
        <v>5.2835011579477342E-3</v>
      </c>
      <c r="H46" s="18">
        <f>SUM(H41:H44)</f>
        <v>1288.9000000000001</v>
      </c>
      <c r="I46" s="18">
        <f>SUM(I41:I44)</f>
        <v>1295.7099046424789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105.36177447618672</v>
      </c>
      <c r="D48" s="13">
        <f>D24+D32+D40+D46</f>
        <v>14903.3</v>
      </c>
      <c r="E48" s="12">
        <f>SUM(E20:E46)/2</f>
        <v>1</v>
      </c>
      <c r="F48" s="11">
        <f>I48/D48</f>
        <v>28.099999999999991</v>
      </c>
      <c r="G48" s="10"/>
      <c r="H48" s="9">
        <f>SUM(H20:H46)/2</f>
        <v>416581.72000000009</v>
      </c>
      <c r="I48" s="9">
        <f>SUM(I20:I46)/2</f>
        <v>418782.72999999986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14903.3</v>
      </c>
      <c r="E50" s="12">
        <f>D50/G2</f>
        <v>1</v>
      </c>
      <c r="F50" s="11">
        <f>I50/D50</f>
        <v>28.099999999999991</v>
      </c>
      <c r="G50" s="10"/>
      <c r="H50" s="9">
        <f>H48+H19</f>
        <v>416581.72000000009</v>
      </c>
      <c r="I50" s="9">
        <f>I48+I19</f>
        <v>418782.72999999986</v>
      </c>
      <c r="J50" s="106">
        <f>D50-G2</f>
        <v>0</v>
      </c>
      <c r="K50" s="8"/>
    </row>
    <row r="51" spans="1:11" ht="23.25" x14ac:dyDescent="0.35">
      <c r="A51" s="174" t="s">
        <v>762</v>
      </c>
      <c r="B51" s="169"/>
      <c r="C51" s="170"/>
      <c r="G51" s="7"/>
      <c r="H51" s="6"/>
      <c r="I51" s="6">
        <f>+I50/D50</f>
        <v>28.099999999999991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759</v>
      </c>
      <c r="D1" s="100" t="s">
        <v>1</v>
      </c>
      <c r="E1" s="168" t="s">
        <v>539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763</v>
      </c>
      <c r="D2" s="96" t="s">
        <v>3</v>
      </c>
      <c r="E2" s="95" t="s">
        <v>112</v>
      </c>
      <c r="F2" s="94" t="s">
        <v>5</v>
      </c>
      <c r="G2" s="93">
        <v>23369.4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320</v>
      </c>
      <c r="F3" s="88" t="s">
        <v>8</v>
      </c>
      <c r="G3" s="87">
        <v>25.75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73.029375000000002</v>
      </c>
      <c r="F4" s="81" t="s">
        <v>12</v>
      </c>
      <c r="G4" s="80">
        <f>G2*G3</f>
        <v>601762.05000000005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-6.6797677021225077E-2</v>
      </c>
      <c r="F6" s="69" t="s">
        <v>16</v>
      </c>
      <c r="G6" s="68">
        <f>(I50-I19)/(D50-(SUM(D42:D44)+D19))</f>
        <v>32.254647148998203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25.8</v>
      </c>
      <c r="D10" s="30"/>
      <c r="E10" s="29" t="e">
        <f t="shared" ref="E10:E19" si="1">D10/$D$19</f>
        <v>#DIV/0!</v>
      </c>
      <c r="F10" s="28">
        <f t="shared" ref="F10:F18" si="2">C10-(C10*$E$6)</f>
        <v>27.523380067147606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26.8</v>
      </c>
      <c r="D11" s="30"/>
      <c r="E11" s="29" t="e">
        <f t="shared" si="1"/>
        <v>#DIV/0!</v>
      </c>
      <c r="F11" s="28">
        <f t="shared" si="2"/>
        <v>28.590177744168834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/>
      <c r="E12" s="29" t="e">
        <f t="shared" si="1"/>
        <v>#DIV/0!</v>
      </c>
      <c r="F12" s="28">
        <f t="shared" si="2"/>
        <v>26.136543087020016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26.8</v>
      </c>
      <c r="D13" s="30"/>
      <c r="E13" s="29" t="e">
        <f t="shared" si="1"/>
        <v>#DIV/0!</v>
      </c>
      <c r="F13" s="28">
        <f t="shared" si="2"/>
        <v>28.590177744168834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</v>
      </c>
      <c r="D14" s="30"/>
      <c r="E14" s="29" t="e">
        <f t="shared" si="1"/>
        <v>#DIV/0!</v>
      </c>
      <c r="F14" s="28">
        <f t="shared" si="2"/>
        <v>32.003930310636754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24.7</v>
      </c>
      <c r="D15" s="30"/>
      <c r="E15" s="29" t="e">
        <f t="shared" si="1"/>
        <v>#DIV/0!</v>
      </c>
      <c r="F15" s="28">
        <f t="shared" si="2"/>
        <v>26.34990262242426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33.799999999999997</v>
      </c>
      <c r="D16" s="30"/>
      <c r="E16" s="29" t="e">
        <f t="shared" si="1"/>
        <v>#DIV/0!</v>
      </c>
      <c r="F16" s="28">
        <f t="shared" si="2"/>
        <v>36.057761483317407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49.8</v>
      </c>
      <c r="D17" s="30"/>
      <c r="E17" s="29" t="e">
        <f t="shared" si="1"/>
        <v>#DIV/0!</v>
      </c>
      <c r="F17" s="28">
        <f t="shared" si="2"/>
        <v>53.126524315657008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43.6</v>
      </c>
      <c r="D18" s="30"/>
      <c r="E18" s="29" t="e">
        <f t="shared" si="1"/>
        <v>#DIV/0!</v>
      </c>
      <c r="F18" s="28">
        <f t="shared" si="2"/>
        <v>46.512378718125412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64.8</v>
      </c>
      <c r="D21" s="30">
        <v>287.8</v>
      </c>
      <c r="E21" s="29">
        <f>D21/$D$48</f>
        <v>1.2315249856650149E-2</v>
      </c>
      <c r="F21" s="28">
        <f>C21-(C21*$E$6)</f>
        <v>69.128489470975381</v>
      </c>
      <c r="G21" s="27" t="str">
        <f>IF(C21&gt;=F21,"-","+")</f>
        <v>+</v>
      </c>
      <c r="H21" s="26">
        <f>C21*D21</f>
        <v>18649.439999999999</v>
      </c>
      <c r="I21" s="26">
        <f>F21*D21</f>
        <v>19895.179269746717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43.5</v>
      </c>
      <c r="D22" s="30">
        <v>626.4</v>
      </c>
      <c r="E22" s="29">
        <f>D22/$D$48</f>
        <v>2.6804282523299697E-2</v>
      </c>
      <c r="F22" s="28">
        <f>C22-(C22*$E$6)</f>
        <v>46.405698950423293</v>
      </c>
      <c r="G22" s="27" t="str">
        <f>IF(C22&gt;=F22,"-","+")</f>
        <v>+</v>
      </c>
      <c r="H22" s="26">
        <f>C22*D22</f>
        <v>27248.399999999998</v>
      </c>
      <c r="I22" s="26">
        <f>F22*D22</f>
        <v>29068.529822545148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39.700000000000003</v>
      </c>
      <c r="D23" s="30">
        <v>523.1</v>
      </c>
      <c r="E23" s="29">
        <f>D23/$D$48</f>
        <v>2.2383972202966271E-2</v>
      </c>
      <c r="F23" s="28">
        <f>C23-(C23*$E$6)</f>
        <v>42.35186777774264</v>
      </c>
      <c r="G23" s="27" t="str">
        <f>IF(C23&gt;=F23,"-","+")</f>
        <v>+</v>
      </c>
      <c r="H23" s="26">
        <f>C23*D23</f>
        <v>20767.070000000003</v>
      </c>
      <c r="I23" s="26">
        <f>F23*D23</f>
        <v>22154.262034537176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46.382042718986987</v>
      </c>
      <c r="D24" s="22">
        <f>SUM(D21:D23)</f>
        <v>1437.3000000000002</v>
      </c>
      <c r="E24" s="21">
        <f>D24/$D$48</f>
        <v>6.1503504582916126E-2</v>
      </c>
      <c r="F24" s="20">
        <f>I24/D24</f>
        <v>49.480255428114546</v>
      </c>
      <c r="G24" s="19">
        <f>F24/C24-1</f>
        <v>6.6797677021225077E-2</v>
      </c>
      <c r="H24" s="18">
        <f>SUM(H21:H23)</f>
        <v>66664.91</v>
      </c>
      <c r="I24" s="18">
        <f>SUM(I21:I23)</f>
        <v>71117.971126829041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34.6</v>
      </c>
      <c r="D26" s="30">
        <f>928+3659+45</f>
        <v>4632</v>
      </c>
      <c r="E26" s="29">
        <f t="shared" ref="E26:E32" si="7">D26/$D$48</f>
        <v>0.19820791291175638</v>
      </c>
      <c r="F26" s="28">
        <f t="shared" ref="F26:F31" si="8">C26-(C26*$E$6)</f>
        <v>36.91119962493439</v>
      </c>
      <c r="G26" s="27" t="str">
        <f t="shared" ref="G26:G31" si="9">IF(C26&gt;=F26,"-","+")</f>
        <v>+</v>
      </c>
      <c r="H26" s="26">
        <f t="shared" ref="H26:H31" si="10">C26*D26</f>
        <v>160267.20000000001</v>
      </c>
      <c r="I26" s="26">
        <f t="shared" ref="I26:I31" si="11">F26*D26</f>
        <v>170972.67666269609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30.8</v>
      </c>
      <c r="D27" s="30">
        <v>3389.7</v>
      </c>
      <c r="E27" s="29">
        <f t="shared" si="7"/>
        <v>0.14504865336722378</v>
      </c>
      <c r="F27" s="28">
        <f t="shared" si="8"/>
        <v>32.857368452253731</v>
      </c>
      <c r="G27" s="27" t="str">
        <f t="shared" si="9"/>
        <v>+</v>
      </c>
      <c r="H27" s="26">
        <f t="shared" si="10"/>
        <v>104402.76</v>
      </c>
      <c r="I27" s="26">
        <f t="shared" si="11"/>
        <v>111376.62184260447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30.8</v>
      </c>
      <c r="D28" s="30">
        <v>1873</v>
      </c>
      <c r="E28" s="29">
        <f t="shared" si="7"/>
        <v>8.01475433686787E-2</v>
      </c>
      <c r="F28" s="28">
        <f t="shared" si="8"/>
        <v>32.857368452253731</v>
      </c>
      <c r="G28" s="27" t="str">
        <f t="shared" si="9"/>
        <v>+</v>
      </c>
      <c r="H28" s="26">
        <f t="shared" si="10"/>
        <v>57688.4</v>
      </c>
      <c r="I28" s="26">
        <f t="shared" si="11"/>
        <v>61541.851111071235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29.7</v>
      </c>
      <c r="D29" s="30">
        <v>1624</v>
      </c>
      <c r="E29" s="29">
        <f t="shared" si="7"/>
        <v>6.9492584319665887E-2</v>
      </c>
      <c r="F29" s="28">
        <f t="shared" si="8"/>
        <v>31.683891007530384</v>
      </c>
      <c r="G29" s="27" t="str">
        <f t="shared" si="9"/>
        <v>+</v>
      </c>
      <c r="H29" s="26">
        <f t="shared" si="10"/>
        <v>48232.799999999996</v>
      </c>
      <c r="I29" s="26">
        <f t="shared" si="11"/>
        <v>51454.638996229347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29.7</v>
      </c>
      <c r="D30" s="30">
        <v>1487.5</v>
      </c>
      <c r="E30" s="29">
        <f t="shared" si="7"/>
        <v>6.3651612792797421E-2</v>
      </c>
      <c r="F30" s="28">
        <f t="shared" si="8"/>
        <v>31.683891007530384</v>
      </c>
      <c r="G30" s="27" t="str">
        <f t="shared" si="9"/>
        <v>+</v>
      </c>
      <c r="H30" s="26">
        <f t="shared" si="10"/>
        <v>44178.75</v>
      </c>
      <c r="I30" s="26">
        <f t="shared" si="11"/>
        <v>47129.787873701447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30.3</v>
      </c>
      <c r="D31" s="30">
        <v>447.6</v>
      </c>
      <c r="E31" s="29">
        <f t="shared" si="7"/>
        <v>1.9153251688104958E-2</v>
      </c>
      <c r="F31" s="28">
        <f t="shared" si="8"/>
        <v>32.323969613743124</v>
      </c>
      <c r="G31" s="27" t="str">
        <f t="shared" si="9"/>
        <v>+</v>
      </c>
      <c r="H31" s="26">
        <f t="shared" si="10"/>
        <v>13562.28</v>
      </c>
      <c r="I31" s="26">
        <f t="shared" si="11"/>
        <v>14468.208799111422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31.837264564658312</v>
      </c>
      <c r="D32" s="22">
        <f>SUM(D26:D31)</f>
        <v>13453.800000000001</v>
      </c>
      <c r="E32" s="21">
        <f t="shared" si="7"/>
        <v>0.57570155844822724</v>
      </c>
      <c r="F32" s="20">
        <f>I32/D32</f>
        <v>33.963919880287648</v>
      </c>
      <c r="G32" s="19">
        <f>F32/C32-1</f>
        <v>6.6797677021224855E-2</v>
      </c>
      <c r="H32" s="18">
        <f>SUM(H26:H31)</f>
        <v>428332.19000000006</v>
      </c>
      <c r="I32" s="18">
        <f>SUM(I26:I31)</f>
        <v>456943.78528541396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f>1781+1684.1</f>
        <v>3465.1</v>
      </c>
      <c r="E34" s="29">
        <f t="shared" ref="E34:E40" si="13">D34/$D$48</f>
        <v>0.14827509478206544</v>
      </c>
      <c r="F34" s="28">
        <f t="shared" ref="F34:F39" si="14">C34-(C34*$E$6)</f>
        <v>19.415717721786297</v>
      </c>
      <c r="G34" s="27" t="str">
        <f t="shared" ref="G34:G39" si="15">IF(C34&gt;=F34,"-","+")</f>
        <v>+</v>
      </c>
      <c r="H34" s="26">
        <f t="shared" ref="H34:H39" si="16">C34*D34</f>
        <v>63064.819999999992</v>
      </c>
      <c r="I34" s="26">
        <f t="shared" ref="I34:I39" si="17">F34*D34</f>
        <v>67277.403477761691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>
        <v>295.39999999999998</v>
      </c>
      <c r="E35" s="29">
        <f t="shared" si="13"/>
        <v>1.264046145814612E-2</v>
      </c>
      <c r="F35" s="28">
        <f t="shared" si="14"/>
        <v>14.935167478297151</v>
      </c>
      <c r="G35" s="27" t="str">
        <f t="shared" si="15"/>
        <v>+</v>
      </c>
      <c r="H35" s="26">
        <f t="shared" si="16"/>
        <v>4135.5999999999995</v>
      </c>
      <c r="I35" s="26">
        <f t="shared" si="17"/>
        <v>4411.8484730889777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11.948133982637721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29.7</v>
      </c>
      <c r="D37" s="30"/>
      <c r="E37" s="29">
        <f t="shared" si="13"/>
        <v>0</v>
      </c>
      <c r="F37" s="28">
        <f t="shared" si="14"/>
        <v>31.683891007530384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29.7</v>
      </c>
      <c r="D38" s="30"/>
      <c r="E38" s="29">
        <f t="shared" si="13"/>
        <v>0</v>
      </c>
      <c r="F38" s="28">
        <f t="shared" si="14"/>
        <v>31.683891007530384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30.8</v>
      </c>
      <c r="D39" s="30"/>
      <c r="E39" s="29">
        <f t="shared" si="13"/>
        <v>0</v>
      </c>
      <c r="F39" s="28">
        <f t="shared" si="14"/>
        <v>32.857368452253731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17.870075787794175</v>
      </c>
      <c r="D40" s="22">
        <f>SUM(D34:D39)</f>
        <v>3760.5</v>
      </c>
      <c r="E40" s="113">
        <f t="shared" si="13"/>
        <v>0.16091555624021156</v>
      </c>
      <c r="F40" s="20">
        <f>I40/D40</f>
        <v>19.063755338612065</v>
      </c>
      <c r="G40" s="19">
        <f>F40/C40-1</f>
        <v>6.6797677021225077E-2</v>
      </c>
      <c r="H40" s="18">
        <f>SUM(H34:H39)</f>
        <v>67200.42</v>
      </c>
      <c r="I40" s="18">
        <f>SUM(I34:I39)</f>
        <v>71689.251950850667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1940+2231.2+381.9</f>
        <v>4553.0999999999995</v>
      </c>
      <c r="E42" s="107">
        <f>D42/$D$48</f>
        <v>0.19483170299622579</v>
      </c>
      <c r="F42" s="28">
        <f>C42-(C42*$E$6)</f>
        <v>0.42671907080849003</v>
      </c>
      <c r="G42" s="27" t="str">
        <f>IF(C42&gt;=F42,"-","+")</f>
        <v>+</v>
      </c>
      <c r="H42" s="26">
        <f>C42*D42</f>
        <v>1821.2399999999998</v>
      </c>
      <c r="I42" s="26">
        <f>F42*D42</f>
        <v>1942.8946012981357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159.69999999999999</v>
      </c>
      <c r="E43" s="107">
        <f>D43/$D$48</f>
        <v>6.8337227314351238E-3</v>
      </c>
      <c r="F43" s="28">
        <f>C43-(C43*$E$6)</f>
        <v>0.42671907080849003</v>
      </c>
      <c r="G43" s="27" t="str">
        <f>IF(C43&gt;=F43,"-","+")</f>
        <v>+</v>
      </c>
      <c r="H43" s="26">
        <f>C43*D43</f>
        <v>63.879999999999995</v>
      </c>
      <c r="I43" s="26">
        <f>F43*D43</f>
        <v>68.147035608115857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2.13955000984193E-4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0.39957607359362418</v>
      </c>
      <c r="D46" s="22">
        <f>SUM(D41:D45)</f>
        <v>4717.7999999999993</v>
      </c>
      <c r="E46" s="113">
        <f>D46/$D$48</f>
        <v>0.20187938072864511</v>
      </c>
      <c r="F46" s="20">
        <f>I46/D46</f>
        <v>0.42626682710294034</v>
      </c>
      <c r="G46" s="19">
        <f>F46/C46-1</f>
        <v>6.6797677021225077E-2</v>
      </c>
      <c r="H46" s="18">
        <f>SUM(H41:H44)</f>
        <v>1885.12</v>
      </c>
      <c r="I46" s="18">
        <f>SUM(I41:I44)</f>
        <v>2011.0416369062516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96.488959145033093</v>
      </c>
      <c r="D48" s="13">
        <f>D24+D32+D40+D46</f>
        <v>23369.4</v>
      </c>
      <c r="E48" s="12">
        <f>SUM(E20:E46)/2</f>
        <v>1</v>
      </c>
      <c r="F48" s="11">
        <f>I48/D48</f>
        <v>25.749999999999996</v>
      </c>
      <c r="G48" s="10"/>
      <c r="H48" s="9">
        <f>SUM(H20:H46)/2</f>
        <v>564082.64</v>
      </c>
      <c r="I48" s="9">
        <f>SUM(I20:I46)/2</f>
        <v>601762.04999999993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23369.4</v>
      </c>
      <c r="E50" s="12">
        <f>D50/G2</f>
        <v>1</v>
      </c>
      <c r="F50" s="11">
        <f>I50/D50</f>
        <v>25.749999999999996</v>
      </c>
      <c r="G50" s="10"/>
      <c r="H50" s="9">
        <f>H48+H19</f>
        <v>564082.64</v>
      </c>
      <c r="I50" s="9">
        <f>I48+I19</f>
        <v>601762.04999999993</v>
      </c>
      <c r="J50" s="106">
        <f>D50-G2</f>
        <v>0</v>
      </c>
      <c r="K50" s="8"/>
    </row>
    <row r="51" spans="1:11" ht="23.25" x14ac:dyDescent="0.35">
      <c r="A51" s="174" t="s">
        <v>764</v>
      </c>
      <c r="B51" s="169"/>
      <c r="C51" s="170"/>
      <c r="G51" s="7"/>
      <c r="H51" s="6"/>
      <c r="I51" s="6">
        <f>+I50/D50</f>
        <v>25.749999999999996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763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763</v>
      </c>
      <c r="D2" s="96" t="s">
        <v>3</v>
      </c>
      <c r="E2" s="95" t="s">
        <v>71</v>
      </c>
      <c r="F2" s="94" t="s">
        <v>5</v>
      </c>
      <c r="G2" s="93">
        <v>3515.2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48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73.233333333333334</v>
      </c>
      <c r="F4" s="81" t="s">
        <v>12</v>
      </c>
      <c r="G4" s="80">
        <f>G2*G3</f>
        <v>98425.599999999991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-4.5094393454483628E-2</v>
      </c>
      <c r="F6" s="69" t="s">
        <v>16</v>
      </c>
      <c r="G6" s="68">
        <f>(I50-I19)/(D50-(SUM(D42:D44)+D19))</f>
        <v>34.972143263217731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29.262643016725541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30.516756288870923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27.799510865889268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30.516756288870923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34.070077226616171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28.113039183925608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38.459473679124997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56.644116125233012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49.537474249742523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41.6</v>
      </c>
      <c r="E21" s="29">
        <f>D21/$D$48</f>
        <v>1.183431952662722E-2</v>
      </c>
      <c r="F21" s="28">
        <f>C21-(C21*$E$6)</f>
        <v>73.574645299195652</v>
      </c>
      <c r="G21" s="27" t="str">
        <f>IF(C21&gt;=F21,"-","+")</f>
        <v>+</v>
      </c>
      <c r="H21" s="26">
        <f>C21*D21</f>
        <v>2928.6400000000003</v>
      </c>
      <c r="I21" s="26">
        <f>F21*D21</f>
        <v>3060.7052444465394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114.2</v>
      </c>
      <c r="E22" s="29">
        <f>D22/$D$48</f>
        <v>3.2487482931269913E-2</v>
      </c>
      <c r="F22" s="28">
        <f>C22-(C22*$E$6)</f>
        <v>49.432964810397074</v>
      </c>
      <c r="G22" s="27" t="str">
        <f>IF(C22&gt;=F22,"-","+")</f>
        <v>+</v>
      </c>
      <c r="H22" s="26">
        <f>C22*D22</f>
        <v>5401.66</v>
      </c>
      <c r="I22" s="26">
        <f>F22*D22</f>
        <v>5645.244581347346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75.5</v>
      </c>
      <c r="E23" s="29">
        <f>D23/$D$48</f>
        <v>2.1478152025489305E-2</v>
      </c>
      <c r="F23" s="28">
        <f>C23-(C23*$E$6)</f>
        <v>45.043568357888248</v>
      </c>
      <c r="G23" s="27" t="str">
        <f>IF(C23&gt;=F23,"-","+")</f>
        <v>+</v>
      </c>
      <c r="H23" s="26">
        <f>C23*D23</f>
        <v>3254.05</v>
      </c>
      <c r="I23" s="26">
        <f>F23*D23</f>
        <v>3400.7894110205625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50.083657587548629</v>
      </c>
      <c r="D24" s="22">
        <f>SUM(D21:D23)</f>
        <v>231.3</v>
      </c>
      <c r="E24" s="21">
        <f>D24/$D$48</f>
        <v>6.5799954483386436E-2</v>
      </c>
      <c r="F24" s="20">
        <f>I24/D24</f>
        <v>52.342149748441187</v>
      </c>
      <c r="G24" s="19">
        <f>F24/C24-1</f>
        <v>4.509439345448385E-2</v>
      </c>
      <c r="H24" s="18">
        <f>SUM(H21:H23)</f>
        <v>11584.349999999999</v>
      </c>
      <c r="I24" s="18">
        <f>SUM(I21:I23)</f>
        <v>12106.739236814446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755.9</v>
      </c>
      <c r="E26" s="29">
        <f t="shared" ref="E26:E32" si="7">D26/$D$48</f>
        <v>0.21503755120619025</v>
      </c>
      <c r="F26" s="28">
        <f t="shared" ref="F26:F31" si="8">C26-(C26*$E$6)</f>
        <v>39.295549193888583</v>
      </c>
      <c r="G26" s="27" t="str">
        <f t="shared" ref="G26:G31" si="9">IF(C26&gt;=F26,"-","+")</f>
        <v>+</v>
      </c>
      <c r="H26" s="26">
        <f t="shared" ref="H26:H31" si="10">C26*D26</f>
        <v>28421.84</v>
      </c>
      <c r="I26" s="26">
        <f t="shared" ref="I26:I31" si="11">F26*D26</f>
        <v>29703.505635660378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507.4</v>
      </c>
      <c r="E27" s="29">
        <f t="shared" si="7"/>
        <v>0.14434456076467911</v>
      </c>
      <c r="F27" s="28">
        <f t="shared" si="8"/>
        <v>35.010662180725198</v>
      </c>
      <c r="G27" s="27" t="str">
        <f t="shared" si="9"/>
        <v>+</v>
      </c>
      <c r="H27" s="26">
        <f t="shared" si="10"/>
        <v>16997.899999999998</v>
      </c>
      <c r="I27" s="26">
        <f t="shared" si="11"/>
        <v>17764.409990499964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295</v>
      </c>
      <c r="E28" s="29">
        <f t="shared" si="7"/>
        <v>8.3921256258534374E-2</v>
      </c>
      <c r="F28" s="28">
        <f t="shared" si="8"/>
        <v>35.010662180725198</v>
      </c>
      <c r="G28" s="27" t="str">
        <f t="shared" si="9"/>
        <v>+</v>
      </c>
      <c r="H28" s="26">
        <f t="shared" si="10"/>
        <v>9882.5</v>
      </c>
      <c r="I28" s="26">
        <f t="shared" si="11"/>
        <v>10328.145343313934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290.2</v>
      </c>
      <c r="E29" s="29">
        <f t="shared" si="7"/>
        <v>8.2555757851615841E-2</v>
      </c>
      <c r="F29" s="28">
        <f t="shared" si="8"/>
        <v>33.756548908579816</v>
      </c>
      <c r="G29" s="27" t="str">
        <f t="shared" si="9"/>
        <v>+</v>
      </c>
      <c r="H29" s="26">
        <f t="shared" si="10"/>
        <v>9373.4599999999991</v>
      </c>
      <c r="I29" s="26">
        <f t="shared" si="11"/>
        <v>9796.1504932698626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205.6</v>
      </c>
      <c r="E30" s="29">
        <f t="shared" si="7"/>
        <v>5.8488848429676832E-2</v>
      </c>
      <c r="F30" s="28">
        <f t="shared" si="8"/>
        <v>33.756548908579816</v>
      </c>
      <c r="G30" s="27" t="str">
        <f t="shared" si="9"/>
        <v>+</v>
      </c>
      <c r="H30" s="26">
        <f t="shared" si="10"/>
        <v>6640.8799999999992</v>
      </c>
      <c r="I30" s="26">
        <f t="shared" si="11"/>
        <v>6940.3464556040099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52</v>
      </c>
      <c r="E31" s="29">
        <f t="shared" si="7"/>
        <v>1.4792899408284025E-2</v>
      </c>
      <c r="F31" s="28">
        <f t="shared" si="8"/>
        <v>34.383605544652511</v>
      </c>
      <c r="G31" s="27" t="str">
        <f t="shared" si="9"/>
        <v>+</v>
      </c>
      <c r="H31" s="26">
        <f t="shared" si="10"/>
        <v>1710.8</v>
      </c>
      <c r="I31" s="26">
        <f t="shared" si="11"/>
        <v>1787.9474883219305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34.674222496557626</v>
      </c>
      <c r="D32" s="22">
        <f>SUM(D26:D31)</f>
        <v>2106.1</v>
      </c>
      <c r="E32" s="21">
        <f t="shared" si="7"/>
        <v>0.59914087391898041</v>
      </c>
      <c r="F32" s="20">
        <f>I32/D32</f>
        <v>36.237835528545695</v>
      </c>
      <c r="G32" s="19">
        <f>F32/C32-1</f>
        <v>4.5094393454483406E-2</v>
      </c>
      <c r="H32" s="18">
        <f>SUM(H26:H31)</f>
        <v>73027.38</v>
      </c>
      <c r="I32" s="18">
        <f>SUM(I26:I31)</f>
        <v>76320.505406670083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215.7+218</f>
        <v>433.7</v>
      </c>
      <c r="E34" s="29">
        <f t="shared" ref="E34:E40" si="13">D34/$D$48</f>
        <v>0.12337847064178425</v>
      </c>
      <c r="F34" s="28">
        <f t="shared" ref="F34:F39" si="14">C34-(C34*$E$6)</f>
        <v>20.692868990398775</v>
      </c>
      <c r="G34" s="27" t="str">
        <f t="shared" ref="G34:G39" si="15">IF(C34&gt;=F34,"-","+")</f>
        <v>+</v>
      </c>
      <c r="H34" s="26">
        <f t="shared" ref="H34:H39" si="16">C34*D34</f>
        <v>8587.26</v>
      </c>
      <c r="I34" s="26">
        <f t="shared" ref="I34:I39" si="17">F34*D34</f>
        <v>8974.4972811359494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41.4</v>
      </c>
      <c r="E35" s="29">
        <f t="shared" si="13"/>
        <v>1.177742375967228E-2</v>
      </c>
      <c r="F35" s="28">
        <f t="shared" si="14"/>
        <v>15.885434780508151</v>
      </c>
      <c r="G35" s="27" t="str">
        <f t="shared" si="15"/>
        <v>+</v>
      </c>
      <c r="H35" s="26">
        <f t="shared" si="16"/>
        <v>629.28</v>
      </c>
      <c r="I35" s="26">
        <f t="shared" si="17"/>
        <v>657.65699991303745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12.750151600144699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33.756548908579816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33.756548908579816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35.010662180725198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19.39915807198485</v>
      </c>
      <c r="D40" s="22">
        <f>SUM(D34:D39)</f>
        <v>475.09999999999997</v>
      </c>
      <c r="E40" s="113">
        <f t="shared" si="13"/>
        <v>0.13515589440145653</v>
      </c>
      <c r="F40" s="20">
        <f>I40/D40</f>
        <v>20.273951338768654</v>
      </c>
      <c r="G40" s="19">
        <f>F40/C40-1</f>
        <v>4.5094393454483406E-2</v>
      </c>
      <c r="H40" s="18">
        <f>SUM(H34:H39)</f>
        <v>9216.5400000000009</v>
      </c>
      <c r="I40" s="18">
        <f>SUM(I34:I39)</f>
        <v>9632.1542810489864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55+328.8+290</f>
        <v>673.8</v>
      </c>
      <c r="E42" s="107">
        <f>D42/$D$48</f>
        <v>0.19168183887118798</v>
      </c>
      <c r="F42" s="28">
        <f>C42-(C42*$E$6)</f>
        <v>0.52254719672724181</v>
      </c>
      <c r="G42" s="27" t="str">
        <f>IF(C42&gt;=F42,"-","+")</f>
        <v>+</v>
      </c>
      <c r="H42" s="26">
        <f>C42*D42</f>
        <v>336.9</v>
      </c>
      <c r="I42" s="26">
        <f>F42*D42</f>
        <v>352.09230115481552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27</v>
      </c>
      <c r="E43" s="107">
        <f>D43/$D$48</f>
        <v>7.6809285389167047E-3</v>
      </c>
      <c r="F43" s="28">
        <f>C43-(C43*$E$6)</f>
        <v>0.52254719672724181</v>
      </c>
      <c r="G43" s="27" t="str">
        <f>IF(C43&gt;=F43,"-","+")</f>
        <v>+</v>
      </c>
      <c r="H43" s="26">
        <f>C43*D43</f>
        <v>13.5</v>
      </c>
      <c r="I43" s="26">
        <f>F43*D43</f>
        <v>14.108774311635528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1.9</v>
      </c>
      <c r="E45" s="107">
        <f>D45/$D$48</f>
        <v>5.4050978607191622E-4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0.49864807172335279</v>
      </c>
      <c r="D46" s="22">
        <f>SUM(D41:D45)</f>
        <v>702.69999999999993</v>
      </c>
      <c r="E46" s="113">
        <f>D46/$D$48</f>
        <v>0.19990327719617659</v>
      </c>
      <c r="F46" s="20">
        <f>I46/D46</f>
        <v>0.52113430406496519</v>
      </c>
      <c r="G46" s="19">
        <f>F46/C46-1</f>
        <v>4.5094393454483628E-2</v>
      </c>
      <c r="H46" s="18">
        <f>SUM(H41:H44)</f>
        <v>350.4</v>
      </c>
      <c r="I46" s="18">
        <f>SUM(I41:I44)</f>
        <v>366.20107546645102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104.65568622781447</v>
      </c>
      <c r="D48" s="13">
        <f>D24+D32+D40+D46</f>
        <v>3515.2</v>
      </c>
      <c r="E48" s="12">
        <f>SUM(E20:E46)/2</f>
        <v>1</v>
      </c>
      <c r="F48" s="11">
        <f>I48/D48</f>
        <v>27.999999999999996</v>
      </c>
      <c r="G48" s="10"/>
      <c r="H48" s="9">
        <f>SUM(H20:H46)/2</f>
        <v>94178.670000000013</v>
      </c>
      <c r="I48" s="9">
        <f>SUM(I20:I46)/2</f>
        <v>98425.599999999977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3515.1999999999994</v>
      </c>
      <c r="E50" s="12">
        <f>D50/G2</f>
        <v>0.99999999999999989</v>
      </c>
      <c r="F50" s="11">
        <f>I50/D50</f>
        <v>28</v>
      </c>
      <c r="G50" s="10"/>
      <c r="H50" s="9">
        <f>H48+H19</f>
        <v>94178.670000000013</v>
      </c>
      <c r="I50" s="9">
        <f>I48+I19</f>
        <v>98425.599999999977</v>
      </c>
      <c r="J50" s="106">
        <f>D50-G2</f>
        <v>0</v>
      </c>
      <c r="K50" s="8"/>
    </row>
    <row r="51" spans="1:11" ht="23.25" x14ac:dyDescent="0.35">
      <c r="A51" s="174" t="s">
        <v>765</v>
      </c>
      <c r="B51" s="169"/>
      <c r="C51" s="170"/>
      <c r="G51" s="7"/>
      <c r="H51" s="6"/>
      <c r="I51" s="6">
        <f>+I50/D50</f>
        <v>28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>
    <tabColor rgb="FF92D050"/>
  </sheetPr>
  <dimension ref="A1:L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763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763</v>
      </c>
      <c r="D2" s="96" t="s">
        <v>3</v>
      </c>
      <c r="E2" s="95" t="s">
        <v>112</v>
      </c>
      <c r="F2" s="94" t="s">
        <v>5</v>
      </c>
      <c r="G2" s="116">
        <v>10260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172</v>
      </c>
      <c r="F3" s="88" t="s">
        <v>8</v>
      </c>
      <c r="G3" s="87">
        <v>23.98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59.651162790697676</v>
      </c>
      <c r="F4" s="81" t="s">
        <v>12</v>
      </c>
      <c r="G4" s="80">
        <f>G2*G3</f>
        <v>246034.80000000002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-0.13184563485332412</v>
      </c>
      <c r="F6" s="69" t="s">
        <v>16</v>
      </c>
      <c r="G6" s="68">
        <f>(I50-I19)/(D50-(SUM(D42:D44)+D19))</f>
        <v>31.668093245481835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24</v>
      </c>
      <c r="D10" s="30"/>
      <c r="E10" s="29" t="e">
        <f t="shared" ref="E10:E19" si="1">D10/$D$19</f>
        <v>#DIV/0!</v>
      </c>
      <c r="F10" s="28">
        <f t="shared" ref="F10:F18" si="2">C10-(C10*$E$6)</f>
        <v>27.164295236479781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25</v>
      </c>
      <c r="D11" s="30"/>
      <c r="E11" s="29" t="e">
        <f t="shared" si="1"/>
        <v>#DIV/0!</v>
      </c>
      <c r="F11" s="28">
        <f t="shared" si="2"/>
        <v>28.296140871333101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22.8</v>
      </c>
      <c r="D12" s="30"/>
      <c r="E12" s="29" t="e">
        <f t="shared" si="1"/>
        <v>#DIV/0!</v>
      </c>
      <c r="F12" s="28">
        <f t="shared" si="2"/>
        <v>25.80608047465579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25</v>
      </c>
      <c r="D13" s="30"/>
      <c r="E13" s="29" t="e">
        <f t="shared" si="1"/>
        <v>#DIV/0!</v>
      </c>
      <c r="F13" s="28">
        <f t="shared" si="2"/>
        <v>28.296140871333101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27.9</v>
      </c>
      <c r="D14" s="30"/>
      <c r="E14" s="29" t="e">
        <f t="shared" si="1"/>
        <v>#DIV/0!</v>
      </c>
      <c r="F14" s="28">
        <f t="shared" si="2"/>
        <v>31.578493212407743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23</v>
      </c>
      <c r="D15" s="30"/>
      <c r="E15" s="29" t="e">
        <f t="shared" si="1"/>
        <v>#DIV/0!</v>
      </c>
      <c r="F15" s="28">
        <f t="shared" si="2"/>
        <v>26.032449601626453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31.5</v>
      </c>
      <c r="D16" s="30"/>
      <c r="E16" s="29" t="e">
        <f t="shared" si="1"/>
        <v>#DIV/0!</v>
      </c>
      <c r="F16" s="28">
        <f t="shared" si="2"/>
        <v>35.653137497879712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46.4</v>
      </c>
      <c r="D17" s="30"/>
      <c r="E17" s="29" t="e">
        <f t="shared" si="1"/>
        <v>#DIV/0!</v>
      </c>
      <c r="F17" s="28">
        <f t="shared" si="2"/>
        <v>52.51763745719424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40.6</v>
      </c>
      <c r="D18" s="30"/>
      <c r="E18" s="29" t="e">
        <f t="shared" si="1"/>
        <v>#DIV/0!</v>
      </c>
      <c r="F18" s="28">
        <f t="shared" si="2"/>
        <v>45.952932775044964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60.3</v>
      </c>
      <c r="D21" s="30">
        <v>125.4</v>
      </c>
      <c r="E21" s="29">
        <f>D21/$D$48</f>
        <v>1.2222222222222223E-2</v>
      </c>
      <c r="F21" s="28">
        <f>C21-(C21*$E$6)</f>
        <v>68.250291781655449</v>
      </c>
      <c r="G21" s="27" t="str">
        <f>IF(C21&gt;=F21,"-","+")</f>
        <v>+</v>
      </c>
      <c r="H21" s="26">
        <f>C21*D21</f>
        <v>7561.62</v>
      </c>
      <c r="I21" s="26">
        <f>F21*D21</f>
        <v>8558.586589419594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40.5</v>
      </c>
      <c r="D22" s="30">
        <v>247.6</v>
      </c>
      <c r="E22" s="29">
        <f>D22/$D$48</f>
        <v>2.4132553606237818E-2</v>
      </c>
      <c r="F22" s="28">
        <f>C22-(C22*$E$6)</f>
        <v>45.839748211559623</v>
      </c>
      <c r="G22" s="27" t="str">
        <f>IF(C22&gt;=F22,"-","+")</f>
        <v>+</v>
      </c>
      <c r="H22" s="26">
        <f>C22*D22</f>
        <v>10027.799999999999</v>
      </c>
      <c r="I22" s="26">
        <f>F22*D22</f>
        <v>11349.921657182162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36.9</v>
      </c>
      <c r="D23" s="30">
        <v>191.4</v>
      </c>
      <c r="E23" s="29">
        <f>D23/$D$48</f>
        <v>1.8654970760233917E-2</v>
      </c>
      <c r="F23" s="28">
        <f>C23-(C23*$E$6)</f>
        <v>41.765103926087662</v>
      </c>
      <c r="G23" s="27" t="str">
        <f>IF(C23&gt;=F23,"-","+")</f>
        <v>+</v>
      </c>
      <c r="H23" s="26">
        <f>C23*D23</f>
        <v>7062.66</v>
      </c>
      <c r="I23" s="26">
        <f>F23*D23</f>
        <v>7993.8408914531783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43.678384124734229</v>
      </c>
      <c r="D24" s="22">
        <f>SUM(D21:D23)</f>
        <v>564.4</v>
      </c>
      <c r="E24" s="21">
        <f>D24/$D$48</f>
        <v>5.5009746588693953E-2</v>
      </c>
      <c r="F24" s="20">
        <f>I24/D24</f>
        <v>49.437188409027172</v>
      </c>
      <c r="G24" s="19">
        <f>F24/C24-1</f>
        <v>0.13184563485332412</v>
      </c>
      <c r="H24" s="18">
        <f>SUM(H21:H23)</f>
        <v>24652.079999999998</v>
      </c>
      <c r="I24" s="18">
        <f>SUM(I21:I23)</f>
        <v>27902.349138054935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32.200000000000003</v>
      </c>
      <c r="D26" s="30">
        <f>101.4+1806</f>
        <v>1907.4</v>
      </c>
      <c r="E26" s="29">
        <f t="shared" ref="E26:E32" si="7">D26/$D$48</f>
        <v>0.18590643274853802</v>
      </c>
      <c r="F26" s="28">
        <f t="shared" ref="F26:F31" si="8">C26-(C26*$E$6)</f>
        <v>36.445429442277039</v>
      </c>
      <c r="G26" s="27" t="str">
        <f t="shared" ref="G26:G31" si="9">IF(C26&gt;=F26,"-","+")</f>
        <v>+</v>
      </c>
      <c r="H26" s="26">
        <f t="shared" ref="H26:H31" si="10">C26*D26</f>
        <v>61418.280000000006</v>
      </c>
      <c r="I26" s="26">
        <f t="shared" ref="I26:I31" si="11">F26*D26</f>
        <v>69516.012118199229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28.7</v>
      </c>
      <c r="D27" s="30">
        <v>1353.8</v>
      </c>
      <c r="E27" s="29">
        <f t="shared" si="7"/>
        <v>0.13194931773879143</v>
      </c>
      <c r="F27" s="28">
        <f t="shared" si="8"/>
        <v>32.483969720290403</v>
      </c>
      <c r="G27" s="27" t="str">
        <f t="shared" si="9"/>
        <v>+</v>
      </c>
      <c r="H27" s="26">
        <f t="shared" si="10"/>
        <v>38854.06</v>
      </c>
      <c r="I27" s="26">
        <f t="shared" si="11"/>
        <v>43976.79820732915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28.7</v>
      </c>
      <c r="D28" s="30">
        <v>851.6</v>
      </c>
      <c r="E28" s="29">
        <f t="shared" si="7"/>
        <v>8.3001949317738799E-2</v>
      </c>
      <c r="F28" s="28">
        <f t="shared" si="8"/>
        <v>32.483969720290403</v>
      </c>
      <c r="G28" s="27" t="str">
        <f t="shared" si="9"/>
        <v>+</v>
      </c>
      <c r="H28" s="26">
        <f t="shared" si="10"/>
        <v>24440.92</v>
      </c>
      <c r="I28" s="26">
        <f t="shared" si="11"/>
        <v>27663.34861379931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27.7</v>
      </c>
      <c r="D29" s="30">
        <v>686.9</v>
      </c>
      <c r="E29" s="29">
        <f t="shared" si="7"/>
        <v>6.6949317738791425E-2</v>
      </c>
      <c r="F29" s="28">
        <f t="shared" si="8"/>
        <v>31.352124085437076</v>
      </c>
      <c r="G29" s="27" t="str">
        <f t="shared" si="9"/>
        <v>+</v>
      </c>
      <c r="H29" s="26">
        <f t="shared" si="10"/>
        <v>19027.129999999997</v>
      </c>
      <c r="I29" s="26">
        <f t="shared" si="11"/>
        <v>21535.774034286726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27.7</v>
      </c>
      <c r="D30" s="30">
        <v>565</v>
      </c>
      <c r="E30" s="29">
        <f t="shared" si="7"/>
        <v>5.5068226120857697E-2</v>
      </c>
      <c r="F30" s="28">
        <f t="shared" si="8"/>
        <v>31.352124085437076</v>
      </c>
      <c r="G30" s="27" t="str">
        <f t="shared" si="9"/>
        <v>+</v>
      </c>
      <c r="H30" s="26">
        <f t="shared" si="10"/>
        <v>15650.5</v>
      </c>
      <c r="I30" s="26">
        <f t="shared" si="11"/>
        <v>17713.950108271947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28.2</v>
      </c>
      <c r="D31" s="30">
        <v>180</v>
      </c>
      <c r="E31" s="29">
        <f t="shared" si="7"/>
        <v>1.7543859649122806E-2</v>
      </c>
      <c r="F31" s="28">
        <f t="shared" si="8"/>
        <v>31.91804690286374</v>
      </c>
      <c r="G31" s="27" t="str">
        <f t="shared" si="9"/>
        <v>+</v>
      </c>
      <c r="H31" s="26">
        <f t="shared" si="10"/>
        <v>5076</v>
      </c>
      <c r="I31" s="26">
        <f t="shared" si="11"/>
        <v>5745.2484425154735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29.661999747506627</v>
      </c>
      <c r="D32" s="22">
        <f>SUM(D26:D31)</f>
        <v>5544.7</v>
      </c>
      <c r="E32" s="21">
        <f t="shared" si="7"/>
        <v>0.54041910331384013</v>
      </c>
      <c r="F32" s="20">
        <f>I32/D32</f>
        <v>33.57280493523578</v>
      </c>
      <c r="G32" s="19">
        <f>F32/C32-1</f>
        <v>0.13184563485332412</v>
      </c>
      <c r="H32" s="18">
        <f>SUM(H26:H31)</f>
        <v>164466.88999999998</v>
      </c>
      <c r="I32" s="18">
        <f>SUM(I26:I31)</f>
        <v>186151.13152440183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16.899999999999999</v>
      </c>
      <c r="D34" s="30">
        <f>767.5+707.8</f>
        <v>1475.3</v>
      </c>
      <c r="E34" s="29">
        <f t="shared" ref="E34:E40" si="13">D34/$D$48</f>
        <v>0.1437914230019493</v>
      </c>
      <c r="F34" s="28">
        <f t="shared" ref="F34:F39" si="14">C34-(C34*$E$6)</f>
        <v>19.128191229021176</v>
      </c>
      <c r="G34" s="27" t="str">
        <f t="shared" ref="G34:G39" si="15">IF(C34&gt;=F34,"-","+")</f>
        <v>+</v>
      </c>
      <c r="H34" s="26">
        <f t="shared" ref="H34:H39" si="16">C34*D34</f>
        <v>24932.569999999996</v>
      </c>
      <c r="I34" s="26">
        <f t="shared" ref="I34:I39" si="17">F34*D34</f>
        <v>28219.820520174941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</v>
      </c>
      <c r="D35" s="30">
        <v>179</v>
      </c>
      <c r="E35" s="29">
        <f t="shared" si="13"/>
        <v>1.7446393762183234E-2</v>
      </c>
      <c r="F35" s="28">
        <f t="shared" si="14"/>
        <v>14.713993253093214</v>
      </c>
      <c r="G35" s="27" t="str">
        <f t="shared" si="15"/>
        <v>+</v>
      </c>
      <c r="H35" s="26">
        <f t="shared" si="16"/>
        <v>2327</v>
      </c>
      <c r="I35" s="26">
        <f t="shared" si="17"/>
        <v>2633.8047923036852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10.5</v>
      </c>
      <c r="D36" s="30"/>
      <c r="E36" s="29">
        <f t="shared" si="13"/>
        <v>0</v>
      </c>
      <c r="F36" s="28">
        <f t="shared" si="14"/>
        <v>11.884379165959903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27.7</v>
      </c>
      <c r="D37" s="30"/>
      <c r="E37" s="29">
        <f t="shared" si="13"/>
        <v>0</v>
      </c>
      <c r="F37" s="28">
        <f t="shared" si="14"/>
        <v>31.352124085437076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27.7</v>
      </c>
      <c r="D38" s="30"/>
      <c r="E38" s="29">
        <f t="shared" si="13"/>
        <v>0</v>
      </c>
      <c r="F38" s="28">
        <f t="shared" si="14"/>
        <v>31.352124085437076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28.7</v>
      </c>
      <c r="D39" s="30"/>
      <c r="E39" s="29">
        <f t="shared" si="13"/>
        <v>0</v>
      </c>
      <c r="F39" s="28">
        <f t="shared" si="14"/>
        <v>32.483969720290403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16.478008825485098</v>
      </c>
      <c r="D40" s="22">
        <f>SUM(D34:D39)</f>
        <v>1654.3</v>
      </c>
      <c r="E40" s="113">
        <f t="shared" si="13"/>
        <v>0.16123781676413254</v>
      </c>
      <c r="F40" s="20">
        <f>I40/D40</f>
        <v>18.65056236019986</v>
      </c>
      <c r="G40" s="19">
        <f>F40/C40-1</f>
        <v>0.13184563485332412</v>
      </c>
      <c r="H40" s="18">
        <f>SUM(H34:H39)</f>
        <v>27259.569999999996</v>
      </c>
      <c r="I40" s="18">
        <f>SUM(I34:I39)</f>
        <v>30853.625312478627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954+182+1251.2</f>
        <v>2387.1999999999998</v>
      </c>
      <c r="E42" s="107">
        <f>D42/$D$48</f>
        <v>0.23267056530214422</v>
      </c>
      <c r="F42" s="28">
        <f>C42-(C42*$E$6)</f>
        <v>0.45273825394132966</v>
      </c>
      <c r="G42" s="27" t="str">
        <f>IF(C42&gt;=F42,"-","+")</f>
        <v>+</v>
      </c>
      <c r="H42" s="26">
        <f>C42*D42</f>
        <v>954.88</v>
      </c>
      <c r="I42" s="26">
        <f>F42*D42</f>
        <v>1080.7767598087421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103.63</v>
      </c>
      <c r="E43" s="107">
        <f>D43/$D$48</f>
        <v>1.0100389863547757E-2</v>
      </c>
      <c r="F43" s="28">
        <f>C43-(C43*$E$6)</f>
        <v>0.45273825394132966</v>
      </c>
      <c r="G43" s="27" t="str">
        <f>IF(C43&gt;=F43,"-","+")</f>
        <v>+</v>
      </c>
      <c r="H43" s="26">
        <f>C43*D43</f>
        <v>41.451999999999998</v>
      </c>
      <c r="I43" s="26">
        <f>F43*D43</f>
        <v>46.917265255939988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5.77</v>
      </c>
      <c r="E45" s="107">
        <f>D45/$D$48</f>
        <v>5.6237816764132551E-4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0.39907554273812385</v>
      </c>
      <c r="D46" s="22">
        <f>SUM(D41:D45)</f>
        <v>2496.6</v>
      </c>
      <c r="E46" s="113">
        <f>D46/$D$48</f>
        <v>0.24333333333333332</v>
      </c>
      <c r="F46" s="20">
        <f>I46/D46</f>
        <v>0.45169191102486667</v>
      </c>
      <c r="G46" s="19">
        <f>F46/C46-1</f>
        <v>0.13184563485332412</v>
      </c>
      <c r="H46" s="18">
        <f>SUM(H41:H44)</f>
        <v>996.33199999999999</v>
      </c>
      <c r="I46" s="18">
        <f>SUM(I41:I44)</f>
        <v>1127.6940250646821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90.217468240464072</v>
      </c>
      <c r="D48" s="13">
        <f>D24+D32+D40+D46</f>
        <v>10260</v>
      </c>
      <c r="E48" s="12">
        <f>SUM(E20:E46)/2</f>
        <v>0.99999999999999989</v>
      </c>
      <c r="F48" s="11">
        <f>I48/D48</f>
        <v>23.980000000000011</v>
      </c>
      <c r="G48" s="10"/>
      <c r="H48" s="9">
        <f>SUM(H20:H46)/2</f>
        <v>217374.87199999997</v>
      </c>
      <c r="I48" s="9">
        <f>SUM(I20:I46)/2</f>
        <v>246034.8000000001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10260</v>
      </c>
      <c r="E50" s="12">
        <f>D50/G2</f>
        <v>1</v>
      </c>
      <c r="F50" s="11">
        <f>I50/D50</f>
        <v>23.980000000000011</v>
      </c>
      <c r="G50" s="10"/>
      <c r="H50" s="9">
        <f>H48+H19</f>
        <v>217374.87199999997</v>
      </c>
      <c r="I50" s="9">
        <f>I48+I19</f>
        <v>246034.8000000001</v>
      </c>
      <c r="J50" s="106">
        <f>D50-G2</f>
        <v>0</v>
      </c>
      <c r="K50" s="8"/>
    </row>
    <row r="51" spans="1:11" ht="23.25" x14ac:dyDescent="0.35">
      <c r="A51" s="174" t="s">
        <v>766</v>
      </c>
      <c r="B51" s="169"/>
      <c r="C51" s="170"/>
      <c r="G51" s="7"/>
      <c r="H51" s="6"/>
      <c r="I51" s="6">
        <f>+I50/D50</f>
        <v>23.980000000000011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>
    <tabColor rgb="FF92D050"/>
  </sheetPr>
  <dimension ref="A1:K56"/>
  <sheetViews>
    <sheetView topLeftCell="A10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759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19" t="s">
        <v>763</v>
      </c>
      <c r="D2" s="96" t="s">
        <v>3</v>
      </c>
      <c r="E2" s="95" t="s">
        <v>71</v>
      </c>
      <c r="F2" s="94" t="s">
        <v>5</v>
      </c>
      <c r="G2" s="93">
        <v>7043.3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96</v>
      </c>
      <c r="F3" s="88" t="s">
        <v>8</v>
      </c>
      <c r="G3" s="87">
        <v>28.1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73.36770833333334</v>
      </c>
      <c r="F4" s="81" t="s">
        <v>12</v>
      </c>
      <c r="G4" s="80">
        <f>G2*G3</f>
        <v>197916.73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-2.7306818669616817E-2</v>
      </c>
      <c r="F6" s="69" t="s">
        <v>16</v>
      </c>
      <c r="G6" s="68">
        <f>(I50-I19)/(D50-(SUM(D42:D44)+D19))</f>
        <v>33.583903791280477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28.1</v>
      </c>
      <c r="D10" s="30"/>
      <c r="E10" s="29">
        <f t="shared" ref="E10:E19" si="1">D10/$D$19</f>
        <v>0</v>
      </c>
      <c r="F10" s="28">
        <f t="shared" ref="F10:F18" si="2">C10-(C10*$E$6)</f>
        <v>28.867321604616233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29.3</v>
      </c>
      <c r="D11" s="30"/>
      <c r="E11" s="29">
        <f t="shared" si="1"/>
        <v>0</v>
      </c>
      <c r="F11" s="28">
        <f t="shared" si="2"/>
        <v>30.100089787019773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26.7</v>
      </c>
      <c r="D12" s="30"/>
      <c r="E12" s="29">
        <f t="shared" si="1"/>
        <v>0</v>
      </c>
      <c r="F12" s="28">
        <f t="shared" si="2"/>
        <v>27.429092058478769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29.3</v>
      </c>
      <c r="D13" s="30">
        <v>51.8</v>
      </c>
      <c r="E13" s="29">
        <f t="shared" si="1"/>
        <v>0.15821624923640806</v>
      </c>
      <c r="F13" s="28">
        <f t="shared" si="2"/>
        <v>30.100089787019773</v>
      </c>
      <c r="G13" s="27" t="str">
        <f t="shared" si="3"/>
        <v>+</v>
      </c>
      <c r="H13" s="34">
        <f t="shared" si="4"/>
        <v>1517.74</v>
      </c>
      <c r="I13" s="34">
        <f t="shared" si="5"/>
        <v>1559.1846509676241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32.700000000000003</v>
      </c>
      <c r="D14" s="30">
        <v>215.6</v>
      </c>
      <c r="E14" s="29">
        <f t="shared" si="1"/>
        <v>0.6585216860109957</v>
      </c>
      <c r="F14" s="28">
        <f t="shared" si="2"/>
        <v>33.59293297049647</v>
      </c>
      <c r="G14" s="27" t="str">
        <f t="shared" si="3"/>
        <v>+</v>
      </c>
      <c r="H14" s="34">
        <f t="shared" si="4"/>
        <v>7050.1200000000008</v>
      </c>
      <c r="I14" s="34">
        <f t="shared" si="5"/>
        <v>7242.6363484390386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</v>
      </c>
      <c r="D15" s="30">
        <v>40</v>
      </c>
      <c r="E15" s="29">
        <f t="shared" si="1"/>
        <v>0.12217470983506415</v>
      </c>
      <c r="F15" s="28">
        <f t="shared" si="2"/>
        <v>27.737284104079656</v>
      </c>
      <c r="G15" s="27" t="str">
        <f t="shared" si="3"/>
        <v>+</v>
      </c>
      <c r="H15" s="34">
        <f t="shared" si="4"/>
        <v>1080</v>
      </c>
      <c r="I15" s="34">
        <f t="shared" si="5"/>
        <v>1109.4913641631863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36.9</v>
      </c>
      <c r="D16" s="30"/>
      <c r="E16" s="29">
        <f t="shared" si="1"/>
        <v>0</v>
      </c>
      <c r="F16" s="28">
        <f t="shared" si="2"/>
        <v>37.907621608908862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54.4</v>
      </c>
      <c r="D17" s="30">
        <v>20</v>
      </c>
      <c r="E17" s="29">
        <f t="shared" si="1"/>
        <v>6.1087354917532075E-2</v>
      </c>
      <c r="F17" s="28">
        <f t="shared" si="2"/>
        <v>55.885490935627153</v>
      </c>
      <c r="G17" s="27" t="str">
        <f t="shared" si="3"/>
        <v>+</v>
      </c>
      <c r="H17" s="34">
        <f t="shared" si="4"/>
        <v>1088</v>
      </c>
      <c r="I17" s="34">
        <f t="shared" si="5"/>
        <v>1117.709818712543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47.6</v>
      </c>
      <c r="D18" s="30"/>
      <c r="E18" s="29">
        <f t="shared" si="1"/>
        <v>0</v>
      </c>
      <c r="F18" s="28">
        <f t="shared" si="2"/>
        <v>48.899804568673758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32.791264508246798</v>
      </c>
      <c r="D19" s="49">
        <f>SUM(D10:D18)</f>
        <v>327.39999999999998</v>
      </c>
      <c r="E19" s="48">
        <f t="shared" si="1"/>
        <v>1</v>
      </c>
      <c r="F19" s="47">
        <f>I19/D19</f>
        <v>33.68668962212093</v>
      </c>
      <c r="G19" s="46">
        <f>F19/C19-1</f>
        <v>2.7306818669616595E-2</v>
      </c>
      <c r="H19" s="9">
        <f>SUM(H10:H18)</f>
        <v>10735.86</v>
      </c>
      <c r="I19" s="9">
        <f>SUM(I10:I18)</f>
        <v>11029.022182282391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70.7</v>
      </c>
      <c r="D21" s="30">
        <v>72</v>
      </c>
      <c r="E21" s="29">
        <f>D21/$D$48</f>
        <v>1.0721624921821486E-2</v>
      </c>
      <c r="F21" s="28">
        <f>C21-(C21*$E$6)</f>
        <v>72.630592079941906</v>
      </c>
      <c r="G21" s="27" t="str">
        <f>IF(C21&gt;=F21,"-","+")</f>
        <v>+</v>
      </c>
      <c r="H21" s="26">
        <f>C21*D21</f>
        <v>5090.4000000000005</v>
      </c>
      <c r="I21" s="26">
        <f>F21*D21</f>
        <v>5229.4026297558175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47.5</v>
      </c>
      <c r="D22" s="30">
        <v>192.6</v>
      </c>
      <c r="E22" s="29">
        <f>D22/$D$48</f>
        <v>2.8680346665872474E-2</v>
      </c>
      <c r="F22" s="28">
        <f>C22-(C22*$E$6)</f>
        <v>48.7970738868068</v>
      </c>
      <c r="G22" s="27" t="str">
        <f>IF(C22&gt;=F22,"-","+")</f>
        <v>+</v>
      </c>
      <c r="H22" s="26">
        <f>C22*D22</f>
        <v>9148.5</v>
      </c>
      <c r="I22" s="26">
        <f>F22*D22</f>
        <v>9398.3164305989885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43.3</v>
      </c>
      <c r="D23" s="30">
        <v>142</v>
      </c>
      <c r="E23" s="29">
        <f>D23/$D$48</f>
        <v>2.1145426929147931E-2</v>
      </c>
      <c r="F23" s="28">
        <f>C23-(C23*$E$6)</f>
        <v>44.482385248394408</v>
      </c>
      <c r="G23" s="27" t="str">
        <f>IF(C23&gt;=F23,"-","+")</f>
        <v>+</v>
      </c>
      <c r="H23" s="26">
        <f>C23*D23</f>
        <v>6148.5999999999995</v>
      </c>
      <c r="I23" s="26">
        <f>F23*D23</f>
        <v>6316.4987052720062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50.141416625676335</v>
      </c>
      <c r="D24" s="22">
        <f>SUM(D21:D23)</f>
        <v>406.6</v>
      </c>
      <c r="E24" s="21">
        <f>D24/$D$48</f>
        <v>6.0547398516841891E-2</v>
      </c>
      <c r="F24" s="20">
        <f>I24/D24</f>
        <v>51.510619197311385</v>
      </c>
      <c r="G24" s="19">
        <f>F24/C24-1</f>
        <v>2.7306818669616817E-2</v>
      </c>
      <c r="H24" s="18">
        <f>SUM(H21:H23)</f>
        <v>20387.5</v>
      </c>
      <c r="I24" s="18">
        <f>SUM(I21:I23)</f>
        <v>20944.21776562681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37.700000000000003</v>
      </c>
      <c r="D26" s="30">
        <f>45+1066</f>
        <v>1111</v>
      </c>
      <c r="E26" s="29">
        <f t="shared" ref="E26:E32" si="7">D26/$D$48</f>
        <v>0.16544062900199541</v>
      </c>
      <c r="F26" s="28">
        <f t="shared" ref="F26:F31" si="8">C26-(C26*$E$6)</f>
        <v>38.72946706384456</v>
      </c>
      <c r="G26" s="27" t="str">
        <f t="shared" ref="G26:G31" si="9">IF(C26&gt;=F26,"-","+")</f>
        <v>+</v>
      </c>
      <c r="H26" s="26">
        <f t="shared" ref="H26:H31" si="10">C26*D26</f>
        <v>41884.700000000004</v>
      </c>
      <c r="I26" s="26">
        <f t="shared" ref="I26:I31" si="11">F26*D26</f>
        <v>43028.437907931308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33.6</v>
      </c>
      <c r="D27" s="30">
        <v>1113.8</v>
      </c>
      <c r="E27" s="29">
        <f t="shared" si="7"/>
        <v>0.16585758108228849</v>
      </c>
      <c r="F27" s="28">
        <f t="shared" si="8"/>
        <v>34.517509107299126</v>
      </c>
      <c r="G27" s="27" t="str">
        <f t="shared" si="9"/>
        <v>+</v>
      </c>
      <c r="H27" s="26">
        <f t="shared" si="10"/>
        <v>37423.68</v>
      </c>
      <c r="I27" s="26">
        <f t="shared" si="11"/>
        <v>38445.601643709764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33.6</v>
      </c>
      <c r="D28" s="30">
        <v>688.4</v>
      </c>
      <c r="E28" s="29">
        <f t="shared" si="7"/>
        <v>0.1025106471691932</v>
      </c>
      <c r="F28" s="28">
        <f t="shared" si="8"/>
        <v>34.517509107299126</v>
      </c>
      <c r="G28" s="27" t="str">
        <f t="shared" si="9"/>
        <v>+</v>
      </c>
      <c r="H28" s="26">
        <f t="shared" si="10"/>
        <v>23130.240000000002</v>
      </c>
      <c r="I28" s="26">
        <f t="shared" si="11"/>
        <v>23761.853269464718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32.5</v>
      </c>
      <c r="D29" s="30">
        <v>648.79999999999995</v>
      </c>
      <c r="E29" s="29">
        <f t="shared" si="7"/>
        <v>9.6613753462191379E-2</v>
      </c>
      <c r="F29" s="28">
        <f t="shared" si="8"/>
        <v>33.387471606762546</v>
      </c>
      <c r="G29" s="27" t="str">
        <f t="shared" si="9"/>
        <v>+</v>
      </c>
      <c r="H29" s="26">
        <f t="shared" si="10"/>
        <v>21086</v>
      </c>
      <c r="I29" s="26">
        <f t="shared" si="11"/>
        <v>21661.791578467539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32.5</v>
      </c>
      <c r="D30" s="30">
        <v>377.1</v>
      </c>
      <c r="E30" s="29">
        <f t="shared" si="7"/>
        <v>5.6154510528040033E-2</v>
      </c>
      <c r="F30" s="28">
        <f t="shared" si="8"/>
        <v>33.387471606762546</v>
      </c>
      <c r="G30" s="27" t="str">
        <f t="shared" si="9"/>
        <v>+</v>
      </c>
      <c r="H30" s="26">
        <f t="shared" si="10"/>
        <v>12255.75</v>
      </c>
      <c r="I30" s="26">
        <f t="shared" si="11"/>
        <v>12590.415542910157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</v>
      </c>
      <c r="D31" s="30">
        <v>79.099999999999994</v>
      </c>
      <c r="E31" s="29">
        <f t="shared" si="7"/>
        <v>1.1778896268278881E-2</v>
      </c>
      <c r="F31" s="28">
        <f t="shared" si="8"/>
        <v>33.901125016097353</v>
      </c>
      <c r="G31" s="27" t="str">
        <f t="shared" si="9"/>
        <v>+</v>
      </c>
      <c r="H31" s="26">
        <f t="shared" si="10"/>
        <v>2610.2999999999997</v>
      </c>
      <c r="I31" s="26">
        <f t="shared" si="11"/>
        <v>2681.5789887733004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34.440961126872729</v>
      </c>
      <c r="D32" s="22">
        <f>SUM(D26:D31)</f>
        <v>4018.2</v>
      </c>
      <c r="E32" s="21">
        <f t="shared" si="7"/>
        <v>0.59835601751198741</v>
      </c>
      <c r="F32" s="20">
        <f>I32/D32</f>
        <v>35.381434207171566</v>
      </c>
      <c r="G32" s="19">
        <f>F32/C32-1</f>
        <v>2.7306818669616817E-2</v>
      </c>
      <c r="H32" s="18">
        <f>SUM(H26:H31)</f>
        <v>138390.66999999998</v>
      </c>
      <c r="I32" s="18">
        <f>SUM(I26:I31)</f>
        <v>142169.67893125679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v>1134.2</v>
      </c>
      <c r="E34" s="29">
        <f t="shared" ref="E34:E40" si="13">D34/$D$48</f>
        <v>0.16889537481013792</v>
      </c>
      <c r="F34" s="28">
        <f t="shared" ref="F34:F39" si="14">C34-(C34*$E$6)</f>
        <v>20.443405691525374</v>
      </c>
      <c r="G34" s="27" t="str">
        <f t="shared" ref="G34:G39" si="15">IF(C34&gt;=F34,"-","+")</f>
        <v>+</v>
      </c>
      <c r="H34" s="26">
        <f t="shared" ref="H34:H39" si="16">C34*D34</f>
        <v>22570.579999999998</v>
      </c>
      <c r="I34" s="26">
        <f t="shared" ref="I34:I39" si="17">F34*D34</f>
        <v>23186.910735328082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/>
      <c r="E35" s="29">
        <f t="shared" si="13"/>
        <v>0</v>
      </c>
      <c r="F35" s="28">
        <f t="shared" si="14"/>
        <v>15.717794325645137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12.635873869636288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32.5</v>
      </c>
      <c r="D37" s="30"/>
      <c r="E37" s="29">
        <f t="shared" si="13"/>
        <v>0</v>
      </c>
      <c r="F37" s="28">
        <f t="shared" si="14"/>
        <v>33.387471606762546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32.5</v>
      </c>
      <c r="D38" s="30"/>
      <c r="E38" s="29">
        <f t="shared" si="13"/>
        <v>0</v>
      </c>
      <c r="F38" s="28">
        <f t="shared" si="14"/>
        <v>33.387471606762546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33.6</v>
      </c>
      <c r="D39" s="30"/>
      <c r="E39" s="29">
        <f t="shared" si="13"/>
        <v>0</v>
      </c>
      <c r="F39" s="28">
        <f t="shared" si="14"/>
        <v>34.517509107299126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19.899999999999999</v>
      </c>
      <c r="D40" s="22">
        <f>SUM(D34:D39)</f>
        <v>1134.2</v>
      </c>
      <c r="E40" s="113">
        <f t="shared" si="13"/>
        <v>0.16889537481013792</v>
      </c>
      <c r="F40" s="20">
        <f>I40/D40</f>
        <v>20.443405691525374</v>
      </c>
      <c r="G40" s="19">
        <f>F40/C40-1</f>
        <v>2.7306818669616817E-2</v>
      </c>
      <c r="H40" s="18">
        <f>SUM(H34:H39)</f>
        <v>22570.579999999998</v>
      </c>
      <c r="I40" s="18">
        <f>SUM(I34:I39)</f>
        <v>23186.910735328082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1103</v>
      </c>
      <c r="E42" s="107">
        <f>D42/$D$48</f>
        <v>0.16424933734401526</v>
      </c>
      <c r="F42" s="28">
        <f>C42-(C42*$E$6)</f>
        <v>0.51365340933480841</v>
      </c>
      <c r="G42" s="27" t="str">
        <f>IF(C42&gt;=F42,"-","+")</f>
        <v>+</v>
      </c>
      <c r="H42" s="26">
        <f>C42*D42</f>
        <v>551.5</v>
      </c>
      <c r="I42" s="26">
        <f>F42*D42</f>
        <v>566.55971049629363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39.6</v>
      </c>
      <c r="E43" s="107">
        <f>D43/$D$48</f>
        <v>5.8968937070018176E-3</v>
      </c>
      <c r="F43" s="28">
        <f>C43-(C43*$E$6)</f>
        <v>0.51365340933480841</v>
      </c>
      <c r="G43" s="27" t="str">
        <f>IF(C43&gt;=F43,"-","+")</f>
        <v>+</v>
      </c>
      <c r="H43" s="26">
        <f>C43*D43</f>
        <v>19.8</v>
      </c>
      <c r="I43" s="26">
        <f>F43*D43</f>
        <v>20.340675009658415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</v>
      </c>
      <c r="E44" s="107">
        <f>D44/$D$48</f>
        <v>1.1912916579801651E-3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5.8</v>
      </c>
      <c r="E45" s="107">
        <f>D45/$D$48</f>
        <v>8.6368645203561967E-4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0.49403320650294019</v>
      </c>
      <c r="D46" s="22">
        <f>SUM(D41:D45)</f>
        <v>1156.3999999999999</v>
      </c>
      <c r="E46" s="113">
        <f>D46/$D$48</f>
        <v>0.17220120916103285</v>
      </c>
      <c r="F46" s="20">
        <f>I46/D46</f>
        <v>0.50752368168968531</v>
      </c>
      <c r="G46" s="19">
        <f>F46/C46-1</f>
        <v>2.7306818669616817E-2</v>
      </c>
      <c r="H46" s="18">
        <f>SUM(H41:H44)</f>
        <v>571.29999999999995</v>
      </c>
      <c r="I46" s="18">
        <f>SUM(I41:I44)</f>
        <v>586.90038550595204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104.976410959052</v>
      </c>
      <c r="D48" s="13">
        <f>D24+D32+D40+D46</f>
        <v>6715.4</v>
      </c>
      <c r="E48" s="12">
        <f>SUM(E20:E46)/2</f>
        <v>0.99999999999999989</v>
      </c>
      <c r="F48" s="11">
        <f>I48/D48</f>
        <v>27.829720912785188</v>
      </c>
      <c r="G48" s="10"/>
      <c r="H48" s="9">
        <f>SUM(H20:H46)/2</f>
        <v>181920.05</v>
      </c>
      <c r="I48" s="9">
        <f>SUM(I20:I46)/2</f>
        <v>186887.70781771763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7042.8000000000011</v>
      </c>
      <c r="E50" s="12">
        <f>D50/G2</f>
        <v>0.99992901054903249</v>
      </c>
      <c r="F50" s="11">
        <f>I50/D50</f>
        <v>28.101994945192249</v>
      </c>
      <c r="G50" s="10"/>
      <c r="H50" s="9">
        <f>H48+H19</f>
        <v>192655.90999999997</v>
      </c>
      <c r="I50" s="9">
        <f>I48+I19</f>
        <v>197916.73</v>
      </c>
      <c r="J50" s="106">
        <f>D50-G2</f>
        <v>-0.49999999999909051</v>
      </c>
      <c r="K50" s="8"/>
    </row>
    <row r="51" spans="1:11" ht="23.25" x14ac:dyDescent="0.35">
      <c r="A51" s="174" t="s">
        <v>767</v>
      </c>
      <c r="B51" s="169"/>
      <c r="C51" s="170"/>
      <c r="G51" s="7"/>
      <c r="H51" s="6"/>
      <c r="I51" s="6">
        <f>+I50/D50</f>
        <v>28.101994945192249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763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768</v>
      </c>
      <c r="D2" s="96" t="s">
        <v>3</v>
      </c>
      <c r="E2" s="95" t="s">
        <v>71</v>
      </c>
      <c r="F2" s="94" t="s">
        <v>5</v>
      </c>
      <c r="G2" s="93">
        <v>18404.900000000001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240</v>
      </c>
      <c r="F3" s="88" t="s">
        <v>8</v>
      </c>
      <c r="G3" s="87">
        <v>28.1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76.687083333333334</v>
      </c>
      <c r="F4" s="81" t="s">
        <v>12</v>
      </c>
      <c r="G4" s="80">
        <f>G2*G3</f>
        <v>517177.69000000006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-8.7915505898994439E-4</v>
      </c>
      <c r="F6" s="69" t="s">
        <v>16</v>
      </c>
      <c r="G6" s="68">
        <f>(I50-I19)/(D50-(SUM(D42:D44)+D19))</f>
        <v>33.433264257661691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28.1</v>
      </c>
      <c r="D10" s="30"/>
      <c r="E10" s="29">
        <f t="shared" ref="E10:E19" si="1">D10/$D$19</f>
        <v>0</v>
      </c>
      <c r="F10" s="28">
        <f t="shared" ref="F10:F18" si="2">C10-(C10*$E$6)</f>
        <v>28.124704257157617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29.3</v>
      </c>
      <c r="D11" s="30">
        <v>3341.4</v>
      </c>
      <c r="E11" s="29">
        <f t="shared" si="1"/>
        <v>0.78379582932607728</v>
      </c>
      <c r="F11" s="28">
        <f t="shared" si="2"/>
        <v>29.325759243228408</v>
      </c>
      <c r="G11" s="27" t="str">
        <f t="shared" si="3"/>
        <v>+</v>
      </c>
      <c r="H11" s="34">
        <f t="shared" si="4"/>
        <v>97903.02</v>
      </c>
      <c r="I11" s="34">
        <f t="shared" si="5"/>
        <v>97989.091935323406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26.7</v>
      </c>
      <c r="D12" s="30">
        <v>557.5</v>
      </c>
      <c r="E12" s="29">
        <f t="shared" si="1"/>
        <v>0.13077338087307358</v>
      </c>
      <c r="F12" s="28">
        <f t="shared" si="2"/>
        <v>26.723473440075029</v>
      </c>
      <c r="G12" s="27" t="str">
        <f t="shared" si="3"/>
        <v>+</v>
      </c>
      <c r="H12" s="34">
        <f t="shared" si="4"/>
        <v>14885.25</v>
      </c>
      <c r="I12" s="34">
        <f t="shared" si="5"/>
        <v>14898.336442841828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29.3</v>
      </c>
      <c r="D13" s="30">
        <v>364.2</v>
      </c>
      <c r="E13" s="29">
        <f t="shared" si="1"/>
        <v>8.5430789800849144E-2</v>
      </c>
      <c r="F13" s="28">
        <f t="shared" si="2"/>
        <v>29.325759243228408</v>
      </c>
      <c r="G13" s="27" t="str">
        <f t="shared" si="3"/>
        <v>+</v>
      </c>
      <c r="H13" s="34">
        <f t="shared" si="4"/>
        <v>10671.06</v>
      </c>
      <c r="I13" s="34">
        <f t="shared" si="5"/>
        <v>10680.441516383786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32.700000000000003</v>
      </c>
      <c r="D14" s="30"/>
      <c r="E14" s="29">
        <f t="shared" si="1"/>
        <v>0</v>
      </c>
      <c r="F14" s="28">
        <f t="shared" si="2"/>
        <v>32.728748370428974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</v>
      </c>
      <c r="D15" s="30"/>
      <c r="E15" s="29">
        <f t="shared" si="1"/>
        <v>0</v>
      </c>
      <c r="F15" s="28">
        <f t="shared" si="2"/>
        <v>27.023737186592729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36.9</v>
      </c>
      <c r="D16" s="30"/>
      <c r="E16" s="29">
        <f t="shared" si="1"/>
        <v>0</v>
      </c>
      <c r="F16" s="28">
        <f t="shared" si="2"/>
        <v>36.932440821676728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54.4</v>
      </c>
      <c r="D17" s="30"/>
      <c r="E17" s="29">
        <f t="shared" si="1"/>
        <v>0</v>
      </c>
      <c r="F17" s="28">
        <f t="shared" si="2"/>
        <v>54.447826035209054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47.6</v>
      </c>
      <c r="D18" s="30"/>
      <c r="E18" s="29">
        <f t="shared" si="1"/>
        <v>0</v>
      </c>
      <c r="F18" s="28">
        <f t="shared" si="2"/>
        <v>47.641847780807922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28.959989209730008</v>
      </c>
      <c r="D19" s="49">
        <f>SUM(D10:D18)</f>
        <v>4263.1000000000004</v>
      </c>
      <c r="E19" s="48">
        <f t="shared" si="1"/>
        <v>1</v>
      </c>
      <c r="F19" s="47">
        <f>I19/D19</f>
        <v>28.985449530752035</v>
      </c>
      <c r="G19" s="46">
        <f>F19/C19-1</f>
        <v>8.7915505898994439E-4</v>
      </c>
      <c r="H19" s="9">
        <f>SUM(H10:H18)</f>
        <v>123459.33</v>
      </c>
      <c r="I19" s="9">
        <f>SUM(I10:I18)</f>
        <v>123567.86989454902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70.7</v>
      </c>
      <c r="D21" s="30">
        <v>131.6</v>
      </c>
      <c r="E21" s="29">
        <f>D21/$D$48</f>
        <v>9.305746086071081E-3</v>
      </c>
      <c r="F21" s="28">
        <f>C21-(C21*$E$6)</f>
        <v>70.762156262670587</v>
      </c>
      <c r="G21" s="27" t="str">
        <f>IF(C21&gt;=F21,"-","+")</f>
        <v>+</v>
      </c>
      <c r="H21" s="26">
        <f>C21*D21</f>
        <v>9304.1200000000008</v>
      </c>
      <c r="I21" s="26">
        <f>F21*D21</f>
        <v>9312.2997641674483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47.5</v>
      </c>
      <c r="D22" s="30">
        <v>542.20000000000005</v>
      </c>
      <c r="E22" s="29">
        <f>D22/$D$48</f>
        <v>3.8340239573463074E-2</v>
      </c>
      <c r="F22" s="28">
        <f>C22-(C22*$E$6)</f>
        <v>47.541759865302019</v>
      </c>
      <c r="G22" s="27" t="str">
        <f>IF(C22&gt;=F22,"-","+")</f>
        <v>+</v>
      </c>
      <c r="H22" s="26">
        <f>C22*D22</f>
        <v>25754.500000000004</v>
      </c>
      <c r="I22" s="26">
        <f>F22*D22</f>
        <v>25777.142198966758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43.3</v>
      </c>
      <c r="D23" s="30">
        <v>267.5</v>
      </c>
      <c r="E23" s="29">
        <f>D23/$D$48</f>
        <v>1.8915555304133844E-2</v>
      </c>
      <c r="F23" s="28">
        <f>C23-(C23*$E$6)</f>
        <v>43.338067414054265</v>
      </c>
      <c r="G23" s="27" t="str">
        <f>IF(C23&gt;=F23,"-","+")</f>
        <v>+</v>
      </c>
      <c r="H23" s="26">
        <f>C23*D23</f>
        <v>11582.75</v>
      </c>
      <c r="I23" s="26">
        <f>F23*D23</f>
        <v>11592.933033259516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49.549952193774566</v>
      </c>
      <c r="D24" s="22">
        <f>SUM(D21:D23)</f>
        <v>941.30000000000007</v>
      </c>
      <c r="E24" s="21">
        <f>D24/$D$48</f>
        <v>6.6561540963667995E-2</v>
      </c>
      <c r="F24" s="20">
        <f>I24/D24</f>
        <v>49.59351428491842</v>
      </c>
      <c r="G24" s="19">
        <f>F24/C24-1</f>
        <v>8.7915505898972235E-4</v>
      </c>
      <c r="H24" s="18">
        <f>SUM(H21:H23)</f>
        <v>46641.37</v>
      </c>
      <c r="I24" s="18">
        <f>SUM(I21:I23)</f>
        <v>46682.374996393715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37.700000000000003</v>
      </c>
      <c r="D26" s="30">
        <v>1902.9</v>
      </c>
      <c r="E26" s="29">
        <f t="shared" ref="E26:E32" si="7">D26/$D$48</f>
        <v>0.13455854275976187</v>
      </c>
      <c r="F26" s="28">
        <f t="shared" ref="F26:F31" si="8">C26-(C26*$E$6)</f>
        <v>37.733144145723926</v>
      </c>
      <c r="G26" s="27" t="str">
        <f t="shared" ref="G26:G31" si="9">IF(C26&gt;=F26,"-","+")</f>
        <v>+</v>
      </c>
      <c r="H26" s="26">
        <f t="shared" ref="H26:H31" si="10">C26*D26</f>
        <v>71739.33</v>
      </c>
      <c r="I26" s="26">
        <f t="shared" ref="I26:I31" si="11">F26*D26</f>
        <v>71802.399994898064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33.6</v>
      </c>
      <c r="D27" s="30">
        <v>2782.5</v>
      </c>
      <c r="E27" s="29">
        <f t="shared" si="7"/>
        <v>0.19675713134113057</v>
      </c>
      <c r="F27" s="28">
        <f t="shared" si="8"/>
        <v>33.629539609982061</v>
      </c>
      <c r="G27" s="27" t="str">
        <f t="shared" si="9"/>
        <v>+</v>
      </c>
      <c r="H27" s="26">
        <f t="shared" si="10"/>
        <v>93492</v>
      </c>
      <c r="I27" s="26">
        <f t="shared" si="11"/>
        <v>93574.193964775084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33.6</v>
      </c>
      <c r="D28" s="30">
        <v>1967.3</v>
      </c>
      <c r="E28" s="29">
        <f t="shared" si="7"/>
        <v>0.13911241850400941</v>
      </c>
      <c r="F28" s="28">
        <f t="shared" si="8"/>
        <v>33.629539609982061</v>
      </c>
      <c r="G28" s="27" t="str">
        <f t="shared" si="9"/>
        <v>+</v>
      </c>
      <c r="H28" s="26">
        <f t="shared" si="10"/>
        <v>66101.279999999999</v>
      </c>
      <c r="I28" s="26">
        <f t="shared" si="11"/>
        <v>66159.393274717702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32.5</v>
      </c>
      <c r="D29" s="30">
        <v>1520.1</v>
      </c>
      <c r="E29" s="29">
        <f t="shared" si="7"/>
        <v>0.10748985277687423</v>
      </c>
      <c r="F29" s="28">
        <f t="shared" si="8"/>
        <v>32.528572539417176</v>
      </c>
      <c r="G29" s="27" t="str">
        <f t="shared" si="9"/>
        <v>+</v>
      </c>
      <c r="H29" s="26">
        <f t="shared" si="10"/>
        <v>49403.25</v>
      </c>
      <c r="I29" s="26">
        <f t="shared" si="11"/>
        <v>49446.683117168046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32.5</v>
      </c>
      <c r="D30" s="30">
        <v>671.2</v>
      </c>
      <c r="E30" s="29">
        <f t="shared" si="7"/>
        <v>4.7462133533213602E-2</v>
      </c>
      <c r="F30" s="28">
        <f t="shared" si="8"/>
        <v>32.528572539417176</v>
      </c>
      <c r="G30" s="27" t="str">
        <f t="shared" si="9"/>
        <v>+</v>
      </c>
      <c r="H30" s="26">
        <f t="shared" si="10"/>
        <v>21814</v>
      </c>
      <c r="I30" s="26">
        <f t="shared" si="11"/>
        <v>21833.177888456808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</v>
      </c>
      <c r="D31" s="30">
        <v>263.39999999999998</v>
      </c>
      <c r="E31" s="29">
        <f t="shared" si="7"/>
        <v>1.8625634643397587E-2</v>
      </c>
      <c r="F31" s="28">
        <f t="shared" si="8"/>
        <v>33.029012116946667</v>
      </c>
      <c r="G31" s="27" t="str">
        <f t="shared" si="9"/>
        <v>+</v>
      </c>
      <c r="H31" s="26">
        <f t="shared" si="10"/>
        <v>8692.1999999999989</v>
      </c>
      <c r="I31" s="26">
        <f t="shared" si="11"/>
        <v>8699.8417916037506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34.174633814260929</v>
      </c>
      <c r="D32" s="22">
        <f>SUM(D26:D31)</f>
        <v>9107.4</v>
      </c>
      <c r="E32" s="21">
        <f t="shared" si="7"/>
        <v>0.6440057135583872</v>
      </c>
      <c r="F32" s="20">
        <f>I32/D32</f>
        <v>34.204678616467866</v>
      </c>
      <c r="G32" s="19">
        <f>F32/C32-1</f>
        <v>8.7915505898994439E-4</v>
      </c>
      <c r="H32" s="18">
        <f>SUM(H26:H31)</f>
        <v>311242.06</v>
      </c>
      <c r="I32" s="18">
        <f>SUM(I26:I31)</f>
        <v>311515.69003161945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v>1719.5</v>
      </c>
      <c r="E34" s="29">
        <f t="shared" ref="E34:E40" si="13">D34/$D$48</f>
        <v>0.12158989661853513</v>
      </c>
      <c r="F34" s="28">
        <f t="shared" ref="F34:F39" si="14">C34-(C34*$E$6)</f>
        <v>19.9174951856739</v>
      </c>
      <c r="G34" s="27" t="str">
        <f t="shared" ref="G34:G39" si="15">IF(C34&gt;=F34,"-","+")</f>
        <v>+</v>
      </c>
      <c r="H34" s="26">
        <f t="shared" ref="H34:H39" si="16">C34*D34</f>
        <v>34218.049999999996</v>
      </c>
      <c r="I34" s="26">
        <f t="shared" ref="I34:I39" si="17">F34*D34</f>
        <v>34248.132971766274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/>
      <c r="E35" s="29">
        <f t="shared" si="13"/>
        <v>0</v>
      </c>
      <c r="F35" s="28">
        <f t="shared" si="14"/>
        <v>15.313451072402547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12.310813607225578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32.5</v>
      </c>
      <c r="D37" s="30"/>
      <c r="E37" s="29">
        <f t="shared" si="13"/>
        <v>0</v>
      </c>
      <c r="F37" s="28">
        <f t="shared" si="14"/>
        <v>32.528572539417176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32.5</v>
      </c>
      <c r="D38" s="30"/>
      <c r="E38" s="29">
        <f t="shared" si="13"/>
        <v>0</v>
      </c>
      <c r="F38" s="28">
        <f t="shared" si="14"/>
        <v>32.528572539417176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33.6</v>
      </c>
      <c r="D39" s="30"/>
      <c r="E39" s="29">
        <f t="shared" si="13"/>
        <v>0</v>
      </c>
      <c r="F39" s="28">
        <f t="shared" si="14"/>
        <v>33.629539609982061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19.899999999999999</v>
      </c>
      <c r="D40" s="22">
        <f>SUM(D34:D39)</f>
        <v>1719.5</v>
      </c>
      <c r="E40" s="113">
        <f t="shared" si="13"/>
        <v>0.12158989661853513</v>
      </c>
      <c r="F40" s="20">
        <f>I40/D40</f>
        <v>19.9174951856739</v>
      </c>
      <c r="G40" s="19">
        <f>F40/C40-1</f>
        <v>8.7915505898994439E-4</v>
      </c>
      <c r="H40" s="18">
        <f>SUM(H34:H39)</f>
        <v>34218.049999999996</v>
      </c>
      <c r="I40" s="18">
        <f>SUM(I34:I39)</f>
        <v>34248.132971766274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2221</v>
      </c>
      <c r="E42" s="107">
        <f>D42/$D$48</f>
        <v>0.15705214329151876</v>
      </c>
      <c r="F42" s="28">
        <f>C42-(C42*$E$6)</f>
        <v>0.50043957752949497</v>
      </c>
      <c r="G42" s="27" t="str">
        <f>IF(C42&gt;=F42,"-","+")</f>
        <v>+</v>
      </c>
      <c r="H42" s="26">
        <f>C42*D42</f>
        <v>1110.5</v>
      </c>
      <c r="I42" s="26">
        <f>F42*D42</f>
        <v>1111.4763016930083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104.2</v>
      </c>
      <c r="E43" s="107">
        <f>D43/$D$48</f>
        <v>7.368227524077558E-3</v>
      </c>
      <c r="F43" s="28">
        <f>C43-(C43*$E$6)</f>
        <v>0.50043957752949497</v>
      </c>
      <c r="G43" s="27" t="str">
        <f>IF(C43&gt;=F43,"-","+")</f>
        <v>+</v>
      </c>
      <c r="H43" s="26">
        <f>C43*D43</f>
        <v>52.1</v>
      </c>
      <c r="I43" s="26">
        <f>F43*D43</f>
        <v>52.145803978573376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43.6</v>
      </c>
      <c r="E44" s="107">
        <f>D44/$D$48</f>
        <v>3.0830587336831239E-3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4.8</v>
      </c>
      <c r="E45" s="107">
        <f>D45/$D$48</f>
        <v>3.3941931013025219E-4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0.48980451634647793</v>
      </c>
      <c r="D46" s="22">
        <f>SUM(D41:D45)</f>
        <v>2373.6</v>
      </c>
      <c r="E46" s="113">
        <f>D46/$D$48</f>
        <v>0.1678428488594097</v>
      </c>
      <c r="F46" s="20">
        <f>I46/D46</f>
        <v>0.49023513046494005</v>
      </c>
      <c r="G46" s="19">
        <f>F46/C46-1</f>
        <v>8.7915505898994439E-4</v>
      </c>
      <c r="H46" s="18">
        <f>SUM(H41:H44)</f>
        <v>1162.5999999999999</v>
      </c>
      <c r="I46" s="18">
        <f>SUM(I41:I44)</f>
        <v>1163.6221056715817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104.11439052438197</v>
      </c>
      <c r="D48" s="13">
        <f>D24+D32+D40+D46</f>
        <v>14141.8</v>
      </c>
      <c r="E48" s="12">
        <f>SUM(E20:E46)/2</f>
        <v>1.0000000000000002</v>
      </c>
      <c r="F48" s="11">
        <f>I48/D48</f>
        <v>27.833077833476011</v>
      </c>
      <c r="G48" s="10"/>
      <c r="H48" s="9">
        <f>SUM(H20:H46)/2</f>
        <v>393264.08</v>
      </c>
      <c r="I48" s="9">
        <f>SUM(I20:I46)/2</f>
        <v>393609.82010545104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18404.899999999998</v>
      </c>
      <c r="E50" s="12">
        <f>D50/G2</f>
        <v>0.99999999999999978</v>
      </c>
      <c r="F50" s="11">
        <f>I50/D50</f>
        <v>28.100000000000005</v>
      </c>
      <c r="G50" s="10"/>
      <c r="H50" s="9">
        <f>H48+H19</f>
        <v>516723.41000000003</v>
      </c>
      <c r="I50" s="9">
        <f>I48+I19</f>
        <v>517177.69000000006</v>
      </c>
      <c r="J50" s="106">
        <f>D50-G2</f>
        <v>0</v>
      </c>
      <c r="K50" s="8"/>
    </row>
    <row r="51" spans="1:11" ht="23.25" x14ac:dyDescent="0.35">
      <c r="A51" s="174" t="s">
        <v>769</v>
      </c>
      <c r="B51" s="169"/>
      <c r="C51" s="170"/>
      <c r="G51" s="7"/>
      <c r="H51" s="6"/>
      <c r="I51" s="6">
        <f>+I50/D50</f>
        <v>28.100000000000005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>
    <tabColor rgb="FF92D050"/>
  </sheetPr>
  <dimension ref="A1:K56"/>
  <sheetViews>
    <sheetView topLeftCell="A3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763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768</v>
      </c>
      <c r="D2" s="96" t="s">
        <v>3</v>
      </c>
      <c r="E2" s="95" t="s">
        <v>71</v>
      </c>
      <c r="F2" s="94" t="s">
        <v>5</v>
      </c>
      <c r="G2" s="93">
        <v>3744.9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240</v>
      </c>
      <c r="F3" s="88" t="s">
        <v>8</v>
      </c>
      <c r="G3" s="87">
        <v>28.1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15.60375</v>
      </c>
      <c r="F4" s="81" t="s">
        <v>12</v>
      </c>
      <c r="G4" s="80">
        <f>G2*G3</f>
        <v>105231.69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-7.2760478809783535E-3</v>
      </c>
      <c r="F6" s="69" t="s">
        <v>16</v>
      </c>
      <c r="G6" s="68">
        <f>(I50-I19)/(D50-(SUM(D42:D44)+D19))</f>
        <v>33.962469024991485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28.1</v>
      </c>
      <c r="D10" s="30"/>
      <c r="E10" s="29">
        <f t="shared" ref="E10:E19" si="1">D10/$D$19</f>
        <v>0</v>
      </c>
      <c r="F10" s="28">
        <f t="shared" ref="F10:F18" si="2">C10-(C10*$E$6)</f>
        <v>28.304456945455492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29.3</v>
      </c>
      <c r="D11" s="30"/>
      <c r="E11" s="29">
        <f t="shared" si="1"/>
        <v>0</v>
      </c>
      <c r="F11" s="28">
        <f t="shared" si="2"/>
        <v>29.513188202912666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26.7</v>
      </c>
      <c r="D12" s="30"/>
      <c r="E12" s="29">
        <f t="shared" si="1"/>
        <v>0</v>
      </c>
      <c r="F12" s="28">
        <f t="shared" si="2"/>
        <v>26.894270478422122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29.3</v>
      </c>
      <c r="D13" s="30"/>
      <c r="E13" s="29">
        <f t="shared" si="1"/>
        <v>0</v>
      </c>
      <c r="F13" s="28">
        <f t="shared" si="2"/>
        <v>29.513188202912666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32.700000000000003</v>
      </c>
      <c r="D14" s="30"/>
      <c r="E14" s="29">
        <f t="shared" si="1"/>
        <v>0</v>
      </c>
      <c r="F14" s="28">
        <f t="shared" si="2"/>
        <v>32.937926765707992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</v>
      </c>
      <c r="D15" s="30">
        <v>218</v>
      </c>
      <c r="E15" s="29">
        <f t="shared" si="1"/>
        <v>1</v>
      </c>
      <c r="F15" s="28">
        <f t="shared" si="2"/>
        <v>27.196453292786416</v>
      </c>
      <c r="G15" s="27" t="str">
        <f t="shared" si="3"/>
        <v>+</v>
      </c>
      <c r="H15" s="34">
        <f t="shared" si="4"/>
        <v>5886</v>
      </c>
      <c r="I15" s="34">
        <f t="shared" si="5"/>
        <v>5928.8268178274384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36.9</v>
      </c>
      <c r="D16" s="30"/>
      <c r="E16" s="29">
        <f t="shared" si="1"/>
        <v>0</v>
      </c>
      <c r="F16" s="28">
        <f t="shared" si="2"/>
        <v>37.168486166808101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54.4</v>
      </c>
      <c r="D17" s="30"/>
      <c r="E17" s="29">
        <f t="shared" si="1"/>
        <v>0</v>
      </c>
      <c r="F17" s="28">
        <f t="shared" si="2"/>
        <v>54.795817004725222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47.6</v>
      </c>
      <c r="D18" s="30"/>
      <c r="E18" s="29">
        <f t="shared" si="1"/>
        <v>0</v>
      </c>
      <c r="F18" s="28">
        <f t="shared" si="2"/>
        <v>47.94633987913457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</v>
      </c>
      <c r="D19" s="49">
        <f>SUM(D10:D18)</f>
        <v>218</v>
      </c>
      <c r="E19" s="48">
        <f t="shared" si="1"/>
        <v>1</v>
      </c>
      <c r="F19" s="47">
        <f>I19/D19</f>
        <v>27.196453292786416</v>
      </c>
      <c r="G19" s="46">
        <f>F19/C19-1</f>
        <v>7.2760478809783535E-3</v>
      </c>
      <c r="H19" s="9">
        <f>SUM(H10:H18)</f>
        <v>5886</v>
      </c>
      <c r="I19" s="9">
        <f>SUM(I10:I18)</f>
        <v>5928.8268178274384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70.7</v>
      </c>
      <c r="D21" s="30">
        <v>45.1</v>
      </c>
      <c r="E21" s="29">
        <f>D21/$D$48</f>
        <v>1.2787433723666676E-2</v>
      </c>
      <c r="F21" s="28">
        <f>C21-(C21*$E$6)</f>
        <v>71.214416585185177</v>
      </c>
      <c r="G21" s="27" t="str">
        <f>IF(C21&gt;=F21,"-","+")</f>
        <v>+</v>
      </c>
      <c r="H21" s="26">
        <f>C21*D21</f>
        <v>3188.57</v>
      </c>
      <c r="I21" s="26">
        <f>F21*D21</f>
        <v>3211.7701879918513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47.5</v>
      </c>
      <c r="D22" s="30">
        <v>109.4</v>
      </c>
      <c r="E22" s="29">
        <f>D22/$D$48</f>
        <v>3.1018741671155974E-2</v>
      </c>
      <c r="F22" s="28">
        <f>C22-(C22*$E$6)</f>
        <v>47.845612274346472</v>
      </c>
      <c r="G22" s="27" t="str">
        <f>IF(C22&gt;=F22,"-","+")</f>
        <v>+</v>
      </c>
      <c r="H22" s="26">
        <f>C22*D22</f>
        <v>5196.5</v>
      </c>
      <c r="I22" s="26">
        <f>F22*D22</f>
        <v>5234.3099828135046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43.3</v>
      </c>
      <c r="D23" s="30">
        <v>91.4</v>
      </c>
      <c r="E23" s="29">
        <f>D23/$D$48</f>
        <v>2.5915109586322267E-2</v>
      </c>
      <c r="F23" s="28">
        <f>C23-(C23*$E$6)</f>
        <v>43.615052873246363</v>
      </c>
      <c r="G23" s="27" t="str">
        <f>IF(C23&gt;=F23,"-","+")</f>
        <v>+</v>
      </c>
      <c r="H23" s="26">
        <f>C23*D23</f>
        <v>3957.62</v>
      </c>
      <c r="I23" s="26">
        <f>F23*D23</f>
        <v>3986.4158326147176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50.193940626270837</v>
      </c>
      <c r="D24" s="22">
        <f>SUM(D21:D23)</f>
        <v>245.9</v>
      </c>
      <c r="E24" s="21">
        <f>D24/$D$48</f>
        <v>6.972128498114491E-2</v>
      </c>
      <c r="F24" s="20">
        <f>I24/D24</f>
        <v>50.559154141602569</v>
      </c>
      <c r="G24" s="19">
        <f>F24/C24-1</f>
        <v>7.2760478809783535E-3</v>
      </c>
      <c r="H24" s="18">
        <f>SUM(H21:H23)</f>
        <v>12342.689999999999</v>
      </c>
      <c r="I24" s="18">
        <f>SUM(I21:I23)</f>
        <v>12432.496003420072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37.700000000000003</v>
      </c>
      <c r="D26" s="30">
        <v>721.9</v>
      </c>
      <c r="E26" s="29">
        <f t="shared" ref="E26:E32" si="7">D26/$D$48</f>
        <v>0.20468400011341403</v>
      </c>
      <c r="F26" s="28">
        <f t="shared" ref="F26:F31" si="8">C26-(C26*$E$6)</f>
        <v>37.974307005112884</v>
      </c>
      <c r="G26" s="27" t="str">
        <f t="shared" ref="G26:G31" si="9">IF(C26&gt;=F26,"-","+")</f>
        <v>+</v>
      </c>
      <c r="H26" s="26">
        <f t="shared" ref="H26:H31" si="10">C26*D26</f>
        <v>27215.63</v>
      </c>
      <c r="I26" s="26">
        <f t="shared" ref="I26:I31" si="11">F26*D26</f>
        <v>27413.652226990991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33.6</v>
      </c>
      <c r="D27" s="30">
        <v>569.4</v>
      </c>
      <c r="E27" s="29">
        <f t="shared" si="7"/>
        <v>0.16144489495023959</v>
      </c>
      <c r="F27" s="28">
        <f t="shared" si="8"/>
        <v>33.844475208800873</v>
      </c>
      <c r="G27" s="27" t="str">
        <f t="shared" si="9"/>
        <v>+</v>
      </c>
      <c r="H27" s="26">
        <f t="shared" si="10"/>
        <v>19131.84</v>
      </c>
      <c r="I27" s="26">
        <f t="shared" si="11"/>
        <v>19271.044183891216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33.6</v>
      </c>
      <c r="D28" s="30">
        <v>279.7</v>
      </c>
      <c r="E28" s="29">
        <f t="shared" si="7"/>
        <v>7.9304771895999313E-2</v>
      </c>
      <c r="F28" s="28">
        <f t="shared" si="8"/>
        <v>33.844475208800873</v>
      </c>
      <c r="G28" s="27" t="str">
        <f t="shared" si="9"/>
        <v>+</v>
      </c>
      <c r="H28" s="26">
        <f t="shared" si="10"/>
        <v>9397.92</v>
      </c>
      <c r="I28" s="26">
        <f t="shared" si="11"/>
        <v>9466.2997159016031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32.5</v>
      </c>
      <c r="D29" s="30">
        <v>336.1</v>
      </c>
      <c r="E29" s="29">
        <f t="shared" si="7"/>
        <v>9.5296152428478276E-2</v>
      </c>
      <c r="F29" s="28">
        <f t="shared" si="8"/>
        <v>32.736471556131796</v>
      </c>
      <c r="G29" s="27" t="str">
        <f t="shared" si="9"/>
        <v>+</v>
      </c>
      <c r="H29" s="26">
        <f t="shared" si="10"/>
        <v>10923.25</v>
      </c>
      <c r="I29" s="26">
        <f t="shared" si="11"/>
        <v>11002.728090015897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32.5</v>
      </c>
      <c r="D30" s="30">
        <v>212.9</v>
      </c>
      <c r="E30" s="29">
        <f t="shared" si="7"/>
        <v>6.0364626158949788E-2</v>
      </c>
      <c r="F30" s="28">
        <f t="shared" si="8"/>
        <v>32.736471556131796</v>
      </c>
      <c r="G30" s="27" t="str">
        <f t="shared" si="9"/>
        <v>+</v>
      </c>
      <c r="H30" s="26">
        <f t="shared" si="10"/>
        <v>6919.25</v>
      </c>
      <c r="I30" s="26">
        <f t="shared" si="11"/>
        <v>6969.5947943004594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</v>
      </c>
      <c r="D31" s="30">
        <v>102.2</v>
      </c>
      <c r="E31" s="29">
        <f t="shared" si="7"/>
        <v>2.897728883722249E-2</v>
      </c>
      <c r="F31" s="28">
        <f t="shared" si="8"/>
        <v>33.240109580072286</v>
      </c>
      <c r="G31" s="27" t="str">
        <f t="shared" si="9"/>
        <v>+</v>
      </c>
      <c r="H31" s="26">
        <f t="shared" si="10"/>
        <v>3372.6</v>
      </c>
      <c r="I31" s="26">
        <f t="shared" si="11"/>
        <v>3397.1391990833877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34.632566825668263</v>
      </c>
      <c r="D32" s="22">
        <f>SUM(D26:D31)</f>
        <v>2222.1999999999998</v>
      </c>
      <c r="E32" s="21">
        <f t="shared" si="7"/>
        <v>0.63007173438430342</v>
      </c>
      <c r="F32" s="20">
        <f>I32/D32</f>
        <v>34.884555040133002</v>
      </c>
      <c r="G32" s="19">
        <f>F32/C32-1</f>
        <v>7.2760478809781315E-3</v>
      </c>
      <c r="H32" s="18">
        <f>SUM(H26:H31)</f>
        <v>76960.490000000005</v>
      </c>
      <c r="I32" s="18">
        <f>SUM(I26:I31)</f>
        <v>77520.458210183555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v>451.3</v>
      </c>
      <c r="E34" s="29">
        <f t="shared" ref="E34:E40" si="13">D34/$D$48</f>
        <v>0.12795939777141399</v>
      </c>
      <c r="F34" s="28">
        <f t="shared" ref="F34:F39" si="14">C34-(C34*$E$6)</f>
        <v>20.044793352831469</v>
      </c>
      <c r="G34" s="27" t="str">
        <f t="shared" ref="G34:G39" si="15">IF(C34&gt;=F34,"-","+")</f>
        <v>+</v>
      </c>
      <c r="H34" s="26">
        <f t="shared" ref="H34:H39" si="16">C34*D34</f>
        <v>8980.869999999999</v>
      </c>
      <c r="I34" s="26">
        <f t="shared" ref="I34:I39" si="17">F34*D34</f>
        <v>9046.2152401328422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/>
      <c r="E35" s="29">
        <f t="shared" si="13"/>
        <v>0</v>
      </c>
      <c r="F35" s="28">
        <f t="shared" si="14"/>
        <v>15.411323532578969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12.389495388936034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32.5</v>
      </c>
      <c r="D37" s="30"/>
      <c r="E37" s="29">
        <f t="shared" si="13"/>
        <v>0</v>
      </c>
      <c r="F37" s="28">
        <f t="shared" si="14"/>
        <v>32.736471556131796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32.5</v>
      </c>
      <c r="D38" s="30"/>
      <c r="E38" s="29">
        <f t="shared" si="13"/>
        <v>0</v>
      </c>
      <c r="F38" s="28">
        <f t="shared" si="14"/>
        <v>32.736471556131796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33.6</v>
      </c>
      <c r="D39" s="30"/>
      <c r="E39" s="29">
        <f t="shared" si="13"/>
        <v>0</v>
      </c>
      <c r="F39" s="28">
        <f t="shared" si="14"/>
        <v>33.844475208800873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19.899999999999999</v>
      </c>
      <c r="D40" s="22">
        <f>SUM(D34:D39)</f>
        <v>451.3</v>
      </c>
      <c r="E40" s="113">
        <f t="shared" si="13"/>
        <v>0.12795939777141399</v>
      </c>
      <c r="F40" s="20">
        <f>I40/D40</f>
        <v>20.044793352831469</v>
      </c>
      <c r="G40" s="19">
        <f>F40/C40-1</f>
        <v>7.2760478809783535E-3</v>
      </c>
      <c r="H40" s="18">
        <f>SUM(H34:H39)</f>
        <v>8980.869999999999</v>
      </c>
      <c r="I40" s="18">
        <f>SUM(I34:I39)</f>
        <v>9046.2152401328422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585</v>
      </c>
      <c r="E42" s="107">
        <f>D42/$D$48</f>
        <v>0.16586804275709546</v>
      </c>
      <c r="F42" s="28">
        <f>C42-(C42*$E$6)</f>
        <v>0.50363802394048918</v>
      </c>
      <c r="G42" s="27" t="str">
        <f>IF(C42&gt;=F42,"-","+")</f>
        <v>+</v>
      </c>
      <c r="H42" s="26">
        <f>C42*D42</f>
        <v>292.5</v>
      </c>
      <c r="I42" s="26">
        <f>F42*D42</f>
        <v>294.62824400518616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18</v>
      </c>
      <c r="E43" s="107">
        <f>D43/$D$48</f>
        <v>5.1036320848337063E-3</v>
      </c>
      <c r="F43" s="28">
        <f>C43-(C43*$E$6)</f>
        <v>0.50363802394048918</v>
      </c>
      <c r="G43" s="27" t="str">
        <f>IF(C43&gt;=F43,"-","+")</f>
        <v>+</v>
      </c>
      <c r="H43" s="26">
        <f>C43*D43</f>
        <v>9</v>
      </c>
      <c r="I43" s="26">
        <f>F43*D43</f>
        <v>9.0654844309288052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</v>
      </c>
      <c r="E45" s="107">
        <f>D45/$D$48</f>
        <v>1.2759080212084266E-3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0.49629629629629629</v>
      </c>
      <c r="D46" s="22">
        <f>SUM(D41:D45)</f>
        <v>607.5</v>
      </c>
      <c r="E46" s="113">
        <f>D46/$D$48</f>
        <v>0.1722475828631376</v>
      </c>
      <c r="F46" s="20">
        <f>I46/D46</f>
        <v>0.49990737191130036</v>
      </c>
      <c r="G46" s="19">
        <f>F46/C46-1</f>
        <v>7.2760478809783535E-3</v>
      </c>
      <c r="H46" s="18">
        <f>SUM(H41:H44)</f>
        <v>301.5</v>
      </c>
      <c r="I46" s="18">
        <f>SUM(I41:I44)</f>
        <v>303.69372843611495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105.22280374823541</v>
      </c>
      <c r="D48" s="13">
        <f>D24+D32+D40+D46</f>
        <v>3526.9</v>
      </c>
      <c r="E48" s="12">
        <f>SUM(E20:E46)/2</f>
        <v>0.99999999999999989</v>
      </c>
      <c r="F48" s="11">
        <f>I48/D48</f>
        <v>28.155848814021546</v>
      </c>
      <c r="G48" s="10"/>
      <c r="H48" s="9">
        <f>SUM(H20:H46)/2</f>
        <v>98585.549999999988</v>
      </c>
      <c r="I48" s="9">
        <f>SUM(I20:I46)/2</f>
        <v>99302.863182172587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3744.8999999999996</v>
      </c>
      <c r="E50" s="12">
        <f>D50/G2</f>
        <v>0.99999999999999989</v>
      </c>
      <c r="F50" s="11">
        <f>I50/D50</f>
        <v>28.100000000000012</v>
      </c>
      <c r="G50" s="10"/>
      <c r="H50" s="9">
        <f>H48+H19</f>
        <v>104471.54999999999</v>
      </c>
      <c r="I50" s="9">
        <f>I48+I19</f>
        <v>105231.69000000003</v>
      </c>
      <c r="J50" s="106">
        <f>D50-G2</f>
        <v>0</v>
      </c>
      <c r="K50" s="8"/>
    </row>
    <row r="51" spans="1:11" ht="23.25" x14ac:dyDescent="0.35">
      <c r="A51" s="174" t="s">
        <v>770</v>
      </c>
      <c r="B51" s="169"/>
      <c r="C51" s="170"/>
      <c r="G51" s="7"/>
      <c r="H51" s="6"/>
      <c r="I51" s="6">
        <f>+I50/D50</f>
        <v>28.100000000000012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768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768</v>
      </c>
      <c r="D2" s="96" t="s">
        <v>3</v>
      </c>
      <c r="E2" s="95" t="s">
        <v>71</v>
      </c>
      <c r="F2" s="94" t="s">
        <v>5</v>
      </c>
      <c r="G2" s="93">
        <v>21086.7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288</v>
      </c>
      <c r="F3" s="88" t="s">
        <v>8</v>
      </c>
      <c r="G3" s="87">
        <v>28.1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73.217708333333334</v>
      </c>
      <c r="F4" s="81" t="s">
        <v>12</v>
      </c>
      <c r="G4" s="80">
        <f>G2*G3</f>
        <v>592536.27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-2.2205110798957595E-2</v>
      </c>
      <c r="F6" s="69" t="s">
        <v>16</v>
      </c>
      <c r="G6" s="68">
        <f>(I50-I19)/(D50-(SUM(D42:D44)+D19))</f>
        <v>34.075377883828821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28.1</v>
      </c>
      <c r="D10" s="30"/>
      <c r="E10" s="29">
        <f t="shared" ref="E10:E19" si="1">D10/$D$19</f>
        <v>0</v>
      </c>
      <c r="F10" s="28">
        <f t="shared" ref="F10:F18" si="2">C10-(C10*$E$6)</f>
        <v>28.72396361345071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29.3</v>
      </c>
      <c r="D11" s="30">
        <v>390.1</v>
      </c>
      <c r="E11" s="29">
        <f t="shared" si="1"/>
        <v>0.23439283782971823</v>
      </c>
      <c r="F11" s="28">
        <f t="shared" si="2"/>
        <v>29.950609746409459</v>
      </c>
      <c r="G11" s="27" t="str">
        <f t="shared" si="3"/>
        <v>+</v>
      </c>
      <c r="H11" s="34">
        <f t="shared" si="4"/>
        <v>11429.93</v>
      </c>
      <c r="I11" s="34">
        <f t="shared" si="5"/>
        <v>11683.73286207433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26.7</v>
      </c>
      <c r="D12" s="30">
        <v>389</v>
      </c>
      <c r="E12" s="29">
        <f t="shared" si="1"/>
        <v>0.23373189929700175</v>
      </c>
      <c r="F12" s="28">
        <f t="shared" si="2"/>
        <v>27.292876458332167</v>
      </c>
      <c r="G12" s="27" t="str">
        <f t="shared" si="3"/>
        <v>+</v>
      </c>
      <c r="H12" s="34">
        <f t="shared" si="4"/>
        <v>10386.299999999999</v>
      </c>
      <c r="I12" s="34">
        <f t="shared" si="5"/>
        <v>10616.928942291213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29.3</v>
      </c>
      <c r="D13" s="30">
        <v>456.2</v>
      </c>
      <c r="E13" s="29">
        <f t="shared" si="1"/>
        <v>0.2741092351138617</v>
      </c>
      <c r="F13" s="28">
        <f t="shared" si="2"/>
        <v>29.950609746409459</v>
      </c>
      <c r="G13" s="27" t="str">
        <f t="shared" si="3"/>
        <v>+</v>
      </c>
      <c r="H13" s="34">
        <f t="shared" si="4"/>
        <v>13366.66</v>
      </c>
      <c r="I13" s="34">
        <f t="shared" si="5"/>
        <v>13663.468166311995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32.700000000000003</v>
      </c>
      <c r="D14" s="30">
        <v>277</v>
      </c>
      <c r="E14" s="29">
        <f t="shared" si="1"/>
        <v>0.16643633960223517</v>
      </c>
      <c r="F14" s="28">
        <f t="shared" si="2"/>
        <v>33.426107123125917</v>
      </c>
      <c r="G14" s="27" t="str">
        <f t="shared" si="3"/>
        <v>+</v>
      </c>
      <c r="H14" s="34">
        <f t="shared" si="4"/>
        <v>9057.9000000000015</v>
      </c>
      <c r="I14" s="34">
        <f t="shared" si="5"/>
        <v>9259.0316731058792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</v>
      </c>
      <c r="D15" s="30">
        <v>110</v>
      </c>
      <c r="E15" s="29">
        <f t="shared" si="1"/>
        <v>6.6093853271645742E-2</v>
      </c>
      <c r="F15" s="28">
        <f t="shared" si="2"/>
        <v>27.599537991571854</v>
      </c>
      <c r="G15" s="27" t="str">
        <f t="shared" si="3"/>
        <v>+</v>
      </c>
      <c r="H15" s="34">
        <f t="shared" si="4"/>
        <v>2970</v>
      </c>
      <c r="I15" s="34">
        <f t="shared" si="5"/>
        <v>3035.9491790729039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36.9</v>
      </c>
      <c r="D16" s="30"/>
      <c r="E16" s="29">
        <f t="shared" si="1"/>
        <v>0</v>
      </c>
      <c r="F16" s="28">
        <f t="shared" si="2"/>
        <v>37.719368588481537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54.4</v>
      </c>
      <c r="D17" s="30">
        <v>42</v>
      </c>
      <c r="E17" s="29">
        <f t="shared" si="1"/>
        <v>2.5235834885537465E-2</v>
      </c>
      <c r="F17" s="28">
        <f t="shared" si="2"/>
        <v>55.60795802746329</v>
      </c>
      <c r="G17" s="27" t="str">
        <f t="shared" si="3"/>
        <v>+</v>
      </c>
      <c r="H17" s="34">
        <f t="shared" si="4"/>
        <v>2284.7999999999997</v>
      </c>
      <c r="I17" s="34">
        <f t="shared" si="5"/>
        <v>2335.534237153458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47.6</v>
      </c>
      <c r="D18" s="30"/>
      <c r="E18" s="29">
        <f t="shared" si="1"/>
        <v>0</v>
      </c>
      <c r="F18" s="28">
        <f t="shared" si="2"/>
        <v>48.656963274030382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29.739584209577604</v>
      </c>
      <c r="D19" s="49">
        <f>SUM(D10:D18)</f>
        <v>1664.3</v>
      </c>
      <c r="E19" s="48">
        <f t="shared" si="1"/>
        <v>1</v>
      </c>
      <c r="F19" s="47">
        <f>I19/D19</f>
        <v>30.399954972066201</v>
      </c>
      <c r="G19" s="46">
        <f>F19/C19-1</f>
        <v>2.2205110798957373E-2</v>
      </c>
      <c r="H19" s="9">
        <f>SUM(H10:H18)</f>
        <v>49495.590000000004</v>
      </c>
      <c r="I19" s="9">
        <f>SUM(I10:I18)</f>
        <v>50594.645060009774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70.7</v>
      </c>
      <c r="D21" s="30">
        <v>246.2</v>
      </c>
      <c r="E21" s="29">
        <f>D21/$D$48</f>
        <v>1.2676215876677204E-2</v>
      </c>
      <c r="F21" s="28">
        <f>C21-(C21*$E$6)</f>
        <v>72.269901333486303</v>
      </c>
      <c r="G21" s="27" t="str">
        <f>IF(C21&gt;=F21,"-","+")</f>
        <v>+</v>
      </c>
      <c r="H21" s="26">
        <f>C21*D21</f>
        <v>17406.34</v>
      </c>
      <c r="I21" s="26">
        <f>F21*D21</f>
        <v>17792.849708304326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47.5</v>
      </c>
      <c r="D22" s="30">
        <v>578</v>
      </c>
      <c r="E22" s="29">
        <f>D22/$D$48</f>
        <v>2.9759759450525686E-2</v>
      </c>
      <c r="F22" s="28">
        <f>C22-(C22*$E$6)</f>
        <v>48.554742762950482</v>
      </c>
      <c r="G22" s="27" t="str">
        <f>IF(C22&gt;=F22,"-","+")</f>
        <v>+</v>
      </c>
      <c r="H22" s="26">
        <f>C22*D22</f>
        <v>27455</v>
      </c>
      <c r="I22" s="26">
        <f>F22*D22</f>
        <v>28064.64131698538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43.3</v>
      </c>
      <c r="D23" s="30">
        <v>475.7</v>
      </c>
      <c r="E23" s="29">
        <f>D23/$D$48</f>
        <v>2.4492590952621227E-2</v>
      </c>
      <c r="F23" s="28">
        <f>C23-(C23*$E$6)</f>
        <v>44.261481297594862</v>
      </c>
      <c r="G23" s="27" t="str">
        <f>IF(C23&gt;=F23,"-","+")</f>
        <v>+</v>
      </c>
      <c r="H23" s="26">
        <f>C23*D23</f>
        <v>20597.809999999998</v>
      </c>
      <c r="I23" s="26">
        <f>F23*D23</f>
        <v>21055.186653265875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50.357065928148309</v>
      </c>
      <c r="D24" s="22">
        <f>SUM(D21:D23)</f>
        <v>1299.9000000000001</v>
      </c>
      <c r="E24" s="21">
        <f>D24/$D$48</f>
        <v>6.6928566279824117E-2</v>
      </c>
      <c r="F24" s="20">
        <f>I24/D24</f>
        <v>51.475250156593262</v>
      </c>
      <c r="G24" s="19">
        <f>F24/C24-1</f>
        <v>2.2205110798957817E-2</v>
      </c>
      <c r="H24" s="18">
        <f>SUM(H21:H23)</f>
        <v>65459.149999999994</v>
      </c>
      <c r="I24" s="18">
        <f>SUM(I21:I23)</f>
        <v>66912.677678555585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37.700000000000003</v>
      </c>
      <c r="D26" s="30">
        <f>1383.4+1881.8+52.5+509</f>
        <v>3826.7</v>
      </c>
      <c r="E26" s="29">
        <f t="shared" ref="E26:E32" si="7">D26/$D$48</f>
        <v>0.19702711330333328</v>
      </c>
      <c r="F26" s="28">
        <f t="shared" ref="F26:F31" si="8">C26-(C26*$E$6)</f>
        <v>38.537132677120702</v>
      </c>
      <c r="G26" s="27" t="str">
        <f t="shared" ref="G26:G31" si="9">IF(C26&gt;=F26,"-","+")</f>
        <v>+</v>
      </c>
      <c r="H26" s="26">
        <f t="shared" ref="H26:H31" si="10">C26*D26</f>
        <v>144266.59</v>
      </c>
      <c r="I26" s="26">
        <f t="shared" ref="I26:I31" si="11">F26*D26</f>
        <v>147470.04561553779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33.6</v>
      </c>
      <c r="D27" s="30">
        <v>2874.5</v>
      </c>
      <c r="E27" s="29">
        <f t="shared" si="7"/>
        <v>0.14800074141961261</v>
      </c>
      <c r="F27" s="28">
        <f t="shared" si="8"/>
        <v>34.346091722844974</v>
      </c>
      <c r="G27" s="27" t="str">
        <f t="shared" si="9"/>
        <v>+</v>
      </c>
      <c r="H27" s="26">
        <f t="shared" si="10"/>
        <v>96583.2</v>
      </c>
      <c r="I27" s="26">
        <f t="shared" si="11"/>
        <v>98727.84065731788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33.6</v>
      </c>
      <c r="D28" s="30">
        <v>1768</v>
      </c>
      <c r="E28" s="29">
        <f t="shared" si="7"/>
        <v>9.1029852436902092E-2</v>
      </c>
      <c r="F28" s="28">
        <f t="shared" si="8"/>
        <v>34.346091722844974</v>
      </c>
      <c r="G28" s="27" t="str">
        <f t="shared" si="9"/>
        <v>+</v>
      </c>
      <c r="H28" s="26">
        <f t="shared" si="10"/>
        <v>59404.800000000003</v>
      </c>
      <c r="I28" s="26">
        <f t="shared" si="11"/>
        <v>60723.890165989913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32.5</v>
      </c>
      <c r="D29" s="30">
        <v>1765.7</v>
      </c>
      <c r="E29" s="29">
        <f t="shared" si="7"/>
        <v>9.0911431248777166E-2</v>
      </c>
      <c r="F29" s="28">
        <f t="shared" si="8"/>
        <v>33.221666100966125</v>
      </c>
      <c r="G29" s="27" t="str">
        <f t="shared" si="9"/>
        <v>+</v>
      </c>
      <c r="H29" s="26">
        <f t="shared" si="10"/>
        <v>57385.25</v>
      </c>
      <c r="I29" s="26">
        <f t="shared" si="11"/>
        <v>58659.495834475885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32.5</v>
      </c>
      <c r="D30" s="30">
        <v>1192</v>
      </c>
      <c r="E30" s="29">
        <f t="shared" si="7"/>
        <v>6.1373067932572002E-2</v>
      </c>
      <c r="F30" s="28">
        <f t="shared" si="8"/>
        <v>33.221666100966125</v>
      </c>
      <c r="G30" s="27" t="str">
        <f t="shared" si="9"/>
        <v>+</v>
      </c>
      <c r="H30" s="26">
        <f t="shared" si="10"/>
        <v>38740</v>
      </c>
      <c r="I30" s="26">
        <f t="shared" si="11"/>
        <v>39600.225992351618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</v>
      </c>
      <c r="D31" s="30">
        <v>275.10000000000002</v>
      </c>
      <c r="E31" s="29">
        <f t="shared" si="7"/>
        <v>1.4164203849203489E-2</v>
      </c>
      <c r="F31" s="28">
        <f t="shared" si="8"/>
        <v>33.7327686563656</v>
      </c>
      <c r="G31" s="27" t="str">
        <f t="shared" si="9"/>
        <v>+</v>
      </c>
      <c r="H31" s="26">
        <f t="shared" si="10"/>
        <v>9078.3000000000011</v>
      </c>
      <c r="I31" s="26">
        <f t="shared" si="11"/>
        <v>9279.8846573661776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34.648619039480423</v>
      </c>
      <c r="D32" s="22">
        <f>SUM(D26:D31)</f>
        <v>11702.000000000002</v>
      </c>
      <c r="E32" s="21">
        <f t="shared" si="7"/>
        <v>0.60250641019040074</v>
      </c>
      <c r="F32" s="20">
        <f>I32/D32</f>
        <v>35.417995464282967</v>
      </c>
      <c r="G32" s="19">
        <f>F32/C32-1</f>
        <v>2.2205110798957817E-2</v>
      </c>
      <c r="H32" s="18">
        <f>SUM(H26:H31)</f>
        <v>405458.13999999996</v>
      </c>
      <c r="I32" s="18">
        <f>SUM(I26:I31)</f>
        <v>414461.38292303932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v>2893.3</v>
      </c>
      <c r="E34" s="29">
        <f t="shared" ref="E34:E40" si="13">D34/$D$48</f>
        <v>0.14896870591385117</v>
      </c>
      <c r="F34" s="28">
        <f t="shared" ref="F34:F39" si="14">C34-(C34*$E$6)</f>
        <v>20.341881704899254</v>
      </c>
      <c r="G34" s="27" t="str">
        <f t="shared" ref="G34:G39" si="15">IF(C34&gt;=F34,"-","+")</f>
        <v>+</v>
      </c>
      <c r="H34" s="26">
        <f t="shared" ref="H34:H39" si="16">C34*D34</f>
        <v>57576.67</v>
      </c>
      <c r="I34" s="26">
        <f t="shared" ref="I34:I39" si="17">F34*D34</f>
        <v>58855.16633678502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/>
      <c r="E35" s="29">
        <f t="shared" si="13"/>
        <v>0</v>
      </c>
      <c r="F35" s="28">
        <f t="shared" si="14"/>
        <v>15.639738195224052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12.573122862827178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32.5</v>
      </c>
      <c r="D37" s="30"/>
      <c r="E37" s="29">
        <f t="shared" si="13"/>
        <v>0</v>
      </c>
      <c r="F37" s="28">
        <f t="shared" si="14"/>
        <v>33.221666100966125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32.5</v>
      </c>
      <c r="D38" s="30"/>
      <c r="E38" s="29">
        <f t="shared" si="13"/>
        <v>0</v>
      </c>
      <c r="F38" s="28">
        <f t="shared" si="14"/>
        <v>33.221666100966125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33.6</v>
      </c>
      <c r="D39" s="30"/>
      <c r="E39" s="29">
        <f t="shared" si="13"/>
        <v>0</v>
      </c>
      <c r="F39" s="28">
        <f t="shared" si="14"/>
        <v>34.346091722844974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19.899999999999999</v>
      </c>
      <c r="D40" s="22">
        <f>SUM(D34:D39)</f>
        <v>2893.3</v>
      </c>
      <c r="E40" s="113">
        <f t="shared" si="13"/>
        <v>0.14896870591385117</v>
      </c>
      <c r="F40" s="20">
        <f>I40/D40</f>
        <v>20.341881704899254</v>
      </c>
      <c r="G40" s="19">
        <f>F40/C40-1</f>
        <v>2.2205110798957595E-2</v>
      </c>
      <c r="H40" s="18">
        <f>SUM(H34:H39)</f>
        <v>57576.67</v>
      </c>
      <c r="I40" s="18">
        <f>SUM(I34:I39)</f>
        <v>58855.16633678502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3213</v>
      </c>
      <c r="E42" s="107">
        <f>D42/$D$48</f>
        <v>0.16542925106321632</v>
      </c>
      <c r="F42" s="28">
        <f>C42-(C42*$E$6)</f>
        <v>0.5111025553994788</v>
      </c>
      <c r="G42" s="27" t="str">
        <f>IF(C42&gt;=F42,"-","+")</f>
        <v>+</v>
      </c>
      <c r="H42" s="26">
        <f>C42*D42</f>
        <v>1606.5</v>
      </c>
      <c r="I42" s="26">
        <f>F42*D42</f>
        <v>1642.1725104985253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137.4</v>
      </c>
      <c r="E43" s="107">
        <f>D43/$D$48</f>
        <v>7.0743788036370754E-3</v>
      </c>
      <c r="F43" s="28">
        <f>C43-(C43*$E$6)</f>
        <v>0.5111025553994788</v>
      </c>
      <c r="G43" s="27" t="str">
        <f>IF(C43&gt;=F43,"-","+")</f>
        <v>+</v>
      </c>
      <c r="H43" s="26">
        <f>C43*D43</f>
        <v>68.7</v>
      </c>
      <c r="I43" s="26">
        <f>F43*D43</f>
        <v>70.225491111888388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167.6</v>
      </c>
      <c r="E44" s="107">
        <f>D44/$D$48</f>
        <v>8.6293004911904923E-3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9</v>
      </c>
      <c r="E45" s="107">
        <f>D45/$D$48</f>
        <v>4.6338725788015777E-4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0.47496455911539553</v>
      </c>
      <c r="D46" s="22">
        <f>SUM(D41:D45)</f>
        <v>3527</v>
      </c>
      <c r="E46" s="113">
        <f>D46/$D$48</f>
        <v>0.18159631761592404</v>
      </c>
      <c r="F46" s="20">
        <f>I46/D46</f>
        <v>0.48551119977613094</v>
      </c>
      <c r="G46" s="19">
        <f>F46/C46-1</f>
        <v>2.2205110798957595E-2</v>
      </c>
      <c r="H46" s="18">
        <f>SUM(H41:H44)</f>
        <v>1675.2</v>
      </c>
      <c r="I46" s="18">
        <f>SUM(I41:I44)</f>
        <v>1712.3980016104138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105.38064952674412</v>
      </c>
      <c r="D48" s="13">
        <f>D24+D32+D40+D46</f>
        <v>19422.2</v>
      </c>
      <c r="E48" s="12">
        <f>SUM(E20:E46)/2</f>
        <v>1</v>
      </c>
      <c r="F48" s="11">
        <f>I48/D48</f>
        <v>27.903204834673225</v>
      </c>
      <c r="G48" s="10"/>
      <c r="H48" s="9">
        <f>SUM(H20:H46)/2</f>
        <v>530169.16</v>
      </c>
      <c r="I48" s="9">
        <f>SUM(I20:I46)/2</f>
        <v>541941.62493999035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21086.5</v>
      </c>
      <c r="E50" s="12">
        <f>D50/G2</f>
        <v>0.99999051534853722</v>
      </c>
      <c r="F50" s="11">
        <f>I50/D50</f>
        <v>28.100266521233973</v>
      </c>
      <c r="G50" s="10"/>
      <c r="H50" s="9">
        <f>H48+H19</f>
        <v>579664.75</v>
      </c>
      <c r="I50" s="9">
        <f>I48+I19</f>
        <v>592536.27000000014</v>
      </c>
      <c r="J50" s="106">
        <f>D50-G2</f>
        <v>-0.2000000000007276</v>
      </c>
      <c r="K50" s="8"/>
    </row>
    <row r="51" spans="1:11" ht="23.25" x14ac:dyDescent="0.35">
      <c r="A51" s="174" t="s">
        <v>771</v>
      </c>
      <c r="B51" s="169"/>
      <c r="C51" s="170"/>
      <c r="G51" s="7"/>
      <c r="H51" s="6"/>
      <c r="I51" s="6">
        <f>+I50/D50</f>
        <v>28.100266521233973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763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772</v>
      </c>
      <c r="D2" s="96" t="s">
        <v>3</v>
      </c>
      <c r="E2" s="95" t="s">
        <v>112</v>
      </c>
      <c r="F2" s="94" t="s">
        <v>5</v>
      </c>
      <c r="G2" s="93">
        <v>9666.7999999999993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124</v>
      </c>
      <c r="F3" s="88" t="s">
        <v>8</v>
      </c>
      <c r="G3" s="87">
        <v>25.25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77.958064516129028</v>
      </c>
      <c r="F4" s="81" t="s">
        <v>12</v>
      </c>
      <c r="G4" s="80">
        <f>G2*G3</f>
        <v>244086.69999999998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-6.8089445747332888E-2</v>
      </c>
      <c r="F6" s="69" t="s">
        <v>16</v>
      </c>
      <c r="G6" s="68">
        <f>(I50-I19)/(D50-(SUM(D42:D44)+D19))</f>
        <v>31.547569502785301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27.022662977407524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 t="e">
        <f t="shared" si="1"/>
        <v>#DIV/0!</v>
      </c>
      <c r="F11" s="28">
        <f t="shared" si="2"/>
        <v>28.090752423154857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 t="e">
        <f t="shared" si="1"/>
        <v>#DIV/0!</v>
      </c>
      <c r="F12" s="28">
        <f t="shared" si="2"/>
        <v>25.634146697935989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 t="e">
        <f t="shared" si="1"/>
        <v>#DIV/0!</v>
      </c>
      <c r="F13" s="28">
        <f t="shared" si="2"/>
        <v>28.090752423154857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 t="e">
        <f t="shared" si="1"/>
        <v>#DIV/0!</v>
      </c>
      <c r="F14" s="28">
        <f t="shared" si="2"/>
        <v>31.401829704971586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 t="e">
        <f t="shared" si="1"/>
        <v>#DIV/0!</v>
      </c>
      <c r="F15" s="28">
        <f t="shared" si="2"/>
        <v>25.847764587085454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 t="e">
        <f t="shared" si="1"/>
        <v>#DIV/0!</v>
      </c>
      <c r="F16" s="28">
        <f t="shared" si="2"/>
        <v>35.460569598811453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48.8</v>
      </c>
      <c r="D17" s="30"/>
      <c r="E17" s="29" t="e">
        <f t="shared" si="1"/>
        <v>#DIV/0!</v>
      </c>
      <c r="F17" s="28">
        <f t="shared" si="2"/>
        <v>52.122764952469844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 t="e">
        <f t="shared" si="1"/>
        <v>#DIV/0!</v>
      </c>
      <c r="F18" s="28">
        <f t="shared" si="2"/>
        <v>45.714228277985846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63.5</v>
      </c>
      <c r="D21" s="30">
        <v>120</v>
      </c>
      <c r="E21" s="29">
        <f>D21/$D$48</f>
        <v>1.2413621881077504E-2</v>
      </c>
      <c r="F21" s="28">
        <f>C21-(C21*$E$6)</f>
        <v>67.823679804955646</v>
      </c>
      <c r="G21" s="27" t="str">
        <f>IF(C21&gt;=F21,"-","+")</f>
        <v>+</v>
      </c>
      <c r="H21" s="26">
        <f>C21*D21</f>
        <v>7620</v>
      </c>
      <c r="I21" s="26">
        <f>F21*D21</f>
        <v>8138.8415765946775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42.6</v>
      </c>
      <c r="D22" s="30">
        <v>263.7</v>
      </c>
      <c r="E22" s="29">
        <f>D22/$D$48</f>
        <v>2.7278934083667813E-2</v>
      </c>
      <c r="F22" s="28">
        <f>C22-(C22*$E$6)</f>
        <v>45.500610388836385</v>
      </c>
      <c r="G22" s="27" t="str">
        <f>IF(C22&gt;=F22,"-","+")</f>
        <v>+</v>
      </c>
      <c r="H22" s="26">
        <f>C22*D22</f>
        <v>11233.619999999999</v>
      </c>
      <c r="I22" s="26">
        <f>F22*D22</f>
        <v>11998.510959536154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v>220.9</v>
      </c>
      <c r="E23" s="29">
        <f>D23/$D$48</f>
        <v>2.2851408946083503E-2</v>
      </c>
      <c r="F23" s="28">
        <f>C23-(C23*$E$6)</f>
        <v>41.548679439571245</v>
      </c>
      <c r="G23" s="27" t="str">
        <f>IF(C23&gt;=F23,"-","+")</f>
        <v>+</v>
      </c>
      <c r="H23" s="26">
        <f>C23*D23</f>
        <v>8593.01</v>
      </c>
      <c r="I23" s="26">
        <f>F23*D23</f>
        <v>9178.1032882012878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45.396344690704595</v>
      </c>
      <c r="D24" s="22">
        <f>SUM(D21:D23)</f>
        <v>604.6</v>
      </c>
      <c r="E24" s="21">
        <f>D24/$D$48</f>
        <v>6.2543964910828823E-2</v>
      </c>
      <c r="F24" s="20">
        <f>I24/D24</f>
        <v>48.487356639649548</v>
      </c>
      <c r="G24" s="19">
        <f>F24/C24-1</f>
        <v>6.8089445747332888E-2</v>
      </c>
      <c r="H24" s="18">
        <f>SUM(H21:H23)</f>
        <v>27446.629999999997</v>
      </c>
      <c r="I24" s="18">
        <f>SUM(I21:I23)</f>
        <v>29315.455824332119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f>528.6+1257.6+65.5</f>
        <v>1851.6999999999998</v>
      </c>
      <c r="E26" s="29">
        <f t="shared" ref="E26:E32" si="7">D26/$D$48</f>
        <v>0.19155253030992675</v>
      </c>
      <c r="F26" s="28">
        <f t="shared" ref="F26:F31" si="8">C26-(C26*$E$6)</f>
        <v>36.208232210834581</v>
      </c>
      <c r="G26" s="27" t="str">
        <f t="shared" ref="G26:G31" si="9">IF(C26&gt;=F26,"-","+")</f>
        <v>+</v>
      </c>
      <c r="H26" s="26">
        <f t="shared" ref="H26:H31" si="10">C26*D26</f>
        <v>62772.62999999999</v>
      </c>
      <c r="I26" s="26">
        <f t="shared" ref="I26:I31" si="11">F26*D26</f>
        <v>67046.783584802382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1384.2</v>
      </c>
      <c r="E27" s="29">
        <f t="shared" si="7"/>
        <v>0.14319112839822901</v>
      </c>
      <c r="F27" s="28">
        <f t="shared" si="8"/>
        <v>32.256301261569455</v>
      </c>
      <c r="G27" s="27" t="str">
        <f t="shared" si="9"/>
        <v>+</v>
      </c>
      <c r="H27" s="26">
        <f t="shared" si="10"/>
        <v>41802.840000000004</v>
      </c>
      <c r="I27" s="26">
        <f t="shared" si="11"/>
        <v>44649.17220626444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807</v>
      </c>
      <c r="E28" s="29">
        <f t="shared" si="7"/>
        <v>8.3481607150246204E-2</v>
      </c>
      <c r="F28" s="28">
        <f t="shared" si="8"/>
        <v>32.256301261569455</v>
      </c>
      <c r="G28" s="27" t="str">
        <f t="shared" si="9"/>
        <v>+</v>
      </c>
      <c r="H28" s="26">
        <f t="shared" si="10"/>
        <v>24371.399999999998</v>
      </c>
      <c r="I28" s="26">
        <f t="shared" si="11"/>
        <v>26030.83511808655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747.4</v>
      </c>
      <c r="E29" s="29">
        <f t="shared" si="7"/>
        <v>7.7316174949311048E-2</v>
      </c>
      <c r="F29" s="28">
        <f t="shared" si="8"/>
        <v>31.188211815822118</v>
      </c>
      <c r="G29" s="27" t="str">
        <f t="shared" si="9"/>
        <v>+</v>
      </c>
      <c r="H29" s="26">
        <f t="shared" si="10"/>
        <v>21824.079999999998</v>
      </c>
      <c r="I29" s="26">
        <f t="shared" si="11"/>
        <v>23310.069511145452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581</v>
      </c>
      <c r="E30" s="29">
        <f t="shared" si="7"/>
        <v>6.0102619274216909E-2</v>
      </c>
      <c r="F30" s="28">
        <f t="shared" si="8"/>
        <v>31.188211815822118</v>
      </c>
      <c r="G30" s="27" t="str">
        <f t="shared" si="9"/>
        <v>+</v>
      </c>
      <c r="H30" s="26">
        <f t="shared" si="10"/>
        <v>16965.2</v>
      </c>
      <c r="I30" s="26">
        <f t="shared" si="11"/>
        <v>18120.35106499265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146</v>
      </c>
      <c r="E31" s="29">
        <f t="shared" si="7"/>
        <v>1.5103239955310963E-2</v>
      </c>
      <c r="F31" s="28">
        <f t="shared" si="8"/>
        <v>31.722256538695785</v>
      </c>
      <c r="G31" s="27" t="str">
        <f t="shared" si="9"/>
        <v>+</v>
      </c>
      <c r="H31" s="26">
        <f t="shared" si="10"/>
        <v>4336.2</v>
      </c>
      <c r="I31" s="26">
        <f t="shared" si="11"/>
        <v>4631.4494546495844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31.187782067315538</v>
      </c>
      <c r="D32" s="22">
        <f>SUM(D26:D31)</f>
        <v>5517.2999999999993</v>
      </c>
      <c r="E32" s="21">
        <f t="shared" si="7"/>
        <v>0.57074730003724083</v>
      </c>
      <c r="F32" s="20">
        <f>I32/D32</f>
        <v>33.311340862367658</v>
      </c>
      <c r="G32" s="19">
        <f>F32/C32-1</f>
        <v>6.8089445747332666E-2</v>
      </c>
      <c r="H32" s="18">
        <f>SUM(H26:H31)</f>
        <v>172072.35</v>
      </c>
      <c r="I32" s="18">
        <f>SUM(I26:I31)</f>
        <v>183788.66093994107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832+671.3</f>
        <v>1503.3</v>
      </c>
      <c r="E34" s="29">
        <f t="shared" ref="E34:E40" si="13">D34/$D$48</f>
        <v>0.15551164811519841</v>
      </c>
      <c r="F34" s="28">
        <f t="shared" ref="F34:F39" si="14">C34-(C34*$E$6)</f>
        <v>19.011992134302528</v>
      </c>
      <c r="G34" s="27" t="str">
        <f t="shared" ref="G34:G39" si="15">IF(C34&gt;=F34,"-","+")</f>
        <v>+</v>
      </c>
      <c r="H34" s="26">
        <f t="shared" ref="H34:H39" si="16">C34*D34</f>
        <v>26758.74</v>
      </c>
      <c r="I34" s="26">
        <f t="shared" ref="I34:I39" si="17">F34*D34</f>
        <v>28580.727775496987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107.8</v>
      </c>
      <c r="E35" s="29">
        <f t="shared" si="13"/>
        <v>1.1151570323167957E-2</v>
      </c>
      <c r="F35" s="28">
        <f t="shared" si="14"/>
        <v>14.63282540673846</v>
      </c>
      <c r="G35" s="27" t="str">
        <f t="shared" si="15"/>
        <v>+</v>
      </c>
      <c r="H35" s="26">
        <f t="shared" si="16"/>
        <v>1476.86</v>
      </c>
      <c r="I35" s="26">
        <f t="shared" si="17"/>
        <v>1577.418578846406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11.748983903220662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31.188211815822118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31.188211815822118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32.256301261569455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17.525665694246168</v>
      </c>
      <c r="D40" s="22">
        <f>SUM(D34:D39)</f>
        <v>1611.1</v>
      </c>
      <c r="E40" s="113">
        <f t="shared" si="13"/>
        <v>0.16666321843836637</v>
      </c>
      <c r="F40" s="20">
        <f>I40/D40</f>
        <v>18.718978557720437</v>
      </c>
      <c r="G40" s="19">
        <f>F40/C40-1</f>
        <v>6.8089445747332888E-2</v>
      </c>
      <c r="H40" s="18">
        <f>SUM(H34:H39)</f>
        <v>28235.600000000002</v>
      </c>
      <c r="I40" s="18">
        <f>SUM(I34:I39)</f>
        <v>30158.146354343393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878+159.6+845.3</f>
        <v>1882.8999999999999</v>
      </c>
      <c r="E42" s="107">
        <f>D42/$D$48</f>
        <v>0.1947800719990069</v>
      </c>
      <c r="F42" s="28">
        <f>C42-(C42*$E$6)</f>
        <v>0.42723577829893317</v>
      </c>
      <c r="G42" s="27" t="str">
        <f>IF(C42&gt;=F42,"-","+")</f>
        <v>+</v>
      </c>
      <c r="H42" s="26">
        <f>C42*D42</f>
        <v>753.16</v>
      </c>
      <c r="I42" s="26">
        <f>F42*D42</f>
        <v>804.44224695906121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46.8</v>
      </c>
      <c r="E43" s="107">
        <f>D43/$D$48</f>
        <v>4.8413125336202257E-3</v>
      </c>
      <c r="F43" s="28">
        <f>C43-(C43*$E$6)</f>
        <v>0.42723577829893317</v>
      </c>
      <c r="G43" s="27" t="str">
        <f>IF(C43&gt;=F43,"-","+")</f>
        <v>+</v>
      </c>
      <c r="H43" s="26">
        <f>C43*D43</f>
        <v>18.72</v>
      </c>
      <c r="I43" s="26">
        <f>F43*D43</f>
        <v>19.994634424390071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4.2413208093681468E-4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0.39915192884476164</v>
      </c>
      <c r="D46" s="22">
        <f>SUM(D41:D45)</f>
        <v>1933.7999999999997</v>
      </c>
      <c r="E46" s="113">
        <f>D46/$D$48</f>
        <v>0.20004551661356393</v>
      </c>
      <c r="F46" s="20">
        <f>I46/D46</f>
        <v>0.4263299624487803</v>
      </c>
      <c r="G46" s="19">
        <f>F46/C46-1</f>
        <v>6.8089445747332888E-2</v>
      </c>
      <c r="H46" s="18">
        <f>SUM(H41:H44)</f>
        <v>771.88</v>
      </c>
      <c r="I46" s="18">
        <f>SUM(I41:I44)</f>
        <v>824.43688138345124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94.508944381111064</v>
      </c>
      <c r="D48" s="13">
        <f>D24+D32+D40+D46</f>
        <v>9666.7999999999993</v>
      </c>
      <c r="E48" s="12">
        <f>SUM(E20:E46)/2</f>
        <v>1</v>
      </c>
      <c r="F48" s="11">
        <f>I48/D48</f>
        <v>25.250000000000011</v>
      </c>
      <c r="G48" s="10"/>
      <c r="H48" s="9">
        <f>SUM(H20:H46)/2</f>
        <v>228526.45999999993</v>
      </c>
      <c r="I48" s="9">
        <f>SUM(I20:I46)/2</f>
        <v>244086.70000000007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9666.7999999999975</v>
      </c>
      <c r="E50" s="12">
        <f>D50/G2</f>
        <v>0.99999999999999978</v>
      </c>
      <c r="F50" s="11">
        <f>I50/D50</f>
        <v>25.250000000000014</v>
      </c>
      <c r="G50" s="10"/>
      <c r="H50" s="9">
        <f>H48+H19</f>
        <v>228526.45999999993</v>
      </c>
      <c r="I50" s="9">
        <f>I48+I19</f>
        <v>244086.70000000007</v>
      </c>
      <c r="J50" s="106">
        <f>D50-G2</f>
        <v>0</v>
      </c>
      <c r="K50" s="8"/>
    </row>
    <row r="51" spans="1:11" ht="23.25" x14ac:dyDescent="0.35">
      <c r="A51" s="174" t="s">
        <v>773</v>
      </c>
      <c r="B51" s="169"/>
      <c r="C51" s="170"/>
      <c r="G51" s="7"/>
      <c r="H51" s="6"/>
      <c r="I51" s="6">
        <f>+I50/D50</f>
        <v>25.250000000000014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768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772</v>
      </c>
      <c r="D2" s="96" t="s">
        <v>3</v>
      </c>
      <c r="E2" s="95" t="s">
        <v>107</v>
      </c>
      <c r="F2" s="94" t="s">
        <v>5</v>
      </c>
      <c r="G2" s="93">
        <v>2658.7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40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66.467500000000001</v>
      </c>
      <c r="F4" s="81" t="s">
        <v>12</v>
      </c>
      <c r="G4" s="80">
        <f>G2*G3</f>
        <v>70455.549999999988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-6.2490160110459936E-2</v>
      </c>
      <c r="F6" s="69" t="s">
        <v>16</v>
      </c>
      <c r="G6" s="68">
        <f>(I50-I19)/(D50-(SUM(D42:D44)+D19))</f>
        <v>33.582244995233538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 t="e">
        <f t="shared" ref="E10:E19" si="1">D10/$D$19</f>
        <v>#DIV/0!</v>
      </c>
      <c r="F10" s="28">
        <f t="shared" ref="F10:F18" si="2">C10-(C10*$E$6)</f>
        <v>28.155989242927188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 t="e">
        <f t="shared" si="1"/>
        <v>#DIV/0!</v>
      </c>
      <c r="F11" s="28">
        <f t="shared" si="2"/>
        <v>29.324728419048697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 t="e">
        <f t="shared" si="1"/>
        <v>#DIV/0!</v>
      </c>
      <c r="F12" s="28">
        <f t="shared" si="2"/>
        <v>26.774752034783589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 t="e">
        <f t="shared" si="1"/>
        <v>#DIV/0!</v>
      </c>
      <c r="F13" s="28">
        <f t="shared" si="2"/>
        <v>29.324728419048697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 t="e">
        <f t="shared" si="1"/>
        <v>#DIV/0!</v>
      </c>
      <c r="F14" s="28">
        <f t="shared" si="2"/>
        <v>32.830945947413213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/>
      <c r="E15" s="29" t="e">
        <f t="shared" si="1"/>
        <v>#DIV/0!</v>
      </c>
      <c r="F15" s="28">
        <f t="shared" si="2"/>
        <v>26.987250066805682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 t="e">
        <f t="shared" si="1"/>
        <v>#DIV/0!</v>
      </c>
      <c r="F16" s="28">
        <f t="shared" si="2"/>
        <v>36.974657571844006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/>
      <c r="E17" s="29" t="e">
        <f t="shared" si="1"/>
        <v>#DIV/0!</v>
      </c>
      <c r="F17" s="28">
        <f t="shared" si="2"/>
        <v>54.505745213666593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 t="e">
        <f t="shared" si="1"/>
        <v>#DIV/0!</v>
      </c>
      <c r="F18" s="28">
        <f t="shared" si="2"/>
        <v>47.705808188959651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>
        <v>29.7</v>
      </c>
      <c r="E21" s="29">
        <f>D21/$D$48</f>
        <v>1.117087298303682E-2</v>
      </c>
      <c r="F21" s="28">
        <f>C21-(C21*$E$6)</f>
        <v>70.761844663356626</v>
      </c>
      <c r="G21" s="27" t="str">
        <f>IF(C21&gt;=F21,"-","+")</f>
        <v>+</v>
      </c>
      <c r="H21" s="26">
        <f>C21*D21</f>
        <v>1978.0199999999998</v>
      </c>
      <c r="I21" s="26">
        <f>F21*D21</f>
        <v>2101.6267865016916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71</v>
      </c>
      <c r="E22" s="29">
        <f>D22/$D$48</f>
        <v>2.6704780531838865E-2</v>
      </c>
      <c r="F22" s="28">
        <f>C22-(C22*$E$6)</f>
        <v>47.599559172948602</v>
      </c>
      <c r="G22" s="27" t="str">
        <f>IF(C22&gt;=F22,"-","+")</f>
        <v>+</v>
      </c>
      <c r="H22" s="26">
        <f>C22*D22</f>
        <v>3180.7999999999997</v>
      </c>
      <c r="I22" s="26">
        <f>F22*D22</f>
        <v>3379.5687012793505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>
        <v>59.4</v>
      </c>
      <c r="E23" s="29">
        <f>D23/$D$48</f>
        <v>2.2341745966073641E-2</v>
      </c>
      <c r="F23" s="28">
        <f>C23-(C23*$E$6)</f>
        <v>43.349598532506761</v>
      </c>
      <c r="G23" s="27" t="str">
        <f>IF(C23&gt;=F23,"-","+")</f>
        <v>+</v>
      </c>
      <c r="H23" s="26">
        <f>C23*D23</f>
        <v>2423.52</v>
      </c>
      <c r="I23" s="26">
        <f>F23*D23</f>
        <v>2574.9661528309016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47.360024984384765</v>
      </c>
      <c r="D24" s="22">
        <f>SUM(D21:D23)</f>
        <v>160.1</v>
      </c>
      <c r="E24" s="21">
        <f>D24/$D$48</f>
        <v>6.0217399480949327E-2</v>
      </c>
      <c r="F24" s="20">
        <f>I24/D24</f>
        <v>50.319560528494343</v>
      </c>
      <c r="G24" s="19">
        <f>F24/C24-1</f>
        <v>6.2490160110459714E-2</v>
      </c>
      <c r="H24" s="18">
        <f>SUM(H21:H23)</f>
        <v>7582.34</v>
      </c>
      <c r="I24" s="18">
        <f>SUM(I21:I23)</f>
        <v>8056.1616406119438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>
        <v>533.70000000000005</v>
      </c>
      <c r="E26" s="29">
        <f t="shared" ref="E26:E32" si="7">D26/$D$48</f>
        <v>0.20073720239214654</v>
      </c>
      <c r="F26" s="28">
        <f t="shared" ref="F26:F31" si="8">C26-(C26*$E$6)</f>
        <v>37.824649699932372</v>
      </c>
      <c r="G26" s="27" t="str">
        <f t="shared" ref="G26:G31" si="9">IF(C26&gt;=F26,"-","+")</f>
        <v>+</v>
      </c>
      <c r="H26" s="26">
        <f t="shared" ref="H26:H31" si="10">C26*D26</f>
        <v>18999.72</v>
      </c>
      <c r="I26" s="26">
        <f t="shared" ref="I26:I31" si="11">F26*D26</f>
        <v>20187.015544853908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387.8</v>
      </c>
      <c r="E27" s="29">
        <f t="shared" si="7"/>
        <v>0.14586075901756496</v>
      </c>
      <c r="F27" s="28">
        <f t="shared" si="8"/>
        <v>33.680938075501579</v>
      </c>
      <c r="G27" s="27" t="str">
        <f t="shared" si="9"/>
        <v>+</v>
      </c>
      <c r="H27" s="26">
        <f t="shared" si="10"/>
        <v>12293.26</v>
      </c>
      <c r="I27" s="26">
        <f t="shared" si="11"/>
        <v>13061.467785679513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220.7</v>
      </c>
      <c r="E28" s="29">
        <f t="shared" si="7"/>
        <v>8.3010493850377995E-2</v>
      </c>
      <c r="F28" s="28">
        <f t="shared" si="8"/>
        <v>33.680938075501579</v>
      </c>
      <c r="G28" s="27" t="str">
        <f t="shared" si="9"/>
        <v>+</v>
      </c>
      <c r="H28" s="26">
        <f t="shared" si="10"/>
        <v>6996.19</v>
      </c>
      <c r="I28" s="26">
        <f t="shared" si="11"/>
        <v>7433.3830332631978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233.7</v>
      </c>
      <c r="E29" s="29">
        <f t="shared" si="7"/>
        <v>8.7900101553390744E-2</v>
      </c>
      <c r="F29" s="28">
        <f t="shared" si="8"/>
        <v>32.512198899380074</v>
      </c>
      <c r="G29" s="27" t="str">
        <f t="shared" si="9"/>
        <v>+</v>
      </c>
      <c r="H29" s="26">
        <f t="shared" si="10"/>
        <v>7151.22</v>
      </c>
      <c r="I29" s="26">
        <f t="shared" si="11"/>
        <v>7598.1008827851228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>
        <v>184.4</v>
      </c>
      <c r="E30" s="29">
        <f t="shared" si="7"/>
        <v>6.9357204648888546E-2</v>
      </c>
      <c r="F30" s="28">
        <f t="shared" si="8"/>
        <v>32.512198899380074</v>
      </c>
      <c r="G30" s="27" t="str">
        <f t="shared" si="9"/>
        <v>+</v>
      </c>
      <c r="H30" s="26">
        <f t="shared" si="10"/>
        <v>5642.64</v>
      </c>
      <c r="I30" s="26">
        <f t="shared" si="11"/>
        <v>5995.249477045686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>
        <v>36.799999999999997</v>
      </c>
      <c r="E31" s="29">
        <f t="shared" si="7"/>
        <v>1.3841351036220707E-2</v>
      </c>
      <c r="F31" s="28">
        <f t="shared" si="8"/>
        <v>33.043443979435303</v>
      </c>
      <c r="G31" s="27" t="str">
        <f t="shared" si="9"/>
        <v>+</v>
      </c>
      <c r="H31" s="26">
        <f t="shared" si="10"/>
        <v>1144.48</v>
      </c>
      <c r="I31" s="26">
        <f t="shared" si="11"/>
        <v>1215.9987384432191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32.701465155594519</v>
      </c>
      <c r="D32" s="22">
        <f>SUM(D26:D31)</f>
        <v>1597.1000000000001</v>
      </c>
      <c r="E32" s="21">
        <f t="shared" si="7"/>
        <v>0.60070711249858955</v>
      </c>
      <c r="F32" s="20">
        <f>I32/D32</f>
        <v>34.744984949014238</v>
      </c>
      <c r="G32" s="19">
        <f>F32/C32-1</f>
        <v>6.2490160110459714E-2</v>
      </c>
      <c r="H32" s="18">
        <f>SUM(H26:H31)</f>
        <v>52227.510000000009</v>
      </c>
      <c r="I32" s="18">
        <f>SUM(I26:I31)</f>
        <v>55491.215462070642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335.7</v>
      </c>
      <c r="E34" s="29">
        <f t="shared" ref="E34:E40" si="13">D34/$D$48</f>
        <v>0.12626471583856771</v>
      </c>
      <c r="F34" s="28">
        <f t="shared" ref="F34:F39" si="14">C34-(C34*$E$6)</f>
        <v>19.868565994065602</v>
      </c>
      <c r="G34" s="27" t="str">
        <f t="shared" ref="G34:G39" si="15">IF(C34&gt;=F34,"-","+")</f>
        <v>+</v>
      </c>
      <c r="H34" s="26">
        <f t="shared" ref="H34:H39" si="16">C34*D34</f>
        <v>6277.5899999999992</v>
      </c>
      <c r="I34" s="26">
        <f t="shared" ref="I34:I39" si="17">F34*D34</f>
        <v>6669.8776042078225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/>
      <c r="E35" s="29">
        <f t="shared" si="13"/>
        <v>0</v>
      </c>
      <c r="F35" s="28">
        <f t="shared" si="14"/>
        <v>15.299858305590623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12.324885857281334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32.512198899380074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32.512198899380074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33.680938075501579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335.7</v>
      </c>
      <c r="E40" s="113">
        <f t="shared" si="13"/>
        <v>0.12626471583856771</v>
      </c>
      <c r="F40" s="20">
        <f>I40/D40</f>
        <v>19.868565994065602</v>
      </c>
      <c r="G40" s="19">
        <f>F40/C40-1</f>
        <v>6.2490160110459936E-2</v>
      </c>
      <c r="H40" s="18">
        <f>SUM(H34:H39)</f>
        <v>6277.5899999999992</v>
      </c>
      <c r="I40" s="18">
        <f>SUM(I34:I39)</f>
        <v>6669.8776042078225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541</v>
      </c>
      <c r="E42" s="107">
        <f>D42/$D$48</f>
        <v>0.20348290517922291</v>
      </c>
      <c r="F42" s="28">
        <f>C42-(C42*$E$6)</f>
        <v>0.424996064044184</v>
      </c>
      <c r="G42" s="27" t="str">
        <f>IF(C42&gt;=F42,"-","+")</f>
        <v>+</v>
      </c>
      <c r="H42" s="26">
        <f>C42*D42</f>
        <v>216.4</v>
      </c>
      <c r="I42" s="26">
        <f>F42*D42</f>
        <v>229.92287064790355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19.7</v>
      </c>
      <c r="E43" s="107">
        <f>D43/$D$48</f>
        <v>7.4096362884116286E-3</v>
      </c>
      <c r="F43" s="28">
        <f>C43-(C43*$E$6)</f>
        <v>0.424996064044184</v>
      </c>
      <c r="G43" s="27" t="str">
        <f>IF(C43&gt;=F43,"-","+")</f>
        <v>+</v>
      </c>
      <c r="H43" s="26">
        <f>C43*D43</f>
        <v>7.88</v>
      </c>
      <c r="I43" s="26">
        <f>F43*D43</f>
        <v>8.3724224616704248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1.918230714258848E-3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0.39639448568398722</v>
      </c>
      <c r="D46" s="22">
        <f>SUM(D41:D45)</f>
        <v>565.80000000000007</v>
      </c>
      <c r="E46" s="113">
        <f>D46/$D$48</f>
        <v>0.2128107721818934</v>
      </c>
      <c r="F46" s="20">
        <f>I46/D46</f>
        <v>0.42116524056128307</v>
      </c>
      <c r="G46" s="19">
        <f>F46/C46-1</f>
        <v>6.2490160110460158E-2</v>
      </c>
      <c r="H46" s="18">
        <f>SUM(H41:H44)</f>
        <v>224.28</v>
      </c>
      <c r="I46" s="18">
        <f>SUM(I41:I44)</f>
        <v>238.29529310957398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99.157884625663272</v>
      </c>
      <c r="D48" s="13">
        <f>D24+D32+D40+D46</f>
        <v>2658.7000000000003</v>
      </c>
      <c r="E48" s="12">
        <f>SUM(E20:E46)/2</f>
        <v>1</v>
      </c>
      <c r="F48" s="11">
        <f>I48/D48</f>
        <v>26.499999999999982</v>
      </c>
      <c r="G48" s="10"/>
      <c r="H48" s="9">
        <f>SUM(H20:H46)/2</f>
        <v>66311.72</v>
      </c>
      <c r="I48" s="9">
        <f>SUM(I20:I46)/2</f>
        <v>70455.549999999959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2658.7000000000003</v>
      </c>
      <c r="E50" s="12">
        <f>D50/G2</f>
        <v>1.0000000000000002</v>
      </c>
      <c r="F50" s="11">
        <f>I50/D50</f>
        <v>26.499999999999982</v>
      </c>
      <c r="G50" s="10"/>
      <c r="H50" s="9">
        <f>H48+H19</f>
        <v>66311.72</v>
      </c>
      <c r="I50" s="9">
        <f>I48+I19</f>
        <v>70455.549999999959</v>
      </c>
      <c r="J50" s="106">
        <f>D50-G2</f>
        <v>0</v>
      </c>
      <c r="K50" s="8"/>
    </row>
    <row r="51" spans="1:11" ht="23.25" x14ac:dyDescent="0.35">
      <c r="A51" s="174" t="s">
        <v>774</v>
      </c>
      <c r="B51" s="169"/>
      <c r="C51" s="170"/>
      <c r="G51" s="7"/>
      <c r="H51" s="6"/>
      <c r="I51" s="6">
        <f>+I50/D50</f>
        <v>26.499999999999982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768</v>
      </c>
      <c r="D1" s="100" t="s">
        <v>1</v>
      </c>
      <c r="E1" s="168" t="s">
        <v>775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772</v>
      </c>
      <c r="D2" s="96" t="s">
        <v>3</v>
      </c>
      <c r="E2" s="95" t="s">
        <v>112</v>
      </c>
      <c r="F2" s="94" t="s">
        <v>5</v>
      </c>
      <c r="G2" s="93">
        <v>10510.9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156</v>
      </c>
      <c r="F3" s="88" t="s">
        <v>8</v>
      </c>
      <c r="G3" s="87">
        <v>24.95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67.377564102564094</v>
      </c>
      <c r="F4" s="81" t="s">
        <v>12</v>
      </c>
      <c r="G4" s="80">
        <f>G2*G3</f>
        <v>262246.95499999996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-9.521587446245583E-2</v>
      </c>
      <c r="F6" s="69" t="s">
        <v>16</v>
      </c>
      <c r="G6" s="68">
        <f>(I50-I19)/(D50-(SUM(D42:D44)+D19))</f>
        <v>31.810644711305187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27.380396861561394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28.475612736023852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23.7</v>
      </c>
      <c r="D12" s="30"/>
      <c r="E12" s="29" t="e">
        <f t="shared" si="1"/>
        <v>#DIV/0!</v>
      </c>
      <c r="F12" s="28">
        <f t="shared" si="2"/>
        <v>25.956616224760204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28.475612736023852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</v>
      </c>
      <c r="D14" s="30"/>
      <c r="E14" s="29" t="e">
        <f t="shared" si="1"/>
        <v>#DIV/0!</v>
      </c>
      <c r="F14" s="28">
        <f t="shared" si="2"/>
        <v>31.761260359411217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26.28518098709894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32.799999999999997</v>
      </c>
      <c r="D16" s="30"/>
      <c r="E16" s="29" t="e">
        <f t="shared" si="1"/>
        <v>#DIV/0!</v>
      </c>
      <c r="F16" s="28">
        <f t="shared" si="2"/>
        <v>35.92308068236855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/>
      <c r="E17" s="29" t="e">
        <f t="shared" si="1"/>
        <v>#DIV/0!</v>
      </c>
      <c r="F17" s="28">
        <f t="shared" si="2"/>
        <v>52.898926736536616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42.3</v>
      </c>
      <c r="D18" s="30"/>
      <c r="E18" s="29" t="e">
        <f t="shared" si="1"/>
        <v>#DIV/0!</v>
      </c>
      <c r="F18" s="28">
        <f t="shared" si="2"/>
        <v>46.327631489761878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62.7</v>
      </c>
      <c r="D21" s="30">
        <v>130</v>
      </c>
      <c r="E21" s="29">
        <f>D21/$D$48</f>
        <v>1.2368113101637348E-2</v>
      </c>
      <c r="F21" s="28">
        <f>C21-(C21*$E$6)</f>
        <v>68.67003532879599</v>
      </c>
      <c r="G21" s="27" t="str">
        <f>IF(C21&gt;=F21,"-","+")</f>
        <v>+</v>
      </c>
      <c r="H21" s="26">
        <f>C21*D21</f>
        <v>8151</v>
      </c>
      <c r="I21" s="26">
        <f>F21*D21</f>
        <v>8927.1045927434789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42.1</v>
      </c>
      <c r="D22" s="30">
        <v>263.89999999999998</v>
      </c>
      <c r="E22" s="29">
        <f>D22/$D$48</f>
        <v>2.5107269596323815E-2</v>
      </c>
      <c r="F22" s="28">
        <f>C22-(C22*$E$6)</f>
        <v>46.108588314869394</v>
      </c>
      <c r="G22" s="27" t="str">
        <f>IF(C22&gt;=F22,"-","+")</f>
        <v>+</v>
      </c>
      <c r="H22" s="26">
        <f>C22*D22</f>
        <v>11110.189999999999</v>
      </c>
      <c r="I22" s="26">
        <f>F22*D22</f>
        <v>12168.056456294033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38.4</v>
      </c>
      <c r="D23" s="30">
        <v>227</v>
      </c>
      <c r="E23" s="29">
        <f>D23/$D$48</f>
        <v>2.1596628262089832E-2</v>
      </c>
      <c r="F23" s="28">
        <f>C23-(C23*$E$6)</f>
        <v>42.0562895793583</v>
      </c>
      <c r="G23" s="27" t="str">
        <f>IF(C23&gt;=F23,"-","+")</f>
        <v>+</v>
      </c>
      <c r="H23" s="26">
        <f>C23*D23</f>
        <v>8716.7999999999993</v>
      </c>
      <c r="I23" s="26">
        <f>F23*D23</f>
        <v>9546.7777345143331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45.060380093412789</v>
      </c>
      <c r="D24" s="22">
        <f>SUM(D21:D23)</f>
        <v>620.9</v>
      </c>
      <c r="E24" s="21">
        <f>D24/$D$48</f>
        <v>5.9072010960050991E-2</v>
      </c>
      <c r="F24" s="20">
        <f>I24/D24</f>
        <v>49.350843587617724</v>
      </c>
      <c r="G24" s="19">
        <f>F24/C24-1</f>
        <v>9.521587446245583E-2</v>
      </c>
      <c r="H24" s="18">
        <f>SUM(H21:H23)</f>
        <v>27977.989999999998</v>
      </c>
      <c r="I24" s="18">
        <f>SUM(I21:I23)</f>
        <v>30641.938783551843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f>459.3+1440.1+21.4</f>
        <v>1920.8</v>
      </c>
      <c r="E26" s="29">
        <f t="shared" ref="E26:E32" si="7">D26/$D$48</f>
        <v>0.18274362804326938</v>
      </c>
      <c r="F26" s="28">
        <f t="shared" ref="F26:F31" si="8">C26-(C26*$E$6)</f>
        <v>36.689731794492268</v>
      </c>
      <c r="G26" s="27" t="str">
        <f t="shared" ref="G26:G31" si="9">IF(C26&gt;=F26,"-","+")</f>
        <v>+</v>
      </c>
      <c r="H26" s="26">
        <f t="shared" ref="H26:H31" si="10">C26*D26</f>
        <v>64346.799999999996</v>
      </c>
      <c r="I26" s="26">
        <f t="shared" ref="I26:I31" si="11">F26*D26</f>
        <v>70473.636830860749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29.8</v>
      </c>
      <c r="D27" s="30">
        <v>1585.2</v>
      </c>
      <c r="E27" s="29">
        <f t="shared" si="7"/>
        <v>0.15081486837473482</v>
      </c>
      <c r="F27" s="28">
        <f t="shared" si="8"/>
        <v>32.637433058981188</v>
      </c>
      <c r="G27" s="27" t="str">
        <f t="shared" si="9"/>
        <v>+</v>
      </c>
      <c r="H27" s="26">
        <f t="shared" si="10"/>
        <v>47238.96</v>
      </c>
      <c r="I27" s="26">
        <f t="shared" si="11"/>
        <v>51736.858885096983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29.8</v>
      </c>
      <c r="D28" s="30">
        <v>867.8</v>
      </c>
      <c r="E28" s="29">
        <f t="shared" si="7"/>
        <v>8.256191192000685E-2</v>
      </c>
      <c r="F28" s="28">
        <f t="shared" si="8"/>
        <v>32.637433058981188</v>
      </c>
      <c r="G28" s="27" t="str">
        <f t="shared" si="9"/>
        <v>+</v>
      </c>
      <c r="H28" s="26">
        <f t="shared" si="10"/>
        <v>25860.44</v>
      </c>
      <c r="I28" s="26">
        <f t="shared" si="11"/>
        <v>28322.764408583873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28.8</v>
      </c>
      <c r="D29" s="30">
        <v>826</v>
      </c>
      <c r="E29" s="29">
        <f t="shared" si="7"/>
        <v>7.8585087861172687E-2</v>
      </c>
      <c r="F29" s="28">
        <f t="shared" si="8"/>
        <v>31.54221718451873</v>
      </c>
      <c r="G29" s="27" t="str">
        <f t="shared" si="9"/>
        <v>+</v>
      </c>
      <c r="H29" s="26">
        <f t="shared" si="10"/>
        <v>23788.799999999999</v>
      </c>
      <c r="I29" s="26">
        <f t="shared" si="11"/>
        <v>26053.871394412472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28.8</v>
      </c>
      <c r="D30" s="30">
        <v>488.5</v>
      </c>
      <c r="E30" s="29">
        <f t="shared" si="7"/>
        <v>4.6475563462691112E-2</v>
      </c>
      <c r="F30" s="28">
        <f t="shared" si="8"/>
        <v>31.54221718451873</v>
      </c>
      <c r="G30" s="27" t="str">
        <f t="shared" si="9"/>
        <v>+</v>
      </c>
      <c r="H30" s="26">
        <f t="shared" si="10"/>
        <v>14068.800000000001</v>
      </c>
      <c r="I30" s="26">
        <f t="shared" si="11"/>
        <v>15408.3730946374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29.3</v>
      </c>
      <c r="D31" s="30">
        <v>157.80000000000001</v>
      </c>
      <c r="E31" s="29">
        <f t="shared" si="7"/>
        <v>1.5012986518756721E-2</v>
      </c>
      <c r="F31" s="28">
        <f t="shared" si="8"/>
        <v>32.089825121749953</v>
      </c>
      <c r="G31" s="27" t="str">
        <f t="shared" si="9"/>
        <v>+</v>
      </c>
      <c r="H31" s="26">
        <f t="shared" si="10"/>
        <v>4623.5400000000009</v>
      </c>
      <c r="I31" s="26">
        <f t="shared" si="11"/>
        <v>5063.7744042121431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30.777328475393844</v>
      </c>
      <c r="D32" s="22">
        <f>SUM(D26:D31)</f>
        <v>5846.1</v>
      </c>
      <c r="E32" s="21">
        <f t="shared" si="7"/>
        <v>0.55619404618063162</v>
      </c>
      <c r="F32" s="20">
        <f>I32/D32</f>
        <v>33.707818719796727</v>
      </c>
      <c r="G32" s="19">
        <f>F32/C32-1</f>
        <v>9.5215874462456274E-2</v>
      </c>
      <c r="H32" s="18">
        <f>SUM(H26:H31)</f>
        <v>179927.33999999997</v>
      </c>
      <c r="I32" s="18">
        <f>SUM(I26:I31)</f>
        <v>197059.27901780364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f>882.3+761.1</f>
        <v>1643.4</v>
      </c>
      <c r="E34" s="29">
        <f t="shared" ref="E34:E40" si="13">D34/$D$48</f>
        <v>0.15635197747100629</v>
      </c>
      <c r="F34" s="28">
        <f t="shared" ref="F34:F39" si="14">C34-(C34*$E$6)</f>
        <v>19.275799390539223</v>
      </c>
      <c r="G34" s="27" t="str">
        <f t="shared" ref="G34:G39" si="15">IF(C34&gt;=F34,"-","+")</f>
        <v>+</v>
      </c>
      <c r="H34" s="26">
        <f t="shared" ref="H34:H39" si="16">C34*D34</f>
        <v>28923.840000000004</v>
      </c>
      <c r="I34" s="26">
        <f t="shared" ref="I34:I39" si="17">F34*D34</f>
        <v>31677.848718412162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126.1</v>
      </c>
      <c r="E35" s="29">
        <f t="shared" si="13"/>
        <v>1.1997069708588227E-2</v>
      </c>
      <c r="F35" s="28">
        <f t="shared" si="14"/>
        <v>14.894935892689398</v>
      </c>
      <c r="G35" s="27" t="str">
        <f t="shared" si="15"/>
        <v>+</v>
      </c>
      <c r="H35" s="26">
        <f t="shared" si="16"/>
        <v>1714.9599999999998</v>
      </c>
      <c r="I35" s="26">
        <f t="shared" si="17"/>
        <v>1878.251416068133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11.937853031640769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28.8</v>
      </c>
      <c r="D37" s="30"/>
      <c r="E37" s="29">
        <f t="shared" si="13"/>
        <v>0</v>
      </c>
      <c r="F37" s="28">
        <f t="shared" si="14"/>
        <v>31.54221718451873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28.8</v>
      </c>
      <c r="D38" s="30"/>
      <c r="E38" s="29">
        <f t="shared" si="13"/>
        <v>0</v>
      </c>
      <c r="F38" s="28">
        <f t="shared" si="14"/>
        <v>31.54221718451873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29.8</v>
      </c>
      <c r="D39" s="30"/>
      <c r="E39" s="29">
        <f t="shared" si="13"/>
        <v>0</v>
      </c>
      <c r="F39" s="28">
        <f t="shared" si="14"/>
        <v>32.637433058981188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17.314947725346144</v>
      </c>
      <c r="D40" s="22">
        <f>SUM(D34:D39)</f>
        <v>1769.5</v>
      </c>
      <c r="E40" s="113">
        <f t="shared" si="13"/>
        <v>0.16834904717959454</v>
      </c>
      <c r="F40" s="20">
        <f>I40/D40</f>
        <v>18.963605614286688</v>
      </c>
      <c r="G40" s="19">
        <f>F40/C40-1</f>
        <v>9.521587446245583E-2</v>
      </c>
      <c r="H40" s="18">
        <f>SUM(H34:H39)</f>
        <v>30638.800000000003</v>
      </c>
      <c r="I40" s="18">
        <f>SUM(I34:I39)</f>
        <v>33556.100134480293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1026+172.6+990.6</f>
        <v>2189.1999999999998</v>
      </c>
      <c r="E42" s="107">
        <f>D42/$D$48</f>
        <v>0.20827902463157294</v>
      </c>
      <c r="F42" s="28">
        <f>C42-(C42*$E$6)</f>
        <v>0.43808634978498234</v>
      </c>
      <c r="G42" s="27" t="str">
        <f>IF(C42&gt;=F42,"-","+")</f>
        <v>+</v>
      </c>
      <c r="H42" s="26">
        <f>C42*D42</f>
        <v>875.68</v>
      </c>
      <c r="I42" s="26">
        <f>F42*D42</f>
        <v>959.05863694928325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69.8</v>
      </c>
      <c r="E43" s="107">
        <f>D43/$D$48</f>
        <v>6.6407253422637452E-3</v>
      </c>
      <c r="F43" s="28">
        <f>C43-(C43*$E$6)</f>
        <v>0.43808634978498234</v>
      </c>
      <c r="G43" s="27" t="str">
        <f>IF(C43&gt;=F43,"-","+")</f>
        <v>+</v>
      </c>
      <c r="H43" s="26">
        <f>C43*D43</f>
        <v>27.92</v>
      </c>
      <c r="I43" s="26">
        <f>F43*D43</f>
        <v>30.578427214991766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7.9</v>
      </c>
      <c r="E44" s="107">
        <f>D44/$D$48</f>
        <v>7.5160071925334661E-4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7.5</v>
      </c>
      <c r="E45" s="107">
        <f>D45/$D$48</f>
        <v>7.1354498663292389E-4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0.39729159338726694</v>
      </c>
      <c r="D46" s="22">
        <f>SUM(D41:D45)</f>
        <v>2274.4</v>
      </c>
      <c r="E46" s="113">
        <f>D46/$D$48</f>
        <v>0.21638489567972297</v>
      </c>
      <c r="F46" s="20">
        <f>I46/D46</f>
        <v>0.43512005986821795</v>
      </c>
      <c r="G46" s="19">
        <f>F46/C46-1</f>
        <v>9.5215874462455607E-2</v>
      </c>
      <c r="H46" s="18">
        <f>SUM(H41:H44)</f>
        <v>903.59999999999991</v>
      </c>
      <c r="I46" s="18">
        <f>SUM(I41:I44)</f>
        <v>989.63706416427499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93.549947887540043</v>
      </c>
      <c r="D48" s="13">
        <f>D24+D32+D40+D46</f>
        <v>10510.9</v>
      </c>
      <c r="E48" s="12">
        <f>SUM(E20:E46)/2</f>
        <v>1</v>
      </c>
      <c r="F48" s="11">
        <f>I48/D48</f>
        <v>24.950000000000003</v>
      </c>
      <c r="G48" s="10"/>
      <c r="H48" s="9">
        <f>SUM(H20:H46)/2</f>
        <v>239447.72999999995</v>
      </c>
      <c r="I48" s="9">
        <f>SUM(I20:I46)/2</f>
        <v>262246.95500000002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10510.900000000001</v>
      </c>
      <c r="E50" s="12">
        <f>D50/G2</f>
        <v>1.0000000000000002</v>
      </c>
      <c r="F50" s="11">
        <f>I50/D50</f>
        <v>24.95</v>
      </c>
      <c r="G50" s="10"/>
      <c r="H50" s="9">
        <f>H48+H19</f>
        <v>239447.72999999995</v>
      </c>
      <c r="I50" s="9">
        <f>I48+I19</f>
        <v>262246.95500000002</v>
      </c>
      <c r="J50" s="106">
        <f>D50-G2</f>
        <v>0</v>
      </c>
      <c r="K50" s="8"/>
    </row>
    <row r="51" spans="1:11" ht="23.25" x14ac:dyDescent="0.35">
      <c r="A51" s="174" t="s">
        <v>776</v>
      </c>
      <c r="B51" s="169"/>
      <c r="C51" s="170"/>
      <c r="G51" s="7"/>
      <c r="H51" s="6"/>
      <c r="I51" s="6">
        <f>+I50/D50</f>
        <v>24.95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768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772</v>
      </c>
      <c r="D2" s="96" t="s">
        <v>3</v>
      </c>
      <c r="E2" s="95" t="s">
        <v>112</v>
      </c>
      <c r="F2" s="94" t="s">
        <v>5</v>
      </c>
      <c r="G2" s="93">
        <v>4225.3999999999996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64</v>
      </c>
      <c r="F3" s="88" t="s">
        <v>8</v>
      </c>
      <c r="G3" s="87">
        <v>25.14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66.021874999999994</v>
      </c>
      <c r="F4" s="81" t="s">
        <v>12</v>
      </c>
      <c r="G4" s="80">
        <f>G2*G3</f>
        <v>106226.556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-0.12053329113924027</v>
      </c>
      <c r="F6" s="69" t="s">
        <v>16</v>
      </c>
      <c r="G6" s="68">
        <f>(I50-I19)/(D50-(SUM(D42:D44)+D19))</f>
        <v>32.88951514025635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25.1</v>
      </c>
      <c r="D10" s="30"/>
      <c r="E10" s="29" t="e">
        <f t="shared" ref="E10:E19" si="1">D10/$D$19</f>
        <v>#DIV/0!</v>
      </c>
      <c r="F10" s="28">
        <f t="shared" ref="F10:F18" si="2">C10-(C10*$E$6)</f>
        <v>28.125385607594932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26.2</v>
      </c>
      <c r="D11" s="30"/>
      <c r="E11" s="29" t="e">
        <f t="shared" si="1"/>
        <v>#DIV/0!</v>
      </c>
      <c r="F11" s="28">
        <f t="shared" si="2"/>
        <v>29.357972227848094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23.9</v>
      </c>
      <c r="D12" s="30"/>
      <c r="E12" s="29" t="e">
        <f t="shared" si="1"/>
        <v>#DIV/0!</v>
      </c>
      <c r="F12" s="28">
        <f t="shared" si="2"/>
        <v>26.78074565822784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26.2</v>
      </c>
      <c r="D13" s="30"/>
      <c r="E13" s="29" t="e">
        <f t="shared" si="1"/>
        <v>#DIV/0!</v>
      </c>
      <c r="F13" s="28">
        <f t="shared" si="2"/>
        <v>29.357972227848094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29.3</v>
      </c>
      <c r="D14" s="30"/>
      <c r="E14" s="29" t="e">
        <f t="shared" si="1"/>
        <v>#DIV/0!</v>
      </c>
      <c r="F14" s="28">
        <f t="shared" si="2"/>
        <v>32.831625430379738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24.1</v>
      </c>
      <c r="D15" s="30"/>
      <c r="E15" s="29" t="e">
        <f t="shared" si="1"/>
        <v>#DIV/0!</v>
      </c>
      <c r="F15" s="28">
        <f t="shared" si="2"/>
        <v>27.004852316455693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</v>
      </c>
      <c r="D16" s="30"/>
      <c r="E16" s="29" t="e">
        <f t="shared" si="1"/>
        <v>#DIV/0!</v>
      </c>
      <c r="F16" s="28">
        <f t="shared" si="2"/>
        <v>36.977598607594928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48.6</v>
      </c>
      <c r="D17" s="30"/>
      <c r="E17" s="29" t="e">
        <f t="shared" si="1"/>
        <v>#DIV/0!</v>
      </c>
      <c r="F17" s="28">
        <f t="shared" si="2"/>
        <v>54.457917949367079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42.6</v>
      </c>
      <c r="D18" s="30"/>
      <c r="E18" s="29" t="e">
        <f t="shared" si="1"/>
        <v>#DIV/0!</v>
      </c>
      <c r="F18" s="28">
        <f t="shared" si="2"/>
        <v>47.734718202531639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63.2</v>
      </c>
      <c r="D21" s="30">
        <v>49</v>
      </c>
      <c r="E21" s="29">
        <f>D21/$D$48</f>
        <v>1.159653523926729E-2</v>
      </c>
      <c r="F21" s="28">
        <f>C21-(C21*$E$6)</f>
        <v>70.817703999999992</v>
      </c>
      <c r="G21" s="27" t="str">
        <f>IF(C21&gt;=F21,"-","+")</f>
        <v>+</v>
      </c>
      <c r="H21" s="26">
        <f>C21*D21</f>
        <v>3096.8</v>
      </c>
      <c r="I21" s="26">
        <f>F21*D21</f>
        <v>3470.0674959999997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42.5</v>
      </c>
      <c r="D22" s="30">
        <v>113.1</v>
      </c>
      <c r="E22" s="29">
        <f>D22/$D$48</f>
        <v>2.67666966441047E-2</v>
      </c>
      <c r="F22" s="28">
        <f>C22-(C22*$E$6)</f>
        <v>47.622664873417712</v>
      </c>
      <c r="G22" s="27" t="str">
        <f>IF(C22&gt;=F22,"-","+")</f>
        <v>+</v>
      </c>
      <c r="H22" s="26">
        <f>C22*D22</f>
        <v>4806.75</v>
      </c>
      <c r="I22" s="26">
        <f>F22*D22</f>
        <v>5386.1233971835427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38.700000000000003</v>
      </c>
      <c r="D23" s="30">
        <v>90.1</v>
      </c>
      <c r="E23" s="29">
        <f>D23/$D$48</f>
        <v>2.1323425001183321E-2</v>
      </c>
      <c r="F23" s="28">
        <f>C23-(C23*$E$6)</f>
        <v>43.364638367088602</v>
      </c>
      <c r="G23" s="27" t="str">
        <f>IF(C23&gt;=F23,"-","+")</f>
        <v>+</v>
      </c>
      <c r="H23" s="26">
        <f>C23*D23</f>
        <v>3486.87</v>
      </c>
      <c r="I23" s="26">
        <f>F23*D23</f>
        <v>3907.1539168746826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45.164234734337832</v>
      </c>
      <c r="D24" s="22">
        <f>SUM(D21:D23)</f>
        <v>252.2</v>
      </c>
      <c r="E24" s="21">
        <f>D24/$D$48</f>
        <v>5.9686656884555309E-2</v>
      </c>
      <c r="F24" s="20">
        <f>I24/D24</f>
        <v>50.608028588652758</v>
      </c>
      <c r="G24" s="19">
        <f>F24/C24-1</f>
        <v>0.12053329113924027</v>
      </c>
      <c r="H24" s="18">
        <f>SUM(H21:H23)</f>
        <v>11390.42</v>
      </c>
      <c r="I24" s="18">
        <f>SUM(I21:I23)</f>
        <v>12763.344810058225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33.700000000000003</v>
      </c>
      <c r="D26" s="30">
        <v>720</v>
      </c>
      <c r="E26" s="29">
        <f t="shared" ref="E26:E32" si="7">D26/$D$48</f>
        <v>0.17039806882188671</v>
      </c>
      <c r="F26" s="28">
        <f t="shared" ref="F26:F31" si="8">C26-(C26*$E$6)</f>
        <v>37.761971911392401</v>
      </c>
      <c r="G26" s="27" t="str">
        <f t="shared" ref="G26:G31" si="9">IF(C26&gt;=F26,"-","+")</f>
        <v>+</v>
      </c>
      <c r="H26" s="26">
        <f t="shared" ref="H26:H31" si="10">C26*D26</f>
        <v>24264.000000000004</v>
      </c>
      <c r="I26" s="26">
        <f t="shared" ref="I26:I31" si="11">F26*D26</f>
        <v>27188.619776202529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</v>
      </c>
      <c r="D27" s="30">
        <v>620.6</v>
      </c>
      <c r="E27" s="29">
        <f t="shared" si="7"/>
        <v>0.14687366876508734</v>
      </c>
      <c r="F27" s="28">
        <f t="shared" si="8"/>
        <v>33.615998734177211</v>
      </c>
      <c r="G27" s="27" t="str">
        <f t="shared" si="9"/>
        <v>+</v>
      </c>
      <c r="H27" s="26">
        <f t="shared" si="10"/>
        <v>18618</v>
      </c>
      <c r="I27" s="26">
        <f t="shared" si="11"/>
        <v>20862.088814430379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</v>
      </c>
      <c r="D28" s="30">
        <v>297.2</v>
      </c>
      <c r="E28" s="29">
        <f t="shared" si="7"/>
        <v>7.0336536185923226E-2</v>
      </c>
      <c r="F28" s="28">
        <f t="shared" si="8"/>
        <v>33.615998734177211</v>
      </c>
      <c r="G28" s="27" t="str">
        <f t="shared" si="9"/>
        <v>+</v>
      </c>
      <c r="H28" s="26">
        <f t="shared" si="10"/>
        <v>8916</v>
      </c>
      <c r="I28" s="26">
        <f t="shared" si="11"/>
        <v>9990.6748237974662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</v>
      </c>
      <c r="D29" s="30">
        <v>365</v>
      </c>
      <c r="E29" s="29">
        <f t="shared" si="7"/>
        <v>8.6382354333317563E-2</v>
      </c>
      <c r="F29" s="28">
        <f t="shared" si="8"/>
        <v>32.495465443037965</v>
      </c>
      <c r="G29" s="27" t="str">
        <f t="shared" si="9"/>
        <v>+</v>
      </c>
      <c r="H29" s="26">
        <f t="shared" si="10"/>
        <v>10585</v>
      </c>
      <c r="I29" s="26">
        <f t="shared" si="11"/>
        <v>11860.844886708857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</v>
      </c>
      <c r="D30" s="30">
        <v>251.7</v>
      </c>
      <c r="E30" s="29">
        <f t="shared" si="7"/>
        <v>5.9568324892317892E-2</v>
      </c>
      <c r="F30" s="28">
        <f t="shared" si="8"/>
        <v>32.495465443037965</v>
      </c>
      <c r="G30" s="27" t="str">
        <f t="shared" si="9"/>
        <v>+</v>
      </c>
      <c r="H30" s="26">
        <f t="shared" si="10"/>
        <v>7299.2999999999993</v>
      </c>
      <c r="I30" s="26">
        <f t="shared" si="11"/>
        <v>8179.1086520126555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29.5</v>
      </c>
      <c r="D31" s="30">
        <v>64.3</v>
      </c>
      <c r="E31" s="29">
        <f t="shared" si="7"/>
        <v>1.5217494201732381E-2</v>
      </c>
      <c r="F31" s="28">
        <f t="shared" si="8"/>
        <v>33.055732088607584</v>
      </c>
      <c r="G31" s="27" t="str">
        <f t="shared" si="9"/>
        <v>+</v>
      </c>
      <c r="H31" s="26">
        <f t="shared" si="10"/>
        <v>1896.85</v>
      </c>
      <c r="I31" s="26">
        <f t="shared" si="11"/>
        <v>2125.4835732974675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30.869048645851304</v>
      </c>
      <c r="D32" s="22">
        <f>SUM(D26:D31)</f>
        <v>2318.8000000000002</v>
      </c>
      <c r="E32" s="21">
        <f t="shared" si="7"/>
        <v>0.54877644720026519</v>
      </c>
      <c r="F32" s="20">
        <f>I32/D32</f>
        <v>34.58979667347306</v>
      </c>
      <c r="G32" s="19">
        <f>F32/C32-1</f>
        <v>0.12053329113924005</v>
      </c>
      <c r="H32" s="18">
        <f>SUM(H26:H31)</f>
        <v>71579.150000000009</v>
      </c>
      <c r="I32" s="18">
        <f>SUM(I26:I31)</f>
        <v>80206.820526449344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257.8+336.2</f>
        <v>594</v>
      </c>
      <c r="E34" s="29">
        <f t="shared" ref="E34:E40" si="13">D34/$D$48</f>
        <v>0.14057840677805652</v>
      </c>
      <c r="F34" s="28">
        <f t="shared" ref="F34:F39" si="14">C34-(C34*$E$6)</f>
        <v>19.945492582278476</v>
      </c>
      <c r="G34" s="27" t="str">
        <f t="shared" ref="G34:G39" si="15">IF(C34&gt;=F34,"-","+")</f>
        <v>+</v>
      </c>
      <c r="H34" s="26">
        <f t="shared" ref="H34:H39" si="16">C34*D34</f>
        <v>10573.2</v>
      </c>
      <c r="I34" s="26">
        <f t="shared" ref="I34:I39" si="17">F34*D34</f>
        <v>11847.622593873415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62.7</v>
      </c>
      <c r="E35" s="29">
        <f t="shared" si="13"/>
        <v>1.4838831826572633E-2</v>
      </c>
      <c r="F35" s="28">
        <f t="shared" si="14"/>
        <v>15.351306088607592</v>
      </c>
      <c r="G35" s="27" t="str">
        <f t="shared" si="15"/>
        <v>+</v>
      </c>
      <c r="H35" s="26">
        <f t="shared" si="16"/>
        <v>858.99</v>
      </c>
      <c r="I35" s="26">
        <f t="shared" si="17"/>
        <v>962.52689175569606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12.325866202531643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</v>
      </c>
      <c r="D37" s="30"/>
      <c r="E37" s="29">
        <f t="shared" si="13"/>
        <v>0</v>
      </c>
      <c r="F37" s="28">
        <f t="shared" si="14"/>
        <v>32.495465443037965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</v>
      </c>
      <c r="D38" s="30"/>
      <c r="E38" s="29">
        <f t="shared" si="13"/>
        <v>0</v>
      </c>
      <c r="F38" s="28">
        <f t="shared" si="14"/>
        <v>32.495465443037965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</v>
      </c>
      <c r="D39" s="30"/>
      <c r="E39" s="29">
        <f t="shared" si="13"/>
        <v>0</v>
      </c>
      <c r="F39" s="28">
        <f t="shared" si="14"/>
        <v>33.615998734177211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17.40854271356784</v>
      </c>
      <c r="D40" s="22">
        <f>SUM(D34:D39)</f>
        <v>656.7</v>
      </c>
      <c r="E40" s="113">
        <f t="shared" si="13"/>
        <v>0.15541723860462917</v>
      </c>
      <c r="F40" s="20">
        <f>I40/D40</f>
        <v>19.50685166077221</v>
      </c>
      <c r="G40" s="19">
        <f>F40/C40-1</f>
        <v>0.12053329113924005</v>
      </c>
      <c r="H40" s="18">
        <f>SUM(H34:H39)</f>
        <v>11432.19</v>
      </c>
      <c r="I40" s="18">
        <f>SUM(I34:I39)</f>
        <v>12810.149485629112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474+62.7+431.3</f>
        <v>968</v>
      </c>
      <c r="E42" s="107">
        <f>D42/$D$48</f>
        <v>0.22909073697164767</v>
      </c>
      <c r="F42" s="28">
        <f>C42-(C42*$E$6)</f>
        <v>0.44821331645569612</v>
      </c>
      <c r="G42" s="27" t="str">
        <f>IF(C42&gt;=F42,"-","+")</f>
        <v>+</v>
      </c>
      <c r="H42" s="26">
        <f>C42*D42</f>
        <v>387.20000000000005</v>
      </c>
      <c r="I42" s="26">
        <f>F42*D42</f>
        <v>433.87049032911386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27.6</v>
      </c>
      <c r="E43" s="107">
        <f>D43/$D$48</f>
        <v>6.5319259715056572E-3</v>
      </c>
      <c r="F43" s="28">
        <f>C43-(C43*$E$6)</f>
        <v>0.44821331645569612</v>
      </c>
      <c r="G43" s="27" t="str">
        <f>IF(C43&gt;=F43,"-","+")</f>
        <v>+</v>
      </c>
      <c r="H43" s="26">
        <f>C43*D43</f>
        <v>11.040000000000001</v>
      </c>
      <c r="I43" s="26">
        <f>F43*D43</f>
        <v>12.370687534177213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2.1</v>
      </c>
      <c r="E45" s="107">
        <f>D45/$D$48</f>
        <v>4.969943673971696E-4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0.39915806354615618</v>
      </c>
      <c r="D46" s="22">
        <f>SUM(D41:D45)</f>
        <v>997.7</v>
      </c>
      <c r="E46" s="113">
        <f>D46/$D$48</f>
        <v>0.23611965731055051</v>
      </c>
      <c r="F46" s="20">
        <f>I46/D46</f>
        <v>0.44726989863014038</v>
      </c>
      <c r="G46" s="19">
        <f>F46/C46-1</f>
        <v>0.12053329113924027</v>
      </c>
      <c r="H46" s="18">
        <f>SUM(H41:H44)</f>
        <v>398.24000000000007</v>
      </c>
      <c r="I46" s="18">
        <f>SUM(I41:I44)</f>
        <v>446.24117786329106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93.840984157303126</v>
      </c>
      <c r="D48" s="13">
        <f>D24+D32+D40+D46</f>
        <v>4225.3999999999996</v>
      </c>
      <c r="E48" s="12">
        <f>SUM(E20:E46)/2</f>
        <v>1</v>
      </c>
      <c r="F48" s="11">
        <f>I48/D48</f>
        <v>25.139999999999997</v>
      </c>
      <c r="G48" s="10"/>
      <c r="H48" s="9">
        <f>SUM(H20:H46)/2</f>
        <v>94800.000000000015</v>
      </c>
      <c r="I48" s="9">
        <f>SUM(I20:I46)/2</f>
        <v>106226.55599999998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4225.4000000000005</v>
      </c>
      <c r="E50" s="12">
        <f>D50/G2</f>
        <v>1.0000000000000002</v>
      </c>
      <c r="F50" s="11">
        <f>I50/D50</f>
        <v>25.139999999999993</v>
      </c>
      <c r="G50" s="10"/>
      <c r="H50" s="9">
        <f>H48+H19</f>
        <v>94800.000000000015</v>
      </c>
      <c r="I50" s="9">
        <f>I48+I19</f>
        <v>106226.55599999998</v>
      </c>
      <c r="J50" s="106">
        <f>D50-G2</f>
        <v>0</v>
      </c>
      <c r="K50" s="8"/>
    </row>
    <row r="51" spans="1:11" ht="23.25" x14ac:dyDescent="0.35">
      <c r="A51" s="174" t="s">
        <v>777</v>
      </c>
      <c r="B51" s="169"/>
      <c r="C51" s="170"/>
      <c r="G51" s="7"/>
      <c r="H51" s="6"/>
      <c r="I51" s="6">
        <f>+I50/D50</f>
        <v>25.139999999999993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768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778</v>
      </c>
      <c r="D2" s="96" t="s">
        <v>3</v>
      </c>
      <c r="E2" s="95" t="s">
        <v>779</v>
      </c>
      <c r="F2" s="94" t="s">
        <v>5</v>
      </c>
      <c r="G2" s="93">
        <v>16471.8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212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77.697169811320748</v>
      </c>
      <c r="F4" s="81" t="s">
        <v>12</v>
      </c>
      <c r="G4" s="80">
        <f>G2*G3</f>
        <v>436502.69999999995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-9.7011287259009871E-2</v>
      </c>
      <c r="F6" s="69" t="s">
        <v>16</v>
      </c>
      <c r="G6" s="68">
        <f>(I50-I19)/(D50-(SUM(D42:D44)+D19))</f>
        <v>32.313117209832257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29.070799112363762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>
        <f t="shared" si="1"/>
        <v>0</v>
      </c>
      <c r="F11" s="28">
        <f t="shared" si="2"/>
        <v>30.277511528348676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>
        <f t="shared" si="1"/>
        <v>0</v>
      </c>
      <c r="F12" s="28">
        <f t="shared" si="2"/>
        <v>27.644684438927047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30.277511528348676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33.897648776303406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>
        <v>109.8</v>
      </c>
      <c r="E15" s="29">
        <f t="shared" si="1"/>
        <v>0.72332015810276673</v>
      </c>
      <c r="F15" s="28">
        <f t="shared" si="2"/>
        <v>27.864086696378848</v>
      </c>
      <c r="G15" s="27" t="str">
        <f t="shared" si="3"/>
        <v>+</v>
      </c>
      <c r="H15" s="34">
        <f t="shared" si="4"/>
        <v>2788.9199999999996</v>
      </c>
      <c r="I15" s="34">
        <f t="shared" si="5"/>
        <v>3059.4767192623976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>
        <f t="shared" si="1"/>
        <v>0</v>
      </c>
      <c r="F16" s="28">
        <f t="shared" si="2"/>
        <v>38.175992796613542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>
        <v>42</v>
      </c>
      <c r="E17" s="29">
        <f t="shared" si="1"/>
        <v>0.27667984189723316</v>
      </c>
      <c r="F17" s="28">
        <f t="shared" si="2"/>
        <v>56.2766790363872</v>
      </c>
      <c r="G17" s="27" t="str">
        <f t="shared" si="3"/>
        <v>+</v>
      </c>
      <c r="H17" s="34">
        <f t="shared" si="4"/>
        <v>2154.6</v>
      </c>
      <c r="I17" s="34">
        <f t="shared" si="5"/>
        <v>2363.6205195282623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49.255806797929544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32.566007905138335</v>
      </c>
      <c r="D19" s="49">
        <f>SUM(D10:D18)</f>
        <v>151.80000000000001</v>
      </c>
      <c r="E19" s="48">
        <f t="shared" si="1"/>
        <v>1</v>
      </c>
      <c r="F19" s="47">
        <f>I19/D19</f>
        <v>35.725278252902896</v>
      </c>
      <c r="G19" s="46">
        <f>F19/C19-1</f>
        <v>9.7011287259009871E-2</v>
      </c>
      <c r="H19" s="9">
        <f>SUM(H10:H18)</f>
        <v>4943.5199999999995</v>
      </c>
      <c r="I19" s="9">
        <f>SUM(I10:I18)</f>
        <v>5423.0972387906604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/>
      <c r="E21" s="29">
        <f>D21/$D$48</f>
        <v>0</v>
      </c>
      <c r="F21" s="28">
        <f>C21-(C21*$E$6)</f>
        <v>73.060951731450047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854.9</v>
      </c>
      <c r="E22" s="29">
        <f>D22/$D$48</f>
        <v>5.2383578431372549E-2</v>
      </c>
      <c r="F22" s="28">
        <f>C22-(C22*$E$6)</f>
        <v>49.146105669203635</v>
      </c>
      <c r="G22" s="27" t="str">
        <f>IF(C22&gt;=F22,"-","+")</f>
        <v>+</v>
      </c>
      <c r="H22" s="26">
        <f>C22*D22</f>
        <v>38299.519999999997</v>
      </c>
      <c r="I22" s="26">
        <f>F22*D22</f>
        <v>42015.005736602187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/>
      <c r="E23" s="29">
        <f>D23/$D$48</f>
        <v>0</v>
      </c>
      <c r="F23" s="28">
        <f>C23-(C23*$E$6)</f>
        <v>44.758060520167597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</v>
      </c>
      <c r="D24" s="22">
        <f>SUM(D21:D23)</f>
        <v>854.9</v>
      </c>
      <c r="E24" s="21">
        <f>D24/$D$48</f>
        <v>5.2383578431372549E-2</v>
      </c>
      <c r="F24" s="20">
        <f>I24/D24</f>
        <v>49.146105669203635</v>
      </c>
      <c r="G24" s="19">
        <f>F24/C24-1</f>
        <v>9.7011287259009871E-2</v>
      </c>
      <c r="H24" s="18">
        <f>SUM(H21:H23)</f>
        <v>38299.519999999997</v>
      </c>
      <c r="I24" s="18">
        <f>SUM(I21:I23)</f>
        <v>42015.005736602187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/>
      <c r="E26" s="29">
        <f t="shared" ref="E26:E32" si="7">D26/$D$48</f>
        <v>0</v>
      </c>
      <c r="F26" s="28">
        <f t="shared" ref="F26:F31" si="8">C26-(C26*$E$6)</f>
        <v>39.053601826420753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4171.5</v>
      </c>
      <c r="E27" s="29">
        <f t="shared" si="7"/>
        <v>0.25560661764705883</v>
      </c>
      <c r="F27" s="28">
        <f t="shared" si="8"/>
        <v>34.775257806110609</v>
      </c>
      <c r="G27" s="27" t="str">
        <f t="shared" si="9"/>
        <v>+</v>
      </c>
      <c r="H27" s="26">
        <f t="shared" si="10"/>
        <v>132236.54999999999</v>
      </c>
      <c r="I27" s="26">
        <f t="shared" si="11"/>
        <v>145064.9879381904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2704.9</v>
      </c>
      <c r="E28" s="29">
        <f t="shared" si="7"/>
        <v>0.16574142156862745</v>
      </c>
      <c r="F28" s="28">
        <f t="shared" si="8"/>
        <v>34.775257806110609</v>
      </c>
      <c r="G28" s="27" t="str">
        <f t="shared" si="9"/>
        <v>+</v>
      </c>
      <c r="H28" s="26">
        <f t="shared" si="10"/>
        <v>85745.33</v>
      </c>
      <c r="I28" s="26">
        <f t="shared" si="11"/>
        <v>94063.594839748592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2679.3</v>
      </c>
      <c r="E29" s="29">
        <f t="shared" si="7"/>
        <v>0.16417279411764707</v>
      </c>
      <c r="F29" s="28">
        <f t="shared" si="8"/>
        <v>33.568545390125706</v>
      </c>
      <c r="G29" s="27" t="str">
        <f t="shared" si="9"/>
        <v>+</v>
      </c>
      <c r="H29" s="26">
        <f t="shared" si="10"/>
        <v>81986.580000000016</v>
      </c>
      <c r="I29" s="26">
        <f t="shared" si="11"/>
        <v>89940.203663763808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/>
      <c r="E30" s="29">
        <f t="shared" si="7"/>
        <v>0</v>
      </c>
      <c r="F30" s="28">
        <f t="shared" si="8"/>
        <v>33.568545390125706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/>
      <c r="E31" s="29">
        <f t="shared" si="7"/>
        <v>0</v>
      </c>
      <c r="F31" s="28">
        <f t="shared" si="8"/>
        <v>34.11705103375521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31.391573615747667</v>
      </c>
      <c r="D32" s="22">
        <f>SUM(D26:D31)</f>
        <v>9555.7000000000007</v>
      </c>
      <c r="E32" s="21">
        <f t="shared" si="7"/>
        <v>0.58552083333333338</v>
      </c>
      <c r="F32" s="20">
        <f>I32/D32</f>
        <v>34.436910581297319</v>
      </c>
      <c r="G32" s="19">
        <f>F32/C32-1</f>
        <v>9.7011287259009871E-2</v>
      </c>
      <c r="H32" s="18">
        <f>SUM(H26:H31)</f>
        <v>299968.46000000002</v>
      </c>
      <c r="I32" s="18">
        <f>SUM(I26:I31)</f>
        <v>329068.7864417028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1281.1+1380.5</f>
        <v>2661.6</v>
      </c>
      <c r="E34" s="29">
        <f t="shared" ref="E34:E40" si="13">D34/$D$48</f>
        <v>0.16308823529411764</v>
      </c>
      <c r="F34" s="28">
        <f t="shared" ref="F34:F39" si="14">C34-(C34*$E$6)</f>
        <v>20.514111071743486</v>
      </c>
      <c r="G34" s="27" t="str">
        <f t="shared" ref="G34:G39" si="15">IF(C34&gt;=F34,"-","+")</f>
        <v>+</v>
      </c>
      <c r="H34" s="26">
        <f t="shared" ref="H34:H39" si="16">C34*D34</f>
        <v>49771.92</v>
      </c>
      <c r="I34" s="26">
        <f t="shared" ref="I34:I39" si="17">F34*D34</f>
        <v>54600.358028552459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258.89999999999998</v>
      </c>
      <c r="E35" s="29">
        <f t="shared" si="13"/>
        <v>1.5863970588235292E-2</v>
      </c>
      <c r="F35" s="28">
        <f t="shared" si="14"/>
        <v>15.796962536529742</v>
      </c>
      <c r="G35" s="27" t="str">
        <f t="shared" si="15"/>
        <v>+</v>
      </c>
      <c r="H35" s="26">
        <f t="shared" si="16"/>
        <v>3728.16</v>
      </c>
      <c r="I35" s="26">
        <f t="shared" si="17"/>
        <v>4089.83360070755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12.725330932204514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33.568545390125706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33.568545390125706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34.775257806110609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18.318808423215202</v>
      </c>
      <c r="D40" s="22">
        <f>SUM(D34:D39)</f>
        <v>2920.5</v>
      </c>
      <c r="E40" s="113">
        <f t="shared" si="13"/>
        <v>0.17895220588235294</v>
      </c>
      <c r="F40" s="20">
        <f>I40/D40</f>
        <v>20.095939609402503</v>
      </c>
      <c r="G40" s="19">
        <f>F40/C40-1</f>
        <v>9.7011287259009871E-2</v>
      </c>
      <c r="H40" s="18">
        <f>SUM(H34:H39)</f>
        <v>53500.08</v>
      </c>
      <c r="I40" s="18">
        <f>SUM(I34:I39)</f>
        <v>58690.191629260007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291.8+1618.9+974</f>
        <v>2884.7</v>
      </c>
      <c r="E42" s="107">
        <f>D42/$D$48</f>
        <v>0.17675857843137255</v>
      </c>
      <c r="F42" s="28">
        <f>C42-(C42*$E$6)</f>
        <v>0.43880451490360395</v>
      </c>
      <c r="G42" s="27" t="str">
        <f>IF(C42&gt;=F42,"-","+")</f>
        <v>+</v>
      </c>
      <c r="H42" s="26">
        <f>C42*D42</f>
        <v>1153.8799999999999</v>
      </c>
      <c r="I42" s="26">
        <f>F42*D42</f>
        <v>1265.8193841424263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90.7</v>
      </c>
      <c r="E43" s="107">
        <f>D43/$D$48</f>
        <v>5.5575980392156867E-3</v>
      </c>
      <c r="F43" s="28">
        <f>C43-(C43*$E$6)</f>
        <v>0.43880451490360395</v>
      </c>
      <c r="G43" s="27" t="str">
        <f>IF(C43&gt;=F43,"-","+")</f>
        <v>+</v>
      </c>
      <c r="H43" s="26">
        <f>C43*D43</f>
        <v>36.28</v>
      </c>
      <c r="I43" s="26">
        <f>F43*D43</f>
        <v>39.799569501756878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3.9</v>
      </c>
      <c r="E44" s="107">
        <f>D44/$D$48</f>
        <v>2.389705882352941E-4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9.6</v>
      </c>
      <c r="E45" s="107">
        <f>D45/$D$48</f>
        <v>5.8823529411764701E-4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0.39819331526648599</v>
      </c>
      <c r="D46" s="22">
        <f>SUM(D41:D45)</f>
        <v>2988.8999999999996</v>
      </c>
      <c r="E46" s="113">
        <f>D46/$D$48</f>
        <v>0.18314338235294114</v>
      </c>
      <c r="F46" s="20">
        <f>I46/D46</f>
        <v>0.43682256135842062</v>
      </c>
      <c r="G46" s="19">
        <f>F46/C46-1</f>
        <v>9.7011287259010093E-2</v>
      </c>
      <c r="H46" s="18">
        <f>SUM(H41:H44)</f>
        <v>1190.1599999999999</v>
      </c>
      <c r="I46" s="18">
        <f>SUM(I41:I44)</f>
        <v>1305.6189536441832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94.908575354229356</v>
      </c>
      <c r="D48" s="13">
        <f>D24+D32+D40+D46</f>
        <v>16320</v>
      </c>
      <c r="E48" s="12">
        <f>SUM(E20:E46)/2</f>
        <v>1</v>
      </c>
      <c r="F48" s="11">
        <f>I48/D48</f>
        <v>26.414191345662328</v>
      </c>
      <c r="G48" s="10"/>
      <c r="H48" s="9">
        <f>SUM(H20:H46)/2</f>
        <v>392958.22000000003</v>
      </c>
      <c r="I48" s="9">
        <f>SUM(I20:I46)/2</f>
        <v>431079.60276120919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16471.8</v>
      </c>
      <c r="E50" s="12">
        <f>D50/G2</f>
        <v>1</v>
      </c>
      <c r="F50" s="11">
        <f>I50/D50</f>
        <v>26.499999999999993</v>
      </c>
      <c r="G50" s="10"/>
      <c r="H50" s="9">
        <f>H48+H19</f>
        <v>397901.74000000005</v>
      </c>
      <c r="I50" s="9">
        <f>I48+I19</f>
        <v>436502.69999999984</v>
      </c>
      <c r="J50" s="106">
        <f>D50-G2</f>
        <v>0</v>
      </c>
      <c r="K50" s="8"/>
    </row>
    <row r="51" spans="1:11" ht="23.25" x14ac:dyDescent="0.35">
      <c r="A51" s="174" t="s">
        <v>780</v>
      </c>
      <c r="B51" s="169"/>
      <c r="C51" s="170"/>
      <c r="G51" s="7"/>
      <c r="H51" s="6"/>
      <c r="I51" s="6">
        <f>+I50/D50</f>
        <v>26.499999999999993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>
    <tabColor rgb="FF92D050"/>
  </sheetPr>
  <dimension ref="A1:K56"/>
  <sheetViews>
    <sheetView topLeftCell="A3" workbookViewId="0">
      <selection activeCell="A3"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781</v>
      </c>
      <c r="D1" s="100" t="s">
        <v>1</v>
      </c>
      <c r="E1" s="168" t="s">
        <v>97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781</v>
      </c>
      <c r="D2" s="96" t="s">
        <v>3</v>
      </c>
      <c r="E2" s="95" t="s">
        <v>362</v>
      </c>
      <c r="F2" s="94" t="s">
        <v>5</v>
      </c>
      <c r="G2" s="93">
        <v>15937.3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216</v>
      </c>
      <c r="F3" s="88" t="s">
        <v>8</v>
      </c>
      <c r="G3" s="87">
        <v>27.95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73.783796296296288</v>
      </c>
      <c r="F4" s="81" t="s">
        <v>12</v>
      </c>
      <c r="G4" s="80">
        <f>G2*G3</f>
        <v>445447.53499999997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3.8230974145861962E-3</v>
      </c>
      <c r="F6" s="69" t="s">
        <v>16</v>
      </c>
      <c r="G6" s="68">
        <f>(I50-I19)/(D50-(SUM(D42:D44)+D19))</f>
        <v>33.160935836639894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27.892953272391587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29.1</v>
      </c>
      <c r="D11" s="30"/>
      <c r="E11" s="29" t="e">
        <f t="shared" si="1"/>
        <v>#DIV/0!</v>
      </c>
      <c r="F11" s="28">
        <f t="shared" si="2"/>
        <v>28.988747865235542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26.498305608772007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29.1</v>
      </c>
      <c r="D13" s="30"/>
      <c r="E13" s="29" t="e">
        <f t="shared" si="1"/>
        <v>#DIV/0!</v>
      </c>
      <c r="F13" s="28">
        <f t="shared" si="2"/>
        <v>28.988747865235542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32.5</v>
      </c>
      <c r="D14" s="30"/>
      <c r="E14" s="29" t="e">
        <f t="shared" si="1"/>
        <v>#DIV/0!</v>
      </c>
      <c r="F14" s="28">
        <f t="shared" si="2"/>
        <v>32.375749334025947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26.8</v>
      </c>
      <c r="D15" s="30"/>
      <c r="E15" s="29" t="e">
        <f t="shared" si="1"/>
        <v>#DIV/0!</v>
      </c>
      <c r="F15" s="28">
        <f t="shared" si="2"/>
        <v>26.697540989289092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36.700000000000003</v>
      </c>
      <c r="D16" s="30"/>
      <c r="E16" s="29" t="e">
        <f t="shared" si="1"/>
        <v>#DIV/0!</v>
      </c>
      <c r="F16" s="28">
        <f t="shared" si="2"/>
        <v>36.559692324884686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54.1</v>
      </c>
      <c r="D17" s="30"/>
      <c r="E17" s="29" t="e">
        <f t="shared" si="1"/>
        <v>#DIV/0!</v>
      </c>
      <c r="F17" s="28">
        <f t="shared" si="2"/>
        <v>53.893170429870885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47.218785182548615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70.3</v>
      </c>
      <c r="D21" s="30">
        <v>181</v>
      </c>
      <c r="E21" s="29">
        <f>D21/$D$48</f>
        <v>1.1357005264379787E-2</v>
      </c>
      <c r="F21" s="28">
        <f>C21-(C21*$E$6)</f>
        <v>70.031236251754592</v>
      </c>
      <c r="G21" s="27" t="str">
        <f>IF(C21&gt;=F21,"-","+")</f>
        <v>-</v>
      </c>
      <c r="H21" s="26">
        <f>C21*D21</f>
        <v>12724.3</v>
      </c>
      <c r="I21" s="26">
        <f>F21*D21</f>
        <v>12675.653761567581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47.2</v>
      </c>
      <c r="D22" s="30">
        <v>548.29999999999995</v>
      </c>
      <c r="E22" s="29">
        <f>D22/$D$48</f>
        <v>3.4403568985963744E-2</v>
      </c>
      <c r="F22" s="28">
        <f>C22-(C22*$E$6)</f>
        <v>47.019549802031534</v>
      </c>
      <c r="G22" s="27" t="str">
        <f>IF(C22&gt;=F22,"-","+")</f>
        <v>-</v>
      </c>
      <c r="H22" s="26">
        <f>C22*D22</f>
        <v>25879.759999999998</v>
      </c>
      <c r="I22" s="26">
        <f>F22*D22</f>
        <v>25780.819156453887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</v>
      </c>
      <c r="D23" s="30">
        <v>382.8</v>
      </c>
      <c r="E23" s="29">
        <f>D23/$D$48</f>
        <v>2.4019124945881674E-2</v>
      </c>
      <c r="F23" s="28">
        <f>C23-(C23*$E$6)</f>
        <v>42.835606811172795</v>
      </c>
      <c r="G23" s="27" t="str">
        <f>IF(C23&gt;=F23,"-","+")</f>
        <v>-</v>
      </c>
      <c r="H23" s="26">
        <f>C23*D23</f>
        <v>16460.400000000001</v>
      </c>
      <c r="I23" s="26">
        <f>F23*D23</f>
        <v>16397.470287316948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49.513946587537099</v>
      </c>
      <c r="D24" s="22">
        <f>SUM(D21:D23)</f>
        <v>1112.0999999999999</v>
      </c>
      <c r="E24" s="21">
        <f>D24/$D$48</f>
        <v>6.9779699196225203E-2</v>
      </c>
      <c r="F24" s="20">
        <f>I24/D24</f>
        <v>49.324649946352316</v>
      </c>
      <c r="G24" s="19">
        <f>F24/C24-1</f>
        <v>-3.8230974145864183E-3</v>
      </c>
      <c r="H24" s="18">
        <f>SUM(H21:H23)</f>
        <v>55064.46</v>
      </c>
      <c r="I24" s="18">
        <f>SUM(I21:I23)</f>
        <v>54853.943205338408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37.5</v>
      </c>
      <c r="D26" s="30">
        <v>2945.8</v>
      </c>
      <c r="E26" s="29">
        <f t="shared" ref="E26:E32" si="7">D26/$D$48</f>
        <v>0.18483682932491702</v>
      </c>
      <c r="F26" s="28">
        <f t="shared" ref="F26:F31" si="8">C26-(C26*$E$6)</f>
        <v>37.356633846953017</v>
      </c>
      <c r="G26" s="27" t="str">
        <f t="shared" ref="G26:G31" si="9">IF(C26&gt;=F26,"-","+")</f>
        <v>-</v>
      </c>
      <c r="H26" s="26">
        <f t="shared" ref="H26:H31" si="10">C26*D26</f>
        <v>110467.5</v>
      </c>
      <c r="I26" s="26">
        <f t="shared" ref="I26:I31" si="11">F26*D26</f>
        <v>110045.17198635421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33.4</v>
      </c>
      <c r="D27" s="30">
        <v>2559.9</v>
      </c>
      <c r="E27" s="29">
        <f t="shared" si="7"/>
        <v>0.16062319213417581</v>
      </c>
      <c r="F27" s="28">
        <f t="shared" si="8"/>
        <v>33.272308546352818</v>
      </c>
      <c r="G27" s="27" t="str">
        <f t="shared" si="9"/>
        <v>-</v>
      </c>
      <c r="H27" s="26">
        <f t="shared" si="10"/>
        <v>85500.66</v>
      </c>
      <c r="I27" s="26">
        <f t="shared" si="11"/>
        <v>85173.782647808577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33.4</v>
      </c>
      <c r="D28" s="30">
        <v>1677.9</v>
      </c>
      <c r="E28" s="29">
        <f t="shared" si="7"/>
        <v>0.10528132117736379</v>
      </c>
      <c r="F28" s="28">
        <f t="shared" si="8"/>
        <v>33.272308546352818</v>
      </c>
      <c r="G28" s="27" t="str">
        <f t="shared" si="9"/>
        <v>-</v>
      </c>
      <c r="H28" s="26">
        <f t="shared" si="10"/>
        <v>56041.86</v>
      </c>
      <c r="I28" s="26">
        <f t="shared" si="11"/>
        <v>55827.606509925397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1637.5</v>
      </c>
      <c r="E29" s="29">
        <f t="shared" si="7"/>
        <v>0.10274638740564587</v>
      </c>
      <c r="F29" s="28">
        <f t="shared" si="8"/>
        <v>32.176513953508866</v>
      </c>
      <c r="G29" s="27" t="str">
        <f t="shared" si="9"/>
        <v>-</v>
      </c>
      <c r="H29" s="26">
        <f t="shared" si="10"/>
        <v>52891.249999999993</v>
      </c>
      <c r="I29" s="26">
        <f t="shared" si="11"/>
        <v>52689.041598870768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905.1</v>
      </c>
      <c r="E30" s="29">
        <f t="shared" si="7"/>
        <v>5.6791300910442793E-2</v>
      </c>
      <c r="F30" s="28">
        <f t="shared" si="8"/>
        <v>32.176513953508866</v>
      </c>
      <c r="G30" s="27" t="str">
        <f t="shared" si="9"/>
        <v>-</v>
      </c>
      <c r="H30" s="26">
        <f t="shared" si="10"/>
        <v>29234.73</v>
      </c>
      <c r="I30" s="26">
        <f t="shared" si="11"/>
        <v>29122.962779320875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32.799999999999997</v>
      </c>
      <c r="D31" s="30">
        <v>435.8</v>
      </c>
      <c r="E31" s="29">
        <f t="shared" si="7"/>
        <v>2.7344656874125479E-2</v>
      </c>
      <c r="F31" s="28">
        <f t="shared" si="8"/>
        <v>32.674602404801568</v>
      </c>
      <c r="G31" s="27" t="str">
        <f t="shared" si="9"/>
        <v>-</v>
      </c>
      <c r="H31" s="26">
        <f t="shared" si="10"/>
        <v>14294.24</v>
      </c>
      <c r="I31" s="26">
        <f t="shared" si="11"/>
        <v>14239.591728012523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34.287565439874037</v>
      </c>
      <c r="D32" s="22">
        <f>SUM(D26:D31)</f>
        <v>10162</v>
      </c>
      <c r="E32" s="21">
        <f t="shared" si="7"/>
        <v>0.63762368782667067</v>
      </c>
      <c r="F32" s="20">
        <f>I32/D32</f>
        <v>34.156480737088401</v>
      </c>
      <c r="G32" s="19">
        <f>F32/C32-1</f>
        <v>-3.8230974145860852E-3</v>
      </c>
      <c r="H32" s="18">
        <f>SUM(H26:H31)</f>
        <v>348430.24</v>
      </c>
      <c r="I32" s="18">
        <f>SUM(I26:I31)</f>
        <v>347098.15725029237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19.7</v>
      </c>
      <c r="D34" s="30">
        <v>2152.8000000000002</v>
      </c>
      <c r="E34" s="29">
        <f t="shared" ref="E34:E40" si="13">D34/$D$48</f>
        <v>0.13507934217213707</v>
      </c>
      <c r="F34" s="28">
        <f t="shared" ref="F34:F39" si="14">C34-(C34*$E$6)</f>
        <v>19.624684980932653</v>
      </c>
      <c r="G34" s="27" t="str">
        <f t="shared" ref="G34:G39" si="15">IF(C34&gt;=F34,"-","+")</f>
        <v>-</v>
      </c>
      <c r="H34" s="26">
        <f t="shared" ref="H34:H39" si="16">C34*D34</f>
        <v>42410.16</v>
      </c>
      <c r="I34" s="26">
        <f t="shared" ref="I34:I39" si="17">F34*D34</f>
        <v>42248.021826951815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15.141888919298289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12.153358211542047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32.176513953508866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32.176513953508866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33.4</v>
      </c>
      <c r="D39" s="30"/>
      <c r="E39" s="29">
        <f t="shared" si="13"/>
        <v>0</v>
      </c>
      <c r="F39" s="28">
        <f t="shared" si="14"/>
        <v>33.272308546352818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19.7</v>
      </c>
      <c r="D40" s="22">
        <f>SUM(D34:D39)</f>
        <v>2152.8000000000002</v>
      </c>
      <c r="E40" s="113">
        <f t="shared" si="13"/>
        <v>0.13507934217213707</v>
      </c>
      <c r="F40" s="20">
        <f>I40/D40</f>
        <v>19.624684980932653</v>
      </c>
      <c r="G40" s="19">
        <f>F40/C40-1</f>
        <v>-3.8230974145860852E-3</v>
      </c>
      <c r="H40" s="18">
        <f>SUM(H34:H39)</f>
        <v>42410.16</v>
      </c>
      <c r="I40" s="18">
        <f>SUM(I34:I39)</f>
        <v>42248.021826951815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2389</v>
      </c>
      <c r="E42" s="107">
        <f>D42/$D$48</f>
        <v>0.14989992031272548</v>
      </c>
      <c r="F42" s="28">
        <f>C42-(C42*$E$6)</f>
        <v>0.4980884512927069</v>
      </c>
      <c r="G42" s="27" t="str">
        <f>IF(C42&gt;=F42,"-","+")</f>
        <v>-</v>
      </c>
      <c r="H42" s="26">
        <f>C42*D42</f>
        <v>1194.5</v>
      </c>
      <c r="I42" s="26">
        <f>F42*D42</f>
        <v>1189.9333101382767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115.4</v>
      </c>
      <c r="E43" s="107">
        <f>D43/$D$48</f>
        <v>7.2408751796100967E-3</v>
      </c>
      <c r="F43" s="28">
        <f>C43-(C43*$E$6)</f>
        <v>0.4980884512927069</v>
      </c>
      <c r="G43" s="27" t="str">
        <f>IF(C43&gt;=F43,"-","+")</f>
        <v>-</v>
      </c>
      <c r="H43" s="26">
        <f>C43*D43</f>
        <v>57.7</v>
      </c>
      <c r="I43" s="26">
        <f>F43*D43</f>
        <v>57.479407279178382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3.7647531263137416E-4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0.49880497131931167</v>
      </c>
      <c r="D46" s="22">
        <f>SUM(D41:D45)</f>
        <v>2510.4</v>
      </c>
      <c r="E46" s="113">
        <f>D46/$D$48</f>
        <v>0.15751727080496697</v>
      </c>
      <c r="F46" s="20">
        <f>I46/D46</f>
        <v>0.49689799132307799</v>
      </c>
      <c r="G46" s="19">
        <f>F46/C46-1</f>
        <v>-3.8230974145863073E-3</v>
      </c>
      <c r="H46" s="18">
        <f>SUM(H41:H44)</f>
        <v>1252.2</v>
      </c>
      <c r="I46" s="18">
        <f>SUM(I41:I44)</f>
        <v>1247.412717417455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104.00031699873045</v>
      </c>
      <c r="D48" s="13">
        <f>D24+D32+D40+D46</f>
        <v>15937.300000000001</v>
      </c>
      <c r="E48" s="12">
        <f>SUM(E20:E46)/2</f>
        <v>1</v>
      </c>
      <c r="F48" s="11">
        <f>I48/D48</f>
        <v>27.95</v>
      </c>
      <c r="G48" s="10"/>
      <c r="H48" s="9">
        <f>SUM(H20:H46)/2</f>
        <v>447157.05999999994</v>
      </c>
      <c r="I48" s="9">
        <f>SUM(I20:I46)/2</f>
        <v>445447.53500000003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15937.3</v>
      </c>
      <c r="E50" s="12">
        <f>D50/G2</f>
        <v>1</v>
      </c>
      <c r="F50" s="11">
        <f>I50/D50</f>
        <v>27.950000000000003</v>
      </c>
      <c r="G50" s="10"/>
      <c r="H50" s="9">
        <f>H48+H19</f>
        <v>447157.05999999994</v>
      </c>
      <c r="I50" s="9">
        <f>I48+I19</f>
        <v>445447.53500000003</v>
      </c>
      <c r="J50" s="106">
        <f>D50-G2</f>
        <v>0</v>
      </c>
      <c r="K50" s="8"/>
    </row>
    <row r="51" spans="1:11" ht="23.25" x14ac:dyDescent="0.35">
      <c r="A51" s="174" t="s">
        <v>782</v>
      </c>
      <c r="B51" s="169"/>
      <c r="C51" s="170"/>
      <c r="G51" s="7"/>
      <c r="H51" s="6"/>
      <c r="I51" s="6">
        <f>+I50/D50</f>
        <v>27.950000000000003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781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783</v>
      </c>
      <c r="D2" s="96" t="s">
        <v>3</v>
      </c>
      <c r="E2" s="95" t="s">
        <v>112</v>
      </c>
      <c r="F2" s="94" t="s">
        <v>5</v>
      </c>
      <c r="G2" s="93">
        <v>7539.4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116</v>
      </c>
      <c r="F3" s="88" t="s">
        <v>8</v>
      </c>
      <c r="G3" s="87">
        <v>25.07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64.994827586206895</v>
      </c>
      <c r="F4" s="81" t="s">
        <v>12</v>
      </c>
      <c r="G4" s="80">
        <f>G2*G3</f>
        <v>189012.758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-5.9238706475513103E-2</v>
      </c>
      <c r="F6" s="69" t="s">
        <v>16</v>
      </c>
      <c r="G6" s="68">
        <f>(I50-I19)/(D50-(SUM(D42:D44)+D19))</f>
        <v>31.170678122629386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25.1</v>
      </c>
      <c r="D10" s="30"/>
      <c r="E10" s="29" t="e">
        <f t="shared" ref="E10:E19" si="1">D10/$D$19</f>
        <v>#DIV/0!</v>
      </c>
      <c r="F10" s="28">
        <f t="shared" ref="F10:F18" si="2">C10-(C10*$E$6)</f>
        <v>26.586891532535379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26.1</v>
      </c>
      <c r="D11" s="30"/>
      <c r="E11" s="29" t="e">
        <f t="shared" si="1"/>
        <v>#DIV/0!</v>
      </c>
      <c r="F11" s="28">
        <f t="shared" si="2"/>
        <v>27.646130239010894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23.9</v>
      </c>
      <c r="D12" s="30"/>
      <c r="E12" s="29" t="e">
        <f t="shared" si="1"/>
        <v>#DIV/0!</v>
      </c>
      <c r="F12" s="28">
        <f t="shared" si="2"/>
        <v>25.315805084764762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26.1</v>
      </c>
      <c r="D13" s="30"/>
      <c r="E13" s="29" t="e">
        <f t="shared" si="1"/>
        <v>#DIV/0!</v>
      </c>
      <c r="F13" s="28">
        <f t="shared" si="2"/>
        <v>27.646130239010894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29.2</v>
      </c>
      <c r="D14" s="30"/>
      <c r="E14" s="29" t="e">
        <f t="shared" si="1"/>
        <v>#DIV/0!</v>
      </c>
      <c r="F14" s="28">
        <f t="shared" si="2"/>
        <v>30.929770229084983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24.1</v>
      </c>
      <c r="D15" s="30"/>
      <c r="E15" s="29" t="e">
        <f t="shared" si="1"/>
        <v>#DIV/0!</v>
      </c>
      <c r="F15" s="28">
        <f t="shared" si="2"/>
        <v>25.527652826059867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32.9</v>
      </c>
      <c r="D16" s="30"/>
      <c r="E16" s="29" t="e">
        <f t="shared" si="1"/>
        <v>#DIV/0!</v>
      </c>
      <c r="F16" s="28">
        <f t="shared" si="2"/>
        <v>34.84895344304438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48.5</v>
      </c>
      <c r="D17" s="30"/>
      <c r="E17" s="29" t="e">
        <f t="shared" si="1"/>
        <v>#DIV/0!</v>
      </c>
      <c r="F17" s="28">
        <f t="shared" si="2"/>
        <v>51.373077264062388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42.5</v>
      </c>
      <c r="D18" s="30"/>
      <c r="E18" s="29" t="e">
        <f t="shared" si="1"/>
        <v>#DIV/0!</v>
      </c>
      <c r="F18" s="28">
        <f t="shared" si="2"/>
        <v>45.017645025209305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63.1</v>
      </c>
      <c r="D21" s="30">
        <v>100.9</v>
      </c>
      <c r="E21" s="29">
        <f>D21/$D$48</f>
        <v>1.338302782714805E-2</v>
      </c>
      <c r="F21" s="28">
        <f>C21-(C21*$E$6)</f>
        <v>66.837962378604885</v>
      </c>
      <c r="G21" s="27" t="str">
        <f>IF(C21&gt;=F21,"-","+")</f>
        <v>+</v>
      </c>
      <c r="H21" s="26">
        <f>C21*D21</f>
        <v>6366.7900000000009</v>
      </c>
      <c r="I21" s="26">
        <f>F21*D21</f>
        <v>6743.9504040012334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42.3</v>
      </c>
      <c r="D22" s="30">
        <v>202</v>
      </c>
      <c r="E22" s="29">
        <f>D22/$D$48</f>
        <v>2.6792582964161607E-2</v>
      </c>
      <c r="F22" s="28">
        <f>C22-(C22*$E$6)</f>
        <v>44.805797283914202</v>
      </c>
      <c r="G22" s="27" t="str">
        <f>IF(C22&gt;=F22,"-","+")</f>
        <v>+</v>
      </c>
      <c r="H22" s="26">
        <f>C22*D22</f>
        <v>8544.5999999999985</v>
      </c>
      <c r="I22" s="26">
        <f>F22*D22</f>
        <v>9050.7710513506681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38.6</v>
      </c>
      <c r="D23" s="30">
        <v>176.1</v>
      </c>
      <c r="E23" s="29">
        <f>D23/$D$48</f>
        <v>2.3357296336578508E-2</v>
      </c>
      <c r="F23" s="28">
        <f>C23-(C23*$E$6)</f>
        <v>40.88661406995481</v>
      </c>
      <c r="G23" s="27" t="str">
        <f>IF(C23&gt;=F23,"-","+")</f>
        <v>+</v>
      </c>
      <c r="H23" s="26">
        <f>C23*D23</f>
        <v>6797.46</v>
      </c>
      <c r="I23" s="26">
        <f>F23*D23</f>
        <v>7200.1327377190419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45.321189979123169</v>
      </c>
      <c r="D24" s="22">
        <f>SUM(D21:D23)</f>
        <v>479</v>
      </c>
      <c r="E24" s="21">
        <f>D24/$D$48</f>
        <v>6.3532907127888158E-2</v>
      </c>
      <c r="F24" s="20">
        <f>I24/D24</f>
        <v>48.005958649417416</v>
      </c>
      <c r="G24" s="19">
        <f>F24/C24-1</f>
        <v>5.9238706475513103E-2</v>
      </c>
      <c r="H24" s="18">
        <f>SUM(H21:H23)</f>
        <v>21708.85</v>
      </c>
      <c r="I24" s="18">
        <f>SUM(I21:I23)</f>
        <v>22994.854193070943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33.6</v>
      </c>
      <c r="D26" s="30">
        <f>253+1204+68</f>
        <v>1525</v>
      </c>
      <c r="E26" s="29">
        <f t="shared" ref="E26:E32" si="7">D26/$D$48</f>
        <v>0.20227073772448736</v>
      </c>
      <c r="F26" s="28">
        <f t="shared" ref="F26:F31" si="8">C26-(C26*$E$6)</f>
        <v>35.590420537577245</v>
      </c>
      <c r="G26" s="27" t="str">
        <f t="shared" ref="G26:G31" si="9">IF(C26&gt;=F26,"-","+")</f>
        <v>+</v>
      </c>
      <c r="H26" s="26">
        <f t="shared" ref="H26:H31" si="10">C26*D26</f>
        <v>51240</v>
      </c>
      <c r="I26" s="26">
        <f t="shared" ref="I26:I31" si="11">F26*D26</f>
        <v>54275.391319805298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</v>
      </c>
      <c r="D27" s="30">
        <v>1180.8</v>
      </c>
      <c r="E27" s="29">
        <f t="shared" si="7"/>
        <v>0.1566172374459506</v>
      </c>
      <c r="F27" s="28">
        <f t="shared" si="8"/>
        <v>31.777161194265393</v>
      </c>
      <c r="G27" s="27" t="str">
        <f t="shared" si="9"/>
        <v>+</v>
      </c>
      <c r="H27" s="26">
        <f t="shared" si="10"/>
        <v>35424</v>
      </c>
      <c r="I27" s="26">
        <f t="shared" si="11"/>
        <v>37522.471938188573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</v>
      </c>
      <c r="D28" s="30">
        <v>517.70000000000005</v>
      </c>
      <c r="E28" s="29">
        <f t="shared" si="7"/>
        <v>6.8665941586863691E-2</v>
      </c>
      <c r="F28" s="28">
        <f t="shared" si="8"/>
        <v>31.777161194265393</v>
      </c>
      <c r="G28" s="27" t="str">
        <f t="shared" si="9"/>
        <v>+</v>
      </c>
      <c r="H28" s="26">
        <f t="shared" si="10"/>
        <v>15531.000000000002</v>
      </c>
      <c r="I28" s="26">
        <f t="shared" si="11"/>
        <v>16451.036350271195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</v>
      </c>
      <c r="D29" s="30">
        <v>579.70000000000005</v>
      </c>
      <c r="E29" s="29">
        <f t="shared" si="7"/>
        <v>7.6889407645170715E-2</v>
      </c>
      <c r="F29" s="28">
        <f t="shared" si="8"/>
        <v>30.717922487789881</v>
      </c>
      <c r="G29" s="27" t="str">
        <f t="shared" si="9"/>
        <v>+</v>
      </c>
      <c r="H29" s="26">
        <f t="shared" si="10"/>
        <v>16811.300000000003</v>
      </c>
      <c r="I29" s="26">
        <f t="shared" si="11"/>
        <v>17807.179666171796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</v>
      </c>
      <c r="D30" s="30">
        <v>420.2</v>
      </c>
      <c r="E30" s="29">
        <f t="shared" si="7"/>
        <v>5.573387802742924E-2</v>
      </c>
      <c r="F30" s="28">
        <f t="shared" si="8"/>
        <v>30.717922487789881</v>
      </c>
      <c r="G30" s="27" t="str">
        <f t="shared" si="9"/>
        <v>+</v>
      </c>
      <c r="H30" s="26">
        <f t="shared" si="10"/>
        <v>12185.8</v>
      </c>
      <c r="I30" s="26">
        <f t="shared" si="11"/>
        <v>12907.671029369309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29.5</v>
      </c>
      <c r="D31" s="30">
        <v>118.7</v>
      </c>
      <c r="E31" s="29">
        <f t="shared" si="7"/>
        <v>1.5743958405178133E-2</v>
      </c>
      <c r="F31" s="28">
        <f t="shared" si="8"/>
        <v>31.247541841027637</v>
      </c>
      <c r="G31" s="27" t="str">
        <f t="shared" si="9"/>
        <v>+</v>
      </c>
      <c r="H31" s="26">
        <f t="shared" si="10"/>
        <v>3501.65</v>
      </c>
      <c r="I31" s="26">
        <f t="shared" si="11"/>
        <v>3709.0832165299807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31.020416388383506</v>
      </c>
      <c r="D32" s="22">
        <f>SUM(D26:D31)</f>
        <v>4342.0999999999995</v>
      </c>
      <c r="E32" s="21">
        <f t="shared" si="7"/>
        <v>0.57592116083507972</v>
      </c>
      <c r="F32" s="20">
        <f>I32/D32</f>
        <v>32.85802572956316</v>
      </c>
      <c r="G32" s="19">
        <f>F32/C32-1</f>
        <v>5.9238706475513325E-2</v>
      </c>
      <c r="H32" s="18">
        <f>SUM(H26:H31)</f>
        <v>134693.75</v>
      </c>
      <c r="I32" s="18">
        <f>SUM(I26:I31)</f>
        <v>142672.83352033616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592.3+543.3</f>
        <v>1135.5999999999999</v>
      </c>
      <c r="E34" s="29">
        <f t="shared" ref="E34:E40" si="13">D34/$D$48</f>
        <v>0.15062206541634612</v>
      </c>
      <c r="F34" s="28">
        <f t="shared" ref="F34:F39" si="14">C34-(C34*$E$6)</f>
        <v>18.748525104616583</v>
      </c>
      <c r="G34" s="27" t="str">
        <f t="shared" ref="G34:G39" si="15">IF(C34&gt;=F34,"-","+")</f>
        <v>+</v>
      </c>
      <c r="H34" s="26">
        <f t="shared" ref="H34:H39" si="16">C34*D34</f>
        <v>20100.12</v>
      </c>
      <c r="I34" s="26">
        <f t="shared" ref="I34:I39" si="17">F34*D34</f>
        <v>21290.82510880259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99.2</v>
      </c>
      <c r="E35" s="29">
        <f t="shared" si="13"/>
        <v>1.3157545693291244E-2</v>
      </c>
      <c r="F35" s="28">
        <f t="shared" si="14"/>
        <v>14.405646408066978</v>
      </c>
      <c r="G35" s="27" t="str">
        <f t="shared" si="15"/>
        <v>+</v>
      </c>
      <c r="H35" s="26">
        <f t="shared" si="16"/>
        <v>1349.12</v>
      </c>
      <c r="I35" s="26">
        <f t="shared" si="17"/>
        <v>1429.0401236802443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11.545701900583094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</v>
      </c>
      <c r="D37" s="30"/>
      <c r="E37" s="29">
        <f t="shared" si="13"/>
        <v>0</v>
      </c>
      <c r="F37" s="28">
        <f t="shared" si="14"/>
        <v>30.717922487789881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</v>
      </c>
      <c r="D38" s="30"/>
      <c r="E38" s="29">
        <f t="shared" si="13"/>
        <v>0</v>
      </c>
      <c r="F38" s="28">
        <f t="shared" si="14"/>
        <v>30.717922487789881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</v>
      </c>
      <c r="D39" s="30"/>
      <c r="E39" s="29">
        <f t="shared" si="13"/>
        <v>0</v>
      </c>
      <c r="F39" s="28">
        <f t="shared" si="14"/>
        <v>31.777161194265393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17.370618723679947</v>
      </c>
      <c r="D40" s="22">
        <f>SUM(D34:D39)</f>
        <v>1234.8</v>
      </c>
      <c r="E40" s="113">
        <f t="shared" si="13"/>
        <v>0.16377961110963737</v>
      </c>
      <c r="F40" s="20">
        <f>I40/D40</f>
        <v>18.399631707550075</v>
      </c>
      <c r="G40" s="19">
        <f>F40/C40-1</f>
        <v>5.9238706475513103E-2</v>
      </c>
      <c r="H40" s="18">
        <f>SUM(H34:H39)</f>
        <v>21449.239999999998</v>
      </c>
      <c r="I40" s="18">
        <f>SUM(I34:I39)</f>
        <v>22719.865232482833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558+105+743</f>
        <v>1406</v>
      </c>
      <c r="E42" s="107">
        <f>D42/$D$48</f>
        <v>0.18648698835451097</v>
      </c>
      <c r="F42" s="28">
        <f>C42-(C42*$E$6)</f>
        <v>0.42369548259020529</v>
      </c>
      <c r="G42" s="27" t="str">
        <f>IF(C42&gt;=F42,"-","+")</f>
        <v>+</v>
      </c>
      <c r="H42" s="26">
        <f>C42*D42</f>
        <v>562.4</v>
      </c>
      <c r="I42" s="26">
        <f>F42*D42</f>
        <v>595.71584852182866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69.599999999999994</v>
      </c>
      <c r="E43" s="107">
        <f>D43/$D$48</f>
        <v>9.2315038331962744E-3</v>
      </c>
      <c r="F43" s="28">
        <f>C43-(C43*$E$6)</f>
        <v>0.42369548259020529</v>
      </c>
      <c r="G43" s="27" t="str">
        <f>IF(C43&gt;=F43,"-","+")</f>
        <v>+</v>
      </c>
      <c r="H43" s="26">
        <f>C43*D43</f>
        <v>27.84</v>
      </c>
      <c r="I43" s="26">
        <f>F43*D43</f>
        <v>29.489205588278285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7.9</v>
      </c>
      <c r="E45" s="107">
        <f>D45/$D$48</f>
        <v>1.0478287396875083E-3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0.39786990225817326</v>
      </c>
      <c r="D46" s="22">
        <f>SUM(D41:D45)</f>
        <v>1483.5</v>
      </c>
      <c r="E46" s="113">
        <f>D46/$D$48</f>
        <v>0.19676632092739477</v>
      </c>
      <c r="F46" s="20">
        <f>I46/D46</f>
        <v>0.42143920061348633</v>
      </c>
      <c r="G46" s="19">
        <f>F46/C46-1</f>
        <v>5.9238706475513325E-2</v>
      </c>
      <c r="H46" s="18">
        <f>SUM(H41:H44)</f>
        <v>590.24</v>
      </c>
      <c r="I46" s="18">
        <f>SUM(I41:I44)</f>
        <v>625.20505411010697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94.11009499344479</v>
      </c>
      <c r="D48" s="13">
        <f>D24+D32+D40+D46</f>
        <v>7539.4</v>
      </c>
      <c r="E48" s="12">
        <f>SUM(E20:E46)/2</f>
        <v>1.0000000000000002</v>
      </c>
      <c r="F48" s="11">
        <f>I48/D48</f>
        <v>25.070000000000007</v>
      </c>
      <c r="G48" s="10"/>
      <c r="H48" s="9">
        <f>SUM(H20:H46)/2</f>
        <v>178442.08</v>
      </c>
      <c r="I48" s="9">
        <f>SUM(I20:I46)/2</f>
        <v>189012.75800000006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7539.4</v>
      </c>
      <c r="E50" s="12">
        <f>D50/G2</f>
        <v>1</v>
      </c>
      <c r="F50" s="11">
        <f>I50/D50</f>
        <v>25.070000000000007</v>
      </c>
      <c r="G50" s="10"/>
      <c r="H50" s="9">
        <f>H48+H19</f>
        <v>178442.08</v>
      </c>
      <c r="I50" s="9">
        <f>I48+I19</f>
        <v>189012.75800000006</v>
      </c>
      <c r="J50" s="106">
        <f>D50-G2</f>
        <v>0</v>
      </c>
      <c r="K50" s="8"/>
    </row>
    <row r="51" spans="1:11" ht="23.25" x14ac:dyDescent="0.35">
      <c r="A51" s="174" t="s">
        <v>784</v>
      </c>
      <c r="B51" s="169"/>
      <c r="C51" s="170"/>
      <c r="G51" s="7"/>
      <c r="H51" s="6"/>
      <c r="I51" s="6">
        <f>+I50/D50</f>
        <v>25.070000000000007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772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783</v>
      </c>
      <c r="D2" s="96" t="s">
        <v>3</v>
      </c>
      <c r="E2" s="95" t="s">
        <v>107</v>
      </c>
      <c r="F2" s="94" t="s">
        <v>5</v>
      </c>
      <c r="G2" s="93">
        <v>1506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20</v>
      </c>
      <c r="F3" s="88" t="s">
        <v>8</v>
      </c>
      <c r="G3" s="87">
        <v>26.4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75.3</v>
      </c>
      <c r="F4" s="81" t="s">
        <v>12</v>
      </c>
      <c r="G4" s="80">
        <f>G2*G3</f>
        <v>39758.400000000001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-4.8412998523829742E-2</v>
      </c>
      <c r="F6" s="69" t="s">
        <v>16</v>
      </c>
      <c r="G6" s="68">
        <f>(I50-I19)/(D50-(SUM(D42:D44)+D19))</f>
        <v>33.237251295769937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 t="e">
        <f t="shared" ref="E10:E19" si="1">D10/$D$19</f>
        <v>#DIV/0!</v>
      </c>
      <c r="F10" s="28">
        <f t="shared" ref="F10:F18" si="2">C10-(C10*$E$6)</f>
        <v>27.678103161029103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/>
      <c r="E11" s="29" t="e">
        <f t="shared" si="1"/>
        <v>#DIV/0!</v>
      </c>
      <c r="F11" s="28">
        <f t="shared" si="2"/>
        <v>28.831357459405318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 t="e">
        <f t="shared" si="1"/>
        <v>#DIV/0!</v>
      </c>
      <c r="F12" s="28">
        <f t="shared" si="2"/>
        <v>26.315166262948129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 t="e">
        <f t="shared" si="1"/>
        <v>#DIV/0!</v>
      </c>
      <c r="F13" s="28">
        <f t="shared" si="2"/>
        <v>28.831357459405318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 t="e">
        <f t="shared" si="1"/>
        <v>#DIV/0!</v>
      </c>
      <c r="F14" s="28">
        <f t="shared" si="2"/>
        <v>32.18627905468157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 t="e">
        <f t="shared" si="1"/>
        <v>#DIV/0!</v>
      </c>
      <c r="F15" s="28">
        <f t="shared" si="2"/>
        <v>26.524848862652892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 t="e">
        <f t="shared" si="1"/>
        <v>#DIV/0!</v>
      </c>
      <c r="F16" s="28">
        <f t="shared" si="2"/>
        <v>36.379931048776896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 t="e">
        <f t="shared" si="1"/>
        <v>#DIV/0!</v>
      </c>
      <c r="F17" s="28">
        <f t="shared" si="2"/>
        <v>53.573904224567698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 t="e">
        <f t="shared" si="1"/>
        <v>#DIV/0!</v>
      </c>
      <c r="F18" s="28">
        <f t="shared" si="2"/>
        <v>46.864061034015194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17.2</v>
      </c>
      <c r="E21" s="29">
        <f>D21/$D$48</f>
        <v>1.1420982735723771E-2</v>
      </c>
      <c r="F21" s="28">
        <f>C21-(C21*$E$6)</f>
        <v>69.614623101982303</v>
      </c>
      <c r="G21" s="27" t="str">
        <f>IF(C21&gt;=F21,"-","+")</f>
        <v>+</v>
      </c>
      <c r="H21" s="26">
        <f>C21*D21</f>
        <v>1142.0800000000002</v>
      </c>
      <c r="I21" s="26">
        <f>F21*D21</f>
        <v>1197.3715173540957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40.799999999999997</v>
      </c>
      <c r="E22" s="29">
        <f>D22/$D$48</f>
        <v>2.7091633466135457E-2</v>
      </c>
      <c r="F22" s="28">
        <f>C22-(C22*$E$6)</f>
        <v>46.759219734162805</v>
      </c>
      <c r="G22" s="27" t="str">
        <f>IF(C22&gt;=F22,"-","+")</f>
        <v>+</v>
      </c>
      <c r="H22" s="26">
        <f>C22*D22</f>
        <v>1819.6799999999998</v>
      </c>
      <c r="I22" s="26">
        <f>F22*D22</f>
        <v>1907.7761651538424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40.700000000000003</v>
      </c>
      <c r="D23" s="30">
        <v>31.2</v>
      </c>
      <c r="E23" s="29">
        <f>D23/$D$48</f>
        <v>2.0717131474103586E-2</v>
      </c>
      <c r="F23" s="28">
        <f>C23-(C23*$E$6)</f>
        <v>42.670409039919875</v>
      </c>
      <c r="G23" s="27" t="str">
        <f>IF(C23&gt;=F23,"-","+")</f>
        <v>+</v>
      </c>
      <c r="H23" s="26">
        <f>C23*D23</f>
        <v>1269.8400000000001</v>
      </c>
      <c r="I23" s="26">
        <f>F23*D23</f>
        <v>1331.3167620455001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47.439461883408072</v>
      </c>
      <c r="D24" s="22">
        <f>SUM(D21:D23)</f>
        <v>89.2</v>
      </c>
      <c r="E24" s="21">
        <f>D24/$D$48</f>
        <v>5.922974767596282E-2</v>
      </c>
      <c r="F24" s="20">
        <f>I24/D24</f>
        <v>49.736148481540781</v>
      </c>
      <c r="G24" s="19">
        <f>F24/C24-1</f>
        <v>4.8412998523829742E-2</v>
      </c>
      <c r="H24" s="18">
        <f>SUM(H21:H23)</f>
        <v>4231.6000000000004</v>
      </c>
      <c r="I24" s="18">
        <f>SUM(I21:I23)</f>
        <v>4436.4644445534377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f>70+29+240</f>
        <v>339</v>
      </c>
      <c r="E26" s="29">
        <f t="shared" ref="E26:E32" si="7">D26/$D$48</f>
        <v>0.22509960159362549</v>
      </c>
      <c r="F26" s="28">
        <f t="shared" ref="F26:F31" si="8">C26-(C26*$E$6)</f>
        <v>37.113820147743574</v>
      </c>
      <c r="G26" s="27" t="str">
        <f t="shared" ref="G26:G31" si="9">IF(C26&gt;=F26,"-","+")</f>
        <v>+</v>
      </c>
      <c r="H26" s="26">
        <f t="shared" ref="H26:H31" si="10">C26*D26</f>
        <v>12000.6</v>
      </c>
      <c r="I26" s="26">
        <f t="shared" ref="I26:I31" si="11">F26*D26</f>
        <v>12581.585030085073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207.4</v>
      </c>
      <c r="E27" s="29">
        <f t="shared" si="7"/>
        <v>0.13771580345285525</v>
      </c>
      <c r="F27" s="28">
        <f t="shared" si="8"/>
        <v>33.025009453500637</v>
      </c>
      <c r="G27" s="27" t="str">
        <f t="shared" si="9"/>
        <v>+</v>
      </c>
      <c r="H27" s="26">
        <f t="shared" si="10"/>
        <v>6533.1</v>
      </c>
      <c r="I27" s="26">
        <f t="shared" si="11"/>
        <v>6849.386960656032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125.6</v>
      </c>
      <c r="E28" s="29">
        <f t="shared" si="7"/>
        <v>8.3399734395750325E-2</v>
      </c>
      <c r="F28" s="28">
        <f t="shared" si="8"/>
        <v>33.025009453500637</v>
      </c>
      <c r="G28" s="27" t="str">
        <f t="shared" si="9"/>
        <v>+</v>
      </c>
      <c r="H28" s="26">
        <f t="shared" si="10"/>
        <v>3956.3999999999996</v>
      </c>
      <c r="I28" s="26">
        <f t="shared" si="11"/>
        <v>4147.94118735968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v>145.9</v>
      </c>
      <c r="E29" s="29">
        <f t="shared" si="7"/>
        <v>9.6879150066401062E-2</v>
      </c>
      <c r="F29" s="28">
        <f t="shared" si="8"/>
        <v>31.976596454976807</v>
      </c>
      <c r="G29" s="27" t="str">
        <f t="shared" si="9"/>
        <v>+</v>
      </c>
      <c r="H29" s="26">
        <f t="shared" si="10"/>
        <v>4449.95</v>
      </c>
      <c r="I29" s="26">
        <f t="shared" si="11"/>
        <v>4665.3854227811162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82.5</v>
      </c>
      <c r="E30" s="29">
        <f t="shared" si="7"/>
        <v>5.4780876494023904E-2</v>
      </c>
      <c r="F30" s="28">
        <f t="shared" si="8"/>
        <v>31.976596454976807</v>
      </c>
      <c r="G30" s="27" t="str">
        <f t="shared" si="9"/>
        <v>+</v>
      </c>
      <c r="H30" s="26">
        <f t="shared" si="10"/>
        <v>2516.25</v>
      </c>
      <c r="I30" s="26">
        <f t="shared" si="11"/>
        <v>2638.0692075355864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23.9</v>
      </c>
      <c r="E31" s="29">
        <f t="shared" si="7"/>
        <v>1.5869853917662682E-2</v>
      </c>
      <c r="F31" s="28">
        <f t="shared" si="8"/>
        <v>32.500802954238722</v>
      </c>
      <c r="G31" s="27" t="str">
        <f t="shared" si="9"/>
        <v>+</v>
      </c>
      <c r="H31" s="26">
        <f t="shared" si="10"/>
        <v>740.9</v>
      </c>
      <c r="I31" s="26">
        <f t="shared" si="11"/>
        <v>776.76919060630541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32.670345126041333</v>
      </c>
      <c r="D32" s="22">
        <f>SUM(D26:D31)</f>
        <v>924.3</v>
      </c>
      <c r="E32" s="21">
        <f t="shared" si="7"/>
        <v>0.61374501992031871</v>
      </c>
      <c r="F32" s="20">
        <f>I32/D32</f>
        <v>34.25201449640138</v>
      </c>
      <c r="G32" s="19">
        <f>F32/C32-1</f>
        <v>4.8412998523829742E-2</v>
      </c>
      <c r="H32" s="18">
        <f>SUM(H26:H31)</f>
        <v>30197.200000000001</v>
      </c>
      <c r="I32" s="18">
        <f>SUM(I26:I31)</f>
        <v>31659.136999023794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180.2</v>
      </c>
      <c r="E34" s="29">
        <f t="shared" ref="E34:E40" si="13">D34/$D$48</f>
        <v>0.11965471447543161</v>
      </c>
      <c r="F34" s="28">
        <f t="shared" ref="F34:F39" si="14">C34-(C34*$E$6)</f>
        <v>19.605323072395617</v>
      </c>
      <c r="G34" s="27" t="str">
        <f t="shared" ref="G34:G39" si="15">IF(C34&gt;=F34,"-","+")</f>
        <v>+</v>
      </c>
      <c r="H34" s="26">
        <f t="shared" ref="H34:H39" si="16">C34*D34</f>
        <v>3369.74</v>
      </c>
      <c r="I34" s="26">
        <f t="shared" ref="I34:I39" si="17">F34*D34</f>
        <v>3532.87921764569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14.992305878890766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12.056749483024042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31.976596454976807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31.976596454976807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33.025009453500637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180.2</v>
      </c>
      <c r="E40" s="113">
        <f t="shared" si="13"/>
        <v>0.11965471447543161</v>
      </c>
      <c r="F40" s="20">
        <f>I40/D40</f>
        <v>19.605323072395617</v>
      </c>
      <c r="G40" s="19">
        <f>F40/C40-1</f>
        <v>4.8412998523829742E-2</v>
      </c>
      <c r="H40" s="18">
        <f>SUM(H34:H39)</f>
        <v>3369.74</v>
      </c>
      <c r="I40" s="18">
        <f>SUM(I34:I39)</f>
        <v>3532.87921764569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296</v>
      </c>
      <c r="E42" s="107">
        <f>D42/$D$48</f>
        <v>0.19654714475431606</v>
      </c>
      <c r="F42" s="28">
        <f>C42-(C42*$E$6)</f>
        <v>0.41936519940953193</v>
      </c>
      <c r="G42" s="27" t="str">
        <f>IF(C42&gt;=F42,"-","+")</f>
        <v>+</v>
      </c>
      <c r="H42" s="26">
        <f>C42*D42</f>
        <v>118.4</v>
      </c>
      <c r="I42" s="26">
        <f>F42*D42</f>
        <v>124.13209902522145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13.8</v>
      </c>
      <c r="E43" s="107">
        <f>D43/$D$48</f>
        <v>9.1633466135458176E-3</v>
      </c>
      <c r="F43" s="28">
        <f>C43-(C43*$E$6)</f>
        <v>0.41936519940953193</v>
      </c>
      <c r="G43" s="27" t="str">
        <f>IF(C43&gt;=F43,"-","+")</f>
        <v>+</v>
      </c>
      <c r="H43" s="26">
        <f>C43*D43</f>
        <v>5.5200000000000005</v>
      </c>
      <c r="I43" s="26">
        <f>F43*D43</f>
        <v>5.7872397518515406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2.5</v>
      </c>
      <c r="E45" s="107">
        <f>D45/$D$48</f>
        <v>1.6600265604249668E-3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0.39679795068844059</v>
      </c>
      <c r="D46" s="22">
        <f>SUM(D41:D45)</f>
        <v>312.3</v>
      </c>
      <c r="E46" s="113">
        <f>D46/$D$48</f>
        <v>0.20737051792828687</v>
      </c>
      <c r="F46" s="20">
        <f>I46/D46</f>
        <v>0.41600812928937875</v>
      </c>
      <c r="G46" s="19">
        <f>F46/C46-1</f>
        <v>4.8412998523829742E-2</v>
      </c>
      <c r="H46" s="18">
        <f>SUM(H41:H44)</f>
        <v>123.92</v>
      </c>
      <c r="I46" s="18">
        <f>SUM(I41:I44)</f>
        <v>129.91933877707299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99.206604960137852</v>
      </c>
      <c r="D48" s="13">
        <f>D24+D32+D40+D46</f>
        <v>1506</v>
      </c>
      <c r="E48" s="12">
        <f>SUM(E20:E46)/2</f>
        <v>1</v>
      </c>
      <c r="F48" s="11">
        <f>I48/D48</f>
        <v>26.400000000000002</v>
      </c>
      <c r="G48" s="10"/>
      <c r="H48" s="9">
        <f>SUM(H20:H46)/2</f>
        <v>37922.460000000006</v>
      </c>
      <c r="I48" s="9">
        <f>SUM(I20:I46)/2</f>
        <v>39758.400000000001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1506</v>
      </c>
      <c r="E50" s="12">
        <f>D50/G2</f>
        <v>1</v>
      </c>
      <c r="F50" s="11">
        <f>I50/D50</f>
        <v>26.400000000000002</v>
      </c>
      <c r="G50" s="10"/>
      <c r="H50" s="9">
        <f>H48+H19</f>
        <v>37922.460000000006</v>
      </c>
      <c r="I50" s="9">
        <f>I48+I19</f>
        <v>39758.400000000001</v>
      </c>
      <c r="J50" s="106">
        <f>D50-G2</f>
        <v>0</v>
      </c>
      <c r="K50" s="8"/>
    </row>
    <row r="51" spans="1:11" ht="23.25" x14ac:dyDescent="0.35">
      <c r="A51" s="174" t="s">
        <v>785</v>
      </c>
      <c r="B51" s="169"/>
      <c r="C51" s="170"/>
      <c r="G51" s="7"/>
      <c r="H51" s="6"/>
      <c r="I51" s="6">
        <f>+I50/D50</f>
        <v>26.400000000000002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772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783</v>
      </c>
      <c r="D2" s="96" t="s">
        <v>3</v>
      </c>
      <c r="E2" s="95" t="s">
        <v>112</v>
      </c>
      <c r="F2" s="94" t="s">
        <v>5</v>
      </c>
      <c r="G2" s="93">
        <v>3351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60</v>
      </c>
      <c r="F3" s="88" t="s">
        <v>8</v>
      </c>
      <c r="G3" s="87">
        <v>23.75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55.85</v>
      </c>
      <c r="F4" s="81" t="s">
        <v>12</v>
      </c>
      <c r="G4" s="80">
        <f>G2*G3</f>
        <v>79586.25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-0.15929954556637682</v>
      </c>
      <c r="F6" s="69" t="s">
        <v>16</v>
      </c>
      <c r="G6" s="68">
        <f>(I50-I19)/(D50-(SUM(D42:D44)+D19))</f>
        <v>31.668556762564158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23.8</v>
      </c>
      <c r="D10" s="30"/>
      <c r="E10" s="29" t="e">
        <f t="shared" ref="E10:E19" si="1">D10/$D$19</f>
        <v>#DIV/0!</v>
      </c>
      <c r="F10" s="28">
        <f t="shared" ref="F10:F18" si="2">C10-(C10*$E$6)</f>
        <v>27.591329184479768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 t="e">
        <f t="shared" si="1"/>
        <v>#DIV/0!</v>
      </c>
      <c r="F11" s="28">
        <f t="shared" si="2"/>
        <v>28.634698775489507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22.6</v>
      </c>
      <c r="D12" s="30"/>
      <c r="E12" s="29" t="e">
        <f t="shared" si="1"/>
        <v>#DIV/0!</v>
      </c>
      <c r="F12" s="28">
        <f t="shared" si="2"/>
        <v>26.200169729800116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/>
      <c r="E13" s="29" t="e">
        <f t="shared" si="1"/>
        <v>#DIV/0!</v>
      </c>
      <c r="F13" s="28">
        <f t="shared" si="2"/>
        <v>28.634698775489507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27.7</v>
      </c>
      <c r="D14" s="30"/>
      <c r="E14" s="29" t="e">
        <f t="shared" si="1"/>
        <v>#DIV/0!</v>
      </c>
      <c r="F14" s="28">
        <f t="shared" si="2"/>
        <v>32.112597412188634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22.8</v>
      </c>
      <c r="D15" s="30"/>
      <c r="E15" s="29" t="e">
        <f t="shared" si="1"/>
        <v>#DIV/0!</v>
      </c>
      <c r="F15" s="28">
        <f t="shared" si="2"/>
        <v>26.432029638913392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31.2</v>
      </c>
      <c r="D16" s="30"/>
      <c r="E16" s="29" t="e">
        <f t="shared" si="1"/>
        <v>#DIV/0!</v>
      </c>
      <c r="F16" s="28">
        <f t="shared" si="2"/>
        <v>36.170145821670957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45.9</v>
      </c>
      <c r="D17" s="30"/>
      <c r="E17" s="29" t="e">
        <f t="shared" si="1"/>
        <v>#DIV/0!</v>
      </c>
      <c r="F17" s="28">
        <f t="shared" si="2"/>
        <v>53.211849141496693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40.200000000000003</v>
      </c>
      <c r="D18" s="30"/>
      <c r="E18" s="29" t="e">
        <f t="shared" si="1"/>
        <v>#DIV/0!</v>
      </c>
      <c r="F18" s="28">
        <f t="shared" si="2"/>
        <v>46.603841731768355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59.7</v>
      </c>
      <c r="D21" s="30">
        <v>42</v>
      </c>
      <c r="E21" s="29">
        <f>D21/$D$48</f>
        <v>1.2533572068039392E-2</v>
      </c>
      <c r="F21" s="28">
        <f>C21-(C21*$E$6)</f>
        <v>69.210182870312707</v>
      </c>
      <c r="G21" s="27" t="str">
        <f>IF(C21&gt;=F21,"-","+")</f>
        <v>+</v>
      </c>
      <c r="H21" s="26">
        <f>C21*D21</f>
        <v>2507.4</v>
      </c>
      <c r="I21" s="26">
        <f>F21*D21</f>
        <v>2906.8276805531336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40.1</v>
      </c>
      <c r="D22" s="30">
        <v>82.1</v>
      </c>
      <c r="E22" s="29">
        <f>D22/$D$48</f>
        <v>2.4500149209191285E-2</v>
      </c>
      <c r="F22" s="28">
        <f>C22-(C22*$E$6)</f>
        <v>46.487911777211714</v>
      </c>
      <c r="G22" s="27" t="str">
        <f>IF(C22&gt;=F22,"-","+")</f>
        <v>+</v>
      </c>
      <c r="H22" s="26">
        <f>C22*D22</f>
        <v>3292.21</v>
      </c>
      <c r="I22" s="26">
        <f>F22*D22</f>
        <v>3816.6575569090814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36.6</v>
      </c>
      <c r="D23" s="30">
        <v>65.099999999999994</v>
      </c>
      <c r="E23" s="29">
        <f>D23/$D$48</f>
        <v>1.9427036705461056E-2</v>
      </c>
      <c r="F23" s="28">
        <f>C23-(C23*$E$6)</f>
        <v>42.430363367729392</v>
      </c>
      <c r="G23" s="27" t="str">
        <f>IF(C23&gt;=F23,"-","+")</f>
        <v>+</v>
      </c>
      <c r="H23" s="26">
        <f>C23*D23</f>
        <v>2382.66</v>
      </c>
      <c r="I23" s="26">
        <f>F23*D23</f>
        <v>2762.2166552391832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43.246670190274848</v>
      </c>
      <c r="D24" s="22">
        <f>SUM(D21:D23)</f>
        <v>189.2</v>
      </c>
      <c r="E24" s="21">
        <f>D24/$D$48</f>
        <v>5.6460757982691734E-2</v>
      </c>
      <c r="F24" s="20">
        <f>I24/D24</f>
        <v>50.135845098844598</v>
      </c>
      <c r="G24" s="19">
        <f>F24/C24-1</f>
        <v>0.1592995455663766</v>
      </c>
      <c r="H24" s="18">
        <f>SUM(H21:H23)</f>
        <v>8182.27</v>
      </c>
      <c r="I24" s="18">
        <f>SUM(I21:I23)</f>
        <v>9485.7018927013978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31.9</v>
      </c>
      <c r="D26" s="30">
        <f>138+375</f>
        <v>513</v>
      </c>
      <c r="E26" s="29">
        <f t="shared" ref="E26:E32" si="7">D26/$D$48</f>
        <v>0.15308863025962399</v>
      </c>
      <c r="F26" s="28">
        <f t="shared" ref="F26:F31" si="8">C26-(C26*$E$6)</f>
        <v>36.981655503567417</v>
      </c>
      <c r="G26" s="27" t="str">
        <f t="shared" ref="G26:G31" si="9">IF(C26&gt;=F26,"-","+")</f>
        <v>+</v>
      </c>
      <c r="H26" s="26">
        <f t="shared" ref="H26:H31" si="10">C26*D26</f>
        <v>16364.699999999999</v>
      </c>
      <c r="I26" s="26">
        <f t="shared" ref="I26:I31" si="11">F26*D26</f>
        <v>18971.589273330086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28.4</v>
      </c>
      <c r="D27" s="30">
        <v>461.3</v>
      </c>
      <c r="E27" s="29">
        <f t="shared" si="7"/>
        <v>0.13766039988063264</v>
      </c>
      <c r="F27" s="28">
        <f t="shared" si="8"/>
        <v>32.924107094085102</v>
      </c>
      <c r="G27" s="27" t="str">
        <f t="shared" si="9"/>
        <v>+</v>
      </c>
      <c r="H27" s="26">
        <f t="shared" si="10"/>
        <v>13100.92</v>
      </c>
      <c r="I27" s="26">
        <f t="shared" si="11"/>
        <v>15187.890602501458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28.4</v>
      </c>
      <c r="D28" s="30">
        <v>264.89999999999998</v>
      </c>
      <c r="E28" s="29">
        <f t="shared" si="7"/>
        <v>7.9051029543419873E-2</v>
      </c>
      <c r="F28" s="28">
        <f t="shared" si="8"/>
        <v>32.924107094085102</v>
      </c>
      <c r="G28" s="27" t="str">
        <f t="shared" si="9"/>
        <v>+</v>
      </c>
      <c r="H28" s="26">
        <f t="shared" si="10"/>
        <v>7523.1599999999989</v>
      </c>
      <c r="I28" s="26">
        <f t="shared" si="11"/>
        <v>8721.5959692231427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211.1</v>
      </c>
      <c r="E29" s="29">
        <f t="shared" si="7"/>
        <v>6.2996120561026561E-2</v>
      </c>
      <c r="F29" s="28">
        <f t="shared" si="8"/>
        <v>31.764807548518725</v>
      </c>
      <c r="G29" s="27" t="str">
        <f t="shared" si="9"/>
        <v>+</v>
      </c>
      <c r="H29" s="26">
        <f t="shared" si="10"/>
        <v>5784.1399999999994</v>
      </c>
      <c r="I29" s="26">
        <f t="shared" si="11"/>
        <v>6705.5508734923023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179.9</v>
      </c>
      <c r="E30" s="29">
        <f t="shared" si="7"/>
        <v>5.3685467024768729E-2</v>
      </c>
      <c r="F30" s="28">
        <f t="shared" si="8"/>
        <v>31.764807548518725</v>
      </c>
      <c r="G30" s="27" t="str">
        <f t="shared" si="9"/>
        <v>+</v>
      </c>
      <c r="H30" s="26">
        <f t="shared" si="10"/>
        <v>4929.26</v>
      </c>
      <c r="I30" s="26">
        <f t="shared" si="11"/>
        <v>5714.4888779785188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27.9</v>
      </c>
      <c r="D31" s="30">
        <v>95.9</v>
      </c>
      <c r="E31" s="29">
        <f t="shared" si="7"/>
        <v>2.8618322888689946E-2</v>
      </c>
      <c r="F31" s="28">
        <f t="shared" si="8"/>
        <v>32.34445732130191</v>
      </c>
      <c r="G31" s="27" t="str">
        <f t="shared" si="9"/>
        <v>+</v>
      </c>
      <c r="H31" s="26">
        <f t="shared" si="10"/>
        <v>2675.61</v>
      </c>
      <c r="I31" s="26">
        <f t="shared" si="11"/>
        <v>3101.8334571128535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29.185904640519091</v>
      </c>
      <c r="D32" s="22">
        <f>SUM(D26:D31)</f>
        <v>1726.1</v>
      </c>
      <c r="E32" s="21">
        <f t="shared" si="7"/>
        <v>0.51509997015816167</v>
      </c>
      <c r="F32" s="20">
        <f>I32/D32</f>
        <v>33.835205986697389</v>
      </c>
      <c r="G32" s="19">
        <f>F32/C32-1</f>
        <v>0.15929954556637682</v>
      </c>
      <c r="H32" s="18">
        <f>SUM(H26:H31)</f>
        <v>50377.79</v>
      </c>
      <c r="I32" s="18">
        <f>SUM(I26:I31)</f>
        <v>58402.94905363836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</v>
      </c>
      <c r="D34" s="30">
        <f>197.1+339.1</f>
        <v>536.20000000000005</v>
      </c>
      <c r="E34" s="29">
        <f t="shared" ref="E34:E40" si="13">D34/$D$48</f>
        <v>0.1600119367353029</v>
      </c>
      <c r="F34" s="28">
        <f t="shared" ref="F34:F39" si="14">C34-(C34*$E$6)</f>
        <v>19.476232365515131</v>
      </c>
      <c r="G34" s="27" t="str">
        <f t="shared" ref="G34:G39" si="15">IF(C34&gt;=F34,"-","+")</f>
        <v>+</v>
      </c>
      <c r="H34" s="26">
        <f t="shared" ref="H34:H39" si="16">C34*D34</f>
        <v>9008.1600000000017</v>
      </c>
      <c r="I34" s="26">
        <f t="shared" ref="I34:I39" si="17">F34*D34</f>
        <v>10443.155794389213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57.9</v>
      </c>
      <c r="E35" s="29">
        <f t="shared" si="13"/>
        <v>1.7278424350940017E-2</v>
      </c>
      <c r="F35" s="28">
        <f t="shared" si="14"/>
        <v>14.954964137806261</v>
      </c>
      <c r="G35" s="27" t="str">
        <f t="shared" si="15"/>
        <v>+</v>
      </c>
      <c r="H35" s="26">
        <f t="shared" si="16"/>
        <v>746.91</v>
      </c>
      <c r="I35" s="26">
        <f t="shared" si="17"/>
        <v>865.89242357898252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12.056715273890319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31.764807548518725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31.764807548518725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28.4</v>
      </c>
      <c r="D39" s="30"/>
      <c r="E39" s="29">
        <f t="shared" si="13"/>
        <v>0</v>
      </c>
      <c r="F39" s="28">
        <f t="shared" si="14"/>
        <v>32.924107094085102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16.419912472647706</v>
      </c>
      <c r="D40" s="22">
        <f>SUM(D34:D39)</f>
        <v>594.1</v>
      </c>
      <c r="E40" s="113">
        <f t="shared" si="13"/>
        <v>0.17729036108624291</v>
      </c>
      <c r="F40" s="20">
        <f>I40/D40</f>
        <v>19.035597067780163</v>
      </c>
      <c r="G40" s="19">
        <f>F40/C40-1</f>
        <v>0.1592995455663766</v>
      </c>
      <c r="H40" s="18">
        <f>SUM(H34:H39)</f>
        <v>9755.0700000000015</v>
      </c>
      <c r="I40" s="18">
        <f>SUM(I34:I39)</f>
        <v>11309.048217968195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393+54.3+368.8</f>
        <v>816.1</v>
      </c>
      <c r="E42" s="107">
        <f>D42/$D$48</f>
        <v>0.24353924201730828</v>
      </c>
      <c r="F42" s="28">
        <f>C42-(C42*$E$6)</f>
        <v>0.46371981822655073</v>
      </c>
      <c r="G42" s="27" t="str">
        <f>IF(C42&gt;=F42,"-","+")</f>
        <v>+</v>
      </c>
      <c r="H42" s="26">
        <f>C42*D42</f>
        <v>326.44000000000005</v>
      </c>
      <c r="I42" s="26">
        <f>F42*D42</f>
        <v>378.44174365468808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21.8</v>
      </c>
      <c r="E43" s="107">
        <f>D43/$D$48</f>
        <v>6.5055207400775894E-3</v>
      </c>
      <c r="F43" s="28">
        <f>C43-(C43*$E$6)</f>
        <v>0.46371981822655073</v>
      </c>
      <c r="G43" s="27" t="str">
        <f>IF(C43&gt;=F43,"-","+")</f>
        <v>+</v>
      </c>
      <c r="H43" s="26">
        <f>C43*D43</f>
        <v>8.7200000000000006</v>
      </c>
      <c r="I43" s="26">
        <f>F43*D43</f>
        <v>10.109092037338806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3.7</v>
      </c>
      <c r="E45" s="107">
        <f>D45/$D$48</f>
        <v>1.104148015517756E-3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0.39824144486692026</v>
      </c>
      <c r="D46" s="22">
        <f>SUM(D41:D45)</f>
        <v>841.6</v>
      </c>
      <c r="E46" s="113">
        <f>D46/$D$48</f>
        <v>0.25114891077290363</v>
      </c>
      <c r="F46" s="20">
        <f>I46/D46</f>
        <v>0.4616811260599179</v>
      </c>
      <c r="G46" s="19">
        <f>F46/C46-1</f>
        <v>0.1592995455663766</v>
      </c>
      <c r="H46" s="18">
        <f>SUM(H41:H44)</f>
        <v>335.16000000000008</v>
      </c>
      <c r="I46" s="18">
        <f>SUM(I41:I44)</f>
        <v>388.55083569202691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89.250728748308575</v>
      </c>
      <c r="D48" s="13">
        <f>D24+D32+D40+D46</f>
        <v>3351</v>
      </c>
      <c r="E48" s="12">
        <f>SUM(E20:E46)/2</f>
        <v>1</v>
      </c>
      <c r="F48" s="11">
        <f>I48/D48</f>
        <v>23.75</v>
      </c>
      <c r="G48" s="10"/>
      <c r="H48" s="9">
        <f>SUM(H20:H46)/2</f>
        <v>68650.290000000008</v>
      </c>
      <c r="I48" s="9">
        <f>SUM(I20:I46)/2</f>
        <v>79586.25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3351.0000000000005</v>
      </c>
      <c r="E50" s="12">
        <f>D50/G2</f>
        <v>1.0000000000000002</v>
      </c>
      <c r="F50" s="11">
        <f>I50/D50</f>
        <v>23.749999999999996</v>
      </c>
      <c r="G50" s="10"/>
      <c r="H50" s="9">
        <f>H48+H19</f>
        <v>68650.290000000008</v>
      </c>
      <c r="I50" s="9">
        <f>I48+I19</f>
        <v>79586.25</v>
      </c>
      <c r="J50" s="106">
        <f>D50-G2</f>
        <v>0</v>
      </c>
      <c r="K50" s="8"/>
    </row>
    <row r="51" spans="1:11" ht="23.25" x14ac:dyDescent="0.35">
      <c r="A51" s="174" t="s">
        <v>786</v>
      </c>
      <c r="B51" s="169"/>
      <c r="C51" s="170"/>
      <c r="G51" s="7"/>
      <c r="H51" s="6"/>
      <c r="I51" s="6">
        <f>+I50/D50</f>
        <v>23.749999999999996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781</v>
      </c>
      <c r="D1" s="100" t="s">
        <v>1</v>
      </c>
      <c r="E1" s="168" t="s">
        <v>732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783</v>
      </c>
      <c r="D2" s="96" t="s">
        <v>3</v>
      </c>
      <c r="E2" s="95" t="s">
        <v>112</v>
      </c>
      <c r="F2" s="94" t="s">
        <v>5</v>
      </c>
      <c r="G2" s="93">
        <v>2048.6999999999998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32</v>
      </c>
      <c r="F3" s="88" t="s">
        <v>8</v>
      </c>
      <c r="G3" s="87">
        <v>25.06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64.021874999999994</v>
      </c>
      <c r="F4" s="81" t="s">
        <v>12</v>
      </c>
      <c r="G4" s="80">
        <f>G2*G3</f>
        <v>51340.421999999991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-8.9536082999302158E-2</v>
      </c>
      <c r="F6" s="69" t="s">
        <v>16</v>
      </c>
      <c r="G6" s="68">
        <f>(I50-I19)/(D50-(SUM(D42:D44)+D19))</f>
        <v>32.152067885771537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25.1</v>
      </c>
      <c r="D10" s="30"/>
      <c r="E10" s="29" t="e">
        <f t="shared" ref="E10:E19" si="1">D10/$D$19</f>
        <v>#DIV/0!</v>
      </c>
      <c r="F10" s="28">
        <f t="shared" ref="F10:F18" si="2">C10-(C10*$E$6)</f>
        <v>27.347355683282487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26.1</v>
      </c>
      <c r="D11" s="30"/>
      <c r="E11" s="29" t="e">
        <f t="shared" si="1"/>
        <v>#DIV/0!</v>
      </c>
      <c r="F11" s="28">
        <f t="shared" si="2"/>
        <v>28.436891766281789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 t="e">
        <f t="shared" si="1"/>
        <v>#DIV/0!</v>
      </c>
      <c r="F12" s="28">
        <f t="shared" si="2"/>
        <v>25.930958775383392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26.1</v>
      </c>
      <c r="D13" s="30"/>
      <c r="E13" s="29" t="e">
        <f t="shared" si="1"/>
        <v>#DIV/0!</v>
      </c>
      <c r="F13" s="28">
        <f t="shared" si="2"/>
        <v>28.436891766281789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29.2</v>
      </c>
      <c r="D14" s="30"/>
      <c r="E14" s="29" t="e">
        <f t="shared" si="1"/>
        <v>#DIV/0!</v>
      </c>
      <c r="F14" s="28">
        <f t="shared" si="2"/>
        <v>31.814453623579624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24.1</v>
      </c>
      <c r="D15" s="30"/>
      <c r="E15" s="29" t="e">
        <f t="shared" si="1"/>
        <v>#DIV/0!</v>
      </c>
      <c r="F15" s="28">
        <f t="shared" si="2"/>
        <v>26.257819600283185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32.9</v>
      </c>
      <c r="D16" s="30"/>
      <c r="E16" s="29" t="e">
        <f t="shared" si="1"/>
        <v>#DIV/0!</v>
      </c>
      <c r="F16" s="28">
        <f t="shared" si="2"/>
        <v>35.845737130677037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48.5</v>
      </c>
      <c r="D17" s="30"/>
      <c r="E17" s="29" t="e">
        <f t="shared" si="1"/>
        <v>#DIV/0!</v>
      </c>
      <c r="F17" s="28">
        <f t="shared" si="2"/>
        <v>52.842500025466151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42.5</v>
      </c>
      <c r="D18" s="30"/>
      <c r="E18" s="29" t="e">
        <f t="shared" si="1"/>
        <v>#DIV/0!</v>
      </c>
      <c r="F18" s="28">
        <f t="shared" si="2"/>
        <v>46.305283527470344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</v>
      </c>
      <c r="D21" s="30">
        <v>30</v>
      </c>
      <c r="E21" s="29">
        <f>D21/$D$48</f>
        <v>1.464343242055938E-2</v>
      </c>
      <c r="F21" s="28">
        <f>C21-(C21*$E$6)</f>
        <v>68.640773228956036</v>
      </c>
      <c r="G21" s="27" t="str">
        <f>IF(C21&gt;=F21,"-","+")</f>
        <v>+</v>
      </c>
      <c r="H21" s="26">
        <f>C21*D21</f>
        <v>1890</v>
      </c>
      <c r="I21" s="26">
        <f>F21*D21</f>
        <v>2059.223196868681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42.3</v>
      </c>
      <c r="D22" s="30">
        <v>55.4</v>
      </c>
      <c r="E22" s="29">
        <f>D22/$D$48</f>
        <v>2.7041538536632988E-2</v>
      </c>
      <c r="F22" s="28">
        <f>C22-(C22*$E$6)</f>
        <v>46.087376310870475</v>
      </c>
      <c r="G22" s="27" t="str">
        <f>IF(C22&gt;=F22,"-","+")</f>
        <v>+</v>
      </c>
      <c r="H22" s="26">
        <f>C22*D22</f>
        <v>2343.4199999999996</v>
      </c>
      <c r="I22" s="26">
        <f>F22*D22</f>
        <v>2553.2406476222241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38.6</v>
      </c>
      <c r="D23" s="30">
        <v>48.8</v>
      </c>
      <c r="E23" s="29">
        <f>D23/$D$48</f>
        <v>2.3819983404109926E-2</v>
      </c>
      <c r="F23" s="28">
        <f>C23-(C23*$E$6)</f>
        <v>42.056092803773062</v>
      </c>
      <c r="G23" s="27" t="str">
        <f>IF(C23&gt;=F23,"-","+")</f>
        <v>+</v>
      </c>
      <c r="H23" s="26">
        <f>C23*D23</f>
        <v>1883.68</v>
      </c>
      <c r="I23" s="26">
        <f>F23*D23</f>
        <v>2052.3373288241255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45.581967213114758</v>
      </c>
      <c r="D24" s="22">
        <f>SUM(D21:D23)</f>
        <v>134.19999999999999</v>
      </c>
      <c r="E24" s="21">
        <f>D24/$D$48</f>
        <v>6.5504954361302284E-2</v>
      </c>
      <c r="F24" s="20">
        <f>I24/D24</f>
        <v>49.663198012779667</v>
      </c>
      <c r="G24" s="19">
        <f>F24/C24-1</f>
        <v>8.9536082999302158E-2</v>
      </c>
      <c r="H24" s="18">
        <f>SUM(H21:H23)</f>
        <v>6117.1</v>
      </c>
      <c r="I24" s="18">
        <f>SUM(I21:I23)</f>
        <v>6664.8011733150306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33.6</v>
      </c>
      <c r="D26" s="30">
        <f>106.4+270</f>
        <v>376.4</v>
      </c>
      <c r="E26" s="29">
        <f t="shared" ref="E26:E32" si="7">D26/$D$48</f>
        <v>0.18372626543661835</v>
      </c>
      <c r="F26" s="28">
        <f t="shared" ref="F26:F31" si="8">C26-(C26*$E$6)</f>
        <v>36.608412388776557</v>
      </c>
      <c r="G26" s="27" t="str">
        <f t="shared" ref="G26:G31" si="9">IF(C26&gt;=F26,"-","+")</f>
        <v>+</v>
      </c>
      <c r="H26" s="26">
        <f t="shared" ref="H26:H31" si="10">C26*D26</f>
        <v>12647.039999999999</v>
      </c>
      <c r="I26" s="26">
        <f t="shared" ref="I26:I31" si="11">F26*D26</f>
        <v>13779.406423135495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305.7</v>
      </c>
      <c r="E27" s="29">
        <f t="shared" si="7"/>
        <v>0.14921657636550009</v>
      </c>
      <c r="F27" s="28">
        <f t="shared" si="8"/>
        <v>32.57712888167913</v>
      </c>
      <c r="G27" s="27" t="str">
        <f t="shared" si="9"/>
        <v>+</v>
      </c>
      <c r="H27" s="26">
        <f t="shared" si="10"/>
        <v>9140.4299999999985</v>
      </c>
      <c r="I27" s="26">
        <f t="shared" si="11"/>
        <v>9958.828299129309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166.1</v>
      </c>
      <c r="E28" s="29">
        <f t="shared" si="7"/>
        <v>8.1075804168497106E-2</v>
      </c>
      <c r="F28" s="28">
        <f t="shared" si="8"/>
        <v>32.57712888167913</v>
      </c>
      <c r="G28" s="27" t="str">
        <f t="shared" si="9"/>
        <v>+</v>
      </c>
      <c r="H28" s="26">
        <f t="shared" si="10"/>
        <v>4966.3899999999994</v>
      </c>
      <c r="I28" s="26">
        <f t="shared" si="11"/>
        <v>5411.0611072469037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151</v>
      </c>
      <c r="E29" s="29">
        <f t="shared" si="7"/>
        <v>7.3705276516815549E-2</v>
      </c>
      <c r="F29" s="28">
        <f t="shared" si="8"/>
        <v>31.487592798679831</v>
      </c>
      <c r="G29" s="27" t="str">
        <f t="shared" si="9"/>
        <v>+</v>
      </c>
      <c r="H29" s="26">
        <f t="shared" si="10"/>
        <v>4363.8999999999996</v>
      </c>
      <c r="I29" s="26">
        <f t="shared" si="11"/>
        <v>4754.6265126006547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115.4</v>
      </c>
      <c r="E30" s="29">
        <f t="shared" si="7"/>
        <v>5.6328403377751753E-2</v>
      </c>
      <c r="F30" s="28">
        <f t="shared" si="8"/>
        <v>31.487592798679831</v>
      </c>
      <c r="G30" s="27" t="str">
        <f t="shared" si="9"/>
        <v>+</v>
      </c>
      <c r="H30" s="26">
        <f t="shared" si="10"/>
        <v>3335.06</v>
      </c>
      <c r="I30" s="26">
        <f t="shared" si="11"/>
        <v>3633.6682089676528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35.5</v>
      </c>
      <c r="E31" s="29">
        <f t="shared" si="7"/>
        <v>1.7328061697661934E-2</v>
      </c>
      <c r="F31" s="28">
        <f t="shared" si="8"/>
        <v>32.032360840179479</v>
      </c>
      <c r="G31" s="27" t="str">
        <f t="shared" si="9"/>
        <v>+</v>
      </c>
      <c r="H31" s="26">
        <f t="shared" si="10"/>
        <v>1043.7</v>
      </c>
      <c r="I31" s="26">
        <f t="shared" si="11"/>
        <v>1137.1488098263715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30.863855316928955</v>
      </c>
      <c r="D32" s="22">
        <f>SUM(D26:D31)</f>
        <v>1150.0999999999999</v>
      </c>
      <c r="E32" s="21">
        <f t="shared" si="7"/>
        <v>0.5613803875628447</v>
      </c>
      <c r="F32" s="20">
        <f>I32/D32</f>
        <v>33.627284028263972</v>
      </c>
      <c r="G32" s="19">
        <f>F32/C32-1</f>
        <v>8.9536082999302602E-2</v>
      </c>
      <c r="H32" s="18">
        <f>SUM(H26:H31)</f>
        <v>35496.51999999999</v>
      </c>
      <c r="I32" s="18">
        <f>SUM(I26:I31)</f>
        <v>38674.739360906387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139.7+138.9</f>
        <v>278.60000000000002</v>
      </c>
      <c r="E34" s="29">
        <f t="shared" ref="E34:E40" si="13">D34/$D$48</f>
        <v>0.13598867574559478</v>
      </c>
      <c r="F34" s="28">
        <f t="shared" ref="F34:F39" si="14">C34-(C34*$E$6)</f>
        <v>19.284788669087646</v>
      </c>
      <c r="G34" s="27" t="str">
        <f t="shared" ref="G34:G39" si="15">IF(C34&gt;=F34,"-","+")</f>
        <v>+</v>
      </c>
      <c r="H34" s="26">
        <f t="shared" ref="H34:H39" si="16">C34*D34</f>
        <v>4931.22</v>
      </c>
      <c r="I34" s="26">
        <f t="shared" ref="I34:I39" si="17">F34*D34</f>
        <v>5372.7421232078186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29.1</v>
      </c>
      <c r="E35" s="29">
        <f t="shared" si="13"/>
        <v>1.4204129447942599E-2</v>
      </c>
      <c r="F35" s="28">
        <f t="shared" si="14"/>
        <v>14.81769072879051</v>
      </c>
      <c r="G35" s="27" t="str">
        <f t="shared" si="15"/>
        <v>+</v>
      </c>
      <c r="H35" s="26">
        <f t="shared" si="16"/>
        <v>395.76</v>
      </c>
      <c r="I35" s="26">
        <f t="shared" si="17"/>
        <v>431.19480020780384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11.875943304692393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31.487592798679831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31.487592798679831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32.57712888167913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17.312252193695155</v>
      </c>
      <c r="D40" s="22">
        <f>SUM(D34:D39)</f>
        <v>307.70000000000005</v>
      </c>
      <c r="E40" s="113">
        <f t="shared" si="13"/>
        <v>0.15019280519353739</v>
      </c>
      <c r="F40" s="20">
        <f>I40/D40</f>
        <v>18.862323443014695</v>
      </c>
      <c r="G40" s="19">
        <f>F40/C40-1</f>
        <v>8.9536082999302158E-2</v>
      </c>
      <c r="H40" s="18">
        <f>SUM(H34:H39)</f>
        <v>5326.9800000000005</v>
      </c>
      <c r="I40" s="18">
        <f>SUM(I34:I39)</f>
        <v>5803.936923415622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205+25.6+203.2</f>
        <v>433.79999999999995</v>
      </c>
      <c r="E42" s="107">
        <f>D42/$D$48</f>
        <v>0.21174403280128862</v>
      </c>
      <c r="F42" s="28">
        <f>C42-(C42*$E$6)</f>
        <v>0.43581443319972091</v>
      </c>
      <c r="G42" s="27" t="str">
        <f>IF(C42&gt;=F42,"-","+")</f>
        <v>+</v>
      </c>
      <c r="H42" s="26">
        <f>C42*D42</f>
        <v>173.51999999999998</v>
      </c>
      <c r="I42" s="26">
        <f>F42*D42</f>
        <v>189.05630112203892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18.100000000000001</v>
      </c>
      <c r="E43" s="107">
        <f>D43/$D$48</f>
        <v>8.8348708937374936E-3</v>
      </c>
      <c r="F43" s="28">
        <f>C43-(C43*$E$6)</f>
        <v>0.43581443319972091</v>
      </c>
      <c r="G43" s="27" t="str">
        <f>IF(C43&gt;=F43,"-","+")</f>
        <v>+</v>
      </c>
      <c r="H43" s="26">
        <f>C43*D43</f>
        <v>7.2400000000000011</v>
      </c>
      <c r="I43" s="26">
        <f>F43*D43</f>
        <v>7.8882412409149492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4.8</v>
      </c>
      <c r="E45" s="107">
        <f>D45/$D$48</f>
        <v>2.3429491872895007E-3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0.3957959273045763</v>
      </c>
      <c r="D46" s="22">
        <f>SUM(D41:D45)</f>
        <v>456.7</v>
      </c>
      <c r="E46" s="113">
        <f>D46/$D$48</f>
        <v>0.22292185288231564</v>
      </c>
      <c r="F46" s="20">
        <f>I46/D46</f>
        <v>0.43123394430250461</v>
      </c>
      <c r="G46" s="19">
        <f>F46/C46-1</f>
        <v>8.9536082999302158E-2</v>
      </c>
      <c r="H46" s="18">
        <f>SUM(H41:H44)</f>
        <v>180.76</v>
      </c>
      <c r="I46" s="18">
        <f>SUM(I41:I44)</f>
        <v>196.94454236295385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94.153870651043448</v>
      </c>
      <c r="D48" s="13">
        <f>D24+D32+D40+D46</f>
        <v>2048.6999999999998</v>
      </c>
      <c r="E48" s="12">
        <f>SUM(E20:E46)/2</f>
        <v>1.0000000000000004</v>
      </c>
      <c r="F48" s="11">
        <f>I48/D48</f>
        <v>25.06</v>
      </c>
      <c r="G48" s="10"/>
      <c r="H48" s="9">
        <f>SUM(H20:H46)/2</f>
        <v>47121.359999999993</v>
      </c>
      <c r="I48" s="9">
        <f>SUM(I20:I46)/2</f>
        <v>51340.421999999991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2048.7000000000003</v>
      </c>
      <c r="E50" s="12">
        <f>D50/G2</f>
        <v>1.0000000000000002</v>
      </c>
      <c r="F50" s="11">
        <f>I50/D50</f>
        <v>25.059999999999992</v>
      </c>
      <c r="G50" s="10"/>
      <c r="H50" s="9">
        <f>H48+H19</f>
        <v>47121.359999999993</v>
      </c>
      <c r="I50" s="9">
        <f>I48+I19</f>
        <v>51340.421999999991</v>
      </c>
      <c r="J50" s="106">
        <f>D50-G2</f>
        <v>0</v>
      </c>
      <c r="K50" s="8"/>
    </row>
    <row r="51" spans="1:11" ht="23.25" x14ac:dyDescent="0.35">
      <c r="A51" s="174" t="s">
        <v>787</v>
      </c>
      <c r="B51" s="169"/>
      <c r="C51" s="170"/>
      <c r="G51" s="7"/>
      <c r="H51" s="6"/>
      <c r="I51" s="6">
        <f>+I50/D50</f>
        <v>25.059999999999992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778</v>
      </c>
      <c r="D1" s="100" t="s">
        <v>1</v>
      </c>
      <c r="E1" s="168" t="s">
        <v>227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788</v>
      </c>
      <c r="D2" s="96" t="s">
        <v>3</v>
      </c>
      <c r="E2" s="95" t="s">
        <v>112</v>
      </c>
      <c r="F2" s="94" t="s">
        <v>5</v>
      </c>
      <c r="G2" s="93">
        <v>12160.7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156</v>
      </c>
      <c r="F3" s="88" t="s">
        <v>8</v>
      </c>
      <c r="G3" s="87">
        <v>25.44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77.953205128205127</v>
      </c>
      <c r="F4" s="81" t="s">
        <v>12</v>
      </c>
      <c r="G4" s="80">
        <f>G2*G3</f>
        <v>309368.20800000004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-7.1499823741985713E-2</v>
      </c>
      <c r="F6" s="69" t="s">
        <v>16</v>
      </c>
      <c r="G6" s="68">
        <f>(I50-I19)/(D50-(SUM(D42:D44)+D19))</f>
        <v>32.052902878219598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27.216095523046434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26.5</v>
      </c>
      <c r="D11" s="30"/>
      <c r="E11" s="29" t="e">
        <f t="shared" si="1"/>
        <v>#DIV/0!</v>
      </c>
      <c r="F11" s="28">
        <f t="shared" si="2"/>
        <v>28.394745329162621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 t="e">
        <f t="shared" si="1"/>
        <v>#DIV/0!</v>
      </c>
      <c r="F12" s="28">
        <f t="shared" si="2"/>
        <v>25.930295734556054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26.5</v>
      </c>
      <c r="D13" s="30"/>
      <c r="E13" s="29" t="e">
        <f t="shared" si="1"/>
        <v>#DIV/0!</v>
      </c>
      <c r="F13" s="28">
        <f t="shared" si="2"/>
        <v>28.394745329162621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29.6</v>
      </c>
      <c r="D14" s="30"/>
      <c r="E14" s="29" t="e">
        <f t="shared" si="1"/>
        <v>#DIV/0!</v>
      </c>
      <c r="F14" s="28">
        <f t="shared" si="2"/>
        <v>31.71639478276278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26.14459569930445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35.788094112982321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49.2</v>
      </c>
      <c r="D17" s="30"/>
      <c r="E17" s="29" t="e">
        <f t="shared" si="1"/>
        <v>#DIV/0!</v>
      </c>
      <c r="F17" s="28">
        <f t="shared" si="2"/>
        <v>52.717791328105697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43.1</v>
      </c>
      <c r="D18" s="30"/>
      <c r="E18" s="29" t="e">
        <f t="shared" si="1"/>
        <v>#DIV/0!</v>
      </c>
      <c r="F18" s="28">
        <f t="shared" si="2"/>
        <v>46.181642403279582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</v>
      </c>
      <c r="D21" s="30">
        <v>139.19999999999999</v>
      </c>
      <c r="E21" s="29">
        <f>D21/$D$48</f>
        <v>1.1446709482184412E-2</v>
      </c>
      <c r="F21" s="28">
        <f>C21-(C21*$E$6)</f>
        <v>68.575988719487086</v>
      </c>
      <c r="G21" s="27" t="str">
        <f>IF(C21&gt;=F21,"-","+")</f>
        <v>+</v>
      </c>
      <c r="H21" s="26">
        <f>C21*D21</f>
        <v>8908.7999999999993</v>
      </c>
      <c r="I21" s="26">
        <f>F21*D21</f>
        <v>9545.7776297526016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</v>
      </c>
      <c r="D22" s="30">
        <v>328.1</v>
      </c>
      <c r="E22" s="29">
        <f>D22/$D$48</f>
        <v>2.6980354749315417E-2</v>
      </c>
      <c r="F22" s="28">
        <f>C22-(C22*$E$6)</f>
        <v>46.074492420905386</v>
      </c>
      <c r="G22" s="27" t="str">
        <f>IF(C22&gt;=F22,"-","+")</f>
        <v>+</v>
      </c>
      <c r="H22" s="26">
        <f>C22*D22</f>
        <v>14108.300000000001</v>
      </c>
      <c r="I22" s="26">
        <f>F22*D22</f>
        <v>15117.040963299058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39.200000000000003</v>
      </c>
      <c r="D23" s="30">
        <v>248.8</v>
      </c>
      <c r="E23" s="29">
        <f>D23/$D$48</f>
        <v>2.0459348557237658E-2</v>
      </c>
      <c r="F23" s="28">
        <f>C23-(C23*$E$6)</f>
        <v>42.002793090685842</v>
      </c>
      <c r="G23" s="27" t="str">
        <f>IF(C23&gt;=F23,"-","+")</f>
        <v>+</v>
      </c>
      <c r="H23" s="26">
        <f>C23*D23</f>
        <v>9752.9600000000009</v>
      </c>
      <c r="I23" s="26">
        <f>F23*D23</f>
        <v>10450.294920962639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45.761848903784383</v>
      </c>
      <c r="D24" s="22">
        <f>SUM(D21:D23)</f>
        <v>716.1</v>
      </c>
      <c r="E24" s="21">
        <f>D24/$D$48</f>
        <v>5.8886412788737491E-2</v>
      </c>
      <c r="F24" s="20">
        <f>I24/D24</f>
        <v>49.033813034512356</v>
      </c>
      <c r="G24" s="19">
        <f>F24/C24-1</f>
        <v>7.1499823741985935E-2</v>
      </c>
      <c r="H24" s="18">
        <f>SUM(H21:H23)</f>
        <v>32770.06</v>
      </c>
      <c r="I24" s="18">
        <f>SUM(I21:I23)</f>
        <v>35113.113514014301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f>512.9+63.8+1917.5</f>
        <v>2494.1999999999998</v>
      </c>
      <c r="E26" s="29">
        <f t="shared" ref="E26:E32" si="7">D26/$D$48</f>
        <v>0.20510332464414052</v>
      </c>
      <c r="F26" s="28">
        <f t="shared" ref="F26:F31" si="8">C26-(C26*$E$6)</f>
        <v>36.538143989601714</v>
      </c>
      <c r="G26" s="27" t="str">
        <f t="shared" ref="G26:G31" si="9">IF(C26&gt;=F26,"-","+")</f>
        <v>+</v>
      </c>
      <c r="H26" s="26">
        <f t="shared" ref="H26:H31" si="10">C26*D26</f>
        <v>85052.22</v>
      </c>
      <c r="I26" s="26">
        <f t="shared" ref="I26:I31" si="11">F26*D26</f>
        <v>91133.438738864585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30">
        <v>1817</v>
      </c>
      <c r="E27" s="29">
        <f t="shared" si="7"/>
        <v>0.14941574087018017</v>
      </c>
      <c r="F27" s="28">
        <f t="shared" si="8"/>
        <v>32.573594641756365</v>
      </c>
      <c r="G27" s="27" t="str">
        <f t="shared" si="9"/>
        <v>+</v>
      </c>
      <c r="H27" s="26">
        <f t="shared" si="10"/>
        <v>55236.799999999996</v>
      </c>
      <c r="I27" s="26">
        <f t="shared" si="11"/>
        <v>59186.221464071314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30">
        <v>908.1</v>
      </c>
      <c r="E28" s="29">
        <f t="shared" si="7"/>
        <v>7.4674977591750472E-2</v>
      </c>
      <c r="F28" s="28">
        <f t="shared" si="8"/>
        <v>32.573594641756365</v>
      </c>
      <c r="G28" s="27" t="str">
        <f t="shared" si="9"/>
        <v>+</v>
      </c>
      <c r="H28" s="26">
        <f t="shared" si="10"/>
        <v>27606.239999999998</v>
      </c>
      <c r="I28" s="26">
        <f t="shared" si="11"/>
        <v>29580.081294178955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29.4</v>
      </c>
      <c r="D29" s="30">
        <v>972.6</v>
      </c>
      <c r="E29" s="29">
        <f t="shared" si="7"/>
        <v>7.9978948580262652E-2</v>
      </c>
      <c r="F29" s="28">
        <f t="shared" si="8"/>
        <v>31.502094818014378</v>
      </c>
      <c r="G29" s="27" t="str">
        <f t="shared" si="9"/>
        <v>+</v>
      </c>
      <c r="H29" s="26">
        <f t="shared" si="10"/>
        <v>28594.44</v>
      </c>
      <c r="I29" s="26">
        <f t="shared" si="11"/>
        <v>30638.937420000784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29.4</v>
      </c>
      <c r="D30" s="30">
        <v>657.9</v>
      </c>
      <c r="E30" s="29">
        <f t="shared" si="7"/>
        <v>5.4100504082824172E-2</v>
      </c>
      <c r="F30" s="28">
        <f t="shared" si="8"/>
        <v>31.502094818014378</v>
      </c>
      <c r="G30" s="27" t="str">
        <f t="shared" si="9"/>
        <v>+</v>
      </c>
      <c r="H30" s="26">
        <f t="shared" si="10"/>
        <v>19342.259999999998</v>
      </c>
      <c r="I30" s="26">
        <f t="shared" si="11"/>
        <v>20725.228180771657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29.9</v>
      </c>
      <c r="D31" s="30">
        <v>191.2</v>
      </c>
      <c r="E31" s="29">
        <f t="shared" si="7"/>
        <v>1.5722779116333761E-2</v>
      </c>
      <c r="F31" s="28">
        <f t="shared" si="8"/>
        <v>32.037844729885371</v>
      </c>
      <c r="G31" s="27" t="str">
        <f t="shared" si="9"/>
        <v>+</v>
      </c>
      <c r="H31" s="26">
        <f t="shared" si="10"/>
        <v>5716.8799999999992</v>
      </c>
      <c r="I31" s="26">
        <f t="shared" si="11"/>
        <v>6125.6359123540824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31.465536145433887</v>
      </c>
      <c r="D32" s="22">
        <f>SUM(D26:D31)</f>
        <v>7041</v>
      </c>
      <c r="E32" s="21">
        <f t="shared" si="7"/>
        <v>0.57899627488549177</v>
      </c>
      <c r="F32" s="20">
        <f>I32/D32</f>
        <v>33.715316433779492</v>
      </c>
      <c r="G32" s="19">
        <f>F32/C32-1</f>
        <v>7.1499823741985713E-2</v>
      </c>
      <c r="H32" s="18">
        <f>SUM(H26:H31)</f>
        <v>221548.84</v>
      </c>
      <c r="I32" s="18">
        <f>SUM(I26:I31)</f>
        <v>237389.54301024138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f>893.5+851.4</f>
        <v>1744.9</v>
      </c>
      <c r="E34" s="29">
        <f t="shared" ref="E34:E40" si="13">D34/$D$48</f>
        <v>0.14348680585821541</v>
      </c>
      <c r="F34" s="28">
        <f t="shared" ref="F34:F39" si="14">C34-(C34*$E$6)</f>
        <v>19.286996827355743</v>
      </c>
      <c r="G34" s="27" t="str">
        <f t="shared" ref="G34:G39" si="15">IF(C34&gt;=F34,"-","+")</f>
        <v>+</v>
      </c>
      <c r="H34" s="26">
        <f t="shared" ref="H34:H39" si="16">C34*D34</f>
        <v>31408.2</v>
      </c>
      <c r="I34" s="26">
        <f t="shared" ref="I34:I39" si="17">F34*D34</f>
        <v>33653.880764053036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144.80000000000001</v>
      </c>
      <c r="E35" s="29">
        <f t="shared" si="13"/>
        <v>1.190720928893896E-2</v>
      </c>
      <c r="F35" s="28">
        <f t="shared" si="14"/>
        <v>14.786697567639404</v>
      </c>
      <c r="G35" s="27" t="str">
        <f t="shared" si="15"/>
        <v>+</v>
      </c>
      <c r="H35" s="26">
        <f t="shared" si="16"/>
        <v>1998.2400000000002</v>
      </c>
      <c r="I35" s="26">
        <f t="shared" si="17"/>
        <v>2141.113807794186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11.893648043536041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29.4</v>
      </c>
      <c r="D37" s="30"/>
      <c r="E37" s="29">
        <f t="shared" si="13"/>
        <v>0</v>
      </c>
      <c r="F37" s="28">
        <f t="shared" si="14"/>
        <v>31.502094818014378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29.4</v>
      </c>
      <c r="D38" s="30"/>
      <c r="E38" s="29">
        <f t="shared" si="13"/>
        <v>0</v>
      </c>
      <c r="F38" s="28">
        <f t="shared" si="14"/>
        <v>31.502094818014378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30"/>
      <c r="E39" s="29">
        <f t="shared" si="13"/>
        <v>0</v>
      </c>
      <c r="F39" s="28">
        <f t="shared" si="14"/>
        <v>32.573594641756365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17.678171138275918</v>
      </c>
      <c r="D40" s="22">
        <f>SUM(D34:D39)</f>
        <v>1889.7</v>
      </c>
      <c r="E40" s="113">
        <f t="shared" si="13"/>
        <v>0.15539401514715434</v>
      </c>
      <c r="F40" s="20">
        <f>I40/D40</f>
        <v>18.942157258743304</v>
      </c>
      <c r="G40" s="19">
        <f>F40/C40-1</f>
        <v>7.1499823741985713E-2</v>
      </c>
      <c r="H40" s="18">
        <f>SUM(H34:H39)</f>
        <v>33406.44</v>
      </c>
      <c r="I40" s="18">
        <f>SUM(I34:I39)</f>
        <v>35794.994571847223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1138+170.2+1098.2</f>
        <v>2406.4</v>
      </c>
      <c r="E42" s="107">
        <f>D42/$D$48</f>
        <v>0.19788334553109607</v>
      </c>
      <c r="F42" s="28">
        <f>C42-(C42*$E$6)</f>
        <v>0.42859992949679432</v>
      </c>
      <c r="G42" s="27" t="str">
        <f>IF(C42&gt;=F42,"-","+")</f>
        <v>+</v>
      </c>
      <c r="H42" s="26">
        <f>C42*D42</f>
        <v>962.56000000000006</v>
      </c>
      <c r="I42" s="26">
        <f>F42*D42</f>
        <v>1031.3828703410859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91.4</v>
      </c>
      <c r="E43" s="107">
        <f>D43/$D$48</f>
        <v>7.516014703100973E-3</v>
      </c>
      <c r="F43" s="28">
        <f>C43-(C43*$E$6)</f>
        <v>0.42859992949679432</v>
      </c>
      <c r="G43" s="27" t="str">
        <f>IF(C43&gt;=F43,"-","+")</f>
        <v>+</v>
      </c>
      <c r="H43" s="26">
        <f>C43*D43</f>
        <v>36.56</v>
      </c>
      <c r="I43" s="26">
        <f>F43*D43</f>
        <v>39.174033556007004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11.1</v>
      </c>
      <c r="E44" s="107">
        <f>D44/$D$48</f>
        <v>9.1277640267418806E-4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4.1116054174512975E-4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0.39743824336688016</v>
      </c>
      <c r="D46" s="22">
        <f>SUM(D41:D45)</f>
        <v>2513.9</v>
      </c>
      <c r="E46" s="113">
        <f>D46/$D$48</f>
        <v>0.20672329717861634</v>
      </c>
      <c r="F46" s="20">
        <f>I46/D46</f>
        <v>0.4258550077159366</v>
      </c>
      <c r="G46" s="19">
        <f>F46/C46-1</f>
        <v>7.1499823741985935E-2</v>
      </c>
      <c r="H46" s="18">
        <f>SUM(H41:H44)</f>
        <v>999.12000000000012</v>
      </c>
      <c r="I46" s="18">
        <f>SUM(I41:I44)</f>
        <v>1070.556903897093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95.302994430861062</v>
      </c>
      <c r="D48" s="13">
        <f>D24+D32+D40+D46</f>
        <v>12160.7</v>
      </c>
      <c r="E48" s="12">
        <f>SUM(E20:E46)/2</f>
        <v>1</v>
      </c>
      <c r="F48" s="11">
        <f>I48/D48</f>
        <v>25.44</v>
      </c>
      <c r="G48" s="10"/>
      <c r="H48" s="9">
        <f>SUM(H20:H46)/2</f>
        <v>288724.46000000002</v>
      </c>
      <c r="I48" s="9">
        <f>SUM(I20:I46)/2</f>
        <v>309368.20800000004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12160.700000000003</v>
      </c>
      <c r="E50" s="12">
        <f>D50/G2</f>
        <v>1.0000000000000002</v>
      </c>
      <c r="F50" s="11">
        <f>I50/D50</f>
        <v>25.439999999999998</v>
      </c>
      <c r="G50" s="10"/>
      <c r="H50" s="9">
        <f>H48+H19</f>
        <v>288724.46000000002</v>
      </c>
      <c r="I50" s="9">
        <f>I48+I19</f>
        <v>309368.20800000004</v>
      </c>
      <c r="J50" s="106">
        <f>D50-G2</f>
        <v>0</v>
      </c>
      <c r="K50" s="8"/>
    </row>
    <row r="51" spans="1:11" ht="23.25" x14ac:dyDescent="0.35">
      <c r="A51" s="174" t="s">
        <v>789</v>
      </c>
      <c r="B51" s="169"/>
      <c r="C51" s="170"/>
      <c r="G51" s="7"/>
      <c r="H51" s="6"/>
      <c r="I51" s="6">
        <f>+I50/D50</f>
        <v>25.439999999999998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781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788</v>
      </c>
      <c r="D2" s="96" t="s">
        <v>3</v>
      </c>
      <c r="E2" s="95" t="s">
        <v>779</v>
      </c>
      <c r="F2" s="94" t="s">
        <v>5</v>
      </c>
      <c r="G2" s="93">
        <v>15694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180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87.188888888888883</v>
      </c>
      <c r="F4" s="81" t="s">
        <v>12</v>
      </c>
      <c r="G4" s="80">
        <f>G2*G3</f>
        <v>415891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-7.8867071154158808E-2</v>
      </c>
      <c r="F6" s="69" t="s">
        <v>16</v>
      </c>
      <c r="G6" s="68">
        <f>(I50-I19)/(D50-(SUM(D42:D44)+D19))</f>
        <v>31.814120563270343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28.589977385585208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>
        <f t="shared" si="1"/>
        <v>0</v>
      </c>
      <c r="F11" s="28">
        <f t="shared" si="2"/>
        <v>29.776731163854784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>
        <f t="shared" si="1"/>
        <v>0</v>
      </c>
      <c r="F12" s="28">
        <f t="shared" si="2"/>
        <v>27.1874501930848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29.776731163854784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33.336992498663506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>
        <v>175</v>
      </c>
      <c r="E15" s="29">
        <f t="shared" si="1"/>
        <v>0.875</v>
      </c>
      <c r="F15" s="28">
        <f t="shared" si="2"/>
        <v>27.403223607315631</v>
      </c>
      <c r="G15" s="27" t="str">
        <f t="shared" si="3"/>
        <v>+</v>
      </c>
      <c r="H15" s="34">
        <f t="shared" si="4"/>
        <v>4445</v>
      </c>
      <c r="I15" s="34">
        <f t="shared" si="5"/>
        <v>4795.5641312802354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>
        <f t="shared" si="1"/>
        <v>0</v>
      </c>
      <c r="F16" s="28">
        <f t="shared" si="2"/>
        <v>37.544574076164722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>
        <v>25</v>
      </c>
      <c r="E17" s="29">
        <f t="shared" si="1"/>
        <v>0.125</v>
      </c>
      <c r="F17" s="28">
        <f t="shared" si="2"/>
        <v>55.345880750208345</v>
      </c>
      <c r="G17" s="27" t="str">
        <f t="shared" si="3"/>
        <v>+</v>
      </c>
      <c r="H17" s="34">
        <f t="shared" si="4"/>
        <v>1282.5</v>
      </c>
      <c r="I17" s="34">
        <f t="shared" si="5"/>
        <v>1383.6470187552086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48.441131494821732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28.637499999999999</v>
      </c>
      <c r="D19" s="49">
        <f>SUM(D10:D18)</f>
        <v>200</v>
      </c>
      <c r="E19" s="48">
        <f t="shared" si="1"/>
        <v>1</v>
      </c>
      <c r="F19" s="47">
        <f>I19/D19</f>
        <v>30.896055750177219</v>
      </c>
      <c r="G19" s="46">
        <f>F19/C19-1</f>
        <v>7.8867071154158586E-2</v>
      </c>
      <c r="H19" s="9">
        <f>SUM(H10:H18)</f>
        <v>5727.5</v>
      </c>
      <c r="I19" s="9">
        <f>SUM(I10:I18)</f>
        <v>6179.211150035444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/>
      <c r="E21" s="29">
        <f>D21/$D$48</f>
        <v>0</v>
      </c>
      <c r="F21" s="28">
        <f>C21-(C21*$E$6)</f>
        <v>71.852546938866965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805</v>
      </c>
      <c r="E22" s="29">
        <f>D22/$D$48</f>
        <v>5.1954925068735398E-2</v>
      </c>
      <c r="F22" s="28">
        <f>C22-(C22*$E$6)</f>
        <v>48.333244787706313</v>
      </c>
      <c r="G22" s="27" t="str">
        <f>IF(C22&gt;=F22,"-","+")</f>
        <v>+</v>
      </c>
      <c r="H22" s="26">
        <f>C22*D22</f>
        <v>36064</v>
      </c>
      <c r="I22" s="26">
        <f>F22*D22</f>
        <v>38908.262054103579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/>
      <c r="E23" s="29">
        <f>D23/$D$48</f>
        <v>0</v>
      </c>
      <c r="F23" s="28">
        <f>C23-(C23*$E$6)</f>
        <v>44.017776503089678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</v>
      </c>
      <c r="D24" s="22">
        <f>SUM(D21:D23)</f>
        <v>805</v>
      </c>
      <c r="E24" s="21">
        <f>D24/$D$48</f>
        <v>5.1954925068735398E-2</v>
      </c>
      <c r="F24" s="20">
        <f>I24/D24</f>
        <v>48.333244787706313</v>
      </c>
      <c r="G24" s="19">
        <f>F24/C24-1</f>
        <v>7.8867071154158808E-2</v>
      </c>
      <c r="H24" s="18">
        <f>SUM(H21:H23)</f>
        <v>36064</v>
      </c>
      <c r="I24" s="18">
        <f>SUM(I21:I23)</f>
        <v>38908.262054103579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/>
      <c r="E26" s="29">
        <f t="shared" ref="E26:E32" si="7">D26/$D$48</f>
        <v>0</v>
      </c>
      <c r="F26" s="28">
        <f t="shared" ref="F26:F31" si="8">C26-(C26*$E$6)</f>
        <v>38.407667733088054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3790</v>
      </c>
      <c r="E27" s="29">
        <f t="shared" si="7"/>
        <v>0.24460765964038156</v>
      </c>
      <c r="F27" s="28">
        <f t="shared" si="8"/>
        <v>34.200086155586831</v>
      </c>
      <c r="G27" s="27" t="str">
        <f t="shared" si="9"/>
        <v>+</v>
      </c>
      <c r="H27" s="26">
        <f t="shared" si="10"/>
        <v>120143</v>
      </c>
      <c r="I27" s="26">
        <f t="shared" si="11"/>
        <v>129618.32652967409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2716.5</v>
      </c>
      <c r="E28" s="29">
        <f t="shared" si="7"/>
        <v>0.17532366950213626</v>
      </c>
      <c r="F28" s="28">
        <f t="shared" si="8"/>
        <v>34.200086155586831</v>
      </c>
      <c r="G28" s="27" t="str">
        <f t="shared" si="9"/>
        <v>+</v>
      </c>
      <c r="H28" s="26">
        <f t="shared" si="10"/>
        <v>86113.05</v>
      </c>
      <c r="I28" s="26">
        <f t="shared" si="11"/>
        <v>92904.534041651626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2809.1</v>
      </c>
      <c r="E29" s="29">
        <f t="shared" si="7"/>
        <v>0.18130009939203054</v>
      </c>
      <c r="F29" s="28">
        <f t="shared" si="8"/>
        <v>33.013332377317262</v>
      </c>
      <c r="G29" s="27" t="str">
        <f t="shared" si="9"/>
        <v>+</v>
      </c>
      <c r="H29" s="26">
        <f t="shared" si="10"/>
        <v>85958.46</v>
      </c>
      <c r="I29" s="26">
        <f t="shared" si="11"/>
        <v>92737.751981121924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/>
      <c r="E30" s="29">
        <f t="shared" si="7"/>
        <v>0</v>
      </c>
      <c r="F30" s="28">
        <f t="shared" si="8"/>
        <v>33.013332377317262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/>
      <c r="E31" s="29">
        <f t="shared" si="7"/>
        <v>0</v>
      </c>
      <c r="F31" s="28">
        <f t="shared" si="8"/>
        <v>33.552765912894344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31.368297264803125</v>
      </c>
      <c r="D32" s="22">
        <f>SUM(D26:D31)</f>
        <v>9315.6</v>
      </c>
      <c r="E32" s="21">
        <f t="shared" si="7"/>
        <v>0.60123142853454836</v>
      </c>
      <c r="F32" s="20">
        <f>I32/D32</f>
        <v>33.842222997171149</v>
      </c>
      <c r="G32" s="19">
        <f>F32/C32-1</f>
        <v>7.8867071154158586E-2</v>
      </c>
      <c r="H32" s="18">
        <f>SUM(H26:H31)</f>
        <v>292214.51</v>
      </c>
      <c r="I32" s="18">
        <f>SUM(I26:I31)</f>
        <v>315260.61255244759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1143.4+1380.7</f>
        <v>2524.1000000000004</v>
      </c>
      <c r="E34" s="29">
        <f t="shared" ref="E34:E40" si="13">D34/$D$48</f>
        <v>0.1629061197093106</v>
      </c>
      <c r="F34" s="28">
        <f t="shared" ref="F34:F39" si="14">C34-(C34*$E$6)</f>
        <v>20.174814230582768</v>
      </c>
      <c r="G34" s="27" t="str">
        <f t="shared" ref="G34:G39" si="15">IF(C34&gt;=F34,"-","+")</f>
        <v>+</v>
      </c>
      <c r="H34" s="26">
        <f t="shared" ref="H34:H39" si="16">C34*D34</f>
        <v>47200.670000000006</v>
      </c>
      <c r="I34" s="26">
        <f t="shared" ref="I34:I39" si="17">F34*D34</f>
        <v>50923.248599413972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225</v>
      </c>
      <c r="E35" s="29">
        <f t="shared" si="13"/>
        <v>1.4521562907410515E-2</v>
      </c>
      <c r="F35" s="28">
        <f t="shared" si="14"/>
        <v>15.535685824619888</v>
      </c>
      <c r="G35" s="27" t="str">
        <f t="shared" si="15"/>
        <v>+</v>
      </c>
      <c r="H35" s="26">
        <f t="shared" si="16"/>
        <v>3240</v>
      </c>
      <c r="I35" s="26">
        <f t="shared" si="17"/>
        <v>3495.5293105394749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12.514858025388241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33.013332377317262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33.013332377317262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34.200086155586831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18.34806663999127</v>
      </c>
      <c r="D40" s="22">
        <f>SUM(D34:D39)</f>
        <v>2749.1000000000004</v>
      </c>
      <c r="E40" s="113">
        <f t="shared" si="13"/>
        <v>0.17742768261672112</v>
      </c>
      <c r="F40" s="20">
        <f>I40/D40</f>
        <v>19.795124917228708</v>
      </c>
      <c r="G40" s="19">
        <f>F40/C40-1</f>
        <v>7.8867071154158808E-2</v>
      </c>
      <c r="H40" s="18">
        <f>SUM(H34:H39)</f>
        <v>50440.670000000006</v>
      </c>
      <c r="I40" s="18">
        <f>SUM(I34:I39)</f>
        <v>54418.777909953445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262.9+1427.9+824</f>
        <v>2514.8000000000002</v>
      </c>
      <c r="E42" s="107">
        <f>D42/$D$48</f>
        <v>0.16230589510913762</v>
      </c>
      <c r="F42" s="28">
        <f>C42-(C42*$E$6)</f>
        <v>0.43154682846166353</v>
      </c>
      <c r="G42" s="27" t="str">
        <f>IF(C42&gt;=F42,"-","+")</f>
        <v>+</v>
      </c>
      <c r="H42" s="26">
        <f>C42*D42</f>
        <v>1005.9200000000001</v>
      </c>
      <c r="I42" s="26">
        <f>F42*D42</f>
        <v>1085.2539642153915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90.1</v>
      </c>
      <c r="E43" s="107">
        <f>D43/$D$48</f>
        <v>5.8150791909230542E-3</v>
      </c>
      <c r="F43" s="28">
        <f>C43-(C43*$E$6)</f>
        <v>0.43154682846166353</v>
      </c>
      <c r="G43" s="27" t="str">
        <f>IF(C43&gt;=F43,"-","+")</f>
        <v>+</v>
      </c>
      <c r="H43" s="26">
        <f>C43*D43</f>
        <v>36.04</v>
      </c>
      <c r="I43" s="26">
        <f>F43*D43</f>
        <v>38.882369244395882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11</v>
      </c>
      <c r="E44" s="107">
        <f>D44/$D$48</f>
        <v>7.0994307547340291E-4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8.6</v>
      </c>
      <c r="E45" s="107">
        <f>D45/$D$48</f>
        <v>5.5504640446102404E-4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0.39701276433606403</v>
      </c>
      <c r="D46" s="22">
        <f>SUM(D41:D45)</f>
        <v>2624.5</v>
      </c>
      <c r="E46" s="113">
        <f>D46/$D$48</f>
        <v>0.1693859637799951</v>
      </c>
      <c r="F46" s="20">
        <f>I46/D46</f>
        <v>0.42832399827006573</v>
      </c>
      <c r="G46" s="19">
        <f>F46/C46-1</f>
        <v>7.886707115415903E-2</v>
      </c>
      <c r="H46" s="18">
        <f>SUM(H41:H44)</f>
        <v>1041.96</v>
      </c>
      <c r="I46" s="18">
        <f>SUM(I41:I44)</f>
        <v>1124.1363334597875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94.913376669130471</v>
      </c>
      <c r="D48" s="13">
        <f>D24+D32+D40+D46</f>
        <v>15494.2</v>
      </c>
      <c r="E48" s="12">
        <f>SUM(E20:E46)/2</f>
        <v>1</v>
      </c>
      <c r="F48" s="11">
        <f>I48/D48</f>
        <v>26.442913403077565</v>
      </c>
      <c r="G48" s="10"/>
      <c r="H48" s="9">
        <f>SUM(H20:H46)/2</f>
        <v>379761.14000000007</v>
      </c>
      <c r="I48" s="9">
        <f>SUM(I20:I46)/2</f>
        <v>409711.78884996445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15694.199999999999</v>
      </c>
      <c r="E50" s="12">
        <f>D50/G2</f>
        <v>1.0000127437237161</v>
      </c>
      <c r="F50" s="11">
        <f>I50/D50</f>
        <v>26.499662295625129</v>
      </c>
      <c r="G50" s="10"/>
      <c r="H50" s="9">
        <f>H48+H19</f>
        <v>385488.64000000007</v>
      </c>
      <c r="I50" s="9">
        <f>I48+I19</f>
        <v>415890.99999999988</v>
      </c>
      <c r="J50" s="106">
        <f>D50-G2</f>
        <v>0.19999999999890861</v>
      </c>
      <c r="K50" s="8"/>
    </row>
    <row r="51" spans="1:11" ht="23.25" x14ac:dyDescent="0.35">
      <c r="A51" s="174" t="s">
        <v>790</v>
      </c>
      <c r="B51" s="169"/>
      <c r="C51" s="170"/>
      <c r="G51" s="7"/>
      <c r="H51" s="6"/>
      <c r="I51" s="6">
        <f>+I50/D50</f>
        <v>26.499662295625129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783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788</v>
      </c>
      <c r="D2" s="96" t="s">
        <v>3</v>
      </c>
      <c r="E2" s="95" t="s">
        <v>71</v>
      </c>
      <c r="F2" s="94" t="s">
        <v>5</v>
      </c>
      <c r="G2" s="93">
        <v>21515.200000000001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276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77.9536231884058</v>
      </c>
      <c r="F4" s="81" t="s">
        <v>12</v>
      </c>
      <c r="G4" s="80">
        <f>G2*G3</f>
        <v>602425.59999999998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-1.546462341250221E-3</v>
      </c>
      <c r="F6" s="69" t="s">
        <v>16</v>
      </c>
      <c r="G6" s="68">
        <f>(I50-I19)/(D50-(SUM(D42:D44)+D19))</f>
        <v>32.680092601770816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28.043300945555007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4279.1000000000004</v>
      </c>
      <c r="E11" s="29">
        <f t="shared" si="1"/>
        <v>0.74815980417868699</v>
      </c>
      <c r="F11" s="28">
        <f t="shared" si="2"/>
        <v>29.245156700364507</v>
      </c>
      <c r="G11" s="27" t="str">
        <f t="shared" si="3"/>
        <v>+</v>
      </c>
      <c r="H11" s="34">
        <f t="shared" si="4"/>
        <v>124949.72</v>
      </c>
      <c r="I11" s="34">
        <f t="shared" si="5"/>
        <v>125142.95003652977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566.9</v>
      </c>
      <c r="E12" s="29">
        <f t="shared" si="1"/>
        <v>9.9117055686685898E-2</v>
      </c>
      <c r="F12" s="28">
        <f t="shared" si="2"/>
        <v>26.641135898277259</v>
      </c>
      <c r="G12" s="27" t="str">
        <f t="shared" si="3"/>
        <v>+</v>
      </c>
      <c r="H12" s="34">
        <f t="shared" si="4"/>
        <v>15079.54</v>
      </c>
      <c r="I12" s="34">
        <f t="shared" si="5"/>
        <v>15102.859940733377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566.79999999999995</v>
      </c>
      <c r="E13" s="29">
        <f t="shared" si="1"/>
        <v>9.9099571640877696E-2</v>
      </c>
      <c r="F13" s="28">
        <f t="shared" si="2"/>
        <v>29.245156700364507</v>
      </c>
      <c r="G13" s="27" t="str">
        <f t="shared" si="3"/>
        <v>+</v>
      </c>
      <c r="H13" s="34">
        <f t="shared" si="4"/>
        <v>16550.559999999998</v>
      </c>
      <c r="I13" s="34">
        <f t="shared" si="5"/>
        <v>16576.154817766601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219.7</v>
      </c>
      <c r="E14" s="29">
        <f t="shared" si="1"/>
        <v>3.8412448640615438E-2</v>
      </c>
      <c r="F14" s="28">
        <f t="shared" si="2"/>
        <v>32.650414672324757</v>
      </c>
      <c r="G14" s="27" t="str">
        <f t="shared" si="3"/>
        <v>+</v>
      </c>
      <c r="H14" s="34">
        <f t="shared" si="4"/>
        <v>7162.22</v>
      </c>
      <c r="I14" s="34">
        <f t="shared" si="5"/>
        <v>7173.2961035097487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57</v>
      </c>
      <c r="E15" s="29">
        <f t="shared" si="1"/>
        <v>9.96590611067401E-3</v>
      </c>
      <c r="F15" s="28">
        <f t="shared" si="2"/>
        <v>26.941599836979631</v>
      </c>
      <c r="G15" s="27" t="str">
        <f t="shared" si="3"/>
        <v>+</v>
      </c>
      <c r="H15" s="34">
        <f t="shared" si="4"/>
        <v>1533.3</v>
      </c>
      <c r="I15" s="34">
        <f t="shared" si="5"/>
        <v>1535.6711907078388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36.856909814158008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>
        <v>30</v>
      </c>
      <c r="E17" s="29">
        <f t="shared" si="1"/>
        <v>5.2452137424600052E-3</v>
      </c>
      <c r="F17" s="28">
        <f t="shared" si="2"/>
        <v>54.283818258895764</v>
      </c>
      <c r="G17" s="27" t="str">
        <f t="shared" si="3"/>
        <v>+</v>
      </c>
      <c r="H17" s="34">
        <f t="shared" si="4"/>
        <v>1626</v>
      </c>
      <c r="I17" s="34">
        <f t="shared" si="5"/>
        <v>1628.514547766873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47.473302314975257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29.181106740099658</v>
      </c>
      <c r="D19" s="49">
        <f>SUM(D10:D18)</f>
        <v>5719.5</v>
      </c>
      <c r="E19" s="48">
        <f t="shared" si="1"/>
        <v>1</v>
      </c>
      <c r="F19" s="47">
        <f>I19/D19</f>
        <v>29.22623422274923</v>
      </c>
      <c r="G19" s="46">
        <f>F19/C19-1</f>
        <v>1.546462341250443E-3</v>
      </c>
      <c r="H19" s="9">
        <f>SUM(H10:H18)</f>
        <v>166901.34</v>
      </c>
      <c r="I19" s="9">
        <f>SUM(I10:I18)</f>
        <v>167159.44663701422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126.9</v>
      </c>
      <c r="E21" s="29">
        <f>D21/$D$48</f>
        <v>8.0338319922510556E-3</v>
      </c>
      <c r="F21" s="28">
        <f>C21-(C21*$E$6)</f>
        <v>70.508870948824026</v>
      </c>
      <c r="G21" s="27" t="str">
        <f>IF(C21&gt;=F21,"-","+")</f>
        <v>+</v>
      </c>
      <c r="H21" s="26">
        <f>C21*D21</f>
        <v>8933.76</v>
      </c>
      <c r="I21" s="26">
        <f>F21*D21</f>
        <v>8947.5757234057692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499</v>
      </c>
      <c r="E22" s="29">
        <f>D22/$D$48</f>
        <v>3.1590875997898157E-2</v>
      </c>
      <c r="F22" s="28">
        <f>C22-(C22*$E$6)</f>
        <v>47.373147668741133</v>
      </c>
      <c r="G22" s="27" t="str">
        <f>IF(C22&gt;=F22,"-","+")</f>
        <v>+</v>
      </c>
      <c r="H22" s="26">
        <f>C22*D22</f>
        <v>23602.699999999997</v>
      </c>
      <c r="I22" s="26">
        <f>F22*D22</f>
        <v>23639.200686701824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287.8</v>
      </c>
      <c r="E23" s="29">
        <f>D23/$D$48</f>
        <v>1.8220148521433048E-2</v>
      </c>
      <c r="F23" s="28">
        <f>C23-(C23*$E$6)</f>
        <v>43.166652526907889</v>
      </c>
      <c r="G23" s="27" t="str">
        <f>IF(C23&gt;=F23,"-","+")</f>
        <v>+</v>
      </c>
      <c r="H23" s="26">
        <f>C23*D23</f>
        <v>12404.18</v>
      </c>
      <c r="I23" s="26">
        <f>F23*D23</f>
        <v>12423.362597244091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49.185334354821052</v>
      </c>
      <c r="D24" s="22">
        <f>SUM(D21:D23)</f>
        <v>913.7</v>
      </c>
      <c r="E24" s="21">
        <f>D24/$D$48</f>
        <v>5.784485651158227E-2</v>
      </c>
      <c r="F24" s="20">
        <f>I24/D24</f>
        <v>49.261397622142589</v>
      </c>
      <c r="G24" s="19">
        <f>F24/C24-1</f>
        <v>1.546462341250221E-3</v>
      </c>
      <c r="H24" s="18">
        <f>SUM(H21:H23)</f>
        <v>44940.639999999999</v>
      </c>
      <c r="I24" s="18">
        <f>SUM(I21:I23)</f>
        <v>45010.139007351689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335.3+331.4+93.4+2294.1</f>
        <v>3054.2</v>
      </c>
      <c r="E26" s="29">
        <f t="shared" ref="E26:E32" si="7">D26/$D$48</f>
        <v>0.19335641978513138</v>
      </c>
      <c r="F26" s="28">
        <f t="shared" ref="F26:F31" si="8">C26-(C26*$E$6)</f>
        <v>37.658146984031006</v>
      </c>
      <c r="G26" s="27" t="str">
        <f t="shared" ref="G26:G31" si="9">IF(C26&gt;=F26,"-","+")</f>
        <v>+</v>
      </c>
      <c r="H26" s="26">
        <f t="shared" ref="H26:H31" si="10">C26*D26</f>
        <v>114837.92</v>
      </c>
      <c r="I26" s="26">
        <f t="shared" ref="I26:I31" si="11">F26*D26</f>
        <v>115015.5125186275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2612.6999999999998</v>
      </c>
      <c r="E27" s="29">
        <f t="shared" si="7"/>
        <v>0.16540577498939582</v>
      </c>
      <c r="F27" s="28">
        <f t="shared" si="8"/>
        <v>33.551806488431879</v>
      </c>
      <c r="G27" s="27" t="str">
        <f t="shared" si="9"/>
        <v>+</v>
      </c>
      <c r="H27" s="26">
        <f t="shared" si="10"/>
        <v>87525.45</v>
      </c>
      <c r="I27" s="26">
        <f t="shared" si="11"/>
        <v>87660.804812325965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1551.6</v>
      </c>
      <c r="E28" s="29">
        <f t="shared" si="7"/>
        <v>9.8229264926530627E-2</v>
      </c>
      <c r="F28" s="28">
        <f t="shared" si="8"/>
        <v>33.551806488431879</v>
      </c>
      <c r="G28" s="27" t="str">
        <f t="shared" si="9"/>
        <v>+</v>
      </c>
      <c r="H28" s="26">
        <f t="shared" si="10"/>
        <v>51978.6</v>
      </c>
      <c r="I28" s="26">
        <f t="shared" si="11"/>
        <v>52058.982947450902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1548.2</v>
      </c>
      <c r="E29" s="29">
        <f t="shared" si="7"/>
        <v>9.8014016472837542E-2</v>
      </c>
      <c r="F29" s="28">
        <f t="shared" si="8"/>
        <v>32.349950733622379</v>
      </c>
      <c r="G29" s="27" t="str">
        <f t="shared" si="9"/>
        <v>+</v>
      </c>
      <c r="H29" s="26">
        <f t="shared" si="10"/>
        <v>50006.86</v>
      </c>
      <c r="I29" s="26">
        <f t="shared" si="11"/>
        <v>50084.193725794168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856.8</v>
      </c>
      <c r="E30" s="29">
        <f t="shared" si="7"/>
        <v>5.4242610330659607E-2</v>
      </c>
      <c r="F30" s="28">
        <f t="shared" si="8"/>
        <v>32.349950733622379</v>
      </c>
      <c r="G30" s="27" t="str">
        <f t="shared" si="9"/>
        <v>+</v>
      </c>
      <c r="H30" s="26">
        <f t="shared" si="10"/>
        <v>27674.639999999996</v>
      </c>
      <c r="I30" s="26">
        <f t="shared" si="11"/>
        <v>27717.437788567651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114.6</v>
      </c>
      <c r="E31" s="29">
        <f t="shared" si="7"/>
        <v>7.2551390568319218E-3</v>
      </c>
      <c r="F31" s="28">
        <f t="shared" si="8"/>
        <v>32.950878611027129</v>
      </c>
      <c r="G31" s="27" t="str">
        <f t="shared" si="9"/>
        <v>+</v>
      </c>
      <c r="H31" s="26">
        <f t="shared" si="10"/>
        <v>3770.3399999999997</v>
      </c>
      <c r="I31" s="26">
        <f t="shared" si="11"/>
        <v>3776.1706888237086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34.482477074583343</v>
      </c>
      <c r="D32" s="22">
        <f>SUM(D26:D31)</f>
        <v>9738.1</v>
      </c>
      <c r="E32" s="21">
        <f t="shared" si="7"/>
        <v>0.61650322556138692</v>
      </c>
      <c r="F32" s="20">
        <f>I32/D32</f>
        <v>34.535802926812195</v>
      </c>
      <c r="G32" s="19">
        <f>F32/C32-1</f>
        <v>1.5464623412497769E-3</v>
      </c>
      <c r="H32" s="18">
        <f>SUM(H26:H31)</f>
        <v>335793.81000000006</v>
      </c>
      <c r="I32" s="18">
        <f>SUM(I26:I31)</f>
        <v>336313.10248158989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2658.4</v>
      </c>
      <c r="E34" s="29">
        <f t="shared" ref="E34:E40" si="13">D34/$D$48</f>
        <v>0.16829896744050596</v>
      </c>
      <c r="F34" s="28">
        <f t="shared" ref="F34:F39" si="14">C34-(C34*$E$6)</f>
        <v>19.830619954356756</v>
      </c>
      <c r="G34" s="27" t="str">
        <f t="shared" ref="G34:G39" si="15">IF(C34&gt;=F34,"-","+")</f>
        <v>+</v>
      </c>
      <c r="H34" s="26">
        <f t="shared" ref="H34:H39" si="16">C34*D34</f>
        <v>52636.320000000007</v>
      </c>
      <c r="I34" s="26">
        <f t="shared" ref="I34:I39" si="17">F34*D34</f>
        <v>52717.720086662004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15.223506227587002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12.218866840563251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32.349950733622379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32.349950733622379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33.551806488431879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2658.4</v>
      </c>
      <c r="E40" s="113">
        <f t="shared" si="13"/>
        <v>0.16829896744050596</v>
      </c>
      <c r="F40" s="20">
        <f>I40/D40</f>
        <v>19.830619954356756</v>
      </c>
      <c r="G40" s="19">
        <f>F40/C40-1</f>
        <v>1.546462341250221E-3</v>
      </c>
      <c r="H40" s="18">
        <f>SUM(H34:H39)</f>
        <v>52636.320000000007</v>
      </c>
      <c r="I40" s="18">
        <f>SUM(I34:I39)</f>
        <v>52717.720086662004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2305</v>
      </c>
      <c r="E42" s="107">
        <f>D42/$D$48</f>
        <v>0.14592578993017086</v>
      </c>
      <c r="F42" s="28">
        <f>C42-(C42*$E$6)</f>
        <v>0.50077323117062511</v>
      </c>
      <c r="G42" s="27" t="str">
        <f>IF(C42&gt;=F42,"-","+")</f>
        <v>+</v>
      </c>
      <c r="H42" s="26">
        <f>C42*D42</f>
        <v>1152.5</v>
      </c>
      <c r="I42" s="26">
        <f>F42*D42</f>
        <v>1154.2822978482909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141.6</v>
      </c>
      <c r="E43" s="107">
        <f>D43/$D$48</f>
        <v>8.9644650126300181E-3</v>
      </c>
      <c r="F43" s="28">
        <f>C43-(C43*$E$6)</f>
        <v>0.50077323117062511</v>
      </c>
      <c r="G43" s="27" t="str">
        <f>IF(C43&gt;=F43,"-","+")</f>
        <v>+</v>
      </c>
      <c r="H43" s="26">
        <f>C43*D43</f>
        <v>70.8</v>
      </c>
      <c r="I43" s="26">
        <f>F43*D43</f>
        <v>70.909489533760507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30.1</v>
      </c>
      <c r="E44" s="107">
        <f>D44/$D$48</f>
        <v>1.9055818988712118E-3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8.8000000000000007</v>
      </c>
      <c r="E45" s="107">
        <f>D45/$D$48</f>
        <v>5.5711364485271314E-4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0.49217461275397301</v>
      </c>
      <c r="D46" s="22">
        <f>SUM(D41:D45)</f>
        <v>2485.5</v>
      </c>
      <c r="E46" s="113">
        <f>D46/$D$48</f>
        <v>0.15735295048652481</v>
      </c>
      <c r="F46" s="20">
        <f>I46/D46</f>
        <v>0.49293574225791648</v>
      </c>
      <c r="G46" s="19">
        <f>F46/C46-1</f>
        <v>1.546462341250221E-3</v>
      </c>
      <c r="H46" s="18">
        <f>SUM(H41:H44)</f>
        <v>1223.3</v>
      </c>
      <c r="I46" s="18">
        <f>SUM(I41:I44)</f>
        <v>1225.1917873820514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103.95998604215836</v>
      </c>
      <c r="D48" s="13">
        <f>D24+D32+D40+D46</f>
        <v>15795.7</v>
      </c>
      <c r="E48" s="12">
        <f>SUM(E20:E46)/2</f>
        <v>1</v>
      </c>
      <c r="F48" s="11">
        <f>I48/D48</f>
        <v>27.555990134212824</v>
      </c>
      <c r="G48" s="10"/>
      <c r="H48" s="9">
        <f>SUM(H20:H46)/2</f>
        <v>434594.07000000018</v>
      </c>
      <c r="I48" s="9">
        <f>SUM(I20:I46)/2</f>
        <v>435266.15336298553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21515.200000000001</v>
      </c>
      <c r="E50" s="12">
        <f>D50/G2</f>
        <v>1</v>
      </c>
      <c r="F50" s="11">
        <f>I50/D50</f>
        <v>27.999999999999986</v>
      </c>
      <c r="G50" s="10"/>
      <c r="H50" s="9">
        <f>H48+H19</f>
        <v>601495.41000000015</v>
      </c>
      <c r="I50" s="9">
        <f>I48+I19</f>
        <v>602425.59999999974</v>
      </c>
      <c r="J50" s="106">
        <f>D50-G2</f>
        <v>0</v>
      </c>
      <c r="K50" s="8"/>
    </row>
    <row r="51" spans="1:11" ht="23.25" x14ac:dyDescent="0.35">
      <c r="A51" s="174" t="s">
        <v>791</v>
      </c>
      <c r="B51" s="169"/>
      <c r="C51" s="170"/>
      <c r="G51" s="7"/>
      <c r="H51" s="6"/>
      <c r="I51" s="6">
        <f>+I50/D50</f>
        <v>27.999999999999986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>
    <tabColor rgb="FF92D050"/>
  </sheetPr>
  <dimension ref="A1:K56"/>
  <sheetViews>
    <sheetView workbookViewId="0"/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783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792</v>
      </c>
      <c r="D2" s="96" t="s">
        <v>3</v>
      </c>
      <c r="E2" s="95" t="s">
        <v>112</v>
      </c>
      <c r="F2" s="94" t="s">
        <v>5</v>
      </c>
      <c r="G2" s="93">
        <v>12461.4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184</v>
      </c>
      <c r="F3" s="88" t="s">
        <v>8</v>
      </c>
      <c r="G3" s="87">
        <v>25.29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67.724999999999994</v>
      </c>
      <c r="F4" s="81" t="s">
        <v>12</v>
      </c>
      <c r="G4" s="80">
        <f>G2*G3</f>
        <v>315148.80599999998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-9.6456631192341824E-2</v>
      </c>
      <c r="F6" s="69" t="s">
        <v>16</v>
      </c>
      <c r="G6" s="68">
        <f>(I50-I19)/(D50-(SUM(D42:D44)+D19))</f>
        <v>32.33290304709142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27.74035276916625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 t="e">
        <f t="shared" si="1"/>
        <v>#DIV/0!</v>
      </c>
      <c r="F11" s="28">
        <f t="shared" si="2"/>
        <v>28.83680940035859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24.1</v>
      </c>
      <c r="D12" s="30"/>
      <c r="E12" s="29" t="e">
        <f t="shared" si="1"/>
        <v>#DIV/0!</v>
      </c>
      <c r="F12" s="28">
        <f t="shared" si="2"/>
        <v>26.424604811735438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 t="e">
        <f t="shared" si="1"/>
        <v>#DIV/0!</v>
      </c>
      <c r="F13" s="28">
        <f t="shared" si="2"/>
        <v>28.83680940035859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 t="e">
        <f t="shared" si="1"/>
        <v>#DIV/0!</v>
      </c>
      <c r="F14" s="28">
        <f t="shared" si="2"/>
        <v>32.235824957054845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24.3</v>
      </c>
      <c r="D15" s="30"/>
      <c r="E15" s="29" t="e">
        <f t="shared" si="1"/>
        <v>#DIV/0!</v>
      </c>
      <c r="F15" s="28">
        <f t="shared" si="2"/>
        <v>26.643896137973908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 t="e">
        <f t="shared" si="1"/>
        <v>#DIV/0!</v>
      </c>
      <c r="F16" s="28">
        <f t="shared" si="2"/>
        <v>36.402360155585754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48.9</v>
      </c>
      <c r="D17" s="30"/>
      <c r="E17" s="29" t="e">
        <f t="shared" si="1"/>
        <v>#DIV/0!</v>
      </c>
      <c r="F17" s="28">
        <f t="shared" si="2"/>
        <v>53.616729265305516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 t="e">
        <f t="shared" si="1"/>
        <v>#DIV/0!</v>
      </c>
      <c r="F18" s="28">
        <f t="shared" si="2"/>
        <v>46.928343815032228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63.6</v>
      </c>
      <c r="D21" s="30">
        <v>152.6</v>
      </c>
      <c r="E21" s="29">
        <f>D21/$D$48</f>
        <v>1.2245815076957644E-2</v>
      </c>
      <c r="F21" s="28">
        <f>C21-(C21*$E$6)</f>
        <v>69.734641743832938</v>
      </c>
      <c r="G21" s="27" t="str">
        <f>IF(C21&gt;=F21,"-","+")</f>
        <v>+</v>
      </c>
      <c r="H21" s="26">
        <f>C21*D21</f>
        <v>9705.36</v>
      </c>
      <c r="I21" s="26">
        <f>F21*D21</f>
        <v>10641.506330108907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42.7</v>
      </c>
      <c r="D22" s="30">
        <v>319.39999999999998</v>
      </c>
      <c r="E22" s="29">
        <f>D22/$D$48</f>
        <v>2.563114898807517E-2</v>
      </c>
      <c r="F22" s="28">
        <f>C22-(C22*$E$6)</f>
        <v>46.818698151912997</v>
      </c>
      <c r="G22" s="27" t="str">
        <f>IF(C22&gt;=F22,"-","+")</f>
        <v>+</v>
      </c>
      <c r="H22" s="26">
        <f>C22*D22</f>
        <v>13638.38</v>
      </c>
      <c r="I22" s="26">
        <f>F22*D22</f>
        <v>14953.892189721009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v>259.2</v>
      </c>
      <c r="E23" s="29">
        <f>D23/$D$48</f>
        <v>2.0800231113679037E-2</v>
      </c>
      <c r="F23" s="28">
        <f>C23-(C23*$E$6)</f>
        <v>42.652162953382096</v>
      </c>
      <c r="G23" s="27" t="str">
        <f>IF(C23&gt;=F23,"-","+")</f>
        <v>+</v>
      </c>
      <c r="H23" s="26">
        <f>C23*D23</f>
        <v>10082.879999999999</v>
      </c>
      <c r="I23" s="26">
        <f>F23*D23</f>
        <v>11055.440637516638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45.714742888402618</v>
      </c>
      <c r="D24" s="22">
        <f>SUM(D21:D23)</f>
        <v>731.2</v>
      </c>
      <c r="E24" s="21">
        <f>D24/$D$48</f>
        <v>5.8677195178711859E-2</v>
      </c>
      <c r="F24" s="20">
        <f>I24/D24</f>
        <v>50.124232983242003</v>
      </c>
      <c r="G24" s="19">
        <f>F24/C24-1</f>
        <v>9.6456631192341824E-2</v>
      </c>
      <c r="H24" s="18">
        <f>SUM(H21:H23)</f>
        <v>33426.619999999995</v>
      </c>
      <c r="I24" s="18">
        <f>SUM(I21:I23)</f>
        <v>36650.839157346556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v>2379</v>
      </c>
      <c r="E26" s="29">
        <f t="shared" ref="E26:E32" si="7">D26/$D$48</f>
        <v>0.19090952862439209</v>
      </c>
      <c r="F26" s="28">
        <f t="shared" ref="F26:F31" si="8">C26-(C26*$E$6)</f>
        <v>37.169879797420386</v>
      </c>
      <c r="G26" s="27" t="str">
        <f t="shared" ref="G26:G31" si="9">IF(C26&gt;=F26,"-","+")</f>
        <v>+</v>
      </c>
      <c r="H26" s="26">
        <f t="shared" ref="H26:H31" si="10">C26*D26</f>
        <v>80648.099999999991</v>
      </c>
      <c r="I26" s="26">
        <f t="shared" ref="I26:I31" si="11">F26*D26</f>
        <v>88427.144038063096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1878.6</v>
      </c>
      <c r="E27" s="29">
        <f t="shared" si="7"/>
        <v>0.15075352689103952</v>
      </c>
      <c r="F27" s="28">
        <f t="shared" si="8"/>
        <v>33.112990262008722</v>
      </c>
      <c r="G27" s="27" t="str">
        <f t="shared" si="9"/>
        <v>+</v>
      </c>
      <c r="H27" s="26">
        <f t="shared" si="10"/>
        <v>56733.719999999994</v>
      </c>
      <c r="I27" s="26">
        <f t="shared" si="11"/>
        <v>62206.063506209583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878.5</v>
      </c>
      <c r="E28" s="29">
        <f t="shared" si="7"/>
        <v>7.0497696887990111E-2</v>
      </c>
      <c r="F28" s="28">
        <f t="shared" si="8"/>
        <v>33.112990262008722</v>
      </c>
      <c r="G28" s="27" t="str">
        <f t="shared" si="9"/>
        <v>+</v>
      </c>
      <c r="H28" s="26">
        <f t="shared" si="10"/>
        <v>26530.7</v>
      </c>
      <c r="I28" s="26">
        <f t="shared" si="11"/>
        <v>29089.761945174661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924.9</v>
      </c>
      <c r="E29" s="29">
        <f t="shared" si="7"/>
        <v>7.4221195050315367E-2</v>
      </c>
      <c r="F29" s="28">
        <f t="shared" si="8"/>
        <v>32.016533630816383</v>
      </c>
      <c r="G29" s="27" t="str">
        <f t="shared" si="9"/>
        <v>+</v>
      </c>
      <c r="H29" s="26">
        <f t="shared" si="10"/>
        <v>27007.079999999998</v>
      </c>
      <c r="I29" s="26">
        <f t="shared" si="11"/>
        <v>29612.09195514207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691.8</v>
      </c>
      <c r="E30" s="29">
        <f t="shared" si="7"/>
        <v>5.5515431652944279E-2</v>
      </c>
      <c r="F30" s="28">
        <f t="shared" si="8"/>
        <v>32.016533630816383</v>
      </c>
      <c r="G30" s="27" t="str">
        <f t="shared" si="9"/>
        <v>+</v>
      </c>
      <c r="H30" s="26">
        <f t="shared" si="10"/>
        <v>20200.559999999998</v>
      </c>
      <c r="I30" s="26">
        <f t="shared" si="11"/>
        <v>22149.037965798772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183</v>
      </c>
      <c r="E31" s="29">
        <f t="shared" si="7"/>
        <v>1.468534835572247E-2</v>
      </c>
      <c r="F31" s="28">
        <f t="shared" si="8"/>
        <v>32.564761946412553</v>
      </c>
      <c r="G31" s="27" t="str">
        <f t="shared" si="9"/>
        <v>+</v>
      </c>
      <c r="H31" s="26">
        <f t="shared" si="10"/>
        <v>5435.0999999999995</v>
      </c>
      <c r="I31" s="26">
        <f t="shared" si="11"/>
        <v>5959.3514361934967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31.222823610830758</v>
      </c>
      <c r="D32" s="22">
        <f>SUM(D26:D31)</f>
        <v>6935.8</v>
      </c>
      <c r="E32" s="21">
        <f t="shared" si="7"/>
        <v>0.55658272746240389</v>
      </c>
      <c r="F32" s="20">
        <f>I32/D32</f>
        <v>34.23447199264421</v>
      </c>
      <c r="G32" s="19">
        <f>F32/C32-1</f>
        <v>9.6456631192342046E-2</v>
      </c>
      <c r="H32" s="18">
        <f>SUM(H26:H31)</f>
        <v>216555.25999999998</v>
      </c>
      <c r="I32" s="18">
        <f>SUM(I26:I31)</f>
        <v>237443.45084658169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1016.2+882.9</f>
        <v>1899.1</v>
      </c>
      <c r="E34" s="29">
        <f t="shared" ref="E34:E40" si="13">D34/$D$48</f>
        <v>0.15239860689810131</v>
      </c>
      <c r="F34" s="28">
        <f t="shared" ref="F34:F39" si="14">C34-(C34*$E$6)</f>
        <v>19.626573698342916</v>
      </c>
      <c r="G34" s="27" t="str">
        <f t="shared" ref="G34:G39" si="15">IF(C34&gt;=F34,"-","+")</f>
        <v>+</v>
      </c>
      <c r="H34" s="26">
        <f t="shared" ref="H34:H39" si="16">C34*D34</f>
        <v>33993.889999999992</v>
      </c>
      <c r="I34" s="26">
        <f t="shared" ref="I34:I39" si="17">F34*D34</f>
        <v>37272.826110523034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172.5</v>
      </c>
      <c r="E35" s="29">
        <f t="shared" si="13"/>
        <v>1.3842746400885933E-2</v>
      </c>
      <c r="F35" s="28">
        <f t="shared" si="14"/>
        <v>15.021455847335082</v>
      </c>
      <c r="G35" s="27" t="str">
        <f t="shared" si="15"/>
        <v>+</v>
      </c>
      <c r="H35" s="26">
        <f t="shared" si="16"/>
        <v>2363.25</v>
      </c>
      <c r="I35" s="26">
        <f t="shared" si="17"/>
        <v>2591.2011336653018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12.061022943115759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32.016533630816383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32.016533630816383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33.112990262008722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17.550270322456068</v>
      </c>
      <c r="D40" s="22">
        <f>SUM(D34:D39)</f>
        <v>2071.6</v>
      </c>
      <c r="E40" s="113">
        <f t="shared" si="13"/>
        <v>0.16624135329898723</v>
      </c>
      <c r="F40" s="20">
        <f>I40/D40</f>
        <v>19.243110274275118</v>
      </c>
      <c r="G40" s="19">
        <f>F40/C40-1</f>
        <v>9.6456631192342046E-2</v>
      </c>
      <c r="H40" s="18">
        <f>SUM(H34:H39)</f>
        <v>36357.139999999992</v>
      </c>
      <c r="I40" s="18">
        <f>SUM(I34:I39)</f>
        <v>39864.027244188335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1245+185.4+1204.4</f>
        <v>2634.8</v>
      </c>
      <c r="E42" s="107">
        <f>D42/$D$48</f>
        <v>0.21143691720031457</v>
      </c>
      <c r="F42" s="28">
        <f>C42-(C42*$E$6)</f>
        <v>0.43858265247693673</v>
      </c>
      <c r="G42" s="27" t="str">
        <f>IF(C42&gt;=F42,"-","+")</f>
        <v>+</v>
      </c>
      <c r="H42" s="26">
        <f>C42*D42</f>
        <v>1053.92</v>
      </c>
      <c r="I42" s="26">
        <f>F42*D42</f>
        <v>1155.577572746233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79.599999999999994</v>
      </c>
      <c r="E43" s="107">
        <f>D43/$D$48</f>
        <v>6.3877252957131609E-3</v>
      </c>
      <c r="F43" s="28">
        <f>C43-(C43*$E$6)</f>
        <v>0.43858265247693673</v>
      </c>
      <c r="G43" s="27" t="str">
        <f>IF(C43&gt;=F43,"-","+")</f>
        <v>+</v>
      </c>
      <c r="H43" s="26">
        <f>C43*D43</f>
        <v>31.84</v>
      </c>
      <c r="I43" s="26">
        <f>F43*D43</f>
        <v>34.911179137164162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8.4</v>
      </c>
      <c r="E45" s="107">
        <f>D45/$D$48</f>
        <v>6.740815638692281E-4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0.39876597620096954</v>
      </c>
      <c r="D46" s="22">
        <f>SUM(D41:D45)</f>
        <v>2722.8</v>
      </c>
      <c r="E46" s="113">
        <f>D46/$D$48</f>
        <v>0.21849872405989695</v>
      </c>
      <c r="F46" s="20">
        <f>I46/D46</f>
        <v>0.43722959889944074</v>
      </c>
      <c r="G46" s="19">
        <f>F46/C46-1</f>
        <v>9.6456631192342046E-2</v>
      </c>
      <c r="H46" s="18">
        <f>SUM(H41:H44)</f>
        <v>1085.76</v>
      </c>
      <c r="I46" s="18">
        <f>SUM(I41:I44)</f>
        <v>1190.4887518833973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94.886602797890419</v>
      </c>
      <c r="D48" s="13">
        <f>D24+D32+D40+D46</f>
        <v>12461.400000000001</v>
      </c>
      <c r="E48" s="12">
        <f>SUM(E20:E46)/2</f>
        <v>1</v>
      </c>
      <c r="F48" s="11">
        <f>I48/D48</f>
        <v>25.289999999999996</v>
      </c>
      <c r="G48" s="10"/>
      <c r="H48" s="9">
        <f>SUM(H20:H46)/2</f>
        <v>287424.77999999997</v>
      </c>
      <c r="I48" s="9">
        <f>SUM(I20:I46)/2</f>
        <v>315148.80599999998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12461.399999999998</v>
      </c>
      <c r="E50" s="12">
        <f>D50/G2</f>
        <v>0.99999999999999989</v>
      </c>
      <c r="F50" s="11">
        <f>I50/D50</f>
        <v>25.290000000000003</v>
      </c>
      <c r="G50" s="10"/>
      <c r="H50" s="9">
        <f>H48+H19</f>
        <v>287424.77999999997</v>
      </c>
      <c r="I50" s="9">
        <f>I48+I19</f>
        <v>315148.80599999998</v>
      </c>
      <c r="J50" s="106">
        <f>D50-G2</f>
        <v>0</v>
      </c>
      <c r="K50" s="8"/>
    </row>
    <row r="51" spans="1:11" ht="23.25" x14ac:dyDescent="0.35">
      <c r="A51" s="174" t="s">
        <v>793</v>
      </c>
      <c r="B51" s="169"/>
      <c r="C51" s="170"/>
      <c r="G51" s="7"/>
      <c r="H51" s="6"/>
      <c r="I51" s="6">
        <f>+I50/D50</f>
        <v>25.290000000000003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792</v>
      </c>
      <c r="D1" s="100" t="s">
        <v>1</v>
      </c>
      <c r="E1" s="168" t="s">
        <v>166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792</v>
      </c>
      <c r="D2" s="96" t="s">
        <v>3</v>
      </c>
      <c r="E2" s="95" t="s">
        <v>71</v>
      </c>
      <c r="F2" s="94" t="s">
        <v>5</v>
      </c>
      <c r="G2" s="93">
        <v>14023.2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180</v>
      </c>
      <c r="F3" s="88" t="s">
        <v>8</v>
      </c>
      <c r="G3" s="87">
        <v>27.7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77.906666666666666</v>
      </c>
      <c r="F4" s="81" t="s">
        <v>12</v>
      </c>
      <c r="G4" s="80">
        <f>G2*G3</f>
        <v>388442.64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-2.5011736600161871E-2</v>
      </c>
      <c r="F6" s="69" t="s">
        <v>16</v>
      </c>
      <c r="G6" s="68">
        <f>(I50-I19)/(D50-(SUM(D42:D44)+D19))</f>
        <v>33.569780143805311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27.7</v>
      </c>
      <c r="D10" s="30"/>
      <c r="E10" s="29" t="e">
        <f t="shared" ref="E10:E19" si="1">D10/$D$19</f>
        <v>#DIV/0!</v>
      </c>
      <c r="F10" s="28">
        <f t="shared" ref="F10:F18" si="2">C10-(C10*$E$6)</f>
        <v>28.392825103824482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28.8</v>
      </c>
      <c r="D11" s="30"/>
      <c r="E11" s="29" t="e">
        <f t="shared" si="1"/>
        <v>#DIV/0!</v>
      </c>
      <c r="F11" s="28">
        <f t="shared" si="2"/>
        <v>29.520338014084661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/>
      <c r="E12" s="29" t="e">
        <f t="shared" si="1"/>
        <v>#DIV/0!</v>
      </c>
      <c r="F12" s="28">
        <f t="shared" si="2"/>
        <v>27.060309846244273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28.8</v>
      </c>
      <c r="D13" s="30"/>
      <c r="E13" s="29" t="e">
        <f t="shared" si="1"/>
        <v>#DIV/0!</v>
      </c>
      <c r="F13" s="28">
        <f t="shared" si="2"/>
        <v>29.520338014084661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32.200000000000003</v>
      </c>
      <c r="D14" s="30"/>
      <c r="E14" s="29" t="e">
        <f t="shared" si="1"/>
        <v>#DIV/0!</v>
      </c>
      <c r="F14" s="28">
        <f t="shared" si="2"/>
        <v>33.005377918525213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26.6</v>
      </c>
      <c r="D15" s="30"/>
      <c r="E15" s="29" t="e">
        <f t="shared" si="1"/>
        <v>#DIV/0!</v>
      </c>
      <c r="F15" s="28">
        <f t="shared" si="2"/>
        <v>27.265312193564306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36.4</v>
      </c>
      <c r="D16" s="30"/>
      <c r="E16" s="29" t="e">
        <f t="shared" si="1"/>
        <v>#DIV/0!</v>
      </c>
      <c r="F16" s="28">
        <f t="shared" si="2"/>
        <v>37.310427212245891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53.6</v>
      </c>
      <c r="D17" s="30"/>
      <c r="E17" s="29" t="e">
        <f t="shared" si="1"/>
        <v>#DIV/0!</v>
      </c>
      <c r="F17" s="28">
        <f t="shared" si="2"/>
        <v>54.940629081768677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46.9</v>
      </c>
      <c r="D18" s="30"/>
      <c r="E18" s="29" t="e">
        <f t="shared" si="1"/>
        <v>#DIV/0!</v>
      </c>
      <c r="F18" s="28">
        <f t="shared" si="2"/>
        <v>48.07305044654759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69.7</v>
      </c>
      <c r="D21" s="30">
        <v>168.5</v>
      </c>
      <c r="E21" s="29">
        <f>D21/$D$48</f>
        <v>1.2015802384619773E-2</v>
      </c>
      <c r="F21" s="28">
        <f>C21-(C21*$E$6)</f>
        <v>71.44331804103129</v>
      </c>
      <c r="G21" s="27" t="str">
        <f>IF(C21&gt;=F21,"-","+")</f>
        <v>+</v>
      </c>
      <c r="H21" s="26">
        <f>C21*D21</f>
        <v>11744.45</v>
      </c>
      <c r="I21" s="26">
        <f>F21*D21</f>
        <v>12038.199089913773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46.8</v>
      </c>
      <c r="D22" s="30">
        <v>469.1</v>
      </c>
      <c r="E22" s="29">
        <f>D22/$D$48</f>
        <v>3.3451708597181815E-2</v>
      </c>
      <c r="F22" s="28">
        <f>C22-(C22*$E$6)</f>
        <v>47.970549272887574</v>
      </c>
      <c r="G22" s="27" t="str">
        <f>IF(C22&gt;=F22,"-","+")</f>
        <v>+</v>
      </c>
      <c r="H22" s="26">
        <f>C22*D22</f>
        <v>21953.88</v>
      </c>
      <c r="I22" s="26">
        <f>F22*D22</f>
        <v>22502.98466391156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42.7</v>
      </c>
      <c r="D23" s="30">
        <v>323.7</v>
      </c>
      <c r="E23" s="29">
        <f>D23/$D$48</f>
        <v>2.3083176450453533E-2</v>
      </c>
      <c r="F23" s="28">
        <f>C23-(C23*$E$6)</f>
        <v>43.768001152826912</v>
      </c>
      <c r="G23" s="27" t="str">
        <f>IF(C23&gt;=F23,"-","+")</f>
        <v>+</v>
      </c>
      <c r="H23" s="26">
        <f>C23*D23</f>
        <v>13821.99</v>
      </c>
      <c r="I23" s="26">
        <f>F23*D23</f>
        <v>14167.701973170071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49.433392281285762</v>
      </c>
      <c r="D24" s="22">
        <f>SUM(D21:D23)</f>
        <v>961.3</v>
      </c>
      <c r="E24" s="21">
        <f>D24/$D$48</f>
        <v>6.855068743225512E-2</v>
      </c>
      <c r="F24" s="20">
        <f>I24/D24</f>
        <v>50.669807268277751</v>
      </c>
      <c r="G24" s="19">
        <f>F24/C24-1</f>
        <v>2.5011736600161649E-2</v>
      </c>
      <c r="H24" s="18">
        <f>SUM(H21:H23)</f>
        <v>47520.32</v>
      </c>
      <c r="I24" s="18">
        <f>SUM(I21:I23)</f>
        <v>48708.885726995402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37.200000000000003</v>
      </c>
      <c r="D26" s="30">
        <v>2547.8000000000002</v>
      </c>
      <c r="E26" s="29">
        <f t="shared" ref="E26:E32" si="7">D26/$D$48</f>
        <v>0.18168463688744366</v>
      </c>
      <c r="F26" s="28">
        <f t="shared" ref="F26:F31" si="8">C26-(C26*$E$6)</f>
        <v>38.130436601526021</v>
      </c>
      <c r="G26" s="27" t="str">
        <f t="shared" ref="G26:G31" si="9">IF(C26&gt;=F26,"-","+")</f>
        <v>+</v>
      </c>
      <c r="H26" s="26">
        <f t="shared" ref="H26:H31" si="10">C26*D26</f>
        <v>94778.160000000018</v>
      </c>
      <c r="I26" s="26">
        <f t="shared" ref="I26:I31" si="11">F26*D26</f>
        <v>97148.726373368001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33.1</v>
      </c>
      <c r="D27" s="30">
        <v>2100.8000000000002</v>
      </c>
      <c r="E27" s="29">
        <f t="shared" si="7"/>
        <v>0.14980888812824464</v>
      </c>
      <c r="F27" s="28">
        <f t="shared" si="8"/>
        <v>33.927888481465359</v>
      </c>
      <c r="G27" s="27" t="str">
        <f t="shared" si="9"/>
        <v>+</v>
      </c>
      <c r="H27" s="26">
        <f t="shared" si="10"/>
        <v>69536.48000000001</v>
      </c>
      <c r="I27" s="26">
        <f t="shared" si="11"/>
        <v>71275.708121862437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33.1</v>
      </c>
      <c r="D28" s="30">
        <v>1334.4</v>
      </c>
      <c r="E28" s="29">
        <f t="shared" si="7"/>
        <v>9.5156597638199558E-2</v>
      </c>
      <c r="F28" s="28">
        <f t="shared" si="8"/>
        <v>33.927888481465359</v>
      </c>
      <c r="G28" s="27" t="str">
        <f t="shared" si="9"/>
        <v>+</v>
      </c>
      <c r="H28" s="26">
        <f t="shared" si="10"/>
        <v>44168.640000000007</v>
      </c>
      <c r="I28" s="26">
        <f t="shared" si="11"/>
        <v>45273.374389667377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</v>
      </c>
      <c r="D29" s="30">
        <v>1330.8</v>
      </c>
      <c r="E29" s="29">
        <f t="shared" si="7"/>
        <v>9.4899880198528144E-2</v>
      </c>
      <c r="F29" s="28">
        <f t="shared" si="8"/>
        <v>32.80037557120518</v>
      </c>
      <c r="G29" s="27" t="str">
        <f t="shared" si="9"/>
        <v>+</v>
      </c>
      <c r="H29" s="26">
        <f t="shared" si="10"/>
        <v>42585.599999999999</v>
      </c>
      <c r="I29" s="26">
        <f t="shared" si="11"/>
        <v>43650.739810159852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</v>
      </c>
      <c r="D30" s="30">
        <v>782.1</v>
      </c>
      <c r="E30" s="29">
        <f t="shared" si="7"/>
        <v>5.5771863768612012E-2</v>
      </c>
      <c r="F30" s="28">
        <f t="shared" si="8"/>
        <v>32.80037557120518</v>
      </c>
      <c r="G30" s="27" t="str">
        <f t="shared" si="9"/>
        <v>+</v>
      </c>
      <c r="H30" s="26">
        <f t="shared" si="10"/>
        <v>25027.200000000001</v>
      </c>
      <c r="I30" s="26">
        <f t="shared" si="11"/>
        <v>25653.173734239572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32.5</v>
      </c>
      <c r="D31" s="30">
        <v>382.9</v>
      </c>
      <c r="E31" s="29">
        <f t="shared" si="7"/>
        <v>2.7304752125049913E-2</v>
      </c>
      <c r="F31" s="28">
        <f t="shared" si="8"/>
        <v>33.312881439505261</v>
      </c>
      <c r="G31" s="27" t="str">
        <f t="shared" si="9"/>
        <v>+</v>
      </c>
      <c r="H31" s="26">
        <f t="shared" si="10"/>
        <v>12444.25</v>
      </c>
      <c r="I31" s="26">
        <f t="shared" si="11"/>
        <v>12755.502303186564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34.030797990281641</v>
      </c>
      <c r="D32" s="22">
        <f>SUM(D26:D31)</f>
        <v>8478.8000000000011</v>
      </c>
      <c r="E32" s="21">
        <f t="shared" si="7"/>
        <v>0.60462661874607793</v>
      </c>
      <c r="F32" s="20">
        <f>I32/D32</f>
        <v>34.881967345907889</v>
      </c>
      <c r="G32" s="19">
        <f>F32/C32-1</f>
        <v>2.5011736600162093E-2</v>
      </c>
      <c r="H32" s="18">
        <f>SUM(H26:H31)</f>
        <v>288540.33</v>
      </c>
      <c r="I32" s="18">
        <f>SUM(I26:I31)</f>
        <v>295757.22473248385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v>2126.4</v>
      </c>
      <c r="E34" s="29">
        <f t="shared" ref="E34:E40" si="13">D34/$D$48</f>
        <v>0.15163443436590793</v>
      </c>
      <c r="F34" s="28">
        <f t="shared" ref="F34:F39" si="14">C34-(C34*$E$6)</f>
        <v>20.090230037363174</v>
      </c>
      <c r="G34" s="27" t="str">
        <f t="shared" ref="G34:G39" si="15">IF(C34&gt;=F34,"-","+")</f>
        <v>+</v>
      </c>
      <c r="H34" s="26">
        <f t="shared" ref="H34:H39" si="16">C34*D34</f>
        <v>41677.440000000002</v>
      </c>
      <c r="I34" s="26">
        <f t="shared" ref="I34:I39" si="17">F34*D34</f>
        <v>42719.865151449056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/>
      <c r="E35" s="29">
        <f t="shared" si="13"/>
        <v>0</v>
      </c>
      <c r="F35" s="28">
        <f t="shared" si="14"/>
        <v>15.477677222662443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12.402642012861959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</v>
      </c>
      <c r="D37" s="30"/>
      <c r="E37" s="29">
        <f t="shared" si="13"/>
        <v>0</v>
      </c>
      <c r="F37" s="28">
        <f t="shared" si="14"/>
        <v>32.80037557120518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</v>
      </c>
      <c r="D38" s="30"/>
      <c r="E38" s="29">
        <f t="shared" si="13"/>
        <v>0</v>
      </c>
      <c r="F38" s="28">
        <f t="shared" si="14"/>
        <v>32.80037557120518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33.1</v>
      </c>
      <c r="D39" s="30"/>
      <c r="E39" s="29">
        <f t="shared" si="13"/>
        <v>0</v>
      </c>
      <c r="F39" s="28">
        <f t="shared" si="14"/>
        <v>33.927888481465359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19.600000000000001</v>
      </c>
      <c r="D40" s="22">
        <f>SUM(D34:D39)</f>
        <v>2126.4</v>
      </c>
      <c r="E40" s="113">
        <f t="shared" si="13"/>
        <v>0.15163443436590793</v>
      </c>
      <c r="F40" s="20">
        <f>I40/D40</f>
        <v>20.090230037363174</v>
      </c>
      <c r="G40" s="19">
        <f>F40/C40-1</f>
        <v>2.5011736600161871E-2</v>
      </c>
      <c r="H40" s="18">
        <f>SUM(H34:H39)</f>
        <v>41677.440000000002</v>
      </c>
      <c r="I40" s="18">
        <f>SUM(I34:I39)</f>
        <v>42719.865151449056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2348</v>
      </c>
      <c r="E42" s="107">
        <f>D42/$D$48</f>
        <v>0.16743681898568086</v>
      </c>
      <c r="F42" s="28">
        <f>C42-(C42*$E$6)</f>
        <v>0.51250586830008094</v>
      </c>
      <c r="G42" s="27" t="str">
        <f>IF(C42&gt;=F42,"-","+")</f>
        <v>+</v>
      </c>
      <c r="H42" s="26">
        <f>C42*D42</f>
        <v>1174</v>
      </c>
      <c r="I42" s="26">
        <f>F42*D42</f>
        <v>1203.36377876859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104</v>
      </c>
      <c r="E43" s="107">
        <f>D43/$D$48</f>
        <v>7.4162815905071591E-3</v>
      </c>
      <c r="F43" s="28">
        <f>C43-(C43*$E$6)</f>
        <v>0.51250586830008094</v>
      </c>
      <c r="G43" s="27" t="str">
        <f>IF(C43&gt;=F43,"-","+")</f>
        <v>+</v>
      </c>
      <c r="H43" s="26">
        <f>C43*D43</f>
        <v>52</v>
      </c>
      <c r="I43" s="26">
        <f>F43*D43</f>
        <v>53.300610303208416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3.3515887957099661E-4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0.4990434322465096</v>
      </c>
      <c r="D46" s="22">
        <f>SUM(D41:D45)</f>
        <v>2456.6999999999998</v>
      </c>
      <c r="E46" s="113">
        <f>D46/$D$48</f>
        <v>0.175188259455759</v>
      </c>
      <c r="F46" s="20">
        <f>I46/D46</f>
        <v>0.51152537512590002</v>
      </c>
      <c r="G46" s="19">
        <f>F46/C46-1</f>
        <v>2.5011736600161871E-2</v>
      </c>
      <c r="H46" s="18">
        <f>SUM(H41:H44)</f>
        <v>1226</v>
      </c>
      <c r="I46" s="18">
        <f>SUM(I41:I44)</f>
        <v>1256.6643890717985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103.56323370381392</v>
      </c>
      <c r="D48" s="13">
        <f>D24+D32+D40+D46</f>
        <v>14023.2</v>
      </c>
      <c r="E48" s="12">
        <f>SUM(E20:E46)/2</f>
        <v>1</v>
      </c>
      <c r="F48" s="11">
        <f>I48/D48</f>
        <v>27.700000000000006</v>
      </c>
      <c r="G48" s="10"/>
      <c r="H48" s="9">
        <f>SUM(H20:H46)/2</f>
        <v>378964.08999999997</v>
      </c>
      <c r="I48" s="9">
        <f>SUM(I20:I46)/2</f>
        <v>388442.64000000013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14023.200000000003</v>
      </c>
      <c r="E50" s="12">
        <f>D50/G2</f>
        <v>1.0000000000000002</v>
      </c>
      <c r="F50" s="11">
        <f>I50/D50</f>
        <v>27.700000000000003</v>
      </c>
      <c r="G50" s="10"/>
      <c r="H50" s="9">
        <f>H48+H19</f>
        <v>378964.08999999997</v>
      </c>
      <c r="I50" s="9">
        <f>I48+I19</f>
        <v>388442.64000000013</v>
      </c>
      <c r="J50" s="106">
        <f>D50-G2</f>
        <v>0</v>
      </c>
      <c r="K50" s="8"/>
    </row>
    <row r="51" spans="1:11" ht="23.25" x14ac:dyDescent="0.35">
      <c r="A51" s="174" t="s">
        <v>794</v>
      </c>
      <c r="B51" s="169"/>
      <c r="C51" s="170"/>
      <c r="G51" s="7"/>
      <c r="H51" s="6"/>
      <c r="I51" s="6">
        <f>+I50/D50</f>
        <v>27.700000000000003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788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792</v>
      </c>
      <c r="D2" s="96" t="s">
        <v>3</v>
      </c>
      <c r="E2" s="95" t="s">
        <v>112</v>
      </c>
      <c r="F2" s="94" t="s">
        <v>5</v>
      </c>
      <c r="G2" s="93">
        <v>11680.3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140</v>
      </c>
      <c r="F3" s="88" t="s">
        <v>8</v>
      </c>
      <c r="G3" s="87">
        <v>25.54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83.430714285714274</v>
      </c>
      <c r="F4" s="81" t="s">
        <v>12</v>
      </c>
      <c r="G4" s="80">
        <f>G2*G3</f>
        <v>298314.86199999996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-7.0499068141639976E-2</v>
      </c>
      <c r="F6" s="69" t="s">
        <v>16</v>
      </c>
      <c r="G6" s="68">
        <f>(I50-I19)/(D50-(SUM(D42:D44)+D19))</f>
        <v>31.882145819083448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25.5</v>
      </c>
      <c r="D10" s="30"/>
      <c r="E10" s="29" t="e">
        <f t="shared" ref="E10:E19" si="1">D10/$D$19</f>
        <v>#DIV/0!</v>
      </c>
      <c r="F10" s="28">
        <f t="shared" ref="F10:F18" si="2">C10-(C10*$E$6)</f>
        <v>27.297726237611819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26.6</v>
      </c>
      <c r="D11" s="30"/>
      <c r="E11" s="29" t="e">
        <f t="shared" si="1"/>
        <v>#DIV/0!</v>
      </c>
      <c r="F11" s="28">
        <f t="shared" si="2"/>
        <v>28.475275212567624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24.3</v>
      </c>
      <c r="D12" s="30"/>
      <c r="E12" s="29" t="e">
        <f t="shared" si="1"/>
        <v>#DIV/0!</v>
      </c>
      <c r="F12" s="28">
        <f t="shared" si="2"/>
        <v>26.013127355841853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26.6</v>
      </c>
      <c r="D13" s="30"/>
      <c r="E13" s="29" t="e">
        <f t="shared" si="1"/>
        <v>#DIV/0!</v>
      </c>
      <c r="F13" s="28">
        <f t="shared" si="2"/>
        <v>28.475275212567624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29.7</v>
      </c>
      <c r="D14" s="30"/>
      <c r="E14" s="29" t="e">
        <f t="shared" si="1"/>
        <v>#DIV/0!</v>
      </c>
      <c r="F14" s="28">
        <f t="shared" si="2"/>
        <v>31.793822323806708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24.5</v>
      </c>
      <c r="D15" s="30"/>
      <c r="E15" s="29" t="e">
        <f t="shared" si="1"/>
        <v>#DIV/0!</v>
      </c>
      <c r="F15" s="28">
        <f t="shared" si="2"/>
        <v>26.227227169470179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33.6</v>
      </c>
      <c r="D16" s="30"/>
      <c r="E16" s="29" t="e">
        <f t="shared" si="1"/>
        <v>#DIV/0!</v>
      </c>
      <c r="F16" s="28">
        <f t="shared" si="2"/>
        <v>35.968768689559106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49.4</v>
      </c>
      <c r="D17" s="30"/>
      <c r="E17" s="29" t="e">
        <f t="shared" si="1"/>
        <v>#DIV/0!</v>
      </c>
      <c r="F17" s="28">
        <f t="shared" si="2"/>
        <v>52.882653966197012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43.3</v>
      </c>
      <c r="D18" s="30"/>
      <c r="E18" s="29" t="e">
        <f t="shared" si="1"/>
        <v>#DIV/0!</v>
      </c>
      <c r="F18" s="28">
        <f t="shared" si="2"/>
        <v>46.352609650533012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64.2</v>
      </c>
      <c r="D21" s="30">
        <v>139.4</v>
      </c>
      <c r="E21" s="29">
        <f>D21/$D$48</f>
        <v>1.1934216271285115E-2</v>
      </c>
      <c r="F21" s="28">
        <f>C21-(C21*$E$6)</f>
        <v>68.726040174693296</v>
      </c>
      <c r="G21" s="27" t="str">
        <f>IF(C21&gt;=F21,"-","+")</f>
        <v>+</v>
      </c>
      <c r="H21" s="26">
        <f>C21*D21</f>
        <v>8949.4800000000014</v>
      </c>
      <c r="I21" s="26">
        <f>F21*D21</f>
        <v>9580.4100003522453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43.1</v>
      </c>
      <c r="D22" s="30">
        <v>296.5</v>
      </c>
      <c r="E22" s="29">
        <f>D22/$D$48</f>
        <v>2.5383752686054781E-2</v>
      </c>
      <c r="F22" s="28">
        <f>C22-(C22*$E$6)</f>
        <v>46.138509836904682</v>
      </c>
      <c r="G22" s="27" t="str">
        <f>IF(C22&gt;=F22,"-","+")</f>
        <v>+</v>
      </c>
      <c r="H22" s="26">
        <f>C22*D22</f>
        <v>12779.15</v>
      </c>
      <c r="I22" s="26">
        <f>F22*D22</f>
        <v>13680.068166642239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39.299999999999997</v>
      </c>
      <c r="D23" s="30">
        <v>252.8</v>
      </c>
      <c r="E23" s="29">
        <f>D23/$D$48</f>
        <v>2.1642538546491227E-2</v>
      </c>
      <c r="F23" s="28">
        <f>C23-(C23*$E$6)</f>
        <v>42.070613377966446</v>
      </c>
      <c r="G23" s="27" t="str">
        <f>IF(C23&gt;=F23,"-","+")</f>
        <v>+</v>
      </c>
      <c r="H23" s="26">
        <f>C23*D23</f>
        <v>9935.0399999999991</v>
      </c>
      <c r="I23" s="26">
        <f>F23*D23</f>
        <v>10635.451061949918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45.975998257586753</v>
      </c>
      <c r="D24" s="22">
        <f>SUM(D21:D23)</f>
        <v>688.7</v>
      </c>
      <c r="E24" s="21">
        <f>D24/$D$48</f>
        <v>5.8960507503831125E-2</v>
      </c>
      <c r="F24" s="20">
        <f>I24/D24</f>
        <v>49.217263291628292</v>
      </c>
      <c r="G24" s="19">
        <f>F24/C24-1</f>
        <v>7.0499068141640198E-2</v>
      </c>
      <c r="H24" s="18">
        <f>SUM(H21:H23)</f>
        <v>31663.67</v>
      </c>
      <c r="I24" s="18">
        <f>SUM(I21:I23)</f>
        <v>33895.929228944406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34.299999999999997</v>
      </c>
      <c r="D26" s="30">
        <f>447.1+1699</f>
        <v>2146.1</v>
      </c>
      <c r="E26" s="29">
        <f t="shared" ref="E26:E32" si="7">D26/$D$48</f>
        <v>0.18373042711481335</v>
      </c>
      <c r="F26" s="28">
        <f t="shared" ref="F26:F31" si="8">C26-(C26*$E$6)</f>
        <v>36.71811803725825</v>
      </c>
      <c r="G26" s="27" t="str">
        <f t="shared" ref="G26:G31" si="9">IF(C26&gt;=F26,"-","+")</f>
        <v>+</v>
      </c>
      <c r="H26" s="26">
        <f t="shared" ref="H26:H31" si="10">C26*D26</f>
        <v>73611.23</v>
      </c>
      <c r="I26" s="26">
        <f t="shared" ref="I26:I31" si="11">F26*D26</f>
        <v>78800.753119759931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30.5</v>
      </c>
      <c r="D27" s="30">
        <v>1779.2</v>
      </c>
      <c r="E27" s="29">
        <f t="shared" si="7"/>
        <v>0.15231963837783699</v>
      </c>
      <c r="F27" s="28">
        <f t="shared" si="8"/>
        <v>32.650221578320021</v>
      </c>
      <c r="G27" s="27" t="str">
        <f t="shared" si="9"/>
        <v>+</v>
      </c>
      <c r="H27" s="26">
        <f t="shared" si="10"/>
        <v>54265.599999999999</v>
      </c>
      <c r="I27" s="26">
        <f t="shared" si="11"/>
        <v>58091.274232146985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30.5</v>
      </c>
      <c r="D28" s="30">
        <v>983.9</v>
      </c>
      <c r="E28" s="29">
        <f t="shared" si="7"/>
        <v>8.4232965490081954E-2</v>
      </c>
      <c r="F28" s="28">
        <f t="shared" si="8"/>
        <v>32.650221578320021</v>
      </c>
      <c r="G28" s="27" t="str">
        <f t="shared" si="9"/>
        <v>+</v>
      </c>
      <c r="H28" s="26">
        <f t="shared" si="10"/>
        <v>30008.95</v>
      </c>
      <c r="I28" s="26">
        <f t="shared" si="11"/>
        <v>32124.553010909069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29.5</v>
      </c>
      <c r="D29" s="30">
        <v>934.9</v>
      </c>
      <c r="E29" s="29">
        <f t="shared" si="7"/>
        <v>8.0038011420548449E-2</v>
      </c>
      <c r="F29" s="28">
        <f t="shared" si="8"/>
        <v>31.579722510178378</v>
      </c>
      <c r="G29" s="27" t="str">
        <f t="shared" si="9"/>
        <v>+</v>
      </c>
      <c r="H29" s="26">
        <f t="shared" si="10"/>
        <v>27579.55</v>
      </c>
      <c r="I29" s="26">
        <f t="shared" si="11"/>
        <v>29523.882574765765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29.5</v>
      </c>
      <c r="D30" s="30">
        <v>731.2</v>
      </c>
      <c r="E30" s="29">
        <f t="shared" si="7"/>
        <v>6.2598988074344886E-2</v>
      </c>
      <c r="F30" s="28">
        <f t="shared" si="8"/>
        <v>31.579722510178378</v>
      </c>
      <c r="G30" s="27" t="str">
        <f t="shared" si="9"/>
        <v>+</v>
      </c>
      <c r="H30" s="26">
        <f t="shared" si="10"/>
        <v>21570.400000000001</v>
      </c>
      <c r="I30" s="26">
        <f t="shared" si="11"/>
        <v>23091.093099442431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</v>
      </c>
      <c r="D31" s="30">
        <v>170.4</v>
      </c>
      <c r="E31" s="29">
        <f t="shared" si="7"/>
        <v>1.4588166805071618E-2</v>
      </c>
      <c r="F31" s="28">
        <f t="shared" si="8"/>
        <v>32.1149720442492</v>
      </c>
      <c r="G31" s="27" t="str">
        <f t="shared" si="9"/>
        <v>+</v>
      </c>
      <c r="H31" s="26">
        <f t="shared" si="10"/>
        <v>5112</v>
      </c>
      <c r="I31" s="26">
        <f t="shared" si="11"/>
        <v>5472.3912363400641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31.449327719880817</v>
      </c>
      <c r="D32" s="22">
        <f>SUM(D26:D31)</f>
        <v>6745.6999999999989</v>
      </c>
      <c r="E32" s="21">
        <f t="shared" si="7"/>
        <v>0.5775081972826972</v>
      </c>
      <c r="F32" s="20">
        <f>I32/D32</f>
        <v>33.666476017813466</v>
      </c>
      <c r="G32" s="19">
        <f>F32/C32-1</f>
        <v>7.0499068141640198E-2</v>
      </c>
      <c r="H32" s="18">
        <f>SUM(H26:H31)</f>
        <v>212147.72999999998</v>
      </c>
      <c r="I32" s="18">
        <f>SUM(I26:I31)</f>
        <v>227103.94727336426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f>1002.8+781.7</f>
        <v>1784.5</v>
      </c>
      <c r="E34" s="29">
        <f t="shared" ref="E34:E40" si="13">D34/$D$48</f>
        <v>0.15277337830780693</v>
      </c>
      <c r="F34" s="28">
        <f t="shared" ref="F34:F39" si="14">C34-(C34*$E$6)</f>
        <v>19.268983226549519</v>
      </c>
      <c r="G34" s="27" t="str">
        <f t="shared" ref="G34:G39" si="15">IF(C34&gt;=F34,"-","+")</f>
        <v>+</v>
      </c>
      <c r="H34" s="26">
        <f t="shared" ref="H34:H39" si="16">C34*D34</f>
        <v>32121</v>
      </c>
      <c r="I34" s="26">
        <f t="shared" ref="I34:I39" si="17">F34*D34</f>
        <v>34385.500567777613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>
        <v>130</v>
      </c>
      <c r="E35" s="29">
        <f t="shared" si="13"/>
        <v>1.1129469980395013E-2</v>
      </c>
      <c r="F35" s="28">
        <f t="shared" si="14"/>
        <v>14.879937047168797</v>
      </c>
      <c r="G35" s="27" t="str">
        <f t="shared" si="15"/>
        <v>+</v>
      </c>
      <c r="H35" s="26">
        <f t="shared" si="16"/>
        <v>1807</v>
      </c>
      <c r="I35" s="26">
        <f t="shared" si="17"/>
        <v>1934.3918161319436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11.989589563186367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29.5</v>
      </c>
      <c r="D37" s="30"/>
      <c r="E37" s="29">
        <f t="shared" si="13"/>
        <v>0</v>
      </c>
      <c r="F37" s="28">
        <f t="shared" si="14"/>
        <v>31.579722510178378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29.5</v>
      </c>
      <c r="D38" s="30"/>
      <c r="E38" s="29">
        <f t="shared" si="13"/>
        <v>0</v>
      </c>
      <c r="F38" s="28">
        <f t="shared" si="14"/>
        <v>31.579722510178378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30.5</v>
      </c>
      <c r="D39" s="30"/>
      <c r="E39" s="29">
        <f t="shared" si="13"/>
        <v>0</v>
      </c>
      <c r="F39" s="28">
        <f t="shared" si="14"/>
        <v>32.650221578320021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17.721598328545312</v>
      </c>
      <c r="D40" s="22">
        <f>SUM(D34:D39)</f>
        <v>1914.5</v>
      </c>
      <c r="E40" s="113">
        <f t="shared" si="13"/>
        <v>0.16390284828820195</v>
      </c>
      <c r="F40" s="20">
        <f>I40/D40</f>
        <v>18.970954496688201</v>
      </c>
      <c r="G40" s="19">
        <f>F40/C40-1</f>
        <v>7.0499068141639976E-2</v>
      </c>
      <c r="H40" s="18">
        <f>SUM(H34:H39)</f>
        <v>33928</v>
      </c>
      <c r="I40" s="18">
        <f>SUM(I34:I39)</f>
        <v>36319.892383909559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193+1039.2+1003</f>
        <v>2235.1999999999998</v>
      </c>
      <c r="E42" s="107">
        <f>D42/$D$48</f>
        <v>0.19135839461676102</v>
      </c>
      <c r="F42" s="28">
        <f>C42-(C42*$E$6)</f>
        <v>0.428199627256656</v>
      </c>
      <c r="G42" s="27" t="str">
        <f>IF(C42&gt;=F42,"-","+")</f>
        <v>+</v>
      </c>
      <c r="H42" s="26">
        <f>C42*D42</f>
        <v>894.07999999999993</v>
      </c>
      <c r="I42" s="26">
        <f>F42*D42</f>
        <v>957.11180684407736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88.7</v>
      </c>
      <c r="E43" s="107">
        <f>D43/$D$48</f>
        <v>7.5937229789310593E-3</v>
      </c>
      <c r="F43" s="28">
        <f>C43-(C43*$E$6)</f>
        <v>0.428199627256656</v>
      </c>
      <c r="G43" s="27" t="str">
        <f>IF(C43&gt;=F43,"-","+")</f>
        <v>+</v>
      </c>
      <c r="H43" s="26">
        <f>C43*D43</f>
        <v>35.480000000000004</v>
      </c>
      <c r="I43" s="26">
        <f>F43*D43</f>
        <v>37.981306937665387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7.9</v>
      </c>
      <c r="E45" s="107">
        <f>D45/$D$48</f>
        <v>6.7632932957785083E-4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0.39864482374131577</v>
      </c>
      <c r="D46" s="22">
        <f>SUM(D41:D45)</f>
        <v>2331.7999999999997</v>
      </c>
      <c r="E46" s="113">
        <f>D46/$D$48</f>
        <v>0.1996284469252699</v>
      </c>
      <c r="F46" s="20">
        <f>I46/D46</f>
        <v>0.4267489123345668</v>
      </c>
      <c r="G46" s="19">
        <f>F46/C46-1</f>
        <v>7.0499068141639754E-2</v>
      </c>
      <c r="H46" s="18">
        <f>SUM(H41:H44)</f>
        <v>929.56</v>
      </c>
      <c r="I46" s="18">
        <f>SUM(I41:I44)</f>
        <v>995.09311378174277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95.545569129754199</v>
      </c>
      <c r="D48" s="13">
        <f>D24+D32+D40+D46</f>
        <v>11680.699999999997</v>
      </c>
      <c r="E48" s="12">
        <f>SUM(E20:E46)/2</f>
        <v>1.0000000000000002</v>
      </c>
      <c r="F48" s="11">
        <f>I48/D48</f>
        <v>25.539125394882159</v>
      </c>
      <c r="G48" s="10"/>
      <c r="H48" s="9">
        <f>SUM(H20:H46)/2</f>
        <v>278668.96000000002</v>
      </c>
      <c r="I48" s="9">
        <f>SUM(I20:I46)/2</f>
        <v>298314.86199999996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11680.699999999999</v>
      </c>
      <c r="E50" s="12">
        <f>D50/G2</f>
        <v>1.0000342456957441</v>
      </c>
      <c r="F50" s="11">
        <f>I50/D50</f>
        <v>25.539125394882156</v>
      </c>
      <c r="G50" s="10"/>
      <c r="H50" s="9">
        <f>H48+H19</f>
        <v>278668.96000000002</v>
      </c>
      <c r="I50" s="9">
        <f>I48+I19</f>
        <v>298314.86199999996</v>
      </c>
      <c r="J50" s="106">
        <f>D50-G2</f>
        <v>0.3999999999996362</v>
      </c>
      <c r="K50" s="8"/>
    </row>
    <row r="51" spans="1:11" ht="23.25" x14ac:dyDescent="0.35">
      <c r="A51" s="174" t="s">
        <v>795</v>
      </c>
      <c r="B51" s="169"/>
      <c r="C51" s="170"/>
      <c r="G51" s="7"/>
      <c r="H51" s="6"/>
      <c r="I51" s="6">
        <f>+I50/D50</f>
        <v>25.539125394882156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792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796</v>
      </c>
      <c r="D2" s="96" t="s">
        <v>3</v>
      </c>
      <c r="E2" s="95" t="s">
        <v>112</v>
      </c>
      <c r="F2" s="94" t="s">
        <v>5</v>
      </c>
      <c r="G2" s="93">
        <v>5223.8999999999996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100</v>
      </c>
      <c r="F3" s="88" t="s">
        <v>8</v>
      </c>
      <c r="G3" s="87">
        <v>23.69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52.238999999999997</v>
      </c>
      <c r="F4" s="81" t="s">
        <v>12</v>
      </c>
      <c r="G4" s="80">
        <f>G2*G3</f>
        <v>123754.19099999999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-0.11205575887889152</v>
      </c>
      <c r="F6" s="69" t="s">
        <v>16</v>
      </c>
      <c r="G6" s="68">
        <f>(I50-I19)/(D50-(SUM(D42:D44)+D19))</f>
        <v>31.057342083469273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23.7</v>
      </c>
      <c r="D10" s="30"/>
      <c r="E10" s="29" t="e">
        <f t="shared" ref="E10:E19" si="1">D10/$D$19</f>
        <v>#DIV/0!</v>
      </c>
      <c r="F10" s="28">
        <f t="shared" ref="F10:F18" si="2">C10-(C10*$E$6)</f>
        <v>26.355721485429729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 t="e">
        <f t="shared" si="1"/>
        <v>#DIV/0!</v>
      </c>
      <c r="F11" s="28">
        <f t="shared" si="2"/>
        <v>27.467777244308621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22.5</v>
      </c>
      <c r="D12" s="30"/>
      <c r="E12" s="29" t="e">
        <f t="shared" si="1"/>
        <v>#DIV/0!</v>
      </c>
      <c r="F12" s="28">
        <f t="shared" si="2"/>
        <v>25.02125457477506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/>
      <c r="E13" s="29" t="e">
        <f t="shared" si="1"/>
        <v>#DIV/0!</v>
      </c>
      <c r="F13" s="28">
        <f t="shared" si="2"/>
        <v>27.467777244308621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27.6</v>
      </c>
      <c r="D14" s="30"/>
      <c r="E14" s="29" t="e">
        <f t="shared" si="1"/>
        <v>#DIV/0!</v>
      </c>
      <c r="F14" s="28">
        <f t="shared" si="2"/>
        <v>30.692738945057407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22.7</v>
      </c>
      <c r="D15" s="30"/>
      <c r="E15" s="29" t="e">
        <f t="shared" si="1"/>
        <v>#DIV/0!</v>
      </c>
      <c r="F15" s="28">
        <f t="shared" si="2"/>
        <v>25.243665726550837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31.1</v>
      </c>
      <c r="D16" s="30"/>
      <c r="E16" s="29" t="e">
        <f t="shared" si="1"/>
        <v>#DIV/0!</v>
      </c>
      <c r="F16" s="28">
        <f t="shared" si="2"/>
        <v>34.584934101133527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45.8</v>
      </c>
      <c r="D17" s="30"/>
      <c r="E17" s="29" t="e">
        <f t="shared" si="1"/>
        <v>#DIV/0!</v>
      </c>
      <c r="F17" s="28">
        <f t="shared" si="2"/>
        <v>50.932153756653229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40.1</v>
      </c>
      <c r="D18" s="30"/>
      <c r="E18" s="29" t="e">
        <f t="shared" si="1"/>
        <v>#DIV/0!</v>
      </c>
      <c r="F18" s="28">
        <f t="shared" si="2"/>
        <v>44.593435931043551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59.6</v>
      </c>
      <c r="D21" s="30">
        <v>66.599999999999994</v>
      </c>
      <c r="E21" s="29">
        <f>D21/$D$48</f>
        <v>1.2749827705031013E-2</v>
      </c>
      <c r="F21" s="28">
        <f>C21-(C21*$E$6)</f>
        <v>66.278523229181943</v>
      </c>
      <c r="G21" s="27" t="str">
        <f>IF(C21&gt;=F21,"-","+")</f>
        <v>+</v>
      </c>
      <c r="H21" s="26">
        <f>C21*D21</f>
        <v>3969.3599999999997</v>
      </c>
      <c r="I21" s="26">
        <f>F21*D21</f>
        <v>4414.1496470635166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</v>
      </c>
      <c r="D22" s="30">
        <v>135.4</v>
      </c>
      <c r="E22" s="29">
        <f>D22/$D$48</f>
        <v>2.5920820889807798E-2</v>
      </c>
      <c r="F22" s="28">
        <f>C22-(C22*$E$6)</f>
        <v>44.482230355155664</v>
      </c>
      <c r="G22" s="27" t="str">
        <f>IF(C22&gt;=F22,"-","+")</f>
        <v>+</v>
      </c>
      <c r="H22" s="26">
        <f>C22*D22</f>
        <v>5416</v>
      </c>
      <c r="I22" s="26">
        <f>F22*D22</f>
        <v>6022.8939900880769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36.5</v>
      </c>
      <c r="D23" s="30">
        <v>108.4</v>
      </c>
      <c r="E23" s="29">
        <f>D23/$D$48</f>
        <v>2.0751971820200631E-2</v>
      </c>
      <c r="F23" s="28">
        <f>C23-(C23*$E$6)</f>
        <v>40.590035199079537</v>
      </c>
      <c r="G23" s="27" t="str">
        <f>IF(C23&gt;=F23,"-","+")</f>
        <v>+</v>
      </c>
      <c r="H23" s="26">
        <f>C23*D23</f>
        <v>3956.6000000000004</v>
      </c>
      <c r="I23" s="26">
        <f>F23*D23</f>
        <v>4399.9598155802223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42.983118556701037</v>
      </c>
      <c r="D24" s="22">
        <f>SUM(D21:D23)</f>
        <v>310.39999999999998</v>
      </c>
      <c r="E24" s="21">
        <f>D24/$D$48</f>
        <v>5.9422620415039436E-2</v>
      </c>
      <c r="F24" s="20">
        <f>I24/D24</f>
        <v>47.79962452555354</v>
      </c>
      <c r="G24" s="19">
        <f>F24/C24-1</f>
        <v>0.11205575887889152</v>
      </c>
      <c r="H24" s="18">
        <f>SUM(H21:H23)</f>
        <v>13341.960000000001</v>
      </c>
      <c r="I24" s="18">
        <f>SUM(I21:I23)</f>
        <v>14837.003452731817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31.8</v>
      </c>
      <c r="D26" s="30">
        <v>1000.8</v>
      </c>
      <c r="E26" s="29">
        <f t="shared" ref="E26:E32" si="7">D26/$D$48</f>
        <v>0.19159200551343902</v>
      </c>
      <c r="F26" s="28">
        <f t="shared" ref="F26:F31" si="8">C26-(C26*$E$6)</f>
        <v>35.363373132348748</v>
      </c>
      <c r="G26" s="27" t="str">
        <f t="shared" ref="G26:G31" si="9">IF(C26&gt;=F26,"-","+")</f>
        <v>+</v>
      </c>
      <c r="H26" s="26">
        <f t="shared" ref="H26:H31" si="10">C26*D26</f>
        <v>31825.439999999999</v>
      </c>
      <c r="I26" s="26">
        <f t="shared" ref="I26:I31" si="11">F26*D26</f>
        <v>35391.663830854624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28.3</v>
      </c>
      <c r="D27" s="30">
        <v>745.5</v>
      </c>
      <c r="E27" s="29">
        <f t="shared" si="7"/>
        <v>0.14271766597748681</v>
      </c>
      <c r="F27" s="28">
        <f t="shared" si="8"/>
        <v>31.471177976272632</v>
      </c>
      <c r="G27" s="27" t="str">
        <f t="shared" si="9"/>
        <v>+</v>
      </c>
      <c r="H27" s="26">
        <f t="shared" si="10"/>
        <v>21097.65</v>
      </c>
      <c r="I27" s="26">
        <f t="shared" si="11"/>
        <v>23461.763181311246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28.3</v>
      </c>
      <c r="D28" s="30">
        <v>410.2</v>
      </c>
      <c r="E28" s="29">
        <f t="shared" si="7"/>
        <v>7.852821808714297E-2</v>
      </c>
      <c r="F28" s="28">
        <f t="shared" si="8"/>
        <v>31.471177976272632</v>
      </c>
      <c r="G28" s="27" t="str">
        <f t="shared" si="9"/>
        <v>+</v>
      </c>
      <c r="H28" s="26">
        <f t="shared" si="10"/>
        <v>11608.66</v>
      </c>
      <c r="I28" s="26">
        <f t="shared" si="11"/>
        <v>12909.477205867033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374.2</v>
      </c>
      <c r="E29" s="29">
        <f t="shared" si="7"/>
        <v>7.1636419327666748E-2</v>
      </c>
      <c r="F29" s="28">
        <f t="shared" si="8"/>
        <v>30.470327793281626</v>
      </c>
      <c r="G29" s="27" t="str">
        <f t="shared" si="9"/>
        <v>+</v>
      </c>
      <c r="H29" s="26">
        <f t="shared" si="10"/>
        <v>10253.08</v>
      </c>
      <c r="I29" s="26">
        <f t="shared" si="11"/>
        <v>11401.996660245984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285.10000000000002</v>
      </c>
      <c r="E30" s="29">
        <f t="shared" si="7"/>
        <v>5.4579217397963099E-2</v>
      </c>
      <c r="F30" s="28">
        <f t="shared" si="8"/>
        <v>30.470327793281626</v>
      </c>
      <c r="G30" s="27" t="str">
        <f t="shared" si="9"/>
        <v>+</v>
      </c>
      <c r="H30" s="26">
        <f t="shared" si="10"/>
        <v>7811.74</v>
      </c>
      <c r="I30" s="26">
        <f t="shared" si="11"/>
        <v>8687.0904538645918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27.8</v>
      </c>
      <c r="D31" s="30">
        <v>80.599999999999994</v>
      </c>
      <c r="E31" s="29">
        <f t="shared" si="7"/>
        <v>1.5429971667049545E-2</v>
      </c>
      <c r="F31" s="28">
        <f t="shared" si="8"/>
        <v>30.915150096833184</v>
      </c>
      <c r="G31" s="27" t="str">
        <f t="shared" si="9"/>
        <v>+</v>
      </c>
      <c r="H31" s="26">
        <f t="shared" si="10"/>
        <v>2240.6799999999998</v>
      </c>
      <c r="I31" s="26">
        <f t="shared" si="11"/>
        <v>2491.7610978047546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29.29058486396907</v>
      </c>
      <c r="D32" s="22">
        <f>SUM(D26:D31)</f>
        <v>2896.3999999999996</v>
      </c>
      <c r="E32" s="21">
        <f t="shared" si="7"/>
        <v>0.55448349797074814</v>
      </c>
      <c r="F32" s="20">
        <f>I32/D32</f>
        <v>32.572763578907697</v>
      </c>
      <c r="G32" s="19">
        <f>F32/C32-1</f>
        <v>0.11205575887889152</v>
      </c>
      <c r="H32" s="18">
        <f>SUM(H26:H31)</f>
        <v>84837.25</v>
      </c>
      <c r="I32" s="18">
        <f>SUM(I26:I31)</f>
        <v>94343.752429948247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16.7</v>
      </c>
      <c r="D34" s="30">
        <f>321+378.9</f>
        <v>699.9</v>
      </c>
      <c r="E34" s="29">
        <f t="shared" ref="E34:E40" si="13">D34/$D$48</f>
        <v>0.13398805421548357</v>
      </c>
      <c r="F34" s="28">
        <f t="shared" ref="F34:F39" si="14">C34-(C34*$E$6)</f>
        <v>18.571331173277489</v>
      </c>
      <c r="G34" s="27" t="str">
        <f t="shared" ref="G34:G39" si="15">IF(C34&gt;=F34,"-","+")</f>
        <v>+</v>
      </c>
      <c r="H34" s="26">
        <f t="shared" ref="H34:H39" si="16">C34*D34</f>
        <v>11688.33</v>
      </c>
      <c r="I34" s="26">
        <f t="shared" ref="I34:I39" si="17">F34*D34</f>
        <v>12998.074688176914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71.400000000000006</v>
      </c>
      <c r="E35" s="29">
        <f t="shared" si="13"/>
        <v>1.3668734206294513E-2</v>
      </c>
      <c r="F35" s="28">
        <f t="shared" si="14"/>
        <v>14.345519289537702</v>
      </c>
      <c r="G35" s="27" t="str">
        <f t="shared" si="15"/>
        <v>+</v>
      </c>
      <c r="H35" s="26">
        <f t="shared" si="16"/>
        <v>921.06000000000006</v>
      </c>
      <c r="I35" s="26">
        <f t="shared" si="17"/>
        <v>1024.270077272992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10.3</v>
      </c>
      <c r="D36" s="30"/>
      <c r="E36" s="29">
        <f t="shared" si="13"/>
        <v>0</v>
      </c>
      <c r="F36" s="28">
        <f t="shared" si="14"/>
        <v>11.454174316452583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30.470327793281626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30.470327793281626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28.3</v>
      </c>
      <c r="D39" s="30"/>
      <c r="E39" s="29">
        <f t="shared" si="13"/>
        <v>0</v>
      </c>
      <c r="F39" s="28">
        <f t="shared" si="14"/>
        <v>31.471177976272632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16.348230260598989</v>
      </c>
      <c r="D40" s="22">
        <f>SUM(D34:D39)</f>
        <v>771.3</v>
      </c>
      <c r="E40" s="113">
        <f t="shared" si="13"/>
        <v>0.1476567884217781</v>
      </c>
      <c r="F40" s="20">
        <f>I40/D40</f>
        <v>18.180143608777268</v>
      </c>
      <c r="G40" s="19">
        <f>F40/C40-1</f>
        <v>0.11205575887889152</v>
      </c>
      <c r="H40" s="18">
        <f>SUM(H34:H39)</f>
        <v>12609.39</v>
      </c>
      <c r="I40" s="18">
        <f>SUM(I34:I39)</f>
        <v>14022.344765449905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477+89+506+125.2</f>
        <v>1197.2</v>
      </c>
      <c r="E42" s="107">
        <f>D42/$D$48</f>
        <v>0.22919059652347043</v>
      </c>
      <c r="F42" s="28">
        <f>C42-(C42*$E$6)</f>
        <v>0.44482230355155661</v>
      </c>
      <c r="G42" s="27" t="str">
        <f>IF(C42&gt;=F42,"-","+")</f>
        <v>+</v>
      </c>
      <c r="H42" s="26">
        <f>C42*D42</f>
        <v>478.88000000000005</v>
      </c>
      <c r="I42" s="26">
        <f>F42*D42</f>
        <v>532.54126181192362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41.7</v>
      </c>
      <c r="E43" s="107">
        <f>D43/$D$48</f>
        <v>7.9830002297266271E-3</v>
      </c>
      <c r="F43" s="28">
        <f>C43-(C43*$E$6)</f>
        <v>0.44482230355155661</v>
      </c>
      <c r="G43" s="27" t="str">
        <f>IF(C43&gt;=F43,"-","+")</f>
        <v>+</v>
      </c>
      <c r="H43" s="26">
        <f>C43*D43</f>
        <v>16.680000000000003</v>
      </c>
      <c r="I43" s="26">
        <f>F43*D43</f>
        <v>18.54909005809991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1.2634964392373076E-3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0.39788036932958654</v>
      </c>
      <c r="D46" s="22">
        <f>SUM(D41:D45)</f>
        <v>1245.5</v>
      </c>
      <c r="E46" s="113">
        <f>D46/$D$48</f>
        <v>0.23843709319243436</v>
      </c>
      <c r="F46" s="20">
        <f>I46/D46</f>
        <v>0.44246515605782694</v>
      </c>
      <c r="G46" s="19">
        <f>F46/C46-1</f>
        <v>0.1120557588788913</v>
      </c>
      <c r="H46" s="18">
        <f>SUM(H41:H44)</f>
        <v>495.56000000000006</v>
      </c>
      <c r="I46" s="18">
        <f>SUM(I41:I44)</f>
        <v>551.09035187002348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89.019814050598683</v>
      </c>
      <c r="D48" s="13">
        <f>D24+D32+D40+D46</f>
        <v>5223.5999999999995</v>
      </c>
      <c r="E48" s="12">
        <f>SUM(E20:E46)/2</f>
        <v>1</v>
      </c>
      <c r="F48" s="11">
        <f>I48/D48</f>
        <v>23.691360555938434</v>
      </c>
      <c r="G48" s="10"/>
      <c r="H48" s="9">
        <f>SUM(H20:H46)/2</f>
        <v>111284.16</v>
      </c>
      <c r="I48" s="9">
        <f>SUM(I20:I46)/2</f>
        <v>123754.19099999999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5223.5999999999995</v>
      </c>
      <c r="E50" s="12">
        <f>D50/G2</f>
        <v>0.99994257164187672</v>
      </c>
      <c r="F50" s="11">
        <f>I50/D50</f>
        <v>23.691360555938434</v>
      </c>
      <c r="G50" s="10"/>
      <c r="H50" s="9">
        <f>H48+H19</f>
        <v>111284.16</v>
      </c>
      <c r="I50" s="9">
        <f>I48+I19</f>
        <v>123754.19099999999</v>
      </c>
      <c r="J50" s="106">
        <f>D50-G2</f>
        <v>-0.3000000000001819</v>
      </c>
      <c r="K50" s="8"/>
    </row>
    <row r="51" spans="1:11" ht="23.25" x14ac:dyDescent="0.35">
      <c r="A51" s="174" t="s">
        <v>797</v>
      </c>
      <c r="B51" s="169"/>
      <c r="C51" s="170"/>
      <c r="G51" s="7"/>
      <c r="H51" s="6"/>
      <c r="I51" s="6">
        <f>+I50/D50</f>
        <v>23.691360555938434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792</v>
      </c>
      <c r="D1" s="100" t="s">
        <v>1</v>
      </c>
      <c r="E1" s="168" t="s">
        <v>775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796</v>
      </c>
      <c r="D2" s="96" t="s">
        <v>3</v>
      </c>
      <c r="E2" s="95" t="s">
        <v>112</v>
      </c>
      <c r="F2" s="94" t="s">
        <v>5</v>
      </c>
      <c r="G2" s="93">
        <v>13830.9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206</v>
      </c>
      <c r="F3" s="88" t="s">
        <v>8</v>
      </c>
      <c r="G3" s="87">
        <v>25.47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67.140291262135918</v>
      </c>
      <c r="F4" s="81" t="s">
        <v>12</v>
      </c>
      <c r="G4" s="80">
        <f>G2*G3</f>
        <v>352273.02299999999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-9.2064669935609134E-2</v>
      </c>
      <c r="F6" s="69" t="s">
        <v>16</v>
      </c>
      <c r="G6" s="68">
        <f>(I50-I19)/(D50-(SUM(D42:D44)+D19))</f>
        <v>32.349491533205978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25.5</v>
      </c>
      <c r="D10" s="30"/>
      <c r="E10" s="29" t="e">
        <f t="shared" ref="E10:E19" si="1">D10/$D$19</f>
        <v>#DIV/0!</v>
      </c>
      <c r="F10" s="28">
        <f t="shared" ref="F10:F18" si="2">C10-(C10*$E$6)</f>
        <v>27.847649083358032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26.5</v>
      </c>
      <c r="D11" s="30"/>
      <c r="E11" s="29" t="e">
        <f t="shared" si="1"/>
        <v>#DIV/0!</v>
      </c>
      <c r="F11" s="28">
        <f t="shared" si="2"/>
        <v>28.939713753293642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 t="e">
        <f t="shared" si="1"/>
        <v>#DIV/0!</v>
      </c>
      <c r="F12" s="28">
        <f t="shared" si="2"/>
        <v>26.427965012441739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26.5</v>
      </c>
      <c r="D13" s="30"/>
      <c r="E13" s="29" t="e">
        <f t="shared" si="1"/>
        <v>#DIV/0!</v>
      </c>
      <c r="F13" s="28">
        <f t="shared" si="2"/>
        <v>28.939713753293642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29.7</v>
      </c>
      <c r="D14" s="30"/>
      <c r="E14" s="29" t="e">
        <f t="shared" si="1"/>
        <v>#DIV/0!</v>
      </c>
      <c r="F14" s="28">
        <f t="shared" si="2"/>
        <v>32.434320697087593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24.5</v>
      </c>
      <c r="D15" s="30"/>
      <c r="E15" s="29" t="e">
        <f t="shared" si="1"/>
        <v>#DIV/0!</v>
      </c>
      <c r="F15" s="28">
        <f t="shared" si="2"/>
        <v>26.755584413422422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33.5</v>
      </c>
      <c r="D16" s="30"/>
      <c r="E16" s="29" t="e">
        <f t="shared" si="1"/>
        <v>#DIV/0!</v>
      </c>
      <c r="F16" s="28">
        <f t="shared" si="2"/>
        <v>36.584166442842907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49.3</v>
      </c>
      <c r="D17" s="30"/>
      <c r="E17" s="29" t="e">
        <f t="shared" si="1"/>
        <v>#DIV/0!</v>
      </c>
      <c r="F17" s="28">
        <f t="shared" si="2"/>
        <v>53.838788227825525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43.2</v>
      </c>
      <c r="D18" s="30"/>
      <c r="E18" s="29" t="e">
        <f t="shared" si="1"/>
        <v>#DIV/0!</v>
      </c>
      <c r="F18" s="28">
        <f t="shared" si="2"/>
        <v>47.177193741218318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64.099999999999994</v>
      </c>
      <c r="D21" s="30">
        <v>148.19999999999999</v>
      </c>
      <c r="E21" s="29">
        <f>D21/$D$48</f>
        <v>1.0715137843524281E-2</v>
      </c>
      <c r="F21" s="28">
        <f>C21-(C21*$E$6)</f>
        <v>70.00134534287254</v>
      </c>
      <c r="G21" s="27" t="str">
        <f>IF(C21&gt;=F21,"-","+")</f>
        <v>+</v>
      </c>
      <c r="H21" s="26">
        <f>C21*D21</f>
        <v>9499.619999999999</v>
      </c>
      <c r="I21" s="26">
        <f>F21*D21</f>
        <v>10374.19937981371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</v>
      </c>
      <c r="D22" s="30">
        <v>348.9</v>
      </c>
      <c r="E22" s="29">
        <f>D22/$D$48</f>
        <v>2.5226124113398259E-2</v>
      </c>
      <c r="F22" s="28">
        <f>C22-(C22*$E$6)</f>
        <v>46.958780807231193</v>
      </c>
      <c r="G22" s="27" t="str">
        <f>IF(C22&gt;=F22,"-","+")</f>
        <v>+</v>
      </c>
      <c r="H22" s="26">
        <f>C22*D22</f>
        <v>15002.699999999999</v>
      </c>
      <c r="I22" s="26">
        <f>F22*D22</f>
        <v>16383.918623642961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39.200000000000003</v>
      </c>
      <c r="D23" s="30">
        <v>212.2</v>
      </c>
      <c r="E23" s="29">
        <f>D23/$D$48</f>
        <v>1.534245782993153E-2</v>
      </c>
      <c r="F23" s="28">
        <f>C23-(C23*$E$6)</f>
        <v>42.808935061475879</v>
      </c>
      <c r="G23" s="27" t="str">
        <f>IF(C23&gt;=F23,"-","+")</f>
        <v>+</v>
      </c>
      <c r="H23" s="26">
        <f>C23*D23</f>
        <v>8318.24</v>
      </c>
      <c r="I23" s="26">
        <f>F23*D23</f>
        <v>9084.05602004518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46.271760891019312</v>
      </c>
      <c r="D24" s="22">
        <f>SUM(D21:D23)</f>
        <v>709.3</v>
      </c>
      <c r="E24" s="21">
        <f>D24/$D$48</f>
        <v>5.1283719786854073E-2</v>
      </c>
      <c r="F24" s="20">
        <f>I24/D24</f>
        <v>50.531755284790435</v>
      </c>
      <c r="G24" s="19">
        <f>F24/C24-1</f>
        <v>9.2064669935609134E-2</v>
      </c>
      <c r="H24" s="18">
        <f>SUM(H21:H23)</f>
        <v>32820.559999999998</v>
      </c>
      <c r="I24" s="18">
        <f>SUM(I21:I23)</f>
        <v>35842.174023501851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34.200000000000003</v>
      </c>
      <c r="D26" s="30">
        <f>144.7+729.5+85.1+86.9+1625.1</f>
        <v>2671.3</v>
      </c>
      <c r="E26" s="29">
        <f t="shared" ref="E26:E32" si="7">D26/$D$48</f>
        <v>0.19313999812015128</v>
      </c>
      <c r="F26" s="28">
        <f t="shared" ref="F26:F31" si="8">C26-(C26*$E$6)</f>
        <v>37.348611711797837</v>
      </c>
      <c r="G26" s="27" t="str">
        <f t="shared" ref="G26:G31" si="9">IF(C26&gt;=F26,"-","+")</f>
        <v>+</v>
      </c>
      <c r="H26" s="26">
        <f t="shared" ref="H26:H31" si="10">C26*D26</f>
        <v>91358.460000000021</v>
      </c>
      <c r="I26" s="26">
        <f t="shared" ref="I26:I31" si="11">F26*D26</f>
        <v>99769.346465725568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30">
        <v>2050.6</v>
      </c>
      <c r="E27" s="29">
        <f t="shared" si="7"/>
        <v>0.1482622244394797</v>
      </c>
      <c r="F27" s="28">
        <f t="shared" si="8"/>
        <v>33.198765966042515</v>
      </c>
      <c r="G27" s="27" t="str">
        <f t="shared" si="9"/>
        <v>+</v>
      </c>
      <c r="H27" s="26">
        <f t="shared" si="10"/>
        <v>62338.239999999991</v>
      </c>
      <c r="I27" s="26">
        <f t="shared" si="11"/>
        <v>68077.389489966779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30">
        <v>1055.5</v>
      </c>
      <c r="E28" s="29">
        <f t="shared" si="7"/>
        <v>7.6314628838325779E-2</v>
      </c>
      <c r="F28" s="28">
        <f t="shared" si="8"/>
        <v>33.198765966042515</v>
      </c>
      <c r="G28" s="27" t="str">
        <f t="shared" si="9"/>
        <v>+</v>
      </c>
      <c r="H28" s="26">
        <f t="shared" si="10"/>
        <v>32087.199999999997</v>
      </c>
      <c r="I28" s="26">
        <f t="shared" si="11"/>
        <v>35041.297477157874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29.4</v>
      </c>
      <c r="D29" s="30">
        <v>1085.7</v>
      </c>
      <c r="E29" s="29">
        <f t="shared" si="7"/>
        <v>7.8498145456911708E-2</v>
      </c>
      <c r="F29" s="28">
        <f t="shared" si="8"/>
        <v>32.106701296106905</v>
      </c>
      <c r="G29" s="27" t="str">
        <f t="shared" si="9"/>
        <v>+</v>
      </c>
      <c r="H29" s="26">
        <f t="shared" si="10"/>
        <v>31919.579999999998</v>
      </c>
      <c r="I29" s="26">
        <f t="shared" si="11"/>
        <v>34858.245597183268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29.4</v>
      </c>
      <c r="D30" s="30">
        <v>809</v>
      </c>
      <c r="E30" s="29">
        <f t="shared" si="7"/>
        <v>5.8492216703179112E-2</v>
      </c>
      <c r="F30" s="28">
        <f t="shared" si="8"/>
        <v>32.106701296106905</v>
      </c>
      <c r="G30" s="27" t="str">
        <f t="shared" si="9"/>
        <v>+</v>
      </c>
      <c r="H30" s="26">
        <f t="shared" si="10"/>
        <v>23784.6</v>
      </c>
      <c r="I30" s="26">
        <f t="shared" si="11"/>
        <v>25974.321348550486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29.9</v>
      </c>
      <c r="D31" s="30">
        <v>234.4</v>
      </c>
      <c r="E31" s="29">
        <f t="shared" si="7"/>
        <v>1.6947559450216546E-2</v>
      </c>
      <c r="F31" s="28">
        <f t="shared" si="8"/>
        <v>32.65273363107471</v>
      </c>
      <c r="G31" s="27" t="str">
        <f t="shared" si="9"/>
        <v>+</v>
      </c>
      <c r="H31" s="26">
        <f t="shared" si="10"/>
        <v>7008.5599999999995</v>
      </c>
      <c r="I31" s="26">
        <f t="shared" si="11"/>
        <v>7653.8007631239125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31.42941124391324</v>
      </c>
      <c r="D32" s="22">
        <f>SUM(D26:D31)</f>
        <v>7906.4999999999991</v>
      </c>
      <c r="E32" s="21">
        <f t="shared" si="7"/>
        <v>0.57165477300826406</v>
      </c>
      <c r="F32" s="20">
        <f>I32/D32</f>
        <v>34.322949616354634</v>
      </c>
      <c r="G32" s="19">
        <f>F32/C32-1</f>
        <v>9.2064669935609134E-2</v>
      </c>
      <c r="H32" s="18">
        <f>SUM(H26:H31)</f>
        <v>248496.64000000001</v>
      </c>
      <c r="I32" s="18">
        <f>SUM(I26:I31)</f>
        <v>271374.4011417079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f>1151.3+946.9</f>
        <v>2098.1999999999998</v>
      </c>
      <c r="E34" s="29">
        <f t="shared" ref="E34:E40" si="13">D34/$D$48</f>
        <v>0.15170379367937009</v>
      </c>
      <c r="F34" s="28">
        <f t="shared" ref="F34:F39" si="14">C34-(C34*$E$6)</f>
        <v>19.657164058840966</v>
      </c>
      <c r="G34" s="27" t="str">
        <f t="shared" ref="G34:G39" si="15">IF(C34&gt;=F34,"-","+")</f>
        <v>+</v>
      </c>
      <c r="H34" s="26">
        <f t="shared" ref="H34:H39" si="16">C34*D34</f>
        <v>37767.599999999999</v>
      </c>
      <c r="I34" s="26">
        <f t="shared" ref="I34:I39" si="17">F34*D34</f>
        <v>41244.66162826011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>
        <v>168</v>
      </c>
      <c r="E35" s="29">
        <f t="shared" si="13"/>
        <v>1.2146714964319025E-2</v>
      </c>
      <c r="F35" s="28">
        <f t="shared" si="14"/>
        <v>15.070492445111407</v>
      </c>
      <c r="G35" s="27" t="str">
        <f t="shared" si="15"/>
        <v>+</v>
      </c>
      <c r="H35" s="26">
        <f t="shared" si="16"/>
        <v>2318.4</v>
      </c>
      <c r="I35" s="26">
        <f t="shared" si="17"/>
        <v>2531.8427307787165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12.121917836285261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29.4</v>
      </c>
      <c r="D37" s="30"/>
      <c r="E37" s="29">
        <f t="shared" si="13"/>
        <v>0</v>
      </c>
      <c r="F37" s="28">
        <f t="shared" si="14"/>
        <v>32.106701296106905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29.4</v>
      </c>
      <c r="D38" s="30"/>
      <c r="E38" s="29">
        <f t="shared" si="13"/>
        <v>0</v>
      </c>
      <c r="F38" s="28">
        <f t="shared" si="14"/>
        <v>32.106701296106905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30"/>
      <c r="E39" s="29">
        <f t="shared" si="13"/>
        <v>0</v>
      </c>
      <c r="F39" s="28">
        <f t="shared" si="14"/>
        <v>33.198765966042515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17.688641779189833</v>
      </c>
      <c r="D40" s="22">
        <f>SUM(D34:D39)</f>
        <v>2266.1999999999998</v>
      </c>
      <c r="E40" s="113">
        <f t="shared" si="13"/>
        <v>0.16385050864368914</v>
      </c>
      <c r="F40" s="20">
        <f>I40/D40</f>
        <v>19.31714074620017</v>
      </c>
      <c r="G40" s="19">
        <f>F40/C40-1</f>
        <v>9.2064669935609134E-2</v>
      </c>
      <c r="H40" s="18">
        <f>SUM(H34:H39)</f>
        <v>40086</v>
      </c>
      <c r="I40" s="18">
        <f>SUM(I34:I39)</f>
        <v>43776.504359038823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1110+214.4+1515</f>
        <v>2839.4</v>
      </c>
      <c r="E42" s="107">
        <f>D42/$D$48</f>
        <v>0.20529394327194905</v>
      </c>
      <c r="F42" s="28">
        <f>C42-(C42*$E$6)</f>
        <v>0.43682586797424366</v>
      </c>
      <c r="G42" s="27" t="str">
        <f>IF(C42&gt;=F42,"-","+")</f>
        <v>+</v>
      </c>
      <c r="H42" s="26">
        <f>C42*D42</f>
        <v>1135.76</v>
      </c>
      <c r="I42" s="26">
        <f>F42*D42</f>
        <v>1240.3233695260676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90.7</v>
      </c>
      <c r="E43" s="107">
        <f>D43/$D$48</f>
        <v>6.5577800432365212E-3</v>
      </c>
      <c r="F43" s="28">
        <f>C43-(C43*$E$6)</f>
        <v>0.43682586797424366</v>
      </c>
      <c r="G43" s="27" t="str">
        <f>IF(C43&gt;=F43,"-","+")</f>
        <v>+</v>
      </c>
      <c r="H43" s="26">
        <f>C43*D43</f>
        <v>36.28</v>
      </c>
      <c r="I43" s="26">
        <f>F43*D43</f>
        <v>39.620106225263903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11.2</v>
      </c>
      <c r="E44" s="107">
        <f>D44/$D$48</f>
        <v>8.0978099762126833E-4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7.6</v>
      </c>
      <c r="E45" s="107">
        <f>D45/$D$48</f>
        <v>5.4949424838586069E-4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0.39744989657160301</v>
      </c>
      <c r="D46" s="22">
        <f>SUM(D41:D45)</f>
        <v>2948.8999999999996</v>
      </c>
      <c r="E46" s="113">
        <f>D46/$D$48</f>
        <v>0.21321099856119266</v>
      </c>
      <c r="F46" s="20">
        <f>I46/D46</f>
        <v>0.4340409901154097</v>
      </c>
      <c r="G46" s="19">
        <f>F46/C46-1</f>
        <v>9.2064669935609356E-2</v>
      </c>
      <c r="H46" s="18">
        <f>SUM(H41:H44)</f>
        <v>1172.04</v>
      </c>
      <c r="I46" s="18">
        <f>SUM(I41:I44)</f>
        <v>1279.9434757513316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95.787263810693986</v>
      </c>
      <c r="D48" s="13">
        <f>D24+D32+D40+D46</f>
        <v>13830.9</v>
      </c>
      <c r="E48" s="12">
        <f>SUM(E20:E46)/2</f>
        <v>1</v>
      </c>
      <c r="F48" s="11">
        <f>I48/D48</f>
        <v>25.469999999999992</v>
      </c>
      <c r="G48" s="10"/>
      <c r="H48" s="9">
        <f>SUM(H20:H46)/2</f>
        <v>322575.24000000005</v>
      </c>
      <c r="I48" s="9">
        <f>SUM(I20:I46)/2</f>
        <v>352273.02299999987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13830.900000000001</v>
      </c>
      <c r="E50" s="12">
        <f>D50/G2</f>
        <v>1.0000000000000002</v>
      </c>
      <c r="F50" s="11">
        <f>I50/D50</f>
        <v>25.469999999999988</v>
      </c>
      <c r="G50" s="10"/>
      <c r="H50" s="9">
        <f>H48+H19</f>
        <v>322575.24000000005</v>
      </c>
      <c r="I50" s="9">
        <f>I48+I19</f>
        <v>352273.02299999987</v>
      </c>
      <c r="J50" s="106">
        <f>D50-G2</f>
        <v>0</v>
      </c>
      <c r="K50" s="8"/>
    </row>
    <row r="51" spans="1:11" ht="23.25" x14ac:dyDescent="0.35">
      <c r="A51" s="174" t="s">
        <v>798</v>
      </c>
      <c r="B51" s="169"/>
      <c r="C51" s="170"/>
      <c r="G51" s="7"/>
      <c r="H51" s="6"/>
      <c r="I51" s="6">
        <f>+I50/D50</f>
        <v>25.469999999999988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 bestFit="1"/>
  </cols>
  <sheetData>
    <row r="1" spans="1:11" ht="16.5" thickBot="1" x14ac:dyDescent="0.3">
      <c r="A1" s="103" t="s">
        <v>0</v>
      </c>
      <c r="B1" s="102"/>
      <c r="C1" s="101" t="s">
        <v>799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799</v>
      </c>
      <c r="D2" s="96" t="s">
        <v>3</v>
      </c>
      <c r="E2" s="95" t="s">
        <v>71</v>
      </c>
      <c r="F2" s="94" t="s">
        <v>5</v>
      </c>
      <c r="G2" s="93">
        <v>16005.9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214</v>
      </c>
      <c r="F3" s="88" t="s">
        <v>8</v>
      </c>
      <c r="G3" s="87">
        <v>28</v>
      </c>
      <c r="H3" s="62"/>
      <c r="I3" s="62"/>
      <c r="J3" s="61"/>
      <c r="K3" s="61"/>
    </row>
    <row r="4" spans="1:11" ht="16.5" thickBot="1" x14ac:dyDescent="0.3">
      <c r="A4" s="86" t="s">
        <v>9</v>
      </c>
      <c r="B4" s="85"/>
      <c r="C4" s="84">
        <v>14</v>
      </c>
      <c r="D4" s="83" t="s">
        <v>11</v>
      </c>
      <c r="E4" s="82">
        <f>G2/E3</f>
        <v>74.793925233644856</v>
      </c>
      <c r="F4" s="81" t="s">
        <v>12</v>
      </c>
      <c r="G4" s="80">
        <f>G2*G3</f>
        <v>448165.2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-2.2510131974637915E-3</v>
      </c>
      <c r="F6" s="69" t="s">
        <v>16</v>
      </c>
      <c r="G6" s="68">
        <f>(I50-I19)/(D50-(SUM(D42:D44)+D19))</f>
        <v>33.672326741600045</v>
      </c>
    </row>
    <row r="7" spans="1:11" ht="16.5" thickBot="1" x14ac:dyDescent="0.3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28.063028369528986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29.265729585365943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26.659876951052539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29.265729585365943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32.673383030237318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26.960552255011773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36.882837285666668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54.322004915302543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ht="15.75" thickBot="1" x14ac:dyDescent="0.3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47.506698025559785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ht="16.5" thickTop="1" thickBot="1" x14ac:dyDescent="0.3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ht="15.75" thickTop="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201.9</v>
      </c>
      <c r="E21" s="29">
        <f>D21/$D$48</f>
        <v>1.2614098551159261E-2</v>
      </c>
      <c r="F21" s="28">
        <f>C21-(C21*$E$6)</f>
        <v>70.558471329101451</v>
      </c>
      <c r="G21" s="27" t="str">
        <f>IF(C21&gt;=F21,"-","+")</f>
        <v>+</v>
      </c>
      <c r="H21" s="26">
        <f>C21*D21</f>
        <v>14213.760000000002</v>
      </c>
      <c r="I21" s="26">
        <f>F21*D21</f>
        <v>14245.755361345584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515.70000000000005</v>
      </c>
      <c r="E22" s="29">
        <f>D22/$D$48</f>
        <v>3.221936910764156E-2</v>
      </c>
      <c r="F22" s="28">
        <f>C22-(C22*$E$6)</f>
        <v>47.406472924240035</v>
      </c>
      <c r="G22" s="27" t="str">
        <f>IF(C22&gt;=F22,"-","+")</f>
        <v>+</v>
      </c>
      <c r="H22" s="26">
        <f>C22*D22</f>
        <v>24392.61</v>
      </c>
      <c r="I22" s="26">
        <f>F22*D22</f>
        <v>24447.518087030589</v>
      </c>
      <c r="J22" s="25"/>
      <c r="K22" s="25"/>
    </row>
    <row r="23" spans="1:11" ht="15.75" thickBot="1" x14ac:dyDescent="0.3">
      <c r="A23" s="25" t="s">
        <v>38</v>
      </c>
      <c r="B23" s="32">
        <v>1.54</v>
      </c>
      <c r="C23" s="31">
        <f>ROUND($G$3*B23,1)</f>
        <v>43.1</v>
      </c>
      <c r="D23" s="30">
        <v>384.2</v>
      </c>
      <c r="E23" s="29">
        <f>D23/$D$48</f>
        <v>2.4003648654558632E-2</v>
      </c>
      <c r="F23" s="28">
        <f>C23-(C23*$E$6)</f>
        <v>43.197018668810692</v>
      </c>
      <c r="G23" s="27" t="str">
        <f>IF(C23&gt;=F23,"-","+")</f>
        <v>+</v>
      </c>
      <c r="H23" s="26">
        <f>C23*D23</f>
        <v>16559.02</v>
      </c>
      <c r="I23" s="26">
        <f>F23*D23</f>
        <v>16596.294572557068</v>
      </c>
      <c r="J23" s="25"/>
      <c r="K23" s="25"/>
    </row>
    <row r="24" spans="1:11" ht="15.75" thickBot="1" x14ac:dyDescent="0.3">
      <c r="A24" s="24" t="s">
        <v>34</v>
      </c>
      <c r="B24" s="23"/>
      <c r="C24" s="20">
        <f>H24/D24</f>
        <v>50.06842439644219</v>
      </c>
      <c r="D24" s="22">
        <f>SUM(D21:D23)</f>
        <v>1101.8</v>
      </c>
      <c r="E24" s="21">
        <f>D24/$D$48</f>
        <v>6.8837116313359453E-2</v>
      </c>
      <c r="F24" s="20">
        <f>I24/D24</f>
        <v>50.181129080534802</v>
      </c>
      <c r="G24" s="19">
        <f>F24/C24-1</f>
        <v>2.2510131974637915E-3</v>
      </c>
      <c r="H24" s="18">
        <f>SUM(H21:H23)</f>
        <v>55165.39</v>
      </c>
      <c r="I24" s="18">
        <f>SUM(I21:I23)</f>
        <v>55289.568020933242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3040.3</v>
      </c>
      <c r="E26" s="29">
        <f t="shared" ref="E26:E32" si="7">D26/$D$48</f>
        <v>0.18994870641450967</v>
      </c>
      <c r="F26" s="28">
        <f t="shared" ref="F26:F31" si="8">C26-(C26*$E$6)</f>
        <v>37.684638096224639</v>
      </c>
      <c r="G26" s="27" t="str">
        <f t="shared" ref="G26:G31" si="9">IF(C26&gt;=F26,"-","+")</f>
        <v>+</v>
      </c>
      <c r="H26" s="26">
        <f t="shared" ref="H26:H31" si="10">C26*D26</f>
        <v>114315.28000000001</v>
      </c>
      <c r="I26" s="26">
        <f t="shared" ref="I26:I31" si="11">F26*D26</f>
        <v>114572.60520395178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2599.1</v>
      </c>
      <c r="E27" s="29">
        <f t="shared" si="7"/>
        <v>0.16238387094758808</v>
      </c>
      <c r="F27" s="28">
        <f t="shared" si="8"/>
        <v>33.57540894211504</v>
      </c>
      <c r="G27" s="27" t="str">
        <f t="shared" si="9"/>
        <v>+</v>
      </c>
      <c r="H27" s="26">
        <f t="shared" si="10"/>
        <v>87069.849999999991</v>
      </c>
      <c r="I27" s="26">
        <f t="shared" si="11"/>
        <v>87265.845381451203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1823.3</v>
      </c>
      <c r="E28" s="29">
        <f t="shared" si="7"/>
        <v>0.11391424412247983</v>
      </c>
      <c r="F28" s="28">
        <f t="shared" si="8"/>
        <v>33.57540894211504</v>
      </c>
      <c r="G28" s="27" t="str">
        <f t="shared" si="9"/>
        <v>+</v>
      </c>
      <c r="H28" s="26">
        <f t="shared" si="10"/>
        <v>61080.549999999996</v>
      </c>
      <c r="I28" s="26">
        <f t="shared" si="11"/>
        <v>61218.04312415835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1389.9</v>
      </c>
      <c r="E29" s="29">
        <f t="shared" si="7"/>
        <v>8.6836728956197415E-2</v>
      </c>
      <c r="F29" s="28">
        <f t="shared" si="8"/>
        <v>32.37270772627808</v>
      </c>
      <c r="G29" s="27" t="str">
        <f t="shared" si="9"/>
        <v>+</v>
      </c>
      <c r="H29" s="26">
        <f t="shared" si="10"/>
        <v>44893.77</v>
      </c>
      <c r="I29" s="26">
        <f t="shared" si="11"/>
        <v>44994.826468753905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893.1</v>
      </c>
      <c r="E30" s="29">
        <f t="shared" si="7"/>
        <v>5.5798174423181454E-2</v>
      </c>
      <c r="F30" s="28">
        <f t="shared" si="8"/>
        <v>32.37270772627808</v>
      </c>
      <c r="G30" s="27" t="str">
        <f t="shared" si="9"/>
        <v>+</v>
      </c>
      <c r="H30" s="26">
        <f t="shared" si="10"/>
        <v>28847.129999999997</v>
      </c>
      <c r="I30" s="26">
        <f t="shared" si="11"/>
        <v>28912.065270338953</v>
      </c>
      <c r="J30" s="25"/>
      <c r="K30" s="25"/>
    </row>
    <row r="31" spans="1:11" ht="15.75" thickBot="1" x14ac:dyDescent="0.3">
      <c r="A31" s="25" t="s">
        <v>45</v>
      </c>
      <c r="B31" s="32">
        <v>1.175</v>
      </c>
      <c r="C31" s="31">
        <f t="shared" si="6"/>
        <v>32.9</v>
      </c>
      <c r="D31" s="30">
        <v>438.2</v>
      </c>
      <c r="E31" s="29">
        <f t="shared" si="7"/>
        <v>2.7377404582060366E-2</v>
      </c>
      <c r="F31" s="28">
        <f t="shared" si="8"/>
        <v>32.974058334196556</v>
      </c>
      <c r="G31" s="27" t="str">
        <f t="shared" si="9"/>
        <v>+</v>
      </c>
      <c r="H31" s="26">
        <f t="shared" si="10"/>
        <v>14416.779999999999</v>
      </c>
      <c r="I31" s="26">
        <f t="shared" si="11"/>
        <v>14449.23236204493</v>
      </c>
      <c r="J31" s="25"/>
      <c r="K31" s="25"/>
    </row>
    <row r="32" spans="1:11" ht="15.75" thickBot="1" x14ac:dyDescent="0.3">
      <c r="A32" s="24" t="s">
        <v>34</v>
      </c>
      <c r="B32" s="23"/>
      <c r="C32" s="20">
        <f>H32/D32</f>
        <v>34.429183318767855</v>
      </c>
      <c r="D32" s="22">
        <f>SUM(D26:D31)</f>
        <v>10183.900000000001</v>
      </c>
      <c r="E32" s="21">
        <f t="shared" si="7"/>
        <v>0.63625912944601692</v>
      </c>
      <c r="F32" s="20">
        <f>I32/D32</f>
        <v>34.506683864796308</v>
      </c>
      <c r="G32" s="19">
        <f>F32/C32-1</f>
        <v>2.2510131974640135E-3</v>
      </c>
      <c r="H32" s="18">
        <f>SUM(H26:H31)</f>
        <v>350623.36</v>
      </c>
      <c r="I32" s="18">
        <f>SUM(I26:I31)</f>
        <v>351412.61781069916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2021.3</v>
      </c>
      <c r="E34" s="29">
        <f t="shared" ref="E34:E40" si="13">D34/$D$48</f>
        <v>0.12628468252331954</v>
      </c>
      <c r="F34" s="28">
        <f t="shared" ref="F34:F39" si="14">C34-(C34*$E$6)</f>
        <v>19.844570061309785</v>
      </c>
      <c r="G34" s="27" t="str">
        <f t="shared" ref="G34:G39" si="15">IF(C34&gt;=F34,"-","+")</f>
        <v>+</v>
      </c>
      <c r="H34" s="26">
        <f t="shared" ref="H34:H39" si="16">C34*D34</f>
        <v>40021.74</v>
      </c>
      <c r="I34" s="26">
        <f t="shared" ref="I34:I39" si="17">F34*D34</f>
        <v>40111.829464925468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15.23421540060145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12.227462361009058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32.37270772627808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32.37270772627808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ht="15.75" thickBot="1" x14ac:dyDescent="0.3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33.57540894211504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ht="15.75" thickBot="1" x14ac:dyDescent="0.3">
      <c r="A40" s="24" t="s">
        <v>34</v>
      </c>
      <c r="B40" s="23"/>
      <c r="C40" s="20">
        <f>H40/D40</f>
        <v>19.8</v>
      </c>
      <c r="D40" s="22">
        <f>SUM(D34:D39)</f>
        <v>2021.3</v>
      </c>
      <c r="E40" s="113">
        <f t="shared" si="13"/>
        <v>0.12628468252331954</v>
      </c>
      <c r="F40" s="20">
        <f>I40/D40</f>
        <v>19.844570061309785</v>
      </c>
      <c r="G40" s="19">
        <f>F40/C40-1</f>
        <v>2.2510131974637915E-3</v>
      </c>
      <c r="H40" s="18">
        <f>SUM(H34:H39)</f>
        <v>40021.74</v>
      </c>
      <c r="I40" s="18">
        <f>SUM(I34:I39)</f>
        <v>40111.829464925468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2535</v>
      </c>
      <c r="E42" s="107">
        <f>D42/$D$48</f>
        <v>0.1583790977077203</v>
      </c>
      <c r="F42" s="28">
        <f>C42-(C42*$E$6)</f>
        <v>0.5011255065987319</v>
      </c>
      <c r="G42" s="27" t="str">
        <f>IF(C42&gt;=F42,"-","+")</f>
        <v>+</v>
      </c>
      <c r="H42" s="26">
        <f>C42*D42</f>
        <v>1267.5</v>
      </c>
      <c r="I42" s="26">
        <f>F42*D42</f>
        <v>1270.3531592277855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161.30000000000001</v>
      </c>
      <c r="E43" s="107">
        <f>D43/$D$48</f>
        <v>1.007753390937092E-2</v>
      </c>
      <c r="F43" s="28">
        <f>C43-(C43*$E$6)</f>
        <v>0.5011255065987319</v>
      </c>
      <c r="G43" s="27" t="str">
        <f>IF(C43&gt;=F43,"-","+")</f>
        <v>+</v>
      </c>
      <c r="H43" s="26">
        <f>C43*D43</f>
        <v>80.650000000000006</v>
      </c>
      <c r="I43" s="26">
        <f>F43*D43</f>
        <v>80.831544214375455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2.6</v>
      </c>
      <c r="E45" s="107">
        <f>D45/$D$48</f>
        <v>1.6244010021304644E-4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ht="15.75" thickBot="1" x14ac:dyDescent="0.3">
      <c r="A46" s="24" t="s">
        <v>34</v>
      </c>
      <c r="B46" s="23"/>
      <c r="C46" s="20">
        <f>H46/D46</f>
        <v>0.4995183222794472</v>
      </c>
      <c r="D46" s="22">
        <f>SUM(D41:D45)</f>
        <v>2698.9</v>
      </c>
      <c r="E46" s="113">
        <f>D46/$D$48</f>
        <v>0.16861907171730425</v>
      </c>
      <c r="F46" s="20">
        <f>I46/D46</f>
        <v>0.50064274461527325</v>
      </c>
      <c r="G46" s="19">
        <f>F46/C46-1</f>
        <v>2.2510131974637915E-3</v>
      </c>
      <c r="H46" s="18">
        <f>SUM(H41:H44)</f>
        <v>1348.15</v>
      </c>
      <c r="I46" s="18">
        <f>SUM(I41:I44)</f>
        <v>1351.184703442161</v>
      </c>
      <c r="J46" s="17"/>
      <c r="K46" s="17"/>
    </row>
    <row r="47" spans="1:11" ht="15.75" thickBot="1" x14ac:dyDescent="0.3">
      <c r="E47" s="16"/>
    </row>
    <row r="48" spans="1:11" ht="15.75" thickBot="1" x14ac:dyDescent="0.3">
      <c r="A48" s="10" t="s">
        <v>58</v>
      </c>
      <c r="B48" s="15"/>
      <c r="C48" s="11">
        <f>C24+C32+C40+C46</f>
        <v>104.79712603748949</v>
      </c>
      <c r="D48" s="13">
        <f>D24+D32+D40+D46</f>
        <v>16005.9</v>
      </c>
      <c r="E48" s="12">
        <f>SUM(E20:E46)/2</f>
        <v>1</v>
      </c>
      <c r="F48" s="11">
        <f>I48/D48</f>
        <v>27.999999999999996</v>
      </c>
      <c r="G48" s="10"/>
      <c r="H48" s="9">
        <f>SUM(H20:H46)/2</f>
        <v>447158.64</v>
      </c>
      <c r="I48" s="9">
        <f>SUM(I20:I46)/2</f>
        <v>448165.19999999995</v>
      </c>
      <c r="J48" s="8"/>
      <c r="K48" s="8"/>
    </row>
    <row r="49" spans="1:11" ht="15.75" thickBot="1" x14ac:dyDescent="0.3">
      <c r="E49" s="16"/>
    </row>
    <row r="50" spans="1:11" ht="15.75" thickBot="1" x14ac:dyDescent="0.3">
      <c r="A50" s="10" t="s">
        <v>59</v>
      </c>
      <c r="B50" s="15"/>
      <c r="C50" s="14"/>
      <c r="D50" s="13">
        <f>SUM(D10:D47)/2</f>
        <v>16005.9</v>
      </c>
      <c r="E50" s="12">
        <f>D50/G2</f>
        <v>1</v>
      </c>
      <c r="F50" s="11">
        <f>I50/D50</f>
        <v>27.999999999999996</v>
      </c>
      <c r="G50" s="10"/>
      <c r="H50" s="9">
        <f>H48+H19</f>
        <v>447158.64</v>
      </c>
      <c r="I50" s="9">
        <f>I48+I19</f>
        <v>448165.19999999995</v>
      </c>
      <c r="J50" s="106">
        <f>D50-G2</f>
        <v>0</v>
      </c>
      <c r="K50" s="8"/>
    </row>
    <row r="51" spans="1:11" ht="23.25" x14ac:dyDescent="0.35">
      <c r="A51" s="174" t="s">
        <v>800</v>
      </c>
      <c r="B51" s="169"/>
      <c r="C51" s="170"/>
      <c r="G51" s="7"/>
      <c r="H51" s="6"/>
      <c r="I51" s="6">
        <f>+I50/D50</f>
        <v>27.999999999999996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788</v>
      </c>
      <c r="D1" s="100" t="s">
        <v>1</v>
      </c>
      <c r="E1" s="168" t="s">
        <v>474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799</v>
      </c>
      <c r="D2" s="96" t="s">
        <v>3</v>
      </c>
      <c r="E2" s="95" t="s">
        <v>71</v>
      </c>
      <c r="F2" s="94" t="s">
        <v>5</v>
      </c>
      <c r="G2" s="93">
        <v>7621.4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100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76.213999999999999</v>
      </c>
      <c r="F4" s="81" t="s">
        <v>12</v>
      </c>
      <c r="G4" s="80">
        <f>G2*G3</f>
        <v>213399.19999999998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1.0338431207086662E-2</v>
      </c>
      <c r="F6" s="69" t="s">
        <v>16</v>
      </c>
      <c r="G6" s="68">
        <f>(I50-I19)/(D50-(SUM(D42:D44)+D19))</f>
        <v>36.278508717093807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27.710523926201574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1105.5</v>
      </c>
      <c r="E11" s="29">
        <f t="shared" si="1"/>
        <v>0.20142115332057939</v>
      </c>
      <c r="F11" s="28">
        <f t="shared" si="2"/>
        <v>28.898117808753067</v>
      </c>
      <c r="G11" s="27" t="str">
        <f t="shared" si="3"/>
        <v>-</v>
      </c>
      <c r="H11" s="34">
        <f t="shared" si="4"/>
        <v>32280.6</v>
      </c>
      <c r="I11" s="34">
        <f t="shared" si="5"/>
        <v>31946.869237576517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4074.2</v>
      </c>
      <c r="E12" s="29">
        <f t="shared" si="1"/>
        <v>0.7423157511159697</v>
      </c>
      <c r="F12" s="28">
        <f t="shared" si="2"/>
        <v>26.324997729891496</v>
      </c>
      <c r="G12" s="27" t="str">
        <f t="shared" si="3"/>
        <v>-</v>
      </c>
      <c r="H12" s="34">
        <f t="shared" si="4"/>
        <v>108373.72</v>
      </c>
      <c r="I12" s="34">
        <f t="shared" si="5"/>
        <v>107253.30575112393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185</v>
      </c>
      <c r="E13" s="29">
        <f t="shared" si="1"/>
        <v>3.3706841577844586E-2</v>
      </c>
      <c r="F13" s="28">
        <f t="shared" si="2"/>
        <v>28.898117808753067</v>
      </c>
      <c r="G13" s="27" t="str">
        <f t="shared" si="3"/>
        <v>-</v>
      </c>
      <c r="H13" s="34">
        <f t="shared" si="4"/>
        <v>5402</v>
      </c>
      <c r="I13" s="34">
        <f t="shared" si="5"/>
        <v>5346.1517946193171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123.8</v>
      </c>
      <c r="E14" s="29">
        <f t="shared" si="1"/>
        <v>2.2556253985606269E-2</v>
      </c>
      <c r="F14" s="28">
        <f t="shared" si="2"/>
        <v>32.262967142648975</v>
      </c>
      <c r="G14" s="27" t="str">
        <f t="shared" si="3"/>
        <v>-</v>
      </c>
      <c r="H14" s="34">
        <f t="shared" si="4"/>
        <v>4035.88</v>
      </c>
      <c r="I14" s="34">
        <f t="shared" si="5"/>
        <v>3994.155332259943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26.621896200529367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36.419545731579205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53.639657028575904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46.909958360784088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27.346670310649543</v>
      </c>
      <c r="D19" s="49">
        <f>SUM(D10:D18)</f>
        <v>5488.5</v>
      </c>
      <c r="E19" s="48">
        <f t="shared" si="1"/>
        <v>1</v>
      </c>
      <c r="F19" s="47">
        <f>I19/D19</f>
        <v>27.063948640900012</v>
      </c>
      <c r="G19" s="46">
        <f>F19/C19-1</f>
        <v>-1.0338431207086662E-2</v>
      </c>
      <c r="H19" s="9">
        <f>SUM(H10:H18)</f>
        <v>150092.20000000001</v>
      </c>
      <c r="I19" s="9">
        <f>SUM(I10:I18)</f>
        <v>148540.48211557971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43.4</v>
      </c>
      <c r="E21" s="29">
        <f>D21/$D$48</f>
        <v>2.0348837209302324E-2</v>
      </c>
      <c r="F21" s="28">
        <f>C21-(C21*$E$6)</f>
        <v>69.672174443021106</v>
      </c>
      <c r="G21" s="27" t="str">
        <f>IF(C21&gt;=F21,"-","+")</f>
        <v>-</v>
      </c>
      <c r="H21" s="26">
        <f>C21*D21</f>
        <v>3055.36</v>
      </c>
      <c r="I21" s="26">
        <f>F21*D21</f>
        <v>3023.772370827116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/>
      <c r="E22" s="29">
        <f>D22/$D$48</f>
        <v>0</v>
      </c>
      <c r="F22" s="28">
        <f>C22-(C22*$E$6)</f>
        <v>46.810992203904796</v>
      </c>
      <c r="G22" s="27" t="str">
        <f>IF(C22&gt;=F22,"-","+")</f>
        <v>-</v>
      </c>
      <c r="H22" s="26">
        <f>C22*D22</f>
        <v>0</v>
      </c>
      <c r="I22" s="26">
        <f>F22*D22</f>
        <v>0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122.3</v>
      </c>
      <c r="E23" s="29">
        <f>D23/$D$48</f>
        <v>5.734246061515378E-2</v>
      </c>
      <c r="F23" s="28">
        <f>C23-(C23*$E$6)</f>
        <v>42.654413614974565</v>
      </c>
      <c r="G23" s="27" t="str">
        <f>IF(C23&gt;=F23,"-","+")</f>
        <v>-</v>
      </c>
      <c r="H23" s="26">
        <f>C23*D23</f>
        <v>5271.13</v>
      </c>
      <c r="I23" s="26">
        <f>F23*D23</f>
        <v>5216.6347851113896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50.250392275196141</v>
      </c>
      <c r="D24" s="22">
        <f>SUM(D21:D23)</f>
        <v>165.7</v>
      </c>
      <c r="E24" s="21">
        <f>D24/$D$48</f>
        <v>7.7691297824456107E-2</v>
      </c>
      <c r="F24" s="20">
        <f>I24/D24</f>
        <v>49.730882051529903</v>
      </c>
      <c r="G24" s="19">
        <f>F24/C24-1</f>
        <v>-1.0338431207086773E-2</v>
      </c>
      <c r="H24" s="18">
        <f>SUM(H21:H23)</f>
        <v>8326.49</v>
      </c>
      <c r="I24" s="18">
        <f>SUM(I21:I23)</f>
        <v>8240.4071559385047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632.5+132.4+45+303.4</f>
        <v>1113.3</v>
      </c>
      <c r="E26" s="29">
        <f t="shared" ref="E26:E32" si="7">D26/$D$48</f>
        <v>0.52198987246811701</v>
      </c>
      <c r="F26" s="28">
        <f t="shared" ref="F26:F31" si="8">C26-(C26*$E$6)</f>
        <v>37.211274986613546</v>
      </c>
      <c r="G26" s="27" t="str">
        <f t="shared" ref="G26:G31" si="9">IF(C26&gt;=F26,"-","+")</f>
        <v>-</v>
      </c>
      <c r="H26" s="26">
        <f t="shared" ref="H26:H31" si="10">C26*D26</f>
        <v>41860.080000000002</v>
      </c>
      <c r="I26" s="26">
        <f t="shared" ref="I26:I31" si="11">F26*D26</f>
        <v>41427.312442596856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/>
      <c r="E27" s="29">
        <f t="shared" si="7"/>
        <v>0</v>
      </c>
      <c r="F27" s="28">
        <f t="shared" si="8"/>
        <v>33.153662554562594</v>
      </c>
      <c r="G27" s="27" t="str">
        <f t="shared" si="9"/>
        <v>-</v>
      </c>
      <c r="H27" s="26">
        <f t="shared" si="10"/>
        <v>0</v>
      </c>
      <c r="I27" s="26">
        <f t="shared" si="11"/>
        <v>0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/>
      <c r="E28" s="29">
        <f t="shared" si="7"/>
        <v>0</v>
      </c>
      <c r="F28" s="28">
        <f t="shared" si="8"/>
        <v>33.153662554562594</v>
      </c>
      <c r="G28" s="27" t="str">
        <f t="shared" si="9"/>
        <v>-</v>
      </c>
      <c r="H28" s="26">
        <f t="shared" si="10"/>
        <v>0</v>
      </c>
      <c r="I28" s="26">
        <f t="shared" si="11"/>
        <v>0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/>
      <c r="E29" s="29">
        <f t="shared" si="7"/>
        <v>0</v>
      </c>
      <c r="F29" s="28">
        <f t="shared" si="8"/>
        <v>31.966068672011097</v>
      </c>
      <c r="G29" s="27" t="str">
        <f t="shared" si="9"/>
        <v>-</v>
      </c>
      <c r="H29" s="26">
        <f t="shared" si="10"/>
        <v>0</v>
      </c>
      <c r="I29" s="26">
        <f t="shared" si="11"/>
        <v>0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288.8</v>
      </c>
      <c r="E30" s="29">
        <f t="shared" si="7"/>
        <v>0.13540885221305327</v>
      </c>
      <c r="F30" s="28">
        <f t="shared" si="8"/>
        <v>31.966068672011097</v>
      </c>
      <c r="G30" s="27" t="str">
        <f t="shared" si="9"/>
        <v>-</v>
      </c>
      <c r="H30" s="26">
        <f t="shared" si="10"/>
        <v>9328.24</v>
      </c>
      <c r="I30" s="26">
        <f t="shared" si="11"/>
        <v>9231.8006324768048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f>30.3+86.4</f>
        <v>116.7</v>
      </c>
      <c r="E31" s="29">
        <f t="shared" si="7"/>
        <v>5.4716804201050261E-2</v>
      </c>
      <c r="F31" s="28">
        <f t="shared" si="8"/>
        <v>32.559865613286846</v>
      </c>
      <c r="G31" s="27" t="str">
        <f t="shared" si="9"/>
        <v>-</v>
      </c>
      <c r="H31" s="26">
        <f t="shared" si="10"/>
        <v>3839.43</v>
      </c>
      <c r="I31" s="26">
        <f t="shared" si="11"/>
        <v>3799.7363170705748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36.231070582038456</v>
      </c>
      <c r="D32" s="22">
        <f>SUM(D26:D31)</f>
        <v>1518.8</v>
      </c>
      <c r="E32" s="21">
        <f t="shared" si="7"/>
        <v>0.71211552888222052</v>
      </c>
      <c r="F32" s="20">
        <f>I32/D32</f>
        <v>35.856498151266948</v>
      </c>
      <c r="G32" s="19">
        <f>F32/C32-1</f>
        <v>-1.0338431207086773E-2</v>
      </c>
      <c r="H32" s="18">
        <f>SUM(H26:H31)</f>
        <v>55027.75</v>
      </c>
      <c r="I32" s="18">
        <f>SUM(I26:I31)</f>
        <v>54458.849392144235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102.4</v>
      </c>
      <c r="E34" s="29">
        <f t="shared" ref="E34:E40" si="13">D34/$D$48</f>
        <v>4.8012003000750189E-2</v>
      </c>
      <c r="F34" s="28">
        <f t="shared" ref="F34:F39" si="14">C34-(C34*$E$6)</f>
        <v>19.595299062099684</v>
      </c>
      <c r="G34" s="27" t="str">
        <f t="shared" ref="G34:G39" si="15">IF(C34&gt;=F34,"-","+")</f>
        <v>-</v>
      </c>
      <c r="H34" s="26">
        <f t="shared" ref="H34:H39" si="16">C34*D34</f>
        <v>2027.5200000000002</v>
      </c>
      <c r="I34" s="26">
        <f t="shared" ref="I34:I39" si="17">F34*D34</f>
        <v>2006.5586239590077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15.042855845652282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12.073871139273542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31.966068672011097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31.966068672011097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33.153662554562594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102.4</v>
      </c>
      <c r="E40" s="113">
        <f t="shared" si="13"/>
        <v>4.8012003000750189E-2</v>
      </c>
      <c r="F40" s="20">
        <f>I40/D40</f>
        <v>19.595299062099684</v>
      </c>
      <c r="G40" s="19">
        <f>F40/C40-1</f>
        <v>-1.0338431207086662E-2</v>
      </c>
      <c r="H40" s="18">
        <f>SUM(H34:H39)</f>
        <v>2027.5200000000002</v>
      </c>
      <c r="I40" s="18">
        <f>SUM(I34:I39)</f>
        <v>2006.5586239590077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301</v>
      </c>
      <c r="E42" s="107">
        <f>D42/$D$48</f>
        <v>0.1411290322580645</v>
      </c>
      <c r="F42" s="28">
        <f>C42-(C42*$E$6)</f>
        <v>0.49483078439645667</v>
      </c>
      <c r="G42" s="27" t="str">
        <f>IF(C42&gt;=F42,"-","+")</f>
        <v>-</v>
      </c>
      <c r="H42" s="26">
        <f>C42*D42</f>
        <v>150.5</v>
      </c>
      <c r="I42" s="26">
        <f>F42*D42</f>
        <v>148.94406610333345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</v>
      </c>
      <c r="E43" s="107">
        <f>D43/$D$48</f>
        <v>3.7509377344336079E-3</v>
      </c>
      <c r="F43" s="28">
        <f>C43-(C43*$E$6)</f>
        <v>0.49483078439645667</v>
      </c>
      <c r="G43" s="27" t="str">
        <f>IF(C43&gt;=F43,"-","+")</f>
        <v>-</v>
      </c>
      <c r="H43" s="26">
        <f>C43*D43</f>
        <v>4</v>
      </c>
      <c r="I43" s="26">
        <f>F43*D43</f>
        <v>3.9586462751716534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36</v>
      </c>
      <c r="E44" s="107">
        <f>D44/$D$48</f>
        <v>1.6879219804951235E-2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0.9</v>
      </c>
      <c r="E45" s="107">
        <f>D45/$D$48</f>
        <v>4.2198049512378092E-4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0.44666088464874243</v>
      </c>
      <c r="D46" s="22">
        <f>SUM(D41:D45)</f>
        <v>345.9</v>
      </c>
      <c r="E46" s="113">
        <f>D46/$D$48</f>
        <v>0.16218117029257312</v>
      </c>
      <c r="F46" s="20">
        <f>I46/D46</f>
        <v>0.44204311181990491</v>
      </c>
      <c r="G46" s="19">
        <f>F46/C46-1</f>
        <v>-1.0338431207086662E-2</v>
      </c>
      <c r="H46" s="18">
        <f>SUM(H41:H44)</f>
        <v>154.5</v>
      </c>
      <c r="I46" s="18">
        <f>SUM(I41:I44)</f>
        <v>152.9027123785051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106.72812374188332</v>
      </c>
      <c r="D48" s="13">
        <f>D24+D32+D40+D46</f>
        <v>2132.8000000000002</v>
      </c>
      <c r="E48" s="12">
        <f>SUM(E20:E46)/2</f>
        <v>1</v>
      </c>
      <c r="F48" s="11">
        <f>I48/D48</f>
        <v>30.41012653995698</v>
      </c>
      <c r="G48" s="10"/>
      <c r="H48" s="9">
        <f>SUM(H20:H46)/2</f>
        <v>65536.260000000009</v>
      </c>
      <c r="I48" s="9">
        <f>SUM(I20:I46)/2</f>
        <v>64858.717884420257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7621.2999999999984</v>
      </c>
      <c r="E50" s="12">
        <f>D50/G2</f>
        <v>0.99998687905109285</v>
      </c>
      <c r="F50" s="11">
        <f>I50/D50</f>
        <v>28.000367391389922</v>
      </c>
      <c r="G50" s="10"/>
      <c r="H50" s="9">
        <f>H48+H19</f>
        <v>215628.46000000002</v>
      </c>
      <c r="I50" s="9">
        <f>I48+I19</f>
        <v>213399.19999999995</v>
      </c>
      <c r="J50" s="106">
        <f>D50-G2</f>
        <v>-0.10000000000127329</v>
      </c>
      <c r="K50" s="8"/>
    </row>
    <row r="51" spans="1:11" ht="23.25" x14ac:dyDescent="0.35">
      <c r="A51" s="174" t="s">
        <v>801</v>
      </c>
      <c r="B51" s="169"/>
      <c r="C51" s="170"/>
      <c r="G51" s="7"/>
      <c r="H51" s="6"/>
      <c r="I51" s="6">
        <f>+I50/D50</f>
        <v>28.000367391389922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>
    <tabColor rgb="FF92D050"/>
  </sheetPr>
  <dimension ref="A1:L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2" ht="15.75" x14ac:dyDescent="0.25">
      <c r="A1" s="103" t="s">
        <v>0</v>
      </c>
      <c r="B1" s="102"/>
      <c r="C1" s="101" t="s">
        <v>792</v>
      </c>
      <c r="D1" s="100" t="s">
        <v>1</v>
      </c>
      <c r="E1" s="168" t="s">
        <v>155</v>
      </c>
      <c r="F1" s="169"/>
      <c r="G1" s="170"/>
      <c r="H1" s="62"/>
      <c r="I1" s="62"/>
      <c r="J1" s="61"/>
      <c r="K1" s="61"/>
    </row>
    <row r="2" spans="1:12" x14ac:dyDescent="0.25">
      <c r="A2" s="99" t="s">
        <v>2</v>
      </c>
      <c r="B2" s="98"/>
      <c r="C2" s="101" t="s">
        <v>799</v>
      </c>
      <c r="D2" s="96" t="s">
        <v>3</v>
      </c>
      <c r="E2" s="95" t="s">
        <v>112</v>
      </c>
      <c r="F2" s="94" t="s">
        <v>5</v>
      </c>
      <c r="G2" s="116">
        <v>9786.9</v>
      </c>
      <c r="H2" s="62"/>
      <c r="I2" s="62"/>
      <c r="J2" s="61"/>
      <c r="K2" s="61"/>
    </row>
    <row r="3" spans="1:12" ht="21" x14ac:dyDescent="0.25">
      <c r="A3" s="92" t="s">
        <v>6</v>
      </c>
      <c r="B3" s="91"/>
      <c r="C3" s="89" t="s">
        <v>77</v>
      </c>
      <c r="D3" s="90" t="s">
        <v>7</v>
      </c>
      <c r="E3" s="89">
        <v>160</v>
      </c>
      <c r="F3" s="88" t="s">
        <v>8</v>
      </c>
      <c r="G3" s="87">
        <v>24.11</v>
      </c>
      <c r="H3" s="62"/>
      <c r="I3" s="62"/>
      <c r="J3" s="61"/>
      <c r="K3" s="61"/>
    </row>
    <row r="4" spans="1:12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61.168124999999996</v>
      </c>
      <c r="F4" s="81" t="s">
        <v>12</v>
      </c>
      <c r="G4" s="80">
        <f>G2*G3</f>
        <v>235962.15899999999</v>
      </c>
      <c r="H4" s="62"/>
      <c r="I4" s="62"/>
      <c r="J4" s="61"/>
      <c r="K4" s="61"/>
    </row>
    <row r="5" spans="1:12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  <c r="L5" s="115"/>
    </row>
    <row r="6" spans="1:12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-0.12602878867926681</v>
      </c>
      <c r="F6" s="69" t="s">
        <v>16</v>
      </c>
      <c r="G6" s="68">
        <f>(I50-I19)/(D50-(SUM(D42:D44)+D19))</f>
        <v>31.597278850531612</v>
      </c>
    </row>
    <row r="7" spans="1:12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2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2" x14ac:dyDescent="0.25">
      <c r="A9" s="39" t="s">
        <v>24</v>
      </c>
      <c r="D9" s="53"/>
      <c r="E9" s="16"/>
    </row>
    <row r="10" spans="1:12" x14ac:dyDescent="0.25">
      <c r="A10" s="25" t="s">
        <v>25</v>
      </c>
      <c r="B10" s="32">
        <v>1</v>
      </c>
      <c r="C10" s="31">
        <f t="shared" ref="C10:C18" si="0">ROUND($G$3*B10,1)</f>
        <v>24.1</v>
      </c>
      <c r="D10" s="30"/>
      <c r="E10" s="29" t="e">
        <f t="shared" ref="E10:E19" si="1">D10/$D$19</f>
        <v>#DIV/0!</v>
      </c>
      <c r="F10" s="28">
        <f t="shared" ref="F10:F18" si="2">C10-(C10*$E$6)</f>
        <v>27.13729380717033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2" x14ac:dyDescent="0.25">
      <c r="A11" s="25" t="s">
        <v>26</v>
      </c>
      <c r="B11" s="32">
        <v>1.041382</v>
      </c>
      <c r="C11" s="31">
        <f t="shared" si="0"/>
        <v>25.1</v>
      </c>
      <c r="D11" s="30"/>
      <c r="E11" s="29" t="e">
        <f t="shared" si="1"/>
        <v>#DIV/0!</v>
      </c>
      <c r="F11" s="28">
        <f t="shared" si="2"/>
        <v>28.263322595849598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2" x14ac:dyDescent="0.25">
      <c r="A12" s="25" t="s">
        <v>27</v>
      </c>
      <c r="B12" s="32">
        <v>0.95138199999999995</v>
      </c>
      <c r="C12" s="31">
        <f t="shared" si="0"/>
        <v>22.9</v>
      </c>
      <c r="D12" s="30"/>
      <c r="E12" s="29" t="e">
        <f t="shared" si="1"/>
        <v>#DIV/0!</v>
      </c>
      <c r="F12" s="28">
        <f t="shared" si="2"/>
        <v>25.786059260755209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2" x14ac:dyDescent="0.25">
      <c r="A13" s="25" t="s">
        <v>28</v>
      </c>
      <c r="B13" s="32">
        <v>1.041382</v>
      </c>
      <c r="C13" s="31">
        <f t="shared" si="0"/>
        <v>25.1</v>
      </c>
      <c r="D13" s="30"/>
      <c r="E13" s="29" t="e">
        <f t="shared" si="1"/>
        <v>#DIV/0!</v>
      </c>
      <c r="F13" s="28">
        <f t="shared" si="2"/>
        <v>28.263322595849598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2" x14ac:dyDescent="0.25">
      <c r="A14" s="25" t="s">
        <v>29</v>
      </c>
      <c r="B14" s="32">
        <v>1.1642144000000001</v>
      </c>
      <c r="C14" s="31">
        <f t="shared" si="0"/>
        <v>28.1</v>
      </c>
      <c r="D14" s="30"/>
      <c r="E14" s="29" t="e">
        <f t="shared" si="1"/>
        <v>#DIV/0!</v>
      </c>
      <c r="F14" s="28">
        <f t="shared" si="2"/>
        <v>31.6414089618874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2" x14ac:dyDescent="0.25">
      <c r="A15" s="25" t="s">
        <v>30</v>
      </c>
      <c r="B15" s="32">
        <v>0.96</v>
      </c>
      <c r="C15" s="31">
        <f t="shared" si="0"/>
        <v>23.1</v>
      </c>
      <c r="D15" s="30"/>
      <c r="E15" s="29" t="e">
        <f t="shared" si="1"/>
        <v>#DIV/0!</v>
      </c>
      <c r="F15" s="28">
        <f t="shared" si="2"/>
        <v>26.011265018491066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2" x14ac:dyDescent="0.25">
      <c r="A16" s="25" t="s">
        <v>31</v>
      </c>
      <c r="B16" s="32">
        <v>1.3142144</v>
      </c>
      <c r="C16" s="31">
        <f t="shared" si="0"/>
        <v>31.7</v>
      </c>
      <c r="D16" s="30"/>
      <c r="E16" s="29" t="e">
        <f t="shared" si="1"/>
        <v>#DIV/0!</v>
      </c>
      <c r="F16" s="28">
        <f t="shared" si="2"/>
        <v>35.695112601132756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46.6</v>
      </c>
      <c r="D17" s="30"/>
      <c r="E17" s="29" t="e">
        <f t="shared" si="1"/>
        <v>#DIV/0!</v>
      </c>
      <c r="F17" s="28">
        <f t="shared" si="2"/>
        <v>52.472941552453833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40.799999999999997</v>
      </c>
      <c r="D18" s="30"/>
      <c r="E18" s="29" t="e">
        <f t="shared" si="1"/>
        <v>#DIV/0!</v>
      </c>
      <c r="F18" s="28">
        <f t="shared" si="2"/>
        <v>45.941974578114085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60.6</v>
      </c>
      <c r="D21" s="30">
        <v>126.9</v>
      </c>
      <c r="E21" s="29">
        <f>D21/$D$48</f>
        <v>1.296631211108727E-2</v>
      </c>
      <c r="F21" s="28">
        <f>C21-(C21*$E$6)</f>
        <v>68.23734459396357</v>
      </c>
      <c r="G21" s="27" t="str">
        <f>IF(C21&gt;=F21,"-","+")</f>
        <v>+</v>
      </c>
      <c r="H21" s="26">
        <f>C21*D21</f>
        <v>7690.14</v>
      </c>
      <c r="I21" s="26">
        <f>F21*D21</f>
        <v>8659.3190289739778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40.700000000000003</v>
      </c>
      <c r="D22" s="30">
        <v>234.9</v>
      </c>
      <c r="E22" s="29">
        <f>D22/$D$48</f>
        <v>2.40014713545658E-2</v>
      </c>
      <c r="F22" s="28">
        <f>C22-(C22*$E$6)</f>
        <v>45.82937169924616</v>
      </c>
      <c r="G22" s="27" t="str">
        <f>IF(C22&gt;=F22,"-","+")</f>
        <v>+</v>
      </c>
      <c r="H22" s="26">
        <f>C22*D22</f>
        <v>9560.43</v>
      </c>
      <c r="I22" s="26">
        <f>F22*D22</f>
        <v>10765.319412152923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37.1</v>
      </c>
      <c r="D23" s="30">
        <v>178.2</v>
      </c>
      <c r="E23" s="29">
        <f>D23/$D$48</f>
        <v>1.8208012751739569E-2</v>
      </c>
      <c r="F23" s="28">
        <f>C23-(C23*$E$6)</f>
        <v>41.775668060000797</v>
      </c>
      <c r="G23" s="27" t="str">
        <f>IF(C23&gt;=F23,"-","+")</f>
        <v>+</v>
      </c>
      <c r="H23" s="26">
        <f>C23*D23</f>
        <v>6611.22</v>
      </c>
      <c r="I23" s="26">
        <f>F23*D23</f>
        <v>7444.4240482921414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44.188500000000005</v>
      </c>
      <c r="D24" s="22">
        <f>SUM(D21:D23)</f>
        <v>540</v>
      </c>
      <c r="E24" s="21">
        <f>D24/$D$48</f>
        <v>5.5175796217392638E-2</v>
      </c>
      <c r="F24" s="20">
        <f>I24/D24</f>
        <v>49.757523128553785</v>
      </c>
      <c r="G24" s="19">
        <f>F24/C24-1</f>
        <v>0.12602878867926681</v>
      </c>
      <c r="H24" s="18">
        <f>SUM(H21:H23)</f>
        <v>23861.79</v>
      </c>
      <c r="I24" s="18">
        <f>SUM(I21:I23)</f>
        <v>26869.062489419044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32.4</v>
      </c>
      <c r="D26" s="30">
        <f>27.4+1803</f>
        <v>1830.4</v>
      </c>
      <c r="E26" s="29">
        <f t="shared" ref="E26:E32" si="7">D26/$D$48</f>
        <v>0.18702551369688053</v>
      </c>
      <c r="F26" s="28">
        <f t="shared" ref="F26:F31" si="8">C26-(C26*$E$6)</f>
        <v>36.483332753208245</v>
      </c>
      <c r="G26" s="27" t="str">
        <f t="shared" ref="G26:G31" si="9">IF(C26&gt;=F26,"-","+")</f>
        <v>+</v>
      </c>
      <c r="H26" s="26">
        <f t="shared" ref="H26:H31" si="10">C26*D26</f>
        <v>59304.959999999999</v>
      </c>
      <c r="I26" s="26">
        <f t="shared" ref="I26:I31" si="11">F26*D26</f>
        <v>66779.092271472371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28.8</v>
      </c>
      <c r="D27" s="30">
        <v>1398.3</v>
      </c>
      <c r="E27" s="29">
        <f t="shared" si="7"/>
        <v>0.14287465898292614</v>
      </c>
      <c r="F27" s="28">
        <f t="shared" si="8"/>
        <v>32.429629113962882</v>
      </c>
      <c r="G27" s="27" t="str">
        <f t="shared" si="9"/>
        <v>+</v>
      </c>
      <c r="H27" s="26">
        <f t="shared" si="10"/>
        <v>40271.040000000001</v>
      </c>
      <c r="I27" s="26">
        <f t="shared" si="11"/>
        <v>45346.3503900543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28.8</v>
      </c>
      <c r="D28" s="30">
        <v>707.5</v>
      </c>
      <c r="E28" s="29">
        <f t="shared" si="7"/>
        <v>7.229051078482461E-2</v>
      </c>
      <c r="F28" s="28">
        <f t="shared" si="8"/>
        <v>32.429629113962882</v>
      </c>
      <c r="G28" s="27" t="str">
        <f t="shared" si="9"/>
        <v>+</v>
      </c>
      <c r="H28" s="26">
        <f t="shared" si="10"/>
        <v>20376</v>
      </c>
      <c r="I28" s="26">
        <f t="shared" si="11"/>
        <v>22943.962598128739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27.8</v>
      </c>
      <c r="D29" s="30">
        <v>691.5</v>
      </c>
      <c r="E29" s="29">
        <f t="shared" si="7"/>
        <v>7.0655672378383355E-2</v>
      </c>
      <c r="F29" s="28">
        <f t="shared" si="8"/>
        <v>31.303600325283618</v>
      </c>
      <c r="G29" s="27" t="str">
        <f t="shared" si="9"/>
        <v>+</v>
      </c>
      <c r="H29" s="26">
        <f t="shared" si="10"/>
        <v>19223.7</v>
      </c>
      <c r="I29" s="26">
        <f t="shared" si="11"/>
        <v>21646.439624933621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27.8</v>
      </c>
      <c r="D30" s="30">
        <v>510.7</v>
      </c>
      <c r="E30" s="29">
        <f t="shared" si="7"/>
        <v>5.2181998385597075E-2</v>
      </c>
      <c r="F30" s="28">
        <f t="shared" si="8"/>
        <v>31.303600325283618</v>
      </c>
      <c r="G30" s="27" t="str">
        <f t="shared" si="9"/>
        <v>+</v>
      </c>
      <c r="H30" s="26">
        <f t="shared" si="10"/>
        <v>14197.460000000001</v>
      </c>
      <c r="I30" s="26">
        <f t="shared" si="11"/>
        <v>15986.748686122344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28.3</v>
      </c>
      <c r="D31" s="30">
        <v>146.4</v>
      </c>
      <c r="E31" s="29">
        <f t="shared" si="7"/>
        <v>1.4958771418937561E-2</v>
      </c>
      <c r="F31" s="28">
        <f t="shared" si="8"/>
        <v>31.86661471962325</v>
      </c>
      <c r="G31" s="27" t="str">
        <f t="shared" si="9"/>
        <v>+</v>
      </c>
      <c r="H31" s="26">
        <f t="shared" si="10"/>
        <v>4143.12</v>
      </c>
      <c r="I31" s="26">
        <f t="shared" si="11"/>
        <v>4665.2723949528436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29.805532848925225</v>
      </c>
      <c r="D32" s="22">
        <f>SUM(D26:D31)</f>
        <v>5284.7999999999993</v>
      </c>
      <c r="E32" s="21">
        <f t="shared" si="7"/>
        <v>0.53998712564754925</v>
      </c>
      <c r="F32" s="20">
        <f>I32/D32</f>
        <v>33.561888049815366</v>
      </c>
      <c r="G32" s="19">
        <f>F32/C32-1</f>
        <v>0.12602878867926681</v>
      </c>
      <c r="H32" s="18">
        <f>SUM(H26:H31)</f>
        <v>157516.28</v>
      </c>
      <c r="I32" s="18">
        <f>SUM(I26:I31)</f>
        <v>177367.86596566421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</v>
      </c>
      <c r="D34" s="30">
        <f>748.8+744.9</f>
        <v>1493.6999999999998</v>
      </c>
      <c r="E34" s="29">
        <f t="shared" ref="E34:E40" si="13">D34/$D$48</f>
        <v>0.15262238298133218</v>
      </c>
      <c r="F34" s="28">
        <f t="shared" ref="F34:F39" si="14">C34-(C34*$E$6)</f>
        <v>19.142489407547536</v>
      </c>
      <c r="G34" s="27" t="str">
        <f t="shared" ref="G34:G39" si="15">IF(C34&gt;=F34,"-","+")</f>
        <v>+</v>
      </c>
      <c r="H34" s="26">
        <f t="shared" ref="H34:H39" si="16">C34*D34</f>
        <v>25392.899999999998</v>
      </c>
      <c r="I34" s="26">
        <f t="shared" ref="I34:I39" si="17">F34*D34</f>
        <v>28593.136428053753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13.1</v>
      </c>
      <c r="D35" s="30">
        <v>141.80000000000001</v>
      </c>
      <c r="E35" s="29">
        <f t="shared" si="13"/>
        <v>1.4488755377085698E-2</v>
      </c>
      <c r="F35" s="28">
        <f t="shared" si="14"/>
        <v>14.750977131698395</v>
      </c>
      <c r="G35" s="27" t="str">
        <f t="shared" si="15"/>
        <v>+</v>
      </c>
      <c r="H35" s="26">
        <f t="shared" si="16"/>
        <v>1857.5800000000002</v>
      </c>
      <c r="I35" s="26">
        <f t="shared" si="17"/>
        <v>2091.6885572748324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10.5</v>
      </c>
      <c r="D36" s="30"/>
      <c r="E36" s="29">
        <f t="shared" si="13"/>
        <v>0</v>
      </c>
      <c r="F36" s="28">
        <f t="shared" si="14"/>
        <v>11.823302281132301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27.8</v>
      </c>
      <c r="D37" s="30"/>
      <c r="E37" s="29">
        <f t="shared" si="13"/>
        <v>0</v>
      </c>
      <c r="F37" s="28">
        <f t="shared" si="14"/>
        <v>31.303600325283618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27.8</v>
      </c>
      <c r="D38" s="30"/>
      <c r="E38" s="29">
        <f t="shared" si="13"/>
        <v>0</v>
      </c>
      <c r="F38" s="28">
        <f t="shared" si="14"/>
        <v>31.303600325283618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28.8</v>
      </c>
      <c r="D39" s="30"/>
      <c r="E39" s="29">
        <f t="shared" si="13"/>
        <v>0</v>
      </c>
      <c r="F39" s="28">
        <f t="shared" si="14"/>
        <v>32.429629113962882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16.661864873127485</v>
      </c>
      <c r="D40" s="22">
        <f>SUM(D34:D39)</f>
        <v>1635.4999999999998</v>
      </c>
      <c r="E40" s="113">
        <f t="shared" si="13"/>
        <v>0.16711113835841787</v>
      </c>
      <c r="F40" s="20">
        <f>I40/D40</f>
        <v>18.761739520225369</v>
      </c>
      <c r="G40" s="19">
        <f>F40/C40-1</f>
        <v>0.12602878867926703</v>
      </c>
      <c r="H40" s="18">
        <f>SUM(H34:H39)</f>
        <v>27250.48</v>
      </c>
      <c r="I40" s="18">
        <f>SUM(I34:I39)</f>
        <v>30684.824985328585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926+163.1+1153.9</f>
        <v>2243</v>
      </c>
      <c r="E42" s="107">
        <f>D42/$D$48</f>
        <v>0.22918390910298461</v>
      </c>
      <c r="F42" s="28">
        <f>C42-(C42*$E$6)</f>
        <v>0.45041151547170677</v>
      </c>
      <c r="G42" s="27" t="str">
        <f>IF(C42&gt;=F42,"-","+")</f>
        <v>+</v>
      </c>
      <c r="H42" s="26">
        <f>C42*D42</f>
        <v>897.2</v>
      </c>
      <c r="I42" s="26">
        <f>F42*D42</f>
        <v>1010.2730292030383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66.900000000000006</v>
      </c>
      <c r="E43" s="107">
        <f>D43/$D$48</f>
        <v>6.8356680869325328E-3</v>
      </c>
      <c r="F43" s="28">
        <f>C43-(C43*$E$6)</f>
        <v>0.45041151547170677</v>
      </c>
      <c r="G43" s="27" t="str">
        <f>IF(C43&gt;=F43,"-","+")</f>
        <v>+</v>
      </c>
      <c r="H43" s="26">
        <f>C43*D43</f>
        <v>26.760000000000005</v>
      </c>
      <c r="I43" s="26">
        <f>F43*D43</f>
        <v>30.132530385057187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9.1999999999999993</v>
      </c>
      <c r="E44" s="107">
        <f>D44/$D$48</f>
        <v>9.4003208370372639E-4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7.5</v>
      </c>
      <c r="E45" s="107">
        <f>D45/$D$48</f>
        <v>7.6633050301934218E-4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0.39712885756038857</v>
      </c>
      <c r="D46" s="22">
        <f>SUM(D41:D45)</f>
        <v>2326.6</v>
      </c>
      <c r="E46" s="113">
        <f>D46/$D$48</f>
        <v>0.23772593977664019</v>
      </c>
      <c r="F46" s="20">
        <f>I46/D46</f>
        <v>0.44717852642830547</v>
      </c>
      <c r="G46" s="19">
        <f>F46/C46-1</f>
        <v>0.12602878867926681</v>
      </c>
      <c r="H46" s="18">
        <f>SUM(H41:H44)</f>
        <v>923.96</v>
      </c>
      <c r="I46" s="18">
        <f>SUM(I41:I44)</f>
        <v>1040.4055595880955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91.053026579613103</v>
      </c>
      <c r="D48" s="13">
        <f>D24+D32+D40+D46</f>
        <v>9786.9</v>
      </c>
      <c r="E48" s="12">
        <f>SUM(E20:E46)/2</f>
        <v>1</v>
      </c>
      <c r="F48" s="11">
        <f>I48/D48</f>
        <v>24.109999999999996</v>
      </c>
      <c r="G48" s="10"/>
      <c r="H48" s="9">
        <f>SUM(H20:H46)/2</f>
        <v>209552.51000000004</v>
      </c>
      <c r="I48" s="9">
        <f>SUM(I20:I46)/2</f>
        <v>235962.15899999996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9786.9</v>
      </c>
      <c r="E50" s="12">
        <f>D50/G2</f>
        <v>1</v>
      </c>
      <c r="F50" s="11">
        <f>I50/D50</f>
        <v>24.109999999999996</v>
      </c>
      <c r="G50" s="10"/>
      <c r="H50" s="9">
        <f>H48+H19</f>
        <v>209552.51000000004</v>
      </c>
      <c r="I50" s="9">
        <f>I48+I19</f>
        <v>235962.15899999996</v>
      </c>
      <c r="J50" s="106">
        <f>D50-G2</f>
        <v>0</v>
      </c>
      <c r="K50" s="8"/>
    </row>
    <row r="51" spans="1:11" ht="23.25" x14ac:dyDescent="0.35">
      <c r="A51" s="174" t="s">
        <v>802</v>
      </c>
      <c r="B51" s="169"/>
      <c r="C51" s="170"/>
      <c r="G51" s="7"/>
      <c r="H51" s="6"/>
      <c r="I51" s="6">
        <f>+I50/D50</f>
        <v>24.109999999999996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803</v>
      </c>
      <c r="D1" s="100" t="s">
        <v>1</v>
      </c>
      <c r="E1" s="168" t="s">
        <v>732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803</v>
      </c>
      <c r="D2" s="96" t="s">
        <v>3</v>
      </c>
      <c r="E2" s="95" t="s">
        <v>112</v>
      </c>
      <c r="F2" s="94" t="s">
        <v>5</v>
      </c>
      <c r="G2" s="93">
        <v>3969.1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72</v>
      </c>
      <c r="F3" s="88" t="s">
        <v>8</v>
      </c>
      <c r="G3" s="87">
        <v>23.84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55.12638888888889</v>
      </c>
      <c r="F4" s="81" t="s">
        <v>12</v>
      </c>
      <c r="G4" s="80">
        <f>G2*G3</f>
        <v>94623.343999999997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-0.13687935363327797</v>
      </c>
      <c r="F6" s="69" t="s">
        <v>16</v>
      </c>
      <c r="G6" s="68">
        <f>(I50-I19)/(D50-(SUM(D42:D44)+D19))</f>
        <v>31.611714161627638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23.8</v>
      </c>
      <c r="D10" s="30"/>
      <c r="E10" s="29" t="e">
        <f t="shared" ref="E10:E19" si="1">D10/$D$19</f>
        <v>#DIV/0!</v>
      </c>
      <c r="F10" s="28">
        <f t="shared" ref="F10:F18" si="2">C10-(C10*$E$6)</f>
        <v>27.057728616472016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24.8</v>
      </c>
      <c r="D11" s="30"/>
      <c r="E11" s="29" t="e">
        <f t="shared" si="1"/>
        <v>#DIV/0!</v>
      </c>
      <c r="F11" s="28">
        <f t="shared" si="2"/>
        <v>28.194607970105295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22.7</v>
      </c>
      <c r="D12" s="30"/>
      <c r="E12" s="29" t="e">
        <f t="shared" si="1"/>
        <v>#DIV/0!</v>
      </c>
      <c r="F12" s="28">
        <f t="shared" si="2"/>
        <v>25.807161327475409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24.8</v>
      </c>
      <c r="D13" s="30"/>
      <c r="E13" s="29" t="e">
        <f t="shared" si="1"/>
        <v>#DIV/0!</v>
      </c>
      <c r="F13" s="28">
        <f t="shared" si="2"/>
        <v>28.194607970105295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27.8</v>
      </c>
      <c r="D14" s="30"/>
      <c r="E14" s="29" t="e">
        <f t="shared" si="1"/>
        <v>#DIV/0!</v>
      </c>
      <c r="F14" s="28">
        <f t="shared" si="2"/>
        <v>31.60524603100513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22.9</v>
      </c>
      <c r="D15" s="30"/>
      <c r="E15" s="29" t="e">
        <f t="shared" si="1"/>
        <v>#DIV/0!</v>
      </c>
      <c r="F15" s="28">
        <f t="shared" si="2"/>
        <v>26.034537198202063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31.3</v>
      </c>
      <c r="D16" s="30"/>
      <c r="E16" s="29" t="e">
        <f t="shared" si="1"/>
        <v>#DIV/0!</v>
      </c>
      <c r="F16" s="28">
        <f t="shared" si="2"/>
        <v>35.584323768721603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46.1</v>
      </c>
      <c r="D17" s="30"/>
      <c r="E17" s="29" t="e">
        <f t="shared" si="1"/>
        <v>#DIV/0!</v>
      </c>
      <c r="F17" s="28">
        <f t="shared" si="2"/>
        <v>52.410138202494117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40.4</v>
      </c>
      <c r="D18" s="30"/>
      <c r="E18" s="29" t="e">
        <f t="shared" si="1"/>
        <v>#DIV/0!</v>
      </c>
      <c r="F18" s="28">
        <f t="shared" si="2"/>
        <v>45.929925886784432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</v>
      </c>
      <c r="D21" s="30">
        <v>54</v>
      </c>
      <c r="E21" s="29">
        <f>D21/$D$48</f>
        <v>1.3605099392809454E-2</v>
      </c>
      <c r="F21" s="28">
        <f>C21-(C21*$E$6)</f>
        <v>68.212761217996672</v>
      </c>
      <c r="G21" s="27" t="str">
        <f>IF(C21&gt;=F21,"-","+")</f>
        <v>+</v>
      </c>
      <c r="H21" s="26">
        <f>C21*D21</f>
        <v>3240</v>
      </c>
      <c r="I21" s="26">
        <f>F21*D21</f>
        <v>3683.4891057718205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40.299999999999997</v>
      </c>
      <c r="D22" s="30">
        <v>95.7</v>
      </c>
      <c r="E22" s="29">
        <f>D22/$D$48</f>
        <v>2.4111259479478977E-2</v>
      </c>
      <c r="F22" s="28">
        <f>C22-(C22*$E$6)</f>
        <v>45.816237951421101</v>
      </c>
      <c r="G22" s="27" t="str">
        <f>IF(C22&gt;=F22,"-","+")</f>
        <v>+</v>
      </c>
      <c r="H22" s="26">
        <f>C22*D22</f>
        <v>3856.71</v>
      </c>
      <c r="I22" s="26">
        <f>F22*D22</f>
        <v>4384.6139719509993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36.700000000000003</v>
      </c>
      <c r="D23" s="30">
        <v>79.400000000000006</v>
      </c>
      <c r="E23" s="29">
        <f>D23/$D$48</f>
        <v>2.0004535033130939E-2</v>
      </c>
      <c r="F23" s="28">
        <f>C23-(C23*$E$6)</f>
        <v>41.723472278341305</v>
      </c>
      <c r="G23" s="27" t="str">
        <f>IF(C23&gt;=F23,"-","+")</f>
        <v>+</v>
      </c>
      <c r="H23" s="26">
        <f>C23*D23</f>
        <v>2913.9800000000005</v>
      </c>
      <c r="I23" s="26">
        <f>F23*D23</f>
        <v>3312.8436989002998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43.695722391968573</v>
      </c>
      <c r="D24" s="22">
        <f>SUM(D21:D23)</f>
        <v>229.1</v>
      </c>
      <c r="E24" s="21">
        <f>D24/$D$48</f>
        <v>5.7720893905419367E-2</v>
      </c>
      <c r="F24" s="20">
        <f>I24/D24</f>
        <v>49.676764629520385</v>
      </c>
      <c r="G24" s="19">
        <f>F24/C24-1</f>
        <v>0.13687935363327797</v>
      </c>
      <c r="H24" s="18">
        <f>SUM(H21:H23)</f>
        <v>10010.69</v>
      </c>
      <c r="I24" s="18">
        <f>SUM(I21:I23)</f>
        <v>11380.946776623119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</v>
      </c>
      <c r="D26" s="30">
        <f>39+703.1</f>
        <v>742.1</v>
      </c>
      <c r="E26" s="29">
        <f t="shared" ref="E26:E32" si="7">D26/$D$48</f>
        <v>0.18696933813710917</v>
      </c>
      <c r="F26" s="28">
        <f t="shared" ref="F26:F31" si="8">C26-(C26*$E$6)</f>
        <v>36.380139316264895</v>
      </c>
      <c r="G26" s="27" t="str">
        <f t="shared" ref="G26:G31" si="9">IF(C26&gt;=F26,"-","+")</f>
        <v>+</v>
      </c>
      <c r="H26" s="26">
        <f t="shared" ref="H26:H31" si="10">C26*D26</f>
        <v>23747.200000000001</v>
      </c>
      <c r="I26" s="26">
        <f t="shared" ref="I26:I31" si="11">F26*D26</f>
        <v>26997.70138660018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28.5</v>
      </c>
      <c r="D27" s="30">
        <v>552.6</v>
      </c>
      <c r="E27" s="29">
        <f t="shared" si="7"/>
        <v>0.13922551711975009</v>
      </c>
      <c r="F27" s="28">
        <f t="shared" si="8"/>
        <v>32.401061578548422</v>
      </c>
      <c r="G27" s="27" t="str">
        <f t="shared" si="9"/>
        <v>+</v>
      </c>
      <c r="H27" s="26">
        <f t="shared" si="10"/>
        <v>15749.1</v>
      </c>
      <c r="I27" s="26">
        <f t="shared" si="11"/>
        <v>17904.826628305858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28.5</v>
      </c>
      <c r="D28" s="30">
        <v>278</v>
      </c>
      <c r="E28" s="29">
        <f t="shared" si="7"/>
        <v>7.0041067244463476E-2</v>
      </c>
      <c r="F28" s="28">
        <f t="shared" si="8"/>
        <v>32.401061578548422</v>
      </c>
      <c r="G28" s="27" t="str">
        <f t="shared" si="9"/>
        <v>+</v>
      </c>
      <c r="H28" s="26">
        <f t="shared" si="10"/>
        <v>7923</v>
      </c>
      <c r="I28" s="26">
        <f t="shared" si="11"/>
        <v>9007.4951188364612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27.5</v>
      </c>
      <c r="D29" s="30">
        <v>277.2</v>
      </c>
      <c r="E29" s="29">
        <f t="shared" si="7"/>
        <v>6.983951021642186E-2</v>
      </c>
      <c r="F29" s="28">
        <f t="shared" si="8"/>
        <v>31.264182224915146</v>
      </c>
      <c r="G29" s="27" t="str">
        <f t="shared" si="9"/>
        <v>+</v>
      </c>
      <c r="H29" s="26">
        <f t="shared" si="10"/>
        <v>7623</v>
      </c>
      <c r="I29" s="26">
        <f t="shared" si="11"/>
        <v>8666.4313127464775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27.5</v>
      </c>
      <c r="D30" s="30">
        <v>195.8</v>
      </c>
      <c r="E30" s="29">
        <f t="shared" si="7"/>
        <v>4.9331082613186875E-2</v>
      </c>
      <c r="F30" s="28">
        <f t="shared" si="8"/>
        <v>31.264182224915146</v>
      </c>
      <c r="G30" s="27" t="str">
        <f t="shared" si="9"/>
        <v>+</v>
      </c>
      <c r="H30" s="26">
        <f t="shared" si="10"/>
        <v>5384.5</v>
      </c>
      <c r="I30" s="26">
        <f t="shared" si="11"/>
        <v>6121.5268796383862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</v>
      </c>
      <c r="D31" s="30">
        <v>60</v>
      </c>
      <c r="E31" s="29">
        <f t="shared" si="7"/>
        <v>1.5116777103121615E-2</v>
      </c>
      <c r="F31" s="28">
        <f t="shared" si="8"/>
        <v>31.832621901731784</v>
      </c>
      <c r="G31" s="27" t="str">
        <f t="shared" si="9"/>
        <v>+</v>
      </c>
      <c r="H31" s="26">
        <f t="shared" si="10"/>
        <v>1680</v>
      </c>
      <c r="I31" s="26">
        <f t="shared" si="11"/>
        <v>1909.957314103907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29.494609868452301</v>
      </c>
      <c r="D32" s="22">
        <f>SUM(D26:D31)</f>
        <v>2105.6999999999998</v>
      </c>
      <c r="E32" s="21">
        <f t="shared" si="7"/>
        <v>0.53052329243405305</v>
      </c>
      <c r="F32" s="20">
        <f>I32/D32</f>
        <v>33.531813002911747</v>
      </c>
      <c r="G32" s="19">
        <f>F32/C32-1</f>
        <v>0.13687935363327774</v>
      </c>
      <c r="H32" s="18">
        <f>SUM(H26:H31)</f>
        <v>62106.8</v>
      </c>
      <c r="I32" s="18">
        <f>SUM(I26:I31)</f>
        <v>70607.938640231267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</v>
      </c>
      <c r="D34" s="30">
        <f>318.6+275.1</f>
        <v>593.70000000000005</v>
      </c>
      <c r="E34" s="29">
        <f t="shared" ref="E34:E40" si="13">D34/$D$48</f>
        <v>0.14958050943538839</v>
      </c>
      <c r="F34" s="28">
        <f t="shared" ref="F34:F39" si="14">C34-(C34*$E$6)</f>
        <v>19.09957314103907</v>
      </c>
      <c r="G34" s="27" t="str">
        <f t="shared" ref="G34:G39" si="15">IF(C34&gt;=F34,"-","+")</f>
        <v>+</v>
      </c>
      <c r="H34" s="26">
        <f t="shared" ref="H34:H39" si="16">C34*D34</f>
        <v>9974.1600000000017</v>
      </c>
      <c r="I34" s="26">
        <f t="shared" ref="I34:I39" si="17">F34*D34</f>
        <v>11339.416573834897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</v>
      </c>
      <c r="D35" s="30">
        <v>57.6</v>
      </c>
      <c r="E35" s="29">
        <f t="shared" si="13"/>
        <v>1.4512106018996751E-2</v>
      </c>
      <c r="F35" s="28">
        <f t="shared" si="14"/>
        <v>14.779431597232614</v>
      </c>
      <c r="G35" s="27" t="str">
        <f t="shared" si="15"/>
        <v>+</v>
      </c>
      <c r="H35" s="26">
        <f t="shared" si="16"/>
        <v>748.80000000000007</v>
      </c>
      <c r="I35" s="26">
        <f t="shared" si="17"/>
        <v>851.29526000059855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11.823545277786092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27.5</v>
      </c>
      <c r="D37" s="30"/>
      <c r="E37" s="29">
        <f t="shared" si="13"/>
        <v>0</v>
      </c>
      <c r="F37" s="28">
        <f t="shared" si="14"/>
        <v>31.264182224915146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27.5</v>
      </c>
      <c r="D38" s="30"/>
      <c r="E38" s="29">
        <f t="shared" si="13"/>
        <v>0</v>
      </c>
      <c r="F38" s="28">
        <f t="shared" si="14"/>
        <v>31.264182224915146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28.5</v>
      </c>
      <c r="D39" s="30"/>
      <c r="E39" s="29">
        <f t="shared" si="13"/>
        <v>0</v>
      </c>
      <c r="F39" s="28">
        <f t="shared" si="14"/>
        <v>32.401061578548422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16.4639336711193</v>
      </c>
      <c r="D40" s="22">
        <f>SUM(D34:D39)</f>
        <v>651.30000000000007</v>
      </c>
      <c r="E40" s="113">
        <f t="shared" si="13"/>
        <v>0.16409261545438514</v>
      </c>
      <c r="F40" s="20">
        <f>I40/D40</f>
        <v>18.71750627028327</v>
      </c>
      <c r="G40" s="19">
        <f>F40/C40-1</f>
        <v>0.13687935363327797</v>
      </c>
      <c r="H40" s="18">
        <f>SUM(H34:H39)</f>
        <v>10722.960000000001</v>
      </c>
      <c r="I40" s="18">
        <f>SUM(I34:I39)</f>
        <v>12190.711833835496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450+65.5+429.7</f>
        <v>945.2</v>
      </c>
      <c r="E42" s="107">
        <f>D42/$D$48</f>
        <v>0.23813962863117585</v>
      </c>
      <c r="F42" s="28">
        <f>C42-(C42*$E$6)</f>
        <v>0.45475174145331121</v>
      </c>
      <c r="G42" s="27" t="str">
        <f>IF(C42&gt;=F42,"-","+")</f>
        <v>+</v>
      </c>
      <c r="H42" s="26">
        <f>C42*D42</f>
        <v>378.08000000000004</v>
      </c>
      <c r="I42" s="26">
        <f>F42*D42</f>
        <v>429.83134602166979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30.6</v>
      </c>
      <c r="E43" s="107">
        <f>D43/$D$48</f>
        <v>7.7095563225920236E-3</v>
      </c>
      <c r="F43" s="28">
        <f>C43-(C43*$E$6)</f>
        <v>0.45475174145331121</v>
      </c>
      <c r="G43" s="27" t="str">
        <f>IF(C43&gt;=F43,"-","+")</f>
        <v>+</v>
      </c>
      <c r="H43" s="26">
        <f>C43*D43</f>
        <v>12.240000000000002</v>
      </c>
      <c r="I43" s="26">
        <f>F43*D43</f>
        <v>13.915403288471323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7.2</v>
      </c>
      <c r="E45" s="107">
        <f>D45/$D$48</f>
        <v>1.8140132523745938E-3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0.39707019328585963</v>
      </c>
      <c r="D46" s="22">
        <f>SUM(D41:D45)</f>
        <v>983.00000000000011</v>
      </c>
      <c r="E46" s="113">
        <f>D46/$D$48</f>
        <v>0.24766319820614249</v>
      </c>
      <c r="F46" s="20">
        <f>I46/D46</f>
        <v>0.45142090468986884</v>
      </c>
      <c r="G46" s="19">
        <f>F46/C46-1</f>
        <v>0.13687935363327797</v>
      </c>
      <c r="H46" s="18">
        <f>SUM(H41:H44)</f>
        <v>390.32000000000005</v>
      </c>
      <c r="I46" s="18">
        <f>SUM(I41:I44)</f>
        <v>443.74674931014113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90.051336124826037</v>
      </c>
      <c r="D48" s="13">
        <f>D24+D32+D40+D46</f>
        <v>3969.1</v>
      </c>
      <c r="E48" s="12">
        <f>SUM(E20:E46)/2</f>
        <v>1</v>
      </c>
      <c r="F48" s="11">
        <f>I48/D48</f>
        <v>23.840000000000003</v>
      </c>
      <c r="G48" s="10"/>
      <c r="H48" s="9">
        <f>SUM(H20:H46)/2</f>
        <v>83230.769999999975</v>
      </c>
      <c r="I48" s="9">
        <f>SUM(I20:I46)/2</f>
        <v>94623.344000000012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3969.1000000000004</v>
      </c>
      <c r="E50" s="12">
        <f>D50/G2</f>
        <v>1.0000000000000002</v>
      </c>
      <c r="F50" s="11">
        <f>I50/D50</f>
        <v>23.84</v>
      </c>
      <c r="G50" s="10"/>
      <c r="H50" s="9">
        <f>H48+H19</f>
        <v>83230.769999999975</v>
      </c>
      <c r="I50" s="9">
        <f>I48+I19</f>
        <v>94623.344000000012</v>
      </c>
      <c r="J50" s="106">
        <f>D50-G2</f>
        <v>0</v>
      </c>
      <c r="K50" s="8"/>
    </row>
    <row r="51" spans="1:11" ht="23.25" x14ac:dyDescent="0.35">
      <c r="A51" s="174" t="s">
        <v>804</v>
      </c>
      <c r="B51" s="169"/>
      <c r="C51" s="170"/>
      <c r="G51" s="7"/>
      <c r="H51" s="6"/>
      <c r="I51" s="6">
        <f>+I50/D50</f>
        <v>23.84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799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803</v>
      </c>
      <c r="D2" s="96" t="s">
        <v>3</v>
      </c>
      <c r="E2" s="95" t="s">
        <v>112</v>
      </c>
      <c r="F2" s="94" t="s">
        <v>5</v>
      </c>
      <c r="G2" s="93">
        <v>2243.1999999999998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40</v>
      </c>
      <c r="F3" s="88" t="s">
        <v>8</v>
      </c>
      <c r="G3" s="87">
        <v>24.68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56.08</v>
      </c>
      <c r="F4" s="81" t="s">
        <v>12</v>
      </c>
      <c r="G4" s="80">
        <f>G2*G3</f>
        <v>55362.175999999992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-0.12219929443681821</v>
      </c>
      <c r="F6" s="69" t="s">
        <v>16</v>
      </c>
      <c r="G6" s="68">
        <f>(I50-I19)/(D50-(SUM(D42:D44)+D19))</f>
        <v>32.407759761166062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24.7</v>
      </c>
      <c r="D10" s="30"/>
      <c r="E10" s="29" t="e">
        <f t="shared" ref="E10:E19" si="1">D10/$D$19</f>
        <v>#DIV/0!</v>
      </c>
      <c r="F10" s="28">
        <f t="shared" ref="F10:F18" si="2">C10-(C10*$E$6)</f>
        <v>27.718322572589408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25.7</v>
      </c>
      <c r="D11" s="30"/>
      <c r="E11" s="29" t="e">
        <f t="shared" si="1"/>
        <v>#DIV/0!</v>
      </c>
      <c r="F11" s="28">
        <f t="shared" si="2"/>
        <v>28.840521867026226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23.5</v>
      </c>
      <c r="D12" s="30"/>
      <c r="E12" s="29" t="e">
        <f t="shared" si="1"/>
        <v>#DIV/0!</v>
      </c>
      <c r="F12" s="28">
        <f t="shared" si="2"/>
        <v>26.371683419265228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25.7</v>
      </c>
      <c r="D13" s="30"/>
      <c r="E13" s="29" t="e">
        <f t="shared" si="1"/>
        <v>#DIV/0!</v>
      </c>
      <c r="F13" s="28">
        <f t="shared" si="2"/>
        <v>28.840521867026226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28.7</v>
      </c>
      <c r="D14" s="30"/>
      <c r="E14" s="29" t="e">
        <f t="shared" si="1"/>
        <v>#DIV/0!</v>
      </c>
      <c r="F14" s="28">
        <f t="shared" si="2"/>
        <v>32.20711975033668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23.7</v>
      </c>
      <c r="D15" s="30"/>
      <c r="E15" s="29" t="e">
        <f t="shared" si="1"/>
        <v>#DIV/0!</v>
      </c>
      <c r="F15" s="28">
        <f t="shared" si="2"/>
        <v>26.596123278152589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32.4</v>
      </c>
      <c r="D16" s="30"/>
      <c r="E16" s="29" t="e">
        <f t="shared" si="1"/>
        <v>#DIV/0!</v>
      </c>
      <c r="F16" s="28">
        <f t="shared" si="2"/>
        <v>36.359257139752906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47.7</v>
      </c>
      <c r="D17" s="30"/>
      <c r="E17" s="29" t="e">
        <f t="shared" si="1"/>
        <v>#DIV/0!</v>
      </c>
      <c r="F17" s="28">
        <f t="shared" si="2"/>
        <v>53.528906344636233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41.8</v>
      </c>
      <c r="D18" s="30"/>
      <c r="E18" s="29" t="e">
        <f t="shared" si="1"/>
        <v>#DIV/0!</v>
      </c>
      <c r="F18" s="28">
        <f t="shared" si="2"/>
        <v>46.907930507459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62.1</v>
      </c>
      <c r="D21" s="30">
        <v>33</v>
      </c>
      <c r="E21" s="29">
        <f>D21/$D$48</f>
        <v>1.4708504189695134E-2</v>
      </c>
      <c r="F21" s="28">
        <f>C21-(C21*$E$6)</f>
        <v>69.688576184526411</v>
      </c>
      <c r="G21" s="27" t="str">
        <f>IF(C21&gt;=F21,"-","+")</f>
        <v>+</v>
      </c>
      <c r="H21" s="26">
        <f>C21*D21</f>
        <v>2049.3000000000002</v>
      </c>
      <c r="I21" s="26">
        <f>F21*D21</f>
        <v>2299.7230140893716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41.7</v>
      </c>
      <c r="D22" s="30">
        <v>56.4</v>
      </c>
      <c r="E22" s="29">
        <f>D22/$D$48</f>
        <v>2.51381707969335E-2</v>
      </c>
      <c r="F22" s="28">
        <f>C22-(C22*$E$6)</f>
        <v>46.795710578015324</v>
      </c>
      <c r="G22" s="27" t="str">
        <f>IF(C22&gt;=F22,"-","+")</f>
        <v>+</v>
      </c>
      <c r="H22" s="26">
        <f>C22*D22</f>
        <v>2351.88</v>
      </c>
      <c r="I22" s="26">
        <f>F22*D22</f>
        <v>2639.2780766000642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</v>
      </c>
      <c r="D23" s="30">
        <v>43.2</v>
      </c>
      <c r="E23" s="29">
        <f>D23/$D$48</f>
        <v>1.9254769121055448E-2</v>
      </c>
      <c r="F23" s="28">
        <f>C23-(C23*$E$6)</f>
        <v>42.643573188599092</v>
      </c>
      <c r="G23" s="27" t="str">
        <f>IF(C23&gt;=F23,"-","+")</f>
        <v>+</v>
      </c>
      <c r="H23" s="26">
        <f>C23*D23</f>
        <v>1641.6000000000001</v>
      </c>
      <c r="I23" s="26">
        <f>F23*D23</f>
        <v>1842.2023617474808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45.571493212669679</v>
      </c>
      <c r="D24" s="22">
        <f>SUM(D21:D23)</f>
        <v>132.60000000000002</v>
      </c>
      <c r="E24" s="21">
        <f>D24/$D$48</f>
        <v>5.9101444107684094E-2</v>
      </c>
      <c r="F24" s="20">
        <f>I24/D24</f>
        <v>51.140297529690159</v>
      </c>
      <c r="G24" s="19">
        <f>F24/C24-1</f>
        <v>0.12219929443681798</v>
      </c>
      <c r="H24" s="18">
        <f>SUM(H21:H23)</f>
        <v>6042.7800000000007</v>
      </c>
      <c r="I24" s="18">
        <f>SUM(I21:I23)</f>
        <v>6781.2034524369165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33.1</v>
      </c>
      <c r="D26" s="30">
        <v>416.8</v>
      </c>
      <c r="E26" s="29">
        <f t="shared" ref="E26:E32" si="7">D26/$D$48</f>
        <v>0.18577286503833126</v>
      </c>
      <c r="F26" s="28">
        <f t="shared" ref="F26:F31" si="8">C26-(C26*$E$6)</f>
        <v>37.144796645858683</v>
      </c>
      <c r="G26" s="27" t="str">
        <f t="shared" ref="G26:G31" si="9">IF(C26&gt;=F26,"-","+")</f>
        <v>+</v>
      </c>
      <c r="H26" s="26">
        <f t="shared" ref="H26:H31" si="10">C26*D26</f>
        <v>13796.080000000002</v>
      </c>
      <c r="I26" s="26">
        <f t="shared" ref="I26:I31" si="11">F26*D26</f>
        <v>15481.9512419939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29.5</v>
      </c>
      <c r="D27" s="30">
        <v>363.6</v>
      </c>
      <c r="E27" s="29">
        <f t="shared" si="7"/>
        <v>0.16206097343555004</v>
      </c>
      <c r="F27" s="28">
        <f t="shared" si="8"/>
        <v>33.104879185886134</v>
      </c>
      <c r="G27" s="27" t="str">
        <f t="shared" si="9"/>
        <v>+</v>
      </c>
      <c r="H27" s="26">
        <f t="shared" si="10"/>
        <v>10726.2</v>
      </c>
      <c r="I27" s="26">
        <f t="shared" si="11"/>
        <v>12036.934071988198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29.5</v>
      </c>
      <c r="D28" s="30">
        <v>144.6</v>
      </c>
      <c r="E28" s="29">
        <f t="shared" si="7"/>
        <v>6.444999108575504E-2</v>
      </c>
      <c r="F28" s="28">
        <f t="shared" si="8"/>
        <v>33.104879185886134</v>
      </c>
      <c r="G28" s="27" t="str">
        <f t="shared" si="9"/>
        <v>+</v>
      </c>
      <c r="H28" s="26">
        <f t="shared" si="10"/>
        <v>4265.7</v>
      </c>
      <c r="I28" s="26">
        <f t="shared" si="11"/>
        <v>4786.9655302791343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28.5</v>
      </c>
      <c r="D29" s="30">
        <v>149.6</v>
      </c>
      <c r="E29" s="29">
        <f t="shared" si="7"/>
        <v>6.6678552326617929E-2</v>
      </c>
      <c r="F29" s="28">
        <f t="shared" si="8"/>
        <v>31.982679891449319</v>
      </c>
      <c r="G29" s="27" t="str">
        <f t="shared" si="9"/>
        <v>+</v>
      </c>
      <c r="H29" s="26">
        <f t="shared" si="10"/>
        <v>4263.5999999999995</v>
      </c>
      <c r="I29" s="26">
        <f t="shared" si="11"/>
        <v>4784.608911760818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28.5</v>
      </c>
      <c r="D30" s="30">
        <v>101.2</v>
      </c>
      <c r="E30" s="29">
        <f t="shared" si="7"/>
        <v>4.5106079515065074E-2</v>
      </c>
      <c r="F30" s="28">
        <f t="shared" si="8"/>
        <v>31.982679891449319</v>
      </c>
      <c r="G30" s="27" t="str">
        <f t="shared" si="9"/>
        <v>+</v>
      </c>
      <c r="H30" s="26">
        <f t="shared" si="10"/>
        <v>2884.2000000000003</v>
      </c>
      <c r="I30" s="26">
        <f t="shared" si="11"/>
        <v>3236.6472050146713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</v>
      </c>
      <c r="D31" s="30">
        <v>30.6</v>
      </c>
      <c r="E31" s="29">
        <f t="shared" si="7"/>
        <v>1.3638794794080943E-2</v>
      </c>
      <c r="F31" s="28">
        <f t="shared" si="8"/>
        <v>32.543779538667728</v>
      </c>
      <c r="G31" s="27" t="str">
        <f t="shared" si="9"/>
        <v>+</v>
      </c>
      <c r="H31" s="26">
        <f t="shared" si="10"/>
        <v>887.40000000000009</v>
      </c>
      <c r="I31" s="26">
        <f t="shared" si="11"/>
        <v>995.83965388323247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30.523192970822279</v>
      </c>
      <c r="D32" s="22">
        <f>SUM(D26:D31)</f>
        <v>1206.4000000000001</v>
      </c>
      <c r="E32" s="21">
        <f t="shared" si="7"/>
        <v>0.53770725619540027</v>
      </c>
      <c r="F32" s="20">
        <f>I32/D32</f>
        <v>34.253105615815613</v>
      </c>
      <c r="G32" s="19">
        <f>F32/C32-1</f>
        <v>0.12219929443681821</v>
      </c>
      <c r="H32" s="18">
        <f>SUM(H26:H31)</f>
        <v>36823.18</v>
      </c>
      <c r="I32" s="18">
        <f>SUM(I26:I31)</f>
        <v>41322.946614919958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17.399999999999999</v>
      </c>
      <c r="D34" s="30">
        <f>186+153.3</f>
        <v>339.3</v>
      </c>
      <c r="E34" s="29">
        <f t="shared" ref="E34:E40" si="13">D34/$D$48</f>
        <v>0.15123016580495632</v>
      </c>
      <c r="F34" s="28">
        <f t="shared" ref="F34:F39" si="14">C34-(C34*$E$6)</f>
        <v>19.526267723200636</v>
      </c>
      <c r="G34" s="27" t="str">
        <f t="shared" ref="G34:G39" si="15">IF(C34&gt;=F34,"-","+")</f>
        <v>+</v>
      </c>
      <c r="H34" s="26">
        <f t="shared" ref="H34:H39" si="16">C34*D34</f>
        <v>5903.82</v>
      </c>
      <c r="I34" s="26">
        <f t="shared" ref="I34:I39" si="17">F34*D34</f>
        <v>6625.262638481976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>
        <v>26.1</v>
      </c>
      <c r="E35" s="29">
        <f t="shared" si="13"/>
        <v>1.1633089677304333E-2</v>
      </c>
      <c r="F35" s="28">
        <f t="shared" si="14"/>
        <v>15.037470545453365</v>
      </c>
      <c r="G35" s="27" t="str">
        <f t="shared" si="15"/>
        <v>+</v>
      </c>
      <c r="H35" s="26">
        <f t="shared" si="16"/>
        <v>349.74</v>
      </c>
      <c r="I35" s="26">
        <f t="shared" si="17"/>
        <v>392.47798123633282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12.119752379917637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28.5</v>
      </c>
      <c r="D37" s="30"/>
      <c r="E37" s="29">
        <f t="shared" si="13"/>
        <v>0</v>
      </c>
      <c r="F37" s="28">
        <f t="shared" si="14"/>
        <v>31.982679891449319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28.5</v>
      </c>
      <c r="D38" s="30"/>
      <c r="E38" s="29">
        <f t="shared" si="13"/>
        <v>0</v>
      </c>
      <c r="F38" s="28">
        <f t="shared" si="14"/>
        <v>31.982679891449319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29.5</v>
      </c>
      <c r="D39" s="30"/>
      <c r="E39" s="29">
        <f t="shared" si="13"/>
        <v>0</v>
      </c>
      <c r="F39" s="28">
        <f t="shared" si="14"/>
        <v>33.104879185886134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17.11428571428571</v>
      </c>
      <c r="D40" s="22">
        <f>SUM(D34:D39)</f>
        <v>365.40000000000003</v>
      </c>
      <c r="E40" s="113">
        <f t="shared" si="13"/>
        <v>0.16286325548226069</v>
      </c>
      <c r="F40" s="20">
        <f>I40/D40</f>
        <v>19.205639353361544</v>
      </c>
      <c r="G40" s="19">
        <f>F40/C40-1</f>
        <v>0.12219929443681843</v>
      </c>
      <c r="H40" s="18">
        <f>SUM(H34:H39)</f>
        <v>6253.5599999999995</v>
      </c>
      <c r="I40" s="18">
        <f>SUM(I34:I39)</f>
        <v>7017.7406197183091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524</v>
      </c>
      <c r="E42" s="107">
        <f>D42/$D$48</f>
        <v>0.23355321804243181</v>
      </c>
      <c r="F42" s="28">
        <f>C42-(C42*$E$6)</f>
        <v>0.44887971777472729</v>
      </c>
      <c r="G42" s="27" t="str">
        <f>IF(C42&gt;=F42,"-","+")</f>
        <v>+</v>
      </c>
      <c r="H42" s="26">
        <f>C42*D42</f>
        <v>209.60000000000002</v>
      </c>
      <c r="I42" s="26">
        <f>F42*D42</f>
        <v>235.21297211395711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11.3</v>
      </c>
      <c r="E43" s="107">
        <f>D43/$D$48</f>
        <v>5.0365484043501524E-3</v>
      </c>
      <c r="F43" s="28">
        <f>C43-(C43*$E$6)</f>
        <v>0.44887971777472729</v>
      </c>
      <c r="G43" s="27" t="str">
        <f>IF(C43&gt;=F43,"-","+")</f>
        <v>+</v>
      </c>
      <c r="H43" s="26">
        <f>C43*D43</f>
        <v>4.5200000000000005</v>
      </c>
      <c r="I43" s="26">
        <f>F43*D43</f>
        <v>5.0723408108544188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3.9</v>
      </c>
      <c r="E45" s="107">
        <f>D45/$D$48</f>
        <v>1.7382777678730612E-3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0.39710682492581612</v>
      </c>
      <c r="D46" s="22">
        <f>SUM(D41:D45)</f>
        <v>539.19999999999993</v>
      </c>
      <c r="E46" s="113">
        <f>D46/$D$48</f>
        <v>0.24032804421465501</v>
      </c>
      <c r="F46" s="20">
        <f>I46/D46</f>
        <v>0.44563299874779594</v>
      </c>
      <c r="G46" s="19">
        <f>F46/C46-1</f>
        <v>0.12219929443681821</v>
      </c>
      <c r="H46" s="18">
        <f>SUM(H41:H44)</f>
        <v>214.12000000000003</v>
      </c>
      <c r="I46" s="18">
        <f>SUM(I41:I44)</f>
        <v>240.28531292481154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93.606078722703487</v>
      </c>
      <c r="D48" s="13">
        <f>D24+D32+D40+D46</f>
        <v>2243.6</v>
      </c>
      <c r="E48" s="12">
        <f>SUM(E20:E46)/2</f>
        <v>1</v>
      </c>
      <c r="F48" s="11">
        <f>I48/D48</f>
        <v>24.675599928686037</v>
      </c>
      <c r="G48" s="10"/>
      <c r="H48" s="9">
        <f>SUM(H20:H46)/2</f>
        <v>49333.64</v>
      </c>
      <c r="I48" s="9">
        <f>SUM(I20:I46)/2</f>
        <v>55362.175999999992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2243.6000000000004</v>
      </c>
      <c r="E50" s="12">
        <f>D50/G2</f>
        <v>1.0001783166904425</v>
      </c>
      <c r="F50" s="11">
        <f>I50/D50</f>
        <v>24.675599928686033</v>
      </c>
      <c r="G50" s="10"/>
      <c r="H50" s="9">
        <f>H48+H19</f>
        <v>49333.64</v>
      </c>
      <c r="I50" s="9">
        <f>I48+I19</f>
        <v>55362.175999999992</v>
      </c>
      <c r="J50" s="106">
        <f>D50-G2</f>
        <v>0.4000000000005457</v>
      </c>
      <c r="K50" s="8"/>
    </row>
    <row r="51" spans="1:11" ht="23.25" x14ac:dyDescent="0.35">
      <c r="A51" s="174" t="s">
        <v>805</v>
      </c>
      <c r="B51" s="169"/>
      <c r="C51" s="170"/>
      <c r="G51" s="7"/>
      <c r="H51" s="6"/>
      <c r="I51" s="6">
        <f>+I50/D50</f>
        <v>24.675599928686033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803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803</v>
      </c>
      <c r="D2" s="96" t="s">
        <v>3</v>
      </c>
      <c r="E2" s="95" t="s">
        <v>779</v>
      </c>
      <c r="F2" s="94" t="s">
        <v>5</v>
      </c>
      <c r="G2" s="93">
        <v>15397.9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200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76.989499999999992</v>
      </c>
      <c r="F4" s="81" t="s">
        <v>12</v>
      </c>
      <c r="G4" s="80">
        <f>G2*G3</f>
        <v>408044.35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-8.8916689421129069E-2</v>
      </c>
      <c r="F6" s="69" t="s">
        <v>16</v>
      </c>
      <c r="G6" s="68">
        <f>(I50-I19)/(D50-(SUM(D42:D44)+D19))</f>
        <v>32.531685799102497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>
        <f t="shared" ref="E10:E19" si="1">D10/$D$19</f>
        <v>0</v>
      </c>
      <c r="F10" s="28">
        <f t="shared" ref="F10:F18" si="2">C10-(C10*$E$6)</f>
        <v>28.856292269659921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>
        <f t="shared" si="1"/>
        <v>0</v>
      </c>
      <c r="F11" s="28">
        <f t="shared" si="2"/>
        <v>30.054100628023164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>
        <f t="shared" si="1"/>
        <v>0</v>
      </c>
      <c r="F12" s="28">
        <f t="shared" si="2"/>
        <v>27.440700573412453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>
        <f t="shared" si="1"/>
        <v>0</v>
      </c>
      <c r="F13" s="28">
        <f t="shared" si="2"/>
        <v>30.054100628023164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>
        <f t="shared" si="1"/>
        <v>0</v>
      </c>
      <c r="F14" s="28">
        <f t="shared" si="2"/>
        <v>33.647525703112883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>
        <v>159</v>
      </c>
      <c r="E15" s="29">
        <f t="shared" si="1"/>
        <v>1</v>
      </c>
      <c r="F15" s="28">
        <f t="shared" si="2"/>
        <v>27.658483911296678</v>
      </c>
      <c r="G15" s="27" t="str">
        <f t="shared" si="3"/>
        <v>+</v>
      </c>
      <c r="H15" s="34">
        <f t="shared" si="4"/>
        <v>4038.6</v>
      </c>
      <c r="I15" s="34">
        <f t="shared" si="5"/>
        <v>4397.6989418961721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>
        <f t="shared" si="1"/>
        <v>0</v>
      </c>
      <c r="F16" s="28">
        <f t="shared" si="2"/>
        <v>37.894300791855287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/>
      <c r="E17" s="29">
        <f t="shared" si="1"/>
        <v>0</v>
      </c>
      <c r="F17" s="28">
        <f t="shared" si="2"/>
        <v>55.861426167303918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>
        <f t="shared" si="1"/>
        <v>0</v>
      </c>
      <c r="F18" s="28">
        <f t="shared" si="2"/>
        <v>48.892359355008693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25.4</v>
      </c>
      <c r="D19" s="49">
        <f>SUM(D10:D18)</f>
        <v>159</v>
      </c>
      <c r="E19" s="48">
        <f t="shared" si="1"/>
        <v>1</v>
      </c>
      <c r="F19" s="47">
        <f>I19/D19</f>
        <v>27.658483911296681</v>
      </c>
      <c r="G19" s="46">
        <f>F19/C19-1</f>
        <v>8.8916689421129291E-2</v>
      </c>
      <c r="H19" s="9">
        <f>SUM(H10:H18)</f>
        <v>4038.6</v>
      </c>
      <c r="I19" s="9">
        <f>SUM(I10:I18)</f>
        <v>4397.6989418961721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/>
      <c r="E21" s="29">
        <f>D21/$D$48</f>
        <v>0</v>
      </c>
      <c r="F21" s="28">
        <f>C21-(C21*$E$6)</f>
        <v>72.521851515447196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670.4</v>
      </c>
      <c r="E22" s="29">
        <f>D22/$D$48</f>
        <v>4.3992676636765114E-2</v>
      </c>
      <c r="F22" s="28">
        <f>C22-(C22*$E$6)</f>
        <v>48.783467686066579</v>
      </c>
      <c r="G22" s="27" t="str">
        <f>IF(C22&gt;=F22,"-","+")</f>
        <v>+</v>
      </c>
      <c r="H22" s="26">
        <f>C22*D22</f>
        <v>30033.919999999998</v>
      </c>
      <c r="I22" s="26">
        <f>F22*D22</f>
        <v>32704.436736739033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/>
      <c r="E23" s="29">
        <f>D23/$D$48</f>
        <v>0</v>
      </c>
      <c r="F23" s="28">
        <f>C23-(C23*$E$6)</f>
        <v>44.427800928382062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</v>
      </c>
      <c r="D24" s="22">
        <f>SUM(D21:D23)</f>
        <v>670.4</v>
      </c>
      <c r="E24" s="21">
        <f>D24/$D$48</f>
        <v>4.3992676636765114E-2</v>
      </c>
      <c r="F24" s="20">
        <f>I24/D24</f>
        <v>48.783467686066579</v>
      </c>
      <c r="G24" s="19">
        <f>F24/C24-1</f>
        <v>8.8916689421129069E-2</v>
      </c>
      <c r="H24" s="18">
        <f>SUM(H21:H23)</f>
        <v>30033.919999999998</v>
      </c>
      <c r="I24" s="18">
        <f>SUM(I21:I23)</f>
        <v>32704.436736739033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/>
      <c r="E26" s="29">
        <f t="shared" ref="E26:E32" si="7">D26/$D$48</f>
        <v>0</v>
      </c>
      <c r="F26" s="28">
        <f t="shared" ref="F26:F31" si="8">C26-(C26*$E$6)</f>
        <v>38.765434143392199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4460.3</v>
      </c>
      <c r="E27" s="29">
        <f t="shared" si="7"/>
        <v>0.29269172971802426</v>
      </c>
      <c r="F27" s="28">
        <f t="shared" si="8"/>
        <v>34.518659054649788</v>
      </c>
      <c r="G27" s="27" t="str">
        <f t="shared" si="9"/>
        <v>+</v>
      </c>
      <c r="H27" s="26">
        <f t="shared" si="10"/>
        <v>141391.51</v>
      </c>
      <c r="I27" s="26">
        <f t="shared" si="11"/>
        <v>153963.57498145447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2938.2</v>
      </c>
      <c r="E28" s="29">
        <f t="shared" si="7"/>
        <v>0.1928091922645335</v>
      </c>
      <c r="F28" s="28">
        <f t="shared" si="8"/>
        <v>34.518659054649788</v>
      </c>
      <c r="G28" s="27" t="str">
        <f t="shared" si="9"/>
        <v>+</v>
      </c>
      <c r="H28" s="26">
        <f t="shared" si="10"/>
        <v>93140.939999999988</v>
      </c>
      <c r="I28" s="26">
        <f t="shared" si="11"/>
        <v>101422.724034372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2095.6999999999998</v>
      </c>
      <c r="E29" s="29">
        <f t="shared" si="7"/>
        <v>0.13752304956394487</v>
      </c>
      <c r="F29" s="28">
        <f t="shared" si="8"/>
        <v>33.320850696286548</v>
      </c>
      <c r="G29" s="27" t="str">
        <f t="shared" si="9"/>
        <v>+</v>
      </c>
      <c r="H29" s="26">
        <f t="shared" si="10"/>
        <v>64128.42</v>
      </c>
      <c r="I29" s="26">
        <f t="shared" si="11"/>
        <v>69830.506804207718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/>
      <c r="E30" s="29">
        <f t="shared" si="7"/>
        <v>0</v>
      </c>
      <c r="F30" s="28">
        <f t="shared" si="8"/>
        <v>33.320850696286548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/>
      <c r="E31" s="29">
        <f t="shared" si="7"/>
        <v>0</v>
      </c>
      <c r="F31" s="28">
        <f t="shared" si="8"/>
        <v>33.865309040997118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31.457191759179285</v>
      </c>
      <c r="D32" s="22">
        <f>SUM(D26:D31)</f>
        <v>9494.2000000000007</v>
      </c>
      <c r="E32" s="21">
        <f t="shared" si="7"/>
        <v>0.62302397154650269</v>
      </c>
      <c r="F32" s="20">
        <f>I32/D32</f>
        <v>34.254261108891136</v>
      </c>
      <c r="G32" s="19">
        <f>F32/C32-1</f>
        <v>8.8916689421129291E-2</v>
      </c>
      <c r="H32" s="18">
        <f>SUM(H26:H31)</f>
        <v>298660.87</v>
      </c>
      <c r="I32" s="18">
        <f>SUM(I26:I31)</f>
        <v>325216.80582003423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f>1174.4+830.7</f>
        <v>2005.1000000000001</v>
      </c>
      <c r="E34" s="29">
        <f t="shared" ref="E34:E40" si="13">D34/$D$48</f>
        <v>0.13157773855068278</v>
      </c>
      <c r="F34" s="28">
        <f t="shared" ref="F34:F39" si="14">C34-(C34*$E$6)</f>
        <v>20.362742092175111</v>
      </c>
      <c r="G34" s="27" t="str">
        <f t="shared" ref="G34:G39" si="15">IF(C34&gt;=F34,"-","+")</f>
        <v>+</v>
      </c>
      <c r="H34" s="26">
        <f t="shared" ref="H34:H39" si="16">C34*D34</f>
        <v>37495.370000000003</v>
      </c>
      <c r="I34" s="26">
        <f t="shared" ref="I34:I39" si="17">F34*D34</f>
        <v>40829.334169020316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>
        <v>233.6</v>
      </c>
      <c r="E35" s="29">
        <f t="shared" si="13"/>
        <v>1.5329190427130565E-2</v>
      </c>
      <c r="F35" s="28">
        <f t="shared" si="14"/>
        <v>15.680400327664259</v>
      </c>
      <c r="G35" s="27" t="str">
        <f t="shared" si="15"/>
        <v>+</v>
      </c>
      <c r="H35" s="26">
        <f t="shared" si="16"/>
        <v>3363.84</v>
      </c>
      <c r="I35" s="26">
        <f t="shared" si="17"/>
        <v>3662.9415165423707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12.631433597285097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33.320850696286548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33.320850696286548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34.518659054649788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18.251311028722025</v>
      </c>
      <c r="D40" s="22">
        <f>SUM(D34:D39)</f>
        <v>2238.7000000000003</v>
      </c>
      <c r="E40" s="113">
        <f t="shared" si="13"/>
        <v>0.14690692897781335</v>
      </c>
      <c r="F40" s="20">
        <f>I40/D40</f>
        <v>19.874157182991325</v>
      </c>
      <c r="G40" s="19">
        <f>F40/C40-1</f>
        <v>8.8916689421128847E-2</v>
      </c>
      <c r="H40" s="18">
        <f>SUM(H34:H39)</f>
        <v>40859.210000000006</v>
      </c>
      <c r="I40" s="18">
        <f>SUM(I34:I39)</f>
        <v>44492.275685562687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279.4+1562.2+919</f>
        <v>2760.6</v>
      </c>
      <c r="E42" s="107">
        <f>D42/$D$48</f>
        <v>0.18115480776171505</v>
      </c>
      <c r="F42" s="28">
        <f>C42-(C42*$E$6)</f>
        <v>0.43556667576845165</v>
      </c>
      <c r="G42" s="27" t="str">
        <f>IF(C42&gt;=F42,"-","+")</f>
        <v>+</v>
      </c>
      <c r="H42" s="26">
        <f>C42*D42</f>
        <v>1104.24</v>
      </c>
      <c r="I42" s="26">
        <f>F42*D42</f>
        <v>1202.4253651263875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70.5</v>
      </c>
      <c r="E43" s="107">
        <f>D43/$D$48</f>
        <v>4.6263181725715108E-3</v>
      </c>
      <c r="F43" s="28">
        <f>C43-(C43*$E$6)</f>
        <v>0.43556667576845165</v>
      </c>
      <c r="G43" s="27" t="str">
        <f>IF(C43&gt;=F43,"-","+")</f>
        <v>+</v>
      </c>
      <c r="H43" s="26">
        <f>C43*D43</f>
        <v>28.200000000000003</v>
      </c>
      <c r="I43" s="26">
        <f>F43*D43</f>
        <v>30.707450641675841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</v>
      </c>
      <c r="E45" s="107">
        <f>D45/$D$48</f>
        <v>2.9529690463222407E-4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0.39936521371138389</v>
      </c>
      <c r="D46" s="22">
        <f>SUM(D41:D45)</f>
        <v>2835.6</v>
      </c>
      <c r="E46" s="113">
        <f>D46/$D$48</f>
        <v>0.18607642283891879</v>
      </c>
      <c r="F46" s="20">
        <f>I46/D46</f>
        <v>0.43487544638456183</v>
      </c>
      <c r="G46" s="19">
        <f>F46/C46-1</f>
        <v>8.8916689421129069E-2</v>
      </c>
      <c r="H46" s="18">
        <f>SUM(H41:H44)</f>
        <v>1132.44</v>
      </c>
      <c r="I46" s="18">
        <f>SUM(I41:I44)</f>
        <v>1233.1328157680634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94.907868001612684</v>
      </c>
      <c r="D48" s="13">
        <f>D24+D32+D40+D46</f>
        <v>15238.900000000001</v>
      </c>
      <c r="E48" s="12">
        <f>SUM(E20:E46)/2</f>
        <v>1</v>
      </c>
      <c r="F48" s="11">
        <f>I48/D48</f>
        <v>26.487912582804785</v>
      </c>
      <c r="G48" s="10"/>
      <c r="H48" s="9">
        <f>SUM(H20:H46)/2</f>
        <v>370686.43999999989</v>
      </c>
      <c r="I48" s="9">
        <f>SUM(I20:I46)/2</f>
        <v>403646.65105810389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15397.899999999998</v>
      </c>
      <c r="E50" s="12">
        <f>D50/G2</f>
        <v>0.99999999999999989</v>
      </c>
      <c r="F50" s="11">
        <f>I50/D50</f>
        <v>26.500000000000007</v>
      </c>
      <c r="G50" s="10"/>
      <c r="H50" s="9">
        <f>H48+H19</f>
        <v>374725.03999999986</v>
      </c>
      <c r="I50" s="9">
        <f>I48+I19</f>
        <v>408044.35000000003</v>
      </c>
      <c r="J50" s="106">
        <f>D50-G2</f>
        <v>0</v>
      </c>
      <c r="K50" s="8"/>
    </row>
    <row r="51" spans="1:11" ht="23.25" x14ac:dyDescent="0.35">
      <c r="A51" s="174" t="s">
        <v>806</v>
      </c>
      <c r="B51" s="169"/>
      <c r="C51" s="170"/>
      <c r="G51" s="7"/>
      <c r="H51" s="6"/>
      <c r="I51" s="6">
        <f>+I50/D50</f>
        <v>26.500000000000007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>
    <tabColor rgb="FF92D050"/>
  </sheetPr>
  <dimension ref="A1:K56"/>
  <sheetViews>
    <sheetView workbookViewId="0">
      <selection sqref="A1:XFD1048576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792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803</v>
      </c>
      <c r="D2" s="96" t="s">
        <v>3</v>
      </c>
      <c r="E2" s="95" t="s">
        <v>71</v>
      </c>
      <c r="F2" s="94" t="s">
        <v>5</v>
      </c>
      <c r="G2" s="116">
        <v>8343.4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112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74.49464285714285</v>
      </c>
      <c r="F4" s="81" t="s">
        <v>12</v>
      </c>
      <c r="G4" s="80">
        <f>G2*G3</f>
        <v>233615.19999999998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5.665211383269253E-3</v>
      </c>
      <c r="F6" s="69" t="s">
        <v>16</v>
      </c>
      <c r="G6" s="68">
        <f>(I50-I19)/(D50-(SUM(D42:D44)+D19))</f>
        <v>33.083671063474682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27.841374081268462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941.3</v>
      </c>
      <c r="E11" s="29">
        <f t="shared" si="1"/>
        <v>0.51836554876369834</v>
      </c>
      <c r="F11" s="28">
        <f t="shared" si="2"/>
        <v>29.034575827608538</v>
      </c>
      <c r="G11" s="27" t="str">
        <f t="shared" si="3"/>
        <v>-</v>
      </c>
      <c r="H11" s="34">
        <f t="shared" si="4"/>
        <v>27485.96</v>
      </c>
      <c r="I11" s="34">
        <f t="shared" si="5"/>
        <v>27330.246226527917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171.2</v>
      </c>
      <c r="E12" s="29">
        <f t="shared" si="1"/>
        <v>9.4278319290709831E-2</v>
      </c>
      <c r="F12" s="28">
        <f t="shared" si="2"/>
        <v>26.449305377205039</v>
      </c>
      <c r="G12" s="27" t="str">
        <f t="shared" si="3"/>
        <v>-</v>
      </c>
      <c r="H12" s="34">
        <f t="shared" si="4"/>
        <v>4553.92</v>
      </c>
      <c r="I12" s="34">
        <f t="shared" si="5"/>
        <v>4528.1210805775027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623.4</v>
      </c>
      <c r="E13" s="29">
        <f t="shared" si="1"/>
        <v>0.3433008425574095</v>
      </c>
      <c r="F13" s="28">
        <f t="shared" si="2"/>
        <v>29.034575827608538</v>
      </c>
      <c r="G13" s="27" t="str">
        <f t="shared" si="3"/>
        <v>-</v>
      </c>
      <c r="H13" s="34">
        <f t="shared" si="4"/>
        <v>18203.28</v>
      </c>
      <c r="I13" s="34">
        <f t="shared" si="5"/>
        <v>18100.154570931161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32.415314108905427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80</v>
      </c>
      <c r="E15" s="29">
        <f t="shared" si="1"/>
        <v>4.4055289388182164E-2</v>
      </c>
      <c r="F15" s="28">
        <f t="shared" si="2"/>
        <v>26.747605813790056</v>
      </c>
      <c r="G15" s="27" t="str">
        <f t="shared" si="3"/>
        <v>-</v>
      </c>
      <c r="H15" s="34">
        <f t="shared" si="4"/>
        <v>2152</v>
      </c>
      <c r="I15" s="34">
        <f t="shared" si="5"/>
        <v>2139.8084651032045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36.591520221095692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53.892945543026812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47.131468980433034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28.853549204251333</v>
      </c>
      <c r="D19" s="49">
        <f>SUM(D10:D18)</f>
        <v>1815.9</v>
      </c>
      <c r="E19" s="48">
        <f t="shared" si="1"/>
        <v>1</v>
      </c>
      <c r="F19" s="47">
        <f>I19/D19</f>
        <v>28.690087748851692</v>
      </c>
      <c r="G19" s="46">
        <f>F19/C19-1</f>
        <v>-5.665211383269142E-3</v>
      </c>
      <c r="H19" s="9">
        <f>SUM(H10:H18)</f>
        <v>52395.159999999996</v>
      </c>
      <c r="I19" s="9">
        <f>SUM(I10:I18)</f>
        <v>52098.330343139787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146.6</v>
      </c>
      <c r="E21" s="29">
        <f>D21/$D$48</f>
        <v>2.2459172105279285E-2</v>
      </c>
      <c r="F21" s="28">
        <f>C21-(C21*$E$6)</f>
        <v>70.001169118617852</v>
      </c>
      <c r="G21" s="27" t="str">
        <f>IF(C21&gt;=F21,"-","+")</f>
        <v>-</v>
      </c>
      <c r="H21" s="26">
        <f>C21*D21</f>
        <v>10320.640000000001</v>
      </c>
      <c r="I21" s="26">
        <f>F21*D21</f>
        <v>10262.171392789376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221.8</v>
      </c>
      <c r="E22" s="29">
        <f>D22/$D$48</f>
        <v>3.3979838833226098E-2</v>
      </c>
      <c r="F22" s="28">
        <f>C22-(C22*$E$6)</f>
        <v>47.032035501571364</v>
      </c>
      <c r="G22" s="27" t="str">
        <f>IF(C22&gt;=F22,"-","+")</f>
        <v>-</v>
      </c>
      <c r="H22" s="26">
        <f>C22*D22</f>
        <v>10491.14</v>
      </c>
      <c r="I22" s="26">
        <f>F22*D22</f>
        <v>10431.705474248529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53.2</v>
      </c>
      <c r="E23" s="29">
        <f>D23/$D$48</f>
        <v>8.1502589086006692E-3</v>
      </c>
      <c r="F23" s="28">
        <f>C23-(C23*$E$6)</f>
        <v>42.8558293893811</v>
      </c>
      <c r="G23" s="27" t="str">
        <f>IF(C23&gt;=F23,"-","+")</f>
        <v>-</v>
      </c>
      <c r="H23" s="26">
        <f>C23*D23</f>
        <v>2292.92</v>
      </c>
      <c r="I23" s="26">
        <f>F23*D23</f>
        <v>2279.9301235150747</v>
      </c>
      <c r="J23" s="25"/>
      <c r="K23" s="25"/>
    </row>
    <row r="24" spans="1:11" x14ac:dyDescent="0.25">
      <c r="A24" s="24" t="s">
        <v>34</v>
      </c>
      <c r="B24" s="23"/>
      <c r="C24" s="20">
        <f>H24/D24</f>
        <v>54.802419354838705</v>
      </c>
      <c r="D24" s="22">
        <f>SUM(D21:D23)</f>
        <v>421.59999999999997</v>
      </c>
      <c r="E24" s="21">
        <f>D24/$D$48</f>
        <v>6.4589269847106043E-2</v>
      </c>
      <c r="F24" s="20">
        <f>I24/D24</f>
        <v>54.491952064878994</v>
      </c>
      <c r="G24" s="19">
        <f>F24/C24-1</f>
        <v>-5.6652113832689199E-3</v>
      </c>
      <c r="H24" s="18">
        <f>SUM(H21:H23)</f>
        <v>23104.699999999997</v>
      </c>
      <c r="I24" s="18">
        <f>SUM(I21:I23)</f>
        <v>22973.806990552981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477.8+105.6+39.6+534.2</f>
        <v>1157.2</v>
      </c>
      <c r="E26" s="29">
        <f t="shared" ref="E26:E32" si="7">D26/$D$48</f>
        <v>0.17728345129760703</v>
      </c>
      <c r="F26" s="28">
        <f t="shared" ref="F26:F31" si="8">C26-(C26*$E$6)</f>
        <v>37.386988051989078</v>
      </c>
      <c r="G26" s="27" t="str">
        <f t="shared" ref="G26:G31" si="9">IF(C26&gt;=F26,"-","+")</f>
        <v>-</v>
      </c>
      <c r="H26" s="26">
        <f t="shared" ref="H26:H31" si="10">C26*D26</f>
        <v>43510.720000000001</v>
      </c>
      <c r="I26" s="26">
        <f t="shared" ref="I26:I31" si="11">F26*D26</f>
        <v>43264.222573761763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f>1079.1-46</f>
        <v>1033.0999999999999</v>
      </c>
      <c r="E27" s="29">
        <f t="shared" si="7"/>
        <v>0.15827128718938627</v>
      </c>
      <c r="F27" s="28">
        <f t="shared" si="8"/>
        <v>33.310215418660484</v>
      </c>
      <c r="G27" s="27" t="str">
        <f t="shared" si="9"/>
        <v>-</v>
      </c>
      <c r="H27" s="26">
        <f t="shared" si="10"/>
        <v>34608.85</v>
      </c>
      <c r="I27" s="26">
        <f t="shared" si="11"/>
        <v>34412.783549018146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723.5</v>
      </c>
      <c r="E28" s="29">
        <f t="shared" si="7"/>
        <v>0.1108404571498606</v>
      </c>
      <c r="F28" s="28">
        <f t="shared" si="8"/>
        <v>33.310215418660484</v>
      </c>
      <c r="G28" s="27" t="str">
        <f t="shared" si="9"/>
        <v>-</v>
      </c>
      <c r="H28" s="26">
        <f t="shared" si="10"/>
        <v>24237.25</v>
      </c>
      <c r="I28" s="26">
        <f t="shared" si="11"/>
        <v>24099.940855400859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641.6</v>
      </c>
      <c r="E29" s="29">
        <f t="shared" si="7"/>
        <v>9.8293348040567469E-2</v>
      </c>
      <c r="F29" s="28">
        <f t="shared" si="8"/>
        <v>32.117013672320404</v>
      </c>
      <c r="G29" s="27" t="str">
        <f t="shared" si="9"/>
        <v>-</v>
      </c>
      <c r="H29" s="26">
        <f t="shared" si="10"/>
        <v>20723.68</v>
      </c>
      <c r="I29" s="26">
        <f t="shared" si="11"/>
        <v>20606.275972160773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378.4</v>
      </c>
      <c r="E30" s="29">
        <f t="shared" si="7"/>
        <v>5.7971014492753624E-2</v>
      </c>
      <c r="F30" s="28">
        <f t="shared" si="8"/>
        <v>32.117013672320404</v>
      </c>
      <c r="G30" s="27" t="str">
        <f t="shared" si="9"/>
        <v>-</v>
      </c>
      <c r="H30" s="26">
        <f t="shared" si="10"/>
        <v>12222.319999999998</v>
      </c>
      <c r="I30" s="26">
        <f t="shared" si="11"/>
        <v>12153.077973606039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f>38.4+63</f>
        <v>101.4</v>
      </c>
      <c r="E31" s="29">
        <f t="shared" si="7"/>
        <v>1.5534516040077214E-2</v>
      </c>
      <c r="F31" s="28">
        <f t="shared" si="8"/>
        <v>32.713614545490444</v>
      </c>
      <c r="G31" s="27" t="str">
        <f t="shared" si="9"/>
        <v>-</v>
      </c>
      <c r="H31" s="26">
        <f t="shared" si="10"/>
        <v>3336.06</v>
      </c>
      <c r="I31" s="26">
        <f t="shared" si="11"/>
        <v>3317.1605149127313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34.357375099127673</v>
      </c>
      <c r="D32" s="22">
        <f>SUM(D26:D31)</f>
        <v>4035.2000000000003</v>
      </c>
      <c r="E32" s="21">
        <f t="shared" si="7"/>
        <v>0.6181940742102523</v>
      </c>
      <c r="F32" s="20">
        <f>I32/D32</f>
        <v>34.16273330661685</v>
      </c>
      <c r="G32" s="19">
        <f>F32/C32-1</f>
        <v>-5.665211383269031E-3</v>
      </c>
      <c r="H32" s="18">
        <f>SUM(H26:H31)</f>
        <v>138638.88</v>
      </c>
      <c r="I32" s="18">
        <f>SUM(I26:I31)</f>
        <v>137853.46143886034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1024.6</f>
        <v>1024.5999999999999</v>
      </c>
      <c r="E34" s="29">
        <f t="shared" ref="E34:E40" si="13">D34/$D$48</f>
        <v>0.15696908416827526</v>
      </c>
      <c r="F34" s="28">
        <f t="shared" ref="F34:F39" si="14">C34-(C34*$E$6)</f>
        <v>19.687828814611269</v>
      </c>
      <c r="G34" s="27" t="str">
        <f t="shared" ref="G34:G39" si="15">IF(C34&gt;=F34,"-","+")</f>
        <v>-</v>
      </c>
      <c r="H34" s="26">
        <f t="shared" ref="H34:H39" si="16">C34*D34</f>
        <v>20287.079999999998</v>
      </c>
      <c r="I34" s="26">
        <f t="shared" ref="I34:I39" si="17">F34*D34</f>
        <v>20172.149403450705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15.113888786974307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12.130884421124115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32.117013672320404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32.117013672320404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33.310215418660484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1024.5999999999999</v>
      </c>
      <c r="E40" s="113">
        <f t="shared" si="13"/>
        <v>0.15696908416827526</v>
      </c>
      <c r="F40" s="20">
        <f>I40/D40</f>
        <v>19.687828814611269</v>
      </c>
      <c r="G40" s="19">
        <f>F40/C40-1</f>
        <v>-5.665211383269253E-3</v>
      </c>
      <c r="H40" s="18">
        <f>SUM(H34:H39)</f>
        <v>20287.079999999998</v>
      </c>
      <c r="I40" s="18">
        <f>SUM(I34:I39)</f>
        <v>20172.149403450705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976</v>
      </c>
      <c r="E42" s="107">
        <f>D42/$D$48</f>
        <v>0.14952354689462879</v>
      </c>
      <c r="F42" s="28">
        <f>C42-(C42*$E$6)</f>
        <v>0.49716739430836537</v>
      </c>
      <c r="G42" s="27" t="str">
        <f>IF(C42&gt;=F42,"-","+")</f>
        <v>-</v>
      </c>
      <c r="H42" s="26">
        <f>C42*D42</f>
        <v>488</v>
      </c>
      <c r="I42" s="26">
        <f>F42*D42</f>
        <v>485.23537684496461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64.8</v>
      </c>
      <c r="E43" s="107">
        <f>D43/$D$48</f>
        <v>9.9273830315286336E-3</v>
      </c>
      <c r="F43" s="28">
        <f>C43-(C43*$E$6)</f>
        <v>0.49716739430836537</v>
      </c>
      <c r="G43" s="27" t="str">
        <f>IF(C43&gt;=F43,"-","+")</f>
        <v>-</v>
      </c>
      <c r="H43" s="26">
        <f>C43*D43</f>
        <v>32.4</v>
      </c>
      <c r="I43" s="26">
        <f>F43*D43</f>
        <v>32.216447151182074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7.9664184820908788E-4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0.49751434034416825</v>
      </c>
      <c r="D46" s="22">
        <f>SUM(D41:D45)</f>
        <v>1046</v>
      </c>
      <c r="E46" s="113">
        <f>D46/$D$48</f>
        <v>0.16024757177436652</v>
      </c>
      <c r="F46" s="20">
        <f>I46/D46</f>
        <v>0.49469581643991078</v>
      </c>
      <c r="G46" s="19">
        <f>F46/C46-1</f>
        <v>-5.665211383269253E-3</v>
      </c>
      <c r="H46" s="18">
        <f>SUM(H41:H44)</f>
        <v>520.4</v>
      </c>
      <c r="I46" s="18">
        <f>SUM(I41:I44)</f>
        <v>517.45182399614669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109.45730879431055</v>
      </c>
      <c r="D48" s="13">
        <f>D24+D32+D40+D46</f>
        <v>6527.4</v>
      </c>
      <c r="E48" s="12">
        <f>SUM(E20:E46)/2</f>
        <v>1</v>
      </c>
      <c r="F48" s="11">
        <f>I48/D48</f>
        <v>27.808448947032538</v>
      </c>
      <c r="G48" s="10"/>
      <c r="H48" s="9">
        <f>SUM(H20:H46)/2</f>
        <v>182551.06000000006</v>
      </c>
      <c r="I48" s="9">
        <f>SUM(I20:I46)/2</f>
        <v>181516.86965686019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8343.2999999999993</v>
      </c>
      <c r="E50" s="12">
        <f>D50/G2</f>
        <v>0.99998801447850993</v>
      </c>
      <c r="F50" s="11">
        <f>I50/D50</f>
        <v>28.000335598624044</v>
      </c>
      <c r="G50" s="10"/>
      <c r="H50" s="9">
        <f>H48+H19</f>
        <v>234946.22000000006</v>
      </c>
      <c r="I50" s="9">
        <f>I48+I19</f>
        <v>233615.19999999998</v>
      </c>
      <c r="J50" s="106">
        <f>D50-G2</f>
        <v>-0.1000000000003638</v>
      </c>
      <c r="K50" s="8"/>
    </row>
    <row r="51" spans="1:11" ht="23.25" x14ac:dyDescent="0.35">
      <c r="A51" s="174" t="s">
        <v>807</v>
      </c>
      <c r="B51" s="169"/>
      <c r="C51" s="170"/>
      <c r="G51" s="7"/>
      <c r="H51" s="6"/>
      <c r="I51" s="6">
        <f>+I50/D50</f>
        <v>28.000335598624044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 bestFit="1"/>
  </cols>
  <sheetData>
    <row r="1" spans="1:11" ht="16.5" thickBot="1" x14ac:dyDescent="0.3">
      <c r="A1" s="103" t="s">
        <v>0</v>
      </c>
      <c r="B1" s="102"/>
      <c r="C1" s="101" t="s">
        <v>799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808</v>
      </c>
      <c r="D2" s="96" t="s">
        <v>3</v>
      </c>
      <c r="E2" s="95" t="s">
        <v>71</v>
      </c>
      <c r="F2" s="94" t="s">
        <v>5</v>
      </c>
      <c r="G2" s="116">
        <v>4240.6000000000004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54</v>
      </c>
      <c r="F3" s="88" t="s">
        <v>8</v>
      </c>
      <c r="G3" s="87">
        <v>28</v>
      </c>
      <c r="H3" s="62"/>
      <c r="I3" s="62"/>
      <c r="J3" s="61"/>
      <c r="K3" s="61"/>
    </row>
    <row r="4" spans="1:11" ht="16.5" thickBot="1" x14ac:dyDescent="0.3">
      <c r="A4" s="86" t="s">
        <v>9</v>
      </c>
      <c r="B4" s="85"/>
      <c r="C4" s="84">
        <v>14</v>
      </c>
      <c r="D4" s="83" t="s">
        <v>11</v>
      </c>
      <c r="E4" s="82">
        <f>G2/E3</f>
        <v>78.529629629629639</v>
      </c>
      <c r="F4" s="81" t="s">
        <v>12</v>
      </c>
      <c r="G4" s="80">
        <f>G2*G3</f>
        <v>118736.80000000002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2.8028763453998851E-3</v>
      </c>
      <c r="F6" s="69" t="s">
        <v>16</v>
      </c>
      <c r="G6" s="68">
        <f>(I50-I19)/(D50-(SUM(D42:D44)+D19))</f>
        <v>33.257010497461984</v>
      </c>
    </row>
    <row r="7" spans="1:11" ht="16.5" thickBot="1" x14ac:dyDescent="0.3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27.921519462328803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120.7</v>
      </c>
      <c r="E11" s="29">
        <f t="shared" si="1"/>
        <v>1</v>
      </c>
      <c r="F11" s="28">
        <f t="shared" si="2"/>
        <v>29.118156010714323</v>
      </c>
      <c r="G11" s="27" t="str">
        <f t="shared" si="3"/>
        <v>-</v>
      </c>
      <c r="H11" s="34">
        <f t="shared" si="4"/>
        <v>3524.44</v>
      </c>
      <c r="I11" s="34">
        <f t="shared" si="5"/>
        <v>3514.5614304932187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26.525443489212364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29.118156010714323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32.508626231139964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26.824602626308742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36.69685415048928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54.048084102079329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ht="15.75" thickBot="1" x14ac:dyDescent="0.3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47.267143661228047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ht="16.5" thickTop="1" thickBot="1" x14ac:dyDescent="0.3">
      <c r="A19" s="51" t="s">
        <v>34</v>
      </c>
      <c r="B19" s="50"/>
      <c r="C19" s="47">
        <f>H19/D19</f>
        <v>29.2</v>
      </c>
      <c r="D19" s="49">
        <f>SUM(D10:D18)</f>
        <v>120.7</v>
      </c>
      <c r="E19" s="48">
        <f t="shared" si="1"/>
        <v>1</v>
      </c>
      <c r="F19" s="47">
        <f>I19/D19</f>
        <v>29.118156010714323</v>
      </c>
      <c r="G19" s="46">
        <f>F19/C19-1</f>
        <v>-2.8028763453998851E-3</v>
      </c>
      <c r="H19" s="9">
        <f>SUM(H10:H18)</f>
        <v>3524.44</v>
      </c>
      <c r="I19" s="9">
        <f>SUM(I10:I18)</f>
        <v>3514.5614304932187</v>
      </c>
      <c r="J19" s="8"/>
      <c r="K19" s="8"/>
    </row>
    <row r="20" spans="1:11" ht="15.75" thickTop="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40.299999999999997</v>
      </c>
      <c r="E21" s="29">
        <f>D21/$D$48</f>
        <v>9.7817908201655382E-3</v>
      </c>
      <c r="F21" s="28">
        <f>C21-(C21*$E$6)</f>
        <v>70.202677505283859</v>
      </c>
      <c r="G21" s="27" t="str">
        <f>IF(C21&gt;=F21,"-","+")</f>
        <v>-</v>
      </c>
      <c r="H21" s="26">
        <f>C21*D21</f>
        <v>2837.12</v>
      </c>
      <c r="I21" s="26">
        <f>F21*D21</f>
        <v>2829.1679034629392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157.80000000000001</v>
      </c>
      <c r="E22" s="29">
        <f>D22/$D$48</f>
        <v>3.8301900531566305E-2</v>
      </c>
      <c r="F22" s="28">
        <f>C22-(C22*$E$6)</f>
        <v>47.167423948862584</v>
      </c>
      <c r="G22" s="27" t="str">
        <f>IF(C22&gt;=F22,"-","+")</f>
        <v>-</v>
      </c>
      <c r="H22" s="26">
        <f>C22*D22</f>
        <v>7463.9400000000005</v>
      </c>
      <c r="I22" s="26">
        <f>F22*D22</f>
        <v>7443.0194991305161</v>
      </c>
      <c r="J22" s="25"/>
      <c r="K22" s="25"/>
    </row>
    <row r="23" spans="1:11" ht="15.75" thickBot="1" x14ac:dyDescent="0.3">
      <c r="A23" s="25" t="s">
        <v>38</v>
      </c>
      <c r="B23" s="32">
        <v>1.54</v>
      </c>
      <c r="C23" s="31">
        <f>ROUND($G$3*B23,1)</f>
        <v>43.1</v>
      </c>
      <c r="D23" s="30">
        <v>61.8</v>
      </c>
      <c r="E23" s="29">
        <f>D23/$D$48</f>
        <v>1.5000364086506955E-2</v>
      </c>
      <c r="F23" s="28">
        <f>C23-(C23*$E$6)</f>
        <v>42.979196029513268</v>
      </c>
      <c r="G23" s="27" t="str">
        <f>IF(C23&gt;=F23,"-","+")</f>
        <v>-</v>
      </c>
      <c r="H23" s="26">
        <f>C23*D23</f>
        <v>2663.58</v>
      </c>
      <c r="I23" s="26">
        <f>F23*D23</f>
        <v>2656.1143146239197</v>
      </c>
      <c r="J23" s="25"/>
      <c r="K23" s="25"/>
    </row>
    <row r="24" spans="1:11" ht="15.75" thickBot="1" x14ac:dyDescent="0.3">
      <c r="A24" s="24" t="s">
        <v>34</v>
      </c>
      <c r="B24" s="23"/>
      <c r="C24" s="20">
        <f>H24/D24</f>
        <v>49.883185840707959</v>
      </c>
      <c r="D24" s="22">
        <f>SUM(D21:D23)</f>
        <v>259.90000000000003</v>
      </c>
      <c r="E24" s="21">
        <f>D24/$D$48</f>
        <v>6.3084055438238806E-2</v>
      </c>
      <c r="F24" s="20">
        <f>I24/D24</f>
        <v>49.743369439081853</v>
      </c>
      <c r="G24" s="19">
        <f>F24/C24-1</f>
        <v>-2.8028763453998851E-3</v>
      </c>
      <c r="H24" s="18">
        <f>SUM(H21:H23)</f>
        <v>12964.640000000001</v>
      </c>
      <c r="I24" s="18">
        <f>SUM(I21:I23)</f>
        <v>12928.301717217375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98.4+746.1</f>
        <v>844.5</v>
      </c>
      <c r="E26" s="29">
        <f t="shared" ref="E26:E32" si="7">D26/$D$48</f>
        <v>0.20498070341513144</v>
      </c>
      <c r="F26" s="28">
        <f t="shared" ref="F26:F31" si="8">C26-(C26*$E$6)</f>
        <v>37.494611849412969</v>
      </c>
      <c r="G26" s="27" t="str">
        <f t="shared" ref="G26:G31" si="9">IF(C26&gt;=F26,"-","+")</f>
        <v>-</v>
      </c>
      <c r="H26" s="26">
        <f t="shared" ref="H26:H31" si="10">C26*D26</f>
        <v>31753.200000000001</v>
      </c>
      <c r="I26" s="26">
        <f t="shared" ref="I26:I31" si="11">F26*D26</f>
        <v>31664.199706829251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657</v>
      </c>
      <c r="E27" s="29">
        <f t="shared" si="7"/>
        <v>0.15946989004587492</v>
      </c>
      <c r="F27" s="28">
        <f t="shared" si="8"/>
        <v>33.406103642429102</v>
      </c>
      <c r="G27" s="27" t="str">
        <f t="shared" si="9"/>
        <v>-</v>
      </c>
      <c r="H27" s="26">
        <f t="shared" si="10"/>
        <v>22009.5</v>
      </c>
      <c r="I27" s="26">
        <f t="shared" si="11"/>
        <v>21947.810093075921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439</v>
      </c>
      <c r="E28" s="29">
        <f t="shared" si="7"/>
        <v>0.10655598436855264</v>
      </c>
      <c r="F28" s="28">
        <f t="shared" si="8"/>
        <v>33.406103642429102</v>
      </c>
      <c r="G28" s="27" t="str">
        <f t="shared" si="9"/>
        <v>-</v>
      </c>
      <c r="H28" s="26">
        <f t="shared" si="10"/>
        <v>14706.5</v>
      </c>
      <c r="I28" s="26">
        <f t="shared" si="11"/>
        <v>14665.279499026376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425.9</v>
      </c>
      <c r="E29" s="29">
        <f t="shared" si="7"/>
        <v>0.10337629554115392</v>
      </c>
      <c r="F29" s="28">
        <f t="shared" si="8"/>
        <v>32.209467094043582</v>
      </c>
      <c r="G29" s="27" t="str">
        <f t="shared" si="9"/>
        <v>-</v>
      </c>
      <c r="H29" s="26">
        <f t="shared" si="10"/>
        <v>13756.569999999998</v>
      </c>
      <c r="I29" s="26">
        <f t="shared" si="11"/>
        <v>13718.01203535316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237.8</v>
      </c>
      <c r="E30" s="29">
        <f t="shared" si="7"/>
        <v>5.7719847569115766E-2</v>
      </c>
      <c r="F30" s="28">
        <f t="shared" si="8"/>
        <v>32.209467094043582</v>
      </c>
      <c r="G30" s="27" t="str">
        <f t="shared" si="9"/>
        <v>-</v>
      </c>
      <c r="H30" s="26">
        <f t="shared" si="10"/>
        <v>7680.94</v>
      </c>
      <c r="I30" s="26">
        <f t="shared" si="11"/>
        <v>7659.4112749635642</v>
      </c>
      <c r="J30" s="25"/>
      <c r="K30" s="25"/>
    </row>
    <row r="31" spans="1:11" ht="15.75" thickBot="1" x14ac:dyDescent="0.3">
      <c r="A31" s="25" t="s">
        <v>45</v>
      </c>
      <c r="B31" s="32">
        <v>1.175</v>
      </c>
      <c r="C31" s="31">
        <f t="shared" si="6"/>
        <v>32.9</v>
      </c>
      <c r="D31" s="30">
        <v>43.4</v>
      </c>
      <c r="E31" s="29">
        <f t="shared" si="7"/>
        <v>1.0534236267870581E-2</v>
      </c>
      <c r="F31" s="28">
        <f t="shared" si="8"/>
        <v>32.807785368236345</v>
      </c>
      <c r="G31" s="27" t="str">
        <f t="shared" si="9"/>
        <v>-</v>
      </c>
      <c r="H31" s="26">
        <f t="shared" si="10"/>
        <v>1427.86</v>
      </c>
      <c r="I31" s="26">
        <f t="shared" si="11"/>
        <v>1423.8578849814573</v>
      </c>
      <c r="J31" s="25"/>
      <c r="K31" s="25"/>
    </row>
    <row r="32" spans="1:11" ht="15.75" thickBot="1" x14ac:dyDescent="0.3">
      <c r="A32" s="24" t="s">
        <v>34</v>
      </c>
      <c r="B32" s="23"/>
      <c r="C32" s="20">
        <f>H32/D32</f>
        <v>34.497118144734848</v>
      </c>
      <c r="D32" s="22">
        <f>SUM(D26:D31)</f>
        <v>2647.6000000000004</v>
      </c>
      <c r="E32" s="21">
        <f t="shared" si="7"/>
        <v>0.64263695720769931</v>
      </c>
      <c r="F32" s="20">
        <f>I32/D32</f>
        <v>34.400426988302506</v>
      </c>
      <c r="G32" s="19">
        <f>F32/C32-1</f>
        <v>-2.8028763453998851E-3</v>
      </c>
      <c r="H32" s="18">
        <f>SUM(H26:H31)</f>
        <v>91334.569999999992</v>
      </c>
      <c r="I32" s="18">
        <f>SUM(I26:I31)</f>
        <v>91078.570494229731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551.79999999999995</v>
      </c>
      <c r="E34" s="29">
        <f t="shared" ref="E34:E40" si="13">D34/$D$48</f>
        <v>0.13393528969149737</v>
      </c>
      <c r="F34" s="28">
        <f t="shared" ref="F34:F39" si="14">C34-(C34*$E$6)</f>
        <v>19.744503048361082</v>
      </c>
      <c r="G34" s="27" t="str">
        <f t="shared" ref="G34:G39" si="15">IF(C34&gt;=F34,"-","+")</f>
        <v>-</v>
      </c>
      <c r="H34" s="26">
        <f t="shared" ref="H34:H39" si="16">C34*D34</f>
        <v>10925.64</v>
      </c>
      <c r="I34" s="26">
        <f t="shared" ref="I34:I39" si="17">F34*D34</f>
        <v>10895.016782085644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15.157396279549921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12.165804908586122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32.209467094043582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32.209467094043582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ht="15.75" thickBot="1" x14ac:dyDescent="0.3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33.406103642429102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ht="15.75" thickBot="1" x14ac:dyDescent="0.3">
      <c r="A40" s="24" t="s">
        <v>34</v>
      </c>
      <c r="B40" s="23"/>
      <c r="C40" s="20">
        <f>H40/D40</f>
        <v>19.8</v>
      </c>
      <c r="D40" s="22">
        <f>SUM(D34:D39)</f>
        <v>551.79999999999995</v>
      </c>
      <c r="E40" s="113">
        <f t="shared" si="13"/>
        <v>0.13393528969149737</v>
      </c>
      <c r="F40" s="20">
        <f>I40/D40</f>
        <v>19.744503048361082</v>
      </c>
      <c r="G40" s="19">
        <f>F40/C40-1</f>
        <v>-2.8028763453998851E-3</v>
      </c>
      <c r="H40" s="18">
        <f>SUM(H34:H39)</f>
        <v>10925.64</v>
      </c>
      <c r="I40" s="18">
        <f>SUM(I34:I39)</f>
        <v>10895.016782085644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618</v>
      </c>
      <c r="E42" s="107">
        <f>D42/$D$48</f>
        <v>0.15000364086506957</v>
      </c>
      <c r="F42" s="28">
        <f>C42-(C42*$E$6)</f>
        <v>0.49859856182730006</v>
      </c>
      <c r="G42" s="27" t="str">
        <f>IF(C42&gt;=F42,"-","+")</f>
        <v>-</v>
      </c>
      <c r="H42" s="26">
        <f>C42*D42</f>
        <v>309</v>
      </c>
      <c r="I42" s="26">
        <f>F42*D42</f>
        <v>308.13391120927145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24.5</v>
      </c>
      <c r="E43" s="107">
        <f>D43/$D$48</f>
        <v>5.9467462802495208E-3</v>
      </c>
      <c r="F43" s="28">
        <f>C43-(C43*$E$6)</f>
        <v>0.49859856182730006</v>
      </c>
      <c r="G43" s="27" t="str">
        <f>IF(C43&gt;=F43,"-","+")</f>
        <v>-</v>
      </c>
      <c r="H43" s="26">
        <f>C43*D43</f>
        <v>12.25</v>
      </c>
      <c r="I43" s="26">
        <f>F43*D43</f>
        <v>12.215664764768851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12.8</v>
      </c>
      <c r="E44" s="107">
        <f>D44/$D$48</f>
        <v>3.1068715260079132E-3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1.2864389912376514E-3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ht="15.75" thickBot="1" x14ac:dyDescent="0.3">
      <c r="A46" s="24" t="s">
        <v>34</v>
      </c>
      <c r="B46" s="23"/>
      <c r="C46" s="20">
        <f>H46/D46</f>
        <v>0.48630033303057835</v>
      </c>
      <c r="D46" s="22">
        <f>SUM(D41:D45)</f>
        <v>660.59999999999991</v>
      </c>
      <c r="E46" s="113">
        <f>D46/$D$48</f>
        <v>0.16034369766256462</v>
      </c>
      <c r="F46" s="20">
        <f>I46/D46</f>
        <v>0.48493729333036684</v>
      </c>
      <c r="G46" s="19">
        <f>F46/C46-1</f>
        <v>-2.8028763453998851E-3</v>
      </c>
      <c r="H46" s="18">
        <f>SUM(H41:H44)</f>
        <v>321.25</v>
      </c>
      <c r="I46" s="18">
        <f>SUM(I41:I44)</f>
        <v>320.34957597404031</v>
      </c>
      <c r="J46" s="17"/>
      <c r="K46" s="17"/>
    </row>
    <row r="47" spans="1:11" ht="15.75" thickBot="1" x14ac:dyDescent="0.3">
      <c r="E47" s="16"/>
    </row>
    <row r="48" spans="1:11" ht="15.75" thickBot="1" x14ac:dyDescent="0.3">
      <c r="A48" s="10" t="s">
        <v>58</v>
      </c>
      <c r="B48" s="15"/>
      <c r="C48" s="11">
        <f>C24+C32+C40+C46</f>
        <v>104.66660431847339</v>
      </c>
      <c r="D48" s="13">
        <f>D24+D32+D40+D46</f>
        <v>4119.8999999999996</v>
      </c>
      <c r="E48" s="12">
        <f>SUM(E20:E46)/2</f>
        <v>1.0000000000000002</v>
      </c>
      <c r="F48" s="11">
        <f>I48/D48</f>
        <v>27.967241576132139</v>
      </c>
      <c r="G48" s="10"/>
      <c r="H48" s="9">
        <f>SUM(H20:H46)/2</f>
        <v>115546.1</v>
      </c>
      <c r="I48" s="9">
        <f>SUM(I20:I46)/2</f>
        <v>115222.23856950679</v>
      </c>
      <c r="J48" s="8"/>
      <c r="K48" s="8"/>
    </row>
    <row r="49" spans="1:11" ht="15.75" thickBot="1" x14ac:dyDescent="0.3">
      <c r="E49" s="16"/>
    </row>
    <row r="50" spans="1:11" ht="15.75" thickBot="1" x14ac:dyDescent="0.3">
      <c r="A50" s="10" t="s">
        <v>59</v>
      </c>
      <c r="B50" s="15"/>
      <c r="C50" s="14"/>
      <c r="D50" s="13">
        <f>SUM(D10:D47)/2</f>
        <v>4240.6000000000004</v>
      </c>
      <c r="E50" s="12">
        <f>D50/G2</f>
        <v>1</v>
      </c>
      <c r="F50" s="11">
        <f>I50/D50</f>
        <v>28</v>
      </c>
      <c r="G50" s="10"/>
      <c r="H50" s="9">
        <f>H48+H19</f>
        <v>119070.54000000001</v>
      </c>
      <c r="I50" s="9">
        <f>I48+I19</f>
        <v>118736.80000000002</v>
      </c>
      <c r="J50" s="106">
        <f>D50-G2</f>
        <v>0</v>
      </c>
      <c r="K50" s="8"/>
    </row>
    <row r="51" spans="1:11" ht="23.25" x14ac:dyDescent="0.35">
      <c r="A51" s="174" t="s">
        <v>809</v>
      </c>
      <c r="B51" s="169"/>
      <c r="C51" s="170"/>
      <c r="G51" s="7"/>
      <c r="H51" s="6"/>
      <c r="I51" s="6">
        <f>+I50/D50</f>
        <v>28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803</v>
      </c>
      <c r="D1" s="100" t="s">
        <v>1</v>
      </c>
      <c r="E1" s="168" t="s">
        <v>750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808</v>
      </c>
      <c r="D2" s="96" t="s">
        <v>3</v>
      </c>
      <c r="E2" s="95" t="s">
        <v>107</v>
      </c>
      <c r="F2" s="94" t="s">
        <v>5</v>
      </c>
      <c r="G2" s="93">
        <v>9800.7000000000007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140</v>
      </c>
      <c r="F3" s="88" t="s">
        <v>8</v>
      </c>
      <c r="G3" s="87">
        <v>26.5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70.00500000000001</v>
      </c>
      <c r="F4" s="81" t="s">
        <v>12</v>
      </c>
      <c r="G4" s="80">
        <f>G2*G3</f>
        <v>259718.55000000002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-1.389035986399012E-2</v>
      </c>
      <c r="F6" s="69" t="s">
        <v>16</v>
      </c>
      <c r="G6" s="68">
        <f>(I50-I19)/(D50-(SUM(D42:D44)+D19))</f>
        <v>32.304909448231271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30"/>
      <c r="E10" s="29" t="e">
        <f t="shared" ref="E10:E19" si="1">D10/$D$19</f>
        <v>#DIV/0!</v>
      </c>
      <c r="F10" s="28">
        <f t="shared" ref="F10:F18" si="2">C10-(C10*$E$6)</f>
        <v>26.868094536395738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27.6</v>
      </c>
      <c r="D11" s="30"/>
      <c r="E11" s="29" t="e">
        <f t="shared" si="1"/>
        <v>#DIV/0!</v>
      </c>
      <c r="F11" s="28">
        <f t="shared" si="2"/>
        <v>27.983373932246128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30"/>
      <c r="E12" s="29" t="e">
        <f t="shared" si="1"/>
        <v>#DIV/0!</v>
      </c>
      <c r="F12" s="28">
        <f t="shared" si="2"/>
        <v>25.55003706857255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27.6</v>
      </c>
      <c r="D13" s="30"/>
      <c r="E13" s="29" t="e">
        <f t="shared" si="1"/>
        <v>#DIV/0!</v>
      </c>
      <c r="F13" s="28">
        <f t="shared" si="2"/>
        <v>27.983373932246128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30.9</v>
      </c>
      <c r="D14" s="30"/>
      <c r="E14" s="29" t="e">
        <f t="shared" si="1"/>
        <v>#DIV/0!</v>
      </c>
      <c r="F14" s="28">
        <f t="shared" si="2"/>
        <v>31.329212119797294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30"/>
      <c r="E15" s="29" t="e">
        <f t="shared" si="1"/>
        <v>#DIV/0!</v>
      </c>
      <c r="F15" s="28">
        <f t="shared" si="2"/>
        <v>25.752815140545348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30"/>
      <c r="E16" s="29" t="e">
        <f t="shared" si="1"/>
        <v>#DIV/0!</v>
      </c>
      <c r="F16" s="28">
        <f t="shared" si="2"/>
        <v>35.283384523266854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51.3</v>
      </c>
      <c r="D17" s="30"/>
      <c r="E17" s="29" t="e">
        <f t="shared" si="1"/>
        <v>#DIV/0!</v>
      </c>
      <c r="F17" s="28">
        <f t="shared" si="2"/>
        <v>52.012575461022692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44.9</v>
      </c>
      <c r="D18" s="30"/>
      <c r="E18" s="29" t="e">
        <f t="shared" si="1"/>
        <v>#DIV/0!</v>
      </c>
      <c r="F18" s="28">
        <f t="shared" si="2"/>
        <v>45.523677157893154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66.599999999999994</v>
      </c>
      <c r="D21" s="30">
        <v>148.69999999999999</v>
      </c>
      <c r="E21" s="29">
        <f>D21/$D$48</f>
        <v>1.5172385645923251E-2</v>
      </c>
      <c r="F21" s="28">
        <f>C21-(C21*$E$6)</f>
        <v>67.525097966941743</v>
      </c>
      <c r="G21" s="27" t="str">
        <f>IF(C21&gt;=F21,"-","+")</f>
        <v>+</v>
      </c>
      <c r="H21" s="26">
        <f>C21*D21</f>
        <v>9903.4199999999983</v>
      </c>
      <c r="I21" s="26">
        <f>F21*D21</f>
        <v>10040.982067684237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44.8</v>
      </c>
      <c r="D22" s="30">
        <v>335.3</v>
      </c>
      <c r="E22" s="29">
        <f>D22/$D$48</f>
        <v>3.421184201128491E-2</v>
      </c>
      <c r="F22" s="28">
        <f>C22-(C22*$E$6)</f>
        <v>45.422288121906753</v>
      </c>
      <c r="G22" s="27" t="str">
        <f>IF(C22&gt;=F22,"-","+")</f>
        <v>+</v>
      </c>
      <c r="H22" s="26">
        <f>C22*D22</f>
        <v>15021.439999999999</v>
      </c>
      <c r="I22" s="26">
        <f>F22*D22</f>
        <v>15230.093207275335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40.799999999999997</v>
      </c>
      <c r="D23" s="30">
        <v>272.5</v>
      </c>
      <c r="E23" s="29">
        <f>D23/$D$48</f>
        <v>2.7804136439233934E-2</v>
      </c>
      <c r="F23" s="28">
        <f>C23-(C23*$E$6)</f>
        <v>41.366726682450796</v>
      </c>
      <c r="G23" s="27" t="str">
        <f>IF(C23&gt;=F23,"-","+")</f>
        <v>+</v>
      </c>
      <c r="H23" s="26">
        <f>C23*D23</f>
        <v>11118</v>
      </c>
      <c r="I23" s="26">
        <f>F23*D23</f>
        <v>11272.433020967843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47.644230006609384</v>
      </c>
      <c r="D24" s="22">
        <f>SUM(D21:D23)</f>
        <v>756.5</v>
      </c>
      <c r="E24" s="21">
        <f>D24/$D$48</f>
        <v>7.71883640964421E-2</v>
      </c>
      <c r="F24" s="20">
        <f>I24/D24</f>
        <v>48.306025506843909</v>
      </c>
      <c r="G24" s="19">
        <f>F24/C24-1</f>
        <v>1.389035986399012E-2</v>
      </c>
      <c r="H24" s="18">
        <f>SUM(H21:H23)</f>
        <v>36042.86</v>
      </c>
      <c r="I24" s="18">
        <f>SUM(I21:I23)</f>
        <v>36543.508295927415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35.6</v>
      </c>
      <c r="D26" s="30">
        <f>76.3+54.8+1958.5</f>
        <v>2089.6</v>
      </c>
      <c r="E26" s="29">
        <f t="shared" ref="E26:E32" si="7">D26/$D$48</f>
        <v>0.21320926056302103</v>
      </c>
      <c r="F26" s="28">
        <f t="shared" ref="F26:F31" si="8">C26-(C26*$E$6)</f>
        <v>36.094496811158052</v>
      </c>
      <c r="G26" s="27" t="str">
        <f t="shared" ref="G26:G31" si="9">IF(C26&gt;=F26,"-","+")</f>
        <v>+</v>
      </c>
      <c r="H26" s="26">
        <f t="shared" ref="H26:H31" si="10">C26*D26</f>
        <v>74389.759999999995</v>
      </c>
      <c r="I26" s="26">
        <f t="shared" ref="I26:I31" si="11">F26*D26</f>
        <v>75423.060536595862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31.7</v>
      </c>
      <c r="D27" s="30">
        <v>1424.8</v>
      </c>
      <c r="E27" s="29">
        <f t="shared" si="7"/>
        <v>0.14537737100411197</v>
      </c>
      <c r="F27" s="28">
        <f t="shared" si="8"/>
        <v>32.140324407688489</v>
      </c>
      <c r="G27" s="27" t="str">
        <f t="shared" si="9"/>
        <v>+</v>
      </c>
      <c r="H27" s="26">
        <f t="shared" si="10"/>
        <v>45166.159999999996</v>
      </c>
      <c r="I27" s="26">
        <f t="shared" si="11"/>
        <v>45793.534216074557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31.7</v>
      </c>
      <c r="D28" s="30">
        <v>796.3</v>
      </c>
      <c r="E28" s="29">
        <f t="shared" si="7"/>
        <v>8.1249298519493515E-2</v>
      </c>
      <c r="F28" s="28">
        <f t="shared" si="8"/>
        <v>32.140324407688489</v>
      </c>
      <c r="G28" s="27" t="str">
        <f t="shared" si="9"/>
        <v>+</v>
      </c>
      <c r="H28" s="26">
        <f t="shared" si="10"/>
        <v>25242.71</v>
      </c>
      <c r="I28" s="26">
        <f t="shared" si="11"/>
        <v>25593.340325842342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30.6</v>
      </c>
      <c r="D29" s="30">
        <v>882.4</v>
      </c>
      <c r="E29" s="29">
        <f t="shared" si="7"/>
        <v>9.0034385299009256E-2</v>
      </c>
      <c r="F29" s="28">
        <f t="shared" si="8"/>
        <v>31.025045011838099</v>
      </c>
      <c r="G29" s="27" t="str">
        <f t="shared" si="9"/>
        <v>+</v>
      </c>
      <c r="H29" s="26">
        <f t="shared" si="10"/>
        <v>27001.440000000002</v>
      </c>
      <c r="I29" s="26">
        <f t="shared" si="11"/>
        <v>27376.499718445939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30.6</v>
      </c>
      <c r="D30" s="30">
        <v>514.4</v>
      </c>
      <c r="E30" s="29">
        <f t="shared" si="7"/>
        <v>5.248604691501628E-2</v>
      </c>
      <c r="F30" s="28">
        <f t="shared" si="8"/>
        <v>31.025045011838099</v>
      </c>
      <c r="G30" s="27" t="str">
        <f t="shared" si="9"/>
        <v>+</v>
      </c>
      <c r="H30" s="26">
        <f t="shared" si="10"/>
        <v>15740.64</v>
      </c>
      <c r="I30" s="26">
        <f t="shared" si="11"/>
        <v>15959.283154089517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30">
        <v>204.2</v>
      </c>
      <c r="E31" s="29">
        <f t="shared" si="7"/>
        <v>2.0835246461987412E-2</v>
      </c>
      <c r="F31" s="28">
        <f t="shared" si="8"/>
        <v>31.531990191770095</v>
      </c>
      <c r="G31" s="27" t="str">
        <f t="shared" si="9"/>
        <v>+</v>
      </c>
      <c r="H31" s="26">
        <f t="shared" si="10"/>
        <v>6350.62</v>
      </c>
      <c r="I31" s="26">
        <f t="shared" si="11"/>
        <v>6438.8323971594527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32.79789738992168</v>
      </c>
      <c r="D32" s="22">
        <f>SUM(D26:D31)</f>
        <v>5911.6999999999989</v>
      </c>
      <c r="E32" s="21">
        <f t="shared" si="7"/>
        <v>0.60319160876263933</v>
      </c>
      <c r="F32" s="20">
        <f>I32/D32</f>
        <v>33.25347198744992</v>
      </c>
      <c r="G32" s="19">
        <f>F32/C32-1</f>
        <v>1.3890359863990343E-2</v>
      </c>
      <c r="H32" s="18">
        <f>SUM(H26:H31)</f>
        <v>193891.32999999996</v>
      </c>
      <c r="I32" s="18">
        <f>SUM(I26:I31)</f>
        <v>196584.55034820767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1364.8</v>
      </c>
      <c r="E34" s="29">
        <f t="shared" ref="E34:E40" si="13">D34/$D$48</f>
        <v>0.13925535931106964</v>
      </c>
      <c r="F34" s="28">
        <f t="shared" ref="F34:F39" si="14">C34-(C34*$E$6)</f>
        <v>18.959749729456615</v>
      </c>
      <c r="G34" s="27" t="str">
        <f t="shared" ref="G34:G39" si="15">IF(C34&gt;=F34,"-","+")</f>
        <v>+</v>
      </c>
      <c r="H34" s="26">
        <f t="shared" ref="H34:H39" si="16">C34*D34</f>
        <v>25521.759999999998</v>
      </c>
      <c r="I34" s="26">
        <f t="shared" ref="I34:I39" si="17">F34*D34</f>
        <v>25876.266430762385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30"/>
      <c r="E35" s="29">
        <f t="shared" si="13"/>
        <v>0</v>
      </c>
      <c r="F35" s="28">
        <f t="shared" si="14"/>
        <v>14.600021182041457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30"/>
      <c r="E36" s="29">
        <f t="shared" si="13"/>
        <v>0</v>
      </c>
      <c r="F36" s="28">
        <f t="shared" si="14"/>
        <v>11.761128174422286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30.6</v>
      </c>
      <c r="D37" s="30"/>
      <c r="E37" s="29">
        <f t="shared" si="13"/>
        <v>0</v>
      </c>
      <c r="F37" s="28">
        <f t="shared" si="14"/>
        <v>31.025045011838099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30.6</v>
      </c>
      <c r="D38" s="30"/>
      <c r="E38" s="29">
        <f t="shared" si="13"/>
        <v>0</v>
      </c>
      <c r="F38" s="28">
        <f t="shared" si="14"/>
        <v>31.025045011838099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31.7</v>
      </c>
      <c r="D39" s="30"/>
      <c r="E39" s="29">
        <f t="shared" si="13"/>
        <v>0</v>
      </c>
      <c r="F39" s="28">
        <f t="shared" si="14"/>
        <v>32.140324407688489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1364.8</v>
      </c>
      <c r="E40" s="113">
        <f t="shared" si="13"/>
        <v>0.13925535931106964</v>
      </c>
      <c r="F40" s="20">
        <f>I40/D40</f>
        <v>18.959749729456615</v>
      </c>
      <c r="G40" s="19">
        <f>F40/C40-1</f>
        <v>1.389035986399012E-2</v>
      </c>
      <c r="H40" s="18">
        <f>SUM(H34:H39)</f>
        <v>25521.759999999998</v>
      </c>
      <c r="I40" s="18">
        <f>SUM(I34:I39)</f>
        <v>25876.266430762385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1684</v>
      </c>
      <c r="E42" s="107">
        <f>D42/$D$48</f>
        <v>0.17182446151805486</v>
      </c>
      <c r="F42" s="28">
        <f>C42-(C42*$E$6)</f>
        <v>0.40555614394559608</v>
      </c>
      <c r="G42" s="27" t="str">
        <f>IF(C42&gt;=F42,"-","+")</f>
        <v>+</v>
      </c>
      <c r="H42" s="26">
        <f>C42*D42</f>
        <v>673.6</v>
      </c>
      <c r="I42" s="26">
        <f>F42*D42</f>
        <v>682.95654640438386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77.099999999999994</v>
      </c>
      <c r="E43" s="107">
        <f>D43/$D$48</f>
        <v>7.8667850255593995E-3</v>
      </c>
      <c r="F43" s="28">
        <f>C43-(C43*$E$6)</f>
        <v>0.40555614394559608</v>
      </c>
      <c r="G43" s="27" t="str">
        <f>IF(C43&gt;=F43,"-","+")</f>
        <v>+</v>
      </c>
      <c r="H43" s="26">
        <f>C43*D43</f>
        <v>30.84</v>
      </c>
      <c r="I43" s="26">
        <f>F43*D43</f>
        <v>31.268378698205456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6.7342128623465675E-4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0.39850653391412577</v>
      </c>
      <c r="D46" s="22">
        <f>SUM(D41:D45)</f>
        <v>1767.6999999999998</v>
      </c>
      <c r="E46" s="113">
        <f>D46/$D$48</f>
        <v>0.18036466782984889</v>
      </c>
      <c r="F46" s="20">
        <f>I46/D46</f>
        <v>0.40404193307834435</v>
      </c>
      <c r="G46" s="19">
        <f>F46/C46-1</f>
        <v>1.389035986399012E-2</v>
      </c>
      <c r="H46" s="18">
        <f>SUM(H41:H44)</f>
        <v>704.44</v>
      </c>
      <c r="I46" s="18">
        <f>SUM(I41:I44)</f>
        <v>714.22492510258928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99.540633930445196</v>
      </c>
      <c r="D48" s="13">
        <f>D24+D32+D40+D46</f>
        <v>9800.6999999999989</v>
      </c>
      <c r="E48" s="12">
        <f>SUM(E20:E46)/2</f>
        <v>1</v>
      </c>
      <c r="F48" s="11">
        <f>I48/D48</f>
        <v>26.500000000000007</v>
      </c>
      <c r="G48" s="10"/>
      <c r="H48" s="9">
        <f>SUM(H20:H46)/2</f>
        <v>256160.38999999998</v>
      </c>
      <c r="I48" s="9">
        <f>SUM(I20:I46)/2</f>
        <v>259718.55000000005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9800.6999999999971</v>
      </c>
      <c r="E50" s="12">
        <f>D50/G2</f>
        <v>0.99999999999999967</v>
      </c>
      <c r="F50" s="11">
        <f>I50/D50</f>
        <v>26.500000000000014</v>
      </c>
      <c r="G50" s="10"/>
      <c r="H50" s="9">
        <f>H48+H19</f>
        <v>256160.38999999998</v>
      </c>
      <c r="I50" s="9">
        <f>I48+I19</f>
        <v>259718.55000000005</v>
      </c>
      <c r="J50" s="106">
        <f>D50-G2</f>
        <v>0</v>
      </c>
      <c r="K50" s="8"/>
    </row>
    <row r="51" spans="1:11" ht="23.25" x14ac:dyDescent="0.35">
      <c r="A51" s="174" t="s">
        <v>810</v>
      </c>
      <c r="B51" s="169"/>
      <c r="C51" s="170"/>
      <c r="G51" s="7"/>
      <c r="H51" s="6"/>
      <c r="I51" s="6">
        <f>+I50/D50</f>
        <v>26.500000000000014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808</v>
      </c>
      <c r="D1" s="100" t="s">
        <v>1</v>
      </c>
      <c r="E1" s="168" t="s">
        <v>706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808</v>
      </c>
      <c r="D2" s="96" t="s">
        <v>3</v>
      </c>
      <c r="E2" s="95" t="s">
        <v>112</v>
      </c>
      <c r="F2" s="94" t="s">
        <v>5</v>
      </c>
      <c r="G2" s="93">
        <v>5748.4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707</v>
      </c>
      <c r="D3" s="90" t="s">
        <v>7</v>
      </c>
      <c r="E3" s="89">
        <v>104</v>
      </c>
      <c r="F3" s="88" t="s">
        <v>8</v>
      </c>
      <c r="G3" s="87">
        <v>24.08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12</v>
      </c>
      <c r="D4" s="83" t="s">
        <v>11</v>
      </c>
      <c r="E4" s="82">
        <f>G2/E3</f>
        <v>55.273076923076921</v>
      </c>
      <c r="F4" s="81" t="s">
        <v>12</v>
      </c>
      <c r="G4" s="80">
        <f>G2*G3</f>
        <v>138421.47199999998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-0.13204482889105984</v>
      </c>
      <c r="F6" s="69" t="s">
        <v>16</v>
      </c>
      <c r="G6" s="68">
        <f>(I50-I19)/(D50-(SUM(D42:D44)+D19))</f>
        <v>32.266829529825863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24.1</v>
      </c>
      <c r="D10" s="30"/>
      <c r="E10" s="29" t="e">
        <f t="shared" ref="E10:E19" si="1">D10/$D$19</f>
        <v>#DIV/0!</v>
      </c>
      <c r="F10" s="28">
        <f t="shared" ref="F10:F18" si="2">C10-(C10*$E$6)</f>
        <v>27.282280376274542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25.1</v>
      </c>
      <c r="D11" s="30"/>
      <c r="E11" s="29" t="e">
        <f t="shared" si="1"/>
        <v>#DIV/0!</v>
      </c>
      <c r="F11" s="28">
        <f t="shared" si="2"/>
        <v>28.414325205165603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22.9</v>
      </c>
      <c r="D12" s="30"/>
      <c r="E12" s="29" t="e">
        <f t="shared" si="1"/>
        <v>#DIV/0!</v>
      </c>
      <c r="F12" s="28">
        <f t="shared" si="2"/>
        <v>25.923826581605269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25.1</v>
      </c>
      <c r="D13" s="30"/>
      <c r="E13" s="29" t="e">
        <f t="shared" si="1"/>
        <v>#DIV/0!</v>
      </c>
      <c r="F13" s="28">
        <f t="shared" si="2"/>
        <v>28.414325205165603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</v>
      </c>
      <c r="D14" s="30"/>
      <c r="E14" s="29" t="e">
        <f t="shared" si="1"/>
        <v>#DIV/0!</v>
      </c>
      <c r="F14" s="28">
        <f t="shared" si="2"/>
        <v>31.697255208949677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23.1</v>
      </c>
      <c r="D15" s="30"/>
      <c r="E15" s="29" t="e">
        <f t="shared" si="1"/>
        <v>#DIV/0!</v>
      </c>
      <c r="F15" s="28">
        <f t="shared" si="2"/>
        <v>26.150235547383485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31.6</v>
      </c>
      <c r="D16" s="30"/>
      <c r="E16" s="29" t="e">
        <f t="shared" si="1"/>
        <v>#DIV/0!</v>
      </c>
      <c r="F16" s="28">
        <f t="shared" si="2"/>
        <v>35.77261659295749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46.6</v>
      </c>
      <c r="D17" s="30"/>
      <c r="E17" s="29" t="e">
        <f t="shared" si="1"/>
        <v>#DIV/0!</v>
      </c>
      <c r="F17" s="28">
        <f t="shared" si="2"/>
        <v>52.753289026323387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40.799999999999997</v>
      </c>
      <c r="D18" s="30"/>
      <c r="E18" s="29" t="e">
        <f t="shared" si="1"/>
        <v>#DIV/0!</v>
      </c>
      <c r="F18" s="28">
        <f t="shared" si="2"/>
        <v>46.187429018755239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60.6</v>
      </c>
      <c r="D21" s="30">
        <v>87.5</v>
      </c>
      <c r="E21" s="29">
        <f>D21/$D$48</f>
        <v>1.5221097310649549E-2</v>
      </c>
      <c r="F21" s="28">
        <f>C21-(C21*$E$6)</f>
        <v>68.601916630798229</v>
      </c>
      <c r="G21" s="27" t="str">
        <f>IF(C21&gt;=F21,"-","+")</f>
        <v>+</v>
      </c>
      <c r="H21" s="26">
        <f>C21*D21</f>
        <v>5302.5</v>
      </c>
      <c r="I21" s="26">
        <f>F21*D21</f>
        <v>6002.6677051948454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40.700000000000003</v>
      </c>
      <c r="D22" s="30">
        <v>139.5</v>
      </c>
      <c r="E22" s="29">
        <f>D22/$D$48</f>
        <v>2.426677799812128E-2</v>
      </c>
      <c r="F22" s="28">
        <f>C22-(C22*$E$6)</f>
        <v>46.074224535866136</v>
      </c>
      <c r="G22" s="27" t="str">
        <f>IF(C22&gt;=F22,"-","+")</f>
        <v>+</v>
      </c>
      <c r="H22" s="26">
        <f>C22*D22</f>
        <v>5677.6500000000005</v>
      </c>
      <c r="I22" s="26">
        <f>F22*D22</f>
        <v>6427.3543227533264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37.1</v>
      </c>
      <c r="D23" s="30">
        <v>108</v>
      </c>
      <c r="E23" s="29">
        <f>D23/$D$48</f>
        <v>1.8787182966287442E-2</v>
      </c>
      <c r="F23" s="28">
        <f>C23-(C23*$E$6)</f>
        <v>41.998863151858323</v>
      </c>
      <c r="G23" s="27" t="str">
        <f>IF(C23&gt;=F23,"-","+")</f>
        <v>+</v>
      </c>
      <c r="H23" s="26">
        <f>C23*D23</f>
        <v>4006.8</v>
      </c>
      <c r="I23" s="26">
        <f>F23*D23</f>
        <v>4535.8772204006991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44.737164179104482</v>
      </c>
      <c r="D24" s="22">
        <f>SUM(D21:D23)</f>
        <v>335</v>
      </c>
      <c r="E24" s="21">
        <f>D24/$D$48</f>
        <v>5.8275058275058272E-2</v>
      </c>
      <c r="F24" s="20">
        <f>I24/D24</f>
        <v>50.64447536820559</v>
      </c>
      <c r="G24" s="19">
        <f>F24/C24-1</f>
        <v>0.13204482889106006</v>
      </c>
      <c r="H24" s="18">
        <f>SUM(H21:H23)</f>
        <v>14986.95</v>
      </c>
      <c r="I24" s="18">
        <f>SUM(I21:I23)</f>
        <v>16965.899248348873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32.299999999999997</v>
      </c>
      <c r="D26" s="30">
        <v>942</v>
      </c>
      <c r="E26" s="29">
        <f t="shared" ref="E26:E32" si="7">D26/$D$48</f>
        <v>0.16386598476150713</v>
      </c>
      <c r="F26" s="28">
        <f t="shared" ref="F26:F31" si="8">C26-(C26*$E$6)</f>
        <v>36.56504797318123</v>
      </c>
      <c r="G26" s="27" t="str">
        <f t="shared" ref="G26:G31" si="9">IF(C26&gt;=F26,"-","+")</f>
        <v>+</v>
      </c>
      <c r="H26" s="26">
        <f t="shared" ref="H26:H31" si="10">C26*D26</f>
        <v>30426.6</v>
      </c>
      <c r="I26" s="26">
        <f t="shared" ref="I26:I31" si="11">F26*D26</f>
        <v>34444.27519073672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28.8</v>
      </c>
      <c r="D27" s="30">
        <v>792</v>
      </c>
      <c r="E27" s="29">
        <f t="shared" si="7"/>
        <v>0.13777267508610791</v>
      </c>
      <c r="F27" s="28">
        <f t="shared" si="8"/>
        <v>32.602891072062526</v>
      </c>
      <c r="G27" s="27" t="str">
        <f t="shared" si="9"/>
        <v>+</v>
      </c>
      <c r="H27" s="26">
        <f t="shared" si="10"/>
        <v>22809.600000000002</v>
      </c>
      <c r="I27" s="26">
        <f t="shared" si="11"/>
        <v>25821.489729073521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28.8</v>
      </c>
      <c r="D28" s="30">
        <v>532</v>
      </c>
      <c r="E28" s="29">
        <f t="shared" si="7"/>
        <v>9.254427164874926E-2</v>
      </c>
      <c r="F28" s="28">
        <f t="shared" si="8"/>
        <v>32.602891072062526</v>
      </c>
      <c r="G28" s="27" t="str">
        <f t="shared" si="9"/>
        <v>+</v>
      </c>
      <c r="H28" s="26">
        <f t="shared" si="10"/>
        <v>15321.6</v>
      </c>
      <c r="I28" s="26">
        <f t="shared" si="11"/>
        <v>17344.738050337262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27.8</v>
      </c>
      <c r="D29" s="30">
        <v>490</v>
      </c>
      <c r="E29" s="29">
        <f t="shared" si="7"/>
        <v>8.5238144939637467E-2</v>
      </c>
      <c r="F29" s="28">
        <f t="shared" si="8"/>
        <v>31.470846243171465</v>
      </c>
      <c r="G29" s="27" t="str">
        <f t="shared" si="9"/>
        <v>+</v>
      </c>
      <c r="H29" s="26">
        <f t="shared" si="10"/>
        <v>13622</v>
      </c>
      <c r="I29" s="26">
        <f t="shared" si="11"/>
        <v>15420.714659154019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27.8</v>
      </c>
      <c r="D30" s="30">
        <v>282.60000000000002</v>
      </c>
      <c r="E30" s="29">
        <f t="shared" si="7"/>
        <v>4.9159795428452148E-2</v>
      </c>
      <c r="F30" s="28">
        <f t="shared" si="8"/>
        <v>31.470846243171465</v>
      </c>
      <c r="G30" s="27" t="str">
        <f t="shared" si="9"/>
        <v>+</v>
      </c>
      <c r="H30" s="26">
        <f t="shared" si="10"/>
        <v>7856.2800000000007</v>
      </c>
      <c r="I30" s="26">
        <f t="shared" si="11"/>
        <v>8893.661148320256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28.3</v>
      </c>
      <c r="D31" s="30">
        <v>101</v>
      </c>
      <c r="E31" s="29">
        <f t="shared" si="7"/>
        <v>1.7569495181435479E-2</v>
      </c>
      <c r="F31" s="28">
        <f t="shared" si="8"/>
        <v>32.036868657616992</v>
      </c>
      <c r="G31" s="27" t="str">
        <f t="shared" si="9"/>
        <v>+</v>
      </c>
      <c r="H31" s="26">
        <f t="shared" si="10"/>
        <v>2858.3</v>
      </c>
      <c r="I31" s="26">
        <f t="shared" si="11"/>
        <v>3235.7237344193163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29.58796661995159</v>
      </c>
      <c r="D32" s="22">
        <f>SUM(D26:D31)</f>
        <v>3139.6</v>
      </c>
      <c r="E32" s="21">
        <f t="shared" si="7"/>
        <v>0.54615036704588937</v>
      </c>
      <c r="F32" s="20">
        <f>I32/D32</f>
        <v>33.494904609517484</v>
      </c>
      <c r="G32" s="19">
        <f>F32/C32-1</f>
        <v>0.13204482889105962</v>
      </c>
      <c r="H32" s="18">
        <f>SUM(H26:H31)</f>
        <v>92894.38</v>
      </c>
      <c r="I32" s="18">
        <f>SUM(I26:I31)</f>
        <v>105160.60251204109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</v>
      </c>
      <c r="D34" s="30">
        <v>812.4</v>
      </c>
      <c r="E34" s="29">
        <f t="shared" ref="E34:E40" si="13">D34/$D$48</f>
        <v>0.1413213652019622</v>
      </c>
      <c r="F34" s="28">
        <f t="shared" ref="F34:F39" si="14">C34-(C34*$E$6)</f>
        <v>19.244762091148019</v>
      </c>
      <c r="G34" s="27" t="str">
        <f t="shared" ref="G34:G39" si="15">IF(C34&gt;=F34,"-","+")</f>
        <v>+</v>
      </c>
      <c r="H34" s="26">
        <f t="shared" ref="H34:H39" si="16">C34*D34</f>
        <v>13810.8</v>
      </c>
      <c r="I34" s="26">
        <f t="shared" ref="I34:I39" si="17">F34*D34</f>
        <v>15634.44472284865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13.1</v>
      </c>
      <c r="D35" s="30"/>
      <c r="E35" s="29">
        <f t="shared" si="13"/>
        <v>0</v>
      </c>
      <c r="F35" s="28">
        <f t="shared" si="14"/>
        <v>14.829787258472884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10.5</v>
      </c>
      <c r="D36" s="30"/>
      <c r="E36" s="29">
        <f t="shared" si="13"/>
        <v>0</v>
      </c>
      <c r="F36" s="28">
        <f t="shared" si="14"/>
        <v>11.886470703356128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27.8</v>
      </c>
      <c r="D37" s="30"/>
      <c r="E37" s="29">
        <f t="shared" si="13"/>
        <v>0</v>
      </c>
      <c r="F37" s="28">
        <f t="shared" si="14"/>
        <v>31.470846243171465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27.8</v>
      </c>
      <c r="D38" s="30"/>
      <c r="E38" s="29">
        <f t="shared" si="13"/>
        <v>0</v>
      </c>
      <c r="F38" s="28">
        <f t="shared" si="14"/>
        <v>31.470846243171465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28.8</v>
      </c>
      <c r="D39" s="30"/>
      <c r="E39" s="29">
        <f t="shared" si="13"/>
        <v>0</v>
      </c>
      <c r="F39" s="28">
        <f t="shared" si="14"/>
        <v>32.602891072062526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</v>
      </c>
      <c r="D40" s="22">
        <f>SUM(D34:D39)</f>
        <v>812.4</v>
      </c>
      <c r="E40" s="113">
        <f t="shared" si="13"/>
        <v>0.1413213652019622</v>
      </c>
      <c r="F40" s="20">
        <f>I40/D40</f>
        <v>19.244762091148019</v>
      </c>
      <c r="G40" s="19">
        <f>F40/C40-1</f>
        <v>0.13204482889105984</v>
      </c>
      <c r="H40" s="18">
        <f>SUM(H34:H39)</f>
        <v>13810.8</v>
      </c>
      <c r="I40" s="18">
        <f>SUM(I34:I39)</f>
        <v>15634.44472284865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1408</v>
      </c>
      <c r="E42" s="107">
        <f>D42/$D$48</f>
        <v>0.24492920015308073</v>
      </c>
      <c r="F42" s="28">
        <f>C42-(C42*$E$6)</f>
        <v>0.45281793155642397</v>
      </c>
      <c r="G42" s="27" t="str">
        <f>IF(C42&gt;=F42,"-","+")</f>
        <v>+</v>
      </c>
      <c r="H42" s="26">
        <f>C42*D42</f>
        <v>563.20000000000005</v>
      </c>
      <c r="I42" s="26">
        <f>F42*D42</f>
        <v>637.56764763144497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50.7</v>
      </c>
      <c r="E43" s="107">
        <f>D43/$D$48</f>
        <v>8.8195386702849387E-3</v>
      </c>
      <c r="F43" s="28">
        <f>C43-(C43*$E$6)</f>
        <v>0.45281793155642397</v>
      </c>
      <c r="G43" s="27" t="str">
        <f>IF(C43&gt;=F43,"-","+")</f>
        <v>+</v>
      </c>
      <c r="H43" s="26">
        <f>C43*D43</f>
        <v>20.28</v>
      </c>
      <c r="I43" s="26">
        <f>F43*D43</f>
        <v>22.957869129910698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2.9</v>
      </c>
      <c r="E45" s="107">
        <f>D45/$D$48</f>
        <v>5.0447065372438498E-4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0.39920634920634918</v>
      </c>
      <c r="D46" s="22">
        <f>SUM(D41:D45)</f>
        <v>1461.6000000000001</v>
      </c>
      <c r="E46" s="113">
        <f>D46/$D$48</f>
        <v>0.25425320947709007</v>
      </c>
      <c r="F46" s="20">
        <f>I46/D46</f>
        <v>0.4519194832795263</v>
      </c>
      <c r="G46" s="19">
        <f>F46/C46-1</f>
        <v>0.13204482889106006</v>
      </c>
      <c r="H46" s="18">
        <f>SUM(H41:H44)</f>
        <v>583.48</v>
      </c>
      <c r="I46" s="18">
        <f>SUM(I41:I44)</f>
        <v>660.52551676135568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91.724337148262421</v>
      </c>
      <c r="D48" s="13">
        <f>D24+D32+D40+D46</f>
        <v>5748.6</v>
      </c>
      <c r="E48" s="12">
        <f>SUM(E20:E46)/2</f>
        <v>0.99999999999999978</v>
      </c>
      <c r="F48" s="11">
        <f>I48/D48</f>
        <v>24.079162230804016</v>
      </c>
      <c r="G48" s="10"/>
      <c r="H48" s="9">
        <f>SUM(H20:H46)/2</f>
        <v>122275.61000000002</v>
      </c>
      <c r="I48" s="9">
        <f>SUM(I20:I46)/2</f>
        <v>138421.47199999998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5748.6</v>
      </c>
      <c r="E50" s="12">
        <f>D50/G2</f>
        <v>1.0000347922900286</v>
      </c>
      <c r="F50" s="11">
        <f>I50/D50</f>
        <v>24.079162230804016</v>
      </c>
      <c r="G50" s="10"/>
      <c r="H50" s="9">
        <f>H48+H19</f>
        <v>122275.61000000002</v>
      </c>
      <c r="I50" s="9">
        <f>I48+I19</f>
        <v>138421.47199999998</v>
      </c>
      <c r="J50" s="106">
        <f>D50-G2</f>
        <v>0.2000000000007276</v>
      </c>
      <c r="K50" s="8"/>
    </row>
    <row r="51" spans="1:11" ht="23.25" x14ac:dyDescent="0.35">
      <c r="A51" s="174" t="s">
        <v>811</v>
      </c>
      <c r="B51" s="169"/>
      <c r="C51" s="170"/>
      <c r="G51" s="7"/>
      <c r="H51" s="6"/>
      <c r="I51" s="6">
        <f>+I50/D50</f>
        <v>24.079162230804016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808</v>
      </c>
      <c r="D1" s="100" t="s">
        <v>1</v>
      </c>
      <c r="E1" s="168" t="s">
        <v>706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808</v>
      </c>
      <c r="D2" s="96" t="s">
        <v>3</v>
      </c>
      <c r="E2" s="95" t="s">
        <v>107</v>
      </c>
      <c r="F2" s="94" t="s">
        <v>5</v>
      </c>
      <c r="G2" s="93">
        <v>2403.9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707</v>
      </c>
      <c r="D3" s="90" t="s">
        <v>7</v>
      </c>
      <c r="E3" s="89">
        <v>32</v>
      </c>
      <c r="F3" s="88" t="s">
        <v>8</v>
      </c>
      <c r="G3" s="87">
        <v>26.4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12</v>
      </c>
      <c r="D4" s="83" t="s">
        <v>11</v>
      </c>
      <c r="E4" s="82">
        <f>G2/E3</f>
        <v>75.121875000000003</v>
      </c>
      <c r="F4" s="81" t="s">
        <v>12</v>
      </c>
      <c r="G4" s="80">
        <f>G2*G3</f>
        <v>63462.96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-5.2761878062152379E-2</v>
      </c>
      <c r="F6" s="69" t="s">
        <v>16</v>
      </c>
      <c r="G6" s="68">
        <f>(I50-I19)/(D50-(SUM(D42:D44)+D19))</f>
        <v>32.711179836090913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 t="e">
        <f t="shared" ref="E10:E19" si="1">D10/$D$19</f>
        <v>#DIV/0!</v>
      </c>
      <c r="F10" s="28">
        <f t="shared" ref="F10:F18" si="2">C10-(C10*$E$6)</f>
        <v>27.792913580840821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/>
      <c r="E11" s="29" t="e">
        <f t="shared" si="1"/>
        <v>#DIV/0!</v>
      </c>
      <c r="F11" s="28">
        <f t="shared" si="2"/>
        <v>28.950951646709189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 t="e">
        <f t="shared" si="1"/>
        <v>#DIV/0!</v>
      </c>
      <c r="F12" s="28">
        <f t="shared" si="2"/>
        <v>26.424323139360027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 t="e">
        <f t="shared" si="1"/>
        <v>#DIV/0!</v>
      </c>
      <c r="F13" s="28">
        <f t="shared" si="2"/>
        <v>28.950951646709189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 t="e">
        <f t="shared" si="1"/>
        <v>#DIV/0!</v>
      </c>
      <c r="F14" s="28">
        <f t="shared" si="2"/>
        <v>32.319789656508078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 t="e">
        <f t="shared" si="1"/>
        <v>#DIV/0!</v>
      </c>
      <c r="F15" s="28">
        <f t="shared" si="2"/>
        <v>26.634875514972457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 t="e">
        <f t="shared" si="1"/>
        <v>#DIV/0!</v>
      </c>
      <c r="F16" s="28">
        <f t="shared" si="2"/>
        <v>36.53083716875669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 t="e">
        <f t="shared" si="1"/>
        <v>#DIV/0!</v>
      </c>
      <c r="F17" s="28">
        <f t="shared" si="2"/>
        <v>53.796131968975985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 t="e">
        <f t="shared" si="1"/>
        <v>#DIV/0!</v>
      </c>
      <c r="F18" s="28">
        <f t="shared" si="2"/>
        <v>47.058455949378214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24.2</v>
      </c>
      <c r="E21" s="29">
        <f>D21/$D$48</f>
        <v>1.0066974499771205E-2</v>
      </c>
      <c r="F21" s="28">
        <f>C21-(C21*$E$6)</f>
        <v>69.903388703326925</v>
      </c>
      <c r="G21" s="27" t="str">
        <f>IF(C21&gt;=F21,"-","+")</f>
        <v>+</v>
      </c>
      <c r="H21" s="26">
        <f>C21*D21</f>
        <v>1606.88</v>
      </c>
      <c r="I21" s="26">
        <f>F21*D21</f>
        <v>1691.6620066205116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66.2</v>
      </c>
      <c r="E22" s="29">
        <f>D22/$D$48</f>
        <v>2.753858313573776E-2</v>
      </c>
      <c r="F22" s="28">
        <f>C22-(C22*$E$6)</f>
        <v>46.953179761571995</v>
      </c>
      <c r="G22" s="27" t="str">
        <f>IF(C22&gt;=F22,"-","+")</f>
        <v>+</v>
      </c>
      <c r="H22" s="26">
        <f>C22*D22</f>
        <v>2952.5200000000004</v>
      </c>
      <c r="I22" s="26">
        <f>F22*D22</f>
        <v>3108.3005002160662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40.700000000000003</v>
      </c>
      <c r="D23" s="30">
        <v>37.4</v>
      </c>
      <c r="E23" s="29">
        <f>D23/$D$48</f>
        <v>1.5558051499646407E-2</v>
      </c>
      <c r="F23" s="28">
        <f>C23-(C23*$E$6)</f>
        <v>42.847408437129602</v>
      </c>
      <c r="G23" s="27" t="str">
        <f>IF(C23&gt;=F23,"-","+")</f>
        <v>+</v>
      </c>
      <c r="H23" s="26">
        <f>C23*D23</f>
        <v>1522.18</v>
      </c>
      <c r="I23" s="26">
        <f>F23*D23</f>
        <v>1602.4930755486471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47.586697965571204</v>
      </c>
      <c r="D24" s="22">
        <f>SUM(D21:D23)</f>
        <v>127.80000000000001</v>
      </c>
      <c r="E24" s="21">
        <f>D24/$D$48</f>
        <v>5.3163609135155374E-2</v>
      </c>
      <c r="F24" s="20">
        <f>I24/D24</f>
        <v>50.097461521011141</v>
      </c>
      <c r="G24" s="19">
        <f>F24/C24-1</f>
        <v>5.2761878062152157E-2</v>
      </c>
      <c r="H24" s="18">
        <f>SUM(H21:H23)</f>
        <v>6081.5800000000008</v>
      </c>
      <c r="I24" s="18">
        <f>SUM(I21:I23)</f>
        <v>6402.4555823852243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f>142.4+32.6+290</f>
        <v>465</v>
      </c>
      <c r="E26" s="29">
        <f t="shared" ref="E26:E32" si="7">D26/$D$48</f>
        <v>0.19343566704105827</v>
      </c>
      <c r="F26" s="28">
        <f t="shared" ref="F26:F31" si="8">C26-(C26*$E$6)</f>
        <v>37.267770483400191</v>
      </c>
      <c r="G26" s="27" t="str">
        <f t="shared" ref="G26:G31" si="9">IF(C26&gt;=F26,"-","+")</f>
        <v>+</v>
      </c>
      <c r="H26" s="26">
        <f t="shared" ref="H26:H31" si="10">C26*D26</f>
        <v>16461</v>
      </c>
      <c r="I26" s="26">
        <f t="shared" ref="I26:I31" si="11">F26*D26</f>
        <v>17329.513274781089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378.5</v>
      </c>
      <c r="E27" s="29">
        <f t="shared" si="7"/>
        <v>0.15745247306460336</v>
      </c>
      <c r="F27" s="28">
        <f t="shared" si="8"/>
        <v>33.161999158957798</v>
      </c>
      <c r="G27" s="27" t="str">
        <f t="shared" si="9"/>
        <v>+</v>
      </c>
      <c r="H27" s="26">
        <f t="shared" si="10"/>
        <v>11922.75</v>
      </c>
      <c r="I27" s="26">
        <f t="shared" si="11"/>
        <v>12551.816681665527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204</v>
      </c>
      <c r="E28" s="29">
        <f t="shared" si="7"/>
        <v>8.4862099088980403E-2</v>
      </c>
      <c r="F28" s="28">
        <f t="shared" si="8"/>
        <v>33.161999158957798</v>
      </c>
      <c r="G28" s="27" t="str">
        <f t="shared" si="9"/>
        <v>+</v>
      </c>
      <c r="H28" s="26">
        <f t="shared" si="10"/>
        <v>6426</v>
      </c>
      <c r="I28" s="26">
        <f t="shared" si="11"/>
        <v>6765.0478284273904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v>239.6</v>
      </c>
      <c r="E29" s="29">
        <f t="shared" si="7"/>
        <v>9.9671367361371097E-2</v>
      </c>
      <c r="F29" s="28">
        <f t="shared" si="8"/>
        <v>32.109237280895648</v>
      </c>
      <c r="G29" s="27" t="str">
        <f t="shared" si="9"/>
        <v>+</v>
      </c>
      <c r="H29" s="26">
        <f t="shared" si="10"/>
        <v>7307.8</v>
      </c>
      <c r="I29" s="26">
        <f t="shared" si="11"/>
        <v>7693.3732525025971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142.19999999999999</v>
      </c>
      <c r="E30" s="29">
        <f t="shared" si="7"/>
        <v>5.9153874953201041E-2</v>
      </c>
      <c r="F30" s="28">
        <f t="shared" si="8"/>
        <v>32.109237280895648</v>
      </c>
      <c r="G30" s="27" t="str">
        <f t="shared" si="9"/>
        <v>+</v>
      </c>
      <c r="H30" s="26">
        <f t="shared" si="10"/>
        <v>4337.0999999999995</v>
      </c>
      <c r="I30" s="26">
        <f t="shared" si="11"/>
        <v>4565.933541343361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40</v>
      </c>
      <c r="E31" s="29">
        <f t="shared" si="7"/>
        <v>1.6639627272349099E-2</v>
      </c>
      <c r="F31" s="28">
        <f t="shared" si="8"/>
        <v>32.635618219926727</v>
      </c>
      <c r="G31" s="27" t="str">
        <f t="shared" si="9"/>
        <v>+</v>
      </c>
      <c r="H31" s="26">
        <f t="shared" si="10"/>
        <v>1240</v>
      </c>
      <c r="I31" s="26">
        <f t="shared" si="11"/>
        <v>1305.4247287970691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32.460797658749065</v>
      </c>
      <c r="D32" s="22">
        <f>SUM(D26:D31)</f>
        <v>1469.3</v>
      </c>
      <c r="E32" s="21">
        <f t="shared" si="7"/>
        <v>0.61121510878156327</v>
      </c>
      <c r="F32" s="20">
        <f>I32/D32</f>
        <v>34.173490306620188</v>
      </c>
      <c r="G32" s="19">
        <f>F32/C32-1</f>
        <v>5.2761878062152379E-2</v>
      </c>
      <c r="H32" s="18">
        <f>SUM(H26:H31)</f>
        <v>47694.65</v>
      </c>
      <c r="I32" s="18">
        <f>SUM(I26:I31)</f>
        <v>50211.109307517036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338</v>
      </c>
      <c r="E34" s="29">
        <f t="shared" ref="E34:E40" si="13">D34/$D$48</f>
        <v>0.14060485045134988</v>
      </c>
      <c r="F34" s="28">
        <f t="shared" ref="F34:F39" si="14">C34-(C34*$E$6)</f>
        <v>19.686647119762249</v>
      </c>
      <c r="G34" s="27" t="str">
        <f t="shared" ref="G34:G39" si="15">IF(C34&gt;=F34,"-","+")</f>
        <v>+</v>
      </c>
      <c r="H34" s="26">
        <f t="shared" ref="H34:H39" si="16">C34*D34</f>
        <v>6320.5999999999995</v>
      </c>
      <c r="I34" s="26">
        <f t="shared" ref="I34:I39" si="17">F34*D34</f>
        <v>6654.0867264796398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15.05449485628878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12.106761597714753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32.109237280895648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32.109237280895648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33.161999158957798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338</v>
      </c>
      <c r="E40" s="113">
        <f t="shared" si="13"/>
        <v>0.14060485045134988</v>
      </c>
      <c r="F40" s="20">
        <f>I40/D40</f>
        <v>19.686647119762249</v>
      </c>
      <c r="G40" s="19">
        <f>F40/C40-1</f>
        <v>5.2761878062152379E-2</v>
      </c>
      <c r="H40" s="18">
        <f>SUM(H34:H39)</f>
        <v>6320.5999999999995</v>
      </c>
      <c r="I40" s="18">
        <f>SUM(I34:I39)</f>
        <v>6654.0867264796398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450</v>
      </c>
      <c r="E42" s="107">
        <f>D42/$D$48</f>
        <v>0.18719580681392736</v>
      </c>
      <c r="F42" s="28">
        <f>C42-(C42*$E$6)</f>
        <v>0.42110475122486096</v>
      </c>
      <c r="G42" s="27" t="str">
        <f>IF(C42&gt;=F42,"-","+")</f>
        <v>+</v>
      </c>
      <c r="H42" s="26">
        <f>C42*D42</f>
        <v>180</v>
      </c>
      <c r="I42" s="26">
        <f>F42*D42</f>
        <v>189.49713805118742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13.8</v>
      </c>
      <c r="E43" s="107">
        <f>D43/$D$48</f>
        <v>5.7406714089604394E-3</v>
      </c>
      <c r="F43" s="28">
        <f>C43-(C43*$E$6)</f>
        <v>0.42110475122486096</v>
      </c>
      <c r="G43" s="27" t="str">
        <f>IF(C43&gt;=F43,"-","+")</f>
        <v>+</v>
      </c>
      <c r="H43" s="26">
        <f>C43*D43</f>
        <v>5.5200000000000005</v>
      </c>
      <c r="I43" s="26">
        <f>F43*D43</f>
        <v>5.8112455669030814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2.0799534090436373E-3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0.39573378839590445</v>
      </c>
      <c r="D46" s="22">
        <f>SUM(D41:D45)</f>
        <v>468.8</v>
      </c>
      <c r="E46" s="113">
        <f>D46/$D$48</f>
        <v>0.19501643163193144</v>
      </c>
      <c r="F46" s="20">
        <f>I46/D46</f>
        <v>0.41661344628432273</v>
      </c>
      <c r="G46" s="19">
        <f>F46/C46-1</f>
        <v>5.2761878062152379E-2</v>
      </c>
      <c r="H46" s="18">
        <f>SUM(H41:H44)</f>
        <v>185.52</v>
      </c>
      <c r="I46" s="18">
        <f>SUM(I41:I44)</f>
        <v>195.30838361809049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99.143229412716181</v>
      </c>
      <c r="D48" s="13">
        <f>D24+D32+D40+D46</f>
        <v>2403.9</v>
      </c>
      <c r="E48" s="12">
        <f>SUM(E20:E46)/2</f>
        <v>1.0000000000000002</v>
      </c>
      <c r="F48" s="11">
        <f>I48/D48</f>
        <v>26.399999999999995</v>
      </c>
      <c r="G48" s="10"/>
      <c r="H48" s="9">
        <f>SUM(H20:H46)/2</f>
        <v>60282.350000000013</v>
      </c>
      <c r="I48" s="9">
        <f>SUM(I20:I46)/2</f>
        <v>63462.959999999992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2403.9</v>
      </c>
      <c r="E50" s="12">
        <f>D50/G2</f>
        <v>1</v>
      </c>
      <c r="F50" s="11">
        <f>I50/D50</f>
        <v>26.399999999999995</v>
      </c>
      <c r="G50" s="10"/>
      <c r="H50" s="9">
        <f>H48+H19</f>
        <v>60282.350000000013</v>
      </c>
      <c r="I50" s="9">
        <f>I48+I19</f>
        <v>63462.959999999992</v>
      </c>
      <c r="J50" s="106">
        <f>D50-G2</f>
        <v>0</v>
      </c>
      <c r="K50" s="8"/>
    </row>
    <row r="51" spans="1:11" ht="23.25" x14ac:dyDescent="0.35">
      <c r="A51" s="174" t="s">
        <v>812</v>
      </c>
      <c r="B51" s="169"/>
      <c r="C51" s="170"/>
      <c r="G51" s="7"/>
      <c r="H51" s="6"/>
      <c r="I51" s="6">
        <f>+I50/D50</f>
        <v>26.399999999999995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>
    <tabColor rgb="FFFF000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813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/>
      <c r="F2" s="110" t="s">
        <v>5</v>
      </c>
      <c r="G2" s="108">
        <f>'BEY31-19073031-D'!G2+'BEY31-19073031-S'!G2+'ALP31-19072930-D'!G2+'G31-19072729-1'!G2+'G30-19072325'!G2+'ÖB30-19072830-K'!G2+'AYG30-19072829-S'!G2+'EB30-19072930-S'!G2+'ÜN29-19072425-S'!G2+'EMM29-19072324'!G2+'G29-19072729'!G2+'MEM26-19072425-S'!G2+'MİR26-19072425-S'!G2+'EMM25-19072324-S'!G2+'YIL25-19072425'!G2+'BA25-19072223-S'!G2+'G24-19072123'!G2+'ÖB24-19072122-K'!G2+'İP24-19071820-S'!G2+'EBŞ23-19072122-S'!G2+'MİR23-19071718-S'!G2+'MİR23-19071718-D'!G2+'AYG23-19072122-S'!G2+'MOL22-19072022'!G2+'ÖB20-19071718-K'!G2+'ÖB19-19071718-S'!G2+'MEM19-19071718-S'!G2+'ÖB19-19071718-D'!G2+'BA19-19071617-S'!G2+'G18-19071718'!G2+'G18-19071617-1'!G2+'G18-19071617'!G2+'G17-19071516-1'!G2+'ÜN17-19071516-S'!G2+'BA17-19071617'!G2+'ANK17-19071415-S'!G2+'G16-19071516'!G2+'ÖB16-19071416-S'!G2+'ÖB16-19071416-K'!G2+'MİR15-19071315-S'!G2+'EMR15-19071113-S'!G2+'EBŞ15-19071415-S'!G2+'KAZ15-19071415-S'!G2+'ÖB12-19071011-S'!G2+'ALP12-19071112-D'!G2+'ÖB11-19071011-K'!G2+'MOL11-19071011'!G2+'MİR10-19070810-S'!G2+'BEY10-19070809-D'!G2+'KAZ10-19070910-S'!G2+'BEY10-19070809-S'!G2+'BO10-19070608-D'!G2+'G09-19070809'!G2+'BA09-19070708-S'!G2+'BO09-19070608-S'!G2+'BA08-19070708'!G2+'EB08-19070708-S'!G2+'YIL08-19070608'!G2+'BO05-19070304'!G2+'ÖA04-19070304-1'!G2+'ÖA04-19070304'!G2+'ÖA04-19070203-K'!G2+'ÖA03-19070203'!G2+'ÖB01-19073001-K'!G2+'ÖA01-19073001-1'!G2+'ÖA01-19073001'!G2</f>
        <v>648589.89999999979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BEY31-19073031-D'!E3+'BEY31-19073031-S'!E3+'ALP31-19072930-D'!E3+'G31-19072729-1'!E3+'G30-19072325'!E3+'ÖB30-19072830-K'!E3+'AYG30-19072829-S'!E3+'EB30-19072930-S'!E3+'ÜN29-19072425-S'!E3+'EMM29-19072324'!E3+'G29-19072729'!E3+'MEM26-19072425-S'!E3+'MİR26-19072425-S'!E3+'EMM25-19072324-S'!E3+'YIL25-19072425'!E3+'BA25-19072223-S'!E3+'G24-19072123'!E3+'ÖB24-19072122-K'!E3+'İP24-19071820-S'!E3+'EBŞ23-19072122-S'!E3+'MİR23-19071718-S'!E3+'MİR23-19071718-D'!E3+'AYG23-19072122-S'!E3+'MOL22-19072022'!E3+'ÖB20-19071718-K'!E3+'ÖB19-19071718-S'!E3+'MEM19-19071718-S'!E3+'ÖB19-19071718-D'!E3+'BA19-19071617-S'!E3+'G18-19071718'!E3+'G18-19071617-1'!E3+'G18-19071617'!E3+'G17-19071516-1'!E3+'ÜN17-19071516-S'!E3+'BA17-19071617'!E3+'ANK17-19071415-S'!E3+'G16-19071516'!E3+'ÖB16-19071416-S'!E3+'ÖB16-19071416-K'!E3+'MİR15-19071315-S'!E3+'EMR15-19071113-S'!E3+'EBŞ15-19071415-S'!E3+'KAZ15-19071415-S'!E3+'ÖB12-19071011-S'!E3+'ALP12-19071112-D'!E3+'ÖB11-19071011-K'!E3+'MOL11-19071011'!E3+'MİR10-19070810-S'!E3+'BEY10-19070809-D'!E3+'KAZ10-19070910-S'!E3+'BEY10-19070809-S'!E3+'BO10-19070608-D'!E3+'G09-19070809'!E3+'BA09-19070708-S'!E3+'BO09-19070608-S'!E3+'BA08-19070708'!E3+'EB08-19070708-S'!E3+'YIL08-19070608'!E3+'BO05-19070304'!E3+'ÖA04-19070304-1'!E3+'ÖA04-19070304'!E3+'ÖA04-19070203-K'!E3+'ÖA03-19070203'!E3+'ÖB01-19073001-K'!E3+'ÖA01-19073001-1'!E3+'ÖA01-19073001'!E3</f>
        <v>9001</v>
      </c>
      <c r="F3" s="111" t="s">
        <v>8</v>
      </c>
      <c r="G3" s="109">
        <v>26.26</v>
      </c>
      <c r="H3" s="118" t="s">
        <v>523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72.057538051327612</v>
      </c>
      <c r="F4" s="81" t="s">
        <v>12</v>
      </c>
      <c r="G4" s="112">
        <f>G2*G3</f>
        <v>17031970.773999996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-4.9278300082767679E-2</v>
      </c>
      <c r="F6" s="69" t="s">
        <v>16</v>
      </c>
      <c r="G6" s="68">
        <f>(I50-I19)/(D50-(SUM(D42:D44)+D19))</f>
        <v>32.03011115135061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26.3</v>
      </c>
      <c r="D10" s="117">
        <f>'BEY31-19073031-D'!D10+'BEY31-19073031-S'!D10+'ALP31-19072930-D'!D10+'G31-19072729-1'!D10+'G30-19072325'!D10+'ÖB30-19072830-K'!D10+'AYG30-19072829-S'!D10+'EB30-19072930-S'!D10+'ÜN29-19072425-S'!D10+'EMM29-19072324'!D10+'G29-19072729'!D10+'MEM26-19072425-S'!D10+'MİR26-19072425-S'!D10+'EMM25-19072324-S'!D10+'YIL25-19072425'!D10+'BA25-19072223-S'!D10+'G24-19072123'!D10+'ÖB24-19072122-K'!D10+'İP24-19071820-S'!D10+'EBŞ23-19072122-S'!D10+'MİR23-19071718-S'!D10+'MİR23-19071718-D'!D10+'AYG23-19072122-S'!D10+'MOL22-19072022'!D10+'ÖB20-19071718-K'!D10+'ÖB19-19071718-S'!D10+'MEM19-19071718-S'!D10+'ÖB19-19071718-D'!D10+'BA19-19071617-S'!D10+'G18-19071718'!D10+'G18-19071617-1'!D10+'G18-19071617'!D10+'G17-19071516-1'!D10+'ÜN17-19071516-S'!D10+'BA17-19071617'!D10+'ANK17-19071415-S'!D10+'G16-19071516'!D10+'ÖB16-19071416-S'!D10+'ÖB16-19071416-K'!D10+'MİR15-19071315-S'!D10+'EMR15-19071113-S'!D10+'EBŞ15-19071415-S'!D10+'KAZ15-19071415-S'!D10+'ÖB12-19071011-S'!D10+'ALP12-19071112-D'!D10+'ÖB11-19071011-K'!D10+'MOL11-19071011'!D10+'MİR10-19070810-S'!D10+'BEY10-19070809-D'!D10+'KAZ10-19070910-S'!D10+'BEY10-19070809-S'!D10+'BO10-19070608-D'!D10+'G09-19070809'!D10+'BA09-19070708-S'!D10+'BO09-19070608-S'!D10+'BA08-19070708'!D10+'EB08-19070708-S'!D10+'YIL08-19070608'!D10+'BO05-19070304'!D10+'ÖA04-19070304-1'!D10+'ÖA04-19070304'!D10+'ÖA04-19070203-K'!D10+'ÖA03-19070203'!D10+'ÖB01-19073001-K'!D10+'ÖA01-19073001-1'!D10+'ÖA01-19073001'!D10</f>
        <v>0</v>
      </c>
      <c r="E10" s="29">
        <f t="shared" ref="E10:E19" si="1">D10/$D$19</f>
        <v>0</v>
      </c>
      <c r="F10" s="28">
        <f t="shared" ref="F10:F18" si="2">C10-(C10*$E$6)</f>
        <v>27.596019292176791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27.3</v>
      </c>
      <c r="D11" s="117">
        <f>'BEY31-19073031-D'!D11+'BEY31-19073031-S'!D11+'ALP31-19072930-D'!D11+'G31-19072729-1'!D11+'G30-19072325'!D11+'ÖB30-19072830-K'!D11+'AYG30-19072829-S'!D11+'EB30-19072930-S'!D11+'ÜN29-19072425-S'!D11+'EMM29-19072324'!D11+'G29-19072729'!D11+'MEM26-19072425-S'!D11+'MİR26-19072425-S'!D11+'EMM25-19072324-S'!D11+'YIL25-19072425'!D11+'BA25-19072223-S'!D11+'G24-19072123'!D11+'ÖB24-19072122-K'!D11+'İP24-19071820-S'!D11+'EBŞ23-19072122-S'!D11+'MİR23-19071718-S'!D11+'MİR23-19071718-D'!D11+'AYG23-19072122-S'!D11+'MOL22-19072022'!D11+'ÖB20-19071718-K'!D11+'ÖB19-19071718-S'!D11+'MEM19-19071718-S'!D11+'ÖB19-19071718-D'!D11+'BA19-19071617-S'!D11+'G18-19071718'!D11+'G18-19071617-1'!D11+'G18-19071617'!D11+'G17-19071516-1'!D11+'ÜN17-19071516-S'!D11+'BA17-19071617'!D11+'ANK17-19071415-S'!D11+'G16-19071516'!D11+'ÖB16-19071416-S'!D11+'ÖB16-19071416-K'!D11+'MİR15-19071315-S'!D11+'EMR15-19071113-S'!D11+'EBŞ15-19071415-S'!D11+'KAZ15-19071415-S'!D11+'ÖB12-19071011-S'!D11+'ALP12-19071112-D'!D11+'ÖB11-19071011-K'!D11+'MOL11-19071011'!D11+'MİR10-19070810-S'!D11+'BEY10-19070809-D'!D11+'KAZ10-19070910-S'!D11+'BEY10-19070809-S'!D11+'BO10-19070608-D'!D11+'G09-19070809'!D11+'BA09-19070708-S'!D11+'BO09-19070608-S'!D11+'BA08-19070708'!D11+'EB08-19070708-S'!D11+'YIL08-19070608'!D11+'BO05-19070304'!D11+'ÖA04-19070304-1'!D11+'ÖA04-19070304'!D11+'ÖA04-19070203-K'!D11+'ÖA03-19070203'!D11+'ÖB01-19073001-K'!D11+'ÖA01-19073001-1'!D11+'ÖA01-19073001'!D11</f>
        <v>18441.600000000002</v>
      </c>
      <c r="E11" s="29">
        <f t="shared" si="1"/>
        <v>0.51963684931275245</v>
      </c>
      <c r="F11" s="28">
        <f t="shared" si="2"/>
        <v>28.64529759225956</v>
      </c>
      <c r="G11" s="27" t="str">
        <f t="shared" si="3"/>
        <v>+</v>
      </c>
      <c r="H11" s="34">
        <f t="shared" si="4"/>
        <v>503455.68000000005</v>
      </c>
      <c r="I11" s="34">
        <f t="shared" si="5"/>
        <v>528265.12007741397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</v>
      </c>
      <c r="D12" s="117">
        <f>'BEY31-19073031-D'!D12+'BEY31-19073031-S'!D12+'ALP31-19072930-D'!D12+'G31-19072729-1'!D12+'G30-19072325'!D12+'ÖB30-19072830-K'!D12+'AYG30-19072829-S'!D12+'EB30-19072930-S'!D12+'ÜN29-19072425-S'!D12+'EMM29-19072324'!D12+'G29-19072729'!D12+'MEM26-19072425-S'!D12+'MİR26-19072425-S'!D12+'EMM25-19072324-S'!D12+'YIL25-19072425'!D12+'BA25-19072223-S'!D12+'G24-19072123'!D12+'ÖB24-19072122-K'!D12+'İP24-19071820-S'!D12+'EBŞ23-19072122-S'!D12+'MİR23-19071718-S'!D12+'MİR23-19071718-D'!D12+'AYG23-19072122-S'!D12+'MOL22-19072022'!D12+'ÖB20-19071718-K'!D12+'ÖB19-19071718-S'!D12+'MEM19-19071718-S'!D12+'ÖB19-19071718-D'!D12+'BA19-19071617-S'!D12+'G18-19071718'!D12+'G18-19071617-1'!D12+'G18-19071617'!D12+'G17-19071516-1'!D12+'ÜN17-19071516-S'!D12+'BA17-19071617'!D12+'ANK17-19071415-S'!D12+'G16-19071516'!D12+'ÖB16-19071416-S'!D12+'ÖB16-19071416-K'!D12+'MİR15-19071315-S'!D12+'EMR15-19071113-S'!D12+'EBŞ15-19071415-S'!D12+'KAZ15-19071415-S'!D12+'ÖB12-19071011-S'!D12+'ALP12-19071112-D'!D12+'ÖB11-19071011-K'!D12+'MOL11-19071011'!D12+'MİR10-19070810-S'!D12+'BEY10-19070809-D'!D12+'KAZ10-19070910-S'!D12+'BEY10-19070809-S'!D12+'BO10-19070608-D'!D12+'G09-19070809'!D12+'BA09-19070708-S'!D12+'BO09-19070608-S'!D12+'BA08-19070708'!D12+'EB08-19070708-S'!D12+'YIL08-19070608'!D12+'BO05-19070304'!D12+'ÖA04-19070304-1'!D12+'ÖA04-19070304'!D12+'ÖA04-19070203-K'!D12+'ÖA03-19070203'!D12+'ÖB01-19073001-K'!D12+'ÖA01-19073001-1'!D12+'ÖA01-19073001'!D12</f>
        <v>9142.2999999999993</v>
      </c>
      <c r="E12" s="29">
        <f t="shared" si="1"/>
        <v>0.25760649658771345</v>
      </c>
      <c r="F12" s="28">
        <f t="shared" si="2"/>
        <v>26.231957502069193</v>
      </c>
      <c r="G12" s="27" t="str">
        <f>IF(C12&gt;=F12,"-","+")</f>
        <v>+</v>
      </c>
      <c r="H12" s="34">
        <f t="shared" si="4"/>
        <v>228557.49999999997</v>
      </c>
      <c r="I12" s="34">
        <f t="shared" si="5"/>
        <v>239820.42507116715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27.3</v>
      </c>
      <c r="D13" s="117">
        <f>'BEY31-19073031-D'!D13+'BEY31-19073031-S'!D13+'ALP31-19072930-D'!D13+'G31-19072729-1'!D13+'G30-19072325'!D13+'ÖB30-19072830-K'!D13+'AYG30-19072829-S'!D13+'EB30-19072930-S'!D13+'ÜN29-19072425-S'!D13+'EMM29-19072324'!D13+'G29-19072729'!D13+'MEM26-19072425-S'!D13+'MİR26-19072425-S'!D13+'EMM25-19072324-S'!D13+'YIL25-19072425'!D13+'BA25-19072223-S'!D13+'G24-19072123'!D13+'ÖB24-19072122-K'!D13+'İP24-19071820-S'!D13+'EBŞ23-19072122-S'!D13+'MİR23-19071718-S'!D13+'MİR23-19071718-D'!D13+'AYG23-19072122-S'!D13+'MOL22-19072022'!D13+'ÖB20-19071718-K'!D13+'ÖB19-19071718-S'!D13+'MEM19-19071718-S'!D13+'ÖB19-19071718-D'!D13+'BA19-19071617-S'!D13+'G18-19071718'!D13+'G18-19071617-1'!D13+'G18-19071617'!D13+'G17-19071516-1'!D13+'ÜN17-19071516-S'!D13+'BA17-19071617'!D13+'ANK17-19071415-S'!D13+'G16-19071516'!D13+'ÖB16-19071416-S'!D13+'ÖB16-19071416-K'!D13+'MİR15-19071315-S'!D13+'EMR15-19071113-S'!D13+'EBŞ15-19071415-S'!D13+'KAZ15-19071415-S'!D13+'ÖB12-19071011-S'!D13+'ALP12-19071112-D'!D13+'ÖB11-19071011-K'!D13+'MOL11-19071011'!D13+'MİR10-19070810-S'!D13+'BEY10-19070809-D'!D13+'KAZ10-19070910-S'!D13+'BEY10-19070809-S'!D13+'BO10-19070608-D'!D13+'G09-19070809'!D13+'BA09-19070708-S'!D13+'BO09-19070608-S'!D13+'BA08-19070708'!D13+'EB08-19070708-S'!D13+'YIL08-19070608'!D13+'BO05-19070304'!D13+'ÖA04-19070304-1'!D13+'ÖA04-19070304'!D13+'ÖA04-19070203-K'!D13+'ÖA03-19070203'!D13+'ÖB01-19073001-K'!D13+'ÖA01-19073001-1'!D13+'ÖA01-19073001'!D13</f>
        <v>3965.9999999999995</v>
      </c>
      <c r="E13" s="29">
        <f t="shared" si="1"/>
        <v>0.1117516779658151</v>
      </c>
      <c r="F13" s="28">
        <f t="shared" si="2"/>
        <v>28.64529759225956</v>
      </c>
      <c r="G13" s="27" t="str">
        <f t="shared" si="3"/>
        <v>+</v>
      </c>
      <c r="H13" s="34">
        <f t="shared" si="4"/>
        <v>108271.79999999999</v>
      </c>
      <c r="I13" s="34">
        <f t="shared" si="5"/>
        <v>113607.2502509014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30.6</v>
      </c>
      <c r="D14" s="117">
        <f>'BEY31-19073031-D'!D14+'BEY31-19073031-S'!D14+'ALP31-19072930-D'!D14+'G31-19072729-1'!D14+'G30-19072325'!D14+'ÖB30-19072830-K'!D14+'AYG30-19072829-S'!D14+'EB30-19072930-S'!D14+'ÜN29-19072425-S'!D14+'EMM29-19072324'!D14+'G29-19072729'!D14+'MEM26-19072425-S'!D14+'MİR26-19072425-S'!D14+'EMM25-19072324-S'!D14+'YIL25-19072425'!D14+'BA25-19072223-S'!D14+'G24-19072123'!D14+'ÖB24-19072122-K'!D14+'İP24-19071820-S'!D14+'EBŞ23-19072122-S'!D14+'MİR23-19071718-S'!D14+'MİR23-19071718-D'!D14+'AYG23-19072122-S'!D14+'MOL22-19072022'!D14+'ÖB20-19071718-K'!D14+'ÖB19-19071718-S'!D14+'MEM19-19071718-S'!D14+'ÖB19-19071718-D'!D14+'BA19-19071617-S'!D14+'G18-19071718'!D14+'G18-19071617-1'!D14+'G18-19071617'!D14+'G17-19071516-1'!D14+'ÜN17-19071516-S'!D14+'BA17-19071617'!D14+'ANK17-19071415-S'!D14+'G16-19071516'!D14+'ÖB16-19071416-S'!D14+'ÖB16-19071416-K'!D14+'MİR15-19071315-S'!D14+'EMR15-19071113-S'!D14+'EBŞ15-19071415-S'!D14+'KAZ15-19071415-S'!D14+'ÖB12-19071011-S'!D14+'ALP12-19071112-D'!D14+'ÖB11-19071011-K'!D14+'MOL11-19071011'!D14+'MİR10-19070810-S'!D14+'BEY10-19070809-D'!D14+'KAZ10-19070910-S'!D14+'BEY10-19070809-S'!D14+'BO10-19070608-D'!D14+'G09-19070809'!D14+'BA09-19070708-S'!D14+'BO09-19070608-S'!D14+'BA08-19070708'!D14+'EB08-19070708-S'!D14+'YIL08-19070608'!D14+'BO05-19070304'!D14+'ÖA04-19070304-1'!D14+'ÖA04-19070304'!D14+'ÖA04-19070203-K'!D14+'ÖA03-19070203'!D14+'ÖB01-19073001-K'!D14+'ÖA01-19073001-1'!D14+'ÖA01-19073001'!D14</f>
        <v>1149.2</v>
      </c>
      <c r="E14" s="29">
        <f t="shared" si="1"/>
        <v>3.2381499828117687E-2</v>
      </c>
      <c r="F14" s="28">
        <f t="shared" si="2"/>
        <v>32.107915982532695</v>
      </c>
      <c r="G14" s="27" t="str">
        <f t="shared" si="3"/>
        <v>+</v>
      </c>
      <c r="H14" s="34">
        <f t="shared" si="4"/>
        <v>35165.520000000004</v>
      </c>
      <c r="I14" s="34">
        <f t="shared" si="5"/>
        <v>36898.417047126575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25.2</v>
      </c>
      <c r="D15" s="117">
        <f>'BEY31-19073031-D'!D15+'BEY31-19073031-S'!D15+'ALP31-19072930-D'!D15+'G31-19072729-1'!D15+'G30-19072325'!D15+'ÖB30-19072830-K'!D15+'AYG30-19072829-S'!D15+'EB30-19072930-S'!D15+'ÜN29-19072425-S'!D15+'EMM29-19072324'!D15+'G29-19072729'!D15+'MEM26-19072425-S'!D15+'MİR26-19072425-S'!D15+'EMM25-19072324-S'!D15+'YIL25-19072425'!D15+'BA25-19072223-S'!D15+'G24-19072123'!D15+'ÖB24-19072122-K'!D15+'İP24-19071820-S'!D15+'EBŞ23-19072122-S'!D15+'MİR23-19071718-S'!D15+'MİR23-19071718-D'!D15+'AYG23-19072122-S'!D15+'MOL22-19072022'!D15+'ÖB20-19071718-K'!D15+'ÖB19-19071718-S'!D15+'MEM19-19071718-S'!D15+'ÖB19-19071718-D'!D15+'BA19-19071617-S'!D15+'G18-19071718'!D15+'G18-19071617-1'!D15+'G18-19071617'!D15+'G17-19071516-1'!D15+'ÜN17-19071516-S'!D15+'BA17-19071617'!D15+'ANK17-19071415-S'!D15+'G16-19071516'!D15+'ÖB16-19071416-S'!D15+'ÖB16-19071416-K'!D15+'MİR15-19071315-S'!D15+'EMR15-19071113-S'!D15+'EBŞ15-19071415-S'!D15+'KAZ15-19071415-S'!D15+'ÖB12-19071011-S'!D15+'ALP12-19071112-D'!D15+'ÖB11-19071011-K'!D15+'MOL11-19071011'!D15+'MİR10-19070810-S'!D15+'BEY10-19070809-D'!D15+'KAZ10-19070910-S'!D15+'BEY10-19070809-S'!D15+'BO10-19070608-D'!D15+'G09-19070809'!D15+'BA09-19070708-S'!D15+'BO09-19070608-S'!D15+'BA08-19070708'!D15+'EB08-19070708-S'!D15+'YIL08-19070608'!D15+'BO05-19070304'!D15+'ÖA04-19070304-1'!D15+'ÖA04-19070304'!D15+'ÖA04-19070203-K'!D15+'ÖA03-19070203'!D15+'ÖB01-19073001-K'!D15+'ÖA01-19073001-1'!D15+'ÖA01-19073001'!D15</f>
        <v>1592.0000000000002</v>
      </c>
      <c r="E15" s="29">
        <f t="shared" si="1"/>
        <v>4.4858464781033204E-2</v>
      </c>
      <c r="F15" s="28">
        <f t="shared" si="2"/>
        <v>26.441813162085744</v>
      </c>
      <c r="G15" s="27" t="str">
        <f t="shared" si="3"/>
        <v>+</v>
      </c>
      <c r="H15" s="34">
        <f t="shared" si="4"/>
        <v>40118.400000000001</v>
      </c>
      <c r="I15" s="34">
        <f t="shared" si="5"/>
        <v>42095.366554040513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34.5</v>
      </c>
      <c r="D16" s="117">
        <f>'BEY31-19073031-D'!D16+'BEY31-19073031-S'!D16+'ALP31-19072930-D'!D16+'G31-19072729-1'!D16+'G30-19072325'!D16+'ÖB30-19072830-K'!D16+'AYG30-19072829-S'!D16+'EB30-19072930-S'!D16+'ÜN29-19072425-S'!D16+'EMM29-19072324'!D16+'G29-19072729'!D16+'MEM26-19072425-S'!D16+'MİR26-19072425-S'!D16+'EMM25-19072324-S'!D16+'YIL25-19072425'!D16+'BA25-19072223-S'!D16+'G24-19072123'!D16+'ÖB24-19072122-K'!D16+'İP24-19071820-S'!D16+'EBŞ23-19072122-S'!D16+'MİR23-19071718-S'!D16+'MİR23-19071718-D'!D16+'AYG23-19072122-S'!D16+'MOL22-19072022'!D16+'ÖB20-19071718-K'!D16+'ÖB19-19071718-S'!D16+'MEM19-19071718-S'!D16+'ÖB19-19071718-D'!D16+'BA19-19071617-S'!D16+'G18-19071718'!D16+'G18-19071617-1'!D16+'G18-19071617'!D16+'G17-19071516-1'!D16+'ÜN17-19071516-S'!D16+'BA17-19071617'!D16+'ANK17-19071415-S'!D16+'G16-19071516'!D16+'ÖB16-19071416-S'!D16+'ÖB16-19071416-K'!D16+'MİR15-19071315-S'!D16+'EMR15-19071113-S'!D16+'EBŞ15-19071415-S'!D16+'KAZ15-19071415-S'!D16+'ÖB12-19071011-S'!D16+'ALP12-19071112-D'!D16+'ÖB11-19071011-K'!D16+'MOL11-19071011'!D16+'MİR10-19070810-S'!D16+'BEY10-19070809-D'!D16+'KAZ10-19070910-S'!D16+'BEY10-19070809-S'!D16+'BO10-19070608-D'!D16+'G09-19070809'!D16+'BA09-19070708-S'!D16+'BO09-19070608-S'!D16+'BA08-19070708'!D16+'EB08-19070708-S'!D16+'YIL08-19070608'!D16+'BO05-19070304'!D16+'ÖA04-19070304-1'!D16+'ÖA04-19070304'!D16+'ÖA04-19070203-K'!D16+'ÖA03-19070203'!D16+'ÖB01-19073001-K'!D16+'ÖA01-19073001-1'!D16+'ÖA01-19073001'!D16</f>
        <v>60.1</v>
      </c>
      <c r="E16" s="29">
        <f t="shared" si="1"/>
        <v>1.6934634003392558E-3</v>
      </c>
      <c r="F16" s="28">
        <f t="shared" si="2"/>
        <v>36.200101352855484</v>
      </c>
      <c r="G16" s="27" t="str">
        <f t="shared" si="3"/>
        <v>+</v>
      </c>
      <c r="H16" s="34">
        <f t="shared" si="4"/>
        <v>2073.4500000000003</v>
      </c>
      <c r="I16" s="34">
        <f t="shared" si="5"/>
        <v>2175.6260913066144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50.8</v>
      </c>
      <c r="D17" s="117">
        <f>'BEY31-19073031-D'!D17+'BEY31-19073031-S'!D17+'ALP31-19072930-D'!D17+'G31-19072729-1'!D17+'G30-19072325'!D17+'ÖB30-19072830-K'!D17+'AYG30-19072829-S'!D17+'EB30-19072930-S'!D17+'ÜN29-19072425-S'!D17+'EMM29-19072324'!D17+'G29-19072729'!D17+'MEM26-19072425-S'!D17+'MİR26-19072425-S'!D17+'EMM25-19072324-S'!D17+'YIL25-19072425'!D17+'BA25-19072223-S'!D17+'G24-19072123'!D17+'ÖB24-19072122-K'!D17+'İP24-19071820-S'!D17+'EBŞ23-19072122-S'!D17+'MİR23-19071718-S'!D17+'MİR23-19071718-D'!D17+'AYG23-19072122-S'!D17+'MOL22-19072022'!D17+'ÖB20-19071718-K'!D17+'ÖB19-19071718-S'!D17+'MEM19-19071718-S'!D17+'ÖB19-19071718-D'!D17+'BA19-19071617-S'!D17+'G18-19071718'!D17+'G18-19071617-1'!D17+'G18-19071617'!D17+'G17-19071516-1'!D17+'ÜN17-19071516-S'!D17+'BA17-19071617'!D17+'ANK17-19071415-S'!D17+'G16-19071516'!D17+'ÖB16-19071416-S'!D17+'ÖB16-19071416-K'!D17+'MİR15-19071315-S'!D17+'EMR15-19071113-S'!D17+'EBŞ15-19071415-S'!D17+'KAZ15-19071415-S'!D17+'ÖB12-19071011-S'!D17+'ALP12-19071112-D'!D17+'ÖB11-19071011-K'!D17+'MOL11-19071011'!D17+'MİR10-19070810-S'!D17+'BEY10-19070809-D'!D17+'KAZ10-19070910-S'!D17+'BEY10-19070809-S'!D17+'BO10-19070608-D'!D17+'G09-19070809'!D17+'BA09-19070708-S'!D17+'BO09-19070608-S'!D17+'BA08-19070708'!D17+'EB08-19070708-S'!D17+'YIL08-19070608'!D17+'BO05-19070304'!D17+'ÖA04-19070304-1'!D17+'ÖA04-19070304'!D17+'ÖA04-19070203-K'!D17+'ÖA03-19070203'!D17+'ÖB01-19073001-K'!D17+'ÖA01-19073001-1'!D17+'ÖA01-19073001'!D17</f>
        <v>938.8</v>
      </c>
      <c r="E17" s="29">
        <f t="shared" si="1"/>
        <v>2.6452969055548971E-2</v>
      </c>
      <c r="F17" s="28">
        <f t="shared" si="2"/>
        <v>53.303337644204596</v>
      </c>
      <c r="G17" s="27" t="str">
        <f t="shared" si="3"/>
        <v>+</v>
      </c>
      <c r="H17" s="34">
        <f t="shared" si="4"/>
        <v>47691.039999999994</v>
      </c>
      <c r="I17" s="34">
        <f t="shared" si="5"/>
        <v>50041.173380379274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44.5</v>
      </c>
      <c r="D18" s="117">
        <f>'BEY31-19073031-D'!D18+'BEY31-19073031-S'!D18+'ALP31-19072930-D'!D18+'G31-19072729-1'!D18+'G30-19072325'!D18+'ÖB30-19072830-K'!D18+'AYG30-19072829-S'!D18+'EB30-19072930-S'!D18+'ÜN29-19072425-S'!D18+'EMM29-19072324'!D18+'G29-19072729'!D18+'MEM26-19072425-S'!D18+'MİR26-19072425-S'!D18+'EMM25-19072324-S'!D18+'YIL25-19072425'!D18+'BA25-19072223-S'!D18+'G24-19072123'!D18+'ÖB24-19072122-K'!D18+'İP24-19071820-S'!D18+'EBŞ23-19072122-S'!D18+'MİR23-19071718-S'!D18+'MİR23-19071718-D'!D18+'AYG23-19072122-S'!D18+'MOL22-19072022'!D18+'ÖB20-19071718-K'!D18+'ÖB19-19071718-S'!D18+'MEM19-19071718-S'!D18+'ÖB19-19071718-D'!D18+'BA19-19071617-S'!D18+'G18-19071718'!D18+'G18-19071617-1'!D18+'G18-19071617'!D18+'G17-19071516-1'!D18+'ÜN17-19071516-S'!D18+'BA17-19071617'!D18+'ANK17-19071415-S'!D18+'G16-19071516'!D18+'ÖB16-19071416-S'!D18+'ÖB16-19071416-K'!D18+'MİR15-19071315-S'!D18+'EMR15-19071113-S'!D18+'EBŞ15-19071415-S'!D18+'KAZ15-19071415-S'!D18+'ÖB12-19071011-S'!D18+'ALP12-19071112-D'!D18+'ÖB11-19071011-K'!D18+'MOL11-19071011'!D18+'MİR10-19070810-S'!D18+'BEY10-19070809-D'!D18+'KAZ10-19070910-S'!D18+'BEY10-19070809-S'!D18+'BO10-19070608-D'!D18+'G09-19070809'!D18+'BA09-19070708-S'!D18+'BO09-19070608-S'!D18+'BA08-19070708'!D18+'EB08-19070708-S'!D18+'YIL08-19070608'!D18+'BO05-19070304'!D18+'ÖA04-19070304-1'!D18+'ÖA04-19070304'!D18+'ÖA04-19070203-K'!D18+'ÖA03-19070203'!D18+'ÖB01-19073001-K'!D18+'ÖA01-19073001-1'!D18+'ÖA01-19073001'!D18</f>
        <v>199.4</v>
      </c>
      <c r="E18" s="29">
        <f t="shared" si="1"/>
        <v>5.6185790686796612E-3</v>
      </c>
      <c r="F18" s="28">
        <f t="shared" si="2"/>
        <v>46.692884353683162</v>
      </c>
      <c r="G18" s="27" t="str">
        <f t="shared" si="3"/>
        <v>+</v>
      </c>
      <c r="H18" s="34">
        <f t="shared" si="4"/>
        <v>8873.3000000000011</v>
      </c>
      <c r="I18" s="34">
        <f t="shared" si="5"/>
        <v>9310.5611401244223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27.450638500510006</v>
      </c>
      <c r="D19" s="49">
        <f>SUM(D10:D18)</f>
        <v>35489.400000000009</v>
      </c>
      <c r="E19" s="48">
        <f t="shared" si="1"/>
        <v>1</v>
      </c>
      <c r="F19" s="47">
        <f>I19/D19</f>
        <v>28.803359302001713</v>
      </c>
      <c r="G19" s="46">
        <f>F19/C19-1</f>
        <v>4.9278300082767679E-2</v>
      </c>
      <c r="H19" s="9">
        <f>SUM(H10:H18)</f>
        <v>974206.69000000006</v>
      </c>
      <c r="I19" s="9">
        <f>SUM(I10:I18)</f>
        <v>1022213.9396124599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</v>
      </c>
      <c r="D21" s="117">
        <f>'BEY31-19073031-D'!D21+'BEY31-19073031-S'!D21+'ALP31-19072930-D'!D21+'G31-19072729-1'!D21+'G30-19072325'!D21+'ÖB30-19072830-K'!D21+'AYG30-19072829-S'!D21+'EB30-19072930-S'!D21+'ÜN29-19072425-S'!D21+'EMM29-19072324'!D21+'G29-19072729'!D21+'MEM26-19072425-S'!D21+'MİR26-19072425-S'!D21+'EMM25-19072324-S'!D21+'YIL25-19072425'!D21+'BA25-19072223-S'!D21+'G24-19072123'!D21+'ÖB24-19072122-K'!D21+'İP24-19071820-S'!D21+'EBŞ23-19072122-S'!D21+'MİR23-19071718-S'!D21+'MİR23-19071718-D'!D21+'AYG23-19072122-S'!D21+'MOL22-19072022'!D21+'ÖB20-19071718-K'!D21+'ÖB19-19071718-S'!D21+'MEM19-19071718-S'!D21+'ÖB19-19071718-D'!D21+'BA19-19071617-S'!D21+'G18-19071718'!D21+'G18-19071617-1'!D21+'G18-19071617'!D21+'G17-19071516-1'!D21+'ÜN17-19071516-S'!D21+'BA17-19071617'!D21+'ANK17-19071415-S'!D21+'G16-19071516'!D21+'ÖB16-19071416-S'!D21+'ÖB16-19071416-K'!D21+'MİR15-19071315-S'!D21+'EMR15-19071113-S'!D21+'EBŞ15-19071415-S'!D21+'KAZ15-19071415-S'!D21+'ÖB12-19071011-S'!D21+'ALP12-19071112-D'!D21+'ÖB11-19071011-K'!D21+'MOL11-19071011'!D21+'MİR10-19070810-S'!D21+'BEY10-19070809-D'!D21+'KAZ10-19070910-S'!D21+'BEY10-19070809-S'!D21+'BO10-19070608-D'!D21+'G09-19070809'!D21+'BA09-19070708-S'!D21+'BO09-19070608-S'!D21+'BA08-19070708'!D21+'EB08-19070708-S'!D21+'YIL08-19070608'!D21+'BO05-19070304'!D21+'ÖA04-19070304-1'!D21+'ÖA04-19070304'!D21+'ÖA04-19070203-K'!D21+'ÖA03-19070203'!D21+'ÖB01-19073001-K'!D21+'ÖA01-19073001-1'!D21+'ÖA01-19073001'!D21</f>
        <v>5781.9</v>
      </c>
      <c r="E21" s="29">
        <f>D21/$D$48</f>
        <v>9.4305847536677884E-3</v>
      </c>
      <c r="F21" s="28">
        <f>C21-(C21*$E$6)</f>
        <v>69.252367805462669</v>
      </c>
      <c r="G21" s="27" t="str">
        <f>IF(C21&gt;=F21,"-","+")</f>
        <v>+</v>
      </c>
      <c r="H21" s="26">
        <f>C21*D21</f>
        <v>381605.39999999997</v>
      </c>
      <c r="I21" s="26">
        <f>F21*D21</f>
        <v>400410.26541440457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44.4</v>
      </c>
      <c r="D22" s="117">
        <f>'BEY31-19073031-D'!D22+'BEY31-19073031-S'!D22+'ALP31-19072930-D'!D22+'G31-19072729-1'!D22+'G30-19072325'!D22+'ÖB30-19072830-K'!D22+'AYG30-19072829-S'!D22+'EB30-19072930-S'!D22+'ÜN29-19072425-S'!D22+'EMM29-19072324'!D22+'G29-19072729'!D22+'MEM26-19072425-S'!D22+'MİR26-19072425-S'!D22+'EMM25-19072324-S'!D22+'YIL25-19072425'!D22+'BA25-19072223-S'!D22+'G24-19072123'!D22+'ÖB24-19072122-K'!D22+'İP24-19071820-S'!D22+'EBŞ23-19072122-S'!D22+'MİR23-19071718-S'!D22+'MİR23-19071718-D'!D22+'AYG23-19072122-S'!D22+'MOL22-19072022'!D22+'ÖB20-19071718-K'!D22+'ÖB19-19071718-S'!D22+'MEM19-19071718-S'!D22+'ÖB19-19071718-D'!D22+'BA19-19071617-S'!D22+'G18-19071718'!D22+'G18-19071617-1'!D22+'G18-19071617'!D22+'G17-19071516-1'!D22+'ÜN17-19071516-S'!D22+'BA17-19071617'!D22+'ANK17-19071415-S'!D22+'G16-19071516'!D22+'ÖB16-19071416-S'!D22+'ÖB16-19071416-K'!D22+'MİR15-19071315-S'!D22+'EMR15-19071113-S'!D22+'EBŞ15-19071415-S'!D22+'KAZ15-19071415-S'!D22+'ÖB12-19071011-S'!D22+'ALP12-19071112-D'!D22+'ÖB11-19071011-K'!D22+'MOL11-19071011'!D22+'MİR10-19070810-S'!D22+'BEY10-19070809-D'!D22+'KAZ10-19070910-S'!D22+'BEY10-19070809-S'!D22+'BO10-19070608-D'!D22+'G09-19070809'!D22+'BA09-19070708-S'!D22+'BO09-19070608-S'!D22+'BA08-19070708'!D22+'EB08-19070708-S'!D22+'YIL08-19070608'!D22+'BO05-19070304'!D22+'ÖA04-19070304-1'!D22+'ÖA04-19070304'!D22+'ÖA04-19070203-K'!D22+'ÖA03-19070203'!D22+'ÖB01-19073001-K'!D22+'ÖA01-19073001-1'!D22+'ÖA01-19073001'!D22</f>
        <v>20647.55</v>
      </c>
      <c r="E22" s="29">
        <f>D22/$D$48</f>
        <v>3.3677246273818871E-2</v>
      </c>
      <c r="F22" s="28">
        <f>C22-(C22*$E$6)</f>
        <v>46.587956523674883</v>
      </c>
      <c r="G22" s="27" t="str">
        <f>IF(C22&gt;=F22,"-","+")</f>
        <v>+</v>
      </c>
      <c r="H22" s="26">
        <f>C22*D22</f>
        <v>916751.22</v>
      </c>
      <c r="I22" s="26">
        <f>F22*D22</f>
        <v>961927.16172040335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40.4</v>
      </c>
      <c r="D23" s="117">
        <f>'BEY31-19073031-D'!D23+'BEY31-19073031-S'!D23+'ALP31-19072930-D'!D23+'G31-19072729-1'!D23+'G30-19072325'!D23+'ÖB30-19072830-K'!D23+'AYG30-19072829-S'!D23+'EB30-19072930-S'!D23+'ÜN29-19072425-S'!D23+'EMM29-19072324'!D23+'G29-19072729'!D23+'MEM26-19072425-S'!D23+'MİR26-19072425-S'!D23+'EMM25-19072324-S'!D23+'YIL25-19072425'!D23+'BA25-19072223-S'!D23+'G24-19072123'!D23+'ÖB24-19072122-K'!D23+'İP24-19071820-S'!D23+'EBŞ23-19072122-S'!D23+'MİR23-19071718-S'!D23+'MİR23-19071718-D'!D23+'AYG23-19072122-S'!D23+'MOL22-19072022'!D23+'ÖB20-19071718-K'!D23+'ÖB19-19071718-S'!D23+'MEM19-19071718-S'!D23+'ÖB19-19071718-D'!D23+'BA19-19071617-S'!D23+'G18-19071718'!D23+'G18-19071617-1'!D23+'G18-19071617'!D23+'G17-19071516-1'!D23+'ÜN17-19071516-S'!D23+'BA17-19071617'!D23+'ANK17-19071415-S'!D23+'G16-19071516'!D23+'ÖB16-19071416-S'!D23+'ÖB16-19071416-K'!D23+'MİR15-19071315-S'!D23+'EMR15-19071113-S'!D23+'EBŞ15-19071415-S'!D23+'KAZ15-19071415-S'!D23+'ÖB12-19071011-S'!D23+'ALP12-19071112-D'!D23+'ÖB11-19071011-K'!D23+'MOL11-19071011'!D23+'MİR10-19070810-S'!D23+'BEY10-19070809-D'!D23+'KAZ10-19070910-S'!D23+'BEY10-19070809-S'!D23+'BO10-19070608-D'!D23+'G09-19070809'!D23+'BA09-19070708-S'!D23+'BO09-19070608-S'!D23+'BA08-19070708'!D23+'EB08-19070708-S'!D23+'YIL08-19070608'!D23+'BO05-19070304'!D23+'ÖA04-19070304-1'!D23+'ÖA04-19070304'!D23+'ÖA04-19070203-K'!D23+'ÖA03-19070203'!D23+'ÖB01-19073001-K'!D23+'ÖA01-19073001-1'!D23+'ÖA01-19073001'!D23</f>
        <v>10314.800000000001</v>
      </c>
      <c r="E23" s="29">
        <f>D23/$D$48</f>
        <v>1.6823984437145664E-2</v>
      </c>
      <c r="F23" s="28">
        <f>C23-(C23*$E$6)</f>
        <v>42.390843323343816</v>
      </c>
      <c r="G23" s="27" t="str">
        <f>IF(C23&gt;=F23,"-","+")</f>
        <v>+</v>
      </c>
      <c r="H23" s="26">
        <f>C23*D23</f>
        <v>416717.92000000004</v>
      </c>
      <c r="I23" s="26">
        <f>F23*D23</f>
        <v>437253.07071162685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46.675998013294596</v>
      </c>
      <c r="D24" s="22">
        <f>SUM(D21:D23)</f>
        <v>36744.25</v>
      </c>
      <c r="E24" s="21">
        <f>D24/$D$48</f>
        <v>5.9931815464632325E-2</v>
      </c>
      <c r="F24" s="20">
        <f>I24/D24</f>
        <v>48.976111850056398</v>
      </c>
      <c r="G24" s="19">
        <f>F24/C24-1</f>
        <v>4.9278300082767679E-2</v>
      </c>
      <c r="H24" s="18">
        <f>SUM(H21:H23)</f>
        <v>1715074.54</v>
      </c>
      <c r="I24" s="18">
        <f>SUM(I21:I23)</f>
        <v>1799590.4978464348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35.200000000000003</v>
      </c>
      <c r="D26" s="117">
        <f>'BEY31-19073031-D'!D26+'BEY31-19073031-S'!D26+'ALP31-19072930-D'!D26+'G31-19072729-1'!D26+'G30-19072325'!D26+'ÖB30-19072830-K'!D26+'AYG30-19072829-S'!D26+'EB30-19072930-S'!D26+'ÜN29-19072425-S'!D26+'EMM29-19072324'!D26+'G29-19072729'!D26+'MEM26-19072425-S'!D26+'MİR26-19072425-S'!D26+'EMM25-19072324-S'!D26+'YIL25-19072425'!D26+'BA25-19072223-S'!D26+'G24-19072123'!D26+'ÖB24-19072122-K'!D26+'İP24-19071820-S'!D26+'EBŞ23-19072122-S'!D26+'MİR23-19071718-S'!D26+'MİR23-19071718-D'!D26+'AYG23-19072122-S'!D26+'MOL22-19072022'!D26+'ÖB20-19071718-K'!D26+'ÖB19-19071718-S'!D26+'MEM19-19071718-S'!D26+'ÖB19-19071718-D'!D26+'BA19-19071617-S'!D26+'G18-19071718'!D26+'G18-19071617-1'!D26+'G18-19071617'!D26+'G17-19071516-1'!D26+'ÜN17-19071516-S'!D26+'BA17-19071617'!D26+'ANK17-19071415-S'!D26+'G16-19071516'!D26+'ÖB16-19071416-S'!D26+'ÖB16-19071416-K'!D26+'MİR15-19071315-S'!D26+'EMR15-19071113-S'!D26+'EBŞ15-19071415-S'!D26+'KAZ15-19071415-S'!D26+'ÖB12-19071011-S'!D26+'ALP12-19071112-D'!D26+'ÖB11-19071011-K'!D26+'MOL11-19071011'!D26+'MİR10-19070810-S'!D26+'BEY10-19070809-D'!D26+'KAZ10-19070910-S'!D26+'BEY10-19070809-S'!D26+'BO10-19070608-D'!D26+'G09-19070809'!D26+'BA09-19070708-S'!D26+'BO09-19070608-S'!D26+'BA08-19070708'!D26+'EB08-19070708-S'!D26+'YIL08-19070608'!D26+'BO05-19070304'!D26+'ÖA04-19070304-1'!D26+'ÖA04-19070304'!D26+'ÖA04-19070203-K'!D26+'ÖA03-19070203'!D26+'ÖB01-19073001-K'!D26+'ÖA01-19073001-1'!D26+'ÖA01-19073001'!D26</f>
        <v>90195.1</v>
      </c>
      <c r="E26" s="29">
        <f t="shared" ref="E26:E32" si="7">D26/$D$48</f>
        <v>0.14711297928285541</v>
      </c>
      <c r="F26" s="28">
        <f t="shared" ref="F26:F31" si="8">C26-(C26*$E$6)</f>
        <v>36.934596162913422</v>
      </c>
      <c r="G26" s="27" t="str">
        <f t="shared" ref="G26:G31" si="9">IF(C26&gt;=F26,"-","+")</f>
        <v>+</v>
      </c>
      <c r="H26" s="26">
        <f t="shared" ref="H26:H31" si="10">C26*D26</f>
        <v>3174867.5200000005</v>
      </c>
      <c r="I26" s="26">
        <f t="shared" ref="I26:I31" si="11">F26*D26</f>
        <v>3331319.5943735926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31.4</v>
      </c>
      <c r="D27" s="117">
        <f>'BEY31-19073031-D'!D27+'BEY31-19073031-S'!D27+'ALP31-19072930-D'!D27+'G31-19072729-1'!D27+'G30-19072325'!D27+'ÖB30-19072830-K'!D27+'AYG30-19072829-S'!D27+'EB30-19072930-S'!D27+'ÜN29-19072425-S'!D27+'EMM29-19072324'!D27+'G29-19072729'!D27+'MEM26-19072425-S'!D27+'MİR26-19072425-S'!D27+'EMM25-19072324-S'!D27+'YIL25-19072425'!D27+'BA25-19072223-S'!D27+'G24-19072123'!D27+'ÖB24-19072122-K'!D27+'İP24-19071820-S'!D27+'EBŞ23-19072122-S'!D27+'MİR23-19071718-S'!D27+'MİR23-19071718-D'!D27+'AYG23-19072122-S'!D27+'MOL22-19072022'!D27+'ÖB20-19071718-K'!D27+'ÖB19-19071718-S'!D27+'MEM19-19071718-S'!D27+'ÖB19-19071718-D'!D27+'BA19-19071617-S'!D27+'G18-19071718'!D27+'G18-19071617-1'!D27+'G18-19071617'!D27+'G17-19071516-1'!D27+'ÜN17-19071516-S'!D27+'BA17-19071617'!D27+'ANK17-19071415-S'!D27+'G16-19071516'!D27+'ÖB16-19071416-S'!D27+'ÖB16-19071416-K'!D27+'MİR15-19071315-S'!D27+'EMR15-19071113-S'!D27+'EBŞ15-19071415-S'!D27+'KAZ15-19071415-S'!D27+'ÖB12-19071011-S'!D27+'ALP12-19071112-D'!D27+'ÖB11-19071011-K'!D27+'MOL11-19071011'!D27+'MİR10-19070810-S'!D27+'BEY10-19070809-D'!D27+'KAZ10-19070910-S'!D27+'BEY10-19070809-S'!D27+'BO10-19070608-D'!D27+'G09-19070809'!D27+'BA09-19070708-S'!D27+'BO09-19070608-S'!D27+'BA08-19070708'!D27+'EB08-19070708-S'!D27+'YIL08-19070608'!D27+'BO05-19070304'!D27+'ÖA04-19070304-1'!D27+'ÖA04-19070304'!D27+'ÖA04-19070203-K'!D27+'ÖA03-19070203'!D27+'ÖB01-19073001-K'!D27+'ÖA01-19073001-1'!D27+'ÖA01-19073001'!D27</f>
        <v>105494.59999999999</v>
      </c>
      <c r="E27" s="29">
        <f t="shared" si="7"/>
        <v>0.17206727310300798</v>
      </c>
      <c r="F27" s="28">
        <f t="shared" si="8"/>
        <v>32.947338622598906</v>
      </c>
      <c r="G27" s="27" t="str">
        <f t="shared" si="9"/>
        <v>+</v>
      </c>
      <c r="H27" s="26">
        <f t="shared" si="10"/>
        <v>3312530.4399999995</v>
      </c>
      <c r="I27" s="26">
        <f t="shared" si="11"/>
        <v>3475766.3090556222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31.4</v>
      </c>
      <c r="D28" s="117">
        <f>'BEY31-19073031-D'!D28+'BEY31-19073031-S'!D28+'ALP31-19072930-D'!D28+'G31-19072729-1'!D28+'G30-19072325'!D28+'ÖB30-19072830-K'!D28+'AYG30-19072829-S'!D28+'EB30-19072930-S'!D28+'ÜN29-19072425-S'!D28+'EMM29-19072324'!D28+'G29-19072729'!D28+'MEM26-19072425-S'!D28+'MİR26-19072425-S'!D28+'EMM25-19072324-S'!D28+'YIL25-19072425'!D28+'BA25-19072223-S'!D28+'G24-19072123'!D28+'ÖB24-19072122-K'!D28+'İP24-19071820-S'!D28+'EBŞ23-19072122-S'!D28+'MİR23-19071718-S'!D28+'MİR23-19071718-D'!D28+'AYG23-19072122-S'!D28+'MOL22-19072022'!D28+'ÖB20-19071718-K'!D28+'ÖB19-19071718-S'!D28+'MEM19-19071718-S'!D28+'ÖB19-19071718-D'!D28+'BA19-19071617-S'!D28+'G18-19071718'!D28+'G18-19071617-1'!D28+'G18-19071617'!D28+'G17-19071516-1'!D28+'ÜN17-19071516-S'!D28+'BA17-19071617'!D28+'ANK17-19071415-S'!D28+'G16-19071516'!D28+'ÖB16-19071416-S'!D28+'ÖB16-19071416-K'!D28+'MİR15-19071315-S'!D28+'EMR15-19071113-S'!D28+'EBŞ15-19071415-S'!D28+'KAZ15-19071415-S'!D28+'ÖB12-19071011-S'!D28+'ALP12-19071112-D'!D28+'ÖB11-19071011-K'!D28+'MOL11-19071011'!D28+'MİR10-19070810-S'!D28+'BEY10-19070809-D'!D28+'KAZ10-19070910-S'!D28+'BEY10-19070809-S'!D28+'BO10-19070608-D'!D28+'G09-19070809'!D28+'BA09-19070708-S'!D28+'BO09-19070608-S'!D28+'BA08-19070708'!D28+'EB08-19070708-S'!D28+'YIL08-19070608'!D28+'BO05-19070304'!D28+'ÖA04-19070304-1'!D28+'ÖA04-19070304'!D28+'ÖA04-19070203-K'!D28+'ÖA03-19070203'!D28+'ÖB01-19073001-K'!D28+'ÖA01-19073001-1'!D28+'ÖA01-19073001'!D28</f>
        <v>68636.37</v>
      </c>
      <c r="E28" s="29">
        <f t="shared" si="7"/>
        <v>0.11194955022900797</v>
      </c>
      <c r="F28" s="28">
        <f t="shared" si="8"/>
        <v>32.947338622598906</v>
      </c>
      <c r="G28" s="27" t="str">
        <f t="shared" si="9"/>
        <v>+</v>
      </c>
      <c r="H28" s="26">
        <f t="shared" si="10"/>
        <v>2155182.0179999997</v>
      </c>
      <c r="I28" s="26">
        <f t="shared" si="11"/>
        <v>2261385.7242159885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30.3</v>
      </c>
      <c r="D29" s="117">
        <f>'BEY31-19073031-D'!D29+'BEY31-19073031-S'!D29+'ALP31-19072930-D'!D29+'G31-19072729-1'!D29+'G30-19072325'!D29+'ÖB30-19072830-K'!D29+'AYG30-19072829-S'!D29+'EB30-19072930-S'!D29+'ÜN29-19072425-S'!D29+'EMM29-19072324'!D29+'G29-19072729'!D29+'MEM26-19072425-S'!D29+'MİR26-19072425-S'!D29+'EMM25-19072324-S'!D29+'YIL25-19072425'!D29+'BA25-19072223-S'!D29+'G24-19072123'!D29+'ÖB24-19072122-K'!D29+'İP24-19071820-S'!D29+'EBŞ23-19072122-S'!D29+'MİR23-19071718-S'!D29+'MİR23-19071718-D'!D29+'AYG23-19072122-S'!D29+'MOL22-19072022'!D29+'ÖB20-19071718-K'!D29+'ÖB19-19071718-S'!D29+'MEM19-19071718-S'!D29+'ÖB19-19071718-D'!D29+'BA19-19071617-S'!D29+'G18-19071718'!D29+'G18-19071617-1'!D29+'G18-19071617'!D29+'G17-19071516-1'!D29+'ÜN17-19071516-S'!D29+'BA17-19071617'!D29+'ANK17-19071415-S'!D29+'G16-19071516'!D29+'ÖB16-19071416-S'!D29+'ÖB16-19071416-K'!D29+'MİR15-19071315-S'!D29+'EMR15-19071113-S'!D29+'EBŞ15-19071415-S'!D29+'KAZ15-19071415-S'!D29+'ÖB12-19071011-S'!D29+'ALP12-19071112-D'!D29+'ÖB11-19071011-K'!D29+'MOL11-19071011'!D29+'MİR10-19070810-S'!D29+'BEY10-19070809-D'!D29+'KAZ10-19070910-S'!D29+'BEY10-19070809-S'!D29+'BO10-19070608-D'!D29+'G09-19070809'!D29+'BA09-19070708-S'!D29+'BO09-19070608-S'!D29+'BA08-19070708'!D29+'EB08-19070708-S'!D29+'YIL08-19070608'!D29+'BO05-19070304'!D29+'ÖA04-19070304-1'!D29+'ÖA04-19070304'!D29+'ÖA04-19070203-K'!D29+'ÖA03-19070203'!D29+'ÖB01-19073001-K'!D29+'ÖA01-19073001-1'!D29+'ÖA01-19073001'!D29</f>
        <v>64419.799999999996</v>
      </c>
      <c r="E29" s="29">
        <f t="shared" si="7"/>
        <v>0.10507210150890334</v>
      </c>
      <c r="F29" s="28">
        <f t="shared" si="8"/>
        <v>31.793132492507862</v>
      </c>
      <c r="G29" s="27" t="str">
        <f t="shared" si="9"/>
        <v>+</v>
      </c>
      <c r="H29" s="26">
        <f t="shared" si="10"/>
        <v>1951919.94</v>
      </c>
      <c r="I29" s="26">
        <f t="shared" si="11"/>
        <v>2048107.2365408579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30.3</v>
      </c>
      <c r="D30" s="117">
        <f>'BEY31-19073031-D'!D30+'BEY31-19073031-S'!D30+'ALP31-19072930-D'!D30+'G31-19072729-1'!D30+'G30-19072325'!D30+'ÖB30-19072830-K'!D30+'AYG30-19072829-S'!D30+'EB30-19072930-S'!D30+'ÜN29-19072425-S'!D30+'EMM29-19072324'!D30+'G29-19072729'!D30+'MEM26-19072425-S'!D30+'MİR26-19072425-S'!D30+'EMM25-19072324-S'!D30+'YIL25-19072425'!D30+'BA25-19072223-S'!D30+'G24-19072123'!D30+'ÖB24-19072122-K'!D30+'İP24-19071820-S'!D30+'EBŞ23-19072122-S'!D30+'MİR23-19071718-S'!D30+'MİR23-19071718-D'!D30+'AYG23-19072122-S'!D30+'MOL22-19072022'!D30+'ÖB20-19071718-K'!D30+'ÖB19-19071718-S'!D30+'MEM19-19071718-S'!D30+'ÖB19-19071718-D'!D30+'BA19-19071617-S'!D30+'G18-19071718'!D30+'G18-19071617-1'!D30+'G18-19071617'!D30+'G17-19071516-1'!D30+'ÜN17-19071516-S'!D30+'BA17-19071617'!D30+'ANK17-19071415-S'!D30+'G16-19071516'!D30+'ÖB16-19071416-S'!D30+'ÖB16-19071416-K'!D30+'MİR15-19071315-S'!D30+'EMR15-19071113-S'!D30+'EBŞ15-19071415-S'!D30+'KAZ15-19071415-S'!D30+'ÖB12-19071011-S'!D30+'ALP12-19071112-D'!D30+'ÖB11-19071011-K'!D30+'MOL11-19071011'!D30+'MİR10-19070810-S'!D30+'BEY10-19070809-D'!D30+'KAZ10-19070910-S'!D30+'BEY10-19070809-S'!D30+'BO10-19070608-D'!D30+'G09-19070809'!D30+'BA09-19070708-S'!D30+'BO09-19070608-S'!D30+'BA08-19070708'!D30+'EB08-19070708-S'!D30+'YIL08-19070608'!D30+'BO05-19070304'!D30+'ÖA04-19070304-1'!D30+'ÖA04-19070304'!D30+'ÖA04-19070203-K'!D30+'ÖA03-19070203'!D30+'ÖB01-19073001-K'!D30+'ÖA01-19073001-1'!D30+'ÖA01-19073001'!D30</f>
        <v>27261.9</v>
      </c>
      <c r="E30" s="29">
        <f t="shared" si="7"/>
        <v>4.4465601012818608E-2</v>
      </c>
      <c r="F30" s="28">
        <f t="shared" si="8"/>
        <v>31.793132492507862</v>
      </c>
      <c r="G30" s="27" t="str">
        <f t="shared" si="9"/>
        <v>+</v>
      </c>
      <c r="H30" s="26">
        <f t="shared" si="10"/>
        <v>826035.57000000007</v>
      </c>
      <c r="I30" s="26">
        <f t="shared" si="11"/>
        <v>866741.19869750016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30.9</v>
      </c>
      <c r="D31" s="117">
        <f>'BEY31-19073031-D'!D31+'BEY31-19073031-S'!D31+'ALP31-19072930-D'!D31+'G31-19072729-1'!D31+'G30-19072325'!D31+'ÖB30-19072830-K'!D31+'AYG30-19072829-S'!D31+'EB30-19072930-S'!D31+'ÜN29-19072425-S'!D31+'EMM29-19072324'!D31+'G29-19072729'!D31+'MEM26-19072425-S'!D31+'MİR26-19072425-S'!D31+'EMM25-19072324-S'!D31+'YIL25-19072425'!D31+'BA25-19072223-S'!D31+'G24-19072123'!D31+'ÖB24-19072122-K'!D31+'İP24-19071820-S'!D31+'EBŞ23-19072122-S'!D31+'MİR23-19071718-S'!D31+'MİR23-19071718-D'!D31+'AYG23-19072122-S'!D31+'MOL22-19072022'!D31+'ÖB20-19071718-K'!D31+'ÖB19-19071718-S'!D31+'MEM19-19071718-S'!D31+'ÖB19-19071718-D'!D31+'BA19-19071617-S'!D31+'G18-19071718'!D31+'G18-19071617-1'!D31+'G18-19071617'!D31+'G17-19071516-1'!D31+'ÜN17-19071516-S'!D31+'BA17-19071617'!D31+'ANK17-19071415-S'!D31+'G16-19071516'!D31+'ÖB16-19071416-S'!D31+'ÖB16-19071416-K'!D31+'MİR15-19071315-S'!D31+'EMR15-19071113-S'!D31+'EBŞ15-19071415-S'!D31+'KAZ15-19071415-S'!D31+'ÖB12-19071011-S'!D31+'ALP12-19071112-D'!D31+'ÖB11-19071011-K'!D31+'MOL11-19071011'!D31+'MİR10-19070810-S'!D31+'BEY10-19070809-D'!D31+'KAZ10-19070910-S'!D31+'BEY10-19070809-S'!D31+'BO10-19070608-D'!D31+'G09-19070809'!D31+'BA09-19070708-S'!D31+'BO09-19070608-S'!D31+'BA08-19070708'!D31+'EB08-19070708-S'!D31+'YIL08-19070608'!D31+'BO05-19070304'!D31+'ÖA04-19070304-1'!D31+'ÖA04-19070304'!D31+'ÖA04-19070203-K'!D31+'ÖA03-19070203'!D31+'ÖB01-19073001-K'!D31+'ÖA01-19073001-1'!D31+'ÖA01-19073001'!D31</f>
        <v>9188.0000000000018</v>
      </c>
      <c r="E31" s="29">
        <f t="shared" si="7"/>
        <v>1.4986114031148872E-2</v>
      </c>
      <c r="F31" s="28">
        <f t="shared" si="8"/>
        <v>32.422699472557518</v>
      </c>
      <c r="G31" s="27" t="str">
        <f t="shared" si="9"/>
        <v>+</v>
      </c>
      <c r="H31" s="26">
        <f t="shared" si="10"/>
        <v>283909.20000000007</v>
      </c>
      <c r="I31" s="26">
        <f t="shared" si="11"/>
        <v>297899.76275385852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32.049781649990081</v>
      </c>
      <c r="D32" s="22">
        <f>SUM(D26:D31)</f>
        <v>365195.77</v>
      </c>
      <c r="E32" s="21">
        <f t="shared" si="7"/>
        <v>0.59565361916774218</v>
      </c>
      <c r="F32" s="20">
        <f>I32/D32</f>
        <v>33.62914040772548</v>
      </c>
      <c r="G32" s="19">
        <f>F32/C32-1</f>
        <v>4.9278300082767901E-2</v>
      </c>
      <c r="H32" s="18">
        <f>SUM(H26:H31)</f>
        <v>11704444.687999999</v>
      </c>
      <c r="I32" s="18">
        <f>SUM(I26:I31)</f>
        <v>12281219.825637421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18.600000000000001</v>
      </c>
      <c r="D34" s="117">
        <f>'BEY31-19073031-D'!D34+'BEY31-19073031-S'!D34+'ALP31-19072930-D'!D34+'G31-19072729-1'!D34+'G30-19072325'!D34+'ÖB30-19072830-K'!D34+'AYG30-19072829-S'!D34+'EB30-19072930-S'!D34+'ÜN29-19072425-S'!D34+'EMM29-19072324'!D34+'G29-19072729'!D34+'MEM26-19072425-S'!D34+'MİR26-19072425-S'!D34+'EMM25-19072324-S'!D34+'YIL25-19072425'!D34+'BA25-19072223-S'!D34+'G24-19072123'!D34+'ÖB24-19072122-K'!D34+'İP24-19071820-S'!D34+'EBŞ23-19072122-S'!D34+'MİR23-19071718-S'!D34+'MİR23-19071718-D'!D34+'AYG23-19072122-S'!D34+'MOL22-19072022'!D34+'ÖB20-19071718-K'!D34+'ÖB19-19071718-S'!D34+'MEM19-19071718-S'!D34+'ÖB19-19071718-D'!D34+'BA19-19071617-S'!D34+'G18-19071718'!D34+'G18-19071617-1'!D34+'G18-19071617'!D34+'G17-19071516-1'!D34+'ÜN17-19071516-S'!D34+'BA17-19071617'!D34+'ANK17-19071415-S'!D34+'G16-19071516'!D34+'ÖB16-19071416-S'!D34+'ÖB16-19071416-K'!D34+'MİR15-19071315-S'!D34+'EMR15-19071113-S'!D34+'EBŞ15-19071415-S'!D34+'KAZ15-19071415-S'!D34+'ÖB12-19071011-S'!D34+'ALP12-19071112-D'!D34+'ÖB11-19071011-K'!D34+'MOL11-19071011'!D34+'MİR10-19070810-S'!D34+'BEY10-19070809-D'!D34+'KAZ10-19070910-S'!D34+'BEY10-19070809-S'!D34+'BO10-19070608-D'!D34+'G09-19070809'!D34+'BA09-19070708-S'!D34+'BO09-19070608-S'!D34+'BA08-19070708'!D34+'EB08-19070708-S'!D34+'YIL08-19070608'!D34+'BO05-19070304'!D34+'ÖA04-19070304-1'!D34+'ÖA04-19070304'!D34+'ÖA04-19070203-K'!D34+'ÖA03-19070203'!D34+'ÖB01-19073001-K'!D34+'ÖA01-19073001-1'!D34+'ÖA01-19073001'!D34</f>
        <v>92733.310000000027</v>
      </c>
      <c r="E34" s="29">
        <f t="shared" ref="E34:E40" si="13">D34/$D$48</f>
        <v>0.15125293406028278</v>
      </c>
      <c r="F34" s="28">
        <f t="shared" ref="F34:F39" si="14">C34-(C34*$E$6)</f>
        <v>19.51657638153948</v>
      </c>
      <c r="G34" s="27" t="str">
        <f t="shared" ref="G34:G39" si="15">IF(C34&gt;=F34,"-","+")</f>
        <v>+</v>
      </c>
      <c r="H34" s="26">
        <f t="shared" ref="H34:H39" si="16">C34*D34</f>
        <v>1724839.5660000006</v>
      </c>
      <c r="I34" s="26">
        <f t="shared" ref="I34:I39" si="17">F34*D34</f>
        <v>1809836.7277279794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117">
        <f>'BEY31-19073031-D'!D35+'BEY31-19073031-S'!D35+'ALP31-19072930-D'!D35+'G31-19072729-1'!D35+'G30-19072325'!D35+'ÖB30-19072830-K'!D35+'AYG30-19072829-S'!D35+'EB30-19072930-S'!D35+'ÜN29-19072425-S'!D35+'EMM29-19072324'!D35+'G29-19072729'!D35+'MEM26-19072425-S'!D35+'MİR26-19072425-S'!D35+'EMM25-19072324-S'!D35+'YIL25-19072425'!D35+'BA25-19072223-S'!D35+'G24-19072123'!D35+'ÖB24-19072122-K'!D35+'İP24-19071820-S'!D35+'EBŞ23-19072122-S'!D35+'MİR23-19071718-S'!D35+'MİR23-19071718-D'!D35+'AYG23-19072122-S'!D35+'MOL22-19072022'!D35+'ÖB20-19071718-K'!D35+'ÖB19-19071718-S'!D35+'MEM19-19071718-S'!D35+'ÖB19-19071718-D'!D35+'BA19-19071617-S'!D35+'G18-19071718'!D35+'G18-19071617-1'!D35+'G18-19071617'!D35+'G17-19071516-1'!D35+'ÜN17-19071516-S'!D35+'BA17-19071617'!D35+'ANK17-19071415-S'!D35+'G16-19071516'!D35+'ÖB16-19071416-S'!D35+'ÖB16-19071416-K'!D35+'MİR15-19071315-S'!D35+'EMR15-19071113-S'!D35+'EBŞ15-19071415-S'!D35+'KAZ15-19071415-S'!D35+'ÖB12-19071011-S'!D35+'ALP12-19071112-D'!D35+'ÖB11-19071011-K'!D35+'MOL11-19071011'!D35+'MİR10-19070810-S'!D35+'BEY10-19070809-D'!D35+'KAZ10-19070910-S'!D35+'BEY10-19070809-S'!D35+'BO10-19070608-D'!D35+'G09-19070809'!D35+'BA09-19070708-S'!D35+'BO09-19070608-S'!D35+'BA08-19070708'!D35+'EB08-19070708-S'!D35+'YIL08-19070608'!D35+'BO05-19070304'!D35+'ÖA04-19070304-1'!D35+'ÖA04-19070304'!D35+'ÖA04-19070203-K'!D35+'ÖA03-19070203'!D35+'ÖB01-19073001-K'!D35+'ÖA01-19073001-1'!D35+'ÖA01-19073001'!D35</f>
        <v>4779.8</v>
      </c>
      <c r="E35" s="29">
        <f t="shared" si="13"/>
        <v>7.7961066441102926E-3</v>
      </c>
      <c r="F35" s="28">
        <f t="shared" si="14"/>
        <v>15.004679691183579</v>
      </c>
      <c r="G35" s="27" t="str">
        <f t="shared" si="15"/>
        <v>+</v>
      </c>
      <c r="H35" s="26">
        <f t="shared" si="16"/>
        <v>68351.14</v>
      </c>
      <c r="I35" s="26">
        <f t="shared" si="17"/>
        <v>71719.367987919279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117">
        <f>'BEY31-19073031-D'!D36+'BEY31-19073031-S'!D36+'ALP31-19072930-D'!D36+'G31-19072729-1'!D36+'G30-19072325'!D36+'ÖB30-19072830-K'!D36+'AYG30-19072829-S'!D36+'EB30-19072930-S'!D36+'ÜN29-19072425-S'!D36+'EMM29-19072324'!D36+'G29-19072729'!D36+'MEM26-19072425-S'!D36+'MİR26-19072425-S'!D36+'EMM25-19072324-S'!D36+'YIL25-19072425'!D36+'BA25-19072223-S'!D36+'G24-19072123'!D36+'ÖB24-19072122-K'!D36+'İP24-19071820-S'!D36+'EBŞ23-19072122-S'!D36+'MİR23-19071718-S'!D36+'MİR23-19071718-D'!D36+'AYG23-19072122-S'!D36+'MOL22-19072022'!D36+'ÖB20-19071718-K'!D36+'ÖB19-19071718-S'!D36+'MEM19-19071718-S'!D36+'ÖB19-19071718-D'!D36+'BA19-19071617-S'!D36+'G18-19071718'!D36+'G18-19071617-1'!D36+'G18-19071617'!D36+'G17-19071516-1'!D36+'ÜN17-19071516-S'!D36+'BA17-19071617'!D36+'ANK17-19071415-S'!D36+'G16-19071516'!D36+'ÖB16-19071416-S'!D36+'ÖB16-19071416-K'!D36+'MİR15-19071315-S'!D36+'EMR15-19071113-S'!D36+'EBŞ15-19071415-S'!D36+'KAZ15-19071415-S'!D36+'ÖB12-19071011-S'!D36+'ALP12-19071112-D'!D36+'ÖB11-19071011-K'!D36+'MOL11-19071011'!D36+'MİR10-19070810-S'!D36+'BEY10-19070809-D'!D36+'KAZ10-19070910-S'!D36+'BEY10-19070809-S'!D36+'BO10-19070608-D'!D36+'G09-19070809'!D36+'BA09-19070708-S'!D36+'BO09-19070608-S'!D36+'BA08-19070708'!D36+'EB08-19070708-S'!D36+'YIL08-19070608'!D36+'BO05-19070304'!D36+'ÖA04-19070304-1'!D36+'ÖA04-19070304'!D36+'ÖA04-19070203-K'!D36+'ÖA03-19070203'!D36+'ÖB01-19073001-K'!D36+'ÖA01-19073001-1'!D36+'ÖA01-19073001'!D36</f>
        <v>0</v>
      </c>
      <c r="E36" s="29">
        <f t="shared" si="13"/>
        <v>0</v>
      </c>
      <c r="F36" s="28">
        <f t="shared" si="14"/>
        <v>12.066700450951828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30.3</v>
      </c>
      <c r="D37" s="117">
        <f>'BEY31-19073031-D'!D37+'BEY31-19073031-S'!D37+'ALP31-19072930-D'!D37+'G31-19072729-1'!D37+'G30-19072325'!D37+'ÖB30-19072830-K'!D37+'AYG30-19072829-S'!D37+'EB30-19072930-S'!D37+'ÜN29-19072425-S'!D37+'EMM29-19072324'!D37+'G29-19072729'!D37+'MEM26-19072425-S'!D37+'MİR26-19072425-S'!D37+'EMM25-19072324-S'!D37+'YIL25-19072425'!D37+'BA25-19072223-S'!D37+'G24-19072123'!D37+'ÖB24-19072122-K'!D37+'İP24-19071820-S'!D37+'EBŞ23-19072122-S'!D37+'MİR23-19071718-S'!D37+'MİR23-19071718-D'!D37+'AYG23-19072122-S'!D37+'MOL22-19072022'!D37+'ÖB20-19071718-K'!D37+'ÖB19-19071718-S'!D37+'MEM19-19071718-S'!D37+'ÖB19-19071718-D'!D37+'BA19-19071617-S'!D37+'G18-19071718'!D37+'G18-19071617-1'!D37+'G18-19071617'!D37+'G17-19071516-1'!D37+'ÜN17-19071516-S'!D37+'BA17-19071617'!D37+'ANK17-19071415-S'!D37+'G16-19071516'!D37+'ÖB16-19071416-S'!D37+'ÖB16-19071416-K'!D37+'MİR15-19071315-S'!D37+'EMR15-19071113-S'!D37+'EBŞ15-19071415-S'!D37+'KAZ15-19071415-S'!D37+'ÖB12-19071011-S'!D37+'ALP12-19071112-D'!D37+'ÖB11-19071011-K'!D37+'MOL11-19071011'!D37+'MİR10-19070810-S'!D37+'BEY10-19070809-D'!D37+'KAZ10-19070910-S'!D37+'BEY10-19070809-S'!D37+'BO10-19070608-D'!D37+'G09-19070809'!D37+'BA09-19070708-S'!D37+'BO09-19070608-S'!D37+'BA08-19070708'!D37+'EB08-19070708-S'!D37+'YIL08-19070608'!D37+'BO05-19070304'!D37+'ÖA04-19070304-1'!D37+'ÖA04-19070304'!D37+'ÖA04-19070203-K'!D37+'ÖA03-19070203'!D37+'ÖB01-19073001-K'!D37+'ÖA01-19073001-1'!D37+'ÖA01-19073001'!D37</f>
        <v>0</v>
      </c>
      <c r="E37" s="29">
        <f t="shared" si="13"/>
        <v>0</v>
      </c>
      <c r="F37" s="28">
        <f t="shared" si="14"/>
        <v>31.793132492507862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30.3</v>
      </c>
      <c r="D38" s="117">
        <f>'BEY31-19073031-D'!D38+'BEY31-19073031-S'!D38+'ALP31-19072930-D'!D38+'G31-19072729-1'!D38+'G30-19072325'!D38+'ÖB30-19072830-K'!D38+'AYG30-19072829-S'!D38+'EB30-19072930-S'!D38+'ÜN29-19072425-S'!D38+'EMM29-19072324'!D38+'G29-19072729'!D38+'MEM26-19072425-S'!D38+'MİR26-19072425-S'!D38+'EMM25-19072324-S'!D38+'YIL25-19072425'!D38+'BA25-19072223-S'!D38+'G24-19072123'!D38+'ÖB24-19072122-K'!D38+'İP24-19071820-S'!D38+'EBŞ23-19072122-S'!D38+'MİR23-19071718-S'!D38+'MİR23-19071718-D'!D38+'AYG23-19072122-S'!D38+'MOL22-19072022'!D38+'ÖB20-19071718-K'!D38+'ÖB19-19071718-S'!D38+'MEM19-19071718-S'!D38+'ÖB19-19071718-D'!D38+'BA19-19071617-S'!D38+'G18-19071718'!D38+'G18-19071617-1'!D38+'G18-19071617'!D38+'G17-19071516-1'!D38+'ÜN17-19071516-S'!D38+'BA17-19071617'!D38+'ANK17-19071415-S'!D38+'G16-19071516'!D38+'ÖB16-19071416-S'!D38+'ÖB16-19071416-K'!D38+'MİR15-19071315-S'!D38+'EMR15-19071113-S'!D38+'EBŞ15-19071415-S'!D38+'KAZ15-19071415-S'!D38+'ÖB12-19071011-S'!D38+'ALP12-19071112-D'!D38+'ÖB11-19071011-K'!D38+'MOL11-19071011'!D38+'MİR10-19070810-S'!D38+'BEY10-19070809-D'!D38+'KAZ10-19070910-S'!D38+'BEY10-19070809-S'!D38+'BO10-19070608-D'!D38+'G09-19070809'!D38+'BA09-19070708-S'!D38+'BO09-19070608-S'!D38+'BA08-19070708'!D38+'EB08-19070708-S'!D38+'YIL08-19070608'!D38+'BO05-19070304'!D38+'ÖA04-19070304-1'!D38+'ÖA04-19070304'!D38+'ÖA04-19070203-K'!D38+'ÖA03-19070203'!D38+'ÖB01-19073001-K'!D38+'ÖA01-19073001-1'!D38+'ÖA01-19073001'!D38</f>
        <v>0</v>
      </c>
      <c r="E38" s="29">
        <f t="shared" si="13"/>
        <v>0</v>
      </c>
      <c r="F38" s="28">
        <f t="shared" si="14"/>
        <v>31.793132492507862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31.4</v>
      </c>
      <c r="D39" s="117">
        <f>'BEY31-19073031-D'!D39+'BEY31-19073031-S'!D39+'ALP31-19072930-D'!D39+'G31-19072729-1'!D39+'G30-19072325'!D39+'ÖB30-19072830-K'!D39+'AYG30-19072829-S'!D39+'EB30-19072930-S'!D39+'ÜN29-19072425-S'!D39+'EMM29-19072324'!D39+'G29-19072729'!D39+'MEM26-19072425-S'!D39+'MİR26-19072425-S'!D39+'EMM25-19072324-S'!D39+'YIL25-19072425'!D39+'BA25-19072223-S'!D39+'G24-19072123'!D39+'ÖB24-19072122-K'!D39+'İP24-19071820-S'!D39+'EBŞ23-19072122-S'!D39+'MİR23-19071718-S'!D39+'MİR23-19071718-D'!D39+'AYG23-19072122-S'!D39+'MOL22-19072022'!D39+'ÖB20-19071718-K'!D39+'ÖB19-19071718-S'!D39+'MEM19-19071718-S'!D39+'ÖB19-19071718-D'!D39+'BA19-19071617-S'!D39+'G18-19071718'!D39+'G18-19071617-1'!D39+'G18-19071617'!D39+'G17-19071516-1'!D39+'ÜN17-19071516-S'!D39+'BA17-19071617'!D39+'ANK17-19071415-S'!D39+'G16-19071516'!D39+'ÖB16-19071416-S'!D39+'ÖB16-19071416-K'!D39+'MİR15-19071315-S'!D39+'EMR15-19071113-S'!D39+'EBŞ15-19071415-S'!D39+'KAZ15-19071415-S'!D39+'ÖB12-19071011-S'!D39+'ALP12-19071112-D'!D39+'ÖB11-19071011-K'!D39+'MOL11-19071011'!D39+'MİR10-19070810-S'!D39+'BEY10-19070809-D'!D39+'KAZ10-19070910-S'!D39+'BEY10-19070809-S'!D39+'BO10-19070608-D'!D39+'G09-19070809'!D39+'BA09-19070708-S'!D39+'BO09-19070608-S'!D39+'BA08-19070708'!D39+'EB08-19070708-S'!D39+'YIL08-19070608'!D39+'BO05-19070304'!D39+'ÖA04-19070304-1'!D39+'ÖA04-19070304'!D39+'ÖA04-19070203-K'!D39+'ÖA03-19070203'!D39+'ÖB01-19073001-K'!D39+'ÖA01-19073001-1'!D39+'ÖA01-19073001'!D39</f>
        <v>0</v>
      </c>
      <c r="E39" s="29">
        <f t="shared" si="13"/>
        <v>0</v>
      </c>
      <c r="F39" s="28">
        <f t="shared" si="14"/>
        <v>32.947338622598906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18.389226904977185</v>
      </c>
      <c r="D40" s="22">
        <f>SUM(D34:D39)</f>
        <v>97513.11000000003</v>
      </c>
      <c r="E40" s="21">
        <f t="shared" si="13"/>
        <v>0.15904904070439307</v>
      </c>
      <c r="F40" s="20">
        <f>I40/D40</f>
        <v>19.295416746690758</v>
      </c>
      <c r="G40" s="19">
        <f>F40/C40-1</f>
        <v>4.9278300082767901E-2</v>
      </c>
      <c r="H40" s="18">
        <f>SUM(H34:H39)</f>
        <v>1793190.7060000005</v>
      </c>
      <c r="I40" s="18">
        <f>SUM(I34:I39)</f>
        <v>1881556.0957158988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117">
        <f>'BEY31-19073031-D'!D42+'BEY31-19073031-S'!D42+'ALP31-19072930-D'!D42+'G31-19072729-1'!D42+'G30-19072325'!D42+'ÖB30-19072830-K'!D42+'AYG30-19072829-S'!D42+'EB30-19072930-S'!D42+'ÜN29-19072425-S'!D42+'EMM29-19072324'!D42+'G29-19072729'!D42+'MEM26-19072425-S'!D42+'MİR26-19072425-S'!D42+'EMM25-19072324-S'!D42+'YIL25-19072425'!D42+'BA25-19072223-S'!D42+'G24-19072123'!D42+'ÖB24-19072122-K'!D42+'İP24-19071820-S'!D42+'EBŞ23-19072122-S'!D42+'MİR23-19071718-S'!D42+'MİR23-19071718-D'!D42+'AYG23-19072122-S'!D42+'MOL22-19072022'!D42+'ÖB20-19071718-K'!D42+'ÖB19-19071718-S'!D42+'MEM19-19071718-S'!D42+'ÖB19-19071718-D'!D42+'BA19-19071617-S'!D42+'G18-19071718'!D42+'G18-19071617-1'!D42+'G18-19071617'!D42+'G17-19071516-1'!D42+'ÜN17-19071516-S'!D42+'BA17-19071617'!D42+'ANK17-19071415-S'!D42+'G16-19071516'!D42+'ÖB16-19071416-S'!D42+'ÖB16-19071416-K'!D42+'MİR15-19071315-S'!D42+'EMR15-19071113-S'!D42+'EBŞ15-19071415-S'!D42+'KAZ15-19071415-S'!D42+'ÖB12-19071011-S'!D42+'ALP12-19071112-D'!D42+'ÖB11-19071011-K'!D42+'MOL11-19071011'!D42+'MİR10-19070810-S'!D42+'BEY10-19070809-D'!D42+'KAZ10-19070910-S'!D42+'BEY10-19070809-S'!D42+'BO10-19070608-D'!D42+'G09-19070809'!D42+'BA09-19070708-S'!D42+'BO09-19070608-S'!D42+'BA08-19070708'!D42+'EB08-19070708-S'!D42+'YIL08-19070608'!D42+'BO05-19070304'!D42+'ÖA04-19070304-1'!D42+'ÖA04-19070304'!D42+'ÖA04-19070203-K'!D42+'ÖA03-19070203'!D42+'ÖB01-19073001-K'!D42+'ÖA01-19073001-1'!D42+'ÖA01-19073001'!D42</f>
        <v>108323.70000000001</v>
      </c>
      <c r="E42" s="107">
        <f>D42/$D$48</f>
        <v>0.17668168485807151</v>
      </c>
      <c r="F42" s="28">
        <f>C42-(C42*$E$6)</f>
        <v>0.41971132003310707</v>
      </c>
      <c r="G42" s="27" t="str">
        <f>IF(C42&gt;=F42,"-","+")</f>
        <v>+</v>
      </c>
      <c r="H42" s="26">
        <f>C42*D42</f>
        <v>43329.48000000001</v>
      </c>
      <c r="I42" s="26">
        <f>F42*D42</f>
        <v>45464.683117870285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117">
        <f>'BEY31-19073031-D'!D43+'BEY31-19073031-S'!D43+'ALP31-19072930-D'!D43+'G31-19072729-1'!D43+'G30-19072325'!D43+'ÖB30-19072830-K'!D43+'AYG30-19072829-S'!D43+'EB30-19072930-S'!D43+'ÜN29-19072425-S'!D43+'EMM29-19072324'!D43+'G29-19072729'!D43+'MEM26-19072425-S'!D43+'MİR26-19072425-S'!D43+'EMM25-19072324-S'!D43+'YIL25-19072425'!D43+'BA25-19072223-S'!D43+'G24-19072123'!D43+'ÖB24-19072122-K'!D43+'İP24-19071820-S'!D43+'EBŞ23-19072122-S'!D43+'MİR23-19071718-S'!D43+'MİR23-19071718-D'!D43+'AYG23-19072122-S'!D43+'MOL22-19072022'!D43+'ÖB20-19071718-K'!D43+'ÖB19-19071718-S'!D43+'MEM19-19071718-S'!D43+'ÖB19-19071718-D'!D43+'BA19-19071617-S'!D43+'G18-19071718'!D43+'G18-19071617-1'!D43+'G18-19071617'!D43+'G17-19071516-1'!D43+'ÜN17-19071516-S'!D43+'BA17-19071617'!D43+'ANK17-19071415-S'!D43+'G16-19071516'!D43+'ÖB16-19071416-S'!D43+'ÖB16-19071416-K'!D43+'MİR15-19071315-S'!D43+'EMR15-19071113-S'!D43+'EBŞ15-19071415-S'!D43+'KAZ15-19071415-S'!D43+'ÖB12-19071011-S'!D43+'ALP12-19071112-D'!D43+'ÖB11-19071011-K'!D43+'MOL11-19071011'!D43+'MİR10-19070810-S'!D43+'BEY10-19070809-D'!D43+'KAZ10-19070910-S'!D43+'BEY10-19070809-S'!D43+'BO10-19070608-D'!D43+'G09-19070809'!D43+'BA09-19070708-S'!D43+'BO09-19070608-S'!D43+'BA08-19070708'!D43+'EB08-19070708-S'!D43+'YIL08-19070608'!D43+'BO05-19070304'!D43+'ÖA04-19070304-1'!D43+'ÖA04-19070304'!D43+'ÖA04-19070203-K'!D43+'ÖA03-19070203'!D43+'ÖB01-19073001-K'!D43+'ÖA01-19073001-1'!D43+'ÖA01-19073001'!D43</f>
        <v>4588.2299999999996</v>
      </c>
      <c r="E43" s="107">
        <f>D43/$D$48</f>
        <v>7.4836458403502578E-3</v>
      </c>
      <c r="F43" s="28">
        <f>C43-(C43*$E$6)</f>
        <v>0.41971132003310707</v>
      </c>
      <c r="G43" s="27" t="str">
        <f>IF(C43&gt;=F43,"-","+")</f>
        <v>+</v>
      </c>
      <c r="H43" s="26">
        <f>C43*D43</f>
        <v>1835.2919999999999</v>
      </c>
      <c r="I43" s="26">
        <f>F43*D43</f>
        <v>1925.7320699155027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BEY31-19073031-D'!D44+'BEY31-19073031-S'!D44+'ALP31-19072930-D'!D44+'G31-19072729-1'!D44+'G30-19072325'!D44+'ÖB30-19072830-K'!D44+'AYG30-19072829-S'!D44+'EB30-19072930-S'!D44+'ÜN29-19072425-S'!D44+'EMM29-19072324'!D44+'G29-19072729'!D44+'MEM26-19072425-S'!D44+'MİR26-19072425-S'!D44+'EMM25-19072324-S'!D44+'YIL25-19072425'!D44+'BA25-19072223-S'!D44+'G24-19072123'!D44+'ÖB24-19072122-K'!D44+'İP24-19071820-S'!D44+'EBŞ23-19072122-S'!D44+'MİR23-19071718-S'!D44+'MİR23-19071718-D'!D44+'AYG23-19072122-S'!D44+'MOL22-19072022'!D44+'ÖB20-19071718-K'!D44+'ÖB19-19071718-S'!D44+'MEM19-19071718-S'!D44+'ÖB19-19071718-D'!D44+'BA19-19071617-S'!D44+'G18-19071718'!D44+'G18-19071617-1'!D44+'G18-19071617'!D44+'G17-19071516-1'!D44+'ÜN17-19071516-S'!D44+'BA17-19071617'!D44+'ANK17-19071415-S'!D44+'G16-19071516'!D44+'ÖB16-19071416-S'!D44+'ÖB16-19071416-K'!D44+'MİR15-19071315-S'!D44+'EMR15-19071113-S'!D44+'EBŞ15-19071415-S'!D44+'KAZ15-19071415-S'!D44+'ÖB12-19071011-S'!D44+'ALP12-19071112-D'!D44+'ÖB11-19071011-K'!D44+'MOL11-19071011'!D44+'MİR10-19070810-S'!D44+'BEY10-19070809-D'!D44+'KAZ10-19070910-S'!D44+'BEY10-19070809-S'!D44+'BO10-19070608-D'!D44+'G09-19070809'!D44+'BA09-19070708-S'!D44+'BO09-19070608-S'!D44+'BA08-19070708'!D44+'EB08-19070708-S'!D44+'YIL08-19070608'!D44+'BO05-19070304'!D44+'ÖA04-19070304-1'!D44+'ÖA04-19070304'!D44+'ÖA04-19070203-K'!D44+'ÖA03-19070203'!D44+'ÖB01-19073001-K'!D44+'ÖA01-19073001-1'!D44+'ÖA01-19073001'!D44</f>
        <v>354.40000000000003</v>
      </c>
      <c r="E44" s="107">
        <f>D44/$D$48</f>
        <v>5.7804514721801915E-4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BEY31-19073031-D'!D45+'BEY31-19073031-S'!D45+'ALP31-19072930-D'!D45+'G31-19072729-1'!D45+'G30-19072325'!D45+'ÖB30-19072830-K'!D45+'AYG30-19072829-S'!D45+'EB30-19072930-S'!D45+'ÜN29-19072425-S'!D45+'EMM29-19072324'!D45+'G29-19072729'!D45+'MEM26-19072425-S'!D45+'MİR26-19072425-S'!D45+'EMM25-19072324-S'!D45+'YIL25-19072425'!D45+'BA25-19072223-S'!D45+'G24-19072123'!D45+'ÖB24-19072122-K'!D45+'İP24-19071820-S'!D45+'EBŞ23-19072122-S'!D45+'MİR23-19071718-S'!D45+'MİR23-19071718-D'!D45+'AYG23-19072122-S'!D45+'MOL22-19072022'!D45+'ÖB20-19071718-K'!D45+'ÖB19-19071718-S'!D45+'MEM19-19071718-S'!D45+'ÖB19-19071718-D'!D45+'BA19-19071617-S'!D45+'G18-19071718'!D45+'G18-19071617-1'!D45+'G18-19071617'!D45+'G17-19071516-1'!D45+'ÜN17-19071516-S'!D45+'BA17-19071617'!D45+'ANK17-19071415-S'!D45+'G16-19071516'!D45+'ÖB16-19071416-S'!D45+'ÖB16-19071416-K'!D45+'MİR15-19071315-S'!D45+'EMR15-19071113-S'!D45+'EBŞ15-19071415-S'!D45+'KAZ15-19071415-S'!D45+'ÖB12-19071011-S'!D45+'ALP12-19071112-D'!D45+'ÖB11-19071011-K'!D45+'MOL11-19071011'!D45+'MİR10-19070810-S'!D45+'BEY10-19070809-D'!D45+'KAZ10-19070910-S'!D45+'BEY10-19070809-S'!D45+'BO10-19070608-D'!D45+'G09-19070809'!D45+'BA09-19070708-S'!D45+'BO09-19070608-S'!D45+'BA08-19070708'!D45+'EB08-19070708-S'!D45+'YIL08-19070608'!D45+'BO05-19070304'!D45+'ÖA04-19070304-1'!D45+'ÖA04-19070304'!D45+'ÖA04-19070203-K'!D45+'ÖA03-19070203'!D45+'ÖB01-19073001-K'!D45+'ÖA01-19073001-1'!D45+'ÖA01-19073001'!D45</f>
        <v>381.44000000000017</v>
      </c>
      <c r="E45" s="107">
        <f>D45/$D$48</f>
        <v>6.2214881759266728E-4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0.39741010316348496</v>
      </c>
      <c r="D46" s="22">
        <f>SUM(D41:D45)</f>
        <v>113647.77</v>
      </c>
      <c r="E46" s="21">
        <f>D46/$D$48</f>
        <v>0.18536552466323242</v>
      </c>
      <c r="F46" s="20">
        <f>I46/D46</f>
        <v>0.41699379748309873</v>
      </c>
      <c r="G46" s="19">
        <f>F46/C46-1</f>
        <v>4.9278300082767457E-2</v>
      </c>
      <c r="H46" s="18">
        <f>SUM(H41:H44)</f>
        <v>45164.772000000012</v>
      </c>
      <c r="I46" s="18">
        <f>SUM(I41:I44)</f>
        <v>47390.415187785788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97.512416671425342</v>
      </c>
      <c r="D48" s="13">
        <f>D24+D32+D40+D46</f>
        <v>613100.9</v>
      </c>
      <c r="E48" s="12">
        <f>SUM(E20:E46)/2</f>
        <v>0.99999999999999989</v>
      </c>
      <c r="F48" s="11">
        <f>I48/D48</f>
        <v>26.112760288539032</v>
      </c>
      <c r="G48" s="10"/>
      <c r="H48" s="9">
        <f>SUM(H20:H46)/2</f>
        <v>15257874.705999998</v>
      </c>
      <c r="I48" s="9">
        <f>SUM(I20:I46)/2</f>
        <v>16009756.834387541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648590.30000000005</v>
      </c>
      <c r="E50" s="12">
        <f>D50/G2</f>
        <v>1.0000006167225242</v>
      </c>
      <c r="F50" s="11">
        <f>I50/D50</f>
        <v>26.259983804876512</v>
      </c>
      <c r="G50" s="10"/>
      <c r="H50" s="9">
        <f>H48+H19</f>
        <v>16232081.395999998</v>
      </c>
      <c r="I50" s="9">
        <f>I48+I19</f>
        <v>17031970.774</v>
      </c>
      <c r="J50" s="106">
        <f>D50-G2</f>
        <v>0.40000000025611371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26.259983804876512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>
    <tabColor rgb="FFFF0000"/>
  </sheetPr>
  <dimension ref="A1:K56"/>
  <sheetViews>
    <sheetView topLeftCell="A25" workbookViewId="0">
      <selection activeCell="F38" sqref="F37:F38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813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112</v>
      </c>
      <c r="F2" s="110" t="s">
        <v>5</v>
      </c>
      <c r="G2" s="108">
        <f>'BEY31-19073031-S'!G2+'AYG30-19072829-S'!G2+'EB30-19072930-S'!G2+'ÜN29-19072425-S'!G2+'MEM26-19072425-S'!G2+'MİR26-19072425-S'!G2+'EMM25-19072324-S'!G2+'BA25-19072223-S'!G2+'İP24-19071820-S'!G2+'EBŞ23-19072122-S'!G2+'MİR23-19071718-S'!G2+'AYG23-19072122-S'!G2+'ÖB19-19071718-S'!G2+'MEM19-19071718-S'!G2+'BA19-19071617-S'!G2+'ÜN17-19071516-S'!G2+'ANK17-19071415-S'!G2+'ÖB16-19071416-S'!G2+'MİR15-19071315-S'!G2+'EMR15-19071113-S'!G2+'EBŞ15-19071415-S'!G2+'KAZ15-19071415-S'!G2+'ÖB12-19071011-S'!G2+'MİR10-19070810-S'!G2+'KAZ10-19070910-S'!G2+'BEY10-19070809-S'!G2+'BA09-19070708-S'!G2+'BO09-19070608-S'!G2+'EB08-19070708-S'!G2</f>
        <v>198928.80000000002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BEY31-19073031-S'!E3+'AYG30-19072829-S'!E3+'EB30-19072930-S'!E3+'ÜN29-19072425-S'!E3+'MEM26-19072425-S'!E3+'MİR26-19072425-S'!E3+'EMM25-19072324-S'!E3+'BA25-19072223-S'!E3+'İP24-19071820-S'!E3+'EBŞ23-19072122-S'!E3+'MİR23-19071718-S'!E3+'AYG23-19072122-S'!E3+'ÖB19-19071718-S'!E3+'MEM19-19071718-S'!E3+'BA19-19071617-S'!E3+'ÜN17-19071516-S'!E3+'ANK17-19071415-S'!E3+'ÖB16-19071416-S'!E3+'MİR15-19071315-S'!E3+'EMR15-19071113-S'!E3+'EBŞ15-19071415-S'!E3+'KAZ15-19071415-S'!E3+'ÖB12-19071011-S'!E3+'MİR10-19070810-S'!E3+'KAZ10-19070910-S'!E3+'BEY10-19070809-S'!E3+'BA09-19070708-S'!E3+'BO09-19070608-S'!E3+'EB08-19070708-S'!E3</f>
        <v>3042</v>
      </c>
      <c r="F3" s="111" t="s">
        <v>8</v>
      </c>
      <c r="G3" s="114">
        <v>24.82</v>
      </c>
      <c r="H3" s="118" t="s">
        <v>814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65.394082840236692</v>
      </c>
      <c r="F4" s="81" t="s">
        <v>12</v>
      </c>
      <c r="G4" s="112">
        <f>G2*G3</f>
        <v>4937412.8160000006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-9.6831092456847179E-2</v>
      </c>
      <c r="F6" s="69" t="s">
        <v>16</v>
      </c>
      <c r="G6" s="68">
        <f>(I50-I19)/(D50-(SUM(D42:D44)+D19))</f>
        <v>31.815143080502185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24.8</v>
      </c>
      <c r="D10" s="117">
        <f>'BEY31-19073031-S'!D10+'AYG30-19072829-S'!D10+'EB30-19072930-S'!D10+'ÜN29-19072425-S'!D10+'MEM26-19072425-S'!D10+'MİR26-19072425-S'!D10+'EMM25-19072324-S'!D10+'BA25-19072223-S'!D10+'İP24-19071820-S'!D10+'EBŞ23-19072122-S'!D10+'MİR23-19071718-S'!D10+'AYG23-19072122-S'!D10+'ÖB19-19071718-S'!D10+'MEM19-19071718-S'!D10+'BA19-19071617-S'!D10+'ÜN17-19071516-S'!D10+'ANK17-19071415-S'!D10+'ÖB16-19071416-S'!D10+'MİR15-19071315-S'!D10+'EMR15-19071113-S'!D10+'EBŞ15-19071415-S'!D10+'KAZ15-19071415-S'!D10+'ÖB12-19071011-S'!D10+'MİR10-19070810-S'!D10+'KAZ10-19070910-S'!D10+'BEY10-19070809-S'!D10+'BA09-19070708-S'!D10+'BO09-19070608-S'!D10+'EB08-19070708-S'!D10</f>
        <v>0</v>
      </c>
      <c r="E10" s="29">
        <f t="shared" ref="E10:E19" si="1">D10/$D$19</f>
        <v>0</v>
      </c>
      <c r="F10" s="28">
        <f t="shared" ref="F10:F18" si="2">C10-(C10*$E$6)</f>
        <v>27.20141109292981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25.8</v>
      </c>
      <c r="D11" s="117">
        <f>'BEY31-19073031-S'!D11+'AYG30-19072829-S'!D11+'EB30-19072930-S'!D11+'ÜN29-19072425-S'!D11+'MEM26-19072425-S'!D11+'MİR26-19072425-S'!D11+'EMM25-19072324-S'!D11+'BA25-19072223-S'!D11+'İP24-19071820-S'!D11+'EBŞ23-19072122-S'!D11+'MİR23-19071718-S'!D11+'AYG23-19072122-S'!D11+'ÖB19-19071718-S'!D11+'MEM19-19071718-S'!D11+'BA19-19071617-S'!D11+'ÜN17-19071516-S'!D11+'ANK17-19071415-S'!D11+'ÖB16-19071416-S'!D11+'MİR15-19071315-S'!D11+'EMR15-19071113-S'!D11+'EBŞ15-19071415-S'!D11+'KAZ15-19071415-S'!D11+'ÖB12-19071011-S'!D11+'MİR10-19070810-S'!D11+'KAZ10-19070910-S'!D11+'BEY10-19070809-S'!D11+'BA09-19070708-S'!D11+'BO09-19070608-S'!D11+'EB08-19070708-S'!D11</f>
        <v>0</v>
      </c>
      <c r="E11" s="29">
        <f t="shared" si="1"/>
        <v>0</v>
      </c>
      <c r="F11" s="28">
        <f t="shared" si="2"/>
        <v>28.298242185386659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23.6</v>
      </c>
      <c r="D12" s="117">
        <f>'BEY31-19073031-S'!D12+'AYG30-19072829-S'!D12+'EB30-19072930-S'!D12+'ÜN29-19072425-S'!D12+'MEM26-19072425-S'!D12+'MİR26-19072425-S'!D12+'EMM25-19072324-S'!D12+'BA25-19072223-S'!D12+'İP24-19071820-S'!D12+'EBŞ23-19072122-S'!D12+'MİR23-19071718-S'!D12+'AYG23-19072122-S'!D12+'ÖB19-19071718-S'!D12+'MEM19-19071718-S'!D12+'BA19-19071617-S'!D12+'ÜN17-19071516-S'!D12+'ANK17-19071415-S'!D12+'ÖB16-19071416-S'!D12+'MİR15-19071315-S'!D12+'EMR15-19071113-S'!D12+'EBŞ15-19071415-S'!D12+'KAZ15-19071415-S'!D12+'ÖB12-19071011-S'!D12+'MİR10-19070810-S'!D12+'KAZ10-19070910-S'!D12+'BEY10-19070809-S'!D12+'BA09-19070708-S'!D12+'BO09-19070608-S'!D12+'EB08-19070708-S'!D12</f>
        <v>0</v>
      </c>
      <c r="E12" s="29">
        <f t="shared" si="1"/>
        <v>0</v>
      </c>
      <c r="F12" s="28">
        <f t="shared" si="2"/>
        <v>25.885213781981594</v>
      </c>
      <c r="G12" s="27" t="str">
        <f>IF(C12&gt;=F12,"-","+")</f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25.8</v>
      </c>
      <c r="D13" s="117">
        <f>'BEY31-19073031-S'!D13+'AYG30-19072829-S'!D13+'EB30-19072930-S'!D13+'ÜN29-19072425-S'!D13+'MEM26-19072425-S'!D13+'MİR26-19072425-S'!D13+'EMM25-19072324-S'!D13+'BA25-19072223-S'!D13+'İP24-19071820-S'!D13+'EBŞ23-19072122-S'!D13+'MİR23-19071718-S'!D13+'AYG23-19072122-S'!D13+'ÖB19-19071718-S'!D13+'MEM19-19071718-S'!D13+'BA19-19071617-S'!D13+'ÜN17-19071516-S'!D13+'ANK17-19071415-S'!D13+'ÖB16-19071416-S'!D13+'MİR15-19071315-S'!D13+'EMR15-19071113-S'!D13+'EBŞ15-19071415-S'!D13+'KAZ15-19071415-S'!D13+'ÖB12-19071011-S'!D13+'MİR10-19070810-S'!D13+'KAZ10-19070910-S'!D13+'BEY10-19070809-S'!D13+'BA09-19070708-S'!D13+'BO09-19070608-S'!D13+'EB08-19070708-S'!D13</f>
        <v>0</v>
      </c>
      <c r="E13" s="29">
        <f t="shared" si="1"/>
        <v>0</v>
      </c>
      <c r="F13" s="28">
        <f t="shared" si="2"/>
        <v>28.298242185386659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28.9</v>
      </c>
      <c r="D14" s="117">
        <f>'BEY31-19073031-S'!D14+'AYG30-19072829-S'!D14+'EB30-19072930-S'!D14+'ÜN29-19072425-S'!D14+'MEM26-19072425-S'!D14+'MİR26-19072425-S'!D14+'EMM25-19072324-S'!D14+'BA25-19072223-S'!D14+'İP24-19071820-S'!D14+'EBŞ23-19072122-S'!D14+'MİR23-19071718-S'!D14+'AYG23-19072122-S'!D14+'ÖB19-19071718-S'!D14+'MEM19-19071718-S'!D14+'BA19-19071617-S'!D14+'ÜN17-19071516-S'!D14+'ANK17-19071415-S'!D14+'ÖB16-19071416-S'!D14+'MİR15-19071315-S'!D14+'EMR15-19071113-S'!D14+'EBŞ15-19071415-S'!D14+'KAZ15-19071415-S'!D14+'ÖB12-19071011-S'!D14+'MİR10-19070810-S'!D14+'KAZ10-19070910-S'!D14+'BEY10-19070809-S'!D14+'BA09-19070708-S'!D14+'BO09-19070608-S'!D14+'EB08-19070708-S'!D14</f>
        <v>0</v>
      </c>
      <c r="E14" s="29">
        <f t="shared" si="1"/>
        <v>0</v>
      </c>
      <c r="F14" s="28">
        <f t="shared" si="2"/>
        <v>31.698418572002883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23.8</v>
      </c>
      <c r="D15" s="117">
        <f>'BEY31-19073031-S'!D15+'AYG30-19072829-S'!D15+'EB30-19072930-S'!D15+'ÜN29-19072425-S'!D15+'MEM26-19072425-S'!D15+'MİR26-19072425-S'!D15+'EMM25-19072324-S'!D15+'BA25-19072223-S'!D15+'İP24-19071820-S'!D15+'EBŞ23-19072122-S'!D15+'MİR23-19071718-S'!D15+'AYG23-19072122-S'!D15+'ÖB19-19071718-S'!D15+'MEM19-19071718-S'!D15+'BA19-19071617-S'!D15+'ÜN17-19071516-S'!D15+'ANK17-19071415-S'!D15+'ÖB16-19071416-S'!D15+'MİR15-19071315-S'!D15+'EMR15-19071113-S'!D15+'EBŞ15-19071415-S'!D15+'KAZ15-19071415-S'!D15+'ÖB12-19071011-S'!D15+'MİR10-19070810-S'!D15+'KAZ10-19070910-S'!D15+'BEY10-19070809-S'!D15+'BA09-19070708-S'!D15+'BO09-19070608-S'!D15+'EB08-19070708-S'!D15</f>
        <v>0</v>
      </c>
      <c r="E15" s="29">
        <f t="shared" si="1"/>
        <v>0</v>
      </c>
      <c r="F15" s="28">
        <f t="shared" si="2"/>
        <v>26.104580000472964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32.6</v>
      </c>
      <c r="D16" s="117">
        <f>'BEY31-19073031-S'!D16+'AYG30-19072829-S'!D16+'EB30-19072930-S'!D16+'ÜN29-19072425-S'!D16+'MEM26-19072425-S'!D16+'MİR26-19072425-S'!D16+'EMM25-19072324-S'!D16+'BA25-19072223-S'!D16+'İP24-19071820-S'!D16+'EBŞ23-19072122-S'!D16+'MİR23-19071718-S'!D16+'AYG23-19072122-S'!D16+'ÖB19-19071718-S'!D16+'MEM19-19071718-S'!D16+'BA19-19071617-S'!D16+'ÜN17-19071516-S'!D16+'ANK17-19071415-S'!D16+'ÖB16-19071416-S'!D16+'MİR15-19071315-S'!D16+'EMR15-19071113-S'!D16+'EBŞ15-19071415-S'!D16+'KAZ15-19071415-S'!D16+'ÖB12-19071011-S'!D16+'MİR10-19070810-S'!D16+'KAZ10-19070910-S'!D16+'BEY10-19070809-S'!D16+'BA09-19070708-S'!D16+'BO09-19070608-S'!D16+'EB08-19070708-S'!D16</f>
        <v>28.5</v>
      </c>
      <c r="E16" s="29">
        <f t="shared" si="1"/>
        <v>0.30190677966101692</v>
      </c>
      <c r="F16" s="28">
        <f t="shared" si="2"/>
        <v>35.756693614093223</v>
      </c>
      <c r="G16" s="27" t="str">
        <f t="shared" si="3"/>
        <v>+</v>
      </c>
      <c r="H16" s="34">
        <f t="shared" si="4"/>
        <v>929.1</v>
      </c>
      <c r="I16" s="34">
        <f t="shared" si="5"/>
        <v>1019.0657680016568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</v>
      </c>
      <c r="D17" s="117">
        <f>'BEY31-19073031-S'!D17+'AYG30-19072829-S'!D17+'EB30-19072930-S'!D17+'ÜN29-19072425-S'!D17+'MEM26-19072425-S'!D17+'MİR26-19072425-S'!D17+'EMM25-19072324-S'!D17+'BA25-19072223-S'!D17+'İP24-19071820-S'!D17+'EBŞ23-19072122-S'!D17+'MİR23-19071718-S'!D17+'AYG23-19072122-S'!D17+'ÖB19-19071718-S'!D17+'MEM19-19071718-S'!D17+'BA19-19071617-S'!D17+'ÜN17-19071516-S'!D17+'ANK17-19071415-S'!D17+'ÖB16-19071416-S'!D17+'MİR15-19071315-S'!D17+'EMR15-19071113-S'!D17+'EBŞ15-19071415-S'!D17+'KAZ15-19071415-S'!D17+'ÖB12-19071011-S'!D17+'MİR10-19070810-S'!D17+'KAZ10-19070910-S'!D17+'BEY10-19070809-S'!D17+'BA09-19070708-S'!D17+'BO09-19070608-S'!D17+'EB08-19070708-S'!D17</f>
        <v>65.900000000000006</v>
      </c>
      <c r="E17" s="29">
        <f t="shared" si="1"/>
        <v>0.69809322033898302</v>
      </c>
      <c r="F17" s="28">
        <f t="shared" si="2"/>
        <v>52.647892437928661</v>
      </c>
      <c r="G17" s="27" t="str">
        <f t="shared" si="3"/>
        <v>+</v>
      </c>
      <c r="H17" s="34">
        <f t="shared" si="4"/>
        <v>3163.2000000000003</v>
      </c>
      <c r="I17" s="34">
        <f t="shared" si="5"/>
        <v>3469.4961116594991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42.1</v>
      </c>
      <c r="D18" s="117">
        <f>'BEY31-19073031-S'!D18+'AYG30-19072829-S'!D18+'EB30-19072930-S'!D18+'ÜN29-19072425-S'!D18+'MEM26-19072425-S'!D18+'MİR26-19072425-S'!D18+'EMM25-19072324-S'!D18+'BA25-19072223-S'!D18+'İP24-19071820-S'!D18+'EBŞ23-19072122-S'!D18+'MİR23-19071718-S'!D18+'AYG23-19072122-S'!D18+'ÖB19-19071718-S'!D18+'MEM19-19071718-S'!D18+'BA19-19071617-S'!D18+'ÜN17-19071516-S'!D18+'ANK17-19071415-S'!D18+'ÖB16-19071416-S'!D18+'MİR15-19071315-S'!D18+'EMR15-19071113-S'!D18+'EBŞ15-19071415-S'!D18+'KAZ15-19071415-S'!D18+'ÖB12-19071011-S'!D18+'MİR10-19070810-S'!D18+'KAZ10-19070910-S'!D18+'BEY10-19070809-S'!D18+'BA09-19070708-S'!D18+'BO09-19070608-S'!D18+'EB08-19070708-S'!D18</f>
        <v>0</v>
      </c>
      <c r="E18" s="29">
        <f t="shared" si="1"/>
        <v>0</v>
      </c>
      <c r="F18" s="28">
        <f t="shared" si="2"/>
        <v>46.176588992433267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43.350635593220339</v>
      </c>
      <c r="D19" s="49">
        <f>SUM(D10:D18)</f>
        <v>94.4</v>
      </c>
      <c r="E19" s="48">
        <f t="shared" si="1"/>
        <v>1</v>
      </c>
      <c r="F19" s="47">
        <f>I19/D19</f>
        <v>47.54832499641055</v>
      </c>
      <c r="G19" s="46">
        <f>F19/C19-1</f>
        <v>9.6831092456847179E-2</v>
      </c>
      <c r="H19" s="9">
        <f>SUM(H10:H18)</f>
        <v>4092.3</v>
      </c>
      <c r="I19" s="9">
        <f>SUM(I10:I18)</f>
        <v>4488.5618796611561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62.4</v>
      </c>
      <c r="D21" s="117">
        <f>'BEY31-19073031-S'!D21+'AYG30-19072829-S'!D21+'EB30-19072930-S'!D21+'ÜN29-19072425-S'!D21+'MEM26-19072425-S'!D21+'MİR26-19072425-S'!D21+'EMM25-19072324-S'!D21+'BA25-19072223-S'!D21+'İP24-19071820-S'!D21+'EBŞ23-19072122-S'!D21+'MİR23-19071718-S'!D21+'AYG23-19072122-S'!D21+'ÖB19-19071718-S'!D21+'MEM19-19071718-S'!D21+'BA19-19071617-S'!D21+'ÜN17-19071516-S'!D21+'ANK17-19071415-S'!D21+'ÖB16-19071416-S'!D21+'MİR15-19071315-S'!D21+'EMR15-19071113-S'!D21+'EBŞ15-19071415-S'!D21+'KAZ15-19071415-S'!D21+'ÖB12-19071011-S'!D21+'MİR10-19070810-S'!D21+'KAZ10-19070910-S'!D21+'BEY10-19070809-S'!D21+'BA09-19070708-S'!D21+'BO09-19070608-S'!D21+'EB08-19070708-S'!D21</f>
        <v>2472.9000000000005</v>
      </c>
      <c r="E21" s="29">
        <f>D21/$D$48</f>
        <v>1.2436920186244505E-2</v>
      </c>
      <c r="F21" s="28">
        <f>C21-(C21*$E$6)</f>
        <v>68.442260169307261</v>
      </c>
      <c r="G21" s="27" t="str">
        <f>IF(C21&gt;=F21,"-","+")</f>
        <v>+</v>
      </c>
      <c r="H21" s="26">
        <f>C21*D21</f>
        <v>154308.96000000002</v>
      </c>
      <c r="I21" s="26">
        <f>F21*D21</f>
        <v>169250.86517267997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41.9</v>
      </c>
      <c r="D22" s="117">
        <f>'BEY31-19073031-S'!D22+'AYG30-19072829-S'!D22+'EB30-19072930-S'!D22+'ÜN29-19072425-S'!D22+'MEM26-19072425-S'!D22+'MİR26-19072425-S'!D22+'EMM25-19072324-S'!D22+'BA25-19072223-S'!D22+'İP24-19071820-S'!D22+'EBŞ23-19072122-S'!D22+'MİR23-19071718-S'!D22+'AYG23-19072122-S'!D22+'ÖB19-19071718-S'!D22+'MEM19-19071718-S'!D22+'BA19-19071617-S'!D22+'ÜN17-19071516-S'!D22+'ANK17-19071415-S'!D22+'ÖB16-19071416-S'!D22+'MİR15-19071315-S'!D22+'EMR15-19071113-S'!D22+'EBŞ15-19071415-S'!D22+'KAZ15-19071415-S'!D22+'ÖB12-19071011-S'!D22+'MİR10-19070810-S'!D22+'KAZ10-19070910-S'!D22+'BEY10-19070809-S'!D22+'BA09-19070708-S'!D22+'BO09-19070608-S'!D22+'EB08-19070708-S'!D22</f>
        <v>5053.3999999999978</v>
      </c>
      <c r="E22" s="29">
        <f>D22/$D$48</f>
        <v>2.541499149547816E-2</v>
      </c>
      <c r="F22" s="28">
        <f>C22-(C22*$E$6)</f>
        <v>45.957222773941893</v>
      </c>
      <c r="G22" s="27" t="str">
        <f>IF(C22&gt;=F22,"-","+")</f>
        <v>+</v>
      </c>
      <c r="H22" s="26">
        <f>C22*D22</f>
        <v>211737.4599999999</v>
      </c>
      <c r="I22" s="26">
        <f>F22*D22</f>
        <v>232240.22956583786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38.200000000000003</v>
      </c>
      <c r="D23" s="117">
        <f>'BEY31-19073031-S'!D23+'AYG30-19072829-S'!D23+'EB30-19072930-S'!D23+'ÜN29-19072425-S'!D23+'MEM26-19072425-S'!D23+'MİR26-19072425-S'!D23+'EMM25-19072324-S'!D23+'BA25-19072223-S'!D23+'İP24-19071820-S'!D23+'EBŞ23-19072122-S'!D23+'MİR23-19071718-S'!D23+'AYG23-19072122-S'!D23+'ÖB19-19071718-S'!D23+'MEM19-19071718-S'!D23+'BA19-19071617-S'!D23+'ÜN17-19071516-S'!D23+'ANK17-19071415-S'!D23+'ÖB16-19071416-S'!D23+'MİR15-19071315-S'!D23+'EMR15-19071113-S'!D23+'EBŞ15-19071415-S'!D23+'KAZ15-19071415-S'!D23+'ÖB12-19071011-S'!D23+'MİR10-19070810-S'!D23+'KAZ10-19070910-S'!D23+'BEY10-19070809-S'!D23+'BA09-19070708-S'!D23+'BO09-19070608-S'!D23+'EB08-19070708-S'!D23</f>
        <v>4013.2999999999993</v>
      </c>
      <c r="E23" s="29">
        <f>D23/$D$48</f>
        <v>2.0184031616100551E-2</v>
      </c>
      <c r="F23" s="28">
        <f>C23-(C23*$E$6)</f>
        <v>41.898947731851564</v>
      </c>
      <c r="G23" s="27" t="str">
        <f>IF(C23&gt;=F23,"-","+")</f>
        <v>+</v>
      </c>
      <c r="H23" s="26">
        <f>C23*D23</f>
        <v>153308.06</v>
      </c>
      <c r="I23" s="26">
        <f>F23*D23</f>
        <v>168153.04693223984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45.006280980276614</v>
      </c>
      <c r="D24" s="22">
        <f>SUM(D21:D23)</f>
        <v>11539.599999999999</v>
      </c>
      <c r="E24" s="21">
        <f>D24/$D$48</f>
        <v>5.8035943297823217E-2</v>
      </c>
      <c r="F24" s="20">
        <f>I24/D24</f>
        <v>49.364288335016617</v>
      </c>
      <c r="G24" s="19">
        <f>F24/C24-1</f>
        <v>9.6831092456847179E-2</v>
      </c>
      <c r="H24" s="18">
        <f>SUM(H21:H23)</f>
        <v>519354.47999999992</v>
      </c>
      <c r="I24" s="18">
        <f>SUM(I21:I23)</f>
        <v>569644.14167075767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33.299999999999997</v>
      </c>
      <c r="D26" s="117">
        <f>'BEY31-19073031-S'!D26+'AYG30-19072829-S'!D26+'EB30-19072930-S'!D26+'ÜN29-19072425-S'!D26+'MEM26-19072425-S'!D26+'MİR26-19072425-S'!D26+'EMM25-19072324-S'!D26+'BA25-19072223-S'!D26+'İP24-19071820-S'!D26+'EBŞ23-19072122-S'!D26+'MİR23-19071718-S'!D26+'AYG23-19072122-S'!D26+'ÖB19-19071718-S'!D26+'MEM19-19071718-S'!D26+'BA19-19071617-S'!D26+'ÜN17-19071516-S'!D26+'ANK17-19071415-S'!D26+'ÖB16-19071416-S'!D26+'MİR15-19071315-S'!D26+'EMR15-19071113-S'!D26+'EBŞ15-19071415-S'!D26+'KAZ15-19071415-S'!D26+'ÖB12-19071011-S'!D26+'MİR10-19070810-S'!D26+'KAZ10-19070910-S'!D26+'BEY10-19070809-S'!D26+'BA09-19070708-S'!D26+'BO09-19070608-S'!D26+'EB08-19070708-S'!D26</f>
        <v>37381.599999999999</v>
      </c>
      <c r="E26" s="29">
        <f t="shared" ref="E26:E32" si="7">D26/$D$48</f>
        <v>0.18800273995475655</v>
      </c>
      <c r="F26" s="28">
        <f t="shared" ref="F26:F31" si="8">C26-(C26*$E$6)</f>
        <v>36.524475378813008</v>
      </c>
      <c r="G26" s="27" t="str">
        <f t="shared" ref="G26:G31" si="9">IF(C26&gt;=F26,"-","+")</f>
        <v>+</v>
      </c>
      <c r="H26" s="26">
        <f t="shared" ref="H26:H31" si="10">C26*D26</f>
        <v>1244807.2799999998</v>
      </c>
      <c r="I26" s="26">
        <f t="shared" ref="I26:I31" si="11">F26*D26</f>
        <v>1365343.3288206363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29.7</v>
      </c>
      <c r="D27" s="117">
        <f>'BEY31-19073031-S'!D27+'AYG30-19072829-S'!D27+'EB30-19072930-S'!D27+'ÜN29-19072425-S'!D27+'MEM26-19072425-S'!D27+'MİR26-19072425-S'!D27+'EMM25-19072324-S'!D27+'BA25-19072223-S'!D27+'İP24-19071820-S'!D27+'EBŞ23-19072122-S'!D27+'MİR23-19071718-S'!D27+'AYG23-19072122-S'!D27+'ÖB19-19071718-S'!D27+'MEM19-19071718-S'!D27+'BA19-19071617-S'!D27+'ÜN17-19071516-S'!D27+'ANK17-19071415-S'!D27+'ÖB16-19071416-S'!D27+'MİR15-19071315-S'!D27+'EMR15-19071113-S'!D27+'EBŞ15-19071415-S'!D27+'KAZ15-19071415-S'!D27+'ÖB12-19071011-S'!D27+'MİR10-19070810-S'!D27+'KAZ10-19070910-S'!D27+'BEY10-19070809-S'!D27+'BA09-19070708-S'!D27+'BO09-19070608-S'!D27+'EB08-19070708-S'!D27</f>
        <v>29034.400000000001</v>
      </c>
      <c r="E27" s="29">
        <f t="shared" si="7"/>
        <v>0.14602228778175316</v>
      </c>
      <c r="F27" s="28">
        <f t="shared" si="8"/>
        <v>32.575883445968358</v>
      </c>
      <c r="G27" s="27" t="str">
        <f t="shared" si="9"/>
        <v>+</v>
      </c>
      <c r="H27" s="26">
        <f t="shared" si="10"/>
        <v>862321.68</v>
      </c>
      <c r="I27" s="26">
        <f t="shared" si="11"/>
        <v>945821.23032362375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29.7</v>
      </c>
      <c r="D28" s="117">
        <f>'BEY31-19073031-S'!D28+'AYG30-19072829-S'!D28+'EB30-19072930-S'!D28+'ÜN29-19072425-S'!D28+'MEM26-19072425-S'!D28+'MİR26-19072425-S'!D28+'EMM25-19072324-S'!D28+'BA25-19072223-S'!D28+'İP24-19071820-S'!D28+'EBŞ23-19072122-S'!D28+'MİR23-19071718-S'!D28+'AYG23-19072122-S'!D28+'ÖB19-19071718-S'!D28+'MEM19-19071718-S'!D28+'BA19-19071617-S'!D28+'ÜN17-19071516-S'!D28+'ANK17-19071415-S'!D28+'ÖB16-19071416-S'!D28+'MİR15-19071315-S'!D28+'EMR15-19071113-S'!D28+'EBŞ15-19071415-S'!D28+'KAZ15-19071415-S'!D28+'ÖB12-19071011-S'!D28+'MİR10-19070810-S'!D28+'KAZ10-19070910-S'!D28+'BEY10-19070809-S'!D28+'BA09-19070708-S'!D28+'BO09-19070608-S'!D28+'EB08-19070708-S'!D28</f>
        <v>15348.999999999998</v>
      </c>
      <c r="E28" s="29">
        <f t="shared" si="7"/>
        <v>7.7194503594430364E-2</v>
      </c>
      <c r="F28" s="28">
        <f t="shared" si="8"/>
        <v>32.575883445968358</v>
      </c>
      <c r="G28" s="27" t="str">
        <f t="shared" si="9"/>
        <v>+</v>
      </c>
      <c r="H28" s="26">
        <f t="shared" si="10"/>
        <v>455865.29999999993</v>
      </c>
      <c r="I28" s="26">
        <f t="shared" si="11"/>
        <v>500007.2350121683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28.7</v>
      </c>
      <c r="D29" s="117">
        <f>'BEY31-19073031-S'!D29+'AYG30-19072829-S'!D29+'EB30-19072930-S'!D29+'ÜN29-19072425-S'!D29+'MEM26-19072425-S'!D29+'MİR26-19072425-S'!D29+'EMM25-19072324-S'!D29+'BA25-19072223-S'!D29+'İP24-19071820-S'!D29+'EBŞ23-19072122-S'!D29+'MİR23-19071718-S'!D29+'AYG23-19072122-S'!D29+'ÖB19-19071718-S'!D29+'MEM19-19071718-S'!D29+'BA19-19071617-S'!D29+'ÜN17-19071516-S'!D29+'ANK17-19071415-S'!D29+'ÖB16-19071416-S'!D29+'MİR15-19071315-S'!D29+'EMR15-19071113-S'!D29+'EBŞ15-19071415-S'!D29+'KAZ15-19071415-S'!D29+'ÖB12-19071011-S'!D29+'MİR10-19070810-S'!D29+'KAZ10-19070910-S'!D29+'BEY10-19070809-S'!D29+'BA09-19070708-S'!D29+'BO09-19070608-S'!D29+'EB08-19070708-S'!D29</f>
        <v>14966.100000000006</v>
      </c>
      <c r="E29" s="29">
        <f t="shared" si="7"/>
        <v>7.5268790165131591E-2</v>
      </c>
      <c r="F29" s="28">
        <f t="shared" si="8"/>
        <v>31.479052353511513</v>
      </c>
      <c r="G29" s="27" t="str">
        <f t="shared" si="9"/>
        <v>+</v>
      </c>
      <c r="H29" s="26">
        <f t="shared" si="10"/>
        <v>429527.07000000018</v>
      </c>
      <c r="I29" s="26">
        <f t="shared" si="11"/>
        <v>471118.64542788884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28.7</v>
      </c>
      <c r="D30" s="117">
        <f>'BEY31-19073031-S'!D30+'AYG30-19072829-S'!D30+'EB30-19072930-S'!D30+'ÜN29-19072425-S'!D30+'MEM26-19072425-S'!D30+'MİR26-19072425-S'!D30+'EMM25-19072324-S'!D30+'BA25-19072223-S'!D30+'İP24-19071820-S'!D30+'EBŞ23-19072122-S'!D30+'MİR23-19071718-S'!D30+'AYG23-19072122-S'!D30+'ÖB19-19071718-S'!D30+'MEM19-19071718-S'!D30+'BA19-19071617-S'!D30+'ÜN17-19071516-S'!D30+'ANK17-19071415-S'!D30+'ÖB16-19071416-S'!D30+'MİR15-19071315-S'!D30+'EMR15-19071113-S'!D30+'EBŞ15-19071415-S'!D30+'KAZ15-19071415-S'!D30+'ÖB12-19071011-S'!D30+'MİR10-19070810-S'!D30+'KAZ10-19070910-S'!D30+'BEY10-19070809-S'!D30+'BA09-19070708-S'!D30+'BO09-19070608-S'!D30+'EB08-19070708-S'!D30</f>
        <v>11150.099999999999</v>
      </c>
      <c r="E30" s="29">
        <f t="shared" si="7"/>
        <v>5.6077036584028794E-2</v>
      </c>
      <c r="F30" s="28">
        <f t="shared" si="8"/>
        <v>31.479052353511513</v>
      </c>
      <c r="G30" s="27" t="str">
        <f t="shared" si="9"/>
        <v>+</v>
      </c>
      <c r="H30" s="26">
        <f t="shared" si="10"/>
        <v>320007.86999999994</v>
      </c>
      <c r="I30" s="26">
        <f t="shared" si="11"/>
        <v>350994.58164688869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29.2</v>
      </c>
      <c r="D31" s="117">
        <f>'BEY31-19073031-S'!D31+'AYG30-19072829-S'!D31+'EB30-19072930-S'!D31+'ÜN29-19072425-S'!D31+'MEM26-19072425-S'!D31+'MİR26-19072425-S'!D31+'EMM25-19072324-S'!D31+'BA25-19072223-S'!D31+'İP24-19071820-S'!D31+'EBŞ23-19072122-S'!D31+'MİR23-19071718-S'!D31+'AYG23-19072122-S'!D31+'ÖB19-19071718-S'!D31+'MEM19-19071718-S'!D31+'BA19-19071617-S'!D31+'ÜN17-19071516-S'!D31+'ANK17-19071415-S'!D31+'ÖB16-19071416-S'!D31+'MİR15-19071315-S'!D31+'EMR15-19071113-S'!D31+'EBŞ15-19071415-S'!D31+'KAZ15-19071415-S'!D31+'ÖB12-19071011-S'!D31+'MİR10-19070810-S'!D31+'KAZ10-19070910-S'!D31+'BEY10-19070809-S'!D31+'BA09-19070708-S'!D31+'BO09-19070608-S'!D31+'EB08-19070708-S'!D31</f>
        <v>3277.3</v>
      </c>
      <c r="E31" s="29">
        <f t="shared" si="7"/>
        <v>1.6482477466286186E-2</v>
      </c>
      <c r="F31" s="28">
        <f t="shared" si="8"/>
        <v>32.027467899739939</v>
      </c>
      <c r="G31" s="27" t="str">
        <f t="shared" si="9"/>
        <v>+</v>
      </c>
      <c r="H31" s="26">
        <f t="shared" si="10"/>
        <v>95697.16</v>
      </c>
      <c r="I31" s="26">
        <f t="shared" si="11"/>
        <v>104963.62054781771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30.66096034041481</v>
      </c>
      <c r="D32" s="22">
        <f>SUM(D26:D31)</f>
        <v>111158.50000000001</v>
      </c>
      <c r="E32" s="21">
        <f t="shared" si="7"/>
        <v>0.55904783554638671</v>
      </c>
      <c r="F32" s="20">
        <f>I32/D32</f>
        <v>33.629894625953234</v>
      </c>
      <c r="G32" s="19">
        <f>F32/C32-1</f>
        <v>9.6831092456846957E-2</v>
      </c>
      <c r="H32" s="18">
        <f>SUM(H26:H31)</f>
        <v>3408226.3600000003</v>
      </c>
      <c r="I32" s="18">
        <f>SUM(I26:I31)</f>
        <v>3738248.6417790232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17.5</v>
      </c>
      <c r="D34" s="117">
        <f>'BEY31-19073031-S'!D34+'AYG30-19072829-S'!D34+'EB30-19072930-S'!D34+'ÜN29-19072425-S'!D34+'MEM26-19072425-S'!D34+'MİR26-19072425-S'!D34+'EMM25-19072324-S'!D34+'BA25-19072223-S'!D34+'İP24-19071820-S'!D34+'EBŞ23-19072122-S'!D34+'MİR23-19071718-S'!D34+'AYG23-19072122-S'!D34+'ÖB19-19071718-S'!D34+'MEM19-19071718-S'!D34+'BA19-19071617-S'!D34+'ÜN17-19071516-S'!D34+'ANK17-19071415-S'!D34+'ÖB16-19071416-S'!D34+'MİR15-19071315-S'!D34+'EMR15-19071113-S'!D34+'EBŞ15-19071415-S'!D34+'KAZ15-19071415-S'!D34+'ÖB12-19071011-S'!D34+'MİR10-19070810-S'!D34+'KAZ10-19070910-S'!D34+'BEY10-19070809-S'!D34+'BA09-19070708-S'!D34+'BO09-19070608-S'!D34+'EB08-19070708-S'!D34</f>
        <v>29463.999999999993</v>
      </c>
      <c r="E34" s="29">
        <f t="shared" ref="E34:E40" si="13">D34/$D$48</f>
        <v>0.14818286884528606</v>
      </c>
      <c r="F34" s="28">
        <f t="shared" ref="F34:F39" si="14">C34-(C34*$E$6)</f>
        <v>19.194544117994827</v>
      </c>
      <c r="G34" s="27" t="str">
        <f t="shared" ref="G34:G39" si="15">IF(C34&gt;=F34,"-","+")</f>
        <v>+</v>
      </c>
      <c r="H34" s="26">
        <f t="shared" ref="H34:H39" si="16">C34*D34</f>
        <v>515619.99999999988</v>
      </c>
      <c r="I34" s="26">
        <f t="shared" ref="I34:I39" si="17">F34*D34</f>
        <v>565548.04789259948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13.5</v>
      </c>
      <c r="D35" s="117">
        <f>'BEY31-19073031-S'!D35+'AYG30-19072829-S'!D35+'EB30-19072930-S'!D35+'ÜN29-19072425-S'!D35+'MEM26-19072425-S'!D35+'MİR26-19072425-S'!D35+'EMM25-19072324-S'!D35+'BA25-19072223-S'!D35+'İP24-19071820-S'!D35+'EBŞ23-19072122-S'!D35+'MİR23-19071718-S'!D35+'AYG23-19072122-S'!D35+'ÖB19-19071718-S'!D35+'MEM19-19071718-S'!D35+'BA19-19071617-S'!D35+'ÜN17-19071516-S'!D35+'ANK17-19071415-S'!D35+'ÖB16-19071416-S'!D35+'MİR15-19071315-S'!D35+'EMR15-19071113-S'!D35+'EBŞ15-19071415-S'!D35+'KAZ15-19071415-S'!D35+'ÖB12-19071011-S'!D35+'MİR10-19070810-S'!D35+'KAZ10-19070910-S'!D35+'BEY10-19070809-S'!D35+'BA09-19070708-S'!D35+'BO09-19070608-S'!D35+'EB08-19070708-S'!D35</f>
        <v>2721</v>
      </c>
      <c r="E35" s="29">
        <f t="shared" si="13"/>
        <v>1.3684685926147961E-2</v>
      </c>
      <c r="F35" s="28">
        <f t="shared" si="14"/>
        <v>14.807219748167437</v>
      </c>
      <c r="G35" s="27" t="str">
        <f t="shared" si="15"/>
        <v>+</v>
      </c>
      <c r="H35" s="26">
        <f t="shared" si="16"/>
        <v>36733.5</v>
      </c>
      <c r="I35" s="26">
        <f t="shared" si="17"/>
        <v>40290.444934763596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117">
        <f>'BEY31-19073031-S'!D36+'AYG30-19072829-S'!D36+'EB30-19072930-S'!D36+'ÜN29-19072425-S'!D36+'MEM26-19072425-S'!D36+'MİR26-19072425-S'!D36+'EMM25-19072324-S'!D36+'BA25-19072223-S'!D36+'İP24-19071820-S'!D36+'EBŞ23-19072122-S'!D36+'MİR23-19071718-S'!D36+'AYG23-19072122-S'!D36+'ÖB19-19071718-S'!D36+'MEM19-19071718-S'!D36+'BA19-19071617-S'!D36+'ÜN17-19071516-S'!D36+'ANK17-19071415-S'!D36+'ÖB16-19071416-S'!D36+'MİR15-19071315-S'!D36+'EMR15-19071113-S'!D36+'EBŞ15-19071415-S'!D36+'KAZ15-19071415-S'!D36+'ÖB12-19071011-S'!D36+'MİR10-19070810-S'!D36+'KAZ10-19070910-S'!D36+'BEY10-19070809-S'!D36+'BA09-19070708-S'!D36+'BO09-19070608-S'!D36+'EB08-19070708-S'!D36</f>
        <v>0</v>
      </c>
      <c r="E36" s="29">
        <f t="shared" si="13"/>
        <v>0</v>
      </c>
      <c r="F36" s="28">
        <f t="shared" si="14"/>
        <v>11.84577579853395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28.7</v>
      </c>
      <c r="D37" s="117">
        <f>'BEY31-19073031-S'!D37+'AYG30-19072829-S'!D37+'EB30-19072930-S'!D37+'ÜN29-19072425-S'!D37+'MEM26-19072425-S'!D37+'MİR26-19072425-S'!D37+'EMM25-19072324-S'!D37+'BA25-19072223-S'!D37+'İP24-19071820-S'!D37+'EBŞ23-19072122-S'!D37+'MİR23-19071718-S'!D37+'AYG23-19072122-S'!D37+'ÖB19-19071718-S'!D37+'MEM19-19071718-S'!D37+'BA19-19071617-S'!D37+'ÜN17-19071516-S'!D37+'ANK17-19071415-S'!D37+'ÖB16-19071416-S'!D37+'MİR15-19071315-S'!D37+'EMR15-19071113-S'!D37+'EBŞ15-19071415-S'!D37+'KAZ15-19071415-S'!D37+'ÖB12-19071011-S'!D37+'MİR10-19070810-S'!D37+'KAZ10-19070910-S'!D37+'BEY10-19070809-S'!D37+'BA09-19070708-S'!D37+'BO09-19070608-S'!D37+'EB08-19070708-S'!D37</f>
        <v>0</v>
      </c>
      <c r="E37" s="29">
        <f t="shared" si="13"/>
        <v>0</v>
      </c>
      <c r="F37" s="28">
        <f t="shared" si="14"/>
        <v>31.479052353511513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28.7</v>
      </c>
      <c r="D38" s="117">
        <f>'BEY31-19073031-S'!D38+'AYG30-19072829-S'!D38+'EB30-19072930-S'!D38+'ÜN29-19072425-S'!D38+'MEM26-19072425-S'!D38+'MİR26-19072425-S'!D38+'EMM25-19072324-S'!D38+'BA25-19072223-S'!D38+'İP24-19071820-S'!D38+'EBŞ23-19072122-S'!D38+'MİR23-19071718-S'!D38+'AYG23-19072122-S'!D38+'ÖB19-19071718-S'!D38+'MEM19-19071718-S'!D38+'BA19-19071617-S'!D38+'ÜN17-19071516-S'!D38+'ANK17-19071415-S'!D38+'ÖB16-19071416-S'!D38+'MİR15-19071315-S'!D38+'EMR15-19071113-S'!D38+'EBŞ15-19071415-S'!D38+'KAZ15-19071415-S'!D38+'ÖB12-19071011-S'!D38+'MİR10-19070810-S'!D38+'KAZ10-19070910-S'!D38+'BEY10-19070809-S'!D38+'BA09-19070708-S'!D38+'BO09-19070608-S'!D38+'EB08-19070708-S'!D38</f>
        <v>0</v>
      </c>
      <c r="E38" s="29">
        <f t="shared" si="13"/>
        <v>0</v>
      </c>
      <c r="F38" s="28">
        <f t="shared" si="14"/>
        <v>31.479052353511513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29.7</v>
      </c>
      <c r="D39" s="117">
        <f>'BEY31-19073031-S'!D39+'AYG30-19072829-S'!D39+'EB30-19072930-S'!D39+'ÜN29-19072425-S'!D39+'MEM26-19072425-S'!D39+'MİR26-19072425-S'!D39+'EMM25-19072324-S'!D39+'BA25-19072223-S'!D39+'İP24-19071820-S'!D39+'EBŞ23-19072122-S'!D39+'MİR23-19071718-S'!D39+'AYG23-19072122-S'!D39+'ÖB19-19071718-S'!D39+'MEM19-19071718-S'!D39+'BA19-19071617-S'!D39+'ÜN17-19071516-S'!D39+'ANK17-19071415-S'!D39+'ÖB16-19071416-S'!D39+'MİR15-19071315-S'!D39+'EMR15-19071113-S'!D39+'EBŞ15-19071415-S'!D39+'KAZ15-19071415-S'!D39+'ÖB12-19071011-S'!D39+'MİR10-19070810-S'!D39+'KAZ10-19070910-S'!D39+'BEY10-19070809-S'!D39+'BA09-19070708-S'!D39+'BO09-19070608-S'!D39+'EB08-19070708-S'!D39</f>
        <v>0</v>
      </c>
      <c r="E39" s="29">
        <f t="shared" si="13"/>
        <v>0</v>
      </c>
      <c r="F39" s="28">
        <f t="shared" si="14"/>
        <v>32.575883445968358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17.161830045052042</v>
      </c>
      <c r="D40" s="22">
        <f>SUM(D34:D39)</f>
        <v>32184.999999999993</v>
      </c>
      <c r="E40" s="21">
        <f t="shared" si="13"/>
        <v>0.16186755477143402</v>
      </c>
      <c r="F40" s="20">
        <f>I40/D40</f>
        <v>18.823628796873177</v>
      </c>
      <c r="G40" s="19">
        <f>F40/C40-1</f>
        <v>9.6831092456847401E-2</v>
      </c>
      <c r="H40" s="18">
        <f>SUM(H34:H39)</f>
        <v>552353.49999999988</v>
      </c>
      <c r="I40" s="18">
        <f>SUM(I34:I39)</f>
        <v>605838.49282736308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117">
        <f>'BEY31-19073031-S'!D42+'AYG30-19072829-S'!D42+'EB30-19072930-S'!D42+'ÜN29-19072425-S'!D42+'MEM26-19072425-S'!D42+'MİR26-19072425-S'!D42+'EMM25-19072324-S'!D42+'BA25-19072223-S'!D42+'İP24-19071820-S'!D42+'EBŞ23-19072122-S'!D42+'MİR23-19071718-S'!D42+'AYG23-19072122-S'!D42+'ÖB19-19071718-S'!D42+'MEM19-19071718-S'!D42+'BA19-19071617-S'!D42+'ÜN17-19071516-S'!D42+'ANK17-19071415-S'!D42+'ÖB16-19071416-S'!D42+'MİR15-19071315-S'!D42+'EMR15-19071113-S'!D42+'EBŞ15-19071415-S'!D42+'KAZ15-19071415-S'!D42+'ÖB12-19071011-S'!D42+'MİR10-19070810-S'!D42+'KAZ10-19070910-S'!D42+'BEY10-19070809-S'!D42+'BA09-19070708-S'!D42+'BO09-19070608-S'!D42+'EB08-19070708-S'!D42</f>
        <v>42241.799999999996</v>
      </c>
      <c r="E42" s="107">
        <f>D42/$D$48</f>
        <v>0.21244607348590844</v>
      </c>
      <c r="F42" s="28">
        <f>C42-(C42*$E$6)</f>
        <v>0.43873243698273889</v>
      </c>
      <c r="G42" s="27" t="str">
        <f>IF(C42&gt;=F42,"-","+")</f>
        <v>+</v>
      </c>
      <c r="H42" s="26">
        <f>C42*D42</f>
        <v>16896.719999999998</v>
      </c>
      <c r="I42" s="26">
        <f>F42*D42</f>
        <v>18532.847856537457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117">
        <f>'BEY31-19073031-S'!D43+'AYG30-19072829-S'!D43+'EB30-19072930-S'!D43+'ÜN29-19072425-S'!D43+'MEM26-19072425-S'!D43+'MİR26-19072425-S'!D43+'EMM25-19072324-S'!D43+'BA25-19072223-S'!D43+'İP24-19071820-S'!D43+'EBŞ23-19072122-S'!D43+'MİR23-19071718-S'!D43+'AYG23-19072122-S'!D43+'ÖB19-19071718-S'!D43+'MEM19-19071718-S'!D43+'BA19-19071617-S'!D43+'ÜN17-19071516-S'!D43+'ANK17-19071415-S'!D43+'ÖB16-19071416-S'!D43+'MİR15-19071315-S'!D43+'EMR15-19071113-S'!D43+'EBŞ15-19071415-S'!D43+'KAZ15-19071415-S'!D43+'ÖB12-19071011-S'!D43+'MİR10-19070810-S'!D43+'KAZ10-19070910-S'!D43+'BEY10-19070809-S'!D43+'BA09-19070708-S'!D43+'BO09-19070608-S'!D43+'EB08-19070708-S'!D43</f>
        <v>1504.6299999999999</v>
      </c>
      <c r="E43" s="107">
        <f>D43/$D$48</f>
        <v>7.567213886460861E-3</v>
      </c>
      <c r="F43" s="28">
        <f>C43-(C43*$E$6)</f>
        <v>0.43873243698273889</v>
      </c>
      <c r="G43" s="27" t="str">
        <f>IF(C43&gt;=F43,"-","+")</f>
        <v>+</v>
      </c>
      <c r="H43" s="26">
        <f>C43*D43</f>
        <v>601.85199999999998</v>
      </c>
      <c r="I43" s="26">
        <f>F43*D43</f>
        <v>660.12998665733835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BEY31-19073031-S'!D44+'AYG30-19072829-S'!D44+'EB30-19072930-S'!D44+'ÜN29-19072425-S'!D44+'MEM26-19072425-S'!D44+'MİR26-19072425-S'!D44+'EMM25-19072324-S'!D44+'BA25-19072223-S'!D44+'İP24-19071820-S'!D44+'EBŞ23-19072122-S'!D44+'MİR23-19071718-S'!D44+'AYG23-19072122-S'!D44+'ÖB19-19071718-S'!D44+'MEM19-19071718-S'!D44+'BA19-19071617-S'!D44+'ÜN17-19071516-S'!D44+'ANK17-19071415-S'!D44+'ÖB16-19071416-S'!D44+'MİR15-19071315-S'!D44+'EMR15-19071113-S'!D44+'EBŞ15-19071415-S'!D44+'KAZ15-19071415-S'!D44+'ÖB12-19071011-S'!D44+'MİR10-19070810-S'!D44+'KAZ10-19070910-S'!D44+'BEY10-19070809-S'!D44+'BA09-19070708-S'!D44+'BO09-19070608-S'!D44+'EB08-19070708-S'!D44</f>
        <v>39.4</v>
      </c>
      <c r="E44" s="107">
        <f>D44/$D$48</f>
        <v>1.9815384986778008E-4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BEY31-19073031-S'!D45+'AYG30-19072829-S'!D45+'EB30-19072930-S'!D45+'ÜN29-19072425-S'!D45+'MEM26-19072425-S'!D45+'MİR26-19072425-S'!D45+'EMM25-19072324-S'!D45+'BA25-19072223-S'!D45+'İP24-19071820-S'!D45+'EBŞ23-19072122-S'!D45+'MİR23-19071718-S'!D45+'AYG23-19072122-S'!D45+'ÖB19-19071718-S'!D45+'MEM19-19071718-S'!D45+'BA19-19071617-S'!D45+'ÜN17-19071516-S'!D45+'ANK17-19071415-S'!D45+'ÖB16-19071416-S'!D45+'MİR15-19071315-S'!D45+'EMR15-19071113-S'!D45+'EBŞ15-19071415-S'!D45+'KAZ15-19071415-S'!D45+'ÖB12-19071011-S'!D45+'MİR10-19070810-S'!D45+'KAZ10-19070910-S'!D45+'BEY10-19070809-S'!D45+'BA09-19070708-S'!D45+'BO09-19070608-S'!D45+'EB08-19070708-S'!D45</f>
        <v>166.46999999999997</v>
      </c>
      <c r="E45" s="107">
        <f>D45/$D$48</f>
        <v>8.3722516211901887E-4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0.39812642341811461</v>
      </c>
      <c r="D46" s="22">
        <f>SUM(D41:D45)</f>
        <v>43952.299999999996</v>
      </c>
      <c r="E46" s="21">
        <f>D46/$D$48</f>
        <v>0.22104866638435608</v>
      </c>
      <c r="F46" s="20">
        <f>I46/D46</f>
        <v>0.43667743993362801</v>
      </c>
      <c r="G46" s="19">
        <f>F46/C46-1</f>
        <v>9.6831092456847401E-2</v>
      </c>
      <c r="H46" s="18">
        <f>SUM(H41:H44)</f>
        <v>17498.571999999996</v>
      </c>
      <c r="I46" s="18">
        <f>SUM(I41:I44)</f>
        <v>19192.977843194796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93.227197789161593</v>
      </c>
      <c r="D48" s="13">
        <f>D24+D32+D40+D46</f>
        <v>198835.4</v>
      </c>
      <c r="E48" s="12">
        <f>SUM(E20:E46)/2</f>
        <v>0.99999999999999989</v>
      </c>
      <c r="F48" s="11">
        <f>I48/D48</f>
        <v>24.80908457005312</v>
      </c>
      <c r="G48" s="10"/>
      <c r="H48" s="9">
        <f>SUM(H20:H46)/2</f>
        <v>4497432.9120000005</v>
      </c>
      <c r="I48" s="9">
        <f>SUM(I20:I46)/2</f>
        <v>4932924.2541203396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198929.8</v>
      </c>
      <c r="E50" s="12">
        <f>D50/G2</f>
        <v>1.000005026924206</v>
      </c>
      <c r="F50" s="11">
        <f>I50/D50</f>
        <v>24.819875232368407</v>
      </c>
      <c r="G50" s="10"/>
      <c r="H50" s="9">
        <f>H48+H19</f>
        <v>4501525.2120000003</v>
      </c>
      <c r="I50" s="9">
        <f>I48+I19</f>
        <v>4937412.8160000006</v>
      </c>
      <c r="J50" s="106">
        <f>D50-G2</f>
        <v>0.99999999997089617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24.819875232368407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>
    <tabColor rgb="FFFF0000"/>
  </sheetPr>
  <dimension ref="A1:K56"/>
  <sheetViews>
    <sheetView workbookViewId="0">
      <selection activeCell="C7" sqref="C7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813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G31-19072729-1'!G2+'G30-19072325'!G2+'ÖB30-19072830-K'!G2+'EMM29-19072324'!G2+'G29-19072729'!G2+'YIL25-19072425'!G2+'G24-19072123'!G2+'ÖB24-19072122-K'!G2+'MOL22-19072022'!G2+'ÖB20-19071718-K'!G2+'G18-19071718'!G2+'G18-19071617-1'!G2+'G18-19071617'!G2+'G17-19071516-1'!G2+'BA17-19071617'!G2+'G16-19071516'!G2+'ÖB16-19071416-K'!G2+'ÖB11-19071011-K'!G2+'MOL11-19071011'!G2+'G09-19070809'!G2+'BA08-19070708'!G2+'YIL08-19070608'!G2+'BO05-19070304'!G2+'ÖA04-19070304-1'!G2+'ÖA04-19070304'!G2+'ÖA04-19070203-K'!G2+'ÖA03-19070203'!G2+'ÖB01-19073001-K'!G2+'ÖA01-19073001-1'!G2+'ÖA01-19073001'!G2</f>
        <v>416889.7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G31-19072729-1'!E3+'G30-19072325'!E3+'ÖB30-19072830-K'!E3+'EMM29-19072324'!E3+'G29-19072729'!E3+'YIL25-19072425'!E3+'G24-19072123'!E3+'ÖB24-19072122-K'!E3+'MOL22-19072022'!E3+'ÖB20-19071718-K'!E3+'G18-19071718'!E3+'G18-19071617-1'!E3+'G18-19071617'!E3+'G17-19071516-1'!E3+'BA17-19071617'!E3+'G16-19071516'!E3+'ÖB16-19071416-K'!E3+'ÖB11-19071011-K'!E3+'MOL11-19071011'!E3+'G09-19070809'!E3+'BA08-19070708'!E3+'YIL08-19070608'!E3+'BO05-19070304'!E3+'ÖA04-19070304-1'!E3+'ÖA04-19070304'!E3+'ÖA04-19070203-K'!E3+'ÖA03-19070203'!E3+'ÖB01-19073001-K'!E3+'ÖA01-19073001-1'!E3+'ÖA01-19073001'!E3</f>
        <v>5483</v>
      </c>
      <c r="F3" s="111" t="s">
        <v>8</v>
      </c>
      <c r="G3" s="114">
        <v>27.53</v>
      </c>
      <c r="H3" s="118" t="s">
        <v>815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76.033138792631775</v>
      </c>
      <c r="F4" s="81" t="s">
        <v>12</v>
      </c>
      <c r="G4" s="112">
        <f>G2*G3</f>
        <v>11476973.441000002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-2.91230544671921E-2</v>
      </c>
      <c r="F6" s="69" t="s">
        <v>16</v>
      </c>
      <c r="G6" s="68">
        <f>(I50-I19)/(D50-(SUM(D42:D44)+D19))</f>
        <v>32.78988633659889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117">
        <f>'G31-19072729-1'!D10+'G30-19072325'!D10+'ÖB30-19072830-K'!D10+'EMM29-19072324'!D10+'G29-19072729'!D10+'YIL25-19072425'!D10+'G24-19072123'!D10+'ÖB24-19072122-K'!D10+'MOL22-19072022'!D10+'ÖB20-19071718-K'!D10+'G18-19071718'!D10+'G18-19071617-1'!D10+'G18-19071617'!D10+'G17-19071516-1'!D10+'BA17-19071617'!D10+'G16-19071516'!D10+'ÖB16-19071416-K'!D10+'ÖB11-19071011-K'!D10+'MOL11-19071011'!D10+'G09-19070809'!D10+'BA08-19070708'!D10+'YIL08-19070608'!D10+'BO05-19070304'!D10+'ÖA04-19070304-1'!D10+'ÖA04-19070304'!D10+'ÖA04-19070203-K'!D10+'ÖA03-19070203'!D10+'ÖB01-19073001-K'!D10+'ÖA01-19073001-1'!D10+'ÖA01-19073001'!D10</f>
        <v>0</v>
      </c>
      <c r="E10" s="29">
        <f t="shared" ref="E10:E19" si="1">D10/$D$19</f>
        <v>0</v>
      </c>
      <c r="F10" s="28">
        <f t="shared" ref="F10:F18" si="2">C10-(C10*$E$6)</f>
        <v>28.300883997847784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28.7</v>
      </c>
      <c r="D11" s="117">
        <f>'G31-19072729-1'!D11+'G30-19072325'!D11+'ÖB30-19072830-K'!D11+'EMM29-19072324'!D11+'G29-19072729'!D11+'YIL25-19072425'!D11+'G24-19072123'!D11+'ÖB24-19072122-K'!D11+'MOL22-19072022'!D11+'ÖB20-19071718-K'!D11+'G18-19071718'!D11+'G18-19071617-1'!D11+'G18-19071617'!D11+'G17-19071516-1'!D11+'BA17-19071617'!D11+'G16-19071516'!D11+'ÖB16-19071416-K'!D11+'ÖB11-19071011-K'!D11+'MOL11-19071011'!D11+'G09-19070809'!D11+'BA08-19070708'!D11+'YIL08-19070608'!D11+'BO05-19070304'!D11+'ÖA04-19070304-1'!D11+'ÖA04-19070304'!D11+'ÖA04-19070203-K'!D11+'ÖA03-19070203'!D11+'ÖB01-19073001-K'!D11+'ÖA01-19073001-1'!D11+'ÖA01-19073001'!D11</f>
        <v>18008.200000000004</v>
      </c>
      <c r="E11" s="29">
        <f t="shared" si="1"/>
        <v>0.52291350883611809</v>
      </c>
      <c r="F11" s="28">
        <f t="shared" si="2"/>
        <v>29.535831663208413</v>
      </c>
      <c r="G11" s="27" t="str">
        <f t="shared" si="3"/>
        <v>+</v>
      </c>
      <c r="H11" s="34">
        <f t="shared" si="4"/>
        <v>516835.34000000008</v>
      </c>
      <c r="I11" s="34">
        <f t="shared" si="5"/>
        <v>531887.16375738988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26.2</v>
      </c>
      <c r="D12" s="117">
        <f>'G31-19072729-1'!D12+'G30-19072325'!D12+'ÖB30-19072830-K'!D12+'EMM29-19072324'!D12+'G29-19072729'!D12+'YIL25-19072425'!D12+'G24-19072123'!D12+'ÖB24-19072122-K'!D12+'MOL22-19072022'!D12+'ÖB20-19071718-K'!D12+'G18-19071718'!D12+'G18-19071617-1'!D12+'G18-19071617'!D12+'G17-19071516-1'!D12+'BA17-19071617'!D12+'G16-19071516'!D12+'ÖB16-19071416-K'!D12+'ÖB11-19071011-K'!D12+'MOL11-19071011'!D12+'G09-19070809'!D12+'BA08-19070708'!D12+'YIL08-19070608'!D12+'BO05-19070304'!D12+'ÖA04-19070304-1'!D12+'ÖA04-19070304'!D12+'ÖA04-19070203-K'!D12+'ÖA03-19070203'!D12+'ÖB01-19073001-K'!D12+'ÖA01-19073001-1'!D12+'ÖA01-19073001'!D12</f>
        <v>8677.8999999999978</v>
      </c>
      <c r="E12" s="29">
        <f t="shared" si="1"/>
        <v>0.25198471464826838</v>
      </c>
      <c r="F12" s="28">
        <f t="shared" si="2"/>
        <v>26.963024027040433</v>
      </c>
      <c r="G12" s="27" t="str">
        <f>IF(C12&gt;=F12,"-","+")</f>
        <v>+</v>
      </c>
      <c r="H12" s="34">
        <f t="shared" si="4"/>
        <v>227360.97999999992</v>
      </c>
      <c r="I12" s="34">
        <f t="shared" si="5"/>
        <v>233982.42620425412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28.7</v>
      </c>
      <c r="D13" s="117">
        <f>'G31-19072729-1'!D13+'G30-19072325'!D13+'ÖB30-19072830-K'!D13+'EMM29-19072324'!D13+'G29-19072729'!D13+'YIL25-19072425'!D13+'G24-19072123'!D13+'ÖB24-19072122-K'!D13+'MOL22-19072022'!D13+'ÖB20-19071718-K'!D13+'G18-19071718'!D13+'G18-19071617-1'!D13+'G18-19071617'!D13+'G17-19071516-1'!D13+'BA17-19071617'!D13+'G16-19071516'!D13+'ÖB16-19071416-K'!D13+'ÖB11-19071011-K'!D13+'MOL11-19071011'!D13+'G09-19070809'!D13+'BA08-19070708'!D13+'YIL08-19070608'!D13+'BO05-19070304'!D13+'ÖA04-19070304-1'!D13+'ÖA04-19070304'!D13+'ÖA04-19070203-K'!D13+'ÖA03-19070203'!D13+'ÖB01-19073001-K'!D13+'ÖA01-19073001-1'!D13+'ÖA01-19073001'!D13</f>
        <v>3965.9999999999995</v>
      </c>
      <c r="E13" s="29">
        <f t="shared" si="1"/>
        <v>0.11516281338745925</v>
      </c>
      <c r="F13" s="28">
        <f t="shared" si="2"/>
        <v>29.535831663208413</v>
      </c>
      <c r="G13" s="27" t="str">
        <f t="shared" si="3"/>
        <v>+</v>
      </c>
      <c r="H13" s="34">
        <f t="shared" si="4"/>
        <v>113824.19999999998</v>
      </c>
      <c r="I13" s="34">
        <f t="shared" si="5"/>
        <v>117139.10837628455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32.1</v>
      </c>
      <c r="D14" s="117">
        <f>'G31-19072729-1'!D14+'G30-19072325'!D14+'ÖB30-19072830-K'!D14+'EMM29-19072324'!D14+'G29-19072729'!D14+'YIL25-19072425'!D14+'G24-19072123'!D14+'ÖB24-19072122-K'!D14+'MOL22-19072022'!D14+'ÖB20-19071718-K'!D14+'G18-19071718'!D14+'G18-19071617-1'!D14+'G18-19071617'!D14+'G17-19071516-1'!D14+'BA17-19071617'!D14+'G16-19071516'!D14+'ÖB16-19071416-K'!D14+'ÖB11-19071011-K'!D14+'MOL11-19071011'!D14+'G09-19070809'!D14+'BA08-19070708'!D14+'YIL08-19070608'!D14+'BO05-19070304'!D14+'ÖA04-19070304-1'!D14+'ÖA04-19070304'!D14+'ÖA04-19070203-K'!D14+'ÖA03-19070203'!D14+'ÖB01-19073001-K'!D14+'ÖA01-19073001-1'!D14+'ÖA01-19073001'!D14</f>
        <v>1149.2</v>
      </c>
      <c r="E14" s="29">
        <f t="shared" si="1"/>
        <v>3.336992061141407E-2</v>
      </c>
      <c r="F14" s="28">
        <f t="shared" si="2"/>
        <v>33.034850048396869</v>
      </c>
      <c r="G14" s="27" t="str">
        <f t="shared" si="3"/>
        <v>+</v>
      </c>
      <c r="H14" s="34">
        <f t="shared" si="4"/>
        <v>36889.32</v>
      </c>
      <c r="I14" s="34">
        <f t="shared" si="5"/>
        <v>37963.649675617686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26.4</v>
      </c>
      <c r="D15" s="117">
        <f>'G31-19072729-1'!D15+'G30-19072325'!D15+'ÖB30-19072830-K'!D15+'EMM29-19072324'!D15+'G29-19072729'!D15+'YIL25-19072425'!D15+'G24-19072123'!D15+'ÖB24-19072122-K'!D15+'MOL22-19072022'!D15+'ÖB20-19071718-K'!D15+'G18-19071718'!D15+'G18-19071617-1'!D15+'G18-19071617'!D15+'G17-19071516-1'!D15+'BA17-19071617'!D15+'G16-19071516'!D15+'ÖB16-19071416-K'!D15+'ÖB11-19071011-K'!D15+'MOL11-19071011'!D15+'G09-19070809'!D15+'BA08-19070708'!D15+'YIL08-19070608'!D15+'BO05-19070304'!D15+'ÖA04-19070304-1'!D15+'ÖA04-19070304'!D15+'ÖA04-19070203-K'!D15+'ÖA03-19070203'!D15+'ÖB01-19073001-K'!D15+'ÖA01-19073001-1'!D15+'ÖA01-19073001'!D15</f>
        <v>1592.0000000000002</v>
      </c>
      <c r="E15" s="29">
        <f t="shared" si="1"/>
        <v>4.622773547978698E-2</v>
      </c>
      <c r="F15" s="28">
        <f t="shared" si="2"/>
        <v>27.16884863793387</v>
      </c>
      <c r="G15" s="27" t="str">
        <f t="shared" si="3"/>
        <v>+</v>
      </c>
      <c r="H15" s="34">
        <f t="shared" si="4"/>
        <v>42028.800000000003</v>
      </c>
      <c r="I15" s="34">
        <f t="shared" si="5"/>
        <v>43252.807031590724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36.200000000000003</v>
      </c>
      <c r="D16" s="117">
        <f>'G31-19072729-1'!D16+'G30-19072325'!D16+'ÖB30-19072830-K'!D16+'EMM29-19072324'!D16+'G29-19072729'!D16+'YIL25-19072425'!D16+'G24-19072123'!D16+'ÖB24-19072122-K'!D16+'MOL22-19072022'!D16+'ÖB20-19071718-K'!D16+'G18-19071718'!D16+'G18-19071617-1'!D16+'G18-19071617'!D16+'G17-19071516-1'!D16+'BA17-19071617'!D16+'G16-19071516'!D16+'ÖB16-19071416-K'!D16+'ÖB11-19071011-K'!D16+'MOL11-19071011'!D16+'G09-19070809'!D16+'BA08-19070708'!D16+'YIL08-19070608'!D16+'BO05-19070304'!D16+'ÖA04-19070304-1'!D16+'ÖA04-19070304'!D16+'ÖA04-19070203-K'!D16+'ÖA03-19070203'!D16+'ÖB01-19073001-K'!D16+'ÖA01-19073001-1'!D16+'ÖA01-19073001'!D16</f>
        <v>20.6</v>
      </c>
      <c r="E16" s="29">
        <f t="shared" si="1"/>
        <v>5.9817295909774611E-4</v>
      </c>
      <c r="F16" s="28">
        <f t="shared" si="2"/>
        <v>37.254254571712359</v>
      </c>
      <c r="G16" s="27" t="str">
        <f t="shared" si="3"/>
        <v>+</v>
      </c>
      <c r="H16" s="34">
        <f t="shared" si="4"/>
        <v>745.72000000000014</v>
      </c>
      <c r="I16" s="34">
        <f t="shared" si="5"/>
        <v>767.43764417727459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117">
        <f>'G31-19072729-1'!D17+'G30-19072325'!D17+'ÖB30-19072830-K'!D17+'EMM29-19072324'!D17+'G29-19072729'!D17+'YIL25-19072425'!D17+'G24-19072123'!D17+'ÖB24-19072122-K'!D17+'MOL22-19072022'!D17+'ÖB20-19071718-K'!D17+'G18-19071718'!D17+'G18-19071617-1'!D17+'G18-19071617'!D17+'G17-19071516-1'!D17+'BA17-19071617'!D17+'G16-19071516'!D17+'ÖB16-19071416-K'!D17+'ÖB11-19071011-K'!D17+'MOL11-19071011'!D17+'G09-19070809'!D17+'BA08-19070708'!D17+'YIL08-19070608'!D17+'BO05-19070304'!D17+'ÖA04-19070304-1'!D17+'ÖA04-19070304'!D17+'ÖA04-19070203-K'!D17+'ÖA03-19070203'!D17+'ÖB01-19073001-K'!D17+'ÖA01-19073001-1'!D17+'ÖA01-19073001'!D17</f>
        <v>824.9</v>
      </c>
      <c r="E17" s="29">
        <f t="shared" si="1"/>
        <v>2.395305213396751E-2</v>
      </c>
      <c r="F17" s="28">
        <f t="shared" si="2"/>
        <v>54.749346497654621</v>
      </c>
      <c r="G17" s="27" t="str">
        <f t="shared" si="3"/>
        <v>+</v>
      </c>
      <c r="H17" s="34">
        <f t="shared" si="4"/>
        <v>43884.68</v>
      </c>
      <c r="I17" s="34">
        <f t="shared" si="5"/>
        <v>45162.735925915295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117">
        <f>'G31-19072729-1'!D18+'G30-19072325'!D18+'ÖB30-19072830-K'!D18+'EMM29-19072324'!D18+'G29-19072729'!D18+'YIL25-19072425'!D18+'G24-19072123'!D18+'ÖB24-19072122-K'!D18+'MOL22-19072022'!D18+'ÖB20-19071718-K'!D18+'G18-19071718'!D18+'G18-19071617-1'!D18+'G18-19071617'!D18+'G17-19071516-1'!D18+'BA17-19071617'!D18+'G16-19071516'!D18+'ÖB16-19071416-K'!D18+'ÖB11-19071011-K'!D18+'MOL11-19071011'!D18+'G09-19070809'!D18+'BA08-19070708'!D18+'YIL08-19070608'!D18+'BO05-19070304'!D18+'ÖA04-19070304-1'!D18+'ÖA04-19070304'!D18+'ÖA04-19070203-K'!D18+'ÖA03-19070203'!D18+'ÖB01-19073001-K'!D18+'ÖA01-19073001-1'!D18+'ÖA01-19073001'!D18</f>
        <v>199.4</v>
      </c>
      <c r="E18" s="29">
        <f t="shared" si="1"/>
        <v>5.7900819438878913E-3</v>
      </c>
      <c r="F18" s="28">
        <f t="shared" si="2"/>
        <v>47.957134338171151</v>
      </c>
      <c r="G18" s="27" t="str">
        <f t="shared" si="3"/>
        <v>+</v>
      </c>
      <c r="H18" s="34">
        <f t="shared" si="4"/>
        <v>9292.0400000000009</v>
      </c>
      <c r="I18" s="34">
        <f t="shared" si="5"/>
        <v>9562.6525870313271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28.772150693125656</v>
      </c>
      <c r="D19" s="49">
        <f>SUM(D10:D18)</f>
        <v>34438.200000000004</v>
      </c>
      <c r="E19" s="48">
        <f t="shared" si="1"/>
        <v>1</v>
      </c>
      <c r="F19" s="47">
        <f>I19/D19</f>
        <v>29.610083604899817</v>
      </c>
      <c r="G19" s="46">
        <f>F19/C19-1</f>
        <v>2.91230544671921E-2</v>
      </c>
      <c r="H19" s="9">
        <f>SUM(H10:H18)</f>
        <v>990861.08000000007</v>
      </c>
      <c r="I19" s="9">
        <f>SUM(I10:I18)</f>
        <v>1019717.9812022609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117">
        <f>'G31-19072729-1'!D21+'G30-19072325'!D21+'ÖB30-19072830-K'!D21+'EMM29-19072324'!D21+'G29-19072729'!D21+'YIL25-19072425'!D21+'G24-19072123'!D21+'ÖB24-19072122-K'!D21+'MOL22-19072022'!D21+'ÖB20-19071718-K'!D21+'G18-19071718'!D21+'G18-19071617-1'!D21+'G18-19071617'!D21+'G17-19071516-1'!D21+'BA17-19071617'!D21+'G16-19071516'!D21+'ÖB16-19071416-K'!D21+'ÖB11-19071011-K'!D21+'MOL11-19071011'!D21+'G09-19070809'!D21+'BA08-19070708'!D21+'YIL08-19070608'!D21+'BO05-19070304'!D21+'ÖA04-19070304-1'!D21+'ÖA04-19070304'!D21+'ÖA04-19070203-K'!D21+'ÖA03-19070203'!D21+'ÖB01-19073001-K'!D21+'ÖA01-19073001-1'!D21+'ÖA01-19073001'!D21</f>
        <v>2879.2000000000003</v>
      </c>
      <c r="E21" s="29">
        <f>D21/$D$48</f>
        <v>7.5282866375788382E-3</v>
      </c>
      <c r="F21" s="28">
        <f>C21-(C21*$E$6)</f>
        <v>71.215315369129698</v>
      </c>
      <c r="G21" s="27" t="str">
        <f>IF(C21&gt;=F21,"-","+")</f>
        <v>+</v>
      </c>
      <c r="H21" s="26">
        <f>C21*D21</f>
        <v>199240.64</v>
      </c>
      <c r="I21" s="26">
        <f>F21*D21</f>
        <v>205043.13601079825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46.5</v>
      </c>
      <c r="D22" s="117">
        <f>'G31-19072729-1'!D22+'G30-19072325'!D22+'ÖB30-19072830-K'!D22+'EMM29-19072324'!D22+'G29-19072729'!D22+'YIL25-19072425'!D22+'G24-19072123'!D22+'ÖB24-19072122-K'!D22+'MOL22-19072022'!D22+'ÖB20-19071718-K'!D22+'G18-19071718'!D22+'G18-19071617-1'!D22+'G18-19071617'!D22+'G17-19071516-1'!D22+'BA17-19071617'!D22+'G16-19071516'!D22+'ÖB16-19071416-K'!D22+'ÖB11-19071011-K'!D22+'MOL11-19071011'!D22+'G09-19070809'!D22+'BA08-19070708'!D22+'YIL08-19070608'!D22+'BO05-19070304'!D22+'ÖA04-19070304-1'!D22+'ÖA04-19070304'!D22+'ÖA04-19070203-K'!D22+'ÖA03-19070203'!D22+'ÖB01-19073001-K'!D22+'ÖA01-19073001-1'!D22+'ÖA01-19073001'!D22</f>
        <v>14643.049999999997</v>
      </c>
      <c r="E22" s="29">
        <f>D22/$D$48</f>
        <v>3.8287398460822027E-2</v>
      </c>
      <c r="F22" s="28">
        <f>C22-(C22*$E$6)</f>
        <v>47.854222032724429</v>
      </c>
      <c r="G22" s="27" t="str">
        <f>IF(C22&gt;=F22,"-","+")</f>
        <v>+</v>
      </c>
      <c r="H22" s="26">
        <f>C22*D22</f>
        <v>680901.82499999984</v>
      </c>
      <c r="I22" s="26">
        <f>F22*D22</f>
        <v>700731.76593628537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117">
        <f>'G31-19072729-1'!D23+'G30-19072325'!D23+'ÖB30-19072830-K'!D23+'EMM29-19072324'!D23+'G29-19072729'!D23+'YIL25-19072425'!D23+'G24-19072123'!D23+'ÖB24-19072122-K'!D23+'MOL22-19072022'!D23+'ÖB20-19071718-K'!D23+'G18-19071718'!D23+'G18-19071617-1'!D23+'G18-19071617'!D23+'G17-19071516-1'!D23+'BA17-19071617'!D23+'G16-19071516'!D23+'ÖB16-19071416-K'!D23+'ÖB11-19071011-K'!D23+'MOL11-19071011'!D23+'G09-19070809'!D23+'BA08-19070708'!D23+'YIL08-19070608'!D23+'BO05-19070304'!D23+'ÖA04-19070304-1'!D23+'ÖA04-19070304'!D23+'ÖA04-19070203-K'!D23+'ÖA03-19070203'!D23+'ÖB01-19073001-K'!D23+'ÖA01-19073001-1'!D23+'ÖA01-19073001'!D23</f>
        <v>5516.4</v>
      </c>
      <c r="E23" s="29">
        <f>D23/$D$48</f>
        <v>1.4423812311593462E-2</v>
      </c>
      <c r="F23" s="28">
        <f>C23-(C23*$E$6)</f>
        <v>43.634817509408947</v>
      </c>
      <c r="G23" s="27" t="str">
        <f>IF(C23&gt;=F23,"-","+")</f>
        <v>+</v>
      </c>
      <c r="H23" s="26">
        <f>C23*D23</f>
        <v>233895.36</v>
      </c>
      <c r="I23" s="26">
        <f>F23*D23</f>
        <v>240707.10730890351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48.355169465224741</v>
      </c>
      <c r="D24" s="22">
        <f>SUM(D21:D23)</f>
        <v>23038.649999999994</v>
      </c>
      <c r="E24" s="21">
        <f>D24/$D$48</f>
        <v>6.0239497409994319E-2</v>
      </c>
      <c r="F24" s="20">
        <f>I24/D24</f>
        <v>49.763419699330797</v>
      </c>
      <c r="G24" s="19">
        <f>F24/C24-1</f>
        <v>2.9123054467192322E-2</v>
      </c>
      <c r="H24" s="18">
        <f>SUM(H21:H23)</f>
        <v>1114037.8249999997</v>
      </c>
      <c r="I24" s="18">
        <f>SUM(I21:I23)</f>
        <v>1146482.0092559871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117">
        <f>'G31-19072729-1'!D26+'G30-19072325'!D26+'ÖB30-19072830-K'!D26+'EMM29-19072324'!D26+'G29-19072729'!D26+'YIL25-19072425'!D26+'G24-19072123'!D26+'ÖB24-19072122-K'!D26+'MOL22-19072022'!D26+'ÖB20-19071718-K'!D26+'G18-19071718'!D26+'G18-19071617-1'!D26+'G18-19071617'!D26+'G17-19071516-1'!D26+'BA17-19071617'!D26+'G16-19071516'!D26+'ÖB16-19071416-K'!D26+'ÖB11-19071011-K'!D26+'MOL11-19071011'!D26+'G09-19070809'!D26+'BA08-19070708'!D26+'YIL08-19070608'!D26+'BO05-19070304'!D26+'ÖA04-19070304-1'!D26+'ÖA04-19070304'!D26+'ÖA04-19070203-K'!D26+'ÖA03-19070203'!D26+'ÖB01-19073001-K'!D26+'ÖA01-19073001-1'!D26+'ÖA01-19073001'!D26</f>
        <v>46185.3</v>
      </c>
      <c r="E26" s="29">
        <f t="shared" ref="E26:E32" si="7">D26/$D$48</f>
        <v>0.12076138401033965</v>
      </c>
      <c r="F26" s="28">
        <f t="shared" ref="F26:F31" si="8">C26-(C26*$E$6)</f>
        <v>37.974640709839385</v>
      </c>
      <c r="G26" s="27" t="str">
        <f t="shared" ref="G26:G31" si="9">IF(C26&gt;=F26,"-","+")</f>
        <v>+</v>
      </c>
      <c r="H26" s="26">
        <f t="shared" ref="H26:H31" si="10">C26*D26</f>
        <v>1704237.57</v>
      </c>
      <c r="I26" s="26">
        <f t="shared" ref="I26:I31" si="11">F26*D26</f>
        <v>1753870.173576145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117">
        <f>'G31-19072729-1'!D27+'G30-19072325'!D27+'ÖB30-19072830-K'!D27+'EMM29-19072324'!D27+'G29-19072729'!D27+'YIL25-19072425'!D27+'G24-19072123'!D27+'ÖB24-19072122-K'!D27+'MOL22-19072022'!D27+'ÖB20-19071718-K'!D27+'G18-19071718'!D27+'G18-19071617-1'!D27+'G18-19071617'!D27+'G17-19071516-1'!D27+'BA17-19071617'!D27+'G16-19071516'!D27+'ÖB16-19071416-K'!D27+'ÖB11-19071011-K'!D27+'MOL11-19071011'!D27+'G09-19070809'!D27+'BA08-19070708'!D27+'YIL08-19070608'!D27+'BO05-19070304'!D27+'ÖA04-19070304-1'!D27+'ÖA04-19070304'!D27+'ÖA04-19070203-K'!D27+'ÖA03-19070203'!D27+'ÖB01-19073001-K'!D27+'ÖA01-19073001-1'!D27+'ÖA01-19073001'!D27</f>
        <v>71807.899999999994</v>
      </c>
      <c r="E27" s="29">
        <f t="shared" si="7"/>
        <v>0.1877571735352172</v>
      </c>
      <c r="F27" s="28">
        <f t="shared" si="8"/>
        <v>33.858148491970617</v>
      </c>
      <c r="G27" s="27" t="str">
        <f t="shared" si="9"/>
        <v>+</v>
      </c>
      <c r="H27" s="26">
        <f t="shared" si="10"/>
        <v>2362479.9099999997</v>
      </c>
      <c r="I27" s="26">
        <f t="shared" si="11"/>
        <v>2431282.5410965765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117">
        <f>'G31-19072729-1'!D28+'G30-19072325'!D28+'ÖB30-19072830-K'!D28+'EMM29-19072324'!D28+'G29-19072729'!D28+'YIL25-19072425'!D28+'G24-19072123'!D28+'ÖB24-19072122-K'!D28+'MOL22-19072022'!D28+'ÖB20-19071718-K'!D28+'G18-19071718'!D28+'G18-19071617-1'!D28+'G18-19071617'!D28+'G17-19071516-1'!D28+'BA17-19071617'!D28+'G16-19071516'!D28+'ÖB16-19071416-K'!D28+'ÖB11-19071011-K'!D28+'MOL11-19071011'!D28+'G09-19070809'!D28+'BA08-19070708'!D28+'YIL08-19070608'!D28+'BO05-19070304'!D28+'ÖA04-19070304-1'!D28+'ÖA04-19070304'!D28+'ÖA04-19070203-K'!D28+'ÖA03-19070203'!D28+'ÖB01-19073001-K'!D28+'ÖA01-19073001-1'!D28+'ÖA01-19073001'!D28</f>
        <v>50630.469999999994</v>
      </c>
      <c r="E28" s="29">
        <f t="shared" si="7"/>
        <v>0.13238423546656578</v>
      </c>
      <c r="F28" s="28">
        <f t="shared" si="8"/>
        <v>33.858148491970617</v>
      </c>
      <c r="G28" s="27" t="str">
        <f t="shared" si="9"/>
        <v>+</v>
      </c>
      <c r="H28" s="26">
        <f t="shared" si="10"/>
        <v>1665742.4629999998</v>
      </c>
      <c r="I28" s="26">
        <f t="shared" si="11"/>
        <v>1714253.9714782634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117">
        <f>'G31-19072729-1'!D29+'G30-19072325'!D29+'ÖB30-19072830-K'!D29+'EMM29-19072324'!D29+'G29-19072729'!D29+'YIL25-19072425'!D29+'G24-19072123'!D29+'ÖB24-19072122-K'!D29+'MOL22-19072022'!D29+'ÖB20-19071718-K'!D29+'G18-19071718'!D29+'G18-19071617-1'!D29+'G18-19071617'!D29+'G17-19071516-1'!D29+'BA17-19071617'!D29+'G16-19071516'!D29+'ÖB16-19071416-K'!D29+'ÖB11-19071011-K'!D29+'MOL11-19071011'!D29+'G09-19070809'!D29+'BA08-19070708'!D29+'YIL08-19070608'!D29+'BO05-19070304'!D29+'ÖA04-19070304-1'!D29+'ÖA04-19070304'!D29+'ÖA04-19070203-K'!D29+'ÖA03-19070203'!D29+'ÖB01-19073001-K'!D29+'ÖA01-19073001-1'!D29+'ÖA01-19073001'!D29</f>
        <v>46695.9</v>
      </c>
      <c r="E29" s="29">
        <f t="shared" si="7"/>
        <v>0.12209645734916562</v>
      </c>
      <c r="F29" s="28">
        <f t="shared" si="8"/>
        <v>32.72611313205671</v>
      </c>
      <c r="G29" s="27" t="str">
        <f t="shared" si="9"/>
        <v>+</v>
      </c>
      <c r="H29" s="26">
        <f t="shared" si="10"/>
        <v>1484929.62</v>
      </c>
      <c r="I29" s="26">
        <f t="shared" si="11"/>
        <v>1528175.306203207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117">
        <f>'G31-19072729-1'!D30+'G30-19072325'!D30+'ÖB30-19072830-K'!D30+'EMM29-19072324'!D30+'G29-19072729'!D30+'YIL25-19072425'!D30+'G24-19072123'!D30+'ÖB24-19072122-K'!D30+'MOL22-19072022'!D30+'ÖB20-19071718-K'!D30+'G18-19071718'!D30+'G18-19071617-1'!D30+'G18-19071617'!D30+'G17-19071516-1'!D30+'BA17-19071617'!D30+'G16-19071516'!D30+'ÖB16-19071416-K'!D30+'ÖB11-19071011-K'!D30+'MOL11-19071011'!D30+'G09-19070809'!D30+'BA08-19070708'!D30+'YIL08-19070608'!D30+'BO05-19070304'!D30+'ÖA04-19070304-1'!D30+'ÖA04-19070304'!D30+'ÖA04-19070203-K'!D30+'ÖA03-19070203'!D30+'ÖB01-19073001-K'!D30+'ÖA01-19073001-1'!D30+'ÖA01-19073001'!D30</f>
        <v>14392.6</v>
      </c>
      <c r="E30" s="29">
        <f t="shared" si="7"/>
        <v>3.7632543157827582E-2</v>
      </c>
      <c r="F30" s="28">
        <f t="shared" si="8"/>
        <v>32.72611313205671</v>
      </c>
      <c r="G30" s="27" t="str">
        <f t="shared" si="9"/>
        <v>+</v>
      </c>
      <c r="H30" s="26">
        <f t="shared" si="10"/>
        <v>457684.68</v>
      </c>
      <c r="I30" s="26">
        <f t="shared" si="11"/>
        <v>471013.85586443939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117">
        <f>'G31-19072729-1'!D31+'G30-19072325'!D31+'ÖB30-19072830-K'!D31+'EMM29-19072324'!D31+'G29-19072729'!D31+'YIL25-19072425'!D31+'G24-19072123'!D31+'ÖB24-19072122-K'!D31+'MOL22-19072022'!D31+'ÖB20-19071718-K'!D31+'G18-19071718'!D31+'G18-19071617-1'!D31+'G18-19071617'!D31+'G17-19071516-1'!D31+'BA17-19071617'!D31+'G16-19071516'!D31+'ÖB16-19071416-K'!D31+'ÖB11-19071011-K'!D31+'MOL11-19071011'!D31+'G09-19070809'!D31+'BA08-19070708'!D31+'YIL08-19070608'!D31+'BO05-19070304'!D31+'ÖA04-19070304-1'!D31+'ÖA04-19070304'!D31+'ÖA04-19070203-K'!D31+'ÖA03-19070203'!D31+'ÖB01-19073001-K'!D31+'ÖA01-19073001-1'!D31+'ÖA01-19073001'!D31</f>
        <v>5321.9</v>
      </c>
      <c r="E31" s="29">
        <f t="shared" si="7"/>
        <v>1.3915250297489168E-2</v>
      </c>
      <c r="F31" s="28">
        <f t="shared" si="8"/>
        <v>33.240674659290299</v>
      </c>
      <c r="G31" s="27" t="str">
        <f t="shared" si="9"/>
        <v>+</v>
      </c>
      <c r="H31" s="26">
        <f t="shared" si="10"/>
        <v>171897.36999999997</v>
      </c>
      <c r="I31" s="26">
        <f t="shared" si="11"/>
        <v>176903.54646927703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33.3865282297158</v>
      </c>
      <c r="D32" s="22">
        <f>SUM(D26:D31)</f>
        <v>235034.06999999998</v>
      </c>
      <c r="E32" s="21">
        <f t="shared" si="7"/>
        <v>0.61454704381660497</v>
      </c>
      <c r="F32" s="20">
        <f>I32/D32</f>
        <v>34.358845909820261</v>
      </c>
      <c r="G32" s="19">
        <f>F32/C32-1</f>
        <v>2.91230544671921E-2</v>
      </c>
      <c r="H32" s="18">
        <f>SUM(H26:H31)</f>
        <v>7846971.612999999</v>
      </c>
      <c r="I32" s="18">
        <f>SUM(I26:I31)</f>
        <v>8075499.3946879078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117">
        <f>'G31-19072729-1'!D34+'G30-19072325'!D34+'ÖB30-19072830-K'!D34+'EMM29-19072324'!D34+'G29-19072729'!D34+'YIL25-19072425'!D34+'G24-19072123'!D34+'ÖB24-19072122-K'!D34+'MOL22-19072022'!D34+'ÖB20-19071718-K'!D34+'G18-19071718'!D34+'G18-19071617-1'!D34+'G18-19071617'!D34+'G17-19071516-1'!D34+'BA17-19071617'!D34+'G16-19071516'!D34+'ÖB16-19071416-K'!D34+'ÖB11-19071011-K'!D34+'MOL11-19071011'!D34+'G09-19070809'!D34+'BA08-19070708'!D34+'YIL08-19070608'!D34+'BO05-19070304'!D34+'ÖA04-19070304-1'!D34+'ÖA04-19070304'!D34+'ÖA04-19070203-K'!D34+'ÖA03-19070203'!D34+'ÖB01-19073001-K'!D34+'ÖA01-19073001-1'!D34+'ÖA01-19073001'!D34</f>
        <v>58804.909999999996</v>
      </c>
      <c r="E34" s="29">
        <f t="shared" ref="E34:E40" si="13">D34/$D$48</f>
        <v>0.1537580641070527</v>
      </c>
      <c r="F34" s="28">
        <f t="shared" ref="F34:F39" si="14">C34-(C34*$E$6)</f>
        <v>19.964987256663527</v>
      </c>
      <c r="G34" s="27" t="str">
        <f t="shared" ref="G34:G39" si="15">IF(C34&gt;=F34,"-","+")</f>
        <v>+</v>
      </c>
      <c r="H34" s="26">
        <f t="shared" ref="H34:H39" si="16">C34*D34</f>
        <v>1140815.254</v>
      </c>
      <c r="I34" s="26">
        <f t="shared" ref="I34:I39" si="17">F34*D34</f>
        <v>1174039.2787792454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</v>
      </c>
      <c r="D35" s="117">
        <f>'G31-19072729-1'!D35+'G30-19072325'!D35+'ÖB30-19072830-K'!D35+'EMM29-19072324'!D35+'G29-19072729'!D35+'YIL25-19072425'!D35+'G24-19072123'!D35+'ÖB24-19072122-K'!D35+'MOL22-19072022'!D35+'ÖB20-19071718-K'!D35+'G18-19071718'!D35+'G18-19071617-1'!D35+'G18-19071617'!D35+'G17-19071516-1'!D35+'BA17-19071617'!D35+'G16-19071516'!D35+'ÖB16-19071416-K'!D35+'ÖB11-19071011-K'!D35+'MOL11-19071011'!D35+'G09-19070809'!D35+'BA08-19070708'!D35+'YIL08-19070608'!D35+'BO05-19070304'!D35+'ÖA04-19070304-1'!D35+'ÖA04-19070304'!D35+'ÖA04-19070203-K'!D35+'ÖA03-19070203'!D35+'ÖB01-19073001-K'!D35+'ÖA01-19073001-1'!D35+'ÖA01-19073001'!D35</f>
        <v>1859.5</v>
      </c>
      <c r="E35" s="29">
        <f t="shared" si="13"/>
        <v>4.8620620320150906E-3</v>
      </c>
      <c r="F35" s="28">
        <f t="shared" si="14"/>
        <v>15.436845817007882</v>
      </c>
      <c r="G35" s="27" t="str">
        <f t="shared" si="15"/>
        <v>+</v>
      </c>
      <c r="H35" s="26">
        <f t="shared" si="16"/>
        <v>27892.5</v>
      </c>
      <c r="I35" s="26">
        <f t="shared" si="17"/>
        <v>28704.814796726158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117">
        <f>'G31-19072729-1'!D36+'G30-19072325'!D36+'ÖB30-19072830-K'!D36+'EMM29-19072324'!D36+'G29-19072729'!D36+'YIL25-19072425'!D36+'G24-19072123'!D36+'ÖB24-19072122-K'!D36+'MOL22-19072022'!D36+'ÖB20-19071718-K'!D36+'G18-19071718'!D36+'G18-19071617-1'!D36+'G18-19071617'!D36+'G17-19071516-1'!D36+'BA17-19071617'!D36+'G16-19071516'!D36+'ÖB16-19071416-K'!D36+'ÖB11-19071011-K'!D36+'MOL11-19071011'!D36+'G09-19070809'!D36+'BA08-19070708'!D36+'YIL08-19070608'!D36+'BO05-19070304'!D36+'ÖA04-19070304-1'!D36+'ÖA04-19070304'!D36+'ÖA04-19070203-K'!D36+'ÖA03-19070203'!D36+'ÖB01-19073001-K'!D36+'ÖA01-19073001-1'!D36+'ÖA01-19073001'!D36</f>
        <v>0</v>
      </c>
      <c r="E36" s="29">
        <f t="shared" si="13"/>
        <v>0</v>
      </c>
      <c r="F36" s="28">
        <f t="shared" si="14"/>
        <v>12.349476653606306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117">
        <f>'G31-19072729-1'!D37+'G30-19072325'!D37+'ÖB30-19072830-K'!D37+'EMM29-19072324'!D37+'G29-19072729'!D37+'YIL25-19072425'!D37+'G24-19072123'!D37+'ÖB24-19072122-K'!D37+'MOL22-19072022'!D37+'ÖB20-19071718-K'!D37+'G18-19071718'!D37+'G18-19071617-1'!D37+'G18-19071617'!D37+'G17-19071516-1'!D37+'BA17-19071617'!D37+'G16-19071516'!D37+'ÖB16-19071416-K'!D37+'ÖB11-19071011-K'!D37+'MOL11-19071011'!D37+'G09-19070809'!D37+'BA08-19070708'!D37+'YIL08-19070608'!D37+'BO05-19070304'!D37+'ÖA04-19070304-1'!D37+'ÖA04-19070304'!D37+'ÖA04-19070203-K'!D37+'ÖA03-19070203'!D37+'ÖB01-19073001-K'!D37+'ÖA01-19073001-1'!D37+'ÖA01-19073001'!D37</f>
        <v>0</v>
      </c>
      <c r="E37" s="29">
        <f t="shared" si="13"/>
        <v>0</v>
      </c>
      <c r="F37" s="28">
        <f t="shared" si="14"/>
        <v>32.72611313205671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117">
        <f>'G31-19072729-1'!D38+'G30-19072325'!D38+'ÖB30-19072830-K'!D38+'EMM29-19072324'!D38+'G29-19072729'!D38+'YIL25-19072425'!D38+'G24-19072123'!D38+'ÖB24-19072122-K'!D38+'MOL22-19072022'!D38+'ÖB20-19071718-K'!D38+'G18-19071718'!D38+'G18-19071617-1'!D38+'G18-19071617'!D38+'G17-19071516-1'!D38+'BA17-19071617'!D38+'G16-19071516'!D38+'ÖB16-19071416-K'!D38+'ÖB11-19071011-K'!D38+'MOL11-19071011'!D38+'G09-19070809'!D38+'BA08-19070708'!D38+'YIL08-19070608'!D38+'BO05-19070304'!D38+'ÖA04-19070304-1'!D38+'ÖA04-19070304'!D38+'ÖA04-19070203-K'!D38+'ÖA03-19070203'!D38+'ÖB01-19073001-K'!D38+'ÖA01-19073001-1'!D38+'ÖA01-19073001'!D38</f>
        <v>0</v>
      </c>
      <c r="E38" s="29">
        <f t="shared" si="13"/>
        <v>0</v>
      </c>
      <c r="F38" s="28">
        <f t="shared" si="14"/>
        <v>32.72611313205671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117">
        <f>'G31-19072729-1'!D39+'G30-19072325'!D39+'ÖB30-19072830-K'!D39+'EMM29-19072324'!D39+'G29-19072729'!D39+'YIL25-19072425'!D39+'G24-19072123'!D39+'ÖB24-19072122-K'!D39+'MOL22-19072022'!D39+'ÖB20-19071718-K'!D39+'G18-19071718'!D39+'G18-19071617-1'!D39+'G18-19071617'!D39+'G17-19071516-1'!D39+'BA17-19071617'!D39+'G16-19071516'!D39+'ÖB16-19071416-K'!D39+'ÖB11-19071011-K'!D39+'MOL11-19071011'!D39+'G09-19070809'!D39+'BA08-19070708'!D39+'YIL08-19070608'!D39+'BO05-19070304'!D39+'ÖA04-19070304-1'!D39+'ÖA04-19070304'!D39+'ÖA04-19070203-K'!D39+'ÖA03-19070203'!D39+'ÖB01-19073001-K'!D39+'ÖA01-19073001-1'!D39+'ÖA01-19073001'!D39</f>
        <v>0</v>
      </c>
      <c r="E39" s="29">
        <f t="shared" si="13"/>
        <v>0</v>
      </c>
      <c r="F39" s="28">
        <f t="shared" si="14"/>
        <v>33.858148491970617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19.265130147973085</v>
      </c>
      <c r="D40" s="22">
        <f>SUM(D34:D39)</f>
        <v>60664.409999999996</v>
      </c>
      <c r="E40" s="21">
        <f t="shared" si="13"/>
        <v>0.15862012613906779</v>
      </c>
      <c r="F40" s="20">
        <f>I40/D40</f>
        <v>19.82618958259005</v>
      </c>
      <c r="G40" s="19">
        <f>F40/C40-1</f>
        <v>2.91230544671921E-2</v>
      </c>
      <c r="H40" s="18">
        <f>SUM(H34:H39)</f>
        <v>1168707.754</v>
      </c>
      <c r="I40" s="18">
        <f>SUM(I34:I39)</f>
        <v>1202744.0935759717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117">
        <f>'G31-19072729-1'!D42+'G30-19072325'!D42+'ÖB30-19072830-K'!D42+'EMM29-19072324'!D42+'G29-19072729'!D42+'YIL25-19072425'!D42+'G24-19072123'!D42+'ÖB24-19072122-K'!D42+'MOL22-19072022'!D42+'ÖB20-19071718-K'!D42+'G18-19071718'!D42+'G18-19071617-1'!D42+'G18-19071617'!D42+'G17-19071516-1'!D42+'BA17-19071617'!D42+'G16-19071516'!D42+'ÖB16-19071416-K'!D42+'ÖB11-19071011-K'!D42+'MOL11-19071011'!D42+'G09-19070809'!D42+'BA08-19070708'!D42+'YIL08-19070608'!D42+'BO05-19070304'!D42+'ÖA04-19070304-1'!D42+'ÖA04-19070304'!D42+'ÖA04-19070203-K'!D42+'ÖA03-19070203'!D42+'ÖB01-19073001-K'!D42+'ÖA01-19073001-1'!D42+'ÖA01-19073001'!D42</f>
        <v>60387.799999999996</v>
      </c>
      <c r="E42" s="107">
        <f>D42/$D$48</f>
        <v>0.15789686989885499</v>
      </c>
      <c r="F42" s="28">
        <f>C42-(C42*$E$6)</f>
        <v>0.51456152723359605</v>
      </c>
      <c r="G42" s="27" t="str">
        <f>IF(C42&gt;=F42,"-","+")</f>
        <v>+</v>
      </c>
      <c r="H42" s="26">
        <f>C42*D42</f>
        <v>30193.899999999998</v>
      </c>
      <c r="I42" s="26">
        <f>F42*D42</f>
        <v>31073.238594276951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117">
        <f>'G31-19072729-1'!D43+'G30-19072325'!D43+'ÖB30-19072830-K'!D43+'EMM29-19072324'!D43+'G29-19072729'!D43+'YIL25-19072425'!D43+'G24-19072123'!D43+'ÖB24-19072122-K'!D43+'MOL22-19072022'!D43+'ÖB20-19071718-K'!D43+'G18-19071718'!D43+'G18-19071617-1'!D43+'G18-19071617'!D43+'G17-19071516-1'!D43+'BA17-19071617'!D43+'G16-19071516'!D43+'ÖB16-19071416-K'!D43+'ÖB11-19071011-K'!D43+'MOL11-19071011'!D43+'G09-19070809'!D43+'BA08-19070708'!D43+'YIL08-19070608'!D43+'BO05-19070304'!D43+'ÖA04-19070304-1'!D43+'ÖA04-19070304'!D43+'ÖA04-19070203-K'!D43+'ÖA03-19070203'!D43+'ÖB01-19073001-K'!D43+'ÖA01-19073001-1'!D43+'ÖA01-19073001'!D43</f>
        <v>2831.0000000000005</v>
      </c>
      <c r="E43" s="107">
        <f>D43/$D$48</f>
        <v>7.4022573878110912E-3</v>
      </c>
      <c r="F43" s="28">
        <f>C43-(C43*$E$6)</f>
        <v>0.51456152723359605</v>
      </c>
      <c r="G43" s="27" t="str">
        <f>IF(C43&gt;=F43,"-","+")</f>
        <v>+</v>
      </c>
      <c r="H43" s="26">
        <f>C43*D43</f>
        <v>1415.5000000000002</v>
      </c>
      <c r="I43" s="26">
        <f>F43*D43</f>
        <v>1456.7236835983106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G31-19072729-1'!D44+'G30-19072325'!D44+'ÖB30-19072830-K'!D44+'EMM29-19072324'!D44+'G29-19072729'!D44+'YIL25-19072425'!D44+'G24-19072123'!D44+'ÖB24-19072122-K'!D44+'MOL22-19072022'!D44+'ÖB20-19071718-K'!D44+'G18-19071718'!D44+'G18-19071617-1'!D44+'G18-19071617'!D44+'G17-19071516-1'!D44+'BA17-19071617'!D44+'G16-19071516'!D44+'ÖB16-19071416-K'!D44+'ÖB11-19071011-K'!D44+'MOL11-19071011'!D44+'G09-19070809'!D44+'BA08-19070708'!D44+'YIL08-19070608'!D44+'BO05-19070304'!D44+'ÖA04-19070304-1'!D44+'ÖA04-19070304'!D44+'ÖA04-19070203-K'!D44+'ÖA03-19070203'!D44+'ÖB01-19073001-K'!D44+'ÖA01-19073001-1'!D44+'ÖA01-19073001'!D44</f>
        <v>315</v>
      </c>
      <c r="E44" s="107">
        <f>D44/$D$48</f>
        <v>8.2363513852366419E-4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G31-19072729-1'!D45+'G30-19072325'!D45+'ÖB30-19072830-K'!D45+'EMM29-19072324'!D45+'G29-19072729'!D45+'YIL25-19072425'!D45+'G24-19072123'!D45+'ÖB24-19072122-K'!D45+'MOL22-19072022'!D45+'ÖB20-19071718-K'!D45+'G18-19071718'!D45+'G18-19071617-1'!D45+'G18-19071617'!D45+'G17-19071516-1'!D45+'BA17-19071617'!D45+'G16-19071516'!D45+'ÖB16-19071416-K'!D45+'ÖB11-19071011-K'!D45+'MOL11-19071011'!D45+'G09-19070809'!D45+'BA08-19070708'!D45+'YIL08-19070608'!D45+'BO05-19070304'!D45+'ÖA04-19070304-1'!D45+'ÖA04-19070304'!D45+'ÖA04-19070203-K'!D45+'ÖA03-19070203'!D45+'ÖB01-19073001-K'!D45+'ÖA01-19073001-1'!D45+'ÖA01-19073001'!D45</f>
        <v>179.96999999999997</v>
      </c>
      <c r="E45" s="107">
        <f>D45/$D$48</f>
        <v>4.7057020914318673E-4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0.49611567483763713</v>
      </c>
      <c r="D46" s="22">
        <f>SUM(D41:D45)</f>
        <v>63713.77</v>
      </c>
      <c r="E46" s="21">
        <f>D46/$D$48</f>
        <v>0.16659333263433293</v>
      </c>
      <c r="F46" s="20">
        <f>I46/D46</f>
        <v>0.51056407865796138</v>
      </c>
      <c r="G46" s="19">
        <f>F46/C46-1</f>
        <v>2.91230544671921E-2</v>
      </c>
      <c r="H46" s="18">
        <f>SUM(H41:H44)</f>
        <v>31609.399999999998</v>
      </c>
      <c r="I46" s="18">
        <f>SUM(I41:I44)</f>
        <v>32529.96227787526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101.50294351775126</v>
      </c>
      <c r="D48" s="13">
        <f>D24+D32+D40+D46</f>
        <v>382450.89999999997</v>
      </c>
      <c r="E48" s="12">
        <f>SUM(E20:E46)/2</f>
        <v>1</v>
      </c>
      <c r="F48" s="11">
        <f>I48/D48</f>
        <v>27.342739838755104</v>
      </c>
      <c r="G48" s="10"/>
      <c r="H48" s="9">
        <f>SUM(H20:H46)/2</f>
        <v>10161326.591999998</v>
      </c>
      <c r="I48" s="9">
        <f>SUM(I20:I46)/2</f>
        <v>10457255.459797744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416889.10000000003</v>
      </c>
      <c r="E50" s="12">
        <f>D50/G2</f>
        <v>0.99999856077039084</v>
      </c>
      <c r="F50" s="11">
        <f>I50/D50</f>
        <v>27.530039622048175</v>
      </c>
      <c r="G50" s="10"/>
      <c r="H50" s="9">
        <f>H48+H19</f>
        <v>11152187.671999998</v>
      </c>
      <c r="I50" s="9">
        <f>I48+I19</f>
        <v>11476973.441000005</v>
      </c>
      <c r="J50" s="106">
        <f>D50-G2</f>
        <v>-0.59999999997671694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27.530039622048175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>
    <tabColor rgb="FFFF0000"/>
  </sheetPr>
  <dimension ref="A1:K56"/>
  <sheetViews>
    <sheetView topLeftCell="A6" workbookViewId="0">
      <selection activeCell="F14" sqref="F14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813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107</v>
      </c>
      <c r="F2" s="110" t="s">
        <v>5</v>
      </c>
      <c r="G2" s="108">
        <f>'BEY31-19073031-D'!G2+'ALP31-19072930-D'!G2+'MİR23-19071718-D'!G2+'ÖB19-19071718-D'!G2+'ALP12-19071112-D'!G2+'BEY10-19070809-D'!G2+'BO10-19070608-D'!G2</f>
        <v>32771.4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'BEY31-19073031-D'!E3+'ALP31-19072930-D'!E3+'MİR23-19071718-D'!E3+'ÖB19-19071718-D'!E3+'ALP12-19071112-D'!E3+'BEY10-19070809-D'!E3+'BO10-19070608-D'!E3</f>
        <v>476</v>
      </c>
      <c r="F3" s="111" t="s">
        <v>8</v>
      </c>
      <c r="G3" s="114">
        <v>26.45</v>
      </c>
      <c r="H3" s="118" t="s">
        <v>816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68.847478991596645</v>
      </c>
      <c r="F4" s="81" t="s">
        <v>12</v>
      </c>
      <c r="G4" s="112">
        <f>G2*G3</f>
        <v>866803.53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-3.2675972070207671E-2</v>
      </c>
      <c r="F6" s="69" t="s">
        <v>16</v>
      </c>
      <c r="G6" s="68">
        <f>(I50-I19)/(D50-(SUM(D42:D44)+D19))</f>
        <v>32.452463694996183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26.5</v>
      </c>
      <c r="D10" s="117">
        <f>'BEY31-19073031-D'!D10+'ALP31-19072930-D'!D10+'MİR23-19071718-D'!D10+'ÖB19-19071718-D'!D10+'ALP12-19071112-D'!D10+'BEY10-19070809-D'!D10+'BO10-19070608-D'!D10</f>
        <v>0</v>
      </c>
      <c r="E10" s="29">
        <f t="shared" ref="E10:E19" si="1">D10/$D$19</f>
        <v>0</v>
      </c>
      <c r="F10" s="28">
        <f t="shared" ref="F10:F18" si="2">C10-(C10*$E$6)</f>
        <v>27.365913259860502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117">
        <f>'BEY31-19073031-D'!D11+'ALP31-19072930-D'!D11+'MİR23-19071718-D'!D11+'ÖB19-19071718-D'!D11+'ALP12-19071112-D'!D11+'BEY10-19070809-D'!D11+'BO10-19070608-D'!D11</f>
        <v>433.4</v>
      </c>
      <c r="E11" s="29">
        <f t="shared" si="1"/>
        <v>0.45296822742474918</v>
      </c>
      <c r="F11" s="28">
        <f t="shared" si="2"/>
        <v>28.39858923193071</v>
      </c>
      <c r="G11" s="27" t="str">
        <f t="shared" si="3"/>
        <v>+</v>
      </c>
      <c r="H11" s="34">
        <f t="shared" si="4"/>
        <v>11918.5</v>
      </c>
      <c r="I11" s="34">
        <f t="shared" si="5"/>
        <v>12307.948573118769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25.2</v>
      </c>
      <c r="D12" s="117">
        <f>'BEY31-19073031-D'!D12+'ALP31-19072930-D'!D12+'MİR23-19071718-D'!D12+'ÖB19-19071718-D'!D12+'ALP12-19071112-D'!D12+'BEY10-19070809-D'!D12+'BO10-19070608-D'!D12</f>
        <v>464.4</v>
      </c>
      <c r="E12" s="29">
        <f t="shared" si="1"/>
        <v>0.48536789297658861</v>
      </c>
      <c r="F12" s="28">
        <f t="shared" si="2"/>
        <v>26.023434496169234</v>
      </c>
      <c r="G12" s="27" t="str">
        <f>IF(C12&gt;=F12,"-","+")</f>
        <v>+</v>
      </c>
      <c r="H12" s="34">
        <f t="shared" si="4"/>
        <v>11702.88</v>
      </c>
      <c r="I12" s="34">
        <f t="shared" si="5"/>
        <v>12085.282980020991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117">
        <f>'BEY31-19073031-D'!D13+'ALP31-19072930-D'!D13+'MİR23-19071718-D'!D13+'ÖB19-19071718-D'!D13+'ALP12-19071112-D'!D13+'BEY10-19070809-D'!D13+'BO10-19070608-D'!D13</f>
        <v>0</v>
      </c>
      <c r="E13" s="29">
        <f t="shared" si="1"/>
        <v>0</v>
      </c>
      <c r="F13" s="28">
        <f t="shared" si="2"/>
        <v>28.39858923193071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30.8</v>
      </c>
      <c r="D14" s="117">
        <f>'BEY31-19073031-D'!D14+'ALP31-19072930-D'!D14+'MİR23-19071718-D'!D14+'ÖB19-19071718-D'!D14+'ALP12-19071112-D'!D14+'BEY10-19070809-D'!D14+'BO10-19070608-D'!D14</f>
        <v>0</v>
      </c>
      <c r="E14" s="29">
        <f t="shared" si="1"/>
        <v>0</v>
      </c>
      <c r="F14" s="28">
        <f t="shared" si="2"/>
        <v>31.806419939762396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25.4</v>
      </c>
      <c r="D15" s="117">
        <f>'BEY31-19073031-D'!D15+'ALP31-19072930-D'!D15+'MİR23-19071718-D'!D15+'ÖB19-19071718-D'!D15+'ALP12-19071112-D'!D15+'BEY10-19070809-D'!D15+'BO10-19070608-D'!D15</f>
        <v>0</v>
      </c>
      <c r="E15" s="29">
        <f t="shared" si="1"/>
        <v>0</v>
      </c>
      <c r="F15" s="28">
        <f t="shared" si="2"/>
        <v>26.229969690583275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34.799999999999997</v>
      </c>
      <c r="D16" s="117">
        <f>'BEY31-19073031-D'!D16+'ALP31-19072930-D'!D16+'MİR23-19071718-D'!D16+'ÖB19-19071718-D'!D16+'ALP12-19071112-D'!D16+'BEY10-19070809-D'!D16+'BO10-19070608-D'!D16</f>
        <v>11</v>
      </c>
      <c r="E16" s="29">
        <f t="shared" si="1"/>
        <v>1.149665551839465E-2</v>
      </c>
      <c r="F16" s="28">
        <f t="shared" si="2"/>
        <v>35.937123828043227</v>
      </c>
      <c r="G16" s="27" t="str">
        <f t="shared" si="3"/>
        <v>+</v>
      </c>
      <c r="H16" s="34">
        <f t="shared" si="4"/>
        <v>382.79999999999995</v>
      </c>
      <c r="I16" s="34">
        <f t="shared" si="5"/>
        <v>395.30836210847548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51.2</v>
      </c>
      <c r="D17" s="117">
        <f>'BEY31-19073031-D'!D17+'ALP31-19072930-D'!D17+'MİR23-19071718-D'!D17+'ÖB19-19071718-D'!D17+'ALP12-19071112-D'!D17+'BEY10-19070809-D'!D17+'BO10-19070608-D'!D17</f>
        <v>48</v>
      </c>
      <c r="E17" s="29">
        <f t="shared" si="1"/>
        <v>5.016722408026756E-2</v>
      </c>
      <c r="F17" s="28">
        <f t="shared" si="2"/>
        <v>52.873009769994638</v>
      </c>
      <c r="G17" s="27" t="str">
        <f t="shared" si="3"/>
        <v>+</v>
      </c>
      <c r="H17" s="34">
        <f t="shared" si="4"/>
        <v>2457.6000000000004</v>
      </c>
      <c r="I17" s="34">
        <f t="shared" si="5"/>
        <v>2537.9044689597426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44.8</v>
      </c>
      <c r="D18" s="117">
        <f>'BEY31-19073031-D'!D18+'ALP31-19072930-D'!D18+'MİR23-19071718-D'!D18+'ÖB19-19071718-D'!D18+'ALP12-19071112-D'!D18+'BEY10-19070809-D'!D18+'BO10-19070608-D'!D18</f>
        <v>0</v>
      </c>
      <c r="E18" s="29">
        <f t="shared" si="1"/>
        <v>0</v>
      </c>
      <c r="F18" s="28">
        <f t="shared" si="2"/>
        <v>46.263883548745298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27.656542642140469</v>
      </c>
      <c r="D19" s="49">
        <f>SUM(D10:D18)</f>
        <v>956.8</v>
      </c>
      <c r="E19" s="48">
        <f t="shared" si="1"/>
        <v>1</v>
      </c>
      <c r="F19" s="47">
        <f>I19/D19</f>
        <v>28.56024705707356</v>
      </c>
      <c r="G19" s="46">
        <f>F19/C19-1</f>
        <v>3.2675972070207671E-2</v>
      </c>
      <c r="H19" s="9">
        <f>SUM(H10:H18)</f>
        <v>26461.78</v>
      </c>
      <c r="I19" s="9">
        <f>SUM(I10:I18)</f>
        <v>27326.444384207982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66.5</v>
      </c>
      <c r="D21" s="117">
        <f>'BEY31-19073031-D'!D21+'ALP31-19072930-D'!D21+'MİR23-19071718-D'!D21+'ÖB19-19071718-D'!D21+'ALP12-19071112-D'!D21+'BEY10-19070809-D'!D21+'BO10-19070608-D'!D21</f>
        <v>429.79999999999995</v>
      </c>
      <c r="E21" s="29">
        <f>D21/$D$48</f>
        <v>1.35095207860542E-2</v>
      </c>
      <c r="F21" s="28">
        <f>C21-(C21*$E$6)</f>
        <v>68.672952142668805</v>
      </c>
      <c r="G21" s="27" t="str">
        <f>IF(C21&gt;=F21,"-","+")</f>
        <v>+</v>
      </c>
      <c r="H21" s="26">
        <f>C21*D21</f>
        <v>28581.699999999997</v>
      </c>
      <c r="I21" s="26">
        <f>F21*D21</f>
        <v>29515.634830919051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44.7</v>
      </c>
      <c r="D22" s="117">
        <f>'BEY31-19073031-D'!D22+'ALP31-19072930-D'!D22+'MİR23-19071718-D'!D22+'ÖB19-19071718-D'!D22+'ALP12-19071112-D'!D22+'BEY10-19070809-D'!D22+'BO10-19070608-D'!D22</f>
        <v>951.1</v>
      </c>
      <c r="E22" s="29">
        <f>D22/$D$48</f>
        <v>2.9895079617534088E-2</v>
      </c>
      <c r="F22" s="28">
        <f>C22-(C22*$E$6)</f>
        <v>46.160615951538283</v>
      </c>
      <c r="G22" s="27" t="str">
        <f>IF(C22&gt;=F22,"-","+")</f>
        <v>+</v>
      </c>
      <c r="H22" s="26">
        <f>C22*D22</f>
        <v>42514.170000000006</v>
      </c>
      <c r="I22" s="26">
        <f>F22*D22</f>
        <v>43903.36183150806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40.700000000000003</v>
      </c>
      <c r="D23" s="117">
        <f>'BEY31-19073031-D'!D23+'ALP31-19072930-D'!D23+'MİR23-19071718-D'!D23+'ÖB19-19071718-D'!D23+'ALP12-19071112-D'!D23+'BEY10-19070809-D'!D23+'BO10-19070608-D'!D23</f>
        <v>785.1</v>
      </c>
      <c r="E23" s="29">
        <f>D23/$D$48</f>
        <v>2.4677349393045958E-2</v>
      </c>
      <c r="F23" s="28">
        <f>C23-(C23*$E$6)</f>
        <v>42.029912063257456</v>
      </c>
      <c r="G23" s="27" t="str">
        <f>IF(C23&gt;=F23,"-","+")</f>
        <v>+</v>
      </c>
      <c r="H23" s="26">
        <f>C23*D23</f>
        <v>31953.570000000003</v>
      </c>
      <c r="I23" s="26">
        <f>F23*D23</f>
        <v>32997.683960863433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47.575918744228993</v>
      </c>
      <c r="D24" s="22">
        <f>SUM(D21:D23)</f>
        <v>2166</v>
      </c>
      <c r="E24" s="21">
        <f>D24/$D$48</f>
        <v>6.8081949796634247E-2</v>
      </c>
      <c r="F24" s="20">
        <f>I24/D24</f>
        <v>49.130508136329894</v>
      </c>
      <c r="G24" s="19">
        <f>F24/C24-1</f>
        <v>3.2675972070207671E-2</v>
      </c>
      <c r="H24" s="18">
        <f>SUM(H21:H23)</f>
        <v>103049.44</v>
      </c>
      <c r="I24" s="18">
        <f>SUM(I21:I23)</f>
        <v>106416.68062329055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35.5</v>
      </c>
      <c r="D26" s="117">
        <f>'BEY31-19073031-D'!D26+'ALP31-19072930-D'!D26+'MİR23-19071718-D'!D26+'ÖB19-19071718-D'!D26+'ALP12-19071112-D'!D26+'BEY10-19070809-D'!D26+'BO10-19070608-D'!D26</f>
        <v>6628.2000000000007</v>
      </c>
      <c r="E26" s="29">
        <f t="shared" ref="E26:E32" si="7">D26/$D$48</f>
        <v>0.20833831008404946</v>
      </c>
      <c r="F26" s="28">
        <f t="shared" ref="F26:F31" si="8">C26-(C26*$E$6)</f>
        <v>36.659997008492375</v>
      </c>
      <c r="G26" s="27" t="str">
        <f t="shared" ref="G26:G31" si="9">IF(C26&gt;=F26,"-","+")</f>
        <v>+</v>
      </c>
      <c r="H26" s="26">
        <f t="shared" ref="H26:H31" si="10">C26*D26</f>
        <v>235301.10000000003</v>
      </c>
      <c r="I26" s="26">
        <f t="shared" ref="I26:I31" si="11">F26*D26</f>
        <v>242989.79217168919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31.6</v>
      </c>
      <c r="D27" s="117">
        <f>'BEY31-19073031-D'!D27+'ALP31-19072930-D'!D27+'MİR23-19071718-D'!D27+'ÖB19-19071718-D'!D27+'ALP12-19071112-D'!D27+'BEY10-19070809-D'!D27+'BO10-19070608-D'!D27</f>
        <v>4652.3</v>
      </c>
      <c r="E27" s="29">
        <f t="shared" si="7"/>
        <v>0.14623160435774771</v>
      </c>
      <c r="F27" s="28">
        <f t="shared" si="8"/>
        <v>32.632560717418563</v>
      </c>
      <c r="G27" s="27" t="str">
        <f t="shared" si="9"/>
        <v>+</v>
      </c>
      <c r="H27" s="26">
        <f t="shared" si="10"/>
        <v>147012.68000000002</v>
      </c>
      <c r="I27" s="26">
        <f t="shared" si="11"/>
        <v>151816.46222564639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31.6</v>
      </c>
      <c r="D28" s="117">
        <f>'BEY31-19073031-D'!D28+'ALP31-19072930-D'!D28+'MİR23-19071718-D'!D28+'ÖB19-19071718-D'!D28+'ALP12-19071112-D'!D28+'BEY10-19070809-D'!D28+'BO10-19070608-D'!D28</f>
        <v>2656.9</v>
      </c>
      <c r="E28" s="29">
        <f t="shared" si="7"/>
        <v>8.3511972490617509E-2</v>
      </c>
      <c r="F28" s="28">
        <f t="shared" si="8"/>
        <v>32.632560717418563</v>
      </c>
      <c r="G28" s="27" t="str">
        <f t="shared" si="9"/>
        <v>+</v>
      </c>
      <c r="H28" s="26">
        <f t="shared" si="10"/>
        <v>83958.040000000008</v>
      </c>
      <c r="I28" s="26">
        <f t="shared" si="11"/>
        <v>86701.450570109388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117">
        <f>'BEY31-19073031-D'!D29+'ALP31-19072930-D'!D29+'MİR23-19071718-D'!D29+'ÖB19-19071718-D'!D29+'ALP12-19071112-D'!D29+'BEY10-19070809-D'!D29+'BO10-19070608-D'!D29</f>
        <v>2757.8</v>
      </c>
      <c r="E29" s="29">
        <f t="shared" si="7"/>
        <v>8.6683472368032283E-2</v>
      </c>
      <c r="F29" s="28">
        <f t="shared" si="8"/>
        <v>31.496617148141333</v>
      </c>
      <c r="G29" s="27" t="str">
        <f t="shared" si="9"/>
        <v>+</v>
      </c>
      <c r="H29" s="26">
        <f t="shared" si="10"/>
        <v>84112.900000000009</v>
      </c>
      <c r="I29" s="26">
        <f t="shared" si="11"/>
        <v>86861.370771144168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117">
        <f>'BEY31-19073031-D'!D30+'ALP31-19072930-D'!D30+'MİR23-19071718-D'!D30+'ÖB19-19071718-D'!D30+'ALP12-19071112-D'!D30+'BEY10-19070809-D'!D30+'BO10-19070608-D'!D30</f>
        <v>1719.2</v>
      </c>
      <c r="E30" s="29">
        <f t="shared" si="7"/>
        <v>5.4038083144216806E-2</v>
      </c>
      <c r="F30" s="28">
        <f t="shared" si="8"/>
        <v>31.496617148141333</v>
      </c>
      <c r="G30" s="27" t="str">
        <f t="shared" si="9"/>
        <v>+</v>
      </c>
      <c r="H30" s="26">
        <f t="shared" si="10"/>
        <v>52435.6</v>
      </c>
      <c r="I30" s="26">
        <f t="shared" si="11"/>
        <v>54148.984201084582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31.1</v>
      </c>
      <c r="D31" s="117">
        <f>'BEY31-19073031-D'!D31+'ALP31-19072930-D'!D31+'MİR23-19071718-D'!D31+'ÖB19-19071718-D'!D31+'ALP12-19071112-D'!D31+'BEY10-19070809-D'!D31+'BO10-19070608-D'!D31</f>
        <v>588.79999999999995</v>
      </c>
      <c r="E31" s="29">
        <f t="shared" si="7"/>
        <v>1.8507226242039817E-2</v>
      </c>
      <c r="F31" s="28">
        <f t="shared" si="8"/>
        <v>32.116222731383459</v>
      </c>
      <c r="G31" s="27" t="str">
        <f t="shared" si="9"/>
        <v>+</v>
      </c>
      <c r="H31" s="26">
        <f t="shared" si="10"/>
        <v>18311.68</v>
      </c>
      <c r="I31" s="26">
        <f t="shared" si="11"/>
        <v>18910.031944238581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32.685652942662294</v>
      </c>
      <c r="D32" s="22">
        <f>SUM(D26:D31)</f>
        <v>19003.2</v>
      </c>
      <c r="E32" s="21">
        <f t="shared" si="7"/>
        <v>0.59731066868670357</v>
      </c>
      <c r="F32" s="20">
        <f>I32/D32</f>
        <v>33.753688425313229</v>
      </c>
      <c r="G32" s="19">
        <f>F32/C32-1</f>
        <v>3.2675972070207671E-2</v>
      </c>
      <c r="H32" s="18">
        <f>SUM(H26:H31)</f>
        <v>621132.00000000012</v>
      </c>
      <c r="I32" s="18">
        <f>SUM(I26:I31)</f>
        <v>641428.09188391233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117">
        <f>'BEY31-19073031-D'!D34+'ALP31-19072930-D'!D34+'MİR23-19071718-D'!D34+'ÖB19-19071718-D'!D34+'ALP12-19071112-D'!D34+'BEY10-19070809-D'!D34+'BO10-19070608-D'!D34</f>
        <v>4464.3999999999996</v>
      </c>
      <c r="E34" s="29">
        <f t="shared" ref="E34:E40" si="13">D34/$D$48</f>
        <v>0.14032551092894455</v>
      </c>
      <c r="F34" s="28">
        <f t="shared" ref="F34:F39" si="14">C34-(C34*$E$6)</f>
        <v>19.311040677712882</v>
      </c>
      <c r="G34" s="27" t="str">
        <f t="shared" ref="G34:G39" si="15">IF(C34&gt;=F34,"-","+")</f>
        <v>+</v>
      </c>
      <c r="H34" s="26">
        <f t="shared" ref="H34:H39" si="16">C34*D34</f>
        <v>83484.279999999984</v>
      </c>
      <c r="I34" s="26">
        <f t="shared" ref="I34:I39" si="17">F34*D34</f>
        <v>86212.210001581378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14.4</v>
      </c>
      <c r="D35" s="117">
        <f>'BEY31-19073031-D'!D35+'ALP31-19072930-D'!D35+'MİR23-19071718-D'!D35+'ÖB19-19071718-D'!D35+'ALP12-19071112-D'!D35+'BEY10-19070809-D'!D35+'BO10-19070608-D'!D35</f>
        <v>199.3</v>
      </c>
      <c r="E35" s="29">
        <f t="shared" si="13"/>
        <v>6.2644194803643614E-3</v>
      </c>
      <c r="F35" s="28">
        <f t="shared" si="14"/>
        <v>14.870533997810991</v>
      </c>
      <c r="G35" s="27" t="str">
        <f t="shared" si="15"/>
        <v>+</v>
      </c>
      <c r="H35" s="26">
        <f t="shared" si="16"/>
        <v>2869.92</v>
      </c>
      <c r="I35" s="26">
        <f t="shared" si="17"/>
        <v>2963.6974257637307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11.6</v>
      </c>
      <c r="D36" s="117">
        <f>'BEY31-19073031-D'!D36+'ALP31-19072930-D'!D36+'MİR23-19071718-D'!D36+'ÖB19-19071718-D'!D36+'ALP12-19071112-D'!D36+'BEY10-19070809-D'!D36+'BO10-19070608-D'!D36</f>
        <v>0</v>
      </c>
      <c r="E36" s="29">
        <f t="shared" si="13"/>
        <v>0</v>
      </c>
      <c r="F36" s="28">
        <f t="shared" si="14"/>
        <v>11.979041276014408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117">
        <f>'BEY31-19073031-D'!D37+'ALP31-19072930-D'!D37+'MİR23-19071718-D'!D37+'ÖB19-19071718-D'!D37+'ALP12-19071112-D'!D37+'BEY10-19070809-D'!D37+'BO10-19070608-D'!D37</f>
        <v>0</v>
      </c>
      <c r="E37" s="29">
        <f t="shared" si="13"/>
        <v>0</v>
      </c>
      <c r="F37" s="28">
        <f t="shared" si="14"/>
        <v>31.496617148141333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117">
        <f>'BEY31-19073031-D'!D38+'ALP31-19072930-D'!D38+'MİR23-19071718-D'!D38+'ÖB19-19071718-D'!D38+'ALP12-19071112-D'!D38+'BEY10-19070809-D'!D38+'BO10-19070608-D'!D38</f>
        <v>0</v>
      </c>
      <c r="E38" s="29">
        <f t="shared" si="13"/>
        <v>0</v>
      </c>
      <c r="F38" s="28">
        <f t="shared" si="14"/>
        <v>31.496617148141333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31.6</v>
      </c>
      <c r="D39" s="117">
        <f>'BEY31-19073031-D'!D39+'ALP31-19072930-D'!D39+'MİR23-19071718-D'!D39+'ÖB19-19071718-D'!D39+'ALP12-19071112-D'!D39+'BEY10-19070809-D'!D39+'BO10-19070608-D'!D39</f>
        <v>0</v>
      </c>
      <c r="E39" s="29">
        <f t="shared" si="13"/>
        <v>0</v>
      </c>
      <c r="F39" s="28">
        <f t="shared" si="14"/>
        <v>32.632560717418563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18.516242468426352</v>
      </c>
      <c r="D40" s="22">
        <f>SUM(D34:D39)</f>
        <v>4663.7</v>
      </c>
      <c r="E40" s="21">
        <f t="shared" si="13"/>
        <v>0.14658993040930893</v>
      </c>
      <c r="F40" s="20">
        <f>I40/D40</f>
        <v>19.121278690169849</v>
      </c>
      <c r="G40" s="19">
        <f>F40/C40-1</f>
        <v>3.2675972070207893E-2</v>
      </c>
      <c r="H40" s="18">
        <f>SUM(H34:H39)</f>
        <v>86354.199999999983</v>
      </c>
      <c r="I40" s="18">
        <f>SUM(I34:I39)</f>
        <v>89175.907427345112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117">
        <f>'BEY31-19073031-D'!D42+'ALP31-19072930-D'!D42+'MİR23-19071718-D'!D42+'ÖB19-19071718-D'!D42+'ALP12-19071112-D'!D42+'BEY10-19070809-D'!D42+'BO10-19070608-D'!D42</f>
        <v>5694.1</v>
      </c>
      <c r="E42" s="107">
        <f>D42/$D$48</f>
        <v>0.17897757633287861</v>
      </c>
      <c r="F42" s="28">
        <f>C42-(C42*$E$6)</f>
        <v>0.41307038882808311</v>
      </c>
      <c r="G42" s="27" t="str">
        <f>IF(C42&gt;=F42,"-","+")</f>
        <v>+</v>
      </c>
      <c r="H42" s="26">
        <f>C42*D42</f>
        <v>2277.6400000000003</v>
      </c>
      <c r="I42" s="26">
        <f>F42*D42</f>
        <v>2352.0641010259883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117">
        <f>'BEY31-19073031-D'!D43+'ALP31-19072930-D'!D43+'MİR23-19071718-D'!D43+'ÖB19-19071718-D'!D43+'ALP12-19071112-D'!D43+'BEY10-19070809-D'!D43+'BO10-19070608-D'!D43</f>
        <v>252.59999999999997</v>
      </c>
      <c r="E43" s="107">
        <f>D43/$D$48</f>
        <v>7.9397509319620533E-3</v>
      </c>
      <c r="F43" s="28">
        <f>C43-(C43*$E$6)</f>
        <v>0.41307038882808311</v>
      </c>
      <c r="G43" s="27" t="str">
        <f>IF(C43&gt;=F43,"-","+")</f>
        <v>+</v>
      </c>
      <c r="H43" s="26">
        <f>C43*D43</f>
        <v>101.03999999999999</v>
      </c>
      <c r="I43" s="26">
        <f>F43*D43</f>
        <v>104.34158021797379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'BEY31-19073031-D'!D44+'ALP31-19072930-D'!D44+'MİR23-19071718-D'!D44+'ÖB19-19071718-D'!D44+'ALP12-19071112-D'!D44+'BEY10-19070809-D'!D44+'BO10-19070608-D'!D44</f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'BEY31-19073031-D'!D45+'ALP31-19072930-D'!D45+'MİR23-19071718-D'!D45+'ÖB19-19071718-D'!D45+'ALP12-19071112-D'!D45+'BEY10-19070809-D'!D45+'BO10-19070608-D'!D45</f>
        <v>35</v>
      </c>
      <c r="E45" s="107">
        <f>D45/$D$48</f>
        <v>1.1001238425125571E-3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0.39765952822776135</v>
      </c>
      <c r="D46" s="22">
        <f>SUM(D41:D45)</f>
        <v>5981.7000000000007</v>
      </c>
      <c r="E46" s="21">
        <f>D46/$D$48</f>
        <v>0.18801745110735324</v>
      </c>
      <c r="F46" s="20">
        <f>I46/D46</f>
        <v>0.41065343986558367</v>
      </c>
      <c r="G46" s="19">
        <f>F46/C46-1</f>
        <v>3.2675972070207671E-2</v>
      </c>
      <c r="H46" s="18">
        <f>SUM(H41:H44)</f>
        <v>2378.6800000000003</v>
      </c>
      <c r="I46" s="18">
        <f>SUM(I41:I44)</f>
        <v>2456.4056812439621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99.175473683545405</v>
      </c>
      <c r="D48" s="13">
        <f>D24+D32+D40+D46</f>
        <v>31814.600000000002</v>
      </c>
      <c r="E48" s="12">
        <f>SUM(E20:E46)/2</f>
        <v>1</v>
      </c>
      <c r="F48" s="11">
        <f>I48/D48</f>
        <v>26.386535917968221</v>
      </c>
      <c r="G48" s="10"/>
      <c r="H48" s="9">
        <f>SUM(H20:H46)/2</f>
        <v>812914.32000000007</v>
      </c>
      <c r="I48" s="9">
        <f>SUM(I20:I46)/2</f>
        <v>839477.08561579185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32771.4</v>
      </c>
      <c r="E50" s="12">
        <f>D50/G2</f>
        <v>1</v>
      </c>
      <c r="F50" s="11">
        <f>I50/D50</f>
        <v>26.449999999999992</v>
      </c>
      <c r="G50" s="10"/>
      <c r="H50" s="9">
        <f>H48+H19</f>
        <v>839376.10000000009</v>
      </c>
      <c r="I50" s="9">
        <f>I48+I19</f>
        <v>866803.5299999998</v>
      </c>
      <c r="J50" s="106">
        <f>D50-G2</f>
        <v>0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26.449999999999992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>
    <tabColor rgb="FFFF0000"/>
  </sheetPr>
  <dimension ref="A1:K56"/>
  <sheetViews>
    <sheetView workbookViewId="0">
      <selection activeCell="J5" sqref="J5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817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'ÖA01-19073001'!G2+'ÖA04-19070304'!G2+'YIL08-19070608'!G2+'MOL11-19071011'!G2+'G16-19071516'!G2+'MOL22-19072022'!G2+'YIL25-19072425'!G2+'G29-19072729'!G2+14691.3</f>
        <v>132495.79999999999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'ÖA01-19073001'!E3+'ÖA04-19070304'!E3+'YIL08-19070608'!E3+'MOL11-19071011'!E3+'G16-19071516'!E3+'MOL22-19072022'!E3+'YIL25-19072425'!E3+'G29-19072729'!E3</f>
        <v>1559</v>
      </c>
      <c r="F3" s="111" t="s">
        <v>8</v>
      </c>
      <c r="G3" s="109">
        <v>27.95</v>
      </c>
      <c r="H3" s="118" t="s">
        <v>818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84.987684413085304</v>
      </c>
      <c r="F4" s="81" t="s">
        <v>12</v>
      </c>
      <c r="G4" s="112">
        <f>G2*G3</f>
        <v>3703257.6099999994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-9.0988943517489318E-3</v>
      </c>
      <c r="F6" s="69" t="s">
        <v>16</v>
      </c>
      <c r="G6" s="68">
        <f>(I50-I19)/(D50-(SUM(D42:D44)+D19))</f>
        <v>33.47066174749348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117">
        <f>'ÖA01-19073001'!D10+'ÖA04-19070304'!D10+'YIL08-19070608'!D10+'MOL11-19071011'!D10+'G16-19071516'!D10+'MOL22-19072022'!D10+'YIL25-19072425'!D10+'G29-19072729'!D10</f>
        <v>0</v>
      </c>
      <c r="E10" s="29" t="e">
        <f t="shared" ref="E10:E19" si="1">D10/$D$19</f>
        <v>#DIV/0!</v>
      </c>
      <c r="F10" s="28">
        <f t="shared" ref="F10:F18" si="2">C10-(C10*$E$6)</f>
        <v>28.25476904184897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29.1</v>
      </c>
      <c r="D11" s="117">
        <f>'ÖA01-19073001'!D11+'ÖA04-19070304'!D11+'YIL08-19070608'!D11+'MOL11-19071011'!D11+'G16-19071516'!D11+'MOL22-19072022'!D11+'YIL25-19072425'!D11+'G29-19072729'!D11</f>
        <v>0</v>
      </c>
      <c r="E11" s="29" t="e">
        <f t="shared" si="1"/>
        <v>#DIV/0!</v>
      </c>
      <c r="F11" s="28">
        <f t="shared" si="2"/>
        <v>29.364777825635894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117">
        <f>'ÖA01-19073001'!D12+'ÖA04-19070304'!D12+'YIL08-19070608'!D12+'MOL11-19071011'!D12+'G16-19071516'!D12+'MOL22-19072022'!D12+'YIL25-19072425'!D12+'G29-19072729'!D12</f>
        <v>0</v>
      </c>
      <c r="E12" s="29" t="e">
        <f t="shared" si="1"/>
        <v>#DIV/0!</v>
      </c>
      <c r="F12" s="28">
        <f t="shared" si="2"/>
        <v>26.842030589756522</v>
      </c>
      <c r="G12" s="27" t="str">
        <f>IF(C12&gt;=F12,"-","+")</f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29.1</v>
      </c>
      <c r="D13" s="117">
        <f>'ÖA01-19073001'!D13+'ÖA04-19070304'!D13+'YIL08-19070608'!D13+'MOL11-19071011'!D13+'G16-19071516'!D13+'MOL22-19072022'!D13+'YIL25-19072425'!D13+'G29-19072729'!D13</f>
        <v>0</v>
      </c>
      <c r="E13" s="29" t="e">
        <f t="shared" si="1"/>
        <v>#DIV/0!</v>
      </c>
      <c r="F13" s="28">
        <f t="shared" si="2"/>
        <v>29.364777825635894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32.5</v>
      </c>
      <c r="D14" s="117">
        <f>'ÖA01-19073001'!D14+'ÖA04-19070304'!D14+'YIL08-19070608'!D14+'MOL11-19071011'!D14+'G16-19071516'!D14+'MOL22-19072022'!D14+'YIL25-19072425'!D14+'G29-19072729'!D14</f>
        <v>0</v>
      </c>
      <c r="E14" s="29" t="e">
        <f t="shared" si="1"/>
        <v>#DIV/0!</v>
      </c>
      <c r="F14" s="28">
        <f t="shared" si="2"/>
        <v>32.795714066431842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26.8</v>
      </c>
      <c r="D15" s="117">
        <f>'ÖA01-19073001'!D15+'ÖA04-19070304'!D15+'YIL08-19070608'!D15+'MOL11-19071011'!D15+'G16-19071516'!D15+'MOL22-19072022'!D15+'YIL25-19072425'!D15+'G29-19072729'!D15</f>
        <v>0</v>
      </c>
      <c r="E15" s="29" t="e">
        <f t="shared" si="1"/>
        <v>#DIV/0!</v>
      </c>
      <c r="F15" s="28">
        <f t="shared" si="2"/>
        <v>27.04385036862687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36.700000000000003</v>
      </c>
      <c r="D16" s="117">
        <f>'ÖA01-19073001'!D16+'ÖA04-19070304'!D16+'YIL08-19070608'!D16+'MOL11-19071011'!D16+'G16-19071516'!D16+'MOL22-19072022'!D16+'YIL25-19072425'!D16+'G29-19072729'!D16</f>
        <v>0</v>
      </c>
      <c r="E16" s="29" t="e">
        <f t="shared" si="1"/>
        <v>#DIV/0!</v>
      </c>
      <c r="F16" s="28">
        <f t="shared" si="2"/>
        <v>37.033929422709186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54.1</v>
      </c>
      <c r="D17" s="117">
        <f>'ÖA01-19073001'!D17+'ÖA04-19070304'!D17+'YIL08-19070608'!D17+'MOL11-19071011'!D17+'G16-19071516'!D17+'MOL22-19072022'!D17+'YIL25-19072425'!D17+'G29-19072729'!D17</f>
        <v>0</v>
      </c>
      <c r="E17" s="29" t="e">
        <f t="shared" si="1"/>
        <v>#DIV/0!</v>
      </c>
      <c r="F17" s="28">
        <f t="shared" si="2"/>
        <v>54.592250184429616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117">
        <f>'ÖA01-19073001'!D18+'ÖA04-19070304'!D18+'YIL08-19070608'!D18+'MOL11-19071011'!D18+'G16-19071516'!D18+'MOL22-19072022'!D18+'YIL25-19072425'!D18+'G29-19072729'!D18</f>
        <v>0</v>
      </c>
      <c r="E18" s="29" t="e">
        <f t="shared" si="1"/>
        <v>#DIV/0!</v>
      </c>
      <c r="F18" s="28">
        <f t="shared" si="2"/>
        <v>47.831287592272901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70.3</v>
      </c>
      <c r="D21" s="117">
        <f>'ÖA01-19073001'!D21+'ÖA04-19070304'!D21+'YIL08-19070608'!D21+'MOL11-19071011'!D21+'G16-19071516'!D21+'MOL22-19072022'!D21+'YIL25-19072425'!D21+'G29-19072729'!D21+160.7</f>
        <v>1521.6000000000001</v>
      </c>
      <c r="E21" s="29">
        <f>D21/$D$48</f>
        <v>1.1484137610399726E-2</v>
      </c>
      <c r="F21" s="28">
        <f>C21-(C21*$E$6)</f>
        <v>70.939652272927944</v>
      </c>
      <c r="G21" s="27" t="str">
        <f>IF(C21&gt;=F21,"-","+")</f>
        <v>+</v>
      </c>
      <c r="H21" s="26">
        <f>C21*D21</f>
        <v>106968.48000000001</v>
      </c>
      <c r="I21" s="26">
        <f>F21*D21</f>
        <v>107941.77489848717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47.2</v>
      </c>
      <c r="D22" s="117">
        <f>'ÖA01-19073001'!D22+'ÖA04-19070304'!D22+'YIL08-19070608'!D22+'MOL11-19071011'!D22+'G16-19071516'!D22+'MOL22-19072022'!D22+'YIL25-19072425'!D22+'G29-19072729'!D22+499.2</f>
        <v>4445.45</v>
      </c>
      <c r="E22" s="29">
        <f>D22/$D$48</f>
        <v>3.3551629561087967E-2</v>
      </c>
      <c r="F22" s="28">
        <f>C22-(C22*$E$6)</f>
        <v>47.629467813402556</v>
      </c>
      <c r="G22" s="27" t="str">
        <f>IF(C22&gt;=F22,"-","+")</f>
        <v>+</v>
      </c>
      <c r="H22" s="26">
        <f>C22*D22</f>
        <v>209825.24</v>
      </c>
      <c r="I22" s="26">
        <f>F22*D22</f>
        <v>211734.41769109038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</v>
      </c>
      <c r="D23" s="117">
        <f>'ÖA01-19073001'!D23+'ÖA04-19070304'!D23+'YIL08-19070608'!D23+'MOL11-19071011'!D23+'G16-19071516'!D23+'MOL22-19072022'!D23+'YIL25-19072425'!D23+'G29-19072729'!D23+328.6</f>
        <v>3042.7999999999997</v>
      </c>
      <c r="E23" s="29">
        <f>D23/$D$48</f>
        <v>2.2965256257179469E-2</v>
      </c>
      <c r="F23" s="28">
        <f>C23-(C23*$E$6)</f>
        <v>43.391252457125205</v>
      </c>
      <c r="G23" s="27" t="str">
        <f>IF(C23&gt;=F23,"-","+")</f>
        <v>+</v>
      </c>
      <c r="H23" s="26">
        <f>C23*D23</f>
        <v>130840.4</v>
      </c>
      <c r="I23" s="26">
        <f>F23*D23</f>
        <v>132030.90297654056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49.682749435340206</v>
      </c>
      <c r="D24" s="22">
        <f>SUM(D21:D23)</f>
        <v>9009.85</v>
      </c>
      <c r="E24" s="21">
        <f>D24/$D$48</f>
        <v>6.8001023428667165E-2</v>
      </c>
      <c r="F24" s="20">
        <f>I24/D24</f>
        <v>50.13480752355678</v>
      </c>
      <c r="G24" s="19">
        <f>F24/C24-1</f>
        <v>9.0988943517489318E-3</v>
      </c>
      <c r="H24" s="18">
        <f>SUM(H21:H23)</f>
        <v>447634.12</v>
      </c>
      <c r="I24" s="18">
        <f>SUM(I21:I23)</f>
        <v>451707.09556611808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37.5</v>
      </c>
      <c r="D26" s="117">
        <f>'ÖA01-19073001'!D26+'ÖA04-19070304'!D26+'YIL08-19070608'!D26+'MOL11-19071011'!D26+'G16-19071516'!D26+'MOL22-19072022'!D26+'YIL25-19072425'!D26+'G29-19072729'!D26+2577.8</f>
        <v>23301.899999999998</v>
      </c>
      <c r="E26" s="29">
        <f t="shared" ref="E26:E32" si="7">D26/$D$48</f>
        <v>0.17586897094096562</v>
      </c>
      <c r="F26" s="28">
        <f t="shared" ref="F26:F31" si="8">C26-(C26*$E$6)</f>
        <v>37.841208538190585</v>
      </c>
      <c r="G26" s="27" t="str">
        <f t="shared" ref="G26:G31" si="9">IF(C26&gt;=F26,"-","+")</f>
        <v>+</v>
      </c>
      <c r="H26" s="26">
        <f t="shared" ref="H26:H31" si="10">C26*D26</f>
        <v>873821.24999999988</v>
      </c>
      <c r="I26" s="26">
        <f t="shared" ref="I26:I31" si="11">F26*D26</f>
        <v>881772.05723606306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33.4</v>
      </c>
      <c r="D27" s="117">
        <f>'ÖA01-19073001'!D27+'ÖA04-19070304'!D27+'YIL08-19070608'!D27+'MOL11-19071011'!D27+'G16-19071516'!D27+'MOL22-19072022'!D27+'YIL25-19072425'!D27+'G29-19072729'!D27+2566.3</f>
        <v>21548.5</v>
      </c>
      <c r="E27" s="29">
        <f t="shared" si="7"/>
        <v>0.16263534391278817</v>
      </c>
      <c r="F27" s="28">
        <f t="shared" si="8"/>
        <v>33.703903071348414</v>
      </c>
      <c r="G27" s="27" t="str">
        <f t="shared" si="9"/>
        <v>+</v>
      </c>
      <c r="H27" s="26">
        <f t="shared" si="10"/>
        <v>719719.9</v>
      </c>
      <c r="I27" s="26">
        <f t="shared" si="11"/>
        <v>726268.55533295125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33.4</v>
      </c>
      <c r="D28" s="117">
        <f>'ÖA01-19073001'!D28+'ÖA04-19070304'!D28+'YIL08-19070608'!D28+'MOL11-19071011'!D28+'G16-19071516'!D28+'MOL22-19072022'!D28+'YIL25-19072425'!D28+'G29-19072729'!D28+1814.3</f>
        <v>14694.269999999999</v>
      </c>
      <c r="E28" s="29">
        <f t="shared" si="7"/>
        <v>0.11090366638036826</v>
      </c>
      <c r="F28" s="28">
        <f t="shared" si="8"/>
        <v>33.703903071348414</v>
      </c>
      <c r="G28" s="27" t="str">
        <f t="shared" si="9"/>
        <v>+</v>
      </c>
      <c r="H28" s="26">
        <f t="shared" si="10"/>
        <v>490788.61799999996</v>
      </c>
      <c r="I28" s="26">
        <f t="shared" si="11"/>
        <v>495254.25178422278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117">
        <f>'ÖA01-19073001'!D29+'ÖA04-19070304'!D29+'YIL08-19070608'!D29+'MOL11-19071011'!D29+'G16-19071516'!D29+'MOL22-19072022'!D29+'YIL25-19072425'!D29+'G29-19072729'!D29+1412.5</f>
        <v>12968.699999999999</v>
      </c>
      <c r="E29" s="29">
        <f t="shared" si="7"/>
        <v>9.7880083746050797E-2</v>
      </c>
      <c r="F29" s="28">
        <f t="shared" si="8"/>
        <v>32.59389428756149</v>
      </c>
      <c r="G29" s="27" t="str">
        <f t="shared" si="9"/>
        <v>+</v>
      </c>
      <c r="H29" s="26">
        <f t="shared" si="10"/>
        <v>418889.00999999995</v>
      </c>
      <c r="I29" s="26">
        <f t="shared" si="11"/>
        <v>422700.43684709864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117">
        <f>'ÖA01-19073001'!D30+'ÖA04-19070304'!D30+'YIL08-19070608'!D30+'MOL11-19071011'!D30+'G16-19071516'!D30+'MOL22-19072022'!D30+'YIL25-19072425'!D30+'G29-19072729'!D30+782.1</f>
        <v>7177.1000000000013</v>
      </c>
      <c r="E30" s="29">
        <f t="shared" si="7"/>
        <v>5.4168509492376365E-2</v>
      </c>
      <c r="F30" s="28">
        <f t="shared" si="8"/>
        <v>32.59389428756149</v>
      </c>
      <c r="G30" s="27" t="str">
        <f t="shared" si="9"/>
        <v>+</v>
      </c>
      <c r="H30" s="26">
        <f t="shared" si="10"/>
        <v>231820.33000000002</v>
      </c>
      <c r="I30" s="26">
        <f t="shared" si="11"/>
        <v>233929.6386912576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32.799999999999997</v>
      </c>
      <c r="D31" s="117">
        <f>'ÖA01-19073001'!D31+'ÖA04-19070304'!D31+'YIL08-19070608'!D31+'MOL11-19071011'!D31+'G16-19071516'!D31+'MOL22-19072022'!D31+'YIL25-19072425'!D31+'G29-19072729'!D31+365.6</f>
        <v>3433.1</v>
      </c>
      <c r="E31" s="29">
        <f t="shared" si="7"/>
        <v>2.5911010009373878E-2</v>
      </c>
      <c r="F31" s="28">
        <f t="shared" si="8"/>
        <v>33.098443734737359</v>
      </c>
      <c r="G31" s="27" t="str">
        <f t="shared" si="9"/>
        <v>+</v>
      </c>
      <c r="H31" s="26">
        <f t="shared" si="10"/>
        <v>112605.68</v>
      </c>
      <c r="I31" s="26">
        <f t="shared" si="11"/>
        <v>113630.26718572683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34.257970248390436</v>
      </c>
      <c r="D32" s="22">
        <f>SUM(D26:D31)</f>
        <v>83123.570000000007</v>
      </c>
      <c r="E32" s="21">
        <f t="shared" si="7"/>
        <v>0.6273675844819232</v>
      </c>
      <c r="F32" s="20">
        <f>I32/D32</f>
        <v>34.569679900385893</v>
      </c>
      <c r="G32" s="19">
        <f>F32/C32-1</f>
        <v>9.0988943517487098E-3</v>
      </c>
      <c r="H32" s="18">
        <f>SUM(H26:H31)</f>
        <v>2847644.7880000002</v>
      </c>
      <c r="I32" s="18">
        <f>SUM(I26:I31)</f>
        <v>2873555.2070773202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19.7</v>
      </c>
      <c r="D34" s="117">
        <f>'ÖA01-19073001'!D34+'ÖA04-19070304'!D34+'YIL08-19070608'!D34+'MOL11-19071011'!D34+'G16-19071516'!D34+'MOL22-19072022'!D34+'YIL25-19072425'!D34+'G29-19072729'!D34+1738.9</f>
        <v>18459.900000000001</v>
      </c>
      <c r="E34" s="29">
        <f t="shared" ref="E34:E40" si="13">D34/$D$48</f>
        <v>0.13932441632112111</v>
      </c>
      <c r="F34" s="28">
        <f t="shared" ref="F34:F39" si="14">C34-(C34*$E$6)</f>
        <v>19.879248218729455</v>
      </c>
      <c r="G34" s="27" t="str">
        <f t="shared" ref="G34:G39" si="15">IF(C34&gt;=F34,"-","+")</f>
        <v>+</v>
      </c>
      <c r="H34" s="26">
        <f t="shared" ref="H34:H39" si="16">C34*D34</f>
        <v>363660.03</v>
      </c>
      <c r="I34" s="26">
        <f t="shared" ref="I34:I39" si="17">F34*D34</f>
        <v>366968.93419292389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117">
        <f>'ÖA01-19073001'!D35+'ÖA04-19070304'!D35+'YIL08-19070608'!D35+'MOL11-19071011'!D35+'G16-19071516'!D35+'MOL22-19072022'!D35+'YIL25-19072425'!D35+'G29-19072729'!D35</f>
        <v>0</v>
      </c>
      <c r="E35" s="29">
        <f t="shared" si="13"/>
        <v>0</v>
      </c>
      <c r="F35" s="28">
        <f t="shared" si="14"/>
        <v>15.338303194146583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117">
        <f>'ÖA01-19073001'!D36+'ÖA04-19070304'!D36+'YIL08-19070608'!D36+'MOL11-19071011'!D36+'G16-19071516'!D36+'MOL22-19072022'!D36+'YIL25-19072425'!D36+'G29-19072729'!D36</f>
        <v>0</v>
      </c>
      <c r="E36" s="29">
        <f t="shared" si="13"/>
        <v>0</v>
      </c>
      <c r="F36" s="28">
        <f t="shared" si="14"/>
        <v>12.311006511091335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117">
        <f>'ÖA01-19073001'!D37+'ÖA04-19070304'!D37+'YIL08-19070608'!D37+'MOL11-19071011'!D37+'G16-19071516'!D37+'MOL22-19072022'!D37+'YIL25-19072425'!D37+'G29-19072729'!D37</f>
        <v>0</v>
      </c>
      <c r="E37" s="29">
        <f t="shared" si="13"/>
        <v>0</v>
      </c>
      <c r="F37" s="28">
        <f t="shared" si="14"/>
        <v>32.59389428756149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117">
        <f>'ÖA01-19073001'!D38+'ÖA04-19070304'!D38+'YIL08-19070608'!D38+'MOL11-19071011'!D38+'G16-19071516'!D38+'MOL22-19072022'!D38+'YIL25-19072425'!D38+'G29-19072729'!D38</f>
        <v>0</v>
      </c>
      <c r="E38" s="29">
        <f t="shared" si="13"/>
        <v>0</v>
      </c>
      <c r="F38" s="28">
        <f t="shared" si="14"/>
        <v>32.59389428756149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33.4</v>
      </c>
      <c r="D39" s="117">
        <f>'ÖA01-19073001'!D39+'ÖA04-19070304'!D39+'YIL08-19070608'!D39+'MOL11-19071011'!D39+'G16-19071516'!D39+'MOL22-19072022'!D39+'YIL25-19072425'!D39+'G29-19072729'!D39</f>
        <v>0</v>
      </c>
      <c r="E39" s="29">
        <f t="shared" si="13"/>
        <v>0</v>
      </c>
      <c r="F39" s="28">
        <f t="shared" si="14"/>
        <v>33.703903071348414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19.7</v>
      </c>
      <c r="D40" s="22">
        <f>SUM(D34:D39)</f>
        <v>18459.900000000001</v>
      </c>
      <c r="E40" s="21">
        <f t="shared" si="13"/>
        <v>0.13932441632112111</v>
      </c>
      <c r="F40" s="20">
        <f>I40/D40</f>
        <v>19.879248218729455</v>
      </c>
      <c r="G40" s="19">
        <f>F40/C40-1</f>
        <v>9.0988943517489318E-3</v>
      </c>
      <c r="H40" s="18">
        <f>SUM(H34:H39)</f>
        <v>363660.03</v>
      </c>
      <c r="I40" s="18">
        <f>SUM(I34:I39)</f>
        <v>366968.93419292389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117">
        <f>'ÖA01-19073001'!D42+'ÖA04-19070304'!D42+'YIL08-19070608'!D42+'MOL11-19071011'!D42+'G16-19071516'!D42+'MOL22-19072022'!D42+'YIL25-19072425'!D42+'G29-19072729'!D42+2329</f>
        <v>20741</v>
      </c>
      <c r="E42" s="107">
        <f>D42/$D$48</f>
        <v>0.15654081110495577</v>
      </c>
      <c r="F42" s="28">
        <f>C42-(C42*$E$6)</f>
        <v>0.50454944717587447</v>
      </c>
      <c r="G42" s="27" t="str">
        <f>IF(C42&gt;=F42,"-","+")</f>
        <v>+</v>
      </c>
      <c r="H42" s="26">
        <f>C42*D42</f>
        <v>10370.5</v>
      </c>
      <c r="I42" s="26">
        <f>F42*D42</f>
        <v>10464.860083874812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117">
        <f>'ÖA01-19073001'!D43+'ÖA04-19070304'!D43+'YIL08-19070608'!D43+'MOL11-19071011'!D43+'G16-19071516'!D43+'MOL22-19072022'!D43+'YIL25-19072425'!D43+'G29-19072729'!D43+111.5</f>
        <v>1112.9000000000001</v>
      </c>
      <c r="E43" s="107">
        <f>D43/$D$48</f>
        <v>8.3995115316862871E-3</v>
      </c>
      <c r="F43" s="28">
        <f>C43-(C43*$E$6)</f>
        <v>0.50454944717587447</v>
      </c>
      <c r="G43" s="27" t="str">
        <f>IF(C43&gt;=F43,"-","+")</f>
        <v>+</v>
      </c>
      <c r="H43" s="26">
        <f>C43*D43</f>
        <v>556.45000000000005</v>
      </c>
      <c r="I43" s="26">
        <f>F43*D43</f>
        <v>561.51307976203077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'ÖA01-19073001'!D44+'ÖA04-19070304'!D44+'YIL08-19070608'!D44+'MOL11-19071011'!D44+'G16-19071516'!D44+'MOL22-19072022'!D44+'YIL25-19072425'!D44+'G29-19072729'!D44</f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'ÖA01-19073001'!D45+'ÖA04-19070304'!D45+'YIL08-19070608'!D45+'MOL11-19071011'!D45+'G16-19071516'!D45+'MOL22-19072022'!D45+'YIL25-19072425'!D45+'G29-19072729'!D45+4.8</f>
        <v>48.580000000000005</v>
      </c>
      <c r="E45" s="107">
        <f>D45/$D$48</f>
        <v>3.6665313164643707E-4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0.49889099316607066</v>
      </c>
      <c r="D46" s="22">
        <f>SUM(D41:D45)</f>
        <v>21902.480000000003</v>
      </c>
      <c r="E46" s="21">
        <f>D46/$D$48</f>
        <v>0.16530697576828851</v>
      </c>
      <c r="F46" s="20">
        <f>I46/D46</f>
        <v>0.50343034960592781</v>
      </c>
      <c r="G46" s="19">
        <f>F46/C46-1</f>
        <v>9.0988943517489318E-3</v>
      </c>
      <c r="H46" s="18">
        <f>SUM(H41:H44)</f>
        <v>10926.95</v>
      </c>
      <c r="I46" s="18">
        <f>SUM(I41:I44)</f>
        <v>11026.373163636843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104.13961067689671</v>
      </c>
      <c r="D48" s="13">
        <f>D24+D32+D40+D46</f>
        <v>132495.80000000002</v>
      </c>
      <c r="E48" s="12">
        <f>SUM(E20:E46)/2</f>
        <v>1</v>
      </c>
      <c r="F48" s="11">
        <f>I48/D48</f>
        <v>27.949999999999989</v>
      </c>
      <c r="G48" s="10"/>
      <c r="H48" s="9">
        <f>SUM(H20:H46)/2</f>
        <v>3669865.8880000003</v>
      </c>
      <c r="I48" s="9">
        <f>SUM(I20:I46)/2</f>
        <v>3703257.6099999989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132495.79999999999</v>
      </c>
      <c r="E50" s="12">
        <f>D50/G2</f>
        <v>1</v>
      </c>
      <c r="F50" s="11">
        <f>I50/D50</f>
        <v>27.949999999999996</v>
      </c>
      <c r="G50" s="10"/>
      <c r="H50" s="9">
        <f>H48+H19</f>
        <v>3669865.8880000003</v>
      </c>
      <c r="I50" s="9">
        <f>I48+I19</f>
        <v>3703257.6099999989</v>
      </c>
      <c r="J50" s="106">
        <f>D50-G2</f>
        <v>0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27.949999999999996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>
    <tabColor rgb="FF92D050"/>
  </sheetPr>
  <dimension ref="A1:K56"/>
  <sheetViews>
    <sheetView topLeftCell="A6"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819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819</v>
      </c>
      <c r="D2" s="96" t="s">
        <v>3</v>
      </c>
      <c r="E2" s="95" t="s">
        <v>71</v>
      </c>
      <c r="F2" s="94" t="s">
        <v>5</v>
      </c>
      <c r="G2" s="116">
        <v>14424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195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73.969230769230762</v>
      </c>
      <c r="F4" s="81" t="s">
        <v>12</v>
      </c>
      <c r="G4" s="80">
        <f>G2*G3</f>
        <v>403872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-7.7706776740786854E-3</v>
      </c>
      <c r="F6" s="69" t="s">
        <v>16</v>
      </c>
      <c r="G6" s="68">
        <f>(I50-I19)/(D50-(SUM(D42:D44)+D19))</f>
        <v>33.751065501161591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28.217578974874204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29.426903788083099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26.806700026130496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29.426903788083099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32.853324092174965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27.109031229432716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37.085960938406096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54.621170729935066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47.768330121751326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168.2</v>
      </c>
      <c r="E21" s="29">
        <f>D21/$D$48</f>
        <v>1.16607969828901E-2</v>
      </c>
      <c r="F21" s="28">
        <f>C21-(C21*$E$6)</f>
        <v>70.947055708255149</v>
      </c>
      <c r="G21" s="27" t="str">
        <f>IF(C21&gt;=F21,"-","+")</f>
        <v>+</v>
      </c>
      <c r="H21" s="26">
        <f>C21*D21</f>
        <v>11841.28</v>
      </c>
      <c r="I21" s="26">
        <f>F21*D21</f>
        <v>11933.294770128516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472.6</v>
      </c>
      <c r="E22" s="29">
        <f>D22/$D$48</f>
        <v>3.276392778902415E-2</v>
      </c>
      <c r="F22" s="28">
        <f>C22-(C22*$E$6)</f>
        <v>47.667553053983916</v>
      </c>
      <c r="G22" s="27" t="str">
        <f>IF(C22&gt;=F22,"-","+")</f>
        <v>+</v>
      </c>
      <c r="H22" s="26">
        <f>C22*D22</f>
        <v>22353.98</v>
      </c>
      <c r="I22" s="26">
        <f>F22*D22</f>
        <v>22527.6855733128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322.10000000000002</v>
      </c>
      <c r="E23" s="29">
        <f>D23/$D$48</f>
        <v>2.2330218241313329E-2</v>
      </c>
      <c r="F23" s="28">
        <f>C23-(C23*$E$6)</f>
        <v>43.434916207752792</v>
      </c>
      <c r="G23" s="27" t="str">
        <f>IF(C23&gt;=F23,"-","+")</f>
        <v>+</v>
      </c>
      <c r="H23" s="26">
        <f>C23*D23</f>
        <v>13882.510000000002</v>
      </c>
      <c r="I23" s="26">
        <f>F23*D23</f>
        <v>13990.386510517175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49.930179665593528</v>
      </c>
      <c r="D24" s="22">
        <f>SUM(D21:D23)</f>
        <v>962.9</v>
      </c>
      <c r="E24" s="21">
        <f>D24/$D$48</f>
        <v>6.6754943013227583E-2</v>
      </c>
      <c r="F24" s="20">
        <f>I24/D24</f>
        <v>50.318170997983685</v>
      </c>
      <c r="G24" s="19">
        <f>F24/C24-1</f>
        <v>7.7706776740784633E-3</v>
      </c>
      <c r="H24" s="18">
        <f>SUM(H21:H23)</f>
        <v>48077.770000000004</v>
      </c>
      <c r="I24" s="18">
        <f>SUM(I21:I23)</f>
        <v>48451.366853958491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2589.3000000000002</v>
      </c>
      <c r="E26" s="29">
        <f t="shared" ref="E26:E32" si="7">D26/$D$48</f>
        <v>0.17950833310224343</v>
      </c>
      <c r="F26" s="28">
        <f t="shared" ref="F26:F31" si="8">C26-(C26*$E$6)</f>
        <v>37.892177480545357</v>
      </c>
      <c r="G26" s="27" t="str">
        <f t="shared" ref="G26:G31" si="9">IF(C26&gt;=F26,"-","+")</f>
        <v>+</v>
      </c>
      <c r="H26" s="26">
        <f t="shared" ref="H26:H31" si="10">C26*D26</f>
        <v>97357.680000000008</v>
      </c>
      <c r="I26" s="26">
        <f t="shared" ref="I26:I31" si="11">F26*D26</f>
        <v>98114.215150376098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2482.1</v>
      </c>
      <c r="E27" s="29">
        <f t="shared" si="7"/>
        <v>0.17207648151742877</v>
      </c>
      <c r="F27" s="28">
        <f t="shared" si="8"/>
        <v>33.760317702081636</v>
      </c>
      <c r="G27" s="27" t="str">
        <f t="shared" si="9"/>
        <v>+</v>
      </c>
      <c r="H27" s="26">
        <f t="shared" si="10"/>
        <v>83150.349999999991</v>
      </c>
      <c r="I27" s="26">
        <f t="shared" si="11"/>
        <v>83796.484568336833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1604</v>
      </c>
      <c r="E28" s="29">
        <f t="shared" si="7"/>
        <v>0.11120046587726351</v>
      </c>
      <c r="F28" s="28">
        <f t="shared" si="8"/>
        <v>33.760317702081636</v>
      </c>
      <c r="G28" s="27" t="str">
        <f t="shared" si="9"/>
        <v>+</v>
      </c>
      <c r="H28" s="26">
        <f t="shared" si="10"/>
        <v>53734</v>
      </c>
      <c r="I28" s="26">
        <f t="shared" si="11"/>
        <v>54151.549594138945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1359.1</v>
      </c>
      <c r="E29" s="29">
        <f t="shared" si="7"/>
        <v>9.4222290008596526E-2</v>
      </c>
      <c r="F29" s="28">
        <f t="shared" si="8"/>
        <v>32.550992888872742</v>
      </c>
      <c r="G29" s="27" t="str">
        <f t="shared" si="9"/>
        <v>+</v>
      </c>
      <c r="H29" s="26">
        <f t="shared" si="10"/>
        <v>43898.929999999993</v>
      </c>
      <c r="I29" s="26">
        <f t="shared" si="11"/>
        <v>44240.054435266939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768</v>
      </c>
      <c r="E30" s="29">
        <f t="shared" si="7"/>
        <v>5.3243115831507717E-2</v>
      </c>
      <c r="F30" s="28">
        <f t="shared" si="8"/>
        <v>32.550992888872742</v>
      </c>
      <c r="G30" s="27" t="str">
        <f t="shared" si="9"/>
        <v>+</v>
      </c>
      <c r="H30" s="26">
        <f t="shared" si="10"/>
        <v>24806.399999999998</v>
      </c>
      <c r="I30" s="26">
        <f t="shared" si="11"/>
        <v>24999.162538654266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380.7</v>
      </c>
      <c r="E31" s="29">
        <f t="shared" si="7"/>
        <v>2.6392778902415349E-2</v>
      </c>
      <c r="F31" s="28">
        <f t="shared" si="8"/>
        <v>33.155655295477189</v>
      </c>
      <c r="G31" s="27" t="str">
        <f t="shared" si="9"/>
        <v>+</v>
      </c>
      <c r="H31" s="26">
        <f t="shared" si="10"/>
        <v>12525.029999999999</v>
      </c>
      <c r="I31" s="26">
        <f t="shared" si="11"/>
        <v>12622.357970988165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34.353209121003573</v>
      </c>
      <c r="D32" s="22">
        <f>SUM(D26:D31)</f>
        <v>9183.2000000000007</v>
      </c>
      <c r="E32" s="21">
        <f t="shared" si="7"/>
        <v>0.63664346523945536</v>
      </c>
      <c r="F32" s="20">
        <f>I32/D32</f>
        <v>34.620156836153107</v>
      </c>
      <c r="G32" s="19">
        <f>F32/C32-1</f>
        <v>7.7706776740784633E-3</v>
      </c>
      <c r="H32" s="18">
        <f>SUM(H26:H31)</f>
        <v>315472.39</v>
      </c>
      <c r="I32" s="18">
        <f>SUM(I26:I31)</f>
        <v>317923.82425776124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1817.1</v>
      </c>
      <c r="E34" s="29">
        <f t="shared" ref="E34:E40" si="13">D34/$D$48</f>
        <v>0.12597404398103212</v>
      </c>
      <c r="F34" s="28">
        <f t="shared" ref="F34:F39" si="14">C34-(C34*$E$6)</f>
        <v>19.953859417946759</v>
      </c>
      <c r="G34" s="27" t="str">
        <f t="shared" ref="G34:G39" si="15">IF(C34&gt;=F34,"-","+")</f>
        <v>+</v>
      </c>
      <c r="H34" s="26">
        <f t="shared" ref="H34:H39" si="16">C34*D34</f>
        <v>35978.58</v>
      </c>
      <c r="I34" s="26">
        <f t="shared" ref="I34:I39" si="17">F34*D34</f>
        <v>36258.157948351058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15.318114300645995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12.294802267623758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32.550992888872742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32.550992888872742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33.760317702081636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1817.1</v>
      </c>
      <c r="E40" s="113">
        <f t="shared" si="13"/>
        <v>0.12597404398103212</v>
      </c>
      <c r="F40" s="20">
        <f>I40/D40</f>
        <v>19.953859417946759</v>
      </c>
      <c r="G40" s="19">
        <f>F40/C40-1</f>
        <v>7.7706776740786854E-3</v>
      </c>
      <c r="H40" s="18">
        <f>SUM(H34:H39)</f>
        <v>35978.58</v>
      </c>
      <c r="I40" s="18">
        <f>SUM(I34:I39)</f>
        <v>36258.157948351058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2325</v>
      </c>
      <c r="E42" s="107">
        <f>D42/$D$48</f>
        <v>0.16118521394304094</v>
      </c>
      <c r="F42" s="28">
        <f>C42-(C42*$E$6)</f>
        <v>0.50388533883703934</v>
      </c>
      <c r="G42" s="27" t="str">
        <f>IF(C42&gt;=F42,"-","+")</f>
        <v>+</v>
      </c>
      <c r="H42" s="26">
        <f>C42*D42</f>
        <v>1162.5</v>
      </c>
      <c r="I42" s="26">
        <f>F42*D42</f>
        <v>1171.5334127961164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133.19999999999999</v>
      </c>
      <c r="E43" s="107">
        <f>D43/$D$48</f>
        <v>9.2343529020271192E-3</v>
      </c>
      <c r="F43" s="28">
        <f>C43-(C43*$E$6)</f>
        <v>0.50388533883703934</v>
      </c>
      <c r="G43" s="27" t="str">
        <f>IF(C43&gt;=F43,"-","+")</f>
        <v>+</v>
      </c>
      <c r="H43" s="26">
        <f>C43*D43</f>
        <v>66.599999999999994</v>
      </c>
      <c r="I43" s="26">
        <f>F43*D43</f>
        <v>67.117527133093631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</v>
      </c>
      <c r="E45" s="107">
        <f>D45/$D$48</f>
        <v>2.0798092121682702E-4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0.49939054119941489</v>
      </c>
      <c r="D46" s="22">
        <f>SUM(D41:D45)</f>
        <v>2461.1999999999998</v>
      </c>
      <c r="E46" s="113">
        <f>D46/$D$48</f>
        <v>0.17062754776628489</v>
      </c>
      <c r="F46" s="20">
        <f>I46/D46</f>
        <v>0.50327114412855922</v>
      </c>
      <c r="G46" s="19">
        <f>F46/C46-1</f>
        <v>7.7706776740786854E-3</v>
      </c>
      <c r="H46" s="18">
        <f>SUM(H41:H44)</f>
        <v>1229.0999999999999</v>
      </c>
      <c r="I46" s="18">
        <f>SUM(I41:I44)</f>
        <v>1238.6509399292099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104.58277932779652</v>
      </c>
      <c r="D48" s="13">
        <f>D24+D32+D40+D46</f>
        <v>14424.400000000001</v>
      </c>
      <c r="E48" s="12">
        <f>SUM(E20:E46)/2</f>
        <v>1</v>
      </c>
      <c r="F48" s="11">
        <f>I48/D48</f>
        <v>27.999223537894114</v>
      </c>
      <c r="G48" s="10"/>
      <c r="H48" s="9">
        <f>SUM(H20:H46)/2</f>
        <v>400757.83999999997</v>
      </c>
      <c r="I48" s="9">
        <f>SUM(I20:I46)/2</f>
        <v>403871.99999999988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14424.400000000001</v>
      </c>
      <c r="E50" s="12">
        <f>D50/G2</f>
        <v>1.0000277315585138</v>
      </c>
      <c r="F50" s="11">
        <f>I50/D50</f>
        <v>27.999223537894114</v>
      </c>
      <c r="G50" s="10"/>
      <c r="H50" s="9">
        <f>H48+H19</f>
        <v>400757.83999999997</v>
      </c>
      <c r="I50" s="9">
        <f>I48+I19</f>
        <v>403871.99999999988</v>
      </c>
      <c r="J50" s="106">
        <f>D50-G2</f>
        <v>0.40000000000145519</v>
      </c>
      <c r="K50" s="8"/>
    </row>
    <row r="51" spans="1:11" ht="23.25" x14ac:dyDescent="0.35">
      <c r="A51" s="174" t="s">
        <v>820</v>
      </c>
      <c r="B51" s="169"/>
      <c r="C51" s="170"/>
      <c r="G51" s="7"/>
      <c r="H51" s="6"/>
      <c r="I51" s="6">
        <f>+I50/D50</f>
        <v>27.999223537894114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819</v>
      </c>
      <c r="D1" s="100" t="s">
        <v>1</v>
      </c>
      <c r="E1" s="168" t="s">
        <v>821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819</v>
      </c>
      <c r="D2" s="96" t="s">
        <v>3</v>
      </c>
      <c r="E2" s="95" t="s">
        <v>112</v>
      </c>
      <c r="F2" s="94" t="s">
        <v>5</v>
      </c>
      <c r="G2" s="116">
        <v>7395.6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822</v>
      </c>
      <c r="D3" s="90" t="s">
        <v>7</v>
      </c>
      <c r="E3" s="89">
        <v>118</v>
      </c>
      <c r="F3" s="88" t="s">
        <v>8</v>
      </c>
      <c r="G3" s="87">
        <v>24.7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62.674576271186446</v>
      </c>
      <c r="F4" s="81" t="s">
        <v>12</v>
      </c>
      <c r="G4" s="80">
        <f>G2*G3</f>
        <v>182671.32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-8.3751293719870556E-2</v>
      </c>
      <c r="F6" s="69" t="s">
        <v>16</v>
      </c>
      <c r="G6" s="68">
        <f>(I50-I19)/(D50-(SUM(D42:D44)+D19))</f>
        <v>31.300772676283195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24.7</v>
      </c>
      <c r="D10" s="30"/>
      <c r="E10" s="29">
        <f t="shared" ref="E10:E19" si="1">D10/$D$19</f>
        <v>0</v>
      </c>
      <c r="F10" s="28">
        <f t="shared" ref="F10:F18" si="2">C10-(C10*$E$6)</f>
        <v>26.768656954880804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25.7</v>
      </c>
      <c r="D11" s="30"/>
      <c r="E11" s="29">
        <f t="shared" si="1"/>
        <v>0</v>
      </c>
      <c r="F11" s="28">
        <f t="shared" si="2"/>
        <v>27.852408248600671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23.5</v>
      </c>
      <c r="D12" s="30"/>
      <c r="E12" s="29">
        <f t="shared" si="1"/>
        <v>0</v>
      </c>
      <c r="F12" s="28">
        <f t="shared" si="2"/>
        <v>25.468155402416958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25.7</v>
      </c>
      <c r="D13" s="30"/>
      <c r="E13" s="29">
        <f t="shared" si="1"/>
        <v>0</v>
      </c>
      <c r="F13" s="28">
        <f t="shared" si="2"/>
        <v>27.852408248600671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28.8</v>
      </c>
      <c r="D14" s="30"/>
      <c r="E14" s="29">
        <f t="shared" si="1"/>
        <v>0</v>
      </c>
      <c r="F14" s="28">
        <f t="shared" si="2"/>
        <v>31.212037259132273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23.7</v>
      </c>
      <c r="D15" s="30"/>
      <c r="E15" s="29">
        <f t="shared" si="1"/>
        <v>0</v>
      </c>
      <c r="F15" s="28">
        <f t="shared" si="2"/>
        <v>25.684905661160933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32.5</v>
      </c>
      <c r="D16" s="30"/>
      <c r="E16" s="29">
        <f t="shared" si="1"/>
        <v>0</v>
      </c>
      <c r="F16" s="28">
        <f t="shared" si="2"/>
        <v>35.221917045895793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47.8</v>
      </c>
      <c r="D17" s="30">
        <v>20</v>
      </c>
      <c r="E17" s="29">
        <f t="shared" si="1"/>
        <v>1</v>
      </c>
      <c r="F17" s="28">
        <f t="shared" si="2"/>
        <v>51.803311839809808</v>
      </c>
      <c r="G17" s="27" t="str">
        <f t="shared" si="3"/>
        <v>+</v>
      </c>
      <c r="H17" s="34">
        <f t="shared" si="4"/>
        <v>956</v>
      </c>
      <c r="I17" s="34">
        <f t="shared" si="5"/>
        <v>1036.0662367961961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41.8</v>
      </c>
      <c r="D18" s="30"/>
      <c r="E18" s="29">
        <f t="shared" si="1"/>
        <v>0</v>
      </c>
      <c r="F18" s="28">
        <f t="shared" si="2"/>
        <v>45.300804077490589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47.8</v>
      </c>
      <c r="D19" s="49">
        <f>SUM(D10:D18)</f>
        <v>20</v>
      </c>
      <c r="E19" s="48">
        <f t="shared" si="1"/>
        <v>1</v>
      </c>
      <c r="F19" s="47">
        <f>I19/D19</f>
        <v>51.803311839809808</v>
      </c>
      <c r="G19" s="46">
        <f>F19/C19-1</f>
        <v>8.3751293719870556E-2</v>
      </c>
      <c r="H19" s="9">
        <f>SUM(H10:H18)</f>
        <v>956</v>
      </c>
      <c r="I19" s="9">
        <f>SUM(I10:I18)</f>
        <v>1036.0662367961961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62.1</v>
      </c>
      <c r="D21" s="30">
        <v>92.7</v>
      </c>
      <c r="E21" s="29">
        <f>D21/$D$48</f>
        <v>1.2568469005911383E-2</v>
      </c>
      <c r="F21" s="28">
        <f>C21-(C21*$E$6)</f>
        <v>67.300955340003966</v>
      </c>
      <c r="G21" s="27" t="str">
        <f>IF(C21&gt;=F21,"-","+")</f>
        <v>+</v>
      </c>
      <c r="H21" s="26">
        <f>C21*D21</f>
        <v>5756.67</v>
      </c>
      <c r="I21" s="26">
        <f>F21*D21</f>
        <v>6238.7985600183674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41.7</v>
      </c>
      <c r="D22" s="30">
        <v>183.3</v>
      </c>
      <c r="E22" s="29">
        <f>D22/$D$48</f>
        <v>2.4852215412983349E-2</v>
      </c>
      <c r="F22" s="28">
        <f>C22-(C22*$E$6)</f>
        <v>45.192428948118604</v>
      </c>
      <c r="G22" s="27" t="str">
        <f>IF(C22&gt;=F22,"-","+")</f>
        <v>+</v>
      </c>
      <c r="H22" s="26">
        <f>C22*D22</f>
        <v>7643.6100000000006</v>
      </c>
      <c r="I22" s="26">
        <f>F22*D22</f>
        <v>8283.7722261901399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</v>
      </c>
      <c r="D23" s="30">
        <v>138.80000000000001</v>
      </c>
      <c r="E23" s="29">
        <f>D23/$D$48</f>
        <v>1.8818807961386193E-2</v>
      </c>
      <c r="F23" s="28">
        <f>C23-(C23*$E$6)</f>
        <v>41.182549161355084</v>
      </c>
      <c r="G23" s="27" t="str">
        <f>IF(C23&gt;=F23,"-","+")</f>
        <v>+</v>
      </c>
      <c r="H23" s="26">
        <f>C23*D23</f>
        <v>5274.4000000000005</v>
      </c>
      <c r="I23" s="26">
        <f>F23*D23</f>
        <v>5716.1378235960865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45.020925747348116</v>
      </c>
      <c r="D24" s="22">
        <f>SUM(D21:D23)</f>
        <v>414.8</v>
      </c>
      <c r="E24" s="21">
        <f>D24/$D$48</f>
        <v>5.6239492380280927E-2</v>
      </c>
      <c r="F24" s="20">
        <f>I24/D24</f>
        <v>48.791486523154759</v>
      </c>
      <c r="G24" s="19">
        <f>F24/C24-1</f>
        <v>8.3751293719870779E-2</v>
      </c>
      <c r="H24" s="18">
        <f>SUM(H21:H23)</f>
        <v>18674.68</v>
      </c>
      <c r="I24" s="18">
        <f>SUM(I21:I23)</f>
        <v>20238.708609804595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33.1</v>
      </c>
      <c r="D26" s="30">
        <f>376.9+93.8+954</f>
        <v>1424.7</v>
      </c>
      <c r="E26" s="29">
        <f t="shared" ref="E26:E32" si="7">D26/$D$48</f>
        <v>0.19316394598405554</v>
      </c>
      <c r="F26" s="28">
        <f t="shared" ref="F26:F31" si="8">C26-(C26*$E$6)</f>
        <v>35.872167822127714</v>
      </c>
      <c r="G26" s="27" t="str">
        <f t="shared" ref="G26:G31" si="9">IF(C26&gt;=F26,"-","+")</f>
        <v>+</v>
      </c>
      <c r="H26" s="26">
        <f t="shared" ref="H26:H31" si="10">C26*D26</f>
        <v>47157.570000000007</v>
      </c>
      <c r="I26" s="26">
        <f t="shared" ref="I26:I31" si="11">F26*D26</f>
        <v>51107.077496185353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29.5</v>
      </c>
      <c r="D27" s="30">
        <v>1100.0999999999999</v>
      </c>
      <c r="E27" s="29">
        <f t="shared" si="7"/>
        <v>0.14915396713487714</v>
      </c>
      <c r="F27" s="28">
        <f t="shared" si="8"/>
        <v>31.97066316473618</v>
      </c>
      <c r="G27" s="27" t="str">
        <f t="shared" si="9"/>
        <v>+</v>
      </c>
      <c r="H27" s="26">
        <f t="shared" si="10"/>
        <v>32452.949999999997</v>
      </c>
      <c r="I27" s="26">
        <f t="shared" si="11"/>
        <v>35170.926547526265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29.5</v>
      </c>
      <c r="D28" s="30">
        <v>576.6</v>
      </c>
      <c r="E28" s="29">
        <f t="shared" si="7"/>
        <v>7.8176690709908347E-2</v>
      </c>
      <c r="F28" s="28">
        <f t="shared" si="8"/>
        <v>31.97066316473618</v>
      </c>
      <c r="G28" s="27" t="str">
        <f t="shared" si="9"/>
        <v>+</v>
      </c>
      <c r="H28" s="26">
        <f t="shared" si="10"/>
        <v>17009.7</v>
      </c>
      <c r="I28" s="26">
        <f t="shared" si="11"/>
        <v>18434.284380786881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28.5</v>
      </c>
      <c r="D29" s="30">
        <v>556.1</v>
      </c>
      <c r="E29" s="29">
        <f t="shared" si="7"/>
        <v>7.5397255816475953E-2</v>
      </c>
      <c r="F29" s="28">
        <f t="shared" si="8"/>
        <v>30.886911871016309</v>
      </c>
      <c r="G29" s="27" t="str">
        <f t="shared" si="9"/>
        <v>+</v>
      </c>
      <c r="H29" s="26">
        <f t="shared" si="10"/>
        <v>15848.85</v>
      </c>
      <c r="I29" s="26">
        <f t="shared" si="11"/>
        <v>17176.21169147217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28.5</v>
      </c>
      <c r="D30" s="30">
        <v>382</v>
      </c>
      <c r="E30" s="29">
        <f t="shared" si="7"/>
        <v>5.1792396550789085E-2</v>
      </c>
      <c r="F30" s="28">
        <f t="shared" si="8"/>
        <v>30.886911871016309</v>
      </c>
      <c r="G30" s="27" t="str">
        <f t="shared" si="9"/>
        <v>+</v>
      </c>
      <c r="H30" s="26">
        <f t="shared" si="10"/>
        <v>10887</v>
      </c>
      <c r="I30" s="26">
        <f t="shared" si="11"/>
        <v>11798.80033472823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</v>
      </c>
      <c r="D31" s="30">
        <v>171.8</v>
      </c>
      <c r="E31" s="29">
        <f t="shared" si="7"/>
        <v>2.3293020228862735E-2</v>
      </c>
      <c r="F31" s="28">
        <f t="shared" si="8"/>
        <v>31.428787517876245</v>
      </c>
      <c r="G31" s="27" t="str">
        <f t="shared" si="9"/>
        <v>+</v>
      </c>
      <c r="H31" s="26">
        <f t="shared" si="10"/>
        <v>4982.2000000000007</v>
      </c>
      <c r="I31" s="26">
        <f t="shared" si="11"/>
        <v>5399.4656955711389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30.474739391636785</v>
      </c>
      <c r="D32" s="22">
        <f>SUM(D26:D31)</f>
        <v>4211.3</v>
      </c>
      <c r="E32" s="21">
        <f t="shared" si="7"/>
        <v>0.57097727642496876</v>
      </c>
      <c r="F32" s="20">
        <f>I32/D32</f>
        <v>33.027038241462257</v>
      </c>
      <c r="G32" s="19">
        <f>F32/C32-1</f>
        <v>8.3751293719870334E-2</v>
      </c>
      <c r="H32" s="18">
        <f>SUM(H26:H31)</f>
        <v>128338.27</v>
      </c>
      <c r="I32" s="18">
        <f>SUM(I26:I31)</f>
        <v>139086.76614627001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17.399999999999999</v>
      </c>
      <c r="D34" s="30">
        <f>566.4+505.6</f>
        <v>1072</v>
      </c>
      <c r="E34" s="29">
        <f t="shared" ref="E34:E40" si="13">D34/$D$48</f>
        <v>0.14534410759802591</v>
      </c>
      <c r="F34" s="28">
        <f t="shared" ref="F34:F39" si="14">C34-(C34*$E$6)</f>
        <v>18.857272510725746</v>
      </c>
      <c r="G34" s="27" t="str">
        <f t="shared" ref="G34:G39" si="15">IF(C34&gt;=F34,"-","+")</f>
        <v>+</v>
      </c>
      <c r="H34" s="26">
        <f t="shared" ref="H34:H39" si="16">C34*D34</f>
        <v>18652.8</v>
      </c>
      <c r="I34" s="26">
        <f t="shared" ref="I34:I39" si="17">F34*D34</f>
        <v>20214.996131497999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>
        <v>97.3</v>
      </c>
      <c r="E35" s="29">
        <f t="shared" si="13"/>
        <v>1.3192147079559628E-2</v>
      </c>
      <c r="F35" s="28">
        <f t="shared" si="14"/>
        <v>14.522267335846266</v>
      </c>
      <c r="G35" s="27" t="str">
        <f t="shared" si="15"/>
        <v>+</v>
      </c>
      <c r="H35" s="26">
        <f t="shared" si="16"/>
        <v>1303.82</v>
      </c>
      <c r="I35" s="26">
        <f t="shared" si="17"/>
        <v>1413.0166117778417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11.704513972174603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28.5</v>
      </c>
      <c r="D37" s="30"/>
      <c r="E37" s="29">
        <f t="shared" si="13"/>
        <v>0</v>
      </c>
      <c r="F37" s="28">
        <f t="shared" si="14"/>
        <v>30.886911871016309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28.5</v>
      </c>
      <c r="D38" s="30"/>
      <c r="E38" s="29">
        <f t="shared" si="13"/>
        <v>0</v>
      </c>
      <c r="F38" s="28">
        <f t="shared" si="14"/>
        <v>30.886911871016309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29.5</v>
      </c>
      <c r="D39" s="30"/>
      <c r="E39" s="29">
        <f t="shared" si="13"/>
        <v>0</v>
      </c>
      <c r="F39" s="28">
        <f t="shared" si="14"/>
        <v>31.97066316473618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17.067151287094841</v>
      </c>
      <c r="D40" s="22">
        <f>SUM(D34:D39)</f>
        <v>1169.3</v>
      </c>
      <c r="E40" s="113">
        <f t="shared" si="13"/>
        <v>0.15853625467758553</v>
      </c>
      <c r="F40" s="20">
        <f>I40/D40</f>
        <v>18.496547287501791</v>
      </c>
      <c r="G40" s="19">
        <f>F40/C40-1</f>
        <v>8.3751293719870779E-2</v>
      </c>
      <c r="H40" s="18">
        <f>SUM(H34:H39)</f>
        <v>19956.62</v>
      </c>
      <c r="I40" s="18">
        <f>SUM(I34:I39)</f>
        <v>21628.012743275842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710+137.3+684.8</f>
        <v>1532.1</v>
      </c>
      <c r="E42" s="107">
        <f>D42/$D$48</f>
        <v>0.20772547318184281</v>
      </c>
      <c r="F42" s="28">
        <f>C42-(C42*$E$6)</f>
        <v>0.43350051748794827</v>
      </c>
      <c r="G42" s="27" t="str">
        <f>IF(C42&gt;=F42,"-","+")</f>
        <v>+</v>
      </c>
      <c r="H42" s="26">
        <f>C42*D42</f>
        <v>612.84</v>
      </c>
      <c r="I42" s="26">
        <f>F42*D42</f>
        <v>664.16614284328546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40.6</v>
      </c>
      <c r="E43" s="107">
        <f>D43/$D$48</f>
        <v>5.5046369108953845E-3</v>
      </c>
      <c r="F43" s="28">
        <f>C43-(C43*$E$6)</f>
        <v>0.43350051748794827</v>
      </c>
      <c r="G43" s="27" t="str">
        <f>IF(C43&gt;=F43,"-","+")</f>
        <v>+</v>
      </c>
      <c r="H43" s="26">
        <f>C43*D43</f>
        <v>16.240000000000002</v>
      </c>
      <c r="I43" s="26">
        <f>F43*D43</f>
        <v>17.6001210100107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7.5</v>
      </c>
      <c r="E45" s="107">
        <f>D45/$D$48</f>
        <v>1.0168664244264872E-3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0.39810150613846357</v>
      </c>
      <c r="D46" s="22">
        <f>SUM(D41:D45)</f>
        <v>1580.1999999999998</v>
      </c>
      <c r="E46" s="113">
        <f>D46/$D$48</f>
        <v>0.21424697651716468</v>
      </c>
      <c r="F46" s="20">
        <f>I46/D46</f>
        <v>0.43144302230938886</v>
      </c>
      <c r="G46" s="19">
        <f>F46/C46-1</f>
        <v>8.3751293719870556E-2</v>
      </c>
      <c r="H46" s="18">
        <f>SUM(H41:H44)</f>
        <v>629.08000000000004</v>
      </c>
      <c r="I46" s="18">
        <f>SUM(I41:I44)</f>
        <v>681.76626385329621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92.960917932218209</v>
      </c>
      <c r="D48" s="13">
        <f>D24+D32+D40+D46</f>
        <v>7375.6</v>
      </c>
      <c r="E48" s="12">
        <f>SUM(E20:E46)/2</f>
        <v>0.99999999999999989</v>
      </c>
      <c r="F48" s="11">
        <f>I48/D48</f>
        <v>24.626505472531559</v>
      </c>
      <c r="G48" s="10"/>
      <c r="H48" s="9">
        <f>SUM(H20:H46)/2</f>
        <v>167598.65000000002</v>
      </c>
      <c r="I48" s="9">
        <f>SUM(I20:I46)/2</f>
        <v>181635.25376320377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7395.6</v>
      </c>
      <c r="E50" s="12">
        <f>D50/G2</f>
        <v>1</v>
      </c>
      <c r="F50" s="11">
        <f>I50/D50</f>
        <v>24.699999999999996</v>
      </c>
      <c r="G50" s="10"/>
      <c r="H50" s="9">
        <f>H48+H19</f>
        <v>168554.65000000002</v>
      </c>
      <c r="I50" s="9">
        <f>I48+I19</f>
        <v>182671.31999999998</v>
      </c>
      <c r="J50" s="106">
        <f>D50-G2</f>
        <v>0</v>
      </c>
      <c r="K50" s="8"/>
    </row>
    <row r="51" spans="1:11" ht="23.25" x14ac:dyDescent="0.35">
      <c r="A51" s="174" t="s">
        <v>823</v>
      </c>
      <c r="B51" s="169"/>
      <c r="C51" s="170"/>
      <c r="G51" s="7"/>
      <c r="H51" s="6"/>
      <c r="I51" s="6">
        <f>+I50/D50</f>
        <v>24.699999999999996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>
    <tabColor rgb="FF92D050"/>
  </sheetPr>
  <dimension ref="A1:K56"/>
  <sheetViews>
    <sheetView topLeftCell="C1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819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819</v>
      </c>
      <c r="D2" s="96" t="s">
        <v>3</v>
      </c>
      <c r="E2" s="95" t="s">
        <v>112</v>
      </c>
      <c r="F2" s="94" t="s">
        <v>5</v>
      </c>
      <c r="G2" s="93">
        <v>2554.5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40</v>
      </c>
      <c r="F3" s="88" t="s">
        <v>8</v>
      </c>
      <c r="G3" s="87">
        <v>24.67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63.862499999999997</v>
      </c>
      <c r="F4" s="81" t="s">
        <v>12</v>
      </c>
      <c r="G4" s="80">
        <f>G2*G3</f>
        <v>63019.515000000007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-0.10530108373658509</v>
      </c>
      <c r="F6" s="69" t="s">
        <v>16</v>
      </c>
      <c r="G6" s="68">
        <f>(I50-I19)/(D50-(SUM(D42:D44)+D19))</f>
        <v>31.823216179366764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24.7</v>
      </c>
      <c r="D10" s="30"/>
      <c r="E10" s="29" t="e">
        <f t="shared" ref="E10:E19" si="1">D10/$D$19</f>
        <v>#DIV/0!</v>
      </c>
      <c r="F10" s="28">
        <f t="shared" ref="F10:F18" si="2">C10-(C10*$E$6)</f>
        <v>27.300936768293653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25.7</v>
      </c>
      <c r="D11" s="30"/>
      <c r="E11" s="29" t="e">
        <f t="shared" si="1"/>
        <v>#DIV/0!</v>
      </c>
      <c r="F11" s="28">
        <f t="shared" si="2"/>
        <v>28.406237852030237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23.5</v>
      </c>
      <c r="D12" s="30"/>
      <c r="E12" s="29" t="e">
        <f t="shared" si="1"/>
        <v>#DIV/0!</v>
      </c>
      <c r="F12" s="28">
        <f t="shared" si="2"/>
        <v>25.97457546780975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25.7</v>
      </c>
      <c r="D13" s="30"/>
      <c r="E13" s="29" t="e">
        <f t="shared" si="1"/>
        <v>#DIV/0!</v>
      </c>
      <c r="F13" s="28">
        <f t="shared" si="2"/>
        <v>28.406237852030237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28.7</v>
      </c>
      <c r="D14" s="30"/>
      <c r="E14" s="29" t="e">
        <f t="shared" si="1"/>
        <v>#DIV/0!</v>
      </c>
      <c r="F14" s="28">
        <f t="shared" si="2"/>
        <v>31.722141103239991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23.7</v>
      </c>
      <c r="D15" s="30"/>
      <c r="E15" s="29" t="e">
        <f t="shared" si="1"/>
        <v>#DIV/0!</v>
      </c>
      <c r="F15" s="28">
        <f t="shared" si="2"/>
        <v>26.195635684557065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32.4</v>
      </c>
      <c r="D16" s="30"/>
      <c r="E16" s="29" t="e">
        <f t="shared" si="1"/>
        <v>#DIV/0!</v>
      </c>
      <c r="F16" s="28">
        <f t="shared" si="2"/>
        <v>35.811755113065352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47.7</v>
      </c>
      <c r="D17" s="30"/>
      <c r="E17" s="29" t="e">
        <f t="shared" si="1"/>
        <v>#DIV/0!</v>
      </c>
      <c r="F17" s="28">
        <f t="shared" si="2"/>
        <v>52.722861694235114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41.8</v>
      </c>
      <c r="D18" s="30"/>
      <c r="E18" s="29" t="e">
        <f t="shared" si="1"/>
        <v>#DIV/0!</v>
      </c>
      <c r="F18" s="28">
        <f t="shared" si="2"/>
        <v>46.201585300189251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</v>
      </c>
      <c r="D21" s="30">
        <v>36.4</v>
      </c>
      <c r="E21" s="29">
        <f>D21/$D$48</f>
        <v>1.4249363867684477E-2</v>
      </c>
      <c r="F21" s="28">
        <f>C21-(C21*$E$6)</f>
        <v>68.528667191668276</v>
      </c>
      <c r="G21" s="27" t="str">
        <f>IF(C21&gt;=F21,"-","+")</f>
        <v>+</v>
      </c>
      <c r="H21" s="26">
        <f>C21*D21</f>
        <v>2256.7999999999997</v>
      </c>
      <c r="I21" s="26">
        <f>F21*D21</f>
        <v>2494.4434857767251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41.7</v>
      </c>
      <c r="D22" s="30">
        <v>60.8</v>
      </c>
      <c r="E22" s="29">
        <f>D22/$D$48</f>
        <v>2.380113525151693E-2</v>
      </c>
      <c r="F22" s="28">
        <f>C22-(C22*$E$6)</f>
        <v>46.091055191815599</v>
      </c>
      <c r="G22" s="27" t="str">
        <f>IF(C22&gt;=F22,"-","+")</f>
        <v>+</v>
      </c>
      <c r="H22" s="26">
        <f>C22*D22</f>
        <v>2535.36</v>
      </c>
      <c r="I22" s="26">
        <f>F22*D22</f>
        <v>2802.3361556623881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</v>
      </c>
      <c r="D23" s="30">
        <v>49.3</v>
      </c>
      <c r="E23" s="29">
        <f>D23/$D$48</f>
        <v>1.9299275787825407E-2</v>
      </c>
      <c r="F23" s="28">
        <f>C23-(C23*$E$6)</f>
        <v>42.001441181990231</v>
      </c>
      <c r="G23" s="27" t="str">
        <f>IF(C23&gt;=F23,"-","+")</f>
        <v>+</v>
      </c>
      <c r="H23" s="26">
        <f>C23*D23</f>
        <v>1873.3999999999999</v>
      </c>
      <c r="I23" s="26">
        <f>F23*D23</f>
        <v>2070.6710502721185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45.498703071672352</v>
      </c>
      <c r="D24" s="22">
        <f>SUM(D21:D23)</f>
        <v>146.5</v>
      </c>
      <c r="E24" s="21">
        <f>D24/$D$48</f>
        <v>5.7349774907026814E-2</v>
      </c>
      <c r="F24" s="20">
        <f>I24/D24</f>
        <v>50.28976581372855</v>
      </c>
      <c r="G24" s="19">
        <f>F24/C24-1</f>
        <v>0.10530108373658531</v>
      </c>
      <c r="H24" s="18">
        <f>SUM(H21:H23)</f>
        <v>6665.5599999999995</v>
      </c>
      <c r="I24" s="18">
        <f>SUM(I21:I23)</f>
        <v>7367.4506917112321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33.1</v>
      </c>
      <c r="D26" s="30">
        <v>444.1</v>
      </c>
      <c r="E26" s="29">
        <f t="shared" ref="E26:E32" si="7">D26/$D$48</f>
        <v>0.17385006850655707</v>
      </c>
      <c r="F26" s="28">
        <f t="shared" ref="F26:F31" si="8">C26-(C26*$E$6)</f>
        <v>36.585465871680967</v>
      </c>
      <c r="G26" s="27" t="str">
        <f t="shared" ref="G26:G31" si="9">IF(C26&gt;=F26,"-","+")</f>
        <v>+</v>
      </c>
      <c r="H26" s="26">
        <f t="shared" ref="H26:H31" si="10">C26*D26</f>
        <v>14699.710000000001</v>
      </c>
      <c r="I26" s="26">
        <f t="shared" ref="I26:I31" si="11">F26*D26</f>
        <v>16247.605393613518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29.5</v>
      </c>
      <c r="D27" s="30">
        <v>376.8</v>
      </c>
      <c r="E27" s="29">
        <f t="shared" si="7"/>
        <v>0.14750440399295361</v>
      </c>
      <c r="F27" s="28">
        <f t="shared" si="8"/>
        <v>32.606381970229258</v>
      </c>
      <c r="G27" s="27" t="str">
        <f t="shared" si="9"/>
        <v>+</v>
      </c>
      <c r="H27" s="26">
        <f t="shared" si="10"/>
        <v>11115.6</v>
      </c>
      <c r="I27" s="26">
        <f t="shared" si="11"/>
        <v>12286.084726382385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29.5</v>
      </c>
      <c r="D28" s="30">
        <v>200.7</v>
      </c>
      <c r="E28" s="29">
        <f t="shared" si="7"/>
        <v>7.8567234292425125E-2</v>
      </c>
      <c r="F28" s="28">
        <f t="shared" si="8"/>
        <v>32.606381970229258</v>
      </c>
      <c r="G28" s="27" t="str">
        <f t="shared" si="9"/>
        <v>+</v>
      </c>
      <c r="H28" s="26">
        <f t="shared" si="10"/>
        <v>5920.65</v>
      </c>
      <c r="I28" s="26">
        <f t="shared" si="11"/>
        <v>6544.1008614250113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28.5</v>
      </c>
      <c r="D29" s="30">
        <v>201</v>
      </c>
      <c r="E29" s="29">
        <f t="shared" si="7"/>
        <v>7.8684674104521429E-2</v>
      </c>
      <c r="F29" s="28">
        <f t="shared" si="8"/>
        <v>31.501080886492673</v>
      </c>
      <c r="G29" s="27" t="str">
        <f t="shared" si="9"/>
        <v>+</v>
      </c>
      <c r="H29" s="26">
        <f t="shared" si="10"/>
        <v>5728.5</v>
      </c>
      <c r="I29" s="26">
        <f t="shared" si="11"/>
        <v>6331.7172581850273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28.5</v>
      </c>
      <c r="D30" s="30">
        <v>150.19999999999999</v>
      </c>
      <c r="E30" s="29">
        <f t="shared" si="7"/>
        <v>5.8798199256214517E-2</v>
      </c>
      <c r="F30" s="28">
        <f t="shared" si="8"/>
        <v>31.501080886492673</v>
      </c>
      <c r="G30" s="27" t="str">
        <f t="shared" si="9"/>
        <v>+</v>
      </c>
      <c r="H30" s="26">
        <f t="shared" si="10"/>
        <v>4280.7</v>
      </c>
      <c r="I30" s="26">
        <f t="shared" si="11"/>
        <v>4731.4623491511993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</v>
      </c>
      <c r="D31" s="30">
        <v>50.8</v>
      </c>
      <c r="E31" s="29">
        <f t="shared" si="7"/>
        <v>1.9886474848306909E-2</v>
      </c>
      <c r="F31" s="28">
        <f t="shared" si="8"/>
        <v>32.053731428360969</v>
      </c>
      <c r="G31" s="27" t="str">
        <f t="shared" si="9"/>
        <v>+</v>
      </c>
      <c r="H31" s="26">
        <f t="shared" si="10"/>
        <v>1473.1999999999998</v>
      </c>
      <c r="I31" s="26">
        <f t="shared" si="11"/>
        <v>1628.329556560737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30.358499578533287</v>
      </c>
      <c r="D32" s="22">
        <f>SUM(D26:D31)</f>
        <v>1423.6000000000001</v>
      </c>
      <c r="E32" s="21">
        <f t="shared" si="7"/>
        <v>0.55729105500097875</v>
      </c>
      <c r="F32" s="20">
        <f>I32/D32</f>
        <v>33.555282484769506</v>
      </c>
      <c r="G32" s="19">
        <f>F32/C32-1</f>
        <v>0.10530108373658509</v>
      </c>
      <c r="H32" s="18">
        <f>SUM(H26:H31)</f>
        <v>43218.359999999993</v>
      </c>
      <c r="I32" s="18">
        <f>SUM(I26:I31)</f>
        <v>47769.300145317873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17.399999999999999</v>
      </c>
      <c r="D34" s="30">
        <f>205.8+168</f>
        <v>373.8</v>
      </c>
      <c r="E34" s="29">
        <f t="shared" ref="E34:E40" si="13">D34/$D$48</f>
        <v>0.1463300058719906</v>
      </c>
      <c r="F34" s="28">
        <f t="shared" ref="F34:F39" si="14">C34-(C34*$E$6)</f>
        <v>19.232238857016579</v>
      </c>
      <c r="G34" s="27" t="str">
        <f t="shared" ref="G34:G39" si="15">IF(C34&gt;=F34,"-","+")</f>
        <v>+</v>
      </c>
      <c r="H34" s="26">
        <f t="shared" ref="H34:H39" si="16">C34*D34</f>
        <v>6504.12</v>
      </c>
      <c r="I34" s="26">
        <f t="shared" ref="I34:I39" si="17">F34*D34</f>
        <v>7189.0108847527972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>
        <v>29.7</v>
      </c>
      <c r="E35" s="29">
        <f t="shared" si="13"/>
        <v>1.1626541397533764E-2</v>
      </c>
      <c r="F35" s="28">
        <f t="shared" si="14"/>
        <v>14.811034522070241</v>
      </c>
      <c r="G35" s="27" t="str">
        <f t="shared" si="15"/>
        <v>+</v>
      </c>
      <c r="H35" s="26">
        <f t="shared" si="16"/>
        <v>397.98</v>
      </c>
      <c r="I35" s="26">
        <f t="shared" si="17"/>
        <v>439.88772530548613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11.93725170435512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28.5</v>
      </c>
      <c r="D37" s="30"/>
      <c r="E37" s="29">
        <f t="shared" si="13"/>
        <v>0</v>
      </c>
      <c r="F37" s="28">
        <f t="shared" si="14"/>
        <v>31.501080886492673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28.5</v>
      </c>
      <c r="D38" s="30"/>
      <c r="E38" s="29">
        <f t="shared" si="13"/>
        <v>0</v>
      </c>
      <c r="F38" s="28">
        <f t="shared" si="14"/>
        <v>31.501080886492673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29.5</v>
      </c>
      <c r="D39" s="30"/>
      <c r="E39" s="29">
        <f t="shared" si="13"/>
        <v>0</v>
      </c>
      <c r="F39" s="28">
        <f t="shared" si="14"/>
        <v>32.606381970229258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17.105576208178441</v>
      </c>
      <c r="D40" s="22">
        <f>SUM(D34:D39)</f>
        <v>403.5</v>
      </c>
      <c r="E40" s="113">
        <f t="shared" si="13"/>
        <v>0.15795654726952438</v>
      </c>
      <c r="F40" s="20">
        <f>I40/D40</f>
        <v>18.906811920838372</v>
      </c>
      <c r="G40" s="19">
        <f>F40/C40-1</f>
        <v>0.10530108373658487</v>
      </c>
      <c r="H40" s="18">
        <f>SUM(H34:H39)</f>
        <v>6902.1</v>
      </c>
      <c r="I40" s="18">
        <f>SUM(I34:I39)</f>
        <v>7628.8986100582833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260+43.4+250.7</f>
        <v>554.09999999999991</v>
      </c>
      <c r="E42" s="107">
        <f>D42/$D$48</f>
        <v>0.21691133294186726</v>
      </c>
      <c r="F42" s="28">
        <f>C42-(C42*$E$6)</f>
        <v>0.44212043349463404</v>
      </c>
      <c r="G42" s="27" t="str">
        <f>IF(C42&gt;=F42,"-","+")</f>
        <v>+</v>
      </c>
      <c r="H42" s="26">
        <f>C42*D42</f>
        <v>221.64</v>
      </c>
      <c r="I42" s="26">
        <f>F42*D42</f>
        <v>244.97893219937669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20.100000000000001</v>
      </c>
      <c r="E43" s="107">
        <f>D43/$D$48</f>
        <v>7.8684674104521433E-3</v>
      </c>
      <c r="F43" s="28">
        <f>C43-(C43*$E$6)</f>
        <v>0.44212043349463404</v>
      </c>
      <c r="G43" s="27" t="str">
        <f>IF(C43&gt;=F43,"-","+")</f>
        <v>+</v>
      </c>
      <c r="H43" s="26">
        <f>C43*D43</f>
        <v>8.0400000000000009</v>
      </c>
      <c r="I43" s="26">
        <f>F43*D43</f>
        <v>8.8866207132421451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6.7</v>
      </c>
      <c r="E45" s="107">
        <f>D45/$D$48</f>
        <v>2.6228224701507143E-3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0.39538646927181959</v>
      </c>
      <c r="D46" s="22">
        <f>SUM(D41:D45)</f>
        <v>580.9</v>
      </c>
      <c r="E46" s="113">
        <f>D46/$D$48</f>
        <v>0.22740262282247015</v>
      </c>
      <c r="F46" s="20">
        <f>I46/D46</f>
        <v>0.43702109298092412</v>
      </c>
      <c r="G46" s="19">
        <f>F46/C46-1</f>
        <v>0.10530108373658487</v>
      </c>
      <c r="H46" s="18">
        <f>SUM(H41:H44)</f>
        <v>229.67999999999998</v>
      </c>
      <c r="I46" s="18">
        <f>SUM(I41:I44)</f>
        <v>253.86555291261882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93.358165327655882</v>
      </c>
      <c r="D48" s="13">
        <f>D24+D32+D40+D46</f>
        <v>2554.5</v>
      </c>
      <c r="E48" s="12">
        <f>SUM(E20:E46)/2</f>
        <v>1</v>
      </c>
      <c r="F48" s="11">
        <f>I48/D48</f>
        <v>24.67</v>
      </c>
      <c r="G48" s="10"/>
      <c r="H48" s="9">
        <f>SUM(H20:H46)/2</f>
        <v>57015.69999999999</v>
      </c>
      <c r="I48" s="9">
        <f>SUM(I20:I46)/2</f>
        <v>63019.515000000007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2554.5</v>
      </c>
      <c r="E50" s="12">
        <f>D50/G2</f>
        <v>1</v>
      </c>
      <c r="F50" s="11">
        <f>I50/D50</f>
        <v>24.67</v>
      </c>
      <c r="G50" s="10"/>
      <c r="H50" s="9">
        <f>H48+H19</f>
        <v>57015.69999999999</v>
      </c>
      <c r="I50" s="9">
        <f>I48+I19</f>
        <v>63019.515000000007</v>
      </c>
      <c r="J50" s="106">
        <f>D50-G2</f>
        <v>0</v>
      </c>
      <c r="K50" s="8"/>
    </row>
    <row r="51" spans="1:11" ht="23.25" x14ac:dyDescent="0.35">
      <c r="A51" s="174" t="s">
        <v>824</v>
      </c>
      <c r="B51" s="169"/>
      <c r="C51" s="170"/>
      <c r="G51" s="7"/>
      <c r="H51" s="6"/>
      <c r="I51" s="6">
        <f>+I50/D50</f>
        <v>24.67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808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825</v>
      </c>
      <c r="D2" s="96" t="s">
        <v>3</v>
      </c>
      <c r="E2" s="95" t="s">
        <v>71</v>
      </c>
      <c r="F2" s="94" t="s">
        <v>5</v>
      </c>
      <c r="G2" s="116">
        <v>13955.7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196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71.202551020408166</v>
      </c>
      <c r="F4" s="81" t="s">
        <v>12</v>
      </c>
      <c r="G4" s="80">
        <f>G2*G3</f>
        <v>390759.60000000003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-1.397628498129011E-2</v>
      </c>
      <c r="F6" s="69" t="s">
        <v>16</v>
      </c>
      <c r="G6" s="68">
        <f>(I50-I19)/(D50-(SUM(D42:D44)+D19))</f>
        <v>32.817350265377101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28.391335979476125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2636.9</v>
      </c>
      <c r="E11" s="29">
        <f t="shared" si="1"/>
        <v>0.6964686616835265</v>
      </c>
      <c r="F11" s="28">
        <f t="shared" si="2"/>
        <v>29.608107521453672</v>
      </c>
      <c r="G11" s="27" t="str">
        <f t="shared" si="3"/>
        <v>+</v>
      </c>
      <c r="H11" s="34">
        <f t="shared" si="4"/>
        <v>76997.48</v>
      </c>
      <c r="I11" s="34">
        <f t="shared" si="5"/>
        <v>78073.618723321197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26.971769180502317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42.2</v>
      </c>
      <c r="E13" s="29">
        <f t="shared" si="1"/>
        <v>1.1146034177649825E-2</v>
      </c>
      <c r="F13" s="28">
        <f t="shared" si="2"/>
        <v>29.608107521453672</v>
      </c>
      <c r="G13" s="27" t="str">
        <f t="shared" si="3"/>
        <v>+</v>
      </c>
      <c r="H13" s="34">
        <f t="shared" si="4"/>
        <v>1232.24</v>
      </c>
      <c r="I13" s="34">
        <f t="shared" si="5"/>
        <v>1249.4621374053449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621.20000000000005</v>
      </c>
      <c r="E14" s="29">
        <f t="shared" si="1"/>
        <v>0.16407384907952774</v>
      </c>
      <c r="F14" s="28">
        <f t="shared" si="2"/>
        <v>33.055626890390059</v>
      </c>
      <c r="G14" s="27" t="str">
        <f t="shared" si="3"/>
        <v>+</v>
      </c>
      <c r="H14" s="34">
        <f t="shared" si="4"/>
        <v>20251.120000000003</v>
      </c>
      <c r="I14" s="34">
        <f t="shared" si="5"/>
        <v>20534.155424310306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380.8</v>
      </c>
      <c r="E15" s="29">
        <f t="shared" si="1"/>
        <v>0.10057843163149414</v>
      </c>
      <c r="F15" s="28">
        <f t="shared" si="2"/>
        <v>27.275962065996701</v>
      </c>
      <c r="G15" s="27" t="str">
        <f t="shared" si="3"/>
        <v>+</v>
      </c>
      <c r="H15" s="34">
        <f t="shared" si="4"/>
        <v>10243.52</v>
      </c>
      <c r="I15" s="34">
        <f t="shared" si="5"/>
        <v>10386.686354731544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>
        <v>20</v>
      </c>
      <c r="E16" s="29">
        <f t="shared" si="1"/>
        <v>5.2824806529146078E-3</v>
      </c>
      <c r="F16" s="28">
        <f t="shared" si="2"/>
        <v>37.314327287311471</v>
      </c>
      <c r="G16" s="27" t="str">
        <f t="shared" si="3"/>
        <v>+</v>
      </c>
      <c r="H16" s="34">
        <f t="shared" si="4"/>
        <v>736</v>
      </c>
      <c r="I16" s="34">
        <f t="shared" si="5"/>
        <v>746.28654574622942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>
        <v>85</v>
      </c>
      <c r="E17" s="29">
        <f t="shared" si="1"/>
        <v>2.2450542774887085E-2</v>
      </c>
      <c r="F17" s="28">
        <f t="shared" si="2"/>
        <v>54.957514645985924</v>
      </c>
      <c r="G17" s="27" t="str">
        <f t="shared" si="3"/>
        <v>+</v>
      </c>
      <c r="H17" s="34">
        <f t="shared" si="4"/>
        <v>4607</v>
      </c>
      <c r="I17" s="34">
        <f t="shared" si="5"/>
        <v>4671.3887449088033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48.06247590811315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30.127931116452284</v>
      </c>
      <c r="D19" s="49">
        <f>SUM(D10:D18)</f>
        <v>3786.1000000000004</v>
      </c>
      <c r="E19" s="48">
        <f t="shared" si="1"/>
        <v>1</v>
      </c>
      <c r="F19" s="47">
        <f>I19/D19</f>
        <v>30.549007667632502</v>
      </c>
      <c r="G19" s="46">
        <f>F19/C19-1</f>
        <v>1.397628498129011E-2</v>
      </c>
      <c r="H19" s="9">
        <f>SUM(H10:H18)</f>
        <v>114067.36</v>
      </c>
      <c r="I19" s="9">
        <f>SUM(I10:I18)</f>
        <v>115661.59793042342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91.3</v>
      </c>
      <c r="E21" s="29">
        <f>D21/$D$48</f>
        <v>8.9780024190455575E-3</v>
      </c>
      <c r="F21" s="28">
        <f>C21-(C21*$E$6)</f>
        <v>71.383930462682827</v>
      </c>
      <c r="G21" s="27" t="str">
        <f>IF(C21&gt;=F21,"-","+")</f>
        <v>+</v>
      </c>
      <c r="H21" s="26">
        <f>C21*D21</f>
        <v>6427.52</v>
      </c>
      <c r="I21" s="26">
        <f>F21*D21</f>
        <v>6517.3528512429421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353.8</v>
      </c>
      <c r="E22" s="29">
        <f>D22/$D$48</f>
        <v>3.4790988563617946E-2</v>
      </c>
      <c r="F22" s="28">
        <f>C22-(C22*$E$6)</f>
        <v>47.961078279615016</v>
      </c>
      <c r="G22" s="27" t="str">
        <f>IF(C22&gt;=F22,"-","+")</f>
        <v>+</v>
      </c>
      <c r="H22" s="26">
        <f>C22*D22</f>
        <v>16734.739999999998</v>
      </c>
      <c r="I22" s="26">
        <f>F22*D22</f>
        <v>16968.629495327794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182.1</v>
      </c>
      <c r="E23" s="29">
        <f>D23/$D$48</f>
        <v>1.7906837245434785E-2</v>
      </c>
      <c r="F23" s="28">
        <f>C23-(C23*$E$6)</f>
        <v>43.702377882693604</v>
      </c>
      <c r="G23" s="27" t="str">
        <f>IF(C23&gt;=F23,"-","+")</f>
        <v>+</v>
      </c>
      <c r="H23" s="26">
        <f>C23*D23</f>
        <v>7848.51</v>
      </c>
      <c r="I23" s="26">
        <f>F23*D23</f>
        <v>7958.2030124385046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49.443191964285703</v>
      </c>
      <c r="D24" s="22">
        <f>SUM(D21:D23)</f>
        <v>627.20000000000005</v>
      </c>
      <c r="E24" s="21">
        <f>D24/$D$48</f>
        <v>6.1675828228098292E-2</v>
      </c>
      <c r="F24" s="20">
        <f>I24/D24</f>
        <v>50.134224105563206</v>
      </c>
      <c r="G24" s="19">
        <f>F24/C24-1</f>
        <v>1.3976284981290332E-2</v>
      </c>
      <c r="H24" s="18">
        <f>SUM(H21:H23)</f>
        <v>31010.769999999997</v>
      </c>
      <c r="I24" s="18">
        <f>SUM(I21:I23)</f>
        <v>31444.185359009243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765.2+505</f>
        <v>1270.2</v>
      </c>
      <c r="E26" s="29">
        <f t="shared" ref="E26:E32" si="7">D26/$D$48</f>
        <v>0.12490535238413655</v>
      </c>
      <c r="F26" s="28">
        <f t="shared" ref="F26:F31" si="8">C26-(C26*$E$6)</f>
        <v>38.125508315296507</v>
      </c>
      <c r="G26" s="27" t="str">
        <f t="shared" ref="G26:G31" si="9">IF(C26&gt;=F26,"-","+")</f>
        <v>+</v>
      </c>
      <c r="H26" s="26">
        <f t="shared" ref="H26:H31" si="10">C26*D26</f>
        <v>47759.520000000004</v>
      </c>
      <c r="I26" s="26">
        <f t="shared" ref="I26:I31" si="11">F26*D26</f>
        <v>48427.020662089628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1745.1</v>
      </c>
      <c r="E27" s="29">
        <f t="shared" si="7"/>
        <v>0.17160473188911721</v>
      </c>
      <c r="F27" s="28">
        <f t="shared" si="8"/>
        <v>33.968205546873222</v>
      </c>
      <c r="G27" s="27" t="str">
        <f t="shared" si="9"/>
        <v>+</v>
      </c>
      <c r="H27" s="26">
        <f t="shared" si="10"/>
        <v>58460.85</v>
      </c>
      <c r="I27" s="26">
        <f t="shared" si="11"/>
        <v>59277.915499848459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f>1532.4-300.5</f>
        <v>1231.9000000000001</v>
      </c>
      <c r="E28" s="29">
        <f t="shared" si="7"/>
        <v>0.12113911478666181</v>
      </c>
      <c r="F28" s="28">
        <f t="shared" si="8"/>
        <v>33.968205546873222</v>
      </c>
      <c r="G28" s="27" t="str">
        <f t="shared" si="9"/>
        <v>+</v>
      </c>
      <c r="H28" s="26">
        <f t="shared" si="10"/>
        <v>41268.65</v>
      </c>
      <c r="I28" s="26">
        <f t="shared" si="11"/>
        <v>41845.432413193128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1090.4000000000001</v>
      </c>
      <c r="E29" s="29">
        <f t="shared" si="7"/>
        <v>0.10722468606492089</v>
      </c>
      <c r="F29" s="28">
        <f t="shared" si="8"/>
        <v>32.751434004895671</v>
      </c>
      <c r="G29" s="27" t="str">
        <f t="shared" si="9"/>
        <v>+</v>
      </c>
      <c r="H29" s="26">
        <f t="shared" si="10"/>
        <v>35219.919999999998</v>
      </c>
      <c r="I29" s="26">
        <f t="shared" si="11"/>
        <v>35712.16363893824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662</v>
      </c>
      <c r="E30" s="29">
        <f t="shared" si="7"/>
        <v>6.5097892676978741E-2</v>
      </c>
      <c r="F30" s="28">
        <f t="shared" si="8"/>
        <v>32.751434004895671</v>
      </c>
      <c r="G30" s="27" t="str">
        <f t="shared" si="9"/>
        <v>+</v>
      </c>
      <c r="H30" s="26">
        <f t="shared" si="10"/>
        <v>21382.6</v>
      </c>
      <c r="I30" s="26">
        <f t="shared" si="11"/>
        <v>21681.449311240933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50.2</v>
      </c>
      <c r="E31" s="29">
        <f t="shared" si="7"/>
        <v>4.9364263026953669E-3</v>
      </c>
      <c r="F31" s="28">
        <f t="shared" si="8"/>
        <v>33.359819775884446</v>
      </c>
      <c r="G31" s="27" t="str">
        <f t="shared" si="9"/>
        <v>+</v>
      </c>
      <c r="H31" s="26">
        <f t="shared" si="10"/>
        <v>1651.58</v>
      </c>
      <c r="I31" s="26">
        <f t="shared" si="11"/>
        <v>1674.6629527493992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34.008251512446691</v>
      </c>
      <c r="D32" s="22">
        <f>SUM(D26:D31)</f>
        <v>6049.8</v>
      </c>
      <c r="E32" s="21">
        <f t="shared" si="7"/>
        <v>0.59490820410451062</v>
      </c>
      <c r="F32" s="20">
        <f>I32/D32</f>
        <v>34.483560527300043</v>
      </c>
      <c r="G32" s="19">
        <f>F32/C32-1</f>
        <v>1.3976284981290332E-2</v>
      </c>
      <c r="H32" s="18">
        <f>SUM(H26:H31)</f>
        <v>205743.12</v>
      </c>
      <c r="I32" s="18">
        <f>SUM(I26:I31)</f>
        <v>208618.64447805981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1700.7</v>
      </c>
      <c r="E34" s="29">
        <f t="shared" ref="E34:E40" si="13">D34/$D$48</f>
        <v>0.16723864966123528</v>
      </c>
      <c r="F34" s="28">
        <f t="shared" ref="F34:F39" si="14">C34-(C34*$E$6)</f>
        <v>20.076730442629543</v>
      </c>
      <c r="G34" s="27" t="str">
        <f t="shared" ref="G34:G39" si="15">IF(C34&gt;=F34,"-","+")</f>
        <v>+</v>
      </c>
      <c r="H34" s="26">
        <f t="shared" ref="H34:H39" si="16">C34*D34</f>
        <v>33673.86</v>
      </c>
      <c r="I34" s="26">
        <f t="shared" ref="I34:I39" si="17">F34*D34</f>
        <v>34144.495463780062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15.412439531715609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12.370510676771739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32.751434004895671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32.751434004895671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33.968205546873222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1700.7</v>
      </c>
      <c r="E40" s="113">
        <f t="shared" si="13"/>
        <v>0.16723864966123528</v>
      </c>
      <c r="F40" s="20">
        <f>I40/D40</f>
        <v>20.07673044262954</v>
      </c>
      <c r="G40" s="19">
        <f>F40/C40-1</f>
        <v>1.3976284981289888E-2</v>
      </c>
      <c r="H40" s="18">
        <f>SUM(H34:H39)</f>
        <v>33673.86</v>
      </c>
      <c r="I40" s="18">
        <f>SUM(I34:I39)</f>
        <v>34144.495463780062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1682</v>
      </c>
      <c r="E42" s="107">
        <f>D42/$D$48</f>
        <v>0.16539978169588859</v>
      </c>
      <c r="F42" s="28">
        <f>C42-(C42*$E$6)</f>
        <v>0.50698814249064506</v>
      </c>
      <c r="G42" s="27" t="str">
        <f>IF(C42&gt;=F42,"-","+")</f>
        <v>+</v>
      </c>
      <c r="H42" s="26">
        <f>C42*D42</f>
        <v>841</v>
      </c>
      <c r="I42" s="26">
        <f>F42*D42</f>
        <v>852.75405566926497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74.8</v>
      </c>
      <c r="E43" s="107">
        <f>D43/$D$48</f>
        <v>7.3554718613867221E-3</v>
      </c>
      <c r="F43" s="28">
        <f>C43-(C43*$E$6)</f>
        <v>0.50698814249064506</v>
      </c>
      <c r="G43" s="27" t="str">
        <f>IF(C43&gt;=F43,"-","+")</f>
        <v>+</v>
      </c>
      <c r="H43" s="26">
        <f>C43*D43</f>
        <v>37.4</v>
      </c>
      <c r="I43" s="26">
        <f>F43*D43</f>
        <v>37.922713058300246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29.8</v>
      </c>
      <c r="E44" s="107">
        <f>D44/$D$48</f>
        <v>2.9303885223171699E-3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4.9167592656328358E-4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0.49028801071667782</v>
      </c>
      <c r="D46" s="22">
        <f>SUM(D41:D45)</f>
        <v>1791.6</v>
      </c>
      <c r="E46" s="113">
        <f>D46/$D$48</f>
        <v>0.17617731800615574</v>
      </c>
      <c r="F46" s="20">
        <f>I46/D46</f>
        <v>0.49714041567736394</v>
      </c>
      <c r="G46" s="19">
        <f>F46/C46-1</f>
        <v>1.397628498129011E-2</v>
      </c>
      <c r="H46" s="18">
        <f>SUM(H41:H44)</f>
        <v>878.4</v>
      </c>
      <c r="I46" s="18">
        <f>SUM(I41:I44)</f>
        <v>890.67676872756522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103.74173148744907</v>
      </c>
      <c r="D48" s="13">
        <f>D24+D32+D40+D46</f>
        <v>10169.300000000001</v>
      </c>
      <c r="E48" s="12">
        <f>SUM(E20:E46)/2</f>
        <v>0.99999999999999967</v>
      </c>
      <c r="F48" s="11">
        <f>I48/D48</f>
        <v>27.051813012653444</v>
      </c>
      <c r="G48" s="10"/>
      <c r="H48" s="9">
        <f>SUM(H20:H46)/2</f>
        <v>271306.15000000002</v>
      </c>
      <c r="I48" s="9">
        <f>SUM(I20:I46)/2</f>
        <v>275098.0020695767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13955.400000000001</v>
      </c>
      <c r="E50" s="12">
        <f>D50/G2</f>
        <v>0.99997850340721006</v>
      </c>
      <c r="F50" s="11">
        <f>I50/D50</f>
        <v>28.000601917537303</v>
      </c>
      <c r="G50" s="10"/>
      <c r="H50" s="9">
        <f>H48+H19</f>
        <v>385373.51</v>
      </c>
      <c r="I50" s="9">
        <f>I48+I19</f>
        <v>390759.60000000009</v>
      </c>
      <c r="J50" s="106">
        <f>D50-G2</f>
        <v>-0.2999999999992724</v>
      </c>
      <c r="K50" s="8"/>
    </row>
    <row r="51" spans="1:11" ht="23.25" x14ac:dyDescent="0.35">
      <c r="A51" s="174" t="s">
        <v>826</v>
      </c>
      <c r="B51" s="169"/>
      <c r="C51" s="170"/>
      <c r="G51" s="7"/>
      <c r="H51" s="6"/>
      <c r="I51" s="6">
        <f>+I50/D50</f>
        <v>28.000601917537303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717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827</v>
      </c>
      <c r="D2" s="96" t="s">
        <v>3</v>
      </c>
      <c r="E2" s="95" t="s">
        <v>112</v>
      </c>
      <c r="F2" s="94" t="s">
        <v>5</v>
      </c>
      <c r="G2" s="93">
        <v>12348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176</v>
      </c>
      <c r="F3" s="88" t="s">
        <v>8</v>
      </c>
      <c r="G3" s="87">
        <v>25.5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70.159090909090907</v>
      </c>
      <c r="F4" s="81" t="s">
        <v>12</v>
      </c>
      <c r="G4" s="80">
        <f>G2*G3</f>
        <v>314874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-8.0624912914825542E-2</v>
      </c>
      <c r="F6" s="69" t="s">
        <v>16</v>
      </c>
      <c r="G6" s="68">
        <f>(I50-I19)/(D50-(SUM(D42:D44)+D19))</f>
        <v>32.529649985536594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25.5</v>
      </c>
      <c r="D10" s="30"/>
      <c r="E10" s="29" t="e">
        <f t="shared" ref="E10:E19" si="1">D10/$D$19</f>
        <v>#DIV/0!</v>
      </c>
      <c r="F10" s="28">
        <f t="shared" ref="F10:F18" si="2">C10-(C10*$E$6)</f>
        <v>27.55593527932805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26.6</v>
      </c>
      <c r="D11" s="30"/>
      <c r="E11" s="29" t="e">
        <f t="shared" si="1"/>
        <v>#DIV/0!</v>
      </c>
      <c r="F11" s="28">
        <f t="shared" si="2"/>
        <v>28.744622683534359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24.3</v>
      </c>
      <c r="D12" s="30"/>
      <c r="E12" s="29" t="e">
        <f t="shared" si="1"/>
        <v>#DIV/0!</v>
      </c>
      <c r="F12" s="28">
        <f t="shared" si="2"/>
        <v>26.25918538383026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26.6</v>
      </c>
      <c r="D13" s="30"/>
      <c r="E13" s="29" t="e">
        <f t="shared" si="1"/>
        <v>#DIV/0!</v>
      </c>
      <c r="F13" s="28">
        <f t="shared" si="2"/>
        <v>28.744622683534359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29.7</v>
      </c>
      <c r="D14" s="30"/>
      <c r="E14" s="29" t="e">
        <f t="shared" si="1"/>
        <v>#DIV/0!</v>
      </c>
      <c r="F14" s="28">
        <f t="shared" si="2"/>
        <v>32.094559913570315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24.5</v>
      </c>
      <c r="D15" s="30"/>
      <c r="E15" s="29" t="e">
        <f t="shared" si="1"/>
        <v>#DIV/0!</v>
      </c>
      <c r="F15" s="28">
        <f t="shared" si="2"/>
        <v>26.475310366413225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33.5</v>
      </c>
      <c r="D16" s="30"/>
      <c r="E16" s="29" t="e">
        <f t="shared" si="1"/>
        <v>#DIV/0!</v>
      </c>
      <c r="F16" s="28">
        <f t="shared" si="2"/>
        <v>36.200934582646653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49.3</v>
      </c>
      <c r="D17" s="30"/>
      <c r="E17" s="29" t="e">
        <f t="shared" si="1"/>
        <v>#DIV/0!</v>
      </c>
      <c r="F17" s="28">
        <f t="shared" si="2"/>
        <v>53.274808206700897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43.2</v>
      </c>
      <c r="D18" s="30"/>
      <c r="E18" s="29" t="e">
        <f t="shared" si="1"/>
        <v>#DIV/0!</v>
      </c>
      <c r="F18" s="28">
        <f t="shared" si="2"/>
        <v>46.682996237920463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64.099999999999994</v>
      </c>
      <c r="D21" s="30">
        <v>164.5</v>
      </c>
      <c r="E21" s="29">
        <f>D21/$D$48</f>
        <v>1.3321995464852607E-2</v>
      </c>
      <c r="F21" s="28">
        <f>C21-(C21*$E$6)</f>
        <v>69.268056917840312</v>
      </c>
      <c r="G21" s="27" t="str">
        <f>IF(C21&gt;=F21,"-","+")</f>
        <v>+</v>
      </c>
      <c r="H21" s="26">
        <f>C21*D21</f>
        <v>10544.449999999999</v>
      </c>
      <c r="I21" s="26">
        <f>F21*D21</f>
        <v>11394.595362984732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43.1</v>
      </c>
      <c r="D22" s="30">
        <v>316.39999999999998</v>
      </c>
      <c r="E22" s="29">
        <f>D22/$D$48</f>
        <v>2.5623582766439907E-2</v>
      </c>
      <c r="F22" s="28">
        <f>C22-(C22*$E$6)</f>
        <v>46.574933746628986</v>
      </c>
      <c r="G22" s="27" t="str">
        <f>IF(C22&gt;=F22,"-","+")</f>
        <v>+</v>
      </c>
      <c r="H22" s="26">
        <f>C22*D22</f>
        <v>13636.84</v>
      </c>
      <c r="I22" s="26">
        <f>F22*D22</f>
        <v>14736.30903743341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39.299999999999997</v>
      </c>
      <c r="D23" s="30">
        <v>270.3</v>
      </c>
      <c r="E23" s="29">
        <f>D23/$D$48</f>
        <v>2.1890184645286689E-2</v>
      </c>
      <c r="F23" s="28">
        <f>C23-(C23*$E$6)</f>
        <v>42.468559077552641</v>
      </c>
      <c r="G23" s="27" t="str">
        <f>IF(C23&gt;=F23,"-","+")</f>
        <v>+</v>
      </c>
      <c r="H23" s="26">
        <f>C23*D23</f>
        <v>10622.789999999999</v>
      </c>
      <c r="I23" s="26">
        <f>F23*D23</f>
        <v>11479.251518662479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46.331309904153358</v>
      </c>
      <c r="D24" s="22">
        <f>SUM(D21:D23)</f>
        <v>751.2</v>
      </c>
      <c r="E24" s="21">
        <f>D24/$D$48</f>
        <v>6.0835762876579207E-2</v>
      </c>
      <c r="F24" s="20">
        <f>I24/D24</f>
        <v>50.066767730405509</v>
      </c>
      <c r="G24" s="19">
        <f>F24/C24-1</f>
        <v>8.062491291482532E-2</v>
      </c>
      <c r="H24" s="18">
        <f>SUM(H21:H23)</f>
        <v>34804.080000000002</v>
      </c>
      <c r="I24" s="18">
        <f>SUM(I21:I23)</f>
        <v>37610.155919080622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34.200000000000003</v>
      </c>
      <c r="D26" s="30">
        <f>170.4+2407.7</f>
        <v>2578.1</v>
      </c>
      <c r="E26" s="29">
        <f t="shared" ref="E26:E32" si="7">D26/$D$48</f>
        <v>0.20878684807256234</v>
      </c>
      <c r="F26" s="28">
        <f t="shared" ref="F26:F31" si="8">C26-(C26*$E$6)</f>
        <v>36.957372021687036</v>
      </c>
      <c r="G26" s="27" t="str">
        <f t="shared" ref="G26:G31" si="9">IF(C26&gt;=F26,"-","+")</f>
        <v>+</v>
      </c>
      <c r="H26" s="26">
        <f t="shared" ref="H26:H31" si="10">C26*D26</f>
        <v>88171.02</v>
      </c>
      <c r="I26" s="26">
        <f t="shared" ref="I26:I31" si="11">F26*D26</f>
        <v>95279.800809111344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30.5</v>
      </c>
      <c r="D27" s="30">
        <v>1808.9</v>
      </c>
      <c r="E27" s="29">
        <f t="shared" si="7"/>
        <v>0.1464933592484613</v>
      </c>
      <c r="F27" s="28">
        <f t="shared" si="8"/>
        <v>32.959059843902182</v>
      </c>
      <c r="G27" s="27" t="str">
        <f t="shared" si="9"/>
        <v>+</v>
      </c>
      <c r="H27" s="26">
        <f t="shared" si="10"/>
        <v>55171.450000000004</v>
      </c>
      <c r="I27" s="26">
        <f t="shared" si="11"/>
        <v>59619.643351634659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30.5</v>
      </c>
      <c r="D28" s="30">
        <v>834.9</v>
      </c>
      <c r="E28" s="29">
        <f t="shared" si="7"/>
        <v>6.761418853255588E-2</v>
      </c>
      <c r="F28" s="28">
        <f t="shared" si="8"/>
        <v>32.959059843902182</v>
      </c>
      <c r="G28" s="27" t="str">
        <f t="shared" si="9"/>
        <v>+</v>
      </c>
      <c r="H28" s="26">
        <f t="shared" si="10"/>
        <v>25464.45</v>
      </c>
      <c r="I28" s="26">
        <f t="shared" si="11"/>
        <v>27517.519063673932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29.5</v>
      </c>
      <c r="D29" s="30">
        <v>890.6</v>
      </c>
      <c r="E29" s="29">
        <f t="shared" si="7"/>
        <v>7.2125040492387438E-2</v>
      </c>
      <c r="F29" s="28">
        <f t="shared" si="8"/>
        <v>31.878434930987353</v>
      </c>
      <c r="G29" s="27" t="str">
        <f t="shared" si="9"/>
        <v>+</v>
      </c>
      <c r="H29" s="26">
        <f t="shared" si="10"/>
        <v>26272.7</v>
      </c>
      <c r="I29" s="26">
        <f t="shared" si="11"/>
        <v>28390.934149537337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29.5</v>
      </c>
      <c r="D30" s="30">
        <v>725.5</v>
      </c>
      <c r="E30" s="29">
        <f t="shared" si="7"/>
        <v>5.8754454162617431E-2</v>
      </c>
      <c r="F30" s="28">
        <f t="shared" si="8"/>
        <v>31.878434930987353</v>
      </c>
      <c r="G30" s="27" t="str">
        <f t="shared" si="9"/>
        <v>+</v>
      </c>
      <c r="H30" s="26">
        <f t="shared" si="10"/>
        <v>21402.25</v>
      </c>
      <c r="I30" s="26">
        <f t="shared" si="11"/>
        <v>23127.804542431324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</v>
      </c>
      <c r="D31" s="30">
        <v>185.4</v>
      </c>
      <c r="E31" s="29">
        <f t="shared" si="7"/>
        <v>1.5014577259475219E-2</v>
      </c>
      <c r="F31" s="28">
        <f t="shared" si="8"/>
        <v>32.418747387444768</v>
      </c>
      <c r="G31" s="27" t="str">
        <f t="shared" si="9"/>
        <v>+</v>
      </c>
      <c r="H31" s="26">
        <f t="shared" si="10"/>
        <v>5562</v>
      </c>
      <c r="I31" s="26">
        <f t="shared" si="11"/>
        <v>6010.43576563226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31.61486886693055</v>
      </c>
      <c r="D32" s="22">
        <f>SUM(D26:D31)</f>
        <v>7023.4</v>
      </c>
      <c r="E32" s="21">
        <f t="shared" si="7"/>
        <v>0.56878846776805958</v>
      </c>
      <c r="F32" s="20">
        <f>I32/D32</f>
        <v>34.163814916140453</v>
      </c>
      <c r="G32" s="19">
        <f>F32/C32-1</f>
        <v>8.0624912914825542E-2</v>
      </c>
      <c r="H32" s="18">
        <f>SUM(H26:H31)</f>
        <v>222043.87000000002</v>
      </c>
      <c r="I32" s="18">
        <f>SUM(I26:I31)</f>
        <v>239946.13768202084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30">
        <f>839.1+888</f>
        <v>1727.1</v>
      </c>
      <c r="E34" s="29">
        <f t="shared" ref="E34:E40" si="13">D34/$D$48</f>
        <v>0.13986880466472301</v>
      </c>
      <c r="F34" s="28">
        <f t="shared" ref="F34:F39" si="14">C34-(C34*$E$6)</f>
        <v>19.451248432466858</v>
      </c>
      <c r="G34" s="27" t="str">
        <f t="shared" ref="G34:G39" si="15">IF(C34&gt;=F34,"-","+")</f>
        <v>+</v>
      </c>
      <c r="H34" s="26">
        <f t="shared" ref="H34:H39" si="16">C34*D34</f>
        <v>31087.8</v>
      </c>
      <c r="I34" s="26">
        <f t="shared" ref="I34:I39" si="17">F34*D34</f>
        <v>33594.251167713512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>
        <v>171.1</v>
      </c>
      <c r="E35" s="29">
        <f t="shared" si="13"/>
        <v>1.3856494978943958E-2</v>
      </c>
      <c r="F35" s="28">
        <f t="shared" si="14"/>
        <v>15.020686289516075</v>
      </c>
      <c r="G35" s="27" t="str">
        <f t="shared" si="15"/>
        <v>+</v>
      </c>
      <c r="H35" s="26">
        <f t="shared" si="16"/>
        <v>2378.29</v>
      </c>
      <c r="I35" s="26">
        <f t="shared" si="17"/>
        <v>2570.0394241362001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11.994936533354563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29.5</v>
      </c>
      <c r="D37" s="30"/>
      <c r="E37" s="29">
        <f t="shared" si="13"/>
        <v>0</v>
      </c>
      <c r="F37" s="28">
        <f t="shared" si="14"/>
        <v>31.878434930987353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29.5</v>
      </c>
      <c r="D38" s="30"/>
      <c r="E38" s="29">
        <f t="shared" si="13"/>
        <v>0</v>
      </c>
      <c r="F38" s="28">
        <f t="shared" si="14"/>
        <v>31.878434930987353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30.5</v>
      </c>
      <c r="D39" s="30"/>
      <c r="E39" s="29">
        <f t="shared" si="13"/>
        <v>0</v>
      </c>
      <c r="F39" s="28">
        <f t="shared" si="14"/>
        <v>32.959059843902182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17.630434095458856</v>
      </c>
      <c r="D40" s="22">
        <f>SUM(D34:D39)</f>
        <v>1898.1999999999998</v>
      </c>
      <c r="E40" s="113">
        <f t="shared" si="13"/>
        <v>0.15372529964366696</v>
      </c>
      <c r="F40" s="20">
        <f>I40/D40</f>
        <v>19.051886309055799</v>
      </c>
      <c r="G40" s="19">
        <f>F40/C40-1</f>
        <v>8.0624912914825542E-2</v>
      </c>
      <c r="H40" s="18">
        <f>SUM(H34:H39)</f>
        <v>33466.089999999997</v>
      </c>
      <c r="I40" s="18">
        <f>SUM(I34:I39)</f>
        <v>36164.290591849713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1195+186.6+1211.8</f>
        <v>2593.3999999999996</v>
      </c>
      <c r="E42" s="107">
        <f>D42/$D$48</f>
        <v>0.2100259151279559</v>
      </c>
      <c r="F42" s="28">
        <f>C42-(C42*$E$6)</f>
        <v>0.43224996516593023</v>
      </c>
      <c r="G42" s="27" t="str">
        <f>IF(C42&gt;=F42,"-","+")</f>
        <v>+</v>
      </c>
      <c r="H42" s="26">
        <f>C42*D42</f>
        <v>1037.3599999999999</v>
      </c>
      <c r="I42" s="26">
        <f>F42*D42</f>
        <v>1120.9970596613232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75</v>
      </c>
      <c r="E43" s="107">
        <f>D43/$D$48</f>
        <v>6.0738581146744415E-3</v>
      </c>
      <c r="F43" s="28">
        <f>C43-(C43*$E$6)</f>
        <v>0.43224996516593023</v>
      </c>
      <c r="G43" s="27" t="str">
        <f>IF(C43&gt;=F43,"-","+")</f>
        <v>+</v>
      </c>
      <c r="H43" s="26">
        <f>C43*D43</f>
        <v>30</v>
      </c>
      <c r="I43" s="26">
        <f>F43*D43</f>
        <v>32.418747387444768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6.8</v>
      </c>
      <c r="E45" s="107">
        <f>D45/$D$48</f>
        <v>5.5069646906381604E-4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0.39898325358851672</v>
      </c>
      <c r="D46" s="22">
        <f>SUM(D41:D45)</f>
        <v>2675.2</v>
      </c>
      <c r="E46" s="113">
        <f>D46/$D$48</f>
        <v>0.21665046971169419</v>
      </c>
      <c r="F46" s="20">
        <f>I46/D46</f>
        <v>0.43115124366356455</v>
      </c>
      <c r="G46" s="19">
        <f>F46/C46-1</f>
        <v>8.062491291482532E-2</v>
      </c>
      <c r="H46" s="18">
        <f>SUM(H41:H44)</f>
        <v>1067.3599999999999</v>
      </c>
      <c r="I46" s="18">
        <f>SUM(I41:I44)</f>
        <v>1153.4158070487679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95.975596120131272</v>
      </c>
      <c r="D48" s="13">
        <f>D24+D32+D40+D46</f>
        <v>12348</v>
      </c>
      <c r="E48" s="12">
        <f>SUM(E20:E46)/2</f>
        <v>0.99999999999999978</v>
      </c>
      <c r="F48" s="11">
        <f>I48/D48</f>
        <v>25.5</v>
      </c>
      <c r="G48" s="10"/>
      <c r="H48" s="9">
        <f>SUM(H20:H46)/2</f>
        <v>291381.40000000002</v>
      </c>
      <c r="I48" s="9">
        <f>SUM(I20:I46)/2</f>
        <v>314874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12348</v>
      </c>
      <c r="E50" s="12">
        <f>D50/G2</f>
        <v>1</v>
      </c>
      <c r="F50" s="11">
        <f>I50/D50</f>
        <v>25.5</v>
      </c>
      <c r="G50" s="10"/>
      <c r="H50" s="9">
        <f>H48+H19</f>
        <v>291381.40000000002</v>
      </c>
      <c r="I50" s="9">
        <f>I48+I19</f>
        <v>314874</v>
      </c>
      <c r="J50" s="106">
        <f>D50-G2</f>
        <v>0</v>
      </c>
      <c r="K50" s="8"/>
    </row>
    <row r="51" spans="1:11" ht="23.25" x14ac:dyDescent="0.35">
      <c r="A51" s="174" t="s">
        <v>828</v>
      </c>
      <c r="B51" s="169"/>
      <c r="C51" s="170"/>
      <c r="G51" s="7"/>
      <c r="H51" s="6"/>
      <c r="I51" s="6">
        <f>+I50/D50</f>
        <v>25.5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825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825</v>
      </c>
      <c r="D2" s="96" t="s">
        <v>3</v>
      </c>
      <c r="E2" s="95" t="s">
        <v>112</v>
      </c>
      <c r="F2" s="94" t="s">
        <v>5</v>
      </c>
      <c r="G2" s="93">
        <v>4753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84</v>
      </c>
      <c r="F3" s="88" t="s">
        <v>8</v>
      </c>
      <c r="G3" s="87">
        <v>23.32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56.583333333333336</v>
      </c>
      <c r="F4" s="81" t="s">
        <v>12</v>
      </c>
      <c r="G4" s="80">
        <f>G2*G3</f>
        <v>110839.96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-0.1583077205877359</v>
      </c>
      <c r="F6" s="69" t="s">
        <v>16</v>
      </c>
      <c r="G6" s="68">
        <f>(I50-I19)/(D50-(SUM(D42:D44)+D19))</f>
        <v>31.323996043521273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23.3</v>
      </c>
      <c r="D10" s="30"/>
      <c r="E10" s="29" t="e">
        <f t="shared" ref="E10:E19" si="1">D10/$D$19</f>
        <v>#DIV/0!</v>
      </c>
      <c r="F10" s="28">
        <f t="shared" ref="F10:F18" si="2">C10-(C10*$E$6)</f>
        <v>26.988569889694247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24.3</v>
      </c>
      <c r="D11" s="30"/>
      <c r="E11" s="29" t="e">
        <f t="shared" si="1"/>
        <v>#DIV/0!</v>
      </c>
      <c r="F11" s="28">
        <f t="shared" si="2"/>
        <v>28.146877610281983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22.2</v>
      </c>
      <c r="D12" s="30"/>
      <c r="E12" s="29" t="e">
        <f t="shared" si="1"/>
        <v>#DIV/0!</v>
      </c>
      <c r="F12" s="28">
        <f t="shared" si="2"/>
        <v>25.714431397047736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24.3</v>
      </c>
      <c r="D13" s="30"/>
      <c r="E13" s="29" t="e">
        <f t="shared" si="1"/>
        <v>#DIV/0!</v>
      </c>
      <c r="F13" s="28">
        <f t="shared" si="2"/>
        <v>28.146877610281983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27.1</v>
      </c>
      <c r="D14" s="30"/>
      <c r="E14" s="29" t="e">
        <f t="shared" si="1"/>
        <v>#DIV/0!</v>
      </c>
      <c r="F14" s="28">
        <f t="shared" si="2"/>
        <v>31.390139227927644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22.4</v>
      </c>
      <c r="D15" s="30"/>
      <c r="E15" s="29" t="e">
        <f t="shared" si="1"/>
        <v>#DIV/0!</v>
      </c>
      <c r="F15" s="28">
        <f t="shared" si="2"/>
        <v>25.946092941165283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30.6</v>
      </c>
      <c r="D16" s="30"/>
      <c r="E16" s="29" t="e">
        <f t="shared" si="1"/>
        <v>#DIV/0!</v>
      </c>
      <c r="F16" s="28">
        <f t="shared" si="2"/>
        <v>35.44421624998472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45.1</v>
      </c>
      <c r="D17" s="30"/>
      <c r="E17" s="29" t="e">
        <f t="shared" si="1"/>
        <v>#DIV/0!</v>
      </c>
      <c r="F17" s="28">
        <f t="shared" si="2"/>
        <v>52.239678198506894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39.5</v>
      </c>
      <c r="D18" s="30"/>
      <c r="E18" s="29" t="e">
        <f t="shared" si="1"/>
        <v>#DIV/0!</v>
      </c>
      <c r="F18" s="28">
        <f t="shared" si="2"/>
        <v>45.753154963215565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58.6</v>
      </c>
      <c r="D21" s="30">
        <v>62</v>
      </c>
      <c r="E21" s="29">
        <f>D21/$D$48</f>
        <v>1.3044393014937934E-2</v>
      </c>
      <c r="F21" s="28">
        <f>C21-(C21*$E$6)</f>
        <v>67.876832426441325</v>
      </c>
      <c r="G21" s="27" t="str">
        <f>IF(C21&gt;=F21,"-","+")</f>
        <v>+</v>
      </c>
      <c r="H21" s="26">
        <f>C21*D21</f>
        <v>3633.2000000000003</v>
      </c>
      <c r="I21" s="26">
        <f>F21*D21</f>
        <v>4208.3636104393618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39.4</v>
      </c>
      <c r="D22" s="30">
        <v>124.8</v>
      </c>
      <c r="E22" s="29">
        <f>D22/$D$48</f>
        <v>2.6257100778455712E-2</v>
      </c>
      <c r="F22" s="28">
        <f>C22-(C22*$E$6)</f>
        <v>45.637324191156793</v>
      </c>
      <c r="G22" s="27" t="str">
        <f>IF(C22&gt;=F22,"-","+")</f>
        <v>+</v>
      </c>
      <c r="H22" s="26">
        <f>C22*D22</f>
        <v>4917.12</v>
      </c>
      <c r="I22" s="26">
        <f>F22*D22</f>
        <v>5695.5380590563673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35.9</v>
      </c>
      <c r="D23" s="30">
        <v>81.400000000000006</v>
      </c>
      <c r="E23" s="29">
        <f>D23/$D$48</f>
        <v>1.7126025667999159E-2</v>
      </c>
      <c r="F23" s="28">
        <f>C23-(C23*$E$6)</f>
        <v>41.583247169099721</v>
      </c>
      <c r="G23" s="27" t="str">
        <f>IF(C23&gt;=F23,"-","+")</f>
        <v>+</v>
      </c>
      <c r="H23" s="26">
        <f>C23*D23</f>
        <v>2922.26</v>
      </c>
      <c r="I23" s="26">
        <f>F23*D23</f>
        <v>3384.8763195647175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42.776211782252041</v>
      </c>
      <c r="D24" s="22">
        <f>SUM(D21:D23)</f>
        <v>268.20000000000005</v>
      </c>
      <c r="E24" s="21">
        <f>D24/$D$48</f>
        <v>5.6427519461392815E-2</v>
      </c>
      <c r="F24" s="20">
        <f>I24/D24</f>
        <v>49.548016364878606</v>
      </c>
      <c r="G24" s="19">
        <f>F24/C24-1</f>
        <v>0.15830772058773568</v>
      </c>
      <c r="H24" s="18">
        <f>SUM(H21:H23)</f>
        <v>11472.58</v>
      </c>
      <c r="I24" s="18">
        <f>SUM(I21:I23)</f>
        <v>13288.777989060445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31.3</v>
      </c>
      <c r="D26" s="30">
        <v>785.4</v>
      </c>
      <c r="E26" s="29">
        <f t="shared" ref="E26:E32" si="7">D26/$D$48</f>
        <v>0.16524300441826215</v>
      </c>
      <c r="F26" s="28">
        <f t="shared" ref="F26:F31" si="8">C26-(C26*$E$6)</f>
        <v>36.255031654396134</v>
      </c>
      <c r="G26" s="27" t="str">
        <f t="shared" ref="G26:G31" si="9">IF(C26&gt;=F26,"-","+")</f>
        <v>+</v>
      </c>
      <c r="H26" s="26">
        <f t="shared" ref="H26:H31" si="10">C26*D26</f>
        <v>24583.02</v>
      </c>
      <c r="I26" s="26">
        <f t="shared" ref="I26:I31" si="11">F26*D26</f>
        <v>28474.701861362722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27.9</v>
      </c>
      <c r="D27" s="30">
        <v>677</v>
      </c>
      <c r="E27" s="29">
        <f t="shared" si="7"/>
        <v>0.14243635598569324</v>
      </c>
      <c r="F27" s="28">
        <f t="shared" si="8"/>
        <v>32.316785404397834</v>
      </c>
      <c r="G27" s="27" t="str">
        <f t="shared" si="9"/>
        <v>+</v>
      </c>
      <c r="H27" s="26">
        <f t="shared" si="10"/>
        <v>18888.3</v>
      </c>
      <c r="I27" s="26">
        <f t="shared" si="11"/>
        <v>21878.463718777333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27.9</v>
      </c>
      <c r="D28" s="30">
        <v>357.4</v>
      </c>
      <c r="E28" s="29">
        <f t="shared" si="7"/>
        <v>7.519461392804544E-2</v>
      </c>
      <c r="F28" s="28">
        <f t="shared" si="8"/>
        <v>32.316785404397834</v>
      </c>
      <c r="G28" s="27" t="str">
        <f t="shared" si="9"/>
        <v>+</v>
      </c>
      <c r="H28" s="26">
        <f t="shared" si="10"/>
        <v>9971.4599999999991</v>
      </c>
      <c r="I28" s="26">
        <f t="shared" si="11"/>
        <v>11550.019103531786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26.9</v>
      </c>
      <c r="D29" s="30">
        <v>325.60000000000002</v>
      </c>
      <c r="E29" s="29">
        <f t="shared" si="7"/>
        <v>6.8504102671996636E-2</v>
      </c>
      <c r="F29" s="28">
        <f t="shared" si="8"/>
        <v>31.158477683810094</v>
      </c>
      <c r="G29" s="27" t="str">
        <f t="shared" si="9"/>
        <v>+</v>
      </c>
      <c r="H29" s="26">
        <f t="shared" si="10"/>
        <v>8758.64</v>
      </c>
      <c r="I29" s="26">
        <f t="shared" si="11"/>
        <v>10145.200333848567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26.9</v>
      </c>
      <c r="D30" s="30">
        <v>249.8</v>
      </c>
      <c r="E30" s="29">
        <f t="shared" si="7"/>
        <v>5.255628024405639E-2</v>
      </c>
      <c r="F30" s="28">
        <f t="shared" si="8"/>
        <v>31.158477683810094</v>
      </c>
      <c r="G30" s="27" t="str">
        <f t="shared" si="9"/>
        <v>+</v>
      </c>
      <c r="H30" s="26">
        <f t="shared" si="10"/>
        <v>6719.62</v>
      </c>
      <c r="I30" s="26">
        <f t="shared" si="11"/>
        <v>7783.3877254157624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27.4</v>
      </c>
      <c r="D31" s="30">
        <v>70.599999999999994</v>
      </c>
      <c r="E31" s="29">
        <f t="shared" si="7"/>
        <v>1.4853776562171258E-2</v>
      </c>
      <c r="F31" s="28">
        <f t="shared" si="8"/>
        <v>31.737631544103962</v>
      </c>
      <c r="G31" s="27" t="str">
        <f t="shared" si="9"/>
        <v>+</v>
      </c>
      <c r="H31" s="26">
        <f t="shared" si="10"/>
        <v>1934.4399999999998</v>
      </c>
      <c r="I31" s="26">
        <f t="shared" si="11"/>
        <v>2240.6767870137396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28.735290777840859</v>
      </c>
      <c r="D32" s="22">
        <f>SUM(D26:D31)</f>
        <v>2465.8000000000002</v>
      </c>
      <c r="E32" s="21">
        <f t="shared" si="7"/>
        <v>0.51878813381022515</v>
      </c>
      <c r="F32" s="20">
        <f>I32/D32</f>
        <v>33.284309161306631</v>
      </c>
      <c r="G32" s="19">
        <f>F32/C32-1</f>
        <v>0.15830772058773568</v>
      </c>
      <c r="H32" s="18">
        <f>SUM(H26:H31)</f>
        <v>70855.48</v>
      </c>
      <c r="I32" s="18">
        <f>SUM(I26:I31)</f>
        <v>82072.449529949896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16.5</v>
      </c>
      <c r="D34" s="30">
        <f>371.8+351</f>
        <v>722.8</v>
      </c>
      <c r="E34" s="29">
        <f t="shared" ref="E34:E40" si="13">D34/$D$48</f>
        <v>0.15207237534188933</v>
      </c>
      <c r="F34" s="28">
        <f t="shared" ref="F34:F39" si="14">C34-(C34*$E$6)</f>
        <v>19.112077389697642</v>
      </c>
      <c r="G34" s="27" t="str">
        <f t="shared" ref="G34:G39" si="15">IF(C34&gt;=F34,"-","+")</f>
        <v>+</v>
      </c>
      <c r="H34" s="26">
        <f t="shared" ref="H34:H39" si="16">C34*D34</f>
        <v>11926.199999999999</v>
      </c>
      <c r="I34" s="26">
        <f t="shared" ref="I34:I39" si="17">F34*D34</f>
        <v>13814.209537273455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12.7</v>
      </c>
      <c r="D35" s="30">
        <v>74.900000000000006</v>
      </c>
      <c r="E35" s="29">
        <f t="shared" si="13"/>
        <v>1.5758468335787923E-2</v>
      </c>
      <c r="F35" s="28">
        <f t="shared" si="14"/>
        <v>14.710508051464245</v>
      </c>
      <c r="G35" s="27" t="str">
        <f t="shared" si="15"/>
        <v>+</v>
      </c>
      <c r="H35" s="26">
        <f t="shared" si="16"/>
        <v>951.23</v>
      </c>
      <c r="I35" s="26">
        <f t="shared" si="17"/>
        <v>1101.817053054672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10.199999999999999</v>
      </c>
      <c r="D36" s="30"/>
      <c r="E36" s="29">
        <f t="shared" si="13"/>
        <v>0</v>
      </c>
      <c r="F36" s="28">
        <f t="shared" si="14"/>
        <v>11.814738749994905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26.9</v>
      </c>
      <c r="D37" s="30"/>
      <c r="E37" s="29">
        <f t="shared" si="13"/>
        <v>0</v>
      </c>
      <c r="F37" s="28">
        <f t="shared" si="14"/>
        <v>31.158477683810094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26.9</v>
      </c>
      <c r="D38" s="30"/>
      <c r="E38" s="29">
        <f t="shared" si="13"/>
        <v>0</v>
      </c>
      <c r="F38" s="28">
        <f t="shared" si="14"/>
        <v>31.158477683810094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27.9</v>
      </c>
      <c r="D39" s="30"/>
      <c r="E39" s="29">
        <f t="shared" si="13"/>
        <v>0</v>
      </c>
      <c r="F39" s="28">
        <f t="shared" si="14"/>
        <v>32.316785404397834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16.143199197693367</v>
      </c>
      <c r="D40" s="22">
        <f>SUM(D34:D39)</f>
        <v>797.69999999999993</v>
      </c>
      <c r="E40" s="113">
        <f t="shared" si="13"/>
        <v>0.16783084367767725</v>
      </c>
      <c r="F40" s="20">
        <f>I40/D40</f>
        <v>18.698792265673973</v>
      </c>
      <c r="G40" s="19">
        <f>F40/C40-1</f>
        <v>0.15830772058773612</v>
      </c>
      <c r="H40" s="18">
        <f>SUM(H34:H39)</f>
        <v>12877.429999999998</v>
      </c>
      <c r="I40" s="18">
        <f>SUM(I34:I39)</f>
        <v>14916.026590328127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550+84+559.6</f>
        <v>1193.5999999999999</v>
      </c>
      <c r="E42" s="107">
        <f>D42/$D$48</f>
        <v>0.25112560488112767</v>
      </c>
      <c r="F42" s="28">
        <f>C42-(C42*$E$6)</f>
        <v>0.46332308823509438</v>
      </c>
      <c r="G42" s="27" t="str">
        <f>IF(C42&gt;=F42,"-","+")</f>
        <v>+</v>
      </c>
      <c r="H42" s="26">
        <f>C42*D42</f>
        <v>477.44</v>
      </c>
      <c r="I42" s="26">
        <f>F42*D42</f>
        <v>553.02243811740857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20.9</v>
      </c>
      <c r="E43" s="107">
        <f>D43/$D$48</f>
        <v>4.3972228066484322E-3</v>
      </c>
      <c r="F43" s="28">
        <f>C43-(C43*$E$6)</f>
        <v>0.46332308823509438</v>
      </c>
      <c r="G43" s="27" t="str">
        <f>IF(C43&gt;=F43,"-","+")</f>
        <v>+</v>
      </c>
      <c r="H43" s="26">
        <f>C43*D43</f>
        <v>8.36</v>
      </c>
      <c r="I43" s="26">
        <f>F43*D43</f>
        <v>9.6834525441134716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6.8</v>
      </c>
      <c r="E45" s="107">
        <f>D45/$D$48</f>
        <v>1.4306753629286767E-3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0.39777286497993941</v>
      </c>
      <c r="D46" s="22">
        <f>SUM(D41:D45)</f>
        <v>1221.3</v>
      </c>
      <c r="E46" s="113">
        <f>D46/$D$48</f>
        <v>0.2569535030507048</v>
      </c>
      <c r="F46" s="20">
        <f>I46/D46</f>
        <v>0.46074338054656683</v>
      </c>
      <c r="G46" s="19">
        <f>F46/C46-1</f>
        <v>0.1583077205877359</v>
      </c>
      <c r="H46" s="18">
        <f>SUM(H41:H44)</f>
        <v>485.8</v>
      </c>
      <c r="I46" s="18">
        <f>SUM(I41:I44)</f>
        <v>562.70589066152206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88.052474622766212</v>
      </c>
      <c r="D48" s="13">
        <f>D24+D32+D40+D46</f>
        <v>4753</v>
      </c>
      <c r="E48" s="12">
        <f>SUM(E20:E46)/2</f>
        <v>1</v>
      </c>
      <c r="F48" s="11">
        <f>I48/D48</f>
        <v>23.319999999999997</v>
      </c>
      <c r="G48" s="10"/>
      <c r="H48" s="9">
        <f>SUM(H20:H46)/2</f>
        <v>95691.29</v>
      </c>
      <c r="I48" s="9">
        <f>SUM(I20:I46)/2</f>
        <v>110839.95999999999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4752.9999999999991</v>
      </c>
      <c r="E50" s="12">
        <f>D50/G2</f>
        <v>0.99999999999999978</v>
      </c>
      <c r="F50" s="11">
        <f>I50/D50</f>
        <v>23.320000000000004</v>
      </c>
      <c r="G50" s="10"/>
      <c r="H50" s="9">
        <f>H48+H19</f>
        <v>95691.29</v>
      </c>
      <c r="I50" s="9">
        <f>I48+I19</f>
        <v>110839.95999999999</v>
      </c>
      <c r="J50" s="106">
        <f>D50-G2</f>
        <v>0</v>
      </c>
      <c r="K50" s="8"/>
    </row>
    <row r="51" spans="1:11" ht="23.25" x14ac:dyDescent="0.35">
      <c r="A51" s="174" t="s">
        <v>829</v>
      </c>
      <c r="B51" s="169"/>
      <c r="C51" s="170"/>
      <c r="G51" s="7"/>
      <c r="H51" s="6"/>
      <c r="I51" s="6">
        <f>+I50/D50</f>
        <v>23.320000000000004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825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825</v>
      </c>
      <c r="D2" s="96" t="s">
        <v>3</v>
      </c>
      <c r="E2" s="95" t="s">
        <v>112</v>
      </c>
      <c r="F2" s="94" t="s">
        <v>5</v>
      </c>
      <c r="G2" s="93">
        <v>1977.5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36</v>
      </c>
      <c r="F3" s="88" t="s">
        <v>8</v>
      </c>
      <c r="G3" s="87">
        <v>23.46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54.930555555555557</v>
      </c>
      <c r="F4" s="81" t="s">
        <v>12</v>
      </c>
      <c r="G4" s="80">
        <f>G2*G3</f>
        <v>46392.15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-0.15050279775723152</v>
      </c>
      <c r="F6" s="69" t="s">
        <v>16</v>
      </c>
      <c r="G6" s="68">
        <f>(I50-I19)/(D50-(SUM(D42:D44)+D19))</f>
        <v>31.181711251512315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23.5</v>
      </c>
      <c r="D10" s="30"/>
      <c r="E10" s="29" t="e">
        <f t="shared" ref="E10:E19" si="1">D10/$D$19</f>
        <v>#DIV/0!</v>
      </c>
      <c r="F10" s="28">
        <f t="shared" ref="F10:F18" si="2">C10-(C10*$E$6)</f>
        <v>27.036815747294941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24.4</v>
      </c>
      <c r="D11" s="30"/>
      <c r="E11" s="29" t="e">
        <f t="shared" si="1"/>
        <v>#DIV/0!</v>
      </c>
      <c r="F11" s="28">
        <f t="shared" si="2"/>
        <v>28.072268265276449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22.3</v>
      </c>
      <c r="D12" s="30"/>
      <c r="E12" s="29" t="e">
        <f t="shared" si="1"/>
        <v>#DIV/0!</v>
      </c>
      <c r="F12" s="28">
        <f t="shared" si="2"/>
        <v>25.656212389986266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24.4</v>
      </c>
      <c r="D13" s="30"/>
      <c r="E13" s="29" t="e">
        <f t="shared" si="1"/>
        <v>#DIV/0!</v>
      </c>
      <c r="F13" s="28">
        <f t="shared" si="2"/>
        <v>28.072268265276449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27.3</v>
      </c>
      <c r="D14" s="30"/>
      <c r="E14" s="29" t="e">
        <f t="shared" si="1"/>
        <v>#DIV/0!</v>
      </c>
      <c r="F14" s="28">
        <f t="shared" si="2"/>
        <v>31.408726378772421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22.5</v>
      </c>
      <c r="D15" s="30"/>
      <c r="E15" s="29" t="e">
        <f t="shared" si="1"/>
        <v>#DIV/0!</v>
      </c>
      <c r="F15" s="28">
        <f t="shared" si="2"/>
        <v>25.886312949537711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30.8</v>
      </c>
      <c r="D16" s="30"/>
      <c r="E16" s="29" t="e">
        <f t="shared" si="1"/>
        <v>#DIV/0!</v>
      </c>
      <c r="F16" s="28">
        <f t="shared" si="2"/>
        <v>35.435486170922729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45.4</v>
      </c>
      <c r="D17" s="30"/>
      <c r="E17" s="29" t="e">
        <f t="shared" si="1"/>
        <v>#DIV/0!</v>
      </c>
      <c r="F17" s="28">
        <f t="shared" si="2"/>
        <v>52.232827018178313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39.700000000000003</v>
      </c>
      <c r="D18" s="30"/>
      <c r="E18" s="29" t="e">
        <f t="shared" si="1"/>
        <v>#DIV/0!</v>
      </c>
      <c r="F18" s="28">
        <f t="shared" si="2"/>
        <v>45.674961070962098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</v>
      </c>
      <c r="D21" s="30">
        <v>25.2</v>
      </c>
      <c r="E21" s="29">
        <f>D21/$D$48</f>
        <v>1.2743362831858406E-2</v>
      </c>
      <c r="F21" s="28">
        <f>C21-(C21*$E$6)</f>
        <v>67.879665067676655</v>
      </c>
      <c r="G21" s="27" t="str">
        <f>IF(C21&gt;=F21,"-","+")</f>
        <v>+</v>
      </c>
      <c r="H21" s="26">
        <f>C21*D21</f>
        <v>1486.8</v>
      </c>
      <c r="I21" s="26">
        <f>F21*D21</f>
        <v>1710.5675597054517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39.6</v>
      </c>
      <c r="D22" s="30">
        <v>48.4</v>
      </c>
      <c r="E22" s="29">
        <f>D22/$D$48</f>
        <v>2.4475347661188369E-2</v>
      </c>
      <c r="F22" s="28">
        <f>C22-(C22*$E$6)</f>
        <v>45.559910791186368</v>
      </c>
      <c r="G22" s="27" t="str">
        <f>IF(C22&gt;=F22,"-","+")</f>
        <v>+</v>
      </c>
      <c r="H22" s="26">
        <f>C22*D22</f>
        <v>1916.64</v>
      </c>
      <c r="I22" s="26">
        <f>F22*D22</f>
        <v>2205.0996822934203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36.1</v>
      </c>
      <c r="D23" s="30">
        <v>34.799999999999997</v>
      </c>
      <c r="E23" s="29">
        <f>D23/$D$48</f>
        <v>1.7597977243994943E-2</v>
      </c>
      <c r="F23" s="28">
        <f>C23-(C23*$E$6)</f>
        <v>41.53315099903606</v>
      </c>
      <c r="G23" s="27" t="str">
        <f>IF(C23&gt;=F23,"-","+")</f>
        <v>+</v>
      </c>
      <c r="H23" s="26">
        <f>C23*D23</f>
        <v>1256.28</v>
      </c>
      <c r="I23" s="26">
        <f>F23*D23</f>
        <v>1445.3536547664548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42.98634686346864</v>
      </c>
      <c r="D24" s="22">
        <f>SUM(D21:D23)</f>
        <v>108.39999999999999</v>
      </c>
      <c r="E24" s="21">
        <f>D24/$D$48</f>
        <v>5.4816687737041715E-2</v>
      </c>
      <c r="F24" s="20">
        <f>I24/D24</f>
        <v>49.455912331783466</v>
      </c>
      <c r="G24" s="19">
        <f>F24/C24-1</f>
        <v>0.15050279775723152</v>
      </c>
      <c r="H24" s="18">
        <f>SUM(H21:H23)</f>
        <v>4659.72</v>
      </c>
      <c r="I24" s="18">
        <f>SUM(I21:I23)</f>
        <v>5361.0208967653271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31.5</v>
      </c>
      <c r="D26" s="30">
        <v>354.7</v>
      </c>
      <c r="E26" s="29">
        <f t="shared" ref="E26:E32" si="7">D26/$D$48</f>
        <v>0.17936788874841972</v>
      </c>
      <c r="F26" s="28">
        <f t="shared" ref="F26:F31" si="8">C26-(C26*$E$6)</f>
        <v>36.240838129352795</v>
      </c>
      <c r="G26" s="27" t="str">
        <f t="shared" ref="G26:G31" si="9">IF(C26&gt;=F26,"-","+")</f>
        <v>+</v>
      </c>
      <c r="H26" s="26">
        <f t="shared" ref="H26:H31" si="10">C26*D26</f>
        <v>11173.05</v>
      </c>
      <c r="I26" s="26">
        <f t="shared" ref="I26:I31" si="11">F26*D26</f>
        <v>12854.625284481435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</v>
      </c>
      <c r="D27" s="30">
        <v>276</v>
      </c>
      <c r="E27" s="29">
        <f t="shared" si="7"/>
        <v>0.13957016434892541</v>
      </c>
      <c r="F27" s="28">
        <f t="shared" si="8"/>
        <v>32.21407833720248</v>
      </c>
      <c r="G27" s="27" t="str">
        <f t="shared" si="9"/>
        <v>+</v>
      </c>
      <c r="H27" s="26">
        <f t="shared" si="10"/>
        <v>7728</v>
      </c>
      <c r="I27" s="26">
        <f t="shared" si="11"/>
        <v>8891.0856210678849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</v>
      </c>
      <c r="D28" s="30">
        <v>125.6</v>
      </c>
      <c r="E28" s="29">
        <f t="shared" si="7"/>
        <v>6.3514538558786346E-2</v>
      </c>
      <c r="F28" s="28">
        <f t="shared" si="8"/>
        <v>32.21407833720248</v>
      </c>
      <c r="G28" s="27" t="str">
        <f t="shared" si="9"/>
        <v>+</v>
      </c>
      <c r="H28" s="26">
        <f t="shared" si="10"/>
        <v>3516.7999999999997</v>
      </c>
      <c r="I28" s="26">
        <f t="shared" si="11"/>
        <v>4046.0882391526311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27.1</v>
      </c>
      <c r="D29" s="30">
        <v>127.5</v>
      </c>
      <c r="E29" s="29">
        <f t="shared" si="7"/>
        <v>6.447534766118837E-2</v>
      </c>
      <c r="F29" s="28">
        <f t="shared" si="8"/>
        <v>31.178625819220976</v>
      </c>
      <c r="G29" s="27" t="str">
        <f t="shared" si="9"/>
        <v>+</v>
      </c>
      <c r="H29" s="26">
        <f t="shared" si="10"/>
        <v>3455.25</v>
      </c>
      <c r="I29" s="26">
        <f t="shared" si="11"/>
        <v>3975.2747919506746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27.1</v>
      </c>
      <c r="D30" s="30">
        <v>117.7</v>
      </c>
      <c r="E30" s="29">
        <f t="shared" si="7"/>
        <v>5.9519595448798993E-2</v>
      </c>
      <c r="F30" s="28">
        <f t="shared" si="8"/>
        <v>31.178625819220976</v>
      </c>
      <c r="G30" s="27" t="str">
        <f t="shared" si="9"/>
        <v>+</v>
      </c>
      <c r="H30" s="26">
        <f t="shared" si="10"/>
        <v>3189.67</v>
      </c>
      <c r="I30" s="26">
        <f t="shared" si="11"/>
        <v>3669.7242589223088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27.6</v>
      </c>
      <c r="D31" s="30">
        <v>31.2</v>
      </c>
      <c r="E31" s="29">
        <f t="shared" si="7"/>
        <v>1.5777496839443742E-2</v>
      </c>
      <c r="F31" s="28">
        <f t="shared" si="8"/>
        <v>31.753877218099593</v>
      </c>
      <c r="G31" s="27" t="str">
        <f t="shared" si="9"/>
        <v>+</v>
      </c>
      <c r="H31" s="26">
        <f t="shared" si="10"/>
        <v>861.12</v>
      </c>
      <c r="I31" s="26">
        <f t="shared" si="11"/>
        <v>990.72096920470722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28.976362932119681</v>
      </c>
      <c r="D32" s="22">
        <f>SUM(D26:D31)</f>
        <v>1032.7</v>
      </c>
      <c r="E32" s="21">
        <f t="shared" si="7"/>
        <v>0.52222503160556255</v>
      </c>
      <c r="F32" s="20">
        <f>I32/D32</f>
        <v>33.337386622232636</v>
      </c>
      <c r="G32" s="19">
        <f>F32/C32-1</f>
        <v>0.15050279775723174</v>
      </c>
      <c r="H32" s="18">
        <f>SUM(H26:H31)</f>
        <v>29923.889999999996</v>
      </c>
      <c r="I32" s="18">
        <f>SUM(I26:I31)</f>
        <v>34427.519164779646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16.600000000000001</v>
      </c>
      <c r="D34" s="30">
        <f>174.2+134.4</f>
        <v>308.60000000000002</v>
      </c>
      <c r="E34" s="29">
        <f t="shared" ref="E34:E40" si="13">D34/$D$48</f>
        <v>0.15605562579013907</v>
      </c>
      <c r="F34" s="28">
        <f t="shared" ref="F34:F39" si="14">C34-(C34*$E$6)</f>
        <v>19.098346442770044</v>
      </c>
      <c r="G34" s="27" t="str">
        <f t="shared" ref="G34:G39" si="15">IF(C34&gt;=F34,"-","+")</f>
        <v>+</v>
      </c>
      <c r="H34" s="26">
        <f t="shared" ref="H34:H39" si="16">C34*D34</f>
        <v>5122.7600000000011</v>
      </c>
      <c r="I34" s="26">
        <f t="shared" ref="I34:I39" si="17">F34*D34</f>
        <v>5893.7497122388359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12.8</v>
      </c>
      <c r="D35" s="30">
        <v>32.9</v>
      </c>
      <c r="E35" s="29">
        <f t="shared" si="13"/>
        <v>1.6637168141592919E-2</v>
      </c>
      <c r="F35" s="28">
        <f t="shared" si="14"/>
        <v>14.726435811292564</v>
      </c>
      <c r="G35" s="27" t="str">
        <f t="shared" si="15"/>
        <v>+</v>
      </c>
      <c r="H35" s="26">
        <f t="shared" si="16"/>
        <v>421.12</v>
      </c>
      <c r="I35" s="26">
        <f t="shared" si="17"/>
        <v>484.49973819152535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10.199999999999999</v>
      </c>
      <c r="D36" s="30"/>
      <c r="E36" s="29">
        <f t="shared" si="13"/>
        <v>0</v>
      </c>
      <c r="F36" s="28">
        <f t="shared" si="14"/>
        <v>11.73512853712376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27.1</v>
      </c>
      <c r="D37" s="30"/>
      <c r="E37" s="29">
        <f t="shared" si="13"/>
        <v>0</v>
      </c>
      <c r="F37" s="28">
        <f t="shared" si="14"/>
        <v>31.178625819220976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27.1</v>
      </c>
      <c r="D38" s="30"/>
      <c r="E38" s="29">
        <f t="shared" si="13"/>
        <v>0</v>
      </c>
      <c r="F38" s="28">
        <f t="shared" si="14"/>
        <v>31.178625819220976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</v>
      </c>
      <c r="D39" s="30"/>
      <c r="E39" s="29">
        <f t="shared" si="13"/>
        <v>0</v>
      </c>
      <c r="F39" s="28">
        <f t="shared" si="14"/>
        <v>32.21407833720248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16.233909224011715</v>
      </c>
      <c r="D40" s="22">
        <f>SUM(D34:D39)</f>
        <v>341.5</v>
      </c>
      <c r="E40" s="113">
        <f t="shared" si="13"/>
        <v>0.17269279393173198</v>
      </c>
      <c r="F40" s="20">
        <f>I40/D40</f>
        <v>18.677157980762406</v>
      </c>
      <c r="G40" s="19">
        <f>F40/C40-1</f>
        <v>0.15050279775723152</v>
      </c>
      <c r="H40" s="18">
        <f>SUM(H34:H39)</f>
        <v>5543.880000000001</v>
      </c>
      <c r="I40" s="18">
        <f>SUM(I34:I39)</f>
        <v>6378.2494504303613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227+30.9+214.7</f>
        <v>472.59999999999997</v>
      </c>
      <c r="E42" s="107">
        <f>D42/$D$48</f>
        <v>0.23898862199747153</v>
      </c>
      <c r="F42" s="28">
        <f>C42-(C42*$E$6)</f>
        <v>0.46020111910289263</v>
      </c>
      <c r="G42" s="27" t="str">
        <f>IF(C42&gt;=F42,"-","+")</f>
        <v>+</v>
      </c>
      <c r="H42" s="26">
        <f>C42*D42</f>
        <v>189.04</v>
      </c>
      <c r="I42" s="26">
        <f>F42*D42</f>
        <v>217.49104888802705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17.100000000000001</v>
      </c>
      <c r="E43" s="107">
        <f>D43/$D$48</f>
        <v>8.6472819216182051E-3</v>
      </c>
      <c r="F43" s="28">
        <f>C43-(C43*$E$6)</f>
        <v>0.46020111910289263</v>
      </c>
      <c r="G43" s="27" t="str">
        <f>IF(C43&gt;=F43,"-","+")</f>
        <v>+</v>
      </c>
      <c r="H43" s="26">
        <f>C43*D43</f>
        <v>6.8400000000000007</v>
      </c>
      <c r="I43" s="26">
        <f>F43*D43</f>
        <v>7.8694391366594649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2.629582806573957E-3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0.39579713073348149</v>
      </c>
      <c r="D46" s="22">
        <f>SUM(D41:D45)</f>
        <v>494.9</v>
      </c>
      <c r="E46" s="113">
        <f>D46/$D$48</f>
        <v>0.25026548672566373</v>
      </c>
      <c r="F46" s="20">
        <f>I46/D46</f>
        <v>0.4553657062531552</v>
      </c>
      <c r="G46" s="19">
        <f>F46/C46-1</f>
        <v>0.15050279775723152</v>
      </c>
      <c r="H46" s="18">
        <f>SUM(H41:H44)</f>
        <v>195.88</v>
      </c>
      <c r="I46" s="18">
        <f>SUM(I41:I44)</f>
        <v>225.3604880246865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88.59241615033352</v>
      </c>
      <c r="D48" s="13">
        <f>D24+D32+D40+D46</f>
        <v>1977.5</v>
      </c>
      <c r="E48" s="12">
        <f>SUM(E20:E46)/2</f>
        <v>0.99999999999999989</v>
      </c>
      <c r="F48" s="11">
        <f>I48/D48</f>
        <v>23.460000000000008</v>
      </c>
      <c r="G48" s="10"/>
      <c r="H48" s="9">
        <f>SUM(H20:H46)/2</f>
        <v>40323.369999999988</v>
      </c>
      <c r="I48" s="9">
        <f>SUM(I20:I46)/2</f>
        <v>46392.150000000016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1977.4999999999998</v>
      </c>
      <c r="E50" s="12">
        <f>D50/G2</f>
        <v>0.99999999999999989</v>
      </c>
      <c r="F50" s="11">
        <f>I50/D50</f>
        <v>23.460000000000012</v>
      </c>
      <c r="G50" s="10"/>
      <c r="H50" s="9">
        <f>H48+H19</f>
        <v>40323.369999999988</v>
      </c>
      <c r="I50" s="9">
        <f>I48+I19</f>
        <v>46392.150000000016</v>
      </c>
      <c r="J50" s="106">
        <f>D50-G2</f>
        <v>0</v>
      </c>
      <c r="K50" s="8"/>
    </row>
    <row r="51" spans="1:11" ht="23.25" x14ac:dyDescent="0.35">
      <c r="A51" s="174" t="s">
        <v>830</v>
      </c>
      <c r="B51" s="169"/>
      <c r="C51" s="170"/>
      <c r="G51" s="7"/>
      <c r="H51" s="6"/>
      <c r="I51" s="6">
        <f>+I50/D50</f>
        <v>23.460000000000012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803</v>
      </c>
      <c r="D1" s="100" t="s">
        <v>1</v>
      </c>
      <c r="E1" s="168" t="s">
        <v>750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831</v>
      </c>
      <c r="D2" s="96" t="s">
        <v>3</v>
      </c>
      <c r="E2" s="95" t="s">
        <v>71</v>
      </c>
      <c r="F2" s="94" t="s">
        <v>5</v>
      </c>
      <c r="G2" s="93">
        <v>11939.2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160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74.62</v>
      </c>
      <c r="F4" s="81" t="s">
        <v>12</v>
      </c>
      <c r="G4" s="80">
        <f>G2*G3</f>
        <v>334297.60000000003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-1.7689042043614878E-2</v>
      </c>
      <c r="F6" s="69" t="s">
        <v>16</v>
      </c>
      <c r="G6" s="68">
        <f>(I50-I19)/(D50-(SUM(D42:D44)+D19))</f>
        <v>33.582449926346371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28.495293177221217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2640.2</v>
      </c>
      <c r="E11" s="29">
        <f t="shared" si="1"/>
        <v>0.35100174158124942</v>
      </c>
      <c r="F11" s="28">
        <f t="shared" si="2"/>
        <v>29.716520027673553</v>
      </c>
      <c r="G11" s="27" t="str">
        <f t="shared" si="3"/>
        <v>+</v>
      </c>
      <c r="H11" s="34">
        <f t="shared" si="4"/>
        <v>77093.84</v>
      </c>
      <c r="I11" s="34">
        <f t="shared" si="5"/>
        <v>78457.556177063714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4449.3</v>
      </c>
      <c r="E12" s="29">
        <f t="shared" si="1"/>
        <v>0.59151278267459029</v>
      </c>
      <c r="F12" s="28">
        <f t="shared" si="2"/>
        <v>27.070528518360156</v>
      </c>
      <c r="G12" s="27" t="str">
        <f t="shared" si="3"/>
        <v>+</v>
      </c>
      <c r="H12" s="34">
        <f t="shared" si="4"/>
        <v>118351.38</v>
      </c>
      <c r="I12" s="34">
        <f t="shared" si="5"/>
        <v>120444.90253673984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432.4</v>
      </c>
      <c r="E13" s="29">
        <f t="shared" si="1"/>
        <v>5.7485475744160387E-2</v>
      </c>
      <c r="F13" s="28">
        <f t="shared" si="2"/>
        <v>29.716520027673553</v>
      </c>
      <c r="G13" s="27" t="str">
        <f t="shared" si="3"/>
        <v>+</v>
      </c>
      <c r="H13" s="34">
        <f t="shared" si="4"/>
        <v>12626.08</v>
      </c>
      <c r="I13" s="34">
        <f t="shared" si="5"/>
        <v>12849.423259966044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33.176662770621846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27.375835230973237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37.450956747205026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55.158746078763926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48.238460592867341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27.662066765046067</v>
      </c>
      <c r="D19" s="49">
        <f>SUM(D10:D18)</f>
        <v>7521.9</v>
      </c>
      <c r="E19" s="48">
        <f t="shared" si="1"/>
        <v>1</v>
      </c>
      <c r="F19" s="47">
        <f>I19/D19</f>
        <v>28.151382227066247</v>
      </c>
      <c r="G19" s="46">
        <f>F19/C19-1</f>
        <v>1.7689042043614878E-2</v>
      </c>
      <c r="H19" s="9">
        <f>SUM(H10:H18)</f>
        <v>208071.3</v>
      </c>
      <c r="I19" s="9">
        <f>SUM(I10:I18)</f>
        <v>211751.8819737696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36.4</v>
      </c>
      <c r="E21" s="29">
        <f>D21/$D$48</f>
        <v>8.2403278020510284E-3</v>
      </c>
      <c r="F21" s="28">
        <f>C21-(C21*$E$6)</f>
        <v>71.6453085598705</v>
      </c>
      <c r="G21" s="27" t="str">
        <f>IF(C21&gt;=F21,"-","+")</f>
        <v>+</v>
      </c>
      <c r="H21" s="26">
        <f>C21*D21</f>
        <v>2562.56</v>
      </c>
      <c r="I21" s="26">
        <f>F21*D21</f>
        <v>2607.8892315792859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124.8</v>
      </c>
      <c r="E22" s="29">
        <f>D22/$D$48</f>
        <v>2.8252552464174952E-2</v>
      </c>
      <c r="F22" s="28">
        <f>C22-(C22*$E$6)</f>
        <v>48.136691688662978</v>
      </c>
      <c r="G22" s="27" t="str">
        <f>IF(C22&gt;=F22,"-","+")</f>
        <v>+</v>
      </c>
      <c r="H22" s="26">
        <f>C22*D22</f>
        <v>5903.04</v>
      </c>
      <c r="I22" s="26">
        <f>F22*D22</f>
        <v>6007.4591227451392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108.8</v>
      </c>
      <c r="E23" s="29">
        <f>D23/$D$48</f>
        <v>2.4630430353383293E-2</v>
      </c>
      <c r="F23" s="28">
        <f>C23-(C23*$E$6)</f>
        <v>43.862397712079805</v>
      </c>
      <c r="G23" s="27" t="str">
        <f>IF(C23&gt;=F23,"-","+")</f>
        <v>+</v>
      </c>
      <c r="H23" s="26">
        <f>C23*D23</f>
        <v>4689.28</v>
      </c>
      <c r="I23" s="26">
        <f>F23*D23</f>
        <v>4772.2288710742823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48.721777777777781</v>
      </c>
      <c r="D24" s="22">
        <f>SUM(D21:D23)</f>
        <v>270</v>
      </c>
      <c r="E24" s="21">
        <f>D24/$D$48</f>
        <v>6.1123310619609274E-2</v>
      </c>
      <c r="F24" s="20">
        <f>I24/D24</f>
        <v>49.583619353328551</v>
      </c>
      <c r="G24" s="19">
        <f>F24/C24-1</f>
        <v>1.7689042043614878E-2</v>
      </c>
      <c r="H24" s="18">
        <f>SUM(H21:H23)</f>
        <v>13154.880000000001</v>
      </c>
      <c r="I24" s="18">
        <f>SUM(I21:I23)</f>
        <v>13387.577225398709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890</v>
      </c>
      <c r="E26" s="29">
        <f t="shared" ref="E26:E32" si="7">D26/$D$48</f>
        <v>0.20148054241278612</v>
      </c>
      <c r="F26" s="28">
        <f t="shared" ref="F26:F31" si="8">C26-(C26*$E$6)</f>
        <v>38.265107980839922</v>
      </c>
      <c r="G26" s="27" t="str">
        <f t="shared" ref="G26:G31" si="9">IF(C26&gt;=F26,"-","+")</f>
        <v>+</v>
      </c>
      <c r="H26" s="26">
        <f t="shared" ref="H26:H31" si="10">C26*D26</f>
        <v>33464</v>
      </c>
      <c r="I26" s="26">
        <f t="shared" ref="I26:I31" si="11">F26*D26</f>
        <v>34055.946102947528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685.6</v>
      </c>
      <c r="E27" s="29">
        <f t="shared" si="7"/>
        <v>0.15520793244742268</v>
      </c>
      <c r="F27" s="28">
        <f t="shared" si="8"/>
        <v>34.092582908461097</v>
      </c>
      <c r="G27" s="27" t="str">
        <f t="shared" si="9"/>
        <v>+</v>
      </c>
      <c r="H27" s="26">
        <f t="shared" si="10"/>
        <v>22967.600000000002</v>
      </c>
      <c r="I27" s="26">
        <f t="shared" si="11"/>
        <v>23373.874842040928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413.9</v>
      </c>
      <c r="E28" s="29">
        <f t="shared" si="7"/>
        <v>9.3699771353541766E-2</v>
      </c>
      <c r="F28" s="28">
        <f t="shared" si="8"/>
        <v>34.092582908461097</v>
      </c>
      <c r="G28" s="27" t="str">
        <f t="shared" si="9"/>
        <v>+</v>
      </c>
      <c r="H28" s="26">
        <f t="shared" si="10"/>
        <v>13865.65</v>
      </c>
      <c r="I28" s="26">
        <f t="shared" si="11"/>
        <v>14110.920065812048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364</v>
      </c>
      <c r="E29" s="29">
        <f t="shared" si="7"/>
        <v>8.2403278020510284E-2</v>
      </c>
      <c r="F29" s="28">
        <f t="shared" si="8"/>
        <v>32.871356058008757</v>
      </c>
      <c r="G29" s="27" t="str">
        <f t="shared" si="9"/>
        <v>+</v>
      </c>
      <c r="H29" s="26">
        <f t="shared" si="10"/>
        <v>11757.199999999999</v>
      </c>
      <c r="I29" s="26">
        <f t="shared" si="11"/>
        <v>11965.173605115187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306</v>
      </c>
      <c r="E30" s="29">
        <f t="shared" si="7"/>
        <v>6.9273085368890513E-2</v>
      </c>
      <c r="F30" s="28">
        <f t="shared" si="8"/>
        <v>32.871356058008757</v>
      </c>
      <c r="G30" s="27" t="str">
        <f t="shared" si="9"/>
        <v>+</v>
      </c>
      <c r="H30" s="26">
        <f t="shared" si="10"/>
        <v>9883.7999999999993</v>
      </c>
      <c r="I30" s="26">
        <f t="shared" si="11"/>
        <v>10058.634953750679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62.4</v>
      </c>
      <c r="E31" s="29">
        <f t="shared" si="7"/>
        <v>1.4126276232087476E-2</v>
      </c>
      <c r="F31" s="28">
        <f t="shared" si="8"/>
        <v>33.481969483234927</v>
      </c>
      <c r="G31" s="27" t="str">
        <f t="shared" si="9"/>
        <v>+</v>
      </c>
      <c r="H31" s="26">
        <f t="shared" si="10"/>
        <v>2052.96</v>
      </c>
      <c r="I31" s="26">
        <f t="shared" si="11"/>
        <v>2089.2748957538593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34.531470663874501</v>
      </c>
      <c r="D32" s="22">
        <f>SUM(D26:D31)</f>
        <v>2721.9</v>
      </c>
      <c r="E32" s="21">
        <f t="shared" si="7"/>
        <v>0.61619088583523884</v>
      </c>
      <c r="F32" s="20">
        <f>I32/D32</f>
        <v>35.142299300275624</v>
      </c>
      <c r="G32" s="19">
        <f>F32/C32-1</f>
        <v>1.7689042043614656E-2</v>
      </c>
      <c r="H32" s="18">
        <f>SUM(H26:H31)</f>
        <v>93991.21</v>
      </c>
      <c r="I32" s="18">
        <f>SUM(I26:I31)</f>
        <v>95653.824465420228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651.79999999999995</v>
      </c>
      <c r="E34" s="29">
        <f t="shared" ref="E34:E40" si="13">D34/$D$48</f>
        <v>0.14755619948837526</v>
      </c>
      <c r="F34" s="28">
        <f t="shared" ref="F34:F39" si="14">C34-(C34*$E$6)</f>
        <v>20.150243032463575</v>
      </c>
      <c r="G34" s="27" t="str">
        <f t="shared" ref="G34:G39" si="15">IF(C34&gt;=F34,"-","+")</f>
        <v>+</v>
      </c>
      <c r="H34" s="26">
        <f t="shared" ref="H34:H39" si="16">C34*D34</f>
        <v>12905.64</v>
      </c>
      <c r="I34" s="26">
        <f t="shared" ref="I34:I39" si="17">F34*D34</f>
        <v>13133.928408559757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15.468873439062946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12.415806312932101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32.871356058008757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32.871356058008757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34.092582908461097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651.79999999999995</v>
      </c>
      <c r="E40" s="113">
        <f t="shared" si="13"/>
        <v>0.14755619948837526</v>
      </c>
      <c r="F40" s="20">
        <f>I40/D40</f>
        <v>20.150243032463575</v>
      </c>
      <c r="G40" s="19">
        <f>F40/C40-1</f>
        <v>1.7689042043614878E-2</v>
      </c>
      <c r="H40" s="18">
        <f>SUM(H34:H39)</f>
        <v>12905.64</v>
      </c>
      <c r="I40" s="18">
        <f>SUM(I34:I39)</f>
        <v>13133.928408559757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690</v>
      </c>
      <c r="E42" s="107">
        <f>D42/$D$48</f>
        <v>0.15620401602789036</v>
      </c>
      <c r="F42" s="28">
        <f>C42-(C42*$E$6)</f>
        <v>0.50884452102180744</v>
      </c>
      <c r="G42" s="27" t="str">
        <f>IF(C42&gt;=F42,"-","+")</f>
        <v>+</v>
      </c>
      <c r="H42" s="26">
        <f>C42*D42</f>
        <v>345</v>
      </c>
      <c r="I42" s="26">
        <f>F42*D42</f>
        <v>351.10271950504711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37.9</v>
      </c>
      <c r="E43" s="107">
        <f>D43/$D$48</f>
        <v>8.5799017499377465E-3</v>
      </c>
      <c r="F43" s="28">
        <f>C43-(C43*$E$6)</f>
        <v>0.50884452102180744</v>
      </c>
      <c r="G43" s="27" t="str">
        <f>IF(C43&gt;=F43,"-","+")</f>
        <v>+</v>
      </c>
      <c r="H43" s="26">
        <f>C43*D43</f>
        <v>18.95</v>
      </c>
      <c r="I43" s="26">
        <f>F43*D43</f>
        <v>19.285207346726501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f>33.7+6.6</f>
        <v>40.300000000000004</v>
      </c>
      <c r="E44" s="107">
        <f>D44/$D$48</f>
        <v>9.123220066556496E-3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1.2224662123921856E-3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0.47046277145811793</v>
      </c>
      <c r="D46" s="22">
        <f>SUM(D41:D45)</f>
        <v>773.59999999999991</v>
      </c>
      <c r="E46" s="113">
        <f>D46/$D$48</f>
        <v>0.17512960405677677</v>
      </c>
      <c r="F46" s="20">
        <f>I46/D46</f>
        <v>0.47878480720239613</v>
      </c>
      <c r="G46" s="19">
        <f>F46/C46-1</f>
        <v>1.7689042043614878E-2</v>
      </c>
      <c r="H46" s="18">
        <f>SUM(H41:H44)</f>
        <v>363.95</v>
      </c>
      <c r="I46" s="18">
        <f>SUM(I41:I44)</f>
        <v>370.38792685177361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103.5237112131104</v>
      </c>
      <c r="D48" s="13">
        <f>D24+D32+D40+D46</f>
        <v>4417.2999999999993</v>
      </c>
      <c r="E48" s="12">
        <f>SUM(E20:E46)/2</f>
        <v>1</v>
      </c>
      <c r="F48" s="11">
        <f>I48/D48</f>
        <v>27.742222177853101</v>
      </c>
      <c r="G48" s="10"/>
      <c r="H48" s="9">
        <f>SUM(H20:H46)/2</f>
        <v>120415.68000000002</v>
      </c>
      <c r="I48" s="9">
        <f>SUM(I20:I46)/2</f>
        <v>122545.71802623048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11939.199999999999</v>
      </c>
      <c r="E50" s="12">
        <f>D50/G2</f>
        <v>0.99999999999999989</v>
      </c>
      <c r="F50" s="11">
        <f>I50/D50</f>
        <v>28.000000000000011</v>
      </c>
      <c r="G50" s="10"/>
      <c r="H50" s="9">
        <f>H48+H19</f>
        <v>328486.98</v>
      </c>
      <c r="I50" s="9">
        <f>I48+I19</f>
        <v>334297.60000000009</v>
      </c>
      <c r="J50" s="106">
        <f>D50-G2</f>
        <v>0</v>
      </c>
      <c r="K50" s="8"/>
    </row>
    <row r="51" spans="1:11" ht="23.25" x14ac:dyDescent="0.35">
      <c r="A51" s="174" t="s">
        <v>832</v>
      </c>
      <c r="B51" s="169"/>
      <c r="C51" s="170"/>
      <c r="G51" s="7"/>
      <c r="H51" s="6"/>
      <c r="I51" s="6">
        <f>+I50/D50</f>
        <v>28.000000000000011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831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831</v>
      </c>
      <c r="D2" s="96" t="s">
        <v>3</v>
      </c>
      <c r="E2" s="95" t="s">
        <v>71</v>
      </c>
      <c r="F2" s="94" t="s">
        <v>5</v>
      </c>
      <c r="G2" s="93">
        <v>15519.8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175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88.684571428571431</v>
      </c>
      <c r="F4" s="81" t="s">
        <v>12</v>
      </c>
      <c r="G4" s="80">
        <f>G2*G3</f>
        <v>434554.39999999997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-8.8575938129986653E-4</v>
      </c>
      <c r="F6" s="69" t="s">
        <v>16</v>
      </c>
      <c r="G6" s="68">
        <f>(I50-I19)/(D50-(SUM(D42:D44)+D19))</f>
        <v>33.824833426738898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28.024801262676398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29.225864173933957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26.623561199542578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29.225864173933957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32.628875755830379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26.923826927356966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36.83259594523183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54.248008158466455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47.441984994673611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209.6</v>
      </c>
      <c r="E21" s="29">
        <f>D21/$D$48</f>
        <v>1.3505328676915939E-2</v>
      </c>
      <c r="F21" s="28">
        <f>C21-(C21*$E$6)</f>
        <v>70.462357460443513</v>
      </c>
      <c r="G21" s="27" t="str">
        <f>IF(C21&gt;=F21,"-","+")</f>
        <v>+</v>
      </c>
      <c r="H21" s="26">
        <f>C21*D21</f>
        <v>14755.84</v>
      </c>
      <c r="I21" s="26">
        <f>F21*D21</f>
        <v>14768.91012370896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508.9</v>
      </c>
      <c r="E22" s="29">
        <f>D22/$D$48</f>
        <v>3.279037100993569E-2</v>
      </c>
      <c r="F22" s="28">
        <f>C22-(C22*$E$6)</f>
        <v>47.34189641873548</v>
      </c>
      <c r="G22" s="27" t="str">
        <f>IF(C22&gt;=F22,"-","+")</f>
        <v>+</v>
      </c>
      <c r="H22" s="26">
        <f>C22*D22</f>
        <v>24070.969999999998</v>
      </c>
      <c r="I22" s="26">
        <f>F22*D22</f>
        <v>24092.291087494486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377.2</v>
      </c>
      <c r="E23" s="29">
        <f>D23/$D$48</f>
        <v>2.4304436912846814E-2</v>
      </c>
      <c r="F23" s="28">
        <f>C23-(C23*$E$6)</f>
        <v>43.138176229334029</v>
      </c>
      <c r="G23" s="27" t="str">
        <f>IF(C23&gt;=F23,"-","+")</f>
        <v>+</v>
      </c>
      <c r="H23" s="26">
        <f>C23*D23</f>
        <v>16257.32</v>
      </c>
      <c r="I23" s="26">
        <f>F23*D23</f>
        <v>16271.720073704795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50.273003559368433</v>
      </c>
      <c r="D24" s="22">
        <f>SUM(D21:D23)</f>
        <v>1095.7</v>
      </c>
      <c r="E24" s="21">
        <f>D24/$D$48</f>
        <v>7.0600136599698451E-2</v>
      </c>
      <c r="F24" s="20">
        <f>I24/D24</f>
        <v>50.317533343897267</v>
      </c>
      <c r="G24" s="19">
        <f>F24/C24-1</f>
        <v>8.8575938129986653E-4</v>
      </c>
      <c r="H24" s="18">
        <f>SUM(H21:H23)</f>
        <v>55084.13</v>
      </c>
      <c r="I24" s="18">
        <f>SUM(I21:I23)</f>
        <v>55132.92128490824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3019.8</v>
      </c>
      <c r="E26" s="29">
        <f t="shared" ref="E26:E32" si="7">D26/$D$48</f>
        <v>0.19457724970682611</v>
      </c>
      <c r="F26" s="28">
        <f t="shared" ref="F26:F31" si="8">C26-(C26*$E$6)</f>
        <v>37.633304552736874</v>
      </c>
      <c r="G26" s="27" t="str">
        <f t="shared" ref="G26:G31" si="9">IF(C26&gt;=F26,"-","+")</f>
        <v>+</v>
      </c>
      <c r="H26" s="26">
        <f t="shared" ref="H26:H31" si="10">C26*D26</f>
        <v>113544.48000000001</v>
      </c>
      <c r="I26" s="26">
        <f t="shared" ref="I26:I31" si="11">F26*D26</f>
        <v>113645.05308835482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2541.8000000000002</v>
      </c>
      <c r="E27" s="29">
        <f t="shared" si="7"/>
        <v>0.16377788373561514</v>
      </c>
      <c r="F27" s="28">
        <f t="shared" si="8"/>
        <v>33.529672939273546</v>
      </c>
      <c r="G27" s="27" t="str">
        <f t="shared" si="9"/>
        <v>+</v>
      </c>
      <c r="H27" s="26">
        <f t="shared" si="10"/>
        <v>85150.3</v>
      </c>
      <c r="I27" s="26">
        <f t="shared" si="11"/>
        <v>85225.722677045502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1565.2</v>
      </c>
      <c r="E28" s="29">
        <f t="shared" si="7"/>
        <v>0.10085181510071006</v>
      </c>
      <c r="F28" s="28">
        <f t="shared" si="8"/>
        <v>33.529672939273546</v>
      </c>
      <c r="G28" s="27" t="str">
        <f t="shared" si="9"/>
        <v>+</v>
      </c>
      <c r="H28" s="26">
        <f t="shared" si="10"/>
        <v>52434.200000000004</v>
      </c>
      <c r="I28" s="26">
        <f t="shared" si="11"/>
        <v>52480.644084550957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1411.2</v>
      </c>
      <c r="E29" s="29">
        <f t="shared" si="7"/>
        <v>9.092900681709816E-2</v>
      </c>
      <c r="F29" s="28">
        <f t="shared" si="8"/>
        <v>32.32861002801598</v>
      </c>
      <c r="G29" s="27" t="str">
        <f t="shared" si="9"/>
        <v>+</v>
      </c>
      <c r="H29" s="26">
        <f t="shared" si="10"/>
        <v>45581.759999999995</v>
      </c>
      <c r="I29" s="26">
        <f t="shared" si="11"/>
        <v>45622.134471536156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929.1</v>
      </c>
      <c r="E30" s="29">
        <f t="shared" si="7"/>
        <v>5.9865462183791025E-2</v>
      </c>
      <c r="F30" s="28">
        <f t="shared" si="8"/>
        <v>32.32861002801598</v>
      </c>
      <c r="G30" s="27" t="str">
        <f t="shared" si="9"/>
        <v>+</v>
      </c>
      <c r="H30" s="26">
        <f t="shared" si="10"/>
        <v>30009.929999999997</v>
      </c>
      <c r="I30" s="26">
        <f t="shared" si="11"/>
        <v>30036.511577029647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447.1</v>
      </c>
      <c r="E31" s="29">
        <f t="shared" si="7"/>
        <v>2.8808360932486243E-2</v>
      </c>
      <c r="F31" s="28">
        <f t="shared" si="8"/>
        <v>32.929141483644763</v>
      </c>
      <c r="G31" s="27" t="str">
        <f t="shared" si="9"/>
        <v>+</v>
      </c>
      <c r="H31" s="26">
        <f t="shared" si="10"/>
        <v>14709.59</v>
      </c>
      <c r="I31" s="26">
        <f t="shared" si="11"/>
        <v>14722.619157337575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34.438508402089937</v>
      </c>
      <c r="D32" s="22">
        <f>SUM(D26:D31)</f>
        <v>9914.2000000000007</v>
      </c>
      <c r="E32" s="21">
        <f t="shared" si="7"/>
        <v>0.63880977847652676</v>
      </c>
      <c r="F32" s="20">
        <f>I32/D32</f>
        <v>34.469012633985059</v>
      </c>
      <c r="G32" s="19">
        <f>F32/C32-1</f>
        <v>8.8575938129986653E-4</v>
      </c>
      <c r="H32" s="18">
        <f>SUM(H26:H31)</f>
        <v>341430.26000000007</v>
      </c>
      <c r="I32" s="18">
        <f>SUM(I26:I31)</f>
        <v>341732.68505585467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1834.3</v>
      </c>
      <c r="E34" s="29">
        <f t="shared" ref="E34:E40" si="13">D34/$D$48</f>
        <v>0.1181909560690215</v>
      </c>
      <c r="F34" s="28">
        <f t="shared" ref="F34:F39" si="14">C34-(C34*$E$6)</f>
        <v>19.817538035749738</v>
      </c>
      <c r="G34" s="27" t="str">
        <f t="shared" ref="G34:G39" si="15">IF(C34&gt;=F34,"-","+")</f>
        <v>+</v>
      </c>
      <c r="H34" s="26">
        <f t="shared" ref="H34:H39" si="16">C34*D34</f>
        <v>36319.14</v>
      </c>
      <c r="I34" s="26">
        <f t="shared" ref="I34:I39" si="17">F34*D34</f>
        <v>36351.310018975746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15.213463542595758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12.210806264451858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32.32861002801598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32.32861002801598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33.529672939273546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1834.3</v>
      </c>
      <c r="E40" s="113">
        <f t="shared" si="13"/>
        <v>0.1181909560690215</v>
      </c>
      <c r="F40" s="20">
        <f>I40/D40</f>
        <v>19.817538035749738</v>
      </c>
      <c r="G40" s="19">
        <f>F40/C40-1</f>
        <v>8.8575938129986653E-4</v>
      </c>
      <c r="H40" s="18">
        <f>SUM(H34:H39)</f>
        <v>36319.14</v>
      </c>
      <c r="I40" s="18">
        <f>SUM(I34:I39)</f>
        <v>36351.310018975746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2550</v>
      </c>
      <c r="E42" s="107">
        <f>D42/$D$48</f>
        <v>0.16430624105980746</v>
      </c>
      <c r="F42" s="28">
        <f>C42-(C42*$E$6)</f>
        <v>0.50044287969064993</v>
      </c>
      <c r="G42" s="27" t="str">
        <f>IF(C42&gt;=F42,"-","+")</f>
        <v>+</v>
      </c>
      <c r="H42" s="26">
        <f>C42*D42</f>
        <v>1275</v>
      </c>
      <c r="I42" s="26">
        <f>F42*D42</f>
        <v>1276.1293432111572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122.6</v>
      </c>
      <c r="E43" s="107">
        <f>D43/$D$48</f>
        <v>7.8995863348754487E-3</v>
      </c>
      <c r="F43" s="28">
        <f>C43-(C43*$E$6)</f>
        <v>0.50044287969064993</v>
      </c>
      <c r="G43" s="27" t="str">
        <f>IF(C43&gt;=F43,"-","+")</f>
        <v>+</v>
      </c>
      <c r="H43" s="26">
        <f>C43*D43</f>
        <v>61.3</v>
      </c>
      <c r="I43" s="26">
        <f>F43*D43</f>
        <v>61.354297050073676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</v>
      </c>
      <c r="E45" s="107">
        <f>D45/$D$48</f>
        <v>1.9330146007036172E-4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0.49943937808342054</v>
      </c>
      <c r="D46" s="22">
        <f>SUM(D41:D45)</f>
        <v>2675.6</v>
      </c>
      <c r="E46" s="113">
        <f>D46/$D$48</f>
        <v>0.17239912885475325</v>
      </c>
      <c r="F46" s="20">
        <f>I46/D46</f>
        <v>0.49988176119794847</v>
      </c>
      <c r="G46" s="19">
        <f>F46/C46-1</f>
        <v>8.8575938129986653E-4</v>
      </c>
      <c r="H46" s="18">
        <f>SUM(H41:H44)</f>
        <v>1336.3</v>
      </c>
      <c r="I46" s="18">
        <f>SUM(I41:I44)</f>
        <v>1337.4836402612309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105.01095133954179</v>
      </c>
      <c r="D48" s="13">
        <f>D24+D32+D40+D46</f>
        <v>15519.800000000001</v>
      </c>
      <c r="E48" s="12">
        <f>SUM(E20:E46)/2</f>
        <v>1</v>
      </c>
      <c r="F48" s="11">
        <f>I48/D48</f>
        <v>27.999999999999993</v>
      </c>
      <c r="G48" s="10"/>
      <c r="H48" s="9">
        <f>SUM(H20:H46)/2</f>
        <v>434169.83000000007</v>
      </c>
      <c r="I48" s="9">
        <f>SUM(I20:I46)/2</f>
        <v>434554.39999999991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15519.8</v>
      </c>
      <c r="E50" s="12">
        <f>D50/G2</f>
        <v>1</v>
      </c>
      <c r="F50" s="11">
        <f>I50/D50</f>
        <v>27.999999999999996</v>
      </c>
      <c r="G50" s="10"/>
      <c r="H50" s="9">
        <f>H48+H19</f>
        <v>434169.83000000007</v>
      </c>
      <c r="I50" s="9">
        <f>I48+I19</f>
        <v>434554.39999999991</v>
      </c>
      <c r="J50" s="106">
        <f>D50-G2</f>
        <v>0</v>
      </c>
      <c r="K50" s="8"/>
    </row>
    <row r="51" spans="1:11" ht="23.25" x14ac:dyDescent="0.35">
      <c r="A51" s="174" t="s">
        <v>833</v>
      </c>
      <c r="B51" s="169"/>
      <c r="C51" s="170"/>
      <c r="G51" s="7"/>
      <c r="H51" s="6"/>
      <c r="I51" s="6">
        <f>+I50/D50</f>
        <v>27.999999999999996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831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834</v>
      </c>
      <c r="D2" s="96" t="s">
        <v>3</v>
      </c>
      <c r="E2" s="95" t="s">
        <v>71</v>
      </c>
      <c r="F2" s="94" t="s">
        <v>5</v>
      </c>
      <c r="G2" s="93">
        <v>8855.1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105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84.334285714285713</v>
      </c>
      <c r="F4" s="81" t="s">
        <v>12</v>
      </c>
      <c r="G4" s="80">
        <f>G2*G3</f>
        <v>247942.80000000002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-3.2401097412402047E-2</v>
      </c>
      <c r="F6" s="69" t="s">
        <v>16</v>
      </c>
      <c r="G6" s="68">
        <f>(I50-I19)/(D50-(SUM(D42:D44)+D19))</f>
        <v>33.914467825845584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28.907230727547258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954.8</v>
      </c>
      <c r="E11" s="29">
        <f t="shared" si="1"/>
        <v>0.63530507685142057</v>
      </c>
      <c r="F11" s="28">
        <f t="shared" si="2"/>
        <v>30.146112044442138</v>
      </c>
      <c r="G11" s="27" t="str">
        <f t="shared" si="3"/>
        <v>+</v>
      </c>
      <c r="H11" s="34">
        <f t="shared" si="4"/>
        <v>27880.159999999996</v>
      </c>
      <c r="I11" s="34">
        <f t="shared" si="5"/>
        <v>28783.507780033353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548.1</v>
      </c>
      <c r="E12" s="29">
        <f t="shared" si="1"/>
        <v>0.36469492314857943</v>
      </c>
      <c r="F12" s="28">
        <f t="shared" si="2"/>
        <v>27.461869191169896</v>
      </c>
      <c r="G12" s="27" t="str">
        <f t="shared" si="3"/>
        <v>+</v>
      </c>
      <c r="H12" s="34">
        <f t="shared" si="4"/>
        <v>14579.460000000001</v>
      </c>
      <c r="I12" s="34">
        <f t="shared" si="5"/>
        <v>15051.85050368022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30.146112044442138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33.65627577564431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27.771589520393615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37.99236038477639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55.956139479752196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48.935812017347857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28.25179319981369</v>
      </c>
      <c r="D19" s="49">
        <f>SUM(D10:D18)</f>
        <v>1502.9</v>
      </c>
      <c r="E19" s="48">
        <f t="shared" si="1"/>
        <v>1</v>
      </c>
      <c r="F19" s="47">
        <f>I19/D19</f>
        <v>29.167182303355894</v>
      </c>
      <c r="G19" s="46">
        <f>F19/C19-1</f>
        <v>3.2401097412402047E-2</v>
      </c>
      <c r="H19" s="9">
        <f>SUM(H10:H18)</f>
        <v>42459.619999999995</v>
      </c>
      <c r="I19" s="9">
        <f>SUM(I10:I18)</f>
        <v>43835.358283713576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91.4</v>
      </c>
      <c r="E21" s="29">
        <f>D21/$D$48</f>
        <v>1.2431653110633554E-2</v>
      </c>
      <c r="F21" s="28">
        <f>C21-(C21*$E$6)</f>
        <v>72.681037257833111</v>
      </c>
      <c r="G21" s="27" t="str">
        <f>IF(C21&gt;=F21,"-","+")</f>
        <v>+</v>
      </c>
      <c r="H21" s="26">
        <f>C21*D21</f>
        <v>6434.5600000000013</v>
      </c>
      <c r="I21" s="26">
        <f>F21*D21</f>
        <v>6643.046805365947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335.7</v>
      </c>
      <c r="E22" s="29">
        <f>D22/$D$48</f>
        <v>4.5659802508092817E-2</v>
      </c>
      <c r="F22" s="28">
        <f>C22-(C22*$E$6)</f>
        <v>48.832571907606614</v>
      </c>
      <c r="G22" s="27" t="str">
        <f>IF(C22&gt;=F22,"-","+")</f>
        <v>+</v>
      </c>
      <c r="H22" s="26">
        <f>C22*D22</f>
        <v>15878.609999999999</v>
      </c>
      <c r="I22" s="26">
        <f>F22*D22</f>
        <v>16393.094389383539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163.19999999999999</v>
      </c>
      <c r="E23" s="29">
        <f>D23/$D$48</f>
        <v>2.2197437501700171E-2</v>
      </c>
      <c r="F23" s="28">
        <f>C23-(C23*$E$6)</f>
        <v>44.496487298474527</v>
      </c>
      <c r="G23" s="27" t="str">
        <f>IF(C23&gt;=F23,"-","+")</f>
        <v>+</v>
      </c>
      <c r="H23" s="26">
        <f>C23*D23</f>
        <v>7033.92</v>
      </c>
      <c r="I23" s="26">
        <f>F23*D23</f>
        <v>7261.8267271110426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49.715551414534978</v>
      </c>
      <c r="D24" s="22">
        <f>SUM(D21:D23)</f>
        <v>590.29999999999995</v>
      </c>
      <c r="E24" s="21">
        <f>D24/$D$48</f>
        <v>8.028889312042653E-2</v>
      </c>
      <c r="F24" s="20">
        <f>I24/D24</f>
        <v>51.326389838828611</v>
      </c>
      <c r="G24" s="19">
        <f>F24/C24-1</f>
        <v>3.2401097412402047E-2</v>
      </c>
      <c r="H24" s="18">
        <f>SUM(H21:H23)</f>
        <v>29347.089999999997</v>
      </c>
      <c r="I24" s="18">
        <f>SUM(I21:I23)</f>
        <v>30297.967921860527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123+98+762.1</f>
        <v>983.1</v>
      </c>
      <c r="E26" s="29">
        <f t="shared" ref="E26:E32" si="7">D26/$D$48</f>
        <v>0.13371507847991079</v>
      </c>
      <c r="F26" s="28">
        <f t="shared" ref="F26:F31" si="8">C26-(C26*$E$6)</f>
        <v>38.818281262706321</v>
      </c>
      <c r="G26" s="27" t="str">
        <f t="shared" ref="G26:G31" si="9">IF(C26&gt;=F26,"-","+")</f>
        <v>+</v>
      </c>
      <c r="H26" s="26">
        <f t="shared" ref="H26:H31" si="10">C26*D26</f>
        <v>36964.560000000005</v>
      </c>
      <c r="I26" s="26">
        <f t="shared" ref="I26:I31" si="11">F26*D26</f>
        <v>38162.252309366588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1080.0999999999999</v>
      </c>
      <c r="E27" s="29">
        <f t="shared" si="7"/>
        <v>0.14690840836756344</v>
      </c>
      <c r="F27" s="28">
        <f t="shared" si="8"/>
        <v>34.585436763315471</v>
      </c>
      <c r="G27" s="27" t="str">
        <f t="shared" si="9"/>
        <v>+</v>
      </c>
      <c r="H27" s="26">
        <f t="shared" si="10"/>
        <v>36183.35</v>
      </c>
      <c r="I27" s="26">
        <f t="shared" si="11"/>
        <v>37355.730248057036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919.3</v>
      </c>
      <c r="E28" s="29">
        <f t="shared" si="7"/>
        <v>0.12503740377030004</v>
      </c>
      <c r="F28" s="28">
        <f t="shared" si="8"/>
        <v>34.585436763315471</v>
      </c>
      <c r="G28" s="27" t="str">
        <f t="shared" si="9"/>
        <v>+</v>
      </c>
      <c r="H28" s="26">
        <f t="shared" si="10"/>
        <v>30796.55</v>
      </c>
      <c r="I28" s="26">
        <f t="shared" si="11"/>
        <v>31794.392016515911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689</v>
      </c>
      <c r="E29" s="29">
        <f t="shared" si="7"/>
        <v>9.3713446315388596E-2</v>
      </c>
      <c r="F29" s="28">
        <f t="shared" si="8"/>
        <v>33.346555446420581</v>
      </c>
      <c r="G29" s="27" t="str">
        <f t="shared" si="9"/>
        <v>+</v>
      </c>
      <c r="H29" s="26">
        <f t="shared" si="10"/>
        <v>22254.699999999997</v>
      </c>
      <c r="I29" s="26">
        <f t="shared" si="11"/>
        <v>22975.776702583782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414.2</v>
      </c>
      <c r="E30" s="29">
        <f t="shared" si="7"/>
        <v>5.6336878757378743E-2</v>
      </c>
      <c r="F30" s="28">
        <f t="shared" si="8"/>
        <v>33.346555446420581</v>
      </c>
      <c r="G30" s="27" t="str">
        <f t="shared" si="9"/>
        <v>+</v>
      </c>
      <c r="H30" s="26">
        <f t="shared" si="10"/>
        <v>13378.659999999998</v>
      </c>
      <c r="I30" s="26">
        <f t="shared" si="11"/>
        <v>13812.143265907403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122.2</v>
      </c>
      <c r="E31" s="29">
        <f t="shared" si="7"/>
        <v>1.6620875384238731E-2</v>
      </c>
      <c r="F31" s="28">
        <f t="shared" si="8"/>
        <v>33.965996104868026</v>
      </c>
      <c r="G31" s="27" t="str">
        <f t="shared" si="9"/>
        <v>+</v>
      </c>
      <c r="H31" s="26">
        <f t="shared" si="10"/>
        <v>4020.38</v>
      </c>
      <c r="I31" s="26">
        <f t="shared" si="11"/>
        <v>4150.6447240148727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34.125858504242025</v>
      </c>
      <c r="D32" s="22">
        <f>SUM(D26:D31)</f>
        <v>4207.8999999999996</v>
      </c>
      <c r="E32" s="21">
        <f t="shared" si="7"/>
        <v>0.57233209107478034</v>
      </c>
      <c r="F32" s="20">
        <f>I32/D32</f>
        <v>35.231573769919819</v>
      </c>
      <c r="G32" s="19">
        <f>F32/C32-1</f>
        <v>3.2401097412402047E-2</v>
      </c>
      <c r="H32" s="18">
        <f>SUM(H26:H31)</f>
        <v>143598.20000000001</v>
      </c>
      <c r="I32" s="18">
        <f>SUM(I26:I31)</f>
        <v>148250.93926644558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1217</v>
      </c>
      <c r="E34" s="29">
        <f t="shared" ref="E34:E40" si="13">D34/$D$48</f>
        <v>0.16552868529147738</v>
      </c>
      <c r="F34" s="28">
        <f t="shared" ref="F34:F39" si="14">C34-(C34*$E$6)</f>
        <v>20.441541728765561</v>
      </c>
      <c r="G34" s="27" t="str">
        <f t="shared" ref="G34:G39" si="15">IF(C34&gt;=F34,"-","+")</f>
        <v>+</v>
      </c>
      <c r="H34" s="26">
        <f t="shared" ref="H34:H39" si="16">C34*D34</f>
        <v>24096.600000000002</v>
      </c>
      <c r="I34" s="26">
        <f t="shared" ref="I34:I39" si="17">F34*D34</f>
        <v>24877.356283907688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15.69249668066851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12.595293388431305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33.346555446420581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33.346555446420581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34.585436763315471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1217</v>
      </c>
      <c r="E40" s="113">
        <f t="shared" si="13"/>
        <v>0.16552868529147738</v>
      </c>
      <c r="F40" s="20">
        <f>I40/D40</f>
        <v>20.441541728765561</v>
      </c>
      <c r="G40" s="19">
        <f>F40/C40-1</f>
        <v>3.2401097412402047E-2</v>
      </c>
      <c r="H40" s="18">
        <f>SUM(H34:H39)</f>
        <v>24096.600000000002</v>
      </c>
      <c r="I40" s="18">
        <f>SUM(I34:I39)</f>
        <v>24877.356283907688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1252</v>
      </c>
      <c r="E42" s="107">
        <f>D42/$D$48</f>
        <v>0.17028916514784689</v>
      </c>
      <c r="F42" s="28">
        <f>C42-(C42*$E$6)</f>
        <v>0.51620054870620102</v>
      </c>
      <c r="G42" s="27" t="str">
        <f>IF(C42&gt;=F42,"-","+")</f>
        <v>+</v>
      </c>
      <c r="H42" s="26">
        <f>C42*D42</f>
        <v>626</v>
      </c>
      <c r="I42" s="26">
        <f>F42*D42</f>
        <v>646.28308698016372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67.599999999999994</v>
      </c>
      <c r="E43" s="107">
        <f>D43/$D$48</f>
        <v>9.1945268083022755E-3</v>
      </c>
      <c r="F43" s="28">
        <f>C43-(C43*$E$6)</f>
        <v>0.51620054870620102</v>
      </c>
      <c r="G43" s="27" t="str">
        <f>IF(C43&gt;=F43,"-","+")</f>
        <v>+</v>
      </c>
      <c r="H43" s="26">
        <f>C43*D43</f>
        <v>33.799999999999997</v>
      </c>
      <c r="I43" s="26">
        <f>F43*D43</f>
        <v>34.895157092539186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14.3</v>
      </c>
      <c r="E44" s="107">
        <f>D44/$D$48</f>
        <v>1.9449960556024049E-3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3.1</v>
      </c>
      <c r="E45" s="107">
        <f>D45/$D$48</f>
        <v>4.2164250156415768E-4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0.49349289454001499</v>
      </c>
      <c r="D46" s="22">
        <f>SUM(D41:D45)</f>
        <v>1336.9999999999998</v>
      </c>
      <c r="E46" s="113">
        <f>D46/$D$48</f>
        <v>0.18185033051331573</v>
      </c>
      <c r="F46" s="20">
        <f>I46/D46</f>
        <v>0.50948260588833438</v>
      </c>
      <c r="G46" s="19">
        <f>F46/C46-1</f>
        <v>3.2401097412402269E-2</v>
      </c>
      <c r="H46" s="18">
        <f>SUM(H41:H44)</f>
        <v>659.8</v>
      </c>
      <c r="I46" s="18">
        <f>SUM(I41:I44)</f>
        <v>681.17824407270291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104.13490281331701</v>
      </c>
      <c r="D48" s="13">
        <f>D24+D32+D40+D46</f>
        <v>7352.2</v>
      </c>
      <c r="E48" s="12">
        <f>SUM(E20:E46)/2</f>
        <v>1</v>
      </c>
      <c r="F48" s="11">
        <f>I48/D48</f>
        <v>27.761410423585662</v>
      </c>
      <c r="G48" s="10"/>
      <c r="H48" s="9">
        <f>SUM(H20:H46)/2</f>
        <v>197701.68999999994</v>
      </c>
      <c r="I48" s="9">
        <f>SUM(I20:I46)/2</f>
        <v>204107.4417162865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8855.1</v>
      </c>
      <c r="E50" s="12">
        <f>D50/G2</f>
        <v>1</v>
      </c>
      <c r="F50" s="11">
        <f>I50/D50</f>
        <v>28.000000000000007</v>
      </c>
      <c r="G50" s="10"/>
      <c r="H50" s="9">
        <f>H48+H19</f>
        <v>240161.30999999994</v>
      </c>
      <c r="I50" s="9">
        <f>I48+I19</f>
        <v>247942.80000000008</v>
      </c>
      <c r="J50" s="106">
        <f>D50-G2</f>
        <v>0</v>
      </c>
      <c r="K50" s="8"/>
    </row>
    <row r="51" spans="1:11" ht="23.25" x14ac:dyDescent="0.35">
      <c r="A51" s="174" t="s">
        <v>835</v>
      </c>
      <c r="B51" s="169"/>
      <c r="C51" s="170"/>
      <c r="G51" s="7"/>
      <c r="H51" s="6"/>
      <c r="I51" s="6">
        <f>+I50/D50</f>
        <v>28.000000000000007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819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834</v>
      </c>
      <c r="D2" s="96" t="s">
        <v>3</v>
      </c>
      <c r="E2" s="95" t="s">
        <v>71</v>
      </c>
      <c r="F2" s="94" t="s">
        <v>5</v>
      </c>
      <c r="G2" s="116">
        <v>5992.6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85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70.501176470588234</v>
      </c>
      <c r="F4" s="81" t="s">
        <v>12</v>
      </c>
      <c r="G4" s="80">
        <f>G2*G3</f>
        <v>167792.80000000002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-7.1116054185889066E-3</v>
      </c>
      <c r="F6" s="69" t="s">
        <v>16</v>
      </c>
      <c r="G6" s="68">
        <f>(I50-I19)/(D50-(SUM(D42:D44)+D19))</f>
        <v>32.930217494731529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28.199124951720488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66.2</v>
      </c>
      <c r="E11" s="29">
        <f t="shared" si="1"/>
        <v>4.4930093660920323E-2</v>
      </c>
      <c r="F11" s="28">
        <f t="shared" si="2"/>
        <v>29.407658878222794</v>
      </c>
      <c r="G11" s="27" t="str">
        <f t="shared" si="3"/>
        <v>+</v>
      </c>
      <c r="H11" s="34">
        <f t="shared" si="4"/>
        <v>1933.04</v>
      </c>
      <c r="I11" s="34">
        <f t="shared" si="5"/>
        <v>1946.787017738349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26.789168704134465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901.2</v>
      </c>
      <c r="E13" s="29">
        <f t="shared" si="1"/>
        <v>0.61164653183113882</v>
      </c>
      <c r="F13" s="28">
        <f t="shared" si="2"/>
        <v>29.407658878222794</v>
      </c>
      <c r="G13" s="27" t="str">
        <f t="shared" si="3"/>
        <v>+</v>
      </c>
      <c r="H13" s="34">
        <f t="shared" si="4"/>
        <v>26315.040000000001</v>
      </c>
      <c r="I13" s="34">
        <f t="shared" si="5"/>
        <v>26502.182181054384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506</v>
      </c>
      <c r="E14" s="29">
        <f t="shared" si="1"/>
        <v>0.3434233745079408</v>
      </c>
      <c r="F14" s="28">
        <f t="shared" si="2"/>
        <v>32.831838336646001</v>
      </c>
      <c r="G14" s="27" t="str">
        <f t="shared" si="3"/>
        <v>+</v>
      </c>
      <c r="H14" s="34">
        <f t="shared" si="4"/>
        <v>16495.600000000002</v>
      </c>
      <c r="I14" s="34">
        <f t="shared" si="5"/>
        <v>16612.910198342877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27.091302185760039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37.061707079404066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54.585449013687523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47.737090096841115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30.367639473327003</v>
      </c>
      <c r="D19" s="49">
        <f>SUM(D10:D18)</f>
        <v>1473.4</v>
      </c>
      <c r="E19" s="48">
        <f t="shared" si="1"/>
        <v>1</v>
      </c>
      <c r="F19" s="47">
        <f>I19/D19</f>
        <v>30.583602142755261</v>
      </c>
      <c r="G19" s="46">
        <f>F19/C19-1</f>
        <v>7.1116054185886846E-3</v>
      </c>
      <c r="H19" s="9">
        <f>SUM(H10:H18)</f>
        <v>44743.680000000008</v>
      </c>
      <c r="I19" s="9">
        <f>SUM(I10:I18)</f>
        <v>45061.879397135606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77.900000000000006</v>
      </c>
      <c r="E21" s="29">
        <f>D21/$D$48</f>
        <v>1.7239090023900151E-2</v>
      </c>
      <c r="F21" s="28">
        <f>C21-(C21*$E$6)</f>
        <v>70.90065702146866</v>
      </c>
      <c r="G21" s="27" t="str">
        <f>IF(C21&gt;=F21,"-","+")</f>
        <v>+</v>
      </c>
      <c r="H21" s="26">
        <f>C21*D21</f>
        <v>5484.1600000000008</v>
      </c>
      <c r="I21" s="26">
        <f>F21*D21</f>
        <v>5523.1611819724094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140.4</v>
      </c>
      <c r="E22" s="29">
        <f>D22/$D$48</f>
        <v>3.1070195627157654E-2</v>
      </c>
      <c r="F22" s="28">
        <f>C22-(C22*$E$6)</f>
        <v>47.636378936299252</v>
      </c>
      <c r="G22" s="27" t="str">
        <f>IF(C22&gt;=F22,"-","+")</f>
        <v>+</v>
      </c>
      <c r="H22" s="26">
        <f>C22*D22</f>
        <v>6640.92</v>
      </c>
      <c r="I22" s="26">
        <f>F22*D22</f>
        <v>6688.1476026564151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155.1</v>
      </c>
      <c r="E23" s="29">
        <f>D23/$D$48</f>
        <v>3.4323271665043814E-2</v>
      </c>
      <c r="F23" s="28">
        <f>C23-(C23*$E$6)</f>
        <v>43.40651019354118</v>
      </c>
      <c r="G23" s="27" t="str">
        <f>IF(C23&gt;=F23,"-","+")</f>
        <v>+</v>
      </c>
      <c r="H23" s="26">
        <f>C23*D23</f>
        <v>6684.81</v>
      </c>
      <c r="I23" s="26">
        <f>F23*D23</f>
        <v>6732.3497310182365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50.374638457418328</v>
      </c>
      <c r="D24" s="22">
        <f>SUM(D21:D23)</f>
        <v>373.4</v>
      </c>
      <c r="E24" s="21">
        <f>D24/$D$48</f>
        <v>8.2632557316101612E-2</v>
      </c>
      <c r="F24" s="20">
        <f>I24/D24</f>
        <v>50.732883009231557</v>
      </c>
      <c r="G24" s="19">
        <f>F24/C24-1</f>
        <v>7.1116054185889066E-3</v>
      </c>
      <c r="H24" s="18">
        <f>SUM(H21:H23)</f>
        <v>18809.890000000003</v>
      </c>
      <c r="I24" s="18">
        <f>SUM(I21:I23)</f>
        <v>18943.658515647061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376</v>
      </c>
      <c r="E26" s="29">
        <f t="shared" ref="E26:E32" si="7">D26/$D$48</f>
        <v>8.3207931309197125E-2</v>
      </c>
      <c r="F26" s="28">
        <f t="shared" ref="F26:F31" si="8">C26-(C26*$E$6)</f>
        <v>37.867396363738948</v>
      </c>
      <c r="G26" s="27" t="str">
        <f t="shared" ref="G26:G31" si="9">IF(C26&gt;=F26,"-","+")</f>
        <v>+</v>
      </c>
      <c r="H26" s="26">
        <f t="shared" ref="H26:H31" si="10">C26*D26</f>
        <v>14137.6</v>
      </c>
      <c r="I26" s="26">
        <f t="shared" ref="I26:I31" si="11">F26*D26</f>
        <v>14238.141032765845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756.4</v>
      </c>
      <c r="E27" s="29">
        <f t="shared" si="7"/>
        <v>0.16738957245286357</v>
      </c>
      <c r="F27" s="28">
        <f t="shared" si="8"/>
        <v>33.738238781522732</v>
      </c>
      <c r="G27" s="27" t="str">
        <f t="shared" si="9"/>
        <v>+</v>
      </c>
      <c r="H27" s="26">
        <f t="shared" si="10"/>
        <v>25339.399999999998</v>
      </c>
      <c r="I27" s="26">
        <f t="shared" si="11"/>
        <v>25519.603814343795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f>661.2-161</f>
        <v>500.20000000000005</v>
      </c>
      <c r="E28" s="29">
        <f t="shared" si="7"/>
        <v>0.11069310436399045</v>
      </c>
      <c r="F28" s="28">
        <f t="shared" si="8"/>
        <v>33.738238781522732</v>
      </c>
      <c r="G28" s="27" t="str">
        <f t="shared" si="9"/>
        <v>+</v>
      </c>
      <c r="H28" s="26">
        <f t="shared" si="10"/>
        <v>16756.7</v>
      </c>
      <c r="I28" s="26">
        <f t="shared" si="11"/>
        <v>16875.867038517674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519.4</v>
      </c>
      <c r="E29" s="29">
        <f t="shared" si="7"/>
        <v>0.11494202000531113</v>
      </c>
      <c r="F29" s="28">
        <f t="shared" si="8"/>
        <v>32.52970485502042</v>
      </c>
      <c r="G29" s="27" t="str">
        <f t="shared" si="9"/>
        <v>+</v>
      </c>
      <c r="H29" s="26">
        <f t="shared" si="10"/>
        <v>16776.62</v>
      </c>
      <c r="I29" s="26">
        <f t="shared" si="11"/>
        <v>16895.928701697605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444.4</v>
      </c>
      <c r="E30" s="29">
        <f t="shared" si="7"/>
        <v>9.8344693281402135E-2</v>
      </c>
      <c r="F30" s="28">
        <f t="shared" si="8"/>
        <v>32.52970485502042</v>
      </c>
      <c r="G30" s="27" t="str">
        <f t="shared" si="9"/>
        <v>+</v>
      </c>
      <c r="H30" s="26">
        <f t="shared" si="10"/>
        <v>14354.119999999997</v>
      </c>
      <c r="I30" s="26">
        <f t="shared" si="11"/>
        <v>14456.200837571074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29.8</v>
      </c>
      <c r="E31" s="29">
        <f t="shared" si="7"/>
        <v>6.5946711516331772E-3</v>
      </c>
      <c r="F31" s="28">
        <f t="shared" si="8"/>
        <v>33.133971818271576</v>
      </c>
      <c r="G31" s="27" t="str">
        <f t="shared" si="9"/>
        <v>+</v>
      </c>
      <c r="H31" s="26">
        <f t="shared" si="10"/>
        <v>980.42</v>
      </c>
      <c r="I31" s="26">
        <f t="shared" si="11"/>
        <v>987.39236018449299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33.63980656461807</v>
      </c>
      <c r="D32" s="22">
        <f>SUM(D26:D31)</f>
        <v>2626.2000000000003</v>
      </c>
      <c r="E32" s="21">
        <f t="shared" si="7"/>
        <v>0.58117199256439767</v>
      </c>
      <c r="F32" s="20">
        <f>I32/D32</f>
        <v>33.879039595263301</v>
      </c>
      <c r="G32" s="19">
        <f>F32/C32-1</f>
        <v>7.1116054185891286E-3</v>
      </c>
      <c r="H32" s="18">
        <f>SUM(H26:H31)</f>
        <v>88344.859999999986</v>
      </c>
      <c r="I32" s="18">
        <f>SUM(I26:I31)</f>
        <v>88973.133785080485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723.4</v>
      </c>
      <c r="E34" s="29">
        <f t="shared" ref="E34:E40" si="13">D34/$D$48</f>
        <v>0.16008674869434361</v>
      </c>
      <c r="F34" s="28">
        <f t="shared" ref="F34:F39" si="14">C34-(C34*$E$6)</f>
        <v>19.94080978728806</v>
      </c>
      <c r="G34" s="27" t="str">
        <f t="shared" ref="G34:G39" si="15">IF(C34&gt;=F34,"-","+")</f>
        <v>+</v>
      </c>
      <c r="H34" s="26">
        <f t="shared" ref="H34:H39" si="16">C34*D34</f>
        <v>14323.32</v>
      </c>
      <c r="I34" s="26">
        <f t="shared" ref="I34:I39" si="17">F34*D34</f>
        <v>14425.181800124183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15.308096402362551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12.286761586106785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32.52970485502042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32.52970485502042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33.738238781522732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723.4</v>
      </c>
      <c r="E40" s="113">
        <f t="shared" si="13"/>
        <v>0.16008674869434361</v>
      </c>
      <c r="F40" s="20">
        <f>I40/D40</f>
        <v>19.94080978728806</v>
      </c>
      <c r="G40" s="19">
        <f>F40/C40-1</f>
        <v>7.1116054185889066E-3</v>
      </c>
      <c r="H40" s="18">
        <f>SUM(H34:H39)</f>
        <v>14323.32</v>
      </c>
      <c r="I40" s="18">
        <f>SUM(I34:I39)</f>
        <v>14425.181800124183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726</v>
      </c>
      <c r="E42" s="107">
        <f>D42/$D$48</f>
        <v>0.16066212268743912</v>
      </c>
      <c r="F42" s="28">
        <f>C42-(C42*$E$6)</f>
        <v>0.50355580270929445</v>
      </c>
      <c r="G42" s="27" t="str">
        <f>IF(C42&gt;=F42,"-","+")</f>
        <v>+</v>
      </c>
      <c r="H42" s="26">
        <f>C42*D42</f>
        <v>363</v>
      </c>
      <c r="I42" s="26">
        <f>F42*D42</f>
        <v>365.58151276694775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46.4</v>
      </c>
      <c r="E43" s="107">
        <f>D43/$D$48</f>
        <v>1.0268212799858369E-2</v>
      </c>
      <c r="F43" s="28">
        <f>C43-(C43*$E$6)</f>
        <v>0.50355580270929445</v>
      </c>
      <c r="G43" s="27" t="str">
        <f>IF(C43&gt;=F43,"-","+")</f>
        <v>+</v>
      </c>
      <c r="H43" s="26">
        <f>C43*D43</f>
        <v>23.2</v>
      </c>
      <c r="I43" s="26">
        <f>F43*D43</f>
        <v>23.364989245711261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19.399999999999999</v>
      </c>
      <c r="E44" s="107">
        <f>D44/$D$48</f>
        <v>4.2931751792511285E-3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8.8519075860848007E-4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0.48529781352098517</v>
      </c>
      <c r="D46" s="22">
        <f>SUM(D41:D45)</f>
        <v>795.8</v>
      </c>
      <c r="E46" s="113">
        <f>D46/$D$48</f>
        <v>0.17610870142515711</v>
      </c>
      <c r="F46" s="20">
        <f>I46/D46</f>
        <v>0.48874906008125041</v>
      </c>
      <c r="G46" s="19">
        <f>F46/C46-1</f>
        <v>7.1116054185891286E-3</v>
      </c>
      <c r="H46" s="18">
        <f>SUM(H41:H44)</f>
        <v>386.2</v>
      </c>
      <c r="I46" s="18">
        <f>SUM(I41:I44)</f>
        <v>388.94650201265904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104.29974283555738</v>
      </c>
      <c r="D48" s="13">
        <f>D24+D32+D40+D46</f>
        <v>4518.8</v>
      </c>
      <c r="E48" s="12">
        <f>SUM(E20:E46)/2</f>
        <v>1</v>
      </c>
      <c r="F48" s="11">
        <f>I48/D48</f>
        <v>27.160069178291664</v>
      </c>
      <c r="G48" s="10"/>
      <c r="H48" s="9">
        <f>SUM(H20:H46)/2</f>
        <v>121864.27</v>
      </c>
      <c r="I48" s="9">
        <f>SUM(I20:I46)/2</f>
        <v>122730.92060286438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5992.1999999999989</v>
      </c>
      <c r="E50" s="12">
        <f>D50/G2</f>
        <v>0.99993325100957819</v>
      </c>
      <c r="F50" s="11">
        <f>I50/D50</f>
        <v>28.001869096492111</v>
      </c>
      <c r="G50" s="10"/>
      <c r="H50" s="9">
        <f>H48+H19</f>
        <v>166607.95000000001</v>
      </c>
      <c r="I50" s="9">
        <f>I48+I19</f>
        <v>167792.8</v>
      </c>
      <c r="J50" s="106">
        <f>D50-G2</f>
        <v>-0.40000000000145519</v>
      </c>
      <c r="K50" s="8"/>
    </row>
    <row r="51" spans="1:11" ht="23.25" x14ac:dyDescent="0.35">
      <c r="A51" s="174" t="s">
        <v>836</v>
      </c>
      <c r="B51" s="169"/>
      <c r="C51" s="170"/>
      <c r="G51" s="7"/>
      <c r="H51" s="6"/>
      <c r="I51" s="6">
        <f>+I50/D50</f>
        <v>28.001869096492111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834</v>
      </c>
      <c r="D1" s="100" t="s">
        <v>1</v>
      </c>
      <c r="E1" s="168" t="s">
        <v>750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834</v>
      </c>
      <c r="D2" s="96" t="s">
        <v>3</v>
      </c>
      <c r="E2" s="95" t="s">
        <v>71</v>
      </c>
      <c r="F2" s="94" t="s">
        <v>5</v>
      </c>
      <c r="G2" s="93">
        <v>1780.8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20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89.039999999999992</v>
      </c>
      <c r="F4" s="81" t="s">
        <v>12</v>
      </c>
      <c r="G4" s="80">
        <f>G2*G3</f>
        <v>49862.400000000001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2.3681112492085488E-3</v>
      </c>
      <c r="F6" s="69" t="s">
        <v>16</v>
      </c>
      <c r="G6" s="68">
        <f>(I50-I19)/(D50-(SUM(D42:D44)+D19))</f>
        <v>32.984322286167888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27.933692885022161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29.13085115152311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26.537008240771055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29.13085115152311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32.522799573275805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26.836297807396289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36.71285350602912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54.071648370292898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47.287751526787517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13.4</v>
      </c>
      <c r="E21" s="29">
        <f>D21/$D$48</f>
        <v>7.5247079964061098E-3</v>
      </c>
      <c r="F21" s="28">
        <f>C21-(C21*$E$6)</f>
        <v>70.233284968055727</v>
      </c>
      <c r="G21" s="27" t="str">
        <f>IF(C21&gt;=F21,"-","+")</f>
        <v>-</v>
      </c>
      <c r="H21" s="26">
        <f>C21*D21</f>
        <v>943.36000000000013</v>
      </c>
      <c r="I21" s="26">
        <f>F21*D21</f>
        <v>941.12601857194682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79.900000000000006</v>
      </c>
      <c r="E22" s="29">
        <f>D22/$D$48</f>
        <v>4.4867475292003599E-2</v>
      </c>
      <c r="F22" s="28">
        <f>C22-(C22*$E$6)</f>
        <v>47.187988337912429</v>
      </c>
      <c r="G22" s="27" t="str">
        <f>IF(C22&gt;=F22,"-","+")</f>
        <v>-</v>
      </c>
      <c r="H22" s="26">
        <f>C22*D22</f>
        <v>3779.27</v>
      </c>
      <c r="I22" s="26">
        <f>F22*D22</f>
        <v>3770.3202681992034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24.4</v>
      </c>
      <c r="E23" s="29">
        <f>D23/$D$48</f>
        <v>1.3701707097933512E-2</v>
      </c>
      <c r="F23" s="28">
        <f>C23-(C23*$E$6)</f>
        <v>42.997934405159114</v>
      </c>
      <c r="G23" s="27" t="str">
        <f>IF(C23&gt;=F23,"-","+")</f>
        <v>-</v>
      </c>
      <c r="H23" s="26">
        <f>C23*D23</f>
        <v>1051.6399999999999</v>
      </c>
      <c r="I23" s="26">
        <f>F23*D23</f>
        <v>1049.1495994858824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49.059218351741713</v>
      </c>
      <c r="D24" s="22">
        <f>SUM(D21:D23)</f>
        <v>117.70000000000002</v>
      </c>
      <c r="E24" s="21">
        <f>D24/$D$48</f>
        <v>6.6093890386343224E-2</v>
      </c>
      <c r="F24" s="20">
        <f>I24/D24</f>
        <v>48.943040664885572</v>
      </c>
      <c r="G24" s="19">
        <f>F24/C24-1</f>
        <v>-2.3681112492085488E-3</v>
      </c>
      <c r="H24" s="18">
        <f>SUM(H21:H23)</f>
        <v>5774.27</v>
      </c>
      <c r="I24" s="18">
        <f>SUM(I21:I23)</f>
        <v>5760.5958862570324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200.2</v>
      </c>
      <c r="E26" s="29">
        <f t="shared" ref="E26:E32" si="7">D26/$D$48</f>
        <v>0.11242138364779874</v>
      </c>
      <c r="F26" s="28">
        <f t="shared" ref="F26:F31" si="8">C26-(C26*$E$6)</f>
        <v>37.510959017029762</v>
      </c>
      <c r="G26" s="27" t="str">
        <f t="shared" ref="G26:G31" si="9">IF(C26&gt;=F26,"-","+")</f>
        <v>-</v>
      </c>
      <c r="H26" s="26">
        <f t="shared" ref="H26:H31" si="10">C26*D26</f>
        <v>7527.5199999999995</v>
      </c>
      <c r="I26" s="26">
        <f t="shared" ref="I26:I31" si="11">F26*D26</f>
        <v>7509.693995209358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366.4</v>
      </c>
      <c r="E27" s="29">
        <f t="shared" si="7"/>
        <v>0.20575022461814915</v>
      </c>
      <c r="F27" s="28">
        <f t="shared" si="8"/>
        <v>33.420668273151513</v>
      </c>
      <c r="G27" s="27" t="str">
        <f t="shared" si="9"/>
        <v>-</v>
      </c>
      <c r="H27" s="26">
        <f t="shared" si="10"/>
        <v>12274.4</v>
      </c>
      <c r="I27" s="26">
        <f t="shared" si="11"/>
        <v>12245.332855282713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243.8</v>
      </c>
      <c r="E28" s="29">
        <f t="shared" si="7"/>
        <v>0.13690476190476192</v>
      </c>
      <c r="F28" s="28">
        <f t="shared" si="8"/>
        <v>33.420668273151513</v>
      </c>
      <c r="G28" s="27" t="str">
        <f t="shared" si="9"/>
        <v>-</v>
      </c>
      <c r="H28" s="26">
        <f t="shared" si="10"/>
        <v>8167.3</v>
      </c>
      <c r="I28" s="26">
        <f t="shared" si="11"/>
        <v>8147.9589249943392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260.60000000000002</v>
      </c>
      <c r="E29" s="29">
        <f t="shared" si="7"/>
        <v>0.14633872416891286</v>
      </c>
      <c r="F29" s="28">
        <f t="shared" si="8"/>
        <v>32.223510006650564</v>
      </c>
      <c r="G29" s="27" t="str">
        <f t="shared" si="9"/>
        <v>-</v>
      </c>
      <c r="H29" s="26">
        <f t="shared" si="10"/>
        <v>8417.3799999999992</v>
      </c>
      <c r="I29" s="26">
        <f t="shared" si="11"/>
        <v>8397.4467077331374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76.8</v>
      </c>
      <c r="E30" s="29">
        <f t="shared" si="7"/>
        <v>4.3126684636118601E-2</v>
      </c>
      <c r="F30" s="28">
        <f t="shared" si="8"/>
        <v>32.223510006650564</v>
      </c>
      <c r="G30" s="27" t="str">
        <f t="shared" si="9"/>
        <v>-</v>
      </c>
      <c r="H30" s="26">
        <f t="shared" si="10"/>
        <v>2480.64</v>
      </c>
      <c r="I30" s="26">
        <f t="shared" si="11"/>
        <v>2474.7655685107634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27</v>
      </c>
      <c r="E31" s="29">
        <f t="shared" si="7"/>
        <v>1.5161725067385445E-2</v>
      </c>
      <c r="F31" s="28">
        <f t="shared" si="8"/>
        <v>32.822089139901038</v>
      </c>
      <c r="G31" s="27" t="str">
        <f t="shared" si="9"/>
        <v>-</v>
      </c>
      <c r="H31" s="26">
        <f t="shared" si="10"/>
        <v>888.3</v>
      </c>
      <c r="I31" s="26">
        <f t="shared" si="11"/>
        <v>886.19640677732809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33.840262172284646</v>
      </c>
      <c r="D32" s="22">
        <f>SUM(D26:D31)</f>
        <v>1174.8</v>
      </c>
      <c r="E32" s="21">
        <f t="shared" si="7"/>
        <v>0.65970350404312672</v>
      </c>
      <c r="F32" s="20">
        <f>I32/D32</f>
        <v>33.760124666758294</v>
      </c>
      <c r="G32" s="19">
        <f>F32/C32-1</f>
        <v>-2.3681112492085488E-3</v>
      </c>
      <c r="H32" s="18">
        <f>SUM(H26:H31)</f>
        <v>39755.54</v>
      </c>
      <c r="I32" s="18">
        <f>SUM(I26:I31)</f>
        <v>39661.394458507639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218</v>
      </c>
      <c r="E34" s="29">
        <f t="shared" ref="E34:E40" si="13">D34/$D$48</f>
        <v>0.12241689128481581</v>
      </c>
      <c r="F34" s="28">
        <f t="shared" ref="F34:F39" si="14">C34-(C34*$E$6)</f>
        <v>19.75311139726567</v>
      </c>
      <c r="G34" s="27" t="str">
        <f t="shared" ref="G34:G39" si="15">IF(C34&gt;=F34,"-","+")</f>
        <v>-</v>
      </c>
      <c r="H34" s="26">
        <f t="shared" ref="H34:H39" si="16">C34*D34</f>
        <v>4316.4000000000005</v>
      </c>
      <c r="I34" s="26">
        <f t="shared" ref="I34:I39" si="17">F34*D34</f>
        <v>4306.1782846039159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15.16400470901203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12.171109042759655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32.223510006650564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32.223510006650564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33.420668273151513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19.800000000000004</v>
      </c>
      <c r="D40" s="22">
        <f>SUM(D34:D39)</f>
        <v>218</v>
      </c>
      <c r="E40" s="113">
        <f t="shared" si="13"/>
        <v>0.12241689128481581</v>
      </c>
      <c r="F40" s="20">
        <f>I40/D40</f>
        <v>19.75311139726567</v>
      </c>
      <c r="G40" s="19">
        <f>F40/C40-1</f>
        <v>-2.3681112492087708E-3</v>
      </c>
      <c r="H40" s="18">
        <f>SUM(H34:H39)</f>
        <v>4316.4000000000005</v>
      </c>
      <c r="I40" s="18">
        <f>SUM(I34:I39)</f>
        <v>4306.1782846039159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257</v>
      </c>
      <c r="E42" s="107">
        <f>D42/$D$48</f>
        <v>0.14431716082659479</v>
      </c>
      <c r="F42" s="28">
        <f>C42-(C42*$E$6)</f>
        <v>0.49881594437539573</v>
      </c>
      <c r="G42" s="27" t="str">
        <f>IF(C42&gt;=F42,"-","+")</f>
        <v>-</v>
      </c>
      <c r="H42" s="26">
        <f>C42*D42</f>
        <v>128.5</v>
      </c>
      <c r="I42" s="26">
        <f>F42*D42</f>
        <v>128.19569770447671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12.1</v>
      </c>
      <c r="E43" s="107">
        <f>D43/$D$48</f>
        <v>6.7946990116801434E-3</v>
      </c>
      <c r="F43" s="28">
        <f>C43-(C43*$E$6)</f>
        <v>0.49881594437539573</v>
      </c>
      <c r="G43" s="27" t="str">
        <f>IF(C43&gt;=F43,"-","+")</f>
        <v>-</v>
      </c>
      <c r="H43" s="26">
        <f>C43*D43</f>
        <v>6.05</v>
      </c>
      <c r="I43" s="26">
        <f>F43*D43</f>
        <v>6.0356729269422882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1.2</v>
      </c>
      <c r="E45" s="107">
        <f>D45/$D$48</f>
        <v>6.7385444743935314E-4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0.49778024417314098</v>
      </c>
      <c r="D46" s="22">
        <f>SUM(D41:D45)</f>
        <v>270.3</v>
      </c>
      <c r="E46" s="113">
        <f>D46/$D$48</f>
        <v>0.1517857142857143</v>
      </c>
      <c r="F46" s="20">
        <f>I46/D46</f>
        <v>0.49660144517728078</v>
      </c>
      <c r="G46" s="19">
        <f>F46/C46-1</f>
        <v>-2.3681112492085488E-3</v>
      </c>
      <c r="H46" s="18">
        <f>SUM(H41:H44)</f>
        <v>134.55000000000001</v>
      </c>
      <c r="I46" s="18">
        <f>SUM(I41:I44)</f>
        <v>134.231370631419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103.19726076819951</v>
      </c>
      <c r="D48" s="13">
        <f>D24+D32+D40+D46</f>
        <v>1780.8</v>
      </c>
      <c r="E48" s="12">
        <f>SUM(E20:E46)/2</f>
        <v>1</v>
      </c>
      <c r="F48" s="11">
        <f>I48/D48</f>
        <v>27.999999999999996</v>
      </c>
      <c r="G48" s="10"/>
      <c r="H48" s="9">
        <f>SUM(H20:H46)/2</f>
        <v>49980.759999999995</v>
      </c>
      <c r="I48" s="9">
        <f>SUM(I20:I46)/2</f>
        <v>49862.399999999994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1780.8</v>
      </c>
      <c r="E50" s="12">
        <f>D50/G2</f>
        <v>1</v>
      </c>
      <c r="F50" s="11">
        <f>I50/D50</f>
        <v>27.999999999999996</v>
      </c>
      <c r="G50" s="10"/>
      <c r="H50" s="9">
        <f>H48+H19</f>
        <v>49980.759999999995</v>
      </c>
      <c r="I50" s="9">
        <f>I48+I19</f>
        <v>49862.399999999994</v>
      </c>
      <c r="J50" s="106">
        <f>D50-G2</f>
        <v>0</v>
      </c>
      <c r="K50" s="8"/>
    </row>
    <row r="51" spans="1:11" ht="23.25" x14ac:dyDescent="0.35">
      <c r="A51" s="174" t="s">
        <v>837</v>
      </c>
      <c r="B51" s="169"/>
      <c r="C51" s="170"/>
      <c r="G51" s="7"/>
      <c r="H51" s="6"/>
      <c r="I51" s="6">
        <f>+I50/D50</f>
        <v>27.999999999999996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834</v>
      </c>
      <c r="D2" s="96" t="s">
        <v>3</v>
      </c>
      <c r="E2" s="95" t="s">
        <v>71</v>
      </c>
      <c r="F2" s="94" t="s">
        <v>5</v>
      </c>
      <c r="G2" s="116">
        <v>20552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280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73.400000000000006</v>
      </c>
      <c r="F4" s="81" t="s">
        <v>12</v>
      </c>
      <c r="G4" s="80">
        <f>G2*G3</f>
        <v>575456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-3.8153404044172001E-2</v>
      </c>
      <c r="F6" s="69" t="s">
        <v>16</v>
      </c>
      <c r="G6" s="68">
        <f>(I50-I19)/(D50-(SUM(D42:D44)+D19))</f>
        <v>32.539086400201072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29.068295313236817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5507.4</v>
      </c>
      <c r="E11" s="29">
        <f t="shared" si="1"/>
        <v>0.74450482601995294</v>
      </c>
      <c r="F11" s="28">
        <f t="shared" si="2"/>
        <v>30.31407939808982</v>
      </c>
      <c r="G11" s="27" t="str">
        <f t="shared" si="3"/>
        <v>+</v>
      </c>
      <c r="H11" s="34">
        <f t="shared" si="4"/>
        <v>160816.07999999999</v>
      </c>
      <c r="I11" s="34">
        <f t="shared" si="5"/>
        <v>166951.76087703987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27.614880547574977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1890</v>
      </c>
      <c r="E13" s="29">
        <f t="shared" si="1"/>
        <v>0.25549517398004706</v>
      </c>
      <c r="F13" s="28">
        <f t="shared" si="2"/>
        <v>30.31407939808982</v>
      </c>
      <c r="G13" s="27" t="str">
        <f t="shared" si="3"/>
        <v>+</v>
      </c>
      <c r="H13" s="34">
        <f t="shared" si="4"/>
        <v>55188</v>
      </c>
      <c r="I13" s="34">
        <f t="shared" si="5"/>
        <v>57293.610062389758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33.843800971840011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27.926326568788227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38.204045268825524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56.267914499194127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49.208471351693753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29.2</v>
      </c>
      <c r="D19" s="49">
        <f>SUM(D10:D18)</f>
        <v>7397.4</v>
      </c>
      <c r="E19" s="48">
        <f t="shared" si="1"/>
        <v>1</v>
      </c>
      <c r="F19" s="47">
        <f>I19/D19</f>
        <v>30.31407939808982</v>
      </c>
      <c r="G19" s="46">
        <f>F19/C19-1</f>
        <v>3.8153404044172001E-2</v>
      </c>
      <c r="H19" s="9">
        <f>SUM(H10:H18)</f>
        <v>216004.08</v>
      </c>
      <c r="I19" s="9">
        <f>SUM(I10:I18)</f>
        <v>224245.37093942962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70.400000000000006</v>
      </c>
      <c r="E21" s="29">
        <f>D21/$D$48</f>
        <v>5.351658710128623E-3</v>
      </c>
      <c r="F21" s="28">
        <f>C21-(C21*$E$6)</f>
        <v>73.085999644709716</v>
      </c>
      <c r="G21" s="27" t="str">
        <f>IF(C21&gt;=F21,"-","+")</f>
        <v>+</v>
      </c>
      <c r="H21" s="26">
        <f>C21*D21</f>
        <v>4956.1600000000008</v>
      </c>
      <c r="I21" s="26">
        <f>F21*D21</f>
        <v>5145.254374987564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589.6</v>
      </c>
      <c r="E22" s="29">
        <f>D22/$D$48</f>
        <v>4.4820141697327218E-2</v>
      </c>
      <c r="F22" s="28">
        <f>C22-(C22*$E$6)</f>
        <v>49.104656011289336</v>
      </c>
      <c r="G22" s="27" t="str">
        <f>IF(C22&gt;=F22,"-","+")</f>
        <v>+</v>
      </c>
      <c r="H22" s="26">
        <f>C22*D22</f>
        <v>27888.079999999998</v>
      </c>
      <c r="I22" s="26">
        <f>F22*D22</f>
        <v>28952.105184256194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135.80000000000001</v>
      </c>
      <c r="E23" s="29">
        <f>D23/$D$48</f>
        <v>1.0323228023231065E-2</v>
      </c>
      <c r="F23" s="28">
        <f>C23-(C23*$E$6)</f>
        <v>44.744411714303816</v>
      </c>
      <c r="G23" s="27" t="str">
        <f>IF(C23&gt;=F23,"-","+")</f>
        <v>+</v>
      </c>
      <c r="H23" s="26">
        <f>C23*D23</f>
        <v>5852.9800000000005</v>
      </c>
      <c r="I23" s="26">
        <f>F23*D23</f>
        <v>6076.2911108024591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48.626815782860021</v>
      </c>
      <c r="D24" s="22">
        <f>SUM(D21:D23)</f>
        <v>795.8</v>
      </c>
      <c r="E24" s="21">
        <f>D24/$D$48</f>
        <v>6.0495028430686895E-2</v>
      </c>
      <c r="F24" s="20">
        <f>I24/D24</f>
        <v>50.482094332804998</v>
      </c>
      <c r="G24" s="19">
        <f>F24/C24-1</f>
        <v>3.8153404044172001E-2</v>
      </c>
      <c r="H24" s="18">
        <f>SUM(H21:H23)</f>
        <v>38697.22</v>
      </c>
      <c r="I24" s="18">
        <f>SUM(I21:I23)</f>
        <v>40173.650670046212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/>
      <c r="E26" s="29">
        <f t="shared" ref="E26:E32" si="7">D26/$D$48</f>
        <v>0</v>
      </c>
      <c r="F26" s="28">
        <f t="shared" ref="F26:F31" si="8">C26-(C26*$E$6)</f>
        <v>39.034567992060872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2667.2</v>
      </c>
      <c r="E27" s="29">
        <f t="shared" si="7"/>
        <v>0.20275488794964575</v>
      </c>
      <c r="F27" s="28">
        <f t="shared" si="8"/>
        <v>34.778139035479761</v>
      </c>
      <c r="G27" s="27" t="str">
        <f t="shared" si="9"/>
        <v>+</v>
      </c>
      <c r="H27" s="26">
        <f t="shared" si="10"/>
        <v>89351.2</v>
      </c>
      <c r="I27" s="26">
        <f t="shared" si="11"/>
        <v>92760.252435431612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1817.6</v>
      </c>
      <c r="E28" s="29">
        <f t="shared" si="7"/>
        <v>0.13817009760695717</v>
      </c>
      <c r="F28" s="28">
        <f t="shared" si="8"/>
        <v>34.778139035479761</v>
      </c>
      <c r="G28" s="27" t="str">
        <f t="shared" si="9"/>
        <v>+</v>
      </c>
      <c r="H28" s="26">
        <f t="shared" si="10"/>
        <v>60889.599999999999</v>
      </c>
      <c r="I28" s="26">
        <f t="shared" si="11"/>
        <v>63212.745510888009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1800.7</v>
      </c>
      <c r="E29" s="29">
        <f t="shared" si="7"/>
        <v>0.13688539544500869</v>
      </c>
      <c r="F29" s="28">
        <f t="shared" si="8"/>
        <v>33.532354950626754</v>
      </c>
      <c r="G29" s="27" t="str">
        <f t="shared" si="9"/>
        <v>+</v>
      </c>
      <c r="H29" s="26">
        <f t="shared" si="10"/>
        <v>58162.609999999993</v>
      </c>
      <c r="I29" s="26">
        <f t="shared" si="11"/>
        <v>60381.711559593597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1403.3</v>
      </c>
      <c r="E30" s="29">
        <f t="shared" si="7"/>
        <v>0.10667589016936783</v>
      </c>
      <c r="F30" s="28">
        <f t="shared" si="8"/>
        <v>33.532354950626754</v>
      </c>
      <c r="G30" s="27" t="str">
        <f t="shared" si="9"/>
        <v>+</v>
      </c>
      <c r="H30" s="26">
        <f t="shared" si="10"/>
        <v>45326.59</v>
      </c>
      <c r="I30" s="26">
        <f t="shared" si="11"/>
        <v>47055.953702214523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/>
      <c r="E31" s="29">
        <f t="shared" si="7"/>
        <v>0</v>
      </c>
      <c r="F31" s="28">
        <f t="shared" si="8"/>
        <v>34.155246993053254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32.999947976277184</v>
      </c>
      <c r="D32" s="22">
        <f>SUM(D26:D31)</f>
        <v>7688.7999999999993</v>
      </c>
      <c r="E32" s="21">
        <f t="shared" si="7"/>
        <v>0.5844862711709794</v>
      </c>
      <c r="F32" s="20">
        <f>I32/D32</f>
        <v>34.259008324852736</v>
      </c>
      <c r="G32" s="19">
        <f>F32/C32-1</f>
        <v>3.8153404044171779E-2</v>
      </c>
      <c r="H32" s="18">
        <f>SUM(H26:H31)</f>
        <v>253729.99999999997</v>
      </c>
      <c r="I32" s="18">
        <f>SUM(I26:I31)</f>
        <v>263410.66320812772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1001.8+1106.8</f>
        <v>2108.6</v>
      </c>
      <c r="E34" s="29">
        <f t="shared" ref="E34:E40" si="13">D34/$D$48</f>
        <v>0.16029130051388088</v>
      </c>
      <c r="F34" s="28">
        <f t="shared" ref="F34:F39" si="14">C34-(C34*$E$6)</f>
        <v>20.555437400074606</v>
      </c>
      <c r="G34" s="27" t="str">
        <f t="shared" ref="G34:G39" si="15">IF(C34&gt;=F34,"-","+")</f>
        <v>+</v>
      </c>
      <c r="H34" s="26">
        <f t="shared" ref="H34:H39" si="16">C34*D34</f>
        <v>41750.28</v>
      </c>
      <c r="I34" s="26">
        <f t="shared" ref="I34:I39" si="17">F34*D34</f>
        <v>43343.195301797314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194.8</v>
      </c>
      <c r="E35" s="29">
        <f t="shared" si="13"/>
        <v>1.4808282908139996E-2</v>
      </c>
      <c r="F35" s="28">
        <f t="shared" si="14"/>
        <v>15.779931741471414</v>
      </c>
      <c r="G35" s="27" t="str">
        <f t="shared" si="15"/>
        <v>+</v>
      </c>
      <c r="H35" s="26">
        <f t="shared" si="16"/>
        <v>2960.96</v>
      </c>
      <c r="I35" s="26">
        <f t="shared" si="17"/>
        <v>3073.9307032386314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12.665471529338898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33.532354950626754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33.532354950626754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34.778139035479761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19.410975080316053</v>
      </c>
      <c r="D40" s="22">
        <f>SUM(D34:D39)</f>
        <v>2303.4</v>
      </c>
      <c r="E40" s="113">
        <f t="shared" si="13"/>
        <v>0.17509958342202087</v>
      </c>
      <c r="F40" s="20">
        <f>I40/D40</f>
        <v>20.151569855446706</v>
      </c>
      <c r="G40" s="19">
        <f>F40/C40-1</f>
        <v>3.8153404044172001E-2</v>
      </c>
      <c r="H40" s="18">
        <f>SUM(H34:H39)</f>
        <v>44711.24</v>
      </c>
      <c r="I40" s="18">
        <f>SUM(I34:I39)</f>
        <v>46417.126005035941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236.2+1323.5+706-61</f>
        <v>2204.6999999999998</v>
      </c>
      <c r="E42" s="107">
        <f>D42/$D$48</f>
        <v>0.16759661872472406</v>
      </c>
      <c r="F42" s="28">
        <f>C42-(C42*$E$6)</f>
        <v>0.519076702022086</v>
      </c>
      <c r="G42" s="27" t="str">
        <f>IF(C42&gt;=F42,"-","+")</f>
        <v>+</v>
      </c>
      <c r="H42" s="26">
        <f>C42*D42</f>
        <v>1102.3499999999999</v>
      </c>
      <c r="I42" s="26">
        <f>F42*D42</f>
        <v>1144.408404948093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124.8</v>
      </c>
      <c r="E43" s="107">
        <f>D43/$D$48</f>
        <v>9.4870313497734671E-3</v>
      </c>
      <c r="F43" s="28">
        <f>C43-(C43*$E$6)</f>
        <v>0.519076702022086</v>
      </c>
      <c r="G43" s="27" t="str">
        <f>IF(C43&gt;=F43,"-","+")</f>
        <v>+</v>
      </c>
      <c r="H43" s="26">
        <f>C43*D43</f>
        <v>62.4</v>
      </c>
      <c r="I43" s="26">
        <f>F43*D43</f>
        <v>64.780772412356328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31.8</v>
      </c>
      <c r="E44" s="107">
        <f>D44/$D$48</f>
        <v>2.4173685650865084E-3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5.5</v>
      </c>
      <c r="E45" s="107">
        <f>D45/$D$48</f>
        <v>4.1809833672879865E-4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0.49212016224438054</v>
      </c>
      <c r="D46" s="22">
        <f>SUM(D41:D45)</f>
        <v>2366.8000000000002</v>
      </c>
      <c r="E46" s="113">
        <f>D46/$D$48</f>
        <v>0.17991911697631285</v>
      </c>
      <c r="F46" s="20">
        <f>I46/D46</f>
        <v>0.51089622163277393</v>
      </c>
      <c r="G46" s="19">
        <f>F46/C46-1</f>
        <v>3.8153404044172001E-2</v>
      </c>
      <c r="H46" s="18">
        <f>SUM(H41:H44)</f>
        <v>1164.75</v>
      </c>
      <c r="I46" s="18">
        <f>SUM(I41:I44)</f>
        <v>1209.1891773604493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101.52985900169763</v>
      </c>
      <c r="D48" s="13">
        <f>D24+D32+D40+D46</f>
        <v>13154.8</v>
      </c>
      <c r="E48" s="12">
        <f>SUM(E20:E46)/2</f>
        <v>1</v>
      </c>
      <c r="F48" s="11">
        <f>I48/D48</f>
        <v>26.698287245763549</v>
      </c>
      <c r="G48" s="10"/>
      <c r="H48" s="9">
        <f>SUM(H20:H46)/2</f>
        <v>338303.21</v>
      </c>
      <c r="I48" s="9">
        <f>SUM(I20:I46)/2</f>
        <v>351210.62906057033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20552.200000000004</v>
      </c>
      <c r="E50" s="12">
        <f>D50/G2</f>
        <v>1.0000097314130014</v>
      </c>
      <c r="F50" s="11">
        <f>I50/D50</f>
        <v>27.999727523087547</v>
      </c>
      <c r="G50" s="10"/>
      <c r="H50" s="9">
        <f>H48+H19</f>
        <v>554307.29</v>
      </c>
      <c r="I50" s="9">
        <f>I48+I19</f>
        <v>575456</v>
      </c>
      <c r="J50" s="106">
        <f>D50-G2</f>
        <v>0.20000000000436557</v>
      </c>
      <c r="K50" s="8"/>
    </row>
    <row r="51" spans="1:11" ht="23.25" x14ac:dyDescent="0.35">
      <c r="A51" s="174" t="s">
        <v>838</v>
      </c>
      <c r="B51" s="169"/>
      <c r="C51" s="170"/>
      <c r="G51" s="7"/>
      <c r="H51" s="6"/>
      <c r="I51" s="6">
        <f>+I50/D50</f>
        <v>27.999727523087547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>
    <tabColor rgb="FF92D050"/>
  </sheetPr>
  <dimension ref="A1:K56"/>
  <sheetViews>
    <sheetView topLeftCell="A4"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839</v>
      </c>
      <c r="D1" s="100" t="s">
        <v>1</v>
      </c>
      <c r="E1" s="168" t="s">
        <v>775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839</v>
      </c>
      <c r="D2" s="96" t="s">
        <v>3</v>
      </c>
      <c r="E2" s="95" t="s">
        <v>112</v>
      </c>
      <c r="F2" s="94" t="s">
        <v>5</v>
      </c>
      <c r="G2" s="93">
        <v>15630.5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236</v>
      </c>
      <c r="F3" s="88" t="s">
        <v>8</v>
      </c>
      <c r="G3" s="87">
        <v>25.21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66.230932203389827</v>
      </c>
      <c r="F4" s="81" t="s">
        <v>12</v>
      </c>
      <c r="G4" s="80">
        <f>G2*G3</f>
        <v>394044.90500000003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-8.5984084208964306E-2</v>
      </c>
      <c r="F6" s="69" t="s">
        <v>16</v>
      </c>
      <c r="G6" s="68">
        <f>(I50-I19)/(D50-(SUM(D42:D44)+D19))</f>
        <v>32.004686852770845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25.2</v>
      </c>
      <c r="D10" s="30"/>
      <c r="E10" s="29" t="e">
        <f t="shared" ref="E10:E19" si="1">D10/$D$19</f>
        <v>#DIV/0!</v>
      </c>
      <c r="F10" s="28">
        <f t="shared" ref="F10:F18" si="2">C10-(C10*$E$6)</f>
        <v>27.3667989220659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 t="e">
        <f t="shared" si="1"/>
        <v>#DIV/0!</v>
      </c>
      <c r="F11" s="28">
        <f t="shared" si="2"/>
        <v>28.561381414695763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 t="e">
        <f t="shared" si="1"/>
        <v>#DIV/0!</v>
      </c>
      <c r="F12" s="28">
        <f t="shared" si="2"/>
        <v>26.063618021015145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 t="e">
        <f t="shared" si="1"/>
        <v>#DIV/0!</v>
      </c>
      <c r="F13" s="28">
        <f t="shared" si="2"/>
        <v>28.561381414695763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29.3</v>
      </c>
      <c r="D14" s="30"/>
      <c r="E14" s="29" t="e">
        <f t="shared" si="1"/>
        <v>#DIV/0!</v>
      </c>
      <c r="F14" s="28">
        <f t="shared" si="2"/>
        <v>31.819333667322656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 t="e">
        <f t="shared" si="1"/>
        <v>#DIV/0!</v>
      </c>
      <c r="F15" s="28">
        <f t="shared" si="2"/>
        <v>26.280814837856937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33.1</v>
      </c>
      <c r="D16" s="30"/>
      <c r="E16" s="29" t="e">
        <f t="shared" si="1"/>
        <v>#DIV/0!</v>
      </c>
      <c r="F16" s="28">
        <f t="shared" si="2"/>
        <v>35.946073187316721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48.8</v>
      </c>
      <c r="D17" s="30"/>
      <c r="E17" s="29" t="e">
        <f t="shared" si="1"/>
        <v>#DIV/0!</v>
      </c>
      <c r="F17" s="28">
        <f t="shared" si="2"/>
        <v>52.996023309397458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42.7</v>
      </c>
      <c r="D18" s="30"/>
      <c r="E18" s="29" t="e">
        <f t="shared" si="1"/>
        <v>#DIV/0!</v>
      </c>
      <c r="F18" s="28">
        <f t="shared" si="2"/>
        <v>46.371520395722776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63.4</v>
      </c>
      <c r="D21" s="30">
        <v>205.8</v>
      </c>
      <c r="E21" s="29">
        <f>D21/$D$48</f>
        <v>1.3166649605896205E-2</v>
      </c>
      <c r="F21" s="28">
        <f>C21-(C21*$E$6)</f>
        <v>68.85139093884834</v>
      </c>
      <c r="G21" s="27" t="str">
        <f>IF(C21&gt;=F21,"-","+")</f>
        <v>+</v>
      </c>
      <c r="H21" s="26">
        <f>C21*D21</f>
        <v>13047.720000000001</v>
      </c>
      <c r="I21" s="26">
        <f>F21*D21</f>
        <v>14169.616255214989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42.6</v>
      </c>
      <c r="D22" s="30">
        <v>418.4</v>
      </c>
      <c r="E22" s="29">
        <f>D22/$D$48</f>
        <v>2.676834885863446E-2</v>
      </c>
      <c r="F22" s="28">
        <f>C22-(C22*$E$6)</f>
        <v>46.26292198730188</v>
      </c>
      <c r="G22" s="27" t="str">
        <f>IF(C22&gt;=F22,"-","+")</f>
        <v>+</v>
      </c>
      <c r="H22" s="26">
        <f>C22*D22</f>
        <v>17823.84</v>
      </c>
      <c r="I22" s="26">
        <f>F22*D22</f>
        <v>19356.406559487106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38.799999999999997</v>
      </c>
      <c r="D23" s="30">
        <v>359.7</v>
      </c>
      <c r="E23" s="29">
        <f>D23/$D$48</f>
        <v>2.3012846760159692E-2</v>
      </c>
      <c r="F23" s="28">
        <f>C23-(C23*$E$6)</f>
        <v>42.136182467307812</v>
      </c>
      <c r="G23" s="27" t="str">
        <f>IF(C23&gt;=F23,"-","+")</f>
        <v>+</v>
      </c>
      <c r="H23" s="26">
        <f>C23*D23</f>
        <v>13956.359999999999</v>
      </c>
      <c r="I23" s="26">
        <f>F23*D23</f>
        <v>15156.38483349062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45.561459497916452</v>
      </c>
      <c r="D24" s="22">
        <f>SUM(D21:D23)</f>
        <v>983.90000000000009</v>
      </c>
      <c r="E24" s="21">
        <f>D24/$D$48</f>
        <v>6.2947845224690366E-2</v>
      </c>
      <c r="F24" s="20">
        <f>I24/D24</f>
        <v>49.479019868068619</v>
      </c>
      <c r="G24" s="19">
        <f>F24/C24-1</f>
        <v>8.5984084208964306E-2</v>
      </c>
      <c r="H24" s="18">
        <f>SUM(H21:H23)</f>
        <v>44827.92</v>
      </c>
      <c r="I24" s="18">
        <f>SUM(I21:I23)</f>
        <v>48682.407648192719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33.799999999999997</v>
      </c>
      <c r="D26" s="30">
        <f>2052.1+867.9</f>
        <v>2920</v>
      </c>
      <c r="E26" s="29">
        <f t="shared" ref="E26:E32" si="7">D26/$D$48</f>
        <v>0.18681543658511621</v>
      </c>
      <c r="F26" s="28">
        <f t="shared" ref="F26:F31" si="8">C26-(C26*$E$6)</f>
        <v>36.706262046262992</v>
      </c>
      <c r="G26" s="27" t="str">
        <f t="shared" ref="G26:G31" si="9">IF(C26&gt;=F26,"-","+")</f>
        <v>+</v>
      </c>
      <c r="H26" s="26">
        <f t="shared" ref="H26:H31" si="10">C26*D26</f>
        <v>98695.999999999985</v>
      </c>
      <c r="I26" s="26">
        <f t="shared" ref="I26:I31" si="11">F26*D26</f>
        <v>107182.28517508793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30.1</v>
      </c>
      <c r="D27" s="30">
        <v>2350.6</v>
      </c>
      <c r="E27" s="29">
        <f t="shared" si="7"/>
        <v>0.15038642645101855</v>
      </c>
      <c r="F27" s="28">
        <f t="shared" si="8"/>
        <v>32.688120934689827</v>
      </c>
      <c r="G27" s="27" t="str">
        <f t="shared" si="9"/>
        <v>+</v>
      </c>
      <c r="H27" s="26">
        <f t="shared" si="10"/>
        <v>70753.06</v>
      </c>
      <c r="I27" s="26">
        <f t="shared" si="11"/>
        <v>76836.6970690819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30.1</v>
      </c>
      <c r="D28" s="30">
        <v>975.9</v>
      </c>
      <c r="E28" s="29">
        <f t="shared" si="7"/>
        <v>6.2436022110758528E-2</v>
      </c>
      <c r="F28" s="28">
        <f t="shared" si="8"/>
        <v>32.688120934689827</v>
      </c>
      <c r="G28" s="27" t="str">
        <f t="shared" si="9"/>
        <v>+</v>
      </c>
      <c r="H28" s="26">
        <f t="shared" si="10"/>
        <v>29374.59</v>
      </c>
      <c r="I28" s="26">
        <f t="shared" si="11"/>
        <v>31900.337220163801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29.1</v>
      </c>
      <c r="D29" s="30">
        <f>1276.4-148.7</f>
        <v>1127.7</v>
      </c>
      <c r="E29" s="29">
        <f t="shared" si="7"/>
        <v>7.2147865697614916E-2</v>
      </c>
      <c r="F29" s="28">
        <f t="shared" si="8"/>
        <v>31.602136850480864</v>
      </c>
      <c r="G29" s="27" t="str">
        <f t="shared" si="9"/>
        <v>+</v>
      </c>
      <c r="H29" s="26">
        <f t="shared" si="10"/>
        <v>32816.07</v>
      </c>
      <c r="I29" s="26">
        <f t="shared" si="11"/>
        <v>35637.729726287274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29.1</v>
      </c>
      <c r="D30" s="30">
        <v>935</v>
      </c>
      <c r="E30" s="29">
        <f t="shared" si="7"/>
        <v>5.9819326440782077E-2</v>
      </c>
      <c r="F30" s="28">
        <f t="shared" si="8"/>
        <v>31.602136850480864</v>
      </c>
      <c r="G30" s="27" t="str">
        <f t="shared" si="9"/>
        <v>+</v>
      </c>
      <c r="H30" s="26">
        <f t="shared" si="10"/>
        <v>27208.5</v>
      </c>
      <c r="I30" s="26">
        <f t="shared" si="11"/>
        <v>29547.997955199608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29.6</v>
      </c>
      <c r="D31" s="30">
        <v>425.8</v>
      </c>
      <c r="E31" s="29">
        <f t="shared" si="7"/>
        <v>2.7241785239021397E-2</v>
      </c>
      <c r="F31" s="28">
        <f t="shared" si="8"/>
        <v>32.145128892585348</v>
      </c>
      <c r="G31" s="27" t="str">
        <f t="shared" si="9"/>
        <v>+</v>
      </c>
      <c r="H31" s="26">
        <f t="shared" si="10"/>
        <v>12603.68</v>
      </c>
      <c r="I31" s="26">
        <f t="shared" si="11"/>
        <v>13687.395882462841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31.076348025186036</v>
      </c>
      <c r="D32" s="22">
        <f>SUM(D26:D31)</f>
        <v>8735</v>
      </c>
      <c r="E32" s="21">
        <f t="shared" si="7"/>
        <v>0.5588468625243117</v>
      </c>
      <c r="F32" s="20">
        <f>I32/D32</f>
        <v>33.74841935069071</v>
      </c>
      <c r="G32" s="19">
        <f>F32/C32-1</f>
        <v>8.5984084208964306E-2</v>
      </c>
      <c r="H32" s="18">
        <f>SUM(H26:H31)</f>
        <v>271451.90000000002</v>
      </c>
      <c r="I32" s="18">
        <f>SUM(I26:I31)</f>
        <v>294792.44302828336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1209.6+1185.9</f>
        <v>2395.5</v>
      </c>
      <c r="E34" s="29">
        <f t="shared" ref="E34:E40" si="13">D34/$D$48</f>
        <v>0.15325903367796093</v>
      </c>
      <c r="F34" s="28">
        <f t="shared" ref="F34:F39" si="14">C34-(C34*$E$6)</f>
        <v>19.330516698919567</v>
      </c>
      <c r="G34" s="27" t="str">
        <f t="shared" ref="G34:G39" si="15">IF(C34&gt;=F34,"-","+")</f>
        <v>+</v>
      </c>
      <c r="H34" s="26">
        <f t="shared" ref="H34:H39" si="16">C34*D34</f>
        <v>42639.9</v>
      </c>
      <c r="I34" s="26">
        <f t="shared" ref="I34:I39" si="17">F34*D34</f>
        <v>46306.252752261826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189.7</v>
      </c>
      <c r="E35" s="29">
        <f t="shared" si="13"/>
        <v>1.2136605589108404E-2</v>
      </c>
      <c r="F35" s="28">
        <f t="shared" si="14"/>
        <v>14.877981953662811</v>
      </c>
      <c r="G35" s="27" t="str">
        <f t="shared" si="15"/>
        <v>+</v>
      </c>
      <c r="H35" s="26">
        <f t="shared" si="16"/>
        <v>2598.89</v>
      </c>
      <c r="I35" s="26">
        <f t="shared" si="17"/>
        <v>2822.3531766098349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11.945824926298608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29.1</v>
      </c>
      <c r="D37" s="30"/>
      <c r="E37" s="29">
        <f t="shared" si="13"/>
        <v>0</v>
      </c>
      <c r="F37" s="28">
        <f t="shared" si="14"/>
        <v>31.602136850480864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29.1</v>
      </c>
      <c r="D38" s="30"/>
      <c r="E38" s="29">
        <f t="shared" si="13"/>
        <v>0</v>
      </c>
      <c r="F38" s="28">
        <f t="shared" si="14"/>
        <v>31.602136850480864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30.1</v>
      </c>
      <c r="D39" s="30"/>
      <c r="E39" s="29">
        <f t="shared" si="13"/>
        <v>0</v>
      </c>
      <c r="F39" s="28">
        <f t="shared" si="14"/>
        <v>32.688120934689827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17.499145133838777</v>
      </c>
      <c r="D40" s="22">
        <f>SUM(D34:D39)</f>
        <v>2585.1999999999998</v>
      </c>
      <c r="E40" s="113">
        <f t="shared" si="13"/>
        <v>0.16539563926706932</v>
      </c>
      <c r="F40" s="20">
        <f>I40/D40</f>
        <v>19.003793102611663</v>
      </c>
      <c r="G40" s="19">
        <f>F40/C40-1</f>
        <v>8.5984084208964529E-2</v>
      </c>
      <c r="H40" s="18">
        <f>SUM(H34:H39)</f>
        <v>45238.79</v>
      </c>
      <c r="I40" s="18">
        <f>SUM(I34:I39)</f>
        <v>49128.605928871664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1526+219.6+1482.3</f>
        <v>3227.8999999999996</v>
      </c>
      <c r="E42" s="107">
        <f>D42/$D$48</f>
        <v>0.2065142286825673</v>
      </c>
      <c r="F42" s="28">
        <f>C42-(C42*$E$6)</f>
        <v>0.43439363368358574</v>
      </c>
      <c r="G42" s="27" t="str">
        <f>IF(C42&gt;=F42,"-","+")</f>
        <v>+</v>
      </c>
      <c r="H42" s="26">
        <f>C42*D42</f>
        <v>1291.1599999999999</v>
      </c>
      <c r="I42" s="26">
        <f>F42*D42</f>
        <v>1402.1792101672463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90.4</v>
      </c>
      <c r="E43" s="107">
        <f>D43/$D$48</f>
        <v>5.7836011874296258E-3</v>
      </c>
      <c r="F43" s="28">
        <f>C43-(C43*$E$6)</f>
        <v>0.43439363368358574</v>
      </c>
      <c r="G43" s="27" t="str">
        <f>IF(C43&gt;=F43,"-","+")</f>
        <v>+</v>
      </c>
      <c r="H43" s="26">
        <f>C43*D43</f>
        <v>36.160000000000004</v>
      </c>
      <c r="I43" s="26">
        <f>F43*D43</f>
        <v>39.269184484996153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5.1182311393182525E-4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0.39903797011694675</v>
      </c>
      <c r="D46" s="22">
        <f>SUM(D41:D45)</f>
        <v>3326.2999999999997</v>
      </c>
      <c r="E46" s="113">
        <f>D46/$D$48</f>
        <v>0.21280965298392876</v>
      </c>
      <c r="F46" s="20">
        <f>I46/D46</f>
        <v>0.43334888454205656</v>
      </c>
      <c r="G46" s="19">
        <f>F46/C46-1</f>
        <v>8.5984084208964529E-2</v>
      </c>
      <c r="H46" s="18">
        <f>SUM(H41:H44)</f>
        <v>1327.32</v>
      </c>
      <c r="I46" s="18">
        <f>SUM(I41:I44)</f>
        <v>1441.4483946522425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94.535990627058212</v>
      </c>
      <c r="D48" s="13">
        <f>D24+D32+D40+D46</f>
        <v>15630.399999999998</v>
      </c>
      <c r="E48" s="12">
        <f>SUM(E20:E46)/2</f>
        <v>1.0000000000000002</v>
      </c>
      <c r="F48" s="11">
        <f>I48/D48</f>
        <v>25.210161288258778</v>
      </c>
      <c r="G48" s="10"/>
      <c r="H48" s="9">
        <f>SUM(H20:H46)/2</f>
        <v>362845.93000000005</v>
      </c>
      <c r="I48" s="9">
        <f>SUM(I20:I46)/2</f>
        <v>394044.90499999997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15630.4</v>
      </c>
      <c r="E50" s="12">
        <f>D50/G2</f>
        <v>0.99999360225200729</v>
      </c>
      <c r="F50" s="11">
        <f>I50/D50</f>
        <v>25.210161288258778</v>
      </c>
      <c r="G50" s="10"/>
      <c r="H50" s="9">
        <f>H48+H19</f>
        <v>362845.93000000005</v>
      </c>
      <c r="I50" s="9">
        <f>I48+I19</f>
        <v>394044.90499999997</v>
      </c>
      <c r="J50" s="106">
        <f>D50-G2</f>
        <v>-0.1000000000003638</v>
      </c>
      <c r="K50" s="8"/>
    </row>
    <row r="51" spans="1:11" ht="23.25" x14ac:dyDescent="0.35">
      <c r="A51" s="174" t="s">
        <v>840</v>
      </c>
      <c r="B51" s="169"/>
      <c r="C51" s="170"/>
      <c r="G51" s="7"/>
      <c r="H51" s="6"/>
      <c r="I51" s="6">
        <f>+I50/D50</f>
        <v>25.210161288258778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834</v>
      </c>
      <c r="D1" s="100" t="s">
        <v>1</v>
      </c>
      <c r="E1" s="168" t="s">
        <v>750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839</v>
      </c>
      <c r="D2" s="96" t="s">
        <v>3</v>
      </c>
      <c r="E2" s="95" t="s">
        <v>107</v>
      </c>
      <c r="F2" s="94" t="s">
        <v>5</v>
      </c>
      <c r="G2" s="93">
        <v>7644.5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112</v>
      </c>
      <c r="F3" s="88" t="s">
        <v>8</v>
      </c>
      <c r="G3" s="87">
        <v>26.75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68.254464285714292</v>
      </c>
      <c r="F4" s="81" t="s">
        <v>12</v>
      </c>
      <c r="G4" s="80">
        <f>G2*G3</f>
        <v>204490.375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-2.2517929658255831E-2</v>
      </c>
      <c r="F6" s="69" t="s">
        <v>16</v>
      </c>
      <c r="G6" s="68">
        <f>(I50-I19)/(D50-(SUM(D42:D44)+D19))</f>
        <v>32.406243489418536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26.8</v>
      </c>
      <c r="D10" s="30"/>
      <c r="E10" s="29">
        <f t="shared" ref="E10:E19" si="1">D10/$D$19</f>
        <v>0</v>
      </c>
      <c r="F10" s="28">
        <f t="shared" ref="F10:F18" si="2">C10-(C10*$E$6)</f>
        <v>27.403480514841256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27.9</v>
      </c>
      <c r="D11" s="30">
        <v>705.5</v>
      </c>
      <c r="E11" s="29">
        <f t="shared" si="1"/>
        <v>0.47253851306095113</v>
      </c>
      <c r="F11" s="28">
        <f t="shared" si="2"/>
        <v>28.528250237465336</v>
      </c>
      <c r="G11" s="27" t="str">
        <f t="shared" si="3"/>
        <v>+</v>
      </c>
      <c r="H11" s="34">
        <f t="shared" si="4"/>
        <v>19683.45</v>
      </c>
      <c r="I11" s="34">
        <f t="shared" si="5"/>
        <v>20126.680542531794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25.4</v>
      </c>
      <c r="D12" s="30">
        <v>787.5</v>
      </c>
      <c r="E12" s="29">
        <f t="shared" si="1"/>
        <v>0.52746148693904893</v>
      </c>
      <c r="F12" s="28">
        <f t="shared" si="2"/>
        <v>25.971955413319698</v>
      </c>
      <c r="G12" s="27" t="str">
        <f t="shared" si="3"/>
        <v>+</v>
      </c>
      <c r="H12" s="34">
        <f t="shared" si="4"/>
        <v>20002.5</v>
      </c>
      <c r="I12" s="34">
        <f t="shared" si="5"/>
        <v>20452.914887989264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27.9</v>
      </c>
      <c r="D13" s="30"/>
      <c r="E13" s="29">
        <f t="shared" si="1"/>
        <v>0</v>
      </c>
      <c r="F13" s="28">
        <f t="shared" si="2"/>
        <v>28.528250237465336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31.1</v>
      </c>
      <c r="D14" s="30"/>
      <c r="E14" s="29">
        <f t="shared" si="1"/>
        <v>0</v>
      </c>
      <c r="F14" s="28">
        <f t="shared" si="2"/>
        <v>31.800307612371757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25.7</v>
      </c>
      <c r="D15" s="30"/>
      <c r="E15" s="29">
        <f t="shared" si="1"/>
        <v>0</v>
      </c>
      <c r="F15" s="28">
        <f t="shared" si="2"/>
        <v>26.278710792217176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35.200000000000003</v>
      </c>
      <c r="D16" s="30"/>
      <c r="E16" s="29">
        <f t="shared" si="1"/>
        <v>0</v>
      </c>
      <c r="F16" s="28">
        <f t="shared" si="2"/>
        <v>35.992631123970611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51.7</v>
      </c>
      <c r="D17" s="30"/>
      <c r="E17" s="29">
        <f t="shared" si="1"/>
        <v>0</v>
      </c>
      <c r="F17" s="28">
        <f t="shared" si="2"/>
        <v>52.864176963331829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45.3</v>
      </c>
      <c r="D18" s="30"/>
      <c r="E18" s="29">
        <f t="shared" si="1"/>
        <v>0</v>
      </c>
      <c r="F18" s="28">
        <f t="shared" si="2"/>
        <v>46.320062213518987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26.581346282652376</v>
      </c>
      <c r="D19" s="49">
        <f>SUM(D10:D18)</f>
        <v>1493</v>
      </c>
      <c r="E19" s="48">
        <f t="shared" si="1"/>
        <v>1</v>
      </c>
      <c r="F19" s="47">
        <f>I19/D19</f>
        <v>27.179903168466886</v>
      </c>
      <c r="G19" s="46">
        <f>F19/C19-1</f>
        <v>2.2517929658256053E-2</v>
      </c>
      <c r="H19" s="9">
        <f>SUM(H10:H18)</f>
        <v>39685.949999999997</v>
      </c>
      <c r="I19" s="9">
        <f>SUM(I10:I18)</f>
        <v>40579.595430521062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67.3</v>
      </c>
      <c r="D21" s="30">
        <v>95.9</v>
      </c>
      <c r="E21" s="29">
        <f>D21/$D$48</f>
        <v>1.5589186728871695E-2</v>
      </c>
      <c r="F21" s="28">
        <f>C21-(C21*$E$6)</f>
        <v>68.815456666000614</v>
      </c>
      <c r="G21" s="27" t="str">
        <f>IF(C21&gt;=F21,"-","+")</f>
        <v>+</v>
      </c>
      <c r="H21" s="26">
        <f>C21*D21</f>
        <v>6454.07</v>
      </c>
      <c r="I21" s="26">
        <f>F21*D21</f>
        <v>6599.4022942694592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45.2</v>
      </c>
      <c r="D22" s="30">
        <v>192.9</v>
      </c>
      <c r="E22" s="29">
        <f>D22/$D$48</f>
        <v>3.135718581855422E-2</v>
      </c>
      <c r="F22" s="28">
        <f>C22-(C22*$E$6)</f>
        <v>46.217810420553164</v>
      </c>
      <c r="G22" s="27" t="str">
        <f>IF(C22&gt;=F22,"-","+")</f>
        <v>+</v>
      </c>
      <c r="H22" s="26">
        <f>C22*D22</f>
        <v>8719.08</v>
      </c>
      <c r="I22" s="26">
        <f>F22*D22</f>
        <v>8915.4156301247058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41.2</v>
      </c>
      <c r="D23" s="30">
        <v>167.3</v>
      </c>
      <c r="E23" s="29">
        <f>D23/$D$48</f>
        <v>2.7195734512411206E-2</v>
      </c>
      <c r="F23" s="28">
        <f>C23-(C23*$E$6)</f>
        <v>42.127738701920144</v>
      </c>
      <c r="G23" s="27" t="str">
        <f>IF(C23&gt;=F23,"-","+")</f>
        <v>+</v>
      </c>
      <c r="H23" s="26">
        <f>C23*D23</f>
        <v>6892.7600000000011</v>
      </c>
      <c r="I23" s="26">
        <f>F23*D23</f>
        <v>7047.9706848312408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48.379543959657966</v>
      </c>
      <c r="D24" s="22">
        <f>SUM(D21:D23)</f>
        <v>456.1</v>
      </c>
      <c r="E24" s="21">
        <f>D24/$D$48</f>
        <v>7.414210705983712E-2</v>
      </c>
      <c r="F24" s="20">
        <f>I24/D24</f>
        <v>49.468951127440043</v>
      </c>
      <c r="G24" s="19">
        <f>F24/C24-1</f>
        <v>2.2517929658255831E-2</v>
      </c>
      <c r="H24" s="18">
        <f>SUM(H21:H23)</f>
        <v>22065.91</v>
      </c>
      <c r="I24" s="18">
        <f>SUM(I21:I23)</f>
        <v>22562.788609225405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35.9</v>
      </c>
      <c r="D26" s="30">
        <f>427.3+1177-400.1</f>
        <v>1204.1999999999998</v>
      </c>
      <c r="E26" s="29">
        <f t="shared" ref="E26:E32" si="7">D26/$D$48</f>
        <v>0.19575076808036801</v>
      </c>
      <c r="F26" s="28">
        <f t="shared" ref="F26:F31" si="8">C26-(C26*$E$6)</f>
        <v>36.708393674731383</v>
      </c>
      <c r="G26" s="27" t="str">
        <f t="shared" ref="G26:G31" si="9">IF(C26&gt;=F26,"-","+")</f>
        <v>+</v>
      </c>
      <c r="H26" s="26">
        <f t="shared" ref="H26:H31" si="10">C26*D26</f>
        <v>43230.779999999992</v>
      </c>
      <c r="I26" s="26">
        <f t="shared" ref="I26:I31" si="11">F26*D26</f>
        <v>44204.247663111528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30">
        <v>946.2</v>
      </c>
      <c r="E27" s="29">
        <f t="shared" si="7"/>
        <v>0.15381114163564544</v>
      </c>
      <c r="F27" s="28">
        <f t="shared" si="8"/>
        <v>32.720573749064187</v>
      </c>
      <c r="G27" s="27" t="str">
        <f t="shared" si="9"/>
        <v>+</v>
      </c>
      <c r="H27" s="26">
        <f t="shared" si="10"/>
        <v>30278.400000000001</v>
      </c>
      <c r="I27" s="26">
        <f t="shared" si="11"/>
        <v>30960.206881364535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30">
        <v>511.1</v>
      </c>
      <c r="E28" s="29">
        <f t="shared" si="7"/>
        <v>8.3082725100378757E-2</v>
      </c>
      <c r="F28" s="28">
        <f t="shared" si="8"/>
        <v>32.720573749064187</v>
      </c>
      <c r="G28" s="27" t="str">
        <f t="shared" si="9"/>
        <v>+</v>
      </c>
      <c r="H28" s="26">
        <f t="shared" si="10"/>
        <v>16355.2</v>
      </c>
      <c r="I28" s="26">
        <f t="shared" si="11"/>
        <v>16723.485243146708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30.9</v>
      </c>
      <c r="D29" s="30">
        <v>528.5</v>
      </c>
      <c r="E29" s="29">
        <f t="shared" si="7"/>
        <v>8.5911211535022847E-2</v>
      </c>
      <c r="F29" s="28">
        <f t="shared" si="8"/>
        <v>31.595804026440103</v>
      </c>
      <c r="G29" s="27" t="str">
        <f t="shared" si="9"/>
        <v>+</v>
      </c>
      <c r="H29" s="26">
        <f t="shared" si="10"/>
        <v>16330.65</v>
      </c>
      <c r="I29" s="26">
        <f t="shared" si="11"/>
        <v>16698.382427973593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30.9</v>
      </c>
      <c r="D30" s="30">
        <v>320.39999999999998</v>
      </c>
      <c r="E30" s="29">
        <f t="shared" si="7"/>
        <v>5.2083164003446203E-2</v>
      </c>
      <c r="F30" s="28">
        <f t="shared" si="8"/>
        <v>31.595804026440103</v>
      </c>
      <c r="G30" s="27" t="str">
        <f t="shared" si="9"/>
        <v>+</v>
      </c>
      <c r="H30" s="26">
        <f t="shared" si="10"/>
        <v>9900.3599999999988</v>
      </c>
      <c r="I30" s="26">
        <f t="shared" si="11"/>
        <v>10123.295610071409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31.4</v>
      </c>
      <c r="D31" s="30">
        <v>93.4</v>
      </c>
      <c r="E31" s="29">
        <f t="shared" si="7"/>
        <v>1.5182794999756166E-2</v>
      </c>
      <c r="F31" s="28">
        <f t="shared" si="8"/>
        <v>32.107062991269231</v>
      </c>
      <c r="G31" s="27" t="str">
        <f t="shared" si="9"/>
        <v>+</v>
      </c>
      <c r="H31" s="26">
        <f t="shared" si="10"/>
        <v>2932.76</v>
      </c>
      <c r="I31" s="26">
        <f t="shared" si="11"/>
        <v>2998.7996833845464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33.028511571119374</v>
      </c>
      <c r="D32" s="22">
        <f>SUM(D26:D31)</f>
        <v>3603.7999999999997</v>
      </c>
      <c r="E32" s="21">
        <f t="shared" si="7"/>
        <v>0.58582180535461736</v>
      </c>
      <c r="F32" s="20">
        <f>I32/D32</f>
        <v>33.772245271394731</v>
      </c>
      <c r="G32" s="19">
        <f>F32/C32-1</f>
        <v>2.2517929658255831E-2</v>
      </c>
      <c r="H32" s="18">
        <f>SUM(H26:H31)</f>
        <v>119028.14999999998</v>
      </c>
      <c r="I32" s="18">
        <f>SUM(I26:I31)</f>
        <v>121708.41750905232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30">
        <v>993.1</v>
      </c>
      <c r="E34" s="29">
        <f t="shared" ref="E34:E40" si="13">D34/$D$48</f>
        <v>0.16143505047385276</v>
      </c>
      <c r="F34" s="28">
        <f t="shared" ref="F34:F39" si="14">C34-(C34*$E$6)</f>
        <v>19.325588870541033</v>
      </c>
      <c r="G34" s="27" t="str">
        <f t="shared" ref="G34:G39" si="15">IF(C34&gt;=F34,"-","+")</f>
        <v>+</v>
      </c>
      <c r="H34" s="26">
        <f t="shared" ref="H34:H39" si="16">C34*D34</f>
        <v>18769.59</v>
      </c>
      <c r="I34" s="26">
        <f t="shared" ref="I34:I39" si="17">F34*D34</f>
        <v>19192.242307334302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14.5</v>
      </c>
      <c r="D35" s="30"/>
      <c r="E35" s="29">
        <f t="shared" si="13"/>
        <v>0</v>
      </c>
      <c r="F35" s="28">
        <f t="shared" si="14"/>
        <v>14.82650998004471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30"/>
      <c r="E36" s="29">
        <f t="shared" si="13"/>
        <v>0</v>
      </c>
      <c r="F36" s="28">
        <f t="shared" si="14"/>
        <v>11.963459777001592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30.9</v>
      </c>
      <c r="D37" s="30"/>
      <c r="E37" s="29">
        <f t="shared" si="13"/>
        <v>0</v>
      </c>
      <c r="F37" s="28">
        <f t="shared" si="14"/>
        <v>31.595804026440103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30.9</v>
      </c>
      <c r="D38" s="30"/>
      <c r="E38" s="29">
        <f t="shared" si="13"/>
        <v>0</v>
      </c>
      <c r="F38" s="28">
        <f t="shared" si="14"/>
        <v>31.595804026440103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30"/>
      <c r="E39" s="29">
        <f t="shared" si="13"/>
        <v>0</v>
      </c>
      <c r="F39" s="28">
        <f t="shared" si="14"/>
        <v>32.720573749064187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993.1</v>
      </c>
      <c r="E40" s="113">
        <f t="shared" si="13"/>
        <v>0.16143505047385276</v>
      </c>
      <c r="F40" s="20">
        <f>I40/D40</f>
        <v>19.325588870541033</v>
      </c>
      <c r="G40" s="19">
        <f>F40/C40-1</f>
        <v>2.2517929658255831E-2</v>
      </c>
      <c r="H40" s="18">
        <f>SUM(H34:H39)</f>
        <v>18769.59</v>
      </c>
      <c r="I40" s="18">
        <f>SUM(I34:I39)</f>
        <v>19192.242307334302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1050</v>
      </c>
      <c r="E42" s="107">
        <f>D42/$D$48</f>
        <v>0.1706845262285222</v>
      </c>
      <c r="F42" s="28">
        <f>C42-(C42*$E$6)</f>
        <v>0.40900717186330238</v>
      </c>
      <c r="G42" s="27" t="str">
        <f>IF(C42&gt;=F42,"-","+")</f>
        <v>+</v>
      </c>
      <c r="H42" s="26">
        <f>C42*D42</f>
        <v>420</v>
      </c>
      <c r="I42" s="26">
        <f>F42*D42</f>
        <v>429.45753045646751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43.7</v>
      </c>
      <c r="E43" s="107">
        <f>D43/$D$48</f>
        <v>7.103727424939448E-3</v>
      </c>
      <c r="F43" s="28">
        <f>C43-(C43*$E$6)</f>
        <v>0.40900717186330238</v>
      </c>
      <c r="G43" s="27" t="str">
        <f>IF(C43&gt;=F43,"-","+")</f>
        <v>+</v>
      </c>
      <c r="H43" s="26">
        <f>C43*D43</f>
        <v>17.48</v>
      </c>
      <c r="I43" s="26">
        <f>F43*D43</f>
        <v>17.873613410426316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8.1278345823105811E-4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0.39817966687903888</v>
      </c>
      <c r="D46" s="22">
        <f>SUM(D41:D45)</f>
        <v>1098.7</v>
      </c>
      <c r="E46" s="113">
        <f>D46/$D$48</f>
        <v>0.17860103711169273</v>
      </c>
      <c r="F46" s="20">
        <f>I46/D46</f>
        <v>0.40714584860916886</v>
      </c>
      <c r="G46" s="19">
        <f>F46/C46-1</f>
        <v>2.2517929658255831E-2</v>
      </c>
      <c r="H46" s="18">
        <f>SUM(H41:H44)</f>
        <v>437.48</v>
      </c>
      <c r="I46" s="18">
        <f>SUM(I41:I44)</f>
        <v>447.33114386689385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100.7062351976564</v>
      </c>
      <c r="D48" s="13">
        <f>D24+D32+D40+D46</f>
        <v>6151.7</v>
      </c>
      <c r="E48" s="12">
        <f>SUM(E20:E46)/2</f>
        <v>0.99999999999999978</v>
      </c>
      <c r="F48" s="11">
        <f>I48/D48</f>
        <v>26.644794051965956</v>
      </c>
      <c r="G48" s="10"/>
      <c r="H48" s="9">
        <f>SUM(H20:H46)/2</f>
        <v>160301.13</v>
      </c>
      <c r="I48" s="9">
        <f>SUM(I20:I46)/2</f>
        <v>163910.77956947897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7644.7000000000007</v>
      </c>
      <c r="E50" s="12">
        <f>D50/G2</f>
        <v>1.0000261626005627</v>
      </c>
      <c r="F50" s="11">
        <f>I50/D50</f>
        <v>26.749300168744359</v>
      </c>
      <c r="G50" s="10"/>
      <c r="H50" s="9">
        <f>H48+H19</f>
        <v>199987.08000000002</v>
      </c>
      <c r="I50" s="9">
        <f>I48+I19</f>
        <v>204490.37500000003</v>
      </c>
      <c r="J50" s="106">
        <f>D50-G2</f>
        <v>0.2000000000007276</v>
      </c>
      <c r="K50" s="8"/>
    </row>
    <row r="51" spans="1:11" ht="23.25" x14ac:dyDescent="0.35">
      <c r="A51" s="174" t="s">
        <v>841</v>
      </c>
      <c r="B51" s="169"/>
      <c r="C51" s="170"/>
      <c r="G51" s="7"/>
      <c r="H51" s="6"/>
      <c r="I51" s="6">
        <f>+I50/D50</f>
        <v>26.749300168744359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834</v>
      </c>
      <c r="D1" s="100" t="s">
        <v>1</v>
      </c>
      <c r="E1" s="168" t="s">
        <v>750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842</v>
      </c>
      <c r="D2" s="96" t="s">
        <v>3</v>
      </c>
      <c r="E2" s="95" t="s">
        <v>71</v>
      </c>
      <c r="F2" s="94" t="s">
        <v>5</v>
      </c>
      <c r="G2" s="93">
        <v>3577.4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52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68.796153846153842</v>
      </c>
      <c r="F4" s="81" t="s">
        <v>12</v>
      </c>
      <c r="G4" s="80">
        <f>G2*G3</f>
        <v>100167.2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4.1927074686343158E-3</v>
      </c>
      <c r="F6" s="69" t="s">
        <v>16</v>
      </c>
      <c r="G6" s="68">
        <f>(I50-I19)/(D50-(SUM(D42:D44)+D19))</f>
        <v>32.998508833630765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27.88260419087824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560.29999999999995</v>
      </c>
      <c r="E11" s="29">
        <f t="shared" si="1"/>
        <v>0.5553573198533055</v>
      </c>
      <c r="F11" s="28">
        <f t="shared" si="2"/>
        <v>29.077572941915879</v>
      </c>
      <c r="G11" s="27" t="str">
        <f t="shared" si="3"/>
        <v>-</v>
      </c>
      <c r="H11" s="34">
        <f t="shared" si="4"/>
        <v>16360.759999999998</v>
      </c>
      <c r="I11" s="34">
        <f t="shared" si="5"/>
        <v>16292.164119355466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145.69999999999999</v>
      </c>
      <c r="E12" s="29">
        <f t="shared" si="1"/>
        <v>0.14441470908910695</v>
      </c>
      <c r="F12" s="28">
        <f t="shared" si="2"/>
        <v>26.48847398133433</v>
      </c>
      <c r="G12" s="27" t="str">
        <f t="shared" si="3"/>
        <v>-</v>
      </c>
      <c r="H12" s="34">
        <f t="shared" si="4"/>
        <v>3875.62</v>
      </c>
      <c r="I12" s="34">
        <f t="shared" si="5"/>
        <v>3859.3706590804118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272.89999999999998</v>
      </c>
      <c r="E13" s="29">
        <f t="shared" si="1"/>
        <v>0.27049261572009115</v>
      </c>
      <c r="F13" s="28">
        <f t="shared" si="2"/>
        <v>29.077572941915879</v>
      </c>
      <c r="G13" s="27" t="str">
        <f t="shared" si="3"/>
        <v>-</v>
      </c>
      <c r="H13" s="34">
        <f t="shared" si="4"/>
        <v>7968.6799999999994</v>
      </c>
      <c r="I13" s="34">
        <f t="shared" si="5"/>
        <v>7935.2696558488424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32.463317736522519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30</v>
      </c>
      <c r="E15" s="29">
        <f t="shared" si="1"/>
        <v>2.9735355337496282E-2</v>
      </c>
      <c r="F15" s="28">
        <f t="shared" si="2"/>
        <v>26.787216169093735</v>
      </c>
      <c r="G15" s="27" t="str">
        <f t="shared" si="3"/>
        <v>-</v>
      </c>
      <c r="H15" s="34">
        <f t="shared" si="4"/>
        <v>807</v>
      </c>
      <c r="I15" s="34">
        <f t="shared" si="5"/>
        <v>803.61648507281211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36.645708365154256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53.97275525520002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47.201265665986732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28.756130439092079</v>
      </c>
      <c r="D19" s="49">
        <f>SUM(D10:D18)</f>
        <v>1008.9</v>
      </c>
      <c r="E19" s="48">
        <f t="shared" si="1"/>
        <v>1</v>
      </c>
      <c r="F19" s="47">
        <f>I19/D19</f>
        <v>28.635564396231079</v>
      </c>
      <c r="G19" s="46">
        <f>F19/C19-1</f>
        <v>-4.1927074686342047E-3</v>
      </c>
      <c r="H19" s="9">
        <f>SUM(H10:H18)</f>
        <v>29012.059999999998</v>
      </c>
      <c r="I19" s="9">
        <f>SUM(I10:I18)</f>
        <v>28890.420919357533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31</v>
      </c>
      <c r="E21" s="29">
        <f>D21/$D$48</f>
        <v>1.2071181028776138E-2</v>
      </c>
      <c r="F21" s="28">
        <f>C21-(C21*$E$6)</f>
        <v>70.104833394208157</v>
      </c>
      <c r="G21" s="27" t="str">
        <f>IF(C21&gt;=F21,"-","+")</f>
        <v>-</v>
      </c>
      <c r="H21" s="26">
        <f>C21*D21</f>
        <v>2182.4</v>
      </c>
      <c r="I21" s="26">
        <f>F21*D21</f>
        <v>2173.249835220453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81.599999999999994</v>
      </c>
      <c r="E22" s="29">
        <f>D22/$D$48</f>
        <v>3.177446361123009E-2</v>
      </c>
      <c r="F22" s="28">
        <f>C22-(C22*$E$6)</f>
        <v>47.101684936733591</v>
      </c>
      <c r="G22" s="27" t="str">
        <f>IF(C22&gt;=F22,"-","+")</f>
        <v>-</v>
      </c>
      <c r="H22" s="26">
        <f>C22*D22</f>
        <v>3859.6799999999994</v>
      </c>
      <c r="I22" s="26">
        <f>F22*D22</f>
        <v>3843.4974908374606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52</v>
      </c>
      <c r="E23" s="29">
        <f>D23/$D$48</f>
        <v>2.0248432693430941E-2</v>
      </c>
      <c r="F23" s="28">
        <f>C23-(C23*$E$6)</f>
        <v>42.919294308101861</v>
      </c>
      <c r="G23" s="27" t="str">
        <f>IF(C23&gt;=F23,"-","+")</f>
        <v>-</v>
      </c>
      <c r="H23" s="26">
        <f>C23*D23</f>
        <v>2241.2000000000003</v>
      </c>
      <c r="I23" s="26">
        <f>F23*D23</f>
        <v>2231.8033040212968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50.323693803159181</v>
      </c>
      <c r="D24" s="22">
        <f>SUM(D21:D23)</f>
        <v>164.6</v>
      </c>
      <c r="E24" s="21">
        <f>D24/$D$48</f>
        <v>6.4094077333437166E-2</v>
      </c>
      <c r="F24" s="20">
        <f>I24/D24</f>
        <v>50.112701276301408</v>
      </c>
      <c r="G24" s="19">
        <f>F24/C24-1</f>
        <v>-4.1927074686343158E-3</v>
      </c>
      <c r="H24" s="18">
        <f>SUM(H21:H23)</f>
        <v>8283.2800000000007</v>
      </c>
      <c r="I24" s="18">
        <f>SUM(I21:I23)</f>
        <v>8248.5506300792113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162+360.1</f>
        <v>522.1</v>
      </c>
      <c r="E26" s="29">
        <f t="shared" ref="E26:E32" si="7">D26/$D$48</f>
        <v>0.2033020521007749</v>
      </c>
      <c r="F26" s="28">
        <f t="shared" ref="F26:F31" si="8">C26-(C26*$E$6)</f>
        <v>37.442354199179348</v>
      </c>
      <c r="G26" s="27" t="str">
        <f t="shared" ref="G26:G31" si="9">IF(C26&gt;=F26,"-","+")</f>
        <v>-</v>
      </c>
      <c r="H26" s="26">
        <f t="shared" ref="H26:H31" si="10">C26*D26</f>
        <v>19630.960000000003</v>
      </c>
      <c r="I26" s="26">
        <f t="shared" ref="I26:I31" si="11">F26*D26</f>
        <v>19548.653127391539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397</v>
      </c>
      <c r="E27" s="29">
        <f t="shared" si="7"/>
        <v>0.15458899575561699</v>
      </c>
      <c r="F27" s="28">
        <f t="shared" si="8"/>
        <v>33.359544299800753</v>
      </c>
      <c r="G27" s="27" t="str">
        <f t="shared" si="9"/>
        <v>-</v>
      </c>
      <c r="H27" s="26">
        <f t="shared" si="10"/>
        <v>13299.5</v>
      </c>
      <c r="I27" s="26">
        <f t="shared" si="11"/>
        <v>13243.739087020898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256.5</v>
      </c>
      <c r="E28" s="29">
        <f t="shared" si="7"/>
        <v>9.9879288189712243E-2</v>
      </c>
      <c r="F28" s="28">
        <f t="shared" si="8"/>
        <v>33.359544299800753</v>
      </c>
      <c r="G28" s="27" t="str">
        <f t="shared" si="9"/>
        <v>-</v>
      </c>
      <c r="H28" s="26">
        <f t="shared" si="10"/>
        <v>8592.75</v>
      </c>
      <c r="I28" s="26">
        <f t="shared" si="11"/>
        <v>8556.7231128988933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242</v>
      </c>
      <c r="E29" s="29">
        <f t="shared" si="7"/>
        <v>9.4233090611736306E-2</v>
      </c>
      <c r="F29" s="28">
        <f t="shared" si="8"/>
        <v>32.164575548763111</v>
      </c>
      <c r="G29" s="27" t="str">
        <f t="shared" si="9"/>
        <v>-</v>
      </c>
      <c r="H29" s="26">
        <f t="shared" si="10"/>
        <v>7816.5999999999995</v>
      </c>
      <c r="I29" s="26">
        <f t="shared" si="11"/>
        <v>7783.8272828006729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159</v>
      </c>
      <c r="E30" s="29">
        <f t="shared" si="7"/>
        <v>6.1913476889529223E-2</v>
      </c>
      <c r="F30" s="28">
        <f t="shared" si="8"/>
        <v>32.164575548763111</v>
      </c>
      <c r="G30" s="27" t="str">
        <f t="shared" si="9"/>
        <v>-</v>
      </c>
      <c r="H30" s="26">
        <f t="shared" si="10"/>
        <v>5135.7</v>
      </c>
      <c r="I30" s="26">
        <f t="shared" si="11"/>
        <v>5114.1675122533343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45</v>
      </c>
      <c r="E31" s="29">
        <f t="shared" si="7"/>
        <v>1.7522682138546006E-2</v>
      </c>
      <c r="F31" s="28">
        <f t="shared" si="8"/>
        <v>32.762059924281928</v>
      </c>
      <c r="G31" s="27" t="str">
        <f t="shared" si="9"/>
        <v>-</v>
      </c>
      <c r="H31" s="26">
        <f t="shared" si="10"/>
        <v>1480.5</v>
      </c>
      <c r="I31" s="26">
        <f t="shared" si="11"/>
        <v>1474.2926965926868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34.50666625555008</v>
      </c>
      <c r="D32" s="22">
        <f>SUM(D26:D31)</f>
        <v>1621.6</v>
      </c>
      <c r="E32" s="21">
        <f t="shared" si="7"/>
        <v>0.63143958568591563</v>
      </c>
      <c r="F32" s="20">
        <f>I32/D32</f>
        <v>34.36198989822276</v>
      </c>
      <c r="G32" s="19">
        <f>F32/C32-1</f>
        <v>-4.1927074686344268E-3</v>
      </c>
      <c r="H32" s="18">
        <f>SUM(H26:H31)</f>
        <v>55956.01</v>
      </c>
      <c r="I32" s="18">
        <f>SUM(I26:I31)</f>
        <v>55721.402818958028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351.8</v>
      </c>
      <c r="E34" s="29">
        <f t="shared" ref="E34:E40" si="13">D34/$D$48</f>
        <v>0.13698843502978858</v>
      </c>
      <c r="F34" s="28">
        <f t="shared" ref="F34:F39" si="14">C34-(C34*$E$6)</f>
        <v>19.716984392121041</v>
      </c>
      <c r="G34" s="27" t="str">
        <f t="shared" ref="G34:G39" si="15">IF(C34&gt;=F34,"-","+")</f>
        <v>-</v>
      </c>
      <c r="H34" s="26">
        <f t="shared" ref="H34:H39" si="16">C34*D34</f>
        <v>6965.64</v>
      </c>
      <c r="I34" s="26">
        <f t="shared" ref="I34:I39" si="17">F34*D34</f>
        <v>6936.4351091481822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12</v>
      </c>
      <c r="E35" s="29">
        <f t="shared" si="13"/>
        <v>4.6727152369456021E-3</v>
      </c>
      <c r="F35" s="28">
        <f t="shared" si="14"/>
        <v>15.136270846476759</v>
      </c>
      <c r="G35" s="27" t="str">
        <f t="shared" si="15"/>
        <v>-</v>
      </c>
      <c r="H35" s="26">
        <f t="shared" si="16"/>
        <v>182.39999999999998</v>
      </c>
      <c r="I35" s="26">
        <f t="shared" si="17"/>
        <v>181.63525015772109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12.14884896888266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32.164575548763111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32.164575548763111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33.359544299800753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19.648268279274326</v>
      </c>
      <c r="D40" s="22">
        <f>SUM(D34:D39)</f>
        <v>363.8</v>
      </c>
      <c r="E40" s="113">
        <f t="shared" si="13"/>
        <v>0.14166115026673418</v>
      </c>
      <c r="F40" s="20">
        <f>I40/D40</f>
        <v>19.565888838114084</v>
      </c>
      <c r="G40" s="19">
        <f>F40/C40-1</f>
        <v>-4.1927074686342047E-3</v>
      </c>
      <c r="H40" s="18">
        <f>SUM(H34:H39)</f>
        <v>7148.04</v>
      </c>
      <c r="I40" s="18">
        <f>SUM(I34:I39)</f>
        <v>7118.0703593059034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345</v>
      </c>
      <c r="E42" s="107">
        <f>D42/$D$48</f>
        <v>0.13434056306218606</v>
      </c>
      <c r="F42" s="28">
        <f>C42-(C42*$E$6)</f>
        <v>0.49790364626568284</v>
      </c>
      <c r="G42" s="27" t="str">
        <f>IF(C42&gt;=F42,"-","+")</f>
        <v>-</v>
      </c>
      <c r="H42" s="26">
        <f>C42*D42</f>
        <v>172.5</v>
      </c>
      <c r="I42" s="26">
        <f>F42*D42</f>
        <v>171.77675796166059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34.1</v>
      </c>
      <c r="E43" s="107">
        <f>D43/$D$48</f>
        <v>1.3278299131653752E-2</v>
      </c>
      <c r="F43" s="28">
        <f>C43-(C43*$E$6)</f>
        <v>0.49790364626568284</v>
      </c>
      <c r="G43" s="27" t="str">
        <f>IF(C43&gt;=F43,"-","+")</f>
        <v>-</v>
      </c>
      <c r="H43" s="26">
        <f>C43*D43</f>
        <v>17.05</v>
      </c>
      <c r="I43" s="26">
        <f>F43*D43</f>
        <v>16.978514337659785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29</v>
      </c>
      <c r="E44" s="107">
        <f>D44/$D$48</f>
        <v>1.1292395155951871E-2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10</v>
      </c>
      <c r="E45" s="107">
        <f>D45/$D$48</f>
        <v>3.893929364121335E-3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0.45336044008610382</v>
      </c>
      <c r="D46" s="22">
        <f>SUM(D41:D45)</f>
        <v>418.1</v>
      </c>
      <c r="E46" s="113">
        <f>D46/$D$48</f>
        <v>0.16280518671391303</v>
      </c>
      <c r="F46" s="20">
        <f>I46/D46</f>
        <v>0.45145963238297149</v>
      </c>
      <c r="G46" s="19">
        <f>F46/C46-1</f>
        <v>-4.1927074686343158E-3</v>
      </c>
      <c r="H46" s="18">
        <f>SUM(H41:H44)</f>
        <v>189.55</v>
      </c>
      <c r="I46" s="18">
        <f>SUM(I41:I44)</f>
        <v>188.75527229932038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104.93198877806969</v>
      </c>
      <c r="D48" s="13">
        <f>D24+D32+D40+D46</f>
        <v>2568.1</v>
      </c>
      <c r="E48" s="12">
        <f>SUM(E20:E46)/2</f>
        <v>1</v>
      </c>
      <c r="F48" s="11">
        <f>I48/D48</f>
        <v>27.754674304210301</v>
      </c>
      <c r="G48" s="10"/>
      <c r="H48" s="9">
        <f>SUM(H20:H46)/2</f>
        <v>71576.88</v>
      </c>
      <c r="I48" s="9">
        <f>SUM(I20:I46)/2</f>
        <v>71276.779080642475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3577.0000000000005</v>
      </c>
      <c r="E50" s="12">
        <f>D50/G2</f>
        <v>0.99988818695141735</v>
      </c>
      <c r="F50" s="11">
        <f>I50/D50</f>
        <v>28.003131115459883</v>
      </c>
      <c r="G50" s="10"/>
      <c r="H50" s="9">
        <f>H48+H19</f>
        <v>100588.94</v>
      </c>
      <c r="I50" s="9">
        <f>I48+I19</f>
        <v>100167.20000000001</v>
      </c>
      <c r="J50" s="106">
        <f>D50-G2</f>
        <v>-0.3999999999996362</v>
      </c>
      <c r="K50" s="8"/>
    </row>
    <row r="51" spans="1:11" ht="23.25" x14ac:dyDescent="0.35">
      <c r="A51" s="174" t="s">
        <v>843</v>
      </c>
      <c r="B51" s="169"/>
      <c r="C51" s="170"/>
      <c r="G51" s="7"/>
      <c r="H51" s="6"/>
      <c r="I51" s="6">
        <f>+I50/D50</f>
        <v>28.003131115459883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834</v>
      </c>
      <c r="D1" s="100" t="s">
        <v>1</v>
      </c>
      <c r="E1" s="168" t="s">
        <v>750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839</v>
      </c>
      <c r="D2" s="96" t="s">
        <v>3</v>
      </c>
      <c r="E2" s="95" t="s">
        <v>71</v>
      </c>
      <c r="F2" s="94" t="s">
        <v>5</v>
      </c>
      <c r="G2" s="93">
        <v>8602.7999999999993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108</v>
      </c>
      <c r="F3" s="88" t="s">
        <v>8</v>
      </c>
      <c r="G3" s="87">
        <v>27.5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79.655555555555551</v>
      </c>
      <c r="F4" s="81" t="s">
        <v>12</v>
      </c>
      <c r="G4" s="80">
        <f>G2*G3</f>
        <v>236576.99999999997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-3.7554541020017318E-3</v>
      </c>
      <c r="F6" s="69" t="s">
        <v>16</v>
      </c>
      <c r="G6" s="68">
        <f>(I50-I19)/(D50-(SUM(D42:D44)+D19))</f>
        <v>33.424930693371508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27.5</v>
      </c>
      <c r="D10" s="30"/>
      <c r="E10" s="29">
        <f t="shared" ref="E10:E19" si="1">D10/$D$19</f>
        <v>0</v>
      </c>
      <c r="F10" s="28">
        <f t="shared" ref="F10:F18" si="2">C10-(C10*$E$6)</f>
        <v>27.603274987805047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28.6</v>
      </c>
      <c r="D11" s="30"/>
      <c r="E11" s="29">
        <f t="shared" si="1"/>
        <v>0</v>
      </c>
      <c r="F11" s="28">
        <f t="shared" si="2"/>
        <v>28.707405987317252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26.2</v>
      </c>
      <c r="D12" s="30"/>
      <c r="E12" s="29">
        <f t="shared" si="1"/>
        <v>0</v>
      </c>
      <c r="F12" s="28">
        <f t="shared" si="2"/>
        <v>26.298392897472446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28.6</v>
      </c>
      <c r="D13" s="30">
        <v>363.6</v>
      </c>
      <c r="E13" s="29">
        <f t="shared" si="1"/>
        <v>0.60358565737051784</v>
      </c>
      <c r="F13" s="28">
        <f t="shared" si="2"/>
        <v>28.707405987317252</v>
      </c>
      <c r="G13" s="27" t="str">
        <f t="shared" si="3"/>
        <v>+</v>
      </c>
      <c r="H13" s="34">
        <f t="shared" si="4"/>
        <v>10398.960000000001</v>
      </c>
      <c r="I13" s="34">
        <f t="shared" si="5"/>
        <v>10438.012816988554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</v>
      </c>
      <c r="D14" s="30">
        <v>238.8</v>
      </c>
      <c r="E14" s="29">
        <f t="shared" si="1"/>
        <v>0.39641434262948205</v>
      </c>
      <c r="F14" s="28">
        <f t="shared" si="2"/>
        <v>32.120174531264055</v>
      </c>
      <c r="G14" s="27" t="str">
        <f t="shared" si="3"/>
        <v>+</v>
      </c>
      <c r="H14" s="34">
        <f t="shared" si="4"/>
        <v>7641.6</v>
      </c>
      <c r="I14" s="34">
        <f t="shared" si="5"/>
        <v>7670.2976780658564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26.4</v>
      </c>
      <c r="D15" s="30"/>
      <c r="E15" s="29">
        <f t="shared" si="1"/>
        <v>0</v>
      </c>
      <c r="F15" s="28">
        <f t="shared" si="2"/>
        <v>26.499143988292843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36.1</v>
      </c>
      <c r="D16" s="30"/>
      <c r="E16" s="29">
        <f t="shared" si="1"/>
        <v>0</v>
      </c>
      <c r="F16" s="28">
        <f t="shared" si="2"/>
        <v>36.235571893082266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53.2</v>
      </c>
      <c r="D17" s="30"/>
      <c r="E17" s="29">
        <f t="shared" si="1"/>
        <v>0</v>
      </c>
      <c r="F17" s="28">
        <f t="shared" si="2"/>
        <v>53.399790158226494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46.6</v>
      </c>
      <c r="D18" s="30"/>
      <c r="E18" s="29">
        <f t="shared" si="1"/>
        <v>0</v>
      </c>
      <c r="F18" s="28">
        <f t="shared" si="2"/>
        <v>46.775004161153284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29.947808764940238</v>
      </c>
      <c r="D19" s="49">
        <f>SUM(D10:D18)</f>
        <v>602.40000000000009</v>
      </c>
      <c r="E19" s="48">
        <f t="shared" si="1"/>
        <v>1</v>
      </c>
      <c r="F19" s="47">
        <f>I19/D19</f>
        <v>30.060276386212497</v>
      </c>
      <c r="G19" s="46">
        <f>F19/C19-1</f>
        <v>3.7554541020017318E-3</v>
      </c>
      <c r="H19" s="9">
        <f>SUM(H10:H18)</f>
        <v>18040.560000000001</v>
      </c>
      <c r="I19" s="9">
        <f>SUM(I10:I18)</f>
        <v>18108.310495054411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69.2</v>
      </c>
      <c r="D21" s="30">
        <v>108.5</v>
      </c>
      <c r="E21" s="29">
        <f>D21/$D$48</f>
        <v>1.3562330470869114E-2</v>
      </c>
      <c r="F21" s="28">
        <f>C21-(C21*$E$6)</f>
        <v>69.459877423858529</v>
      </c>
      <c r="G21" s="27" t="str">
        <f>IF(C21&gt;=F21,"-","+")</f>
        <v>+</v>
      </c>
      <c r="H21" s="26">
        <f>C21*D21</f>
        <v>7508.2000000000007</v>
      </c>
      <c r="I21" s="26">
        <f>F21*D21</f>
        <v>7536.3967004886508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46.4</v>
      </c>
      <c r="D22" s="30">
        <v>364.2</v>
      </c>
      <c r="E22" s="29">
        <f>D22/$D$48</f>
        <v>4.5524430944613191E-2</v>
      </c>
      <c r="F22" s="28">
        <f>C22-(C22*$E$6)</f>
        <v>46.57425307033288</v>
      </c>
      <c r="G22" s="27" t="str">
        <f>IF(C22&gt;=F22,"-","+")</f>
        <v>+</v>
      </c>
      <c r="H22" s="26">
        <f>C22*D22</f>
        <v>16898.879999999997</v>
      </c>
      <c r="I22" s="26">
        <f>F22*D22</f>
        <v>16962.342968215235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42.4</v>
      </c>
      <c r="D23" s="30">
        <v>249.1</v>
      </c>
      <c r="E23" s="29">
        <f>D23/$D$48</f>
        <v>3.1137110786115172E-2</v>
      </c>
      <c r="F23" s="28">
        <f>C23-(C23*$E$6)</f>
        <v>42.559231253924871</v>
      </c>
      <c r="G23" s="27" t="str">
        <f>IF(C23&gt;=F23,"-","+")</f>
        <v>+</v>
      </c>
      <c r="H23" s="26">
        <f>C23*D23</f>
        <v>10561.84</v>
      </c>
      <c r="I23" s="26">
        <f>F23*D23</f>
        <v>10601.504505352685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48.446827376004435</v>
      </c>
      <c r="D24" s="22">
        <f>SUM(D21:D23)</f>
        <v>721.8</v>
      </c>
      <c r="E24" s="21">
        <f>D24/$D$48</f>
        <v>9.0223872201597471E-2</v>
      </c>
      <c r="F24" s="20">
        <f>I24/D24</f>
        <v>48.628767212602618</v>
      </c>
      <c r="G24" s="19">
        <f>F24/C24-1</f>
        <v>3.7554541020017318E-3</v>
      </c>
      <c r="H24" s="18">
        <f>SUM(H21:H23)</f>
        <v>34968.92</v>
      </c>
      <c r="I24" s="18">
        <f>SUM(I21:I23)</f>
        <v>35100.24417405657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36.9</v>
      </c>
      <c r="D26" s="30">
        <f>277.6+1152.1</f>
        <v>1429.6999999999998</v>
      </c>
      <c r="E26" s="29">
        <f t="shared" ref="E26:E32" si="7">D26/$D$48</f>
        <v>0.17871026612167346</v>
      </c>
      <c r="F26" s="28">
        <f t="shared" ref="F26:F31" si="8">C26-(C26*$E$6)</f>
        <v>37.038576256363861</v>
      </c>
      <c r="G26" s="27" t="str">
        <f t="shared" ref="G26:G31" si="9">IF(C26&gt;=F26,"-","+")</f>
        <v>+</v>
      </c>
      <c r="H26" s="26">
        <f t="shared" ref="H26:H31" si="10">C26*D26</f>
        <v>52755.929999999993</v>
      </c>
      <c r="I26" s="26">
        <f t="shared" ref="I26:I31" si="11">F26*D26</f>
        <v>52954.052473723408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32.9</v>
      </c>
      <c r="D27" s="30">
        <f>1079.8+229</f>
        <v>1308.8</v>
      </c>
      <c r="E27" s="29">
        <f t="shared" si="7"/>
        <v>0.16359795502556218</v>
      </c>
      <c r="F27" s="28">
        <f t="shared" si="8"/>
        <v>33.023554439955852</v>
      </c>
      <c r="G27" s="27" t="str">
        <f t="shared" si="9"/>
        <v>+</v>
      </c>
      <c r="H27" s="26">
        <f t="shared" si="10"/>
        <v>43059.519999999997</v>
      </c>
      <c r="I27" s="26">
        <f t="shared" si="11"/>
        <v>43221.228051014215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32.9</v>
      </c>
      <c r="D28" s="30">
        <f>1221-436</f>
        <v>785</v>
      </c>
      <c r="E28" s="29">
        <f t="shared" si="7"/>
        <v>9.8123773452831839E-2</v>
      </c>
      <c r="F28" s="28">
        <f t="shared" si="8"/>
        <v>33.023554439955852</v>
      </c>
      <c r="G28" s="27" t="str">
        <f t="shared" si="9"/>
        <v>+</v>
      </c>
      <c r="H28" s="26">
        <f t="shared" si="10"/>
        <v>25826.5</v>
      </c>
      <c r="I28" s="26">
        <f t="shared" si="11"/>
        <v>25923.490235365345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31.8</v>
      </c>
      <c r="D29" s="30">
        <f>1030.4-311</f>
        <v>719.40000000000009</v>
      </c>
      <c r="E29" s="29">
        <f t="shared" si="7"/>
        <v>8.9923875951550616E-2</v>
      </c>
      <c r="F29" s="28">
        <f t="shared" si="8"/>
        <v>31.919423440443655</v>
      </c>
      <c r="G29" s="27" t="str">
        <f t="shared" si="9"/>
        <v>+</v>
      </c>
      <c r="H29" s="26">
        <f t="shared" si="10"/>
        <v>22876.920000000002</v>
      </c>
      <c r="I29" s="26">
        <f t="shared" si="11"/>
        <v>22962.833223055168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31.8</v>
      </c>
      <c r="D30" s="30">
        <f>656.6-156</f>
        <v>500.6</v>
      </c>
      <c r="E30" s="29">
        <f t="shared" si="7"/>
        <v>6.257421782227722E-2</v>
      </c>
      <c r="F30" s="28">
        <f t="shared" si="8"/>
        <v>31.919423440443655</v>
      </c>
      <c r="G30" s="27" t="str">
        <f t="shared" si="9"/>
        <v>+</v>
      </c>
      <c r="H30" s="26">
        <f t="shared" si="10"/>
        <v>15919.080000000002</v>
      </c>
      <c r="I30" s="26">
        <f t="shared" si="11"/>
        <v>15978.863374286095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32.299999999999997</v>
      </c>
      <c r="D31" s="30">
        <v>64.8</v>
      </c>
      <c r="E31" s="29">
        <f t="shared" si="7"/>
        <v>8.0998987512656082E-3</v>
      </c>
      <c r="F31" s="28">
        <f t="shared" si="8"/>
        <v>32.421301167494654</v>
      </c>
      <c r="G31" s="27" t="str">
        <f t="shared" si="9"/>
        <v>+</v>
      </c>
      <c r="H31" s="26">
        <f t="shared" si="10"/>
        <v>2093.0399999999995</v>
      </c>
      <c r="I31" s="26">
        <f t="shared" si="11"/>
        <v>2100.9003156536537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33.802173325291683</v>
      </c>
      <c r="D32" s="22">
        <f>SUM(D26:D31)</f>
        <v>4808.3</v>
      </c>
      <c r="E32" s="21">
        <f t="shared" si="7"/>
        <v>0.60102998712516098</v>
      </c>
      <c r="F32" s="20">
        <f>I32/D32</f>
        <v>33.929115835762715</v>
      </c>
      <c r="G32" s="19">
        <f>F32/C32-1</f>
        <v>3.7554541020015098E-3</v>
      </c>
      <c r="H32" s="18">
        <f>SUM(H26:H31)</f>
        <v>162530.99000000002</v>
      </c>
      <c r="I32" s="18">
        <f>SUM(I26:I31)</f>
        <v>163141.36767309788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v>1001</v>
      </c>
      <c r="E34" s="29">
        <f t="shared" ref="E34:E40" si="13">D34/$D$48</f>
        <v>0.12512343595705053</v>
      </c>
      <c r="F34" s="28">
        <f t="shared" ref="F34:F39" si="14">C34-(C34*$E$6)</f>
        <v>19.472855809578832</v>
      </c>
      <c r="G34" s="27" t="str">
        <f t="shared" ref="G34:G39" si="15">IF(C34&gt;=F34,"-","+")</f>
        <v>+</v>
      </c>
      <c r="H34" s="26">
        <f t="shared" ref="H34:H39" si="16">C34*D34</f>
        <v>19419.399999999998</v>
      </c>
      <c r="I34" s="26">
        <f t="shared" ref="I34:I39" si="17">F34*D34</f>
        <v>19492.32866538841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/>
      <c r="E35" s="29">
        <f t="shared" si="13"/>
        <v>0</v>
      </c>
      <c r="F35" s="28">
        <f t="shared" si="14"/>
        <v>14.955956266119825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12.045065449224021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31.8</v>
      </c>
      <c r="D37" s="30"/>
      <c r="E37" s="29">
        <f t="shared" si="13"/>
        <v>0</v>
      </c>
      <c r="F37" s="28">
        <f t="shared" si="14"/>
        <v>31.919423440443655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31.8</v>
      </c>
      <c r="D38" s="30"/>
      <c r="E38" s="29">
        <f t="shared" si="13"/>
        <v>0</v>
      </c>
      <c r="F38" s="28">
        <f t="shared" si="14"/>
        <v>31.919423440443655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32.9</v>
      </c>
      <c r="D39" s="30"/>
      <c r="E39" s="29">
        <f t="shared" si="13"/>
        <v>0</v>
      </c>
      <c r="F39" s="28">
        <f t="shared" si="14"/>
        <v>33.023554439955852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19.399999999999999</v>
      </c>
      <c r="D40" s="22">
        <f>SUM(D34:D39)</f>
        <v>1001</v>
      </c>
      <c r="E40" s="113">
        <f t="shared" si="13"/>
        <v>0.12512343595705053</v>
      </c>
      <c r="F40" s="20">
        <f>I40/D40</f>
        <v>19.472855809578832</v>
      </c>
      <c r="G40" s="19">
        <f>F40/C40-1</f>
        <v>3.7554541020017318E-3</v>
      </c>
      <c r="H40" s="18">
        <f>SUM(H34:H39)</f>
        <v>19419.399999999998</v>
      </c>
      <c r="I40" s="18">
        <f>SUM(I34:I39)</f>
        <v>19492.32866538841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1374</v>
      </c>
      <c r="E42" s="107">
        <f>D42/$D$48</f>
        <v>0.17174785315183561</v>
      </c>
      <c r="F42" s="28">
        <f>C42-(C42*$E$6)</f>
        <v>0.50187772705100087</v>
      </c>
      <c r="G42" s="27" t="str">
        <f>IF(C42&gt;=F42,"-","+")</f>
        <v>+</v>
      </c>
      <c r="H42" s="26">
        <f>C42*D42</f>
        <v>687</v>
      </c>
      <c r="I42" s="26">
        <f>F42*D42</f>
        <v>689.57999696807519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90</v>
      </c>
      <c r="E43" s="107">
        <f>D43/$D$48</f>
        <v>1.1249859376757791E-2</v>
      </c>
      <c r="F43" s="28">
        <f>C43-(C43*$E$6)</f>
        <v>0.50187772705100087</v>
      </c>
      <c r="G43" s="27" t="str">
        <f>IF(C43&gt;=F43,"-","+")</f>
        <v>+</v>
      </c>
      <c r="H43" s="26">
        <f>C43*D43</f>
        <v>45</v>
      </c>
      <c r="I43" s="26">
        <f>F43*D43</f>
        <v>45.16899543459008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</v>
      </c>
      <c r="E45" s="107">
        <f>D45/$D$48</f>
        <v>6.2499218759765496E-4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0.49829816201497618</v>
      </c>
      <c r="D46" s="22">
        <f>SUM(D41:D45)</f>
        <v>1469</v>
      </c>
      <c r="E46" s="113">
        <f>D46/$D$48</f>
        <v>0.18362270471619105</v>
      </c>
      <c r="F46" s="20">
        <f>I46/D46</f>
        <v>0.50016949789153531</v>
      </c>
      <c r="G46" s="19">
        <f>F46/C46-1</f>
        <v>3.7554541020019538E-3</v>
      </c>
      <c r="H46" s="18">
        <f>SUM(H41:H44)</f>
        <v>732</v>
      </c>
      <c r="I46" s="18">
        <f>SUM(I41:I44)</f>
        <v>734.74899240266529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102.14729886331111</v>
      </c>
      <c r="D48" s="13">
        <f>D24+D32+D40+D46</f>
        <v>8000.1</v>
      </c>
      <c r="E48" s="12">
        <f>SUM(E20:E46)/2</f>
        <v>1</v>
      </c>
      <c r="F48" s="11">
        <f>I48/D48</f>
        <v>27.308244835057753</v>
      </c>
      <c r="G48" s="10"/>
      <c r="H48" s="9">
        <f>SUM(H20:H46)/2</f>
        <v>217651.31000000003</v>
      </c>
      <c r="I48" s="9">
        <f>SUM(I20:I46)/2</f>
        <v>218468.68950494553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8602.5</v>
      </c>
      <c r="E50" s="12">
        <f>D50/G2</f>
        <v>0.99996512763286383</v>
      </c>
      <c r="F50" s="11">
        <f>I50/D50</f>
        <v>27.500959023539661</v>
      </c>
      <c r="G50" s="10"/>
      <c r="H50" s="9">
        <f>H48+H19</f>
        <v>235691.87000000002</v>
      </c>
      <c r="I50" s="9">
        <f>I48+I19</f>
        <v>236576.99999999994</v>
      </c>
      <c r="J50" s="106">
        <f>D50-G2</f>
        <v>-0.2999999999992724</v>
      </c>
      <c r="K50" s="8"/>
    </row>
    <row r="51" spans="1:11" ht="23.25" x14ac:dyDescent="0.35">
      <c r="A51" s="174" t="s">
        <v>844</v>
      </c>
      <c r="B51" s="169"/>
      <c r="C51" s="170"/>
      <c r="G51" s="7"/>
      <c r="H51" s="6"/>
      <c r="I51" s="6">
        <f>+I50/D50</f>
        <v>27.500959023539661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842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842</v>
      </c>
      <c r="D2" s="96" t="s">
        <v>3</v>
      </c>
      <c r="E2" s="95" t="s">
        <v>71</v>
      </c>
      <c r="F2" s="94" t="s">
        <v>5</v>
      </c>
      <c r="G2" s="116">
        <v>10080.1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124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81.29112903225807</v>
      </c>
      <c r="F4" s="81" t="s">
        <v>12</v>
      </c>
      <c r="G4" s="80">
        <f>G2*G3</f>
        <v>282242.8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9.1314943257508885E-3</v>
      </c>
      <c r="F6" s="69" t="s">
        <v>16</v>
      </c>
      <c r="G6" s="68">
        <f>(I50-I19)/(D50-(SUM(D42:D44)+D19))</f>
        <v>33.921494221687595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27.744318158878976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1440.5</v>
      </c>
      <c r="E11" s="29">
        <f t="shared" si="1"/>
        <v>0.21427083953114773</v>
      </c>
      <c r="F11" s="28">
        <f t="shared" si="2"/>
        <v>28.933360365688074</v>
      </c>
      <c r="G11" s="27" t="str">
        <f t="shared" si="3"/>
        <v>-</v>
      </c>
      <c r="H11" s="34">
        <f t="shared" si="4"/>
        <v>42062.6</v>
      </c>
      <c r="I11" s="34">
        <f t="shared" si="5"/>
        <v>41678.505606773673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3088.3</v>
      </c>
      <c r="E12" s="29">
        <f t="shared" si="1"/>
        <v>0.45937704527875289</v>
      </c>
      <c r="F12" s="28">
        <f t="shared" si="2"/>
        <v>26.357102250935029</v>
      </c>
      <c r="G12" s="27" t="str">
        <f t="shared" si="3"/>
        <v>-</v>
      </c>
      <c r="H12" s="34">
        <f t="shared" si="4"/>
        <v>82148.780000000013</v>
      </c>
      <c r="I12" s="34">
        <f t="shared" si="5"/>
        <v>81398.638881562656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2136</v>
      </c>
      <c r="E13" s="29">
        <f t="shared" si="1"/>
        <v>0.31772475754150054</v>
      </c>
      <c r="F13" s="28">
        <f t="shared" si="2"/>
        <v>28.933360365688074</v>
      </c>
      <c r="G13" s="27" t="str">
        <f t="shared" si="3"/>
        <v>-</v>
      </c>
      <c r="H13" s="34">
        <f t="shared" si="4"/>
        <v>62371.199999999997</v>
      </c>
      <c r="I13" s="34">
        <f t="shared" si="5"/>
        <v>61801.657741109724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32.302313284980521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58</v>
      </c>
      <c r="E15" s="29">
        <f t="shared" si="1"/>
        <v>8.6273576485987984E-3</v>
      </c>
      <c r="F15" s="28">
        <f t="shared" si="2"/>
        <v>26.654362802637301</v>
      </c>
      <c r="G15" s="27" t="str">
        <f t="shared" si="3"/>
        <v>-</v>
      </c>
      <c r="H15" s="34">
        <f t="shared" si="4"/>
        <v>1560.1999999999998</v>
      </c>
      <c r="I15" s="34">
        <f t="shared" si="5"/>
        <v>1545.9530425529636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36.463961008812362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53.705073007544307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46.967167168959406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27.985776759683468</v>
      </c>
      <c r="D19" s="49">
        <f>SUM(D10:D18)</f>
        <v>6722.8</v>
      </c>
      <c r="E19" s="48">
        <f t="shared" si="1"/>
        <v>1</v>
      </c>
      <c r="F19" s="47">
        <f>I19/D19</f>
        <v>27.730224798000688</v>
      </c>
      <c r="G19" s="46">
        <f>F19/C19-1</f>
        <v>-9.1314943257508885E-3</v>
      </c>
      <c r="H19" s="9">
        <f>SUM(H10:H18)</f>
        <v>188142.78000000003</v>
      </c>
      <c r="I19" s="9">
        <f>SUM(I10:I18)</f>
        <v>186424.75527199902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84.5</v>
      </c>
      <c r="E21" s="29">
        <f>D21/$D$48</f>
        <v>2.5169034640931707E-2</v>
      </c>
      <c r="F21" s="28">
        <f>C21-(C21*$E$6)</f>
        <v>69.757142799467147</v>
      </c>
      <c r="G21" s="27" t="str">
        <f>IF(C21&gt;=F21,"-","+")</f>
        <v>-</v>
      </c>
      <c r="H21" s="26">
        <f>C21*D21</f>
        <v>5948.8</v>
      </c>
      <c r="I21" s="26">
        <f>F21*D21</f>
        <v>5894.4785665549734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132.5</v>
      </c>
      <c r="E22" s="29">
        <f>D22/$D$48</f>
        <v>3.9466237750573389E-2</v>
      </c>
      <c r="F22" s="28">
        <f>C22-(C22*$E$6)</f>
        <v>46.868080318391982</v>
      </c>
      <c r="G22" s="27" t="str">
        <f>IF(C22&gt;=F22,"-","+")</f>
        <v>-</v>
      </c>
      <c r="H22" s="26">
        <f>C22*D22</f>
        <v>6267.25</v>
      </c>
      <c r="I22" s="26">
        <f>F22*D22</f>
        <v>6210.0206421869379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163.69999999999999</v>
      </c>
      <c r="E23" s="29">
        <f>D23/$D$48</f>
        <v>4.8759419771840472E-2</v>
      </c>
      <c r="F23" s="28">
        <f>C23-(C23*$E$6)</f>
        <v>42.706432594560141</v>
      </c>
      <c r="G23" s="27" t="str">
        <f>IF(C23&gt;=F23,"-","+")</f>
        <v>-</v>
      </c>
      <c r="H23" s="26">
        <f>C23*D23</f>
        <v>7055.4699999999993</v>
      </c>
      <c r="I23" s="26">
        <f>F23*D23</f>
        <v>6991.043015729495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50.621276595744675</v>
      </c>
      <c r="D24" s="22">
        <f>SUM(D21:D23)</f>
        <v>380.7</v>
      </c>
      <c r="E24" s="21">
        <f>D24/$D$48</f>
        <v>0.11339469216334556</v>
      </c>
      <c r="F24" s="20">
        <f>I24/D24</f>
        <v>50.159028695748376</v>
      </c>
      <c r="G24" s="19">
        <f>F24/C24-1</f>
        <v>-9.1314943257506664E-3</v>
      </c>
      <c r="H24" s="18">
        <f>SUM(H21:H23)</f>
        <v>19271.519999999997</v>
      </c>
      <c r="I24" s="18">
        <f>SUM(I21:I23)</f>
        <v>19095.542224471406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/>
      <c r="E26" s="29">
        <f t="shared" ref="E26:E32" si="7">D26/$D$48</f>
        <v>0</v>
      </c>
      <c r="F26" s="28">
        <f t="shared" ref="F26:F31" si="8">C26-(C26*$E$6)</f>
        <v>37.25665581335177</v>
      </c>
      <c r="G26" s="27" t="str">
        <f t="shared" ref="G26:G31" si="9">IF(C26&gt;=F26,"-","+")</f>
        <v>-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642.29999999999995</v>
      </c>
      <c r="E27" s="29">
        <f t="shared" si="7"/>
        <v>0.19131444911089271</v>
      </c>
      <c r="F27" s="28">
        <f t="shared" si="8"/>
        <v>33.194094940087346</v>
      </c>
      <c r="G27" s="27" t="str">
        <f t="shared" si="9"/>
        <v>-</v>
      </c>
      <c r="H27" s="26">
        <f t="shared" si="10"/>
        <v>21517.05</v>
      </c>
      <c r="I27" s="26">
        <f t="shared" si="11"/>
        <v>21320.567180018101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511.9</v>
      </c>
      <c r="E28" s="29">
        <f t="shared" si="7"/>
        <v>0.15247371399636617</v>
      </c>
      <c r="F28" s="28">
        <f t="shared" si="8"/>
        <v>33.194094940087346</v>
      </c>
      <c r="G28" s="27" t="str">
        <f t="shared" si="9"/>
        <v>-</v>
      </c>
      <c r="H28" s="26">
        <f t="shared" si="10"/>
        <v>17148.649999999998</v>
      </c>
      <c r="I28" s="26">
        <f t="shared" si="11"/>
        <v>16992.057199830713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496</v>
      </c>
      <c r="E29" s="29">
        <f t="shared" si="7"/>
        <v>0.14773776546629735</v>
      </c>
      <c r="F29" s="28">
        <f t="shared" si="8"/>
        <v>32.005052733278241</v>
      </c>
      <c r="G29" s="27" t="str">
        <f t="shared" si="9"/>
        <v>-</v>
      </c>
      <c r="H29" s="26">
        <f t="shared" si="10"/>
        <v>16020.8</v>
      </c>
      <c r="I29" s="26">
        <f t="shared" si="11"/>
        <v>15874.506155706007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546.29999999999995</v>
      </c>
      <c r="E30" s="29">
        <f t="shared" si="7"/>
        <v>0.16272004289160935</v>
      </c>
      <c r="F30" s="28">
        <f t="shared" si="8"/>
        <v>32.005052733278241</v>
      </c>
      <c r="G30" s="27" t="str">
        <f t="shared" si="9"/>
        <v>-</v>
      </c>
      <c r="H30" s="26">
        <f t="shared" si="10"/>
        <v>17645.489999999998</v>
      </c>
      <c r="I30" s="26">
        <f t="shared" si="11"/>
        <v>17484.360308189902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/>
      <c r="E31" s="29">
        <f t="shared" si="7"/>
        <v>0</v>
      </c>
      <c r="F31" s="28">
        <f t="shared" si="8"/>
        <v>32.599573836682794</v>
      </c>
      <c r="G31" s="27" t="str">
        <f t="shared" si="9"/>
        <v>-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32.930566810835415</v>
      </c>
      <c r="D32" s="22">
        <f>SUM(D26:D31)</f>
        <v>2196.5</v>
      </c>
      <c r="E32" s="21">
        <f t="shared" si="7"/>
        <v>0.65424597146516561</v>
      </c>
      <c r="F32" s="20">
        <f>I32/D32</f>
        <v>32.629861526858512</v>
      </c>
      <c r="G32" s="19">
        <f>F32/C32-1</f>
        <v>-9.1314943257508885E-3</v>
      </c>
      <c r="H32" s="18">
        <f>SUM(H26:H31)</f>
        <v>72331.989999999991</v>
      </c>
      <c r="I32" s="18">
        <f>SUM(I26:I31)</f>
        <v>71671.49084374473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244.2</v>
      </c>
      <c r="E34" s="29">
        <f t="shared" ref="E34:E40" si="13">D34/$D$48</f>
        <v>7.2737020820302034E-2</v>
      </c>
      <c r="F34" s="28">
        <f t="shared" ref="F34:F39" si="14">C34-(C34*$E$6)</f>
        <v>19.619196412350131</v>
      </c>
      <c r="G34" s="27" t="str">
        <f t="shared" ref="G34:G39" si="15">IF(C34&gt;=F34,"-","+")</f>
        <v>-</v>
      </c>
      <c r="H34" s="26">
        <f t="shared" ref="H34:H39" si="16">C34*D34</f>
        <v>4835.16</v>
      </c>
      <c r="I34" s="26">
        <f t="shared" ref="I34:I39" si="17">F34*D34</f>
        <v>4791.0077638959019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15.061201286248586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12.088595769225838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32.005052733278241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32.005052733278241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33.194094940087346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244.2</v>
      </c>
      <c r="E40" s="113">
        <f t="shared" si="13"/>
        <v>7.2737020820302034E-2</v>
      </c>
      <c r="F40" s="20">
        <f>I40/D40</f>
        <v>19.619196412350131</v>
      </c>
      <c r="G40" s="19">
        <f>F40/C40-1</f>
        <v>-9.1314943257509995E-3</v>
      </c>
      <c r="H40" s="18">
        <f>SUM(H34:H39)</f>
        <v>4835.16</v>
      </c>
      <c r="I40" s="18">
        <f>SUM(I34:I39)</f>
        <v>4791.0077638959019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501</v>
      </c>
      <c r="E42" s="107">
        <f>D42/$D$48</f>
        <v>0.14922705745688503</v>
      </c>
      <c r="F42" s="28">
        <f>C42-(C42*$E$6)</f>
        <v>0.49543425283712456</v>
      </c>
      <c r="G42" s="27" t="str">
        <f>IF(C42&gt;=F42,"-","+")</f>
        <v>-</v>
      </c>
      <c r="H42" s="26">
        <f>C42*D42</f>
        <v>250.5</v>
      </c>
      <c r="I42" s="26">
        <f>F42*D42</f>
        <v>248.21256067139942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23.8</v>
      </c>
      <c r="E43" s="107">
        <f>D43/$D$48</f>
        <v>7.0890298751973332E-3</v>
      </c>
      <c r="F43" s="28">
        <f>C43-(C43*$E$6)</f>
        <v>0.49543425283712456</v>
      </c>
      <c r="G43" s="27" t="str">
        <f>IF(C43&gt;=F43,"-","+")</f>
        <v>-</v>
      </c>
      <c r="H43" s="26">
        <f>C43*D43</f>
        <v>11.9</v>
      </c>
      <c r="I43" s="26">
        <f>F43*D43</f>
        <v>11.791335217523566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7.8</v>
      </c>
      <c r="E44" s="107">
        <f>D44/$D$48</f>
        <v>2.3232955053167728E-3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3.3</v>
      </c>
      <c r="E45" s="107">
        <f>D45/$D$48</f>
        <v>9.8293271378786535E-4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0.48964359022205645</v>
      </c>
      <c r="D46" s="22">
        <f>SUM(D41:D45)</f>
        <v>535.89999999999986</v>
      </c>
      <c r="E46" s="113">
        <f>D46/$D$48</f>
        <v>0.15962231555118697</v>
      </c>
      <c r="F46" s="20">
        <f>I46/D46</f>
        <v>0.48517241255630345</v>
      </c>
      <c r="G46" s="19">
        <f>F46/C46-1</f>
        <v>-9.1314943257508885E-3</v>
      </c>
      <c r="H46" s="18">
        <f>SUM(H41:H44)</f>
        <v>262.39999999999998</v>
      </c>
      <c r="I46" s="18">
        <f>SUM(I41:I44)</f>
        <v>260.00389588892295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103.84148699680215</v>
      </c>
      <c r="D48" s="13">
        <f>D24+D32+D40+D46</f>
        <v>3357.2999999999993</v>
      </c>
      <c r="E48" s="12">
        <f>SUM(E20:E46)/2</f>
        <v>1</v>
      </c>
      <c r="F48" s="11">
        <f>I48/D48</f>
        <v>28.540209313436687</v>
      </c>
      <c r="G48" s="10"/>
      <c r="H48" s="9">
        <f>SUM(H20:H46)/2</f>
        <v>96701.069999999992</v>
      </c>
      <c r="I48" s="9">
        <f>SUM(I20:I46)/2</f>
        <v>95818.044728000968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10080.1</v>
      </c>
      <c r="E50" s="12">
        <f>D50/G2</f>
        <v>1</v>
      </c>
      <c r="F50" s="11">
        <f>I50/D50</f>
        <v>27.999999999999996</v>
      </c>
      <c r="G50" s="10"/>
      <c r="H50" s="9">
        <f>H48+H19</f>
        <v>284843.85000000003</v>
      </c>
      <c r="I50" s="9">
        <f>I48+I19</f>
        <v>282242.8</v>
      </c>
      <c r="J50" s="106">
        <f>D50-G2</f>
        <v>0</v>
      </c>
      <c r="K50" s="8"/>
    </row>
    <row r="51" spans="1:11" ht="23.25" x14ac:dyDescent="0.35">
      <c r="A51" s="174" t="s">
        <v>845</v>
      </c>
      <c r="B51" s="169"/>
      <c r="C51" s="170"/>
      <c r="G51" s="7"/>
      <c r="H51" s="6"/>
      <c r="I51" s="6">
        <f>+I50/D50</f>
        <v>27.999999999999996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>
    <tabColor rgb="FF92D050"/>
  </sheetPr>
  <dimension ref="A1:K57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831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842</v>
      </c>
      <c r="D2" s="96" t="s">
        <v>3</v>
      </c>
      <c r="E2" s="95" t="s">
        <v>71</v>
      </c>
      <c r="F2" s="94" t="s">
        <v>5</v>
      </c>
      <c r="G2" s="93">
        <v>21710.9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246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88.255691056910578</v>
      </c>
      <c r="F4" s="81" t="s">
        <v>12</v>
      </c>
      <c r="G4" s="80">
        <f>G2*G3</f>
        <v>607905.20000000007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-3.2312715288966842E-3</v>
      </c>
      <c r="F6" s="69" t="s">
        <v>16</v>
      </c>
      <c r="G6" s="68">
        <f>(I50-I19)/(D50-(SUM(D42:D44)+D19))</f>
        <v>33.833787860235773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28.090475602809107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29.294353128643781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26.685951822668653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29.294353128643781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32.705339451842036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26.98692120412732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36.918910792263397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54.375134916866202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47.553162270469699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324.89999999999998</v>
      </c>
      <c r="E21" s="29">
        <f>D21/$D$48</f>
        <v>1.4964833332565668E-2</v>
      </c>
      <c r="F21" s="28">
        <f>C21-(C21*$E$6)</f>
        <v>70.627481515634329</v>
      </c>
      <c r="G21" s="27" t="str">
        <f>IF(C21&gt;=F21,"-","+")</f>
        <v>+</v>
      </c>
      <c r="H21" s="26">
        <f>C21*D21</f>
        <v>22872.959999999999</v>
      </c>
      <c r="I21" s="26">
        <f>F21*D21</f>
        <v>22946.868744429594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633.70000000000005</v>
      </c>
      <c r="E22" s="29">
        <f>D22/$D$48</f>
        <v>2.9188103671427715E-2</v>
      </c>
      <c r="F22" s="28">
        <f>C22-(C22*$E$6)</f>
        <v>47.452839143316808</v>
      </c>
      <c r="G22" s="27" t="str">
        <f>IF(C22&gt;=F22,"-","+")</f>
        <v>+</v>
      </c>
      <c r="H22" s="26">
        <f>C22*D22</f>
        <v>29974.010000000002</v>
      </c>
      <c r="I22" s="26">
        <f>F22*D22</f>
        <v>30070.864165119863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620.5</v>
      </c>
      <c r="E23" s="29">
        <f>D23/$D$48</f>
        <v>2.8580114136217291E-2</v>
      </c>
      <c r="F23" s="28">
        <f>C23-(C23*$E$6)</f>
        <v>43.239267802895448</v>
      </c>
      <c r="G23" s="27" t="str">
        <f>IF(C23&gt;=F23,"-","+")</f>
        <v>+</v>
      </c>
      <c r="H23" s="26">
        <f>C23*D23</f>
        <v>26743.55</v>
      </c>
      <c r="I23" s="26">
        <f>F23*D23</f>
        <v>26829.965671696624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50.402457095814079</v>
      </c>
      <c r="D24" s="22">
        <f>SUM(D21:D23)</f>
        <v>1579.1</v>
      </c>
      <c r="E24" s="21">
        <f>D24/$D$48</f>
        <v>7.2733051140210669E-2</v>
      </c>
      <c r="F24" s="20">
        <f>I24/D24</f>
        <v>50.565321120414211</v>
      </c>
      <c r="G24" s="19">
        <f>F24/C24-1</f>
        <v>3.2312715288964622E-3</v>
      </c>
      <c r="H24" s="18">
        <f>SUM(H21:H23)</f>
        <v>79590.52</v>
      </c>
      <c r="I24" s="18">
        <f>SUM(I21:I23)</f>
        <v>79847.698581246077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4688.5</v>
      </c>
      <c r="E26" s="29">
        <f t="shared" ref="E26:E32" si="7">D26/$D$48</f>
        <v>0.2159514345328844</v>
      </c>
      <c r="F26" s="28">
        <f t="shared" ref="F26:F31" si="8">C26-(C26*$E$6)</f>
        <v>37.72149580948652</v>
      </c>
      <c r="G26" s="27" t="str">
        <f t="shared" ref="G26:G31" si="9">IF(C26&gt;=F26,"-","+")</f>
        <v>+</v>
      </c>
      <c r="H26" s="26">
        <f t="shared" ref="H26:H31" si="10">C26*D26</f>
        <v>176287.6</v>
      </c>
      <c r="I26" s="26">
        <f t="shared" ref="I26:I31" si="11">F26*D26</f>
        <v>176857.23310277754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3072.8</v>
      </c>
      <c r="E27" s="29">
        <f t="shared" si="7"/>
        <v>0.14153259422686301</v>
      </c>
      <c r="F27" s="28">
        <f t="shared" si="8"/>
        <v>33.608247596218035</v>
      </c>
      <c r="G27" s="27" t="str">
        <f t="shared" si="9"/>
        <v>+</v>
      </c>
      <c r="H27" s="26">
        <f t="shared" si="10"/>
        <v>102938.8</v>
      </c>
      <c r="I27" s="26">
        <f t="shared" si="11"/>
        <v>103271.42321365878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1924.1</v>
      </c>
      <c r="E28" s="29">
        <f t="shared" si="7"/>
        <v>8.8623686719574032E-2</v>
      </c>
      <c r="F28" s="28">
        <f t="shared" si="8"/>
        <v>33.608247596218035</v>
      </c>
      <c r="G28" s="27" t="str">
        <f t="shared" si="9"/>
        <v>+</v>
      </c>
      <c r="H28" s="26">
        <f t="shared" si="10"/>
        <v>64457.35</v>
      </c>
      <c r="I28" s="26">
        <f t="shared" si="11"/>
        <v>64665.629199883122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1734.5</v>
      </c>
      <c r="E29" s="29">
        <f t="shared" si="7"/>
        <v>7.9890746122915218E-2</v>
      </c>
      <c r="F29" s="28">
        <f t="shared" si="8"/>
        <v>32.404370070383358</v>
      </c>
      <c r="G29" s="27" t="str">
        <f t="shared" si="9"/>
        <v>+</v>
      </c>
      <c r="H29" s="26">
        <f t="shared" si="10"/>
        <v>56024.35</v>
      </c>
      <c r="I29" s="26">
        <f t="shared" si="11"/>
        <v>56205.379887079936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1415.1</v>
      </c>
      <c r="E30" s="29">
        <f t="shared" si="7"/>
        <v>6.5179241763353879E-2</v>
      </c>
      <c r="F30" s="28">
        <f t="shared" si="8"/>
        <v>32.404370070383358</v>
      </c>
      <c r="G30" s="27" t="str">
        <f t="shared" si="9"/>
        <v>+</v>
      </c>
      <c r="H30" s="26">
        <f t="shared" si="10"/>
        <v>45707.729999999996</v>
      </c>
      <c r="I30" s="26">
        <f t="shared" si="11"/>
        <v>45855.424086599487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675.4</v>
      </c>
      <c r="E31" s="29">
        <f t="shared" si="7"/>
        <v>3.110879788493337E-2</v>
      </c>
      <c r="F31" s="28">
        <f t="shared" si="8"/>
        <v>33.0063088333007</v>
      </c>
      <c r="G31" s="27" t="str">
        <f t="shared" si="9"/>
        <v>+</v>
      </c>
      <c r="H31" s="26">
        <f t="shared" si="10"/>
        <v>22220.66</v>
      </c>
      <c r="I31" s="26">
        <f t="shared" si="11"/>
        <v>22292.460986011291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34.613075112505918</v>
      </c>
      <c r="D32" s="22">
        <f>SUM(D26:D31)</f>
        <v>13510.4</v>
      </c>
      <c r="E32" s="21">
        <f t="shared" si="7"/>
        <v>0.62228650125052387</v>
      </c>
      <c r="F32" s="20">
        <f>I32/D32</f>
        <v>34.724919356644527</v>
      </c>
      <c r="G32" s="19">
        <f>F32/C32-1</f>
        <v>3.2312715288969063E-3</v>
      </c>
      <c r="H32" s="18">
        <f>SUM(H26:H31)</f>
        <v>467636.48999999993</v>
      </c>
      <c r="I32" s="18">
        <f>SUM(I26:I31)</f>
        <v>469147.55047601019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2871.7</v>
      </c>
      <c r="E34" s="29">
        <f t="shared" ref="E34:E40" si="13">D34/$D$48</f>
        <v>0.13226996577755873</v>
      </c>
      <c r="F34" s="28">
        <f t="shared" ref="F34:F39" si="14">C34-(C34*$E$6)</f>
        <v>19.863979176272156</v>
      </c>
      <c r="G34" s="27" t="str">
        <f t="shared" ref="G34:G39" si="15">IF(C34&gt;=F34,"-","+")</f>
        <v>+</v>
      </c>
      <c r="H34" s="26">
        <f t="shared" ref="H34:H39" si="16">C34*D34</f>
        <v>56859.659999999996</v>
      </c>
      <c r="I34" s="26">
        <f t="shared" ref="I34:I39" si="17">F34*D34</f>
        <v>57043.389000500749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15.249115327239229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12.239421512652539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32.404370070383358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32.404370070383358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33.608247596218035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2871.7</v>
      </c>
      <c r="E40" s="113">
        <f t="shared" si="13"/>
        <v>0.13226996577755873</v>
      </c>
      <c r="F40" s="20">
        <f>I40/D40</f>
        <v>19.863979176272156</v>
      </c>
      <c r="G40" s="19">
        <f>F40/C40-1</f>
        <v>3.2312715288966842E-3</v>
      </c>
      <c r="H40" s="18">
        <f>SUM(H34:H39)</f>
        <v>56859.659999999996</v>
      </c>
      <c r="I40" s="18">
        <f>SUM(I34:I39)</f>
        <v>57043.389000500749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3570</v>
      </c>
      <c r="E42" s="107">
        <f>D42/$D$48</f>
        <v>0.16443353338645564</v>
      </c>
      <c r="F42" s="28">
        <f>C42-(C42*$E$6)</f>
        <v>0.50161563576444834</v>
      </c>
      <c r="G42" s="27" t="str">
        <f>IF(C42&gt;=F42,"-","+")</f>
        <v>+</v>
      </c>
      <c r="H42" s="26">
        <f>C42*D42</f>
        <v>1785</v>
      </c>
      <c r="I42" s="26">
        <f>F42*D42</f>
        <v>1790.7678196790805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151.1</v>
      </c>
      <c r="E43" s="107">
        <f>D43/$D$48</f>
        <v>6.9596377856284159E-3</v>
      </c>
      <c r="F43" s="28">
        <f>C43-(C43*$E$6)</f>
        <v>0.50161563576444834</v>
      </c>
      <c r="G43" s="27" t="str">
        <f>IF(C43&gt;=F43,"-","+")</f>
        <v>+</v>
      </c>
      <c r="H43" s="26">
        <f>C43*D43</f>
        <v>75.55</v>
      </c>
      <c r="I43" s="26">
        <f>F43*D43</f>
        <v>75.794122564008148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22.4</v>
      </c>
      <c r="E44" s="107">
        <f>D44/$D$48</f>
        <v>1.0317398173267805E-3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6.2</v>
      </c>
      <c r="E45" s="107">
        <f>D45/$D$48</f>
        <v>2.8557084229580533E-4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0.4961863615755927</v>
      </c>
      <c r="D46" s="22">
        <f>SUM(D41:D45)</f>
        <v>3749.7</v>
      </c>
      <c r="E46" s="113">
        <f>D46/$D$48</f>
        <v>0.17271048183170665</v>
      </c>
      <c r="F46" s="20">
        <f>I46/D46</f>
        <v>0.49778967443877875</v>
      </c>
      <c r="G46" s="19">
        <f>F46/C46-1</f>
        <v>3.2312715288966842E-3</v>
      </c>
      <c r="H46" s="18">
        <f>SUM(H41:H44)</f>
        <v>1860.55</v>
      </c>
      <c r="I46" s="18">
        <f>SUM(I41:I44)</f>
        <v>1866.5619422430887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105.31171856989559</v>
      </c>
      <c r="D48" s="13">
        <f>D24+D32+D40+D46</f>
        <v>21710.9</v>
      </c>
      <c r="E48" s="12">
        <f>SUM(E20:E46)/2</f>
        <v>1</v>
      </c>
      <c r="F48" s="11">
        <f>I48/D48</f>
        <v>28</v>
      </c>
      <c r="G48" s="10"/>
      <c r="H48" s="9">
        <f>SUM(H20:H46)/2</f>
        <v>605947.22</v>
      </c>
      <c r="I48" s="9">
        <f>SUM(I20:I46)/2</f>
        <v>607905.20000000007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21710.899999999994</v>
      </c>
      <c r="E50" s="12">
        <f>D50/G2</f>
        <v>0.99999999999999967</v>
      </c>
      <c r="F50" s="11">
        <f>I50/D50</f>
        <v>28.000000000000011</v>
      </c>
      <c r="G50" s="10"/>
      <c r="H50" s="9">
        <f>H48+H19</f>
        <v>605947.22</v>
      </c>
      <c r="I50" s="9">
        <f>I48+I19</f>
        <v>607905.20000000007</v>
      </c>
      <c r="J50" s="106">
        <f>D50-G2</f>
        <v>0</v>
      </c>
      <c r="K50" s="8"/>
    </row>
    <row r="51" spans="1:11" ht="23.25" x14ac:dyDescent="0.35">
      <c r="A51" s="174" t="s">
        <v>846</v>
      </c>
      <c r="B51" s="169"/>
      <c r="C51" s="170"/>
      <c r="G51" s="7"/>
      <c r="H51" s="6"/>
      <c r="I51" s="6">
        <f>+I50/D50</f>
        <v>28.000000000000011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  <row r="57" spans="1:11" x14ac:dyDescent="0.25">
      <c r="A57" s="1" t="s">
        <v>847</v>
      </c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>
    <tabColor rgb="FF92D050"/>
  </sheetPr>
  <dimension ref="A1:K57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839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848</v>
      </c>
      <c r="D2" s="96" t="s">
        <v>3</v>
      </c>
      <c r="E2" s="95" t="s">
        <v>71</v>
      </c>
      <c r="F2" s="94" t="s">
        <v>5</v>
      </c>
      <c r="G2" s="93">
        <v>3282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34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96.529411764705884</v>
      </c>
      <c r="F4" s="81" t="s">
        <v>12</v>
      </c>
      <c r="G4" s="80">
        <f>G2*G3</f>
        <v>91896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-9.695079764566672E-2</v>
      </c>
      <c r="F6" s="69" t="s">
        <v>16</v>
      </c>
      <c r="G6" s="68">
        <f>(I50-I19)/(D50-(SUM(D42:D44)+D19))</f>
        <v>33.825789566895352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30.714622334078669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>
        <f t="shared" si="1"/>
        <v>0</v>
      </c>
      <c r="F11" s="28">
        <f t="shared" si="2"/>
        <v>32.030963291253471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29.178891217374737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32.030963291253471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35.760596003248736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143.80000000000001</v>
      </c>
      <c r="E15" s="29">
        <f t="shared" si="1"/>
        <v>0.84687868080094231</v>
      </c>
      <c r="F15" s="28">
        <f t="shared" si="2"/>
        <v>29.507976456668434</v>
      </c>
      <c r="G15" s="27" t="str">
        <f t="shared" si="3"/>
        <v>+</v>
      </c>
      <c r="H15" s="34">
        <f t="shared" si="4"/>
        <v>3868.2200000000003</v>
      </c>
      <c r="I15" s="34">
        <f t="shared" si="5"/>
        <v>4243.2470144689214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40.367789353360536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>
        <v>26</v>
      </c>
      <c r="E17" s="29">
        <f t="shared" si="1"/>
        <v>0.15312131919905769</v>
      </c>
      <c r="F17" s="28">
        <f t="shared" si="2"/>
        <v>59.454733232395142</v>
      </c>
      <c r="G17" s="27" t="str">
        <f t="shared" si="3"/>
        <v>+</v>
      </c>
      <c r="H17" s="34">
        <f t="shared" si="4"/>
        <v>1409.2</v>
      </c>
      <c r="I17" s="34">
        <f t="shared" si="5"/>
        <v>1545.8230640422737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51.995467808404598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31.080212014134275</v>
      </c>
      <c r="D19" s="49">
        <f>SUM(D10:D18)</f>
        <v>169.8</v>
      </c>
      <c r="E19" s="48">
        <f t="shared" si="1"/>
        <v>1</v>
      </c>
      <c r="F19" s="47">
        <f>I19/D19</f>
        <v>34.09346335990103</v>
      </c>
      <c r="G19" s="46">
        <f>F19/C19-1</f>
        <v>9.695079764566672E-2</v>
      </c>
      <c r="H19" s="9">
        <f>SUM(H10:H18)</f>
        <v>5277.42</v>
      </c>
      <c r="I19" s="9">
        <f>SUM(I10:I18)</f>
        <v>5789.0700785111949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/>
      <c r="E21" s="29">
        <f>D21/$D$48</f>
        <v>0</v>
      </c>
      <c r="F21" s="28">
        <f>C21-(C21*$E$6)</f>
        <v>77.225336154254947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166.7</v>
      </c>
      <c r="E22" s="29">
        <f>D22/$D$48</f>
        <v>5.3559953733453278E-2</v>
      </c>
      <c r="F22" s="28">
        <f>C22-(C22*$E$6)</f>
        <v>51.885772728640035</v>
      </c>
      <c r="G22" s="27" t="str">
        <f>IF(C22&gt;=F22,"-","+")</f>
        <v>+</v>
      </c>
      <c r="H22" s="26">
        <f>C22*D22</f>
        <v>7884.9099999999989</v>
      </c>
      <c r="I22" s="26">
        <f>F22*D22</f>
        <v>8649.3583138642935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/>
      <c r="E23" s="29">
        <f>D23/$D$48</f>
        <v>0</v>
      </c>
      <c r="F23" s="28">
        <f>C23-(C23*$E$6)</f>
        <v>47.278579378528235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</v>
      </c>
      <c r="D24" s="22">
        <f>SUM(D21:D23)</f>
        <v>166.7</v>
      </c>
      <c r="E24" s="21">
        <f>D24/$D$48</f>
        <v>5.3559953733453278E-2</v>
      </c>
      <c r="F24" s="20">
        <f>I24/D24</f>
        <v>51.885772728640035</v>
      </c>
      <c r="G24" s="19">
        <f>F24/C24-1</f>
        <v>9.695079764566672E-2</v>
      </c>
      <c r="H24" s="18">
        <f>SUM(H21:H23)</f>
        <v>7884.9099999999989</v>
      </c>
      <c r="I24" s="18">
        <f>SUM(I21:I23)</f>
        <v>8649.3583138642935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/>
      <c r="E26" s="29">
        <f t="shared" ref="E26:E32" si="7">D26/$D$48</f>
        <v>0</v>
      </c>
      <c r="F26" s="28">
        <f t="shared" ref="F26:F31" si="8">C26-(C26*$E$6)</f>
        <v>41.24534999147707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920.7</v>
      </c>
      <c r="E27" s="29">
        <f t="shared" si="7"/>
        <v>0.2958167330677291</v>
      </c>
      <c r="F27" s="28">
        <f t="shared" si="8"/>
        <v>36.747851721129834</v>
      </c>
      <c r="G27" s="27" t="str">
        <f t="shared" si="9"/>
        <v>+</v>
      </c>
      <c r="H27" s="26">
        <f t="shared" si="10"/>
        <v>30843.45</v>
      </c>
      <c r="I27" s="26">
        <f t="shared" si="11"/>
        <v>33833.747079644243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467.8</v>
      </c>
      <c r="E28" s="29">
        <f t="shared" si="7"/>
        <v>0.15030201773550958</v>
      </c>
      <c r="F28" s="28">
        <f t="shared" si="8"/>
        <v>36.747851721129834</v>
      </c>
      <c r="G28" s="27" t="str">
        <f t="shared" si="9"/>
        <v>+</v>
      </c>
      <c r="H28" s="26">
        <f t="shared" si="10"/>
        <v>15671.300000000001</v>
      </c>
      <c r="I28" s="26">
        <f t="shared" si="11"/>
        <v>17190.645035144538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366.2</v>
      </c>
      <c r="E29" s="29">
        <f t="shared" si="7"/>
        <v>0.11765839866341087</v>
      </c>
      <c r="F29" s="28">
        <f t="shared" si="8"/>
        <v>35.431510763955032</v>
      </c>
      <c r="G29" s="27" t="str">
        <f t="shared" si="9"/>
        <v>+</v>
      </c>
      <c r="H29" s="26">
        <f t="shared" si="10"/>
        <v>11828.259999999998</v>
      </c>
      <c r="I29" s="26">
        <f t="shared" si="11"/>
        <v>12975.019241760332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/>
      <c r="E30" s="29">
        <f t="shared" si="7"/>
        <v>0</v>
      </c>
      <c r="F30" s="28">
        <f t="shared" si="8"/>
        <v>35.431510763955032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/>
      <c r="E31" s="29">
        <f t="shared" si="7"/>
        <v>0</v>
      </c>
      <c r="F31" s="28">
        <f t="shared" si="8"/>
        <v>36.089681242542433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33.249564028038975</v>
      </c>
      <c r="D32" s="22">
        <f>SUM(D26:D31)</f>
        <v>1754.7</v>
      </c>
      <c r="E32" s="21">
        <f t="shared" si="7"/>
        <v>0.56377714946664947</v>
      </c>
      <c r="F32" s="20">
        <f>I32/D32</f>
        <v>36.473135781928029</v>
      </c>
      <c r="G32" s="19">
        <f>F32/C32-1</f>
        <v>9.6950797645666942E-2</v>
      </c>
      <c r="H32" s="18">
        <f>SUM(H26:H31)</f>
        <v>58343.009999999995</v>
      </c>
      <c r="I32" s="18">
        <f>SUM(I26:I31)</f>
        <v>63999.411356549113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259+305</f>
        <v>564</v>
      </c>
      <c r="E34" s="29">
        <f t="shared" ref="E34:E40" si="13">D34/$D$48</f>
        <v>0.18121064130574477</v>
      </c>
      <c r="F34" s="28">
        <f t="shared" ref="F34:F39" si="14">C34-(C34*$E$6)</f>
        <v>21.719625793384203</v>
      </c>
      <c r="G34" s="27" t="str">
        <f t="shared" ref="G34:G39" si="15">IF(C34&gt;=F34,"-","+")</f>
        <v>+</v>
      </c>
      <c r="H34" s="26">
        <f t="shared" ref="H34:H39" si="16">C34*D34</f>
        <v>11167.2</v>
      </c>
      <c r="I34" s="26">
        <f t="shared" ref="I34:I39" si="17">F34*D34</f>
        <v>12249.868947468691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54</v>
      </c>
      <c r="E35" s="29">
        <f t="shared" si="13"/>
        <v>1.7349955018635135E-2</v>
      </c>
      <c r="F35" s="28">
        <f t="shared" si="14"/>
        <v>16.673652124214133</v>
      </c>
      <c r="G35" s="27" t="str">
        <f t="shared" si="15"/>
        <v>+</v>
      </c>
      <c r="H35" s="26">
        <f t="shared" si="16"/>
        <v>820.8</v>
      </c>
      <c r="I35" s="26">
        <f t="shared" si="17"/>
        <v>900.37721470756321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13.382799731277133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35.431510763955032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35.431510763955032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36.747851721129834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19.398058252427184</v>
      </c>
      <c r="D40" s="22">
        <f>SUM(D34:D39)</f>
        <v>618</v>
      </c>
      <c r="E40" s="113">
        <f t="shared" si="13"/>
        <v>0.19856059632437989</v>
      </c>
      <c r="F40" s="20">
        <f>I40/D40</f>
        <v>21.278715472777112</v>
      </c>
      <c r="G40" s="19">
        <f>F40/C40-1</f>
        <v>9.6950797645666942E-2</v>
      </c>
      <c r="H40" s="18">
        <f>SUM(H34:H39)</f>
        <v>11988</v>
      </c>
      <c r="I40" s="18">
        <f>SUM(I34:I39)</f>
        <v>13150.246162176254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348.7+200-24</f>
        <v>524.70000000000005</v>
      </c>
      <c r="E42" s="107">
        <f>D42/$D$48</f>
        <v>0.1685837295977381</v>
      </c>
      <c r="F42" s="28">
        <f>C42-(C42*$E$6)</f>
        <v>0.54847539882283336</v>
      </c>
      <c r="G42" s="27" t="str">
        <f>IF(C42&gt;=F42,"-","+")</f>
        <v>+</v>
      </c>
      <c r="H42" s="26">
        <f>C42*D42</f>
        <v>262.35000000000002</v>
      </c>
      <c r="I42" s="26">
        <f>F42*D42</f>
        <v>287.78504176234071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36.700000000000003</v>
      </c>
      <c r="E43" s="107">
        <f>D43/$D$48</f>
        <v>1.1791543503405732E-2</v>
      </c>
      <c r="F43" s="28">
        <f>C43-(C43*$E$6)</f>
        <v>0.54847539882283336</v>
      </c>
      <c r="G43" s="27" t="str">
        <f>IF(C43&gt;=F43,"-","+")</f>
        <v>+</v>
      </c>
      <c r="H43" s="26">
        <f>C43*D43</f>
        <v>18.350000000000001</v>
      </c>
      <c r="I43" s="26">
        <f>F43*D43</f>
        <v>20.129047136797986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5.4</v>
      </c>
      <c r="E44" s="107">
        <f>D44/$D$48</f>
        <v>1.7349955018635137E-3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6.2</v>
      </c>
      <c r="E45" s="107">
        <f>D45/$D$48</f>
        <v>1.9920318725099601E-3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0.48987783595113438</v>
      </c>
      <c r="D46" s="22">
        <f>SUM(D41:D45)</f>
        <v>573.00000000000011</v>
      </c>
      <c r="E46" s="113">
        <f>D46/$D$48</f>
        <v>0.18410230047551732</v>
      </c>
      <c r="F46" s="20">
        <f>I46/D46</f>
        <v>0.53737188289552984</v>
      </c>
      <c r="G46" s="19">
        <f>F46/C46-1</f>
        <v>9.6950797645666498E-2</v>
      </c>
      <c r="H46" s="18">
        <f>SUM(H41:H44)</f>
        <v>280.70000000000005</v>
      </c>
      <c r="I46" s="18">
        <f>SUM(I41:I44)</f>
        <v>307.91408889913868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100.4375001164173</v>
      </c>
      <c r="D48" s="13">
        <f>D24+D32+D40+D46</f>
        <v>3112.4</v>
      </c>
      <c r="E48" s="12">
        <f>SUM(E20:E46)/2</f>
        <v>1</v>
      </c>
      <c r="F48" s="11">
        <f>I48/D48</f>
        <v>27.665765943159229</v>
      </c>
      <c r="G48" s="10"/>
      <c r="H48" s="9">
        <f>SUM(H20:H46)/2</f>
        <v>78496.62000000001</v>
      </c>
      <c r="I48" s="9">
        <f>SUM(I20:I46)/2</f>
        <v>86106.929921488787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3282.1999999999994</v>
      </c>
      <c r="E50" s="12">
        <f>D50/G2</f>
        <v>1.000060938452163</v>
      </c>
      <c r="F50" s="11">
        <f>I50/D50</f>
        <v>27.998293827310953</v>
      </c>
      <c r="G50" s="10"/>
      <c r="H50" s="9">
        <f>H48+H19</f>
        <v>83774.040000000008</v>
      </c>
      <c r="I50" s="9">
        <f>I48+I19</f>
        <v>91895.999999999985</v>
      </c>
      <c r="J50" s="106">
        <f>D50-G2</f>
        <v>0.19999999999936335</v>
      </c>
      <c r="K50" s="8"/>
    </row>
    <row r="51" spans="1:11" ht="23.25" x14ac:dyDescent="0.35">
      <c r="A51" s="174" t="s">
        <v>849</v>
      </c>
      <c r="B51" s="169"/>
      <c r="C51" s="170"/>
      <c r="G51" s="7"/>
      <c r="H51" s="6"/>
      <c r="I51" s="6">
        <f>+I50/D50</f>
        <v>27.998293827310953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  <row r="57" spans="1:11" x14ac:dyDescent="0.25">
      <c r="A57" s="1" t="s">
        <v>850</v>
      </c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842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848</v>
      </c>
      <c r="D2" s="96" t="s">
        <v>3</v>
      </c>
      <c r="E2" s="95" t="s">
        <v>71</v>
      </c>
      <c r="F2" s="94" t="s">
        <v>5</v>
      </c>
      <c r="G2" s="116">
        <v>1255.9000000000001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78.493750000000006</v>
      </c>
      <c r="F4" s="81" t="s">
        <v>12</v>
      </c>
      <c r="G4" s="80">
        <f>G2*G3</f>
        <v>35165.200000000004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-2.6885529916391704E-3</v>
      </c>
      <c r="F6" s="69" t="s">
        <v>16</v>
      </c>
      <c r="G6" s="68">
        <f>(I50-I19)/(D50-(SUM(D42:D44)+D19))</f>
        <v>31.338573279380718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28.075279483765897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566.70000000000005</v>
      </c>
      <c r="E11" s="29">
        <f t="shared" si="1"/>
        <v>0.90860990860990865</v>
      </c>
      <c r="F11" s="28">
        <f t="shared" si="2"/>
        <v>29.278505747355862</v>
      </c>
      <c r="G11" s="27" t="str">
        <f t="shared" si="3"/>
        <v>+</v>
      </c>
      <c r="H11" s="34">
        <f t="shared" si="4"/>
        <v>16547.64</v>
      </c>
      <c r="I11" s="34">
        <f t="shared" si="5"/>
        <v>16592.12920702657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26.671515509577603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29.278505747355862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32.687646827527438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57</v>
      </c>
      <c r="E15" s="29">
        <f t="shared" si="1"/>
        <v>9.1390091390091382E-2</v>
      </c>
      <c r="F15" s="28">
        <f t="shared" si="2"/>
        <v>26.972322075475091</v>
      </c>
      <c r="G15" s="27" t="str">
        <f t="shared" si="3"/>
        <v>+</v>
      </c>
      <c r="H15" s="34">
        <f t="shared" si="4"/>
        <v>1533.3</v>
      </c>
      <c r="I15" s="34">
        <f t="shared" si="5"/>
        <v>1537.4223583020803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36.89893875009232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54.345719572146848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47.527437411803696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28.989802789802784</v>
      </c>
      <c r="D19" s="49">
        <f>SUM(D10:D18)</f>
        <v>623.70000000000005</v>
      </c>
      <c r="E19" s="48">
        <f t="shared" si="1"/>
        <v>1</v>
      </c>
      <c r="F19" s="47">
        <f>I19/D19</f>
        <v>29.067743410820341</v>
      </c>
      <c r="G19" s="46">
        <f>F19/C19-1</f>
        <v>2.6885529916393924E-3</v>
      </c>
      <c r="H19" s="9">
        <f>SUM(H10:H18)</f>
        <v>18080.939999999999</v>
      </c>
      <c r="I19" s="9">
        <f>SUM(I10:I18)</f>
        <v>18129.551565328649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/>
      <c r="E21" s="29">
        <f>D21/$D$48</f>
        <v>0</v>
      </c>
      <c r="F21" s="28">
        <f>C21-(C21*$E$6)</f>
        <v>70.5892741306114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35.4</v>
      </c>
      <c r="E22" s="29">
        <f>D22/$D$48</f>
        <v>5.6021522392783671E-2</v>
      </c>
      <c r="F22" s="28">
        <f>C22-(C22*$E$6)</f>
        <v>47.427168556504533</v>
      </c>
      <c r="G22" s="27" t="str">
        <f>IF(C22&gt;=F22,"-","+")</f>
        <v>+</v>
      </c>
      <c r="H22" s="26">
        <f>C22*D22</f>
        <v>1674.4199999999998</v>
      </c>
      <c r="I22" s="26">
        <f>F22*D22</f>
        <v>1678.9217669002603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/>
      <c r="E23" s="29">
        <f>D23/$D$48</f>
        <v>0</v>
      </c>
      <c r="F23" s="28">
        <f>C23-(C23*$E$6)</f>
        <v>43.215876633939651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47.3</v>
      </c>
      <c r="D24" s="22">
        <f>SUM(D21:D23)</f>
        <v>35.4</v>
      </c>
      <c r="E24" s="21">
        <f>D24/$D$48</f>
        <v>5.6021522392783671E-2</v>
      </c>
      <c r="F24" s="20">
        <f>I24/D24</f>
        <v>47.427168556504533</v>
      </c>
      <c r="G24" s="19">
        <f>F24/C24-1</f>
        <v>2.6885529916391704E-3</v>
      </c>
      <c r="H24" s="18">
        <f>SUM(H21:H23)</f>
        <v>1674.4199999999998</v>
      </c>
      <c r="I24" s="18">
        <f>SUM(I21:I23)</f>
        <v>1678.9217669002603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/>
      <c r="E26" s="29">
        <f t="shared" ref="E26:E32" si="7">D26/$D$48</f>
        <v>0</v>
      </c>
      <c r="F26" s="28">
        <f t="shared" ref="F26:F31" si="8">C26-(C26*$E$6)</f>
        <v>37.701089592485637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196.5</v>
      </c>
      <c r="E27" s="29">
        <f t="shared" si="7"/>
        <v>0.31096692514638391</v>
      </c>
      <c r="F27" s="28">
        <f t="shared" si="8"/>
        <v>33.59006652521991</v>
      </c>
      <c r="G27" s="27" t="str">
        <f t="shared" si="9"/>
        <v>+</v>
      </c>
      <c r="H27" s="26">
        <f t="shared" si="10"/>
        <v>6582.75</v>
      </c>
      <c r="I27" s="26">
        <f t="shared" si="11"/>
        <v>6600.4480722057124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112</v>
      </c>
      <c r="E28" s="29">
        <f t="shared" si="7"/>
        <v>0.17724323468903308</v>
      </c>
      <c r="F28" s="28">
        <f t="shared" si="8"/>
        <v>33.59006652521991</v>
      </c>
      <c r="G28" s="27" t="str">
        <f t="shared" si="9"/>
        <v>+</v>
      </c>
      <c r="H28" s="26">
        <f t="shared" si="10"/>
        <v>3752</v>
      </c>
      <c r="I28" s="26">
        <f t="shared" si="11"/>
        <v>3762.0874508246297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83</v>
      </c>
      <c r="E29" s="29">
        <f t="shared" si="7"/>
        <v>0.13134989713562273</v>
      </c>
      <c r="F29" s="28">
        <f t="shared" si="8"/>
        <v>32.386840261629942</v>
      </c>
      <c r="G29" s="27" t="str">
        <f t="shared" si="9"/>
        <v>+</v>
      </c>
      <c r="H29" s="26">
        <f t="shared" si="10"/>
        <v>2680.8999999999996</v>
      </c>
      <c r="I29" s="26">
        <f t="shared" si="11"/>
        <v>2688.1077417152851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/>
      <c r="E30" s="29">
        <f t="shared" si="7"/>
        <v>0</v>
      </c>
      <c r="F30" s="28">
        <f t="shared" si="8"/>
        <v>32.386840261629942</v>
      </c>
      <c r="G30" s="27" t="str">
        <f t="shared" si="9"/>
        <v>+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/>
      <c r="E31" s="29">
        <f t="shared" si="7"/>
        <v>0</v>
      </c>
      <c r="F31" s="28">
        <f t="shared" si="8"/>
        <v>32.988453393424926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33.245593869731799</v>
      </c>
      <c r="D32" s="22">
        <f>SUM(D26:D31)</f>
        <v>391.5</v>
      </c>
      <c r="E32" s="21">
        <f t="shared" si="7"/>
        <v>0.61956005697103977</v>
      </c>
      <c r="F32" s="20">
        <f>I32/D32</f>
        <v>33.334976410589086</v>
      </c>
      <c r="G32" s="19">
        <f>F32/C32-1</f>
        <v>2.6885529916391704E-3</v>
      </c>
      <c r="H32" s="18">
        <f>SUM(H26:H31)</f>
        <v>13015.65</v>
      </c>
      <c r="I32" s="18">
        <f>SUM(I26:I31)</f>
        <v>13050.643264745628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114</v>
      </c>
      <c r="E34" s="29">
        <f t="shared" ref="E34:E40" si="13">D34/$D$48</f>
        <v>0.18040829245133724</v>
      </c>
      <c r="F34" s="28">
        <f t="shared" ref="F34:F39" si="14">C34-(C34*$E$6)</f>
        <v>19.853233349234458</v>
      </c>
      <c r="G34" s="27" t="str">
        <f t="shared" ref="G34:G39" si="15">IF(C34&gt;=F34,"-","+")</f>
        <v>+</v>
      </c>
      <c r="H34" s="26">
        <f t="shared" ref="H34:H39" si="16">C34*D34</f>
        <v>2257.2000000000003</v>
      </c>
      <c r="I34" s="26">
        <f t="shared" ref="I34:I39" si="17">F34*D34</f>
        <v>2263.2686018127283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15.240866005472915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12.232800346497998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32.386840261629942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32.386840261629942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33.59006652521991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114</v>
      </c>
      <c r="E40" s="113">
        <f t="shared" si="13"/>
        <v>0.18040829245133724</v>
      </c>
      <c r="F40" s="20">
        <f>I40/D40</f>
        <v>19.853233349234458</v>
      </c>
      <c r="G40" s="19">
        <f>F40/C40-1</f>
        <v>2.6885529916391704E-3</v>
      </c>
      <c r="H40" s="18">
        <f>SUM(H34:H39)</f>
        <v>2257.2000000000003</v>
      </c>
      <c r="I40" s="18">
        <f>SUM(I34:I39)</f>
        <v>2263.2686018127283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78</v>
      </c>
      <c r="E42" s="107">
        <f>D42/$D$48</f>
        <v>0.12343725272986232</v>
      </c>
      <c r="F42" s="28">
        <f>C42-(C42*$E$6)</f>
        <v>0.50134427649581959</v>
      </c>
      <c r="G42" s="27" t="str">
        <f>IF(C42&gt;=F42,"-","+")</f>
        <v>+</v>
      </c>
      <c r="H42" s="26">
        <f>C42*D42</f>
        <v>39</v>
      </c>
      <c r="I42" s="26">
        <f>F42*D42</f>
        <v>39.104853566673924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7.4</v>
      </c>
      <c r="E43" s="107">
        <f>D43/$D$48</f>
        <v>1.1710713720525401E-2</v>
      </c>
      <c r="F43" s="28">
        <f>C43-(C43*$E$6)</f>
        <v>0.50134427649581959</v>
      </c>
      <c r="G43" s="27" t="str">
        <f>IF(C43&gt;=F43,"-","+")</f>
        <v>+</v>
      </c>
      <c r="H43" s="26">
        <f>C43*D43</f>
        <v>3.7</v>
      </c>
      <c r="I43" s="26">
        <f>F43*D43</f>
        <v>3.709947646069065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2.9</v>
      </c>
      <c r="E44" s="107">
        <f>D44/$D$48</f>
        <v>4.5893337553410346E-3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2.7</v>
      </c>
      <c r="E45" s="107">
        <f>D45/$D$48</f>
        <v>4.2728279791106188E-3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0.46923076923076917</v>
      </c>
      <c r="D46" s="22">
        <f>SUM(D41:D45)</f>
        <v>91.000000000000014</v>
      </c>
      <c r="E46" s="113">
        <f>D46/$D$48</f>
        <v>0.14401012818483941</v>
      </c>
      <c r="F46" s="20">
        <f>I46/D46</f>
        <v>0.47049232101915367</v>
      </c>
      <c r="G46" s="19">
        <f>F46/C46-1</f>
        <v>2.6885529916391704E-3</v>
      </c>
      <c r="H46" s="18">
        <f>SUM(H41:H44)</f>
        <v>42.7</v>
      </c>
      <c r="I46" s="18">
        <f>SUM(I41:I44)</f>
        <v>42.814801212742992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100.81482463896255</v>
      </c>
      <c r="D48" s="13">
        <f>D24+D32+D40+D46</f>
        <v>631.9</v>
      </c>
      <c r="E48" s="12">
        <f>SUM(E20:E46)/2</f>
        <v>1.0000000000000002</v>
      </c>
      <c r="F48" s="11">
        <f>I48/D48</f>
        <v>26.959405657020667</v>
      </c>
      <c r="G48" s="10"/>
      <c r="H48" s="9">
        <f>SUM(H20:H46)/2</f>
        <v>16989.969999999998</v>
      </c>
      <c r="I48" s="9">
        <f>SUM(I20:I46)/2</f>
        <v>17035.648434671359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1255.6000000000001</v>
      </c>
      <c r="E50" s="12">
        <f>D50/G2</f>
        <v>0.99976112747830248</v>
      </c>
      <c r="F50" s="11">
        <f>I50/D50</f>
        <v>28.006690028671557</v>
      </c>
      <c r="G50" s="10"/>
      <c r="H50" s="9">
        <f>H48+H19</f>
        <v>35070.909999999996</v>
      </c>
      <c r="I50" s="9">
        <f>I48+I19</f>
        <v>35165.200000000012</v>
      </c>
      <c r="J50" s="106">
        <f>D50-G2</f>
        <v>-0.29999999999995453</v>
      </c>
      <c r="K50" s="8"/>
    </row>
    <row r="51" spans="1:11" ht="23.25" x14ac:dyDescent="0.35">
      <c r="A51" s="174" t="s">
        <v>851</v>
      </c>
      <c r="B51" s="169"/>
      <c r="C51" s="170"/>
      <c r="G51" s="7"/>
      <c r="H51" s="6"/>
      <c r="I51" s="6">
        <f>+I50/D50</f>
        <v>28.006690028671557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839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848</v>
      </c>
      <c r="D2" s="96" t="s">
        <v>3</v>
      </c>
      <c r="E2" s="95" t="s">
        <v>112</v>
      </c>
      <c r="F2" s="94" t="s">
        <v>5</v>
      </c>
      <c r="G2" s="93">
        <v>2516.8000000000002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44</v>
      </c>
      <c r="F3" s="88" t="s">
        <v>8</v>
      </c>
      <c r="G3" s="87">
        <v>24.24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57.2</v>
      </c>
      <c r="F4" s="81" t="s">
        <v>12</v>
      </c>
      <c r="G4" s="80">
        <f>G2*G3</f>
        <v>61007.232000000004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-0.15810539711852001</v>
      </c>
      <c r="F6" s="69" t="s">
        <v>16</v>
      </c>
      <c r="G6" s="68">
        <f>(I50-I19)/(D50-(SUM(D42:D44)+D19))</f>
        <v>32.392073908888193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24.2</v>
      </c>
      <c r="D10" s="30"/>
      <c r="E10" s="29" t="e">
        <f t="shared" ref="E10:E19" si="1">D10/$D$19</f>
        <v>#DIV/0!</v>
      </c>
      <c r="F10" s="28">
        <f t="shared" ref="F10:F18" si="2">C10-(C10*$E$6)</f>
        <v>28.026150610268182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25.2</v>
      </c>
      <c r="D11" s="30"/>
      <c r="E11" s="29" t="e">
        <f t="shared" si="1"/>
        <v>#DIV/0!</v>
      </c>
      <c r="F11" s="28">
        <f t="shared" si="2"/>
        <v>29.184256007386704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23.1</v>
      </c>
      <c r="D12" s="30"/>
      <c r="E12" s="29" t="e">
        <f t="shared" si="1"/>
        <v>#DIV/0!</v>
      </c>
      <c r="F12" s="28">
        <f t="shared" si="2"/>
        <v>26.752234673437815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25.2</v>
      </c>
      <c r="D13" s="30"/>
      <c r="E13" s="29" t="e">
        <f t="shared" si="1"/>
        <v>#DIV/0!</v>
      </c>
      <c r="F13" s="28">
        <f t="shared" si="2"/>
        <v>29.184256007386704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28.2</v>
      </c>
      <c r="D14" s="30"/>
      <c r="E14" s="29" t="e">
        <f t="shared" si="1"/>
        <v>#DIV/0!</v>
      </c>
      <c r="F14" s="28">
        <f t="shared" si="2"/>
        <v>32.658572198742263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23.3</v>
      </c>
      <c r="D15" s="30"/>
      <c r="E15" s="29" t="e">
        <f t="shared" si="1"/>
        <v>#DIV/0!</v>
      </c>
      <c r="F15" s="28">
        <f t="shared" si="2"/>
        <v>26.983855752861515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31.9</v>
      </c>
      <c r="D16" s="30"/>
      <c r="E16" s="29" t="e">
        <f t="shared" si="1"/>
        <v>#DIV/0!</v>
      </c>
      <c r="F16" s="28">
        <f t="shared" si="2"/>
        <v>36.943562168080788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46.9</v>
      </c>
      <c r="D17" s="30"/>
      <c r="E17" s="29" t="e">
        <f t="shared" si="1"/>
        <v>#DIV/0!</v>
      </c>
      <c r="F17" s="28">
        <f t="shared" si="2"/>
        <v>54.315143124858587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41.1</v>
      </c>
      <c r="D18" s="30"/>
      <c r="E18" s="29" t="e">
        <f t="shared" si="1"/>
        <v>#DIV/0!</v>
      </c>
      <c r="F18" s="28">
        <f t="shared" si="2"/>
        <v>47.598131821571172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</v>
      </c>
      <c r="D21" s="30">
        <v>28</v>
      </c>
      <c r="E21" s="29">
        <f>D21/$D$48</f>
        <v>1.1125238397965672E-2</v>
      </c>
      <c r="F21" s="28">
        <f>C21-(C21*$E$6)</f>
        <v>70.644429224229725</v>
      </c>
      <c r="G21" s="27" t="str">
        <f>IF(C21&gt;=F21,"-","+")</f>
        <v>+</v>
      </c>
      <c r="H21" s="26">
        <f>C21*D21</f>
        <v>1708</v>
      </c>
      <c r="I21" s="26">
        <f>F21*D21</f>
        <v>1978.0440182784323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40.9</v>
      </c>
      <c r="D22" s="30">
        <v>64.400000000000006</v>
      </c>
      <c r="E22" s="29">
        <f>D22/$D$48</f>
        <v>2.5588048315321049E-2</v>
      </c>
      <c r="F22" s="28">
        <f>C22-(C22*$E$6)</f>
        <v>47.366510742147469</v>
      </c>
      <c r="G22" s="27" t="str">
        <f>IF(C22&gt;=F22,"-","+")</f>
        <v>+</v>
      </c>
      <c r="H22" s="26">
        <f>C22*D22</f>
        <v>2633.96</v>
      </c>
      <c r="I22" s="26">
        <f>F22*D22</f>
        <v>3050.4032917942973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37.299999999999997</v>
      </c>
      <c r="D23" s="30">
        <v>41.8</v>
      </c>
      <c r="E23" s="29">
        <f>D23/$D$48</f>
        <v>1.6608391608391608E-2</v>
      </c>
      <c r="F23" s="28">
        <f>C23-(C23*$E$6)</f>
        <v>43.197331312520795</v>
      </c>
      <c r="G23" s="27" t="str">
        <f>IF(C23&gt;=F23,"-","+")</f>
        <v>+</v>
      </c>
      <c r="H23" s="26">
        <f>C23*D23</f>
        <v>1559.1399999999999</v>
      </c>
      <c r="I23" s="26">
        <f>F23*D23</f>
        <v>1805.6484488633691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43.972429210134138</v>
      </c>
      <c r="D24" s="22">
        <f>SUM(D21:D23)</f>
        <v>134.19999999999999</v>
      </c>
      <c r="E24" s="21">
        <f>D24/$D$48</f>
        <v>5.332167832167832E-2</v>
      </c>
      <c r="F24" s="20">
        <f>I24/D24</f>
        <v>50.924707592668398</v>
      </c>
      <c r="G24" s="19">
        <f>F24/C24-1</f>
        <v>0.15810539711851979</v>
      </c>
      <c r="H24" s="18">
        <f>SUM(H21:H23)</f>
        <v>5901.1</v>
      </c>
      <c r="I24" s="18">
        <f>SUM(I21:I23)</f>
        <v>6834.0957589360987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32.5</v>
      </c>
      <c r="D26" s="30">
        <v>436.1</v>
      </c>
      <c r="E26" s="29">
        <f t="shared" ref="E26:E32" si="7">D26/$D$48</f>
        <v>0.17327558804831536</v>
      </c>
      <c r="F26" s="28">
        <f t="shared" ref="F26:F31" si="8">C26-(C26*$E$6)</f>
        <v>37.638425406351899</v>
      </c>
      <c r="G26" s="27" t="str">
        <f t="shared" ref="G26:G31" si="9">IF(C26&gt;=F26,"-","+")</f>
        <v>+</v>
      </c>
      <c r="H26" s="26">
        <f t="shared" ref="H26:H31" si="10">C26*D26</f>
        <v>14173.25</v>
      </c>
      <c r="I26" s="26">
        <f t="shared" ref="I26:I31" si="11">F26*D26</f>
        <v>16414.117319710065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</v>
      </c>
      <c r="D27" s="30">
        <v>383.7</v>
      </c>
      <c r="E27" s="29">
        <f t="shared" si="7"/>
        <v>0.15245549904640815</v>
      </c>
      <c r="F27" s="28">
        <f t="shared" si="8"/>
        <v>33.585056516437078</v>
      </c>
      <c r="G27" s="27" t="str">
        <f t="shared" si="9"/>
        <v>+</v>
      </c>
      <c r="H27" s="26">
        <f t="shared" si="10"/>
        <v>11127.3</v>
      </c>
      <c r="I27" s="26">
        <f t="shared" si="11"/>
        <v>12886.586185356906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</v>
      </c>
      <c r="D28" s="30">
        <v>172.1</v>
      </c>
      <c r="E28" s="29">
        <f t="shared" si="7"/>
        <v>6.8380483153210436E-2</v>
      </c>
      <c r="F28" s="28">
        <f t="shared" si="8"/>
        <v>33.585056516437078</v>
      </c>
      <c r="G28" s="27" t="str">
        <f t="shared" si="9"/>
        <v>+</v>
      </c>
      <c r="H28" s="26">
        <f t="shared" si="10"/>
        <v>4990.8999999999996</v>
      </c>
      <c r="I28" s="26">
        <f t="shared" si="11"/>
        <v>5779.9882264788212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</v>
      </c>
      <c r="D29" s="30">
        <v>162.6</v>
      </c>
      <c r="E29" s="29">
        <f t="shared" si="7"/>
        <v>6.4605848696757798E-2</v>
      </c>
      <c r="F29" s="28">
        <f t="shared" si="8"/>
        <v>32.426951119318559</v>
      </c>
      <c r="G29" s="27" t="str">
        <f t="shared" si="9"/>
        <v>+</v>
      </c>
      <c r="H29" s="26">
        <f t="shared" si="10"/>
        <v>4552.8</v>
      </c>
      <c r="I29" s="26">
        <f t="shared" si="11"/>
        <v>5272.6222520011979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</v>
      </c>
      <c r="D30" s="30">
        <v>130.1</v>
      </c>
      <c r="E30" s="29">
        <f t="shared" si="7"/>
        <v>5.1692625556261924E-2</v>
      </c>
      <c r="F30" s="28">
        <f t="shared" si="8"/>
        <v>32.426951119318559</v>
      </c>
      <c r="G30" s="27" t="str">
        <f t="shared" si="9"/>
        <v>+</v>
      </c>
      <c r="H30" s="26">
        <f t="shared" si="10"/>
        <v>3642.7999999999997</v>
      </c>
      <c r="I30" s="26">
        <f t="shared" si="11"/>
        <v>4218.7463406233446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28.5</v>
      </c>
      <c r="D31" s="30">
        <v>33.6</v>
      </c>
      <c r="E31" s="29">
        <f t="shared" si="7"/>
        <v>1.3350286077558806E-2</v>
      </c>
      <c r="F31" s="28">
        <f t="shared" si="8"/>
        <v>33.006003817877819</v>
      </c>
      <c r="G31" s="27" t="str">
        <f t="shared" si="9"/>
        <v>+</v>
      </c>
      <c r="H31" s="26">
        <f t="shared" si="10"/>
        <v>957.6</v>
      </c>
      <c r="I31" s="26">
        <f t="shared" si="11"/>
        <v>1109.0017282806948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29.923114853588231</v>
      </c>
      <c r="D32" s="22">
        <f>SUM(D26:D31)</f>
        <v>1318.1999999999998</v>
      </c>
      <c r="E32" s="21">
        <f t="shared" si="7"/>
        <v>0.52376033057851235</v>
      </c>
      <c r="F32" s="20">
        <f>I32/D32</f>
        <v>34.654120810537883</v>
      </c>
      <c r="G32" s="19">
        <f>F32/C32-1</f>
        <v>0.15810539711852001</v>
      </c>
      <c r="H32" s="18">
        <f>SUM(H26:H31)</f>
        <v>39444.65</v>
      </c>
      <c r="I32" s="18">
        <f>SUM(I26:I31)</f>
        <v>45681.06205245103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17.100000000000001</v>
      </c>
      <c r="D34" s="30">
        <f>170+202.7</f>
        <v>372.7</v>
      </c>
      <c r="E34" s="29">
        <f t="shared" ref="E34:E40" si="13">D34/$D$48</f>
        <v>0.14808486967577877</v>
      </c>
      <c r="F34" s="28">
        <f t="shared" ref="F34:F39" si="14">C34-(C34*$E$6)</f>
        <v>19.803602290726694</v>
      </c>
      <c r="G34" s="27" t="str">
        <f t="shared" ref="G34:G39" si="15">IF(C34&gt;=F34,"-","+")</f>
        <v>+</v>
      </c>
      <c r="H34" s="26">
        <f t="shared" ref="H34:H39" si="16">C34*D34</f>
        <v>6373.17</v>
      </c>
      <c r="I34" s="26">
        <f t="shared" ref="I34:I39" si="17">F34*D34</f>
        <v>7380.8025737538383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13.2</v>
      </c>
      <c r="D35" s="30">
        <v>53.5</v>
      </c>
      <c r="E35" s="29">
        <f t="shared" si="13"/>
        <v>2.1257151938970122E-2</v>
      </c>
      <c r="F35" s="28">
        <f t="shared" si="14"/>
        <v>15.286991241964463</v>
      </c>
      <c r="G35" s="27" t="str">
        <f t="shared" si="15"/>
        <v>+</v>
      </c>
      <c r="H35" s="26">
        <f t="shared" si="16"/>
        <v>706.19999999999993</v>
      </c>
      <c r="I35" s="26">
        <f t="shared" si="17"/>
        <v>817.85403144509883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12.275917209456312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</v>
      </c>
      <c r="D37" s="30"/>
      <c r="E37" s="29">
        <f t="shared" si="13"/>
        <v>0</v>
      </c>
      <c r="F37" s="28">
        <f t="shared" si="14"/>
        <v>32.426951119318559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</v>
      </c>
      <c r="D38" s="30"/>
      <c r="E38" s="29">
        <f t="shared" si="13"/>
        <v>0</v>
      </c>
      <c r="F38" s="28">
        <f t="shared" si="14"/>
        <v>32.426951119318559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</v>
      </c>
      <c r="D39" s="30"/>
      <c r="E39" s="29">
        <f t="shared" si="13"/>
        <v>0</v>
      </c>
      <c r="F39" s="28">
        <f t="shared" si="14"/>
        <v>33.585056516437078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16.610441107461288</v>
      </c>
      <c r="D40" s="22">
        <f>SUM(D34:D39)</f>
        <v>426.2</v>
      </c>
      <c r="E40" s="113">
        <f t="shared" si="13"/>
        <v>0.1693420216147489</v>
      </c>
      <c r="F40" s="20">
        <f>I40/D40</f>
        <v>19.236641495070245</v>
      </c>
      <c r="G40" s="19">
        <f>F40/C40-1</f>
        <v>0.15810539711852001</v>
      </c>
      <c r="H40" s="18">
        <f>SUM(H34:H39)</f>
        <v>7079.37</v>
      </c>
      <c r="I40" s="18">
        <f>SUM(I34:I39)</f>
        <v>8198.6566051989375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240+46.9+325.9</f>
        <v>612.79999999999995</v>
      </c>
      <c r="E42" s="107">
        <f>D42/$D$48</f>
        <v>0.24348378893833439</v>
      </c>
      <c r="F42" s="28">
        <f>C42-(C42*$E$6)</f>
        <v>0.46324215884740805</v>
      </c>
      <c r="G42" s="27" t="str">
        <f>IF(C42&gt;=F42,"-","+")</f>
        <v>+</v>
      </c>
      <c r="H42" s="26">
        <f>C42*D42</f>
        <v>245.12</v>
      </c>
      <c r="I42" s="26">
        <f>F42*D42</f>
        <v>283.87479494169162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20.6</v>
      </c>
      <c r="E43" s="107">
        <f>D43/$D$48</f>
        <v>8.1849968213604588E-3</v>
      </c>
      <c r="F43" s="28">
        <f>C43-(C43*$E$6)</f>
        <v>0.46324215884740805</v>
      </c>
      <c r="G43" s="27" t="str">
        <f>IF(C43&gt;=F43,"-","+")</f>
        <v>+</v>
      </c>
      <c r="H43" s="26">
        <f>C43*D43</f>
        <v>8.24</v>
      </c>
      <c r="I43" s="26">
        <f>F43*D43</f>
        <v>9.542788472256607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4.8</v>
      </c>
      <c r="E45" s="107">
        <f>D45/$D$48</f>
        <v>1.9071837253655437E-3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0.39699153870260112</v>
      </c>
      <c r="D46" s="22">
        <f>SUM(D41:D45)</f>
        <v>638.19999999999993</v>
      </c>
      <c r="E46" s="113">
        <f>D46/$D$48</f>
        <v>0.25357596948506039</v>
      </c>
      <c r="F46" s="20">
        <f>I46/D46</f>
        <v>0.45975804358186817</v>
      </c>
      <c r="G46" s="19">
        <f>F46/C46-1</f>
        <v>0.15810539711852001</v>
      </c>
      <c r="H46" s="18">
        <f>SUM(H41:H44)</f>
        <v>253.36</v>
      </c>
      <c r="I46" s="18">
        <f>SUM(I41:I44)</f>
        <v>293.41758341394825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90.902976709886261</v>
      </c>
      <c r="D48" s="13">
        <f>D24+D32+D40+D46</f>
        <v>2516.7999999999997</v>
      </c>
      <c r="E48" s="12">
        <f>SUM(E20:E46)/2</f>
        <v>1</v>
      </c>
      <c r="F48" s="11">
        <f>I48/D48</f>
        <v>24.240000000000006</v>
      </c>
      <c r="G48" s="10"/>
      <c r="H48" s="9">
        <f>SUM(H20:H46)/2</f>
        <v>52678.479999999996</v>
      </c>
      <c r="I48" s="9">
        <f>SUM(I20:I46)/2</f>
        <v>61007.232000000011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2516.7999999999997</v>
      </c>
      <c r="E50" s="12">
        <f>D50/G2</f>
        <v>0.99999999999999978</v>
      </c>
      <c r="F50" s="11">
        <f>I50/D50</f>
        <v>24.240000000000006</v>
      </c>
      <c r="G50" s="10"/>
      <c r="H50" s="9">
        <f>H48+H19</f>
        <v>52678.479999999996</v>
      </c>
      <c r="I50" s="9">
        <f>I48+I19</f>
        <v>61007.232000000011</v>
      </c>
      <c r="J50" s="106">
        <f>D50-G2</f>
        <v>0</v>
      </c>
      <c r="K50" s="8"/>
    </row>
    <row r="51" spans="1:11" ht="23.25" x14ac:dyDescent="0.35">
      <c r="A51" s="174" t="s">
        <v>852</v>
      </c>
      <c r="B51" s="169"/>
      <c r="C51" s="170"/>
      <c r="G51" s="7"/>
      <c r="H51" s="6"/>
      <c r="I51" s="6">
        <f>+I50/D50</f>
        <v>24.240000000000006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>
    <tabColor rgb="FF92D050"/>
  </sheetPr>
  <dimension ref="A1:K56"/>
  <sheetViews>
    <sheetView topLeftCell="C16"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842</v>
      </c>
      <c r="D1" s="100" t="s">
        <v>1</v>
      </c>
      <c r="E1" s="168" t="s">
        <v>821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842</v>
      </c>
      <c r="D2" s="96" t="s">
        <v>3</v>
      </c>
      <c r="E2" s="95" t="s">
        <v>112</v>
      </c>
      <c r="F2" s="94" t="s">
        <v>5</v>
      </c>
      <c r="G2" s="116">
        <v>6902.1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822</v>
      </c>
      <c r="D3" s="90" t="s">
        <v>7</v>
      </c>
      <c r="E3" s="89">
        <v>106</v>
      </c>
      <c r="F3" s="88" t="s">
        <v>8</v>
      </c>
      <c r="G3" s="87">
        <v>24.7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65.114150943396226</v>
      </c>
      <c r="F4" s="81" t="s">
        <v>12</v>
      </c>
      <c r="G4" s="80">
        <f>G2*G3</f>
        <v>170481.87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-7.0470172242211637E-2</v>
      </c>
      <c r="F6" s="69" t="s">
        <v>16</v>
      </c>
      <c r="G6" s="68">
        <f>(I50-I19)/(D50-(SUM(D42:D44)+D19))</f>
        <v>30.728854719612446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24.7</v>
      </c>
      <c r="D10" s="30"/>
      <c r="E10" s="29">
        <f t="shared" ref="E10:E19" si="1">D10/$D$19</f>
        <v>0</v>
      </c>
      <c r="F10" s="28">
        <f t="shared" ref="F10:F18" si="2">C10-(C10*$E$6)</f>
        <v>26.440613254382626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25.7</v>
      </c>
      <c r="D11" s="30"/>
      <c r="E11" s="29">
        <f t="shared" si="1"/>
        <v>0</v>
      </c>
      <c r="F11" s="28">
        <f t="shared" si="2"/>
        <v>27.51108342662484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23.5</v>
      </c>
      <c r="D12" s="30"/>
      <c r="E12" s="29">
        <f t="shared" si="1"/>
        <v>0</v>
      </c>
      <c r="F12" s="28">
        <f t="shared" si="2"/>
        <v>25.156049047691972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25.7</v>
      </c>
      <c r="D13" s="30"/>
      <c r="E13" s="29">
        <f t="shared" si="1"/>
        <v>0</v>
      </c>
      <c r="F13" s="28">
        <f t="shared" si="2"/>
        <v>27.51108342662484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28.8</v>
      </c>
      <c r="D14" s="30"/>
      <c r="E14" s="29">
        <f t="shared" si="1"/>
        <v>0</v>
      </c>
      <c r="F14" s="28">
        <f t="shared" si="2"/>
        <v>30.829540960575695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23.7</v>
      </c>
      <c r="D15" s="30"/>
      <c r="E15" s="29">
        <f t="shared" si="1"/>
        <v>0</v>
      </c>
      <c r="F15" s="28">
        <f t="shared" si="2"/>
        <v>25.370143082140416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32.5</v>
      </c>
      <c r="D16" s="30">
        <v>11</v>
      </c>
      <c r="E16" s="29">
        <f t="shared" si="1"/>
        <v>0.12790697674418605</v>
      </c>
      <c r="F16" s="28">
        <f t="shared" si="2"/>
        <v>34.790280597871877</v>
      </c>
      <c r="G16" s="27" t="str">
        <f t="shared" si="3"/>
        <v>+</v>
      </c>
      <c r="H16" s="34">
        <f t="shared" si="4"/>
        <v>357.5</v>
      </c>
      <c r="I16" s="34">
        <f t="shared" si="5"/>
        <v>382.69308657659064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47.8</v>
      </c>
      <c r="D17" s="30">
        <v>75</v>
      </c>
      <c r="E17" s="29">
        <f t="shared" si="1"/>
        <v>0.87209302325581395</v>
      </c>
      <c r="F17" s="28">
        <f t="shared" si="2"/>
        <v>51.168474233177712</v>
      </c>
      <c r="G17" s="27" t="str">
        <f t="shared" si="3"/>
        <v>+</v>
      </c>
      <c r="H17" s="34">
        <f t="shared" si="4"/>
        <v>3585</v>
      </c>
      <c r="I17" s="34">
        <f t="shared" si="5"/>
        <v>3837.6355674883284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41.8</v>
      </c>
      <c r="D18" s="30"/>
      <c r="E18" s="29">
        <f t="shared" si="1"/>
        <v>0</v>
      </c>
      <c r="F18" s="28">
        <f t="shared" si="2"/>
        <v>44.745653199724444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45.843023255813954</v>
      </c>
      <c r="D19" s="49">
        <f>SUM(D10:D18)</f>
        <v>86</v>
      </c>
      <c r="E19" s="48">
        <f t="shared" si="1"/>
        <v>1</v>
      </c>
      <c r="F19" s="47">
        <f>I19/D19</f>
        <v>49.073589000754872</v>
      </c>
      <c r="G19" s="46">
        <f>F19/C19-1</f>
        <v>7.0470172242211637E-2</v>
      </c>
      <c r="H19" s="9">
        <f>SUM(H10:H18)</f>
        <v>3942.5</v>
      </c>
      <c r="I19" s="9">
        <f>SUM(I10:I18)</f>
        <v>4220.3286540649187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62.1</v>
      </c>
      <c r="D21" s="30">
        <v>86.1</v>
      </c>
      <c r="E21" s="29">
        <f>D21/$D$48</f>
        <v>1.2631671605880107E-2</v>
      </c>
      <c r="F21" s="28">
        <f>C21-(C21*$E$6)</f>
        <v>66.476197696241343</v>
      </c>
      <c r="G21" s="27" t="str">
        <f>IF(C21&gt;=F21,"-","+")</f>
        <v>+</v>
      </c>
      <c r="H21" s="26">
        <f>C21*D21</f>
        <v>5346.8099999999995</v>
      </c>
      <c r="I21" s="26">
        <f>F21*D21</f>
        <v>5723.6006216463793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41.7</v>
      </c>
      <c r="D22" s="30">
        <v>170.8</v>
      </c>
      <c r="E22" s="29">
        <f>D22/$D$48</f>
        <v>2.5057950177518263E-2</v>
      </c>
      <c r="F22" s="28">
        <f>C22-(C22*$E$6)</f>
        <v>44.638606182500226</v>
      </c>
      <c r="G22" s="27" t="str">
        <f>IF(C22&gt;=F22,"-","+")</f>
        <v>+</v>
      </c>
      <c r="H22" s="26">
        <f>C22*D22</f>
        <v>7122.3600000000006</v>
      </c>
      <c r="I22" s="26">
        <f>F22*D22</f>
        <v>7624.2739359710395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</v>
      </c>
      <c r="D23" s="30">
        <v>120.1</v>
      </c>
      <c r="E23" s="29">
        <f>D23/$D$48</f>
        <v>1.7619788151756108E-2</v>
      </c>
      <c r="F23" s="28">
        <f>C23-(C23*$E$6)</f>
        <v>40.67786654520404</v>
      </c>
      <c r="G23" s="27" t="str">
        <f>IF(C23&gt;=F23,"-","+")</f>
        <v>+</v>
      </c>
      <c r="H23" s="26">
        <f>C23*D23</f>
        <v>4563.8</v>
      </c>
      <c r="I23" s="26">
        <f>F23*D23</f>
        <v>4885.4117720790045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45.18029177718833</v>
      </c>
      <c r="D24" s="22">
        <f>SUM(D21:D23)</f>
        <v>377</v>
      </c>
      <c r="E24" s="21">
        <f>D24/$D$48</f>
        <v>5.5309409935154479E-2</v>
      </c>
      <c r="F24" s="20">
        <f>I24/D24</f>
        <v>48.364154720680169</v>
      </c>
      <c r="G24" s="19">
        <f>F24/C24-1</f>
        <v>7.0470172242211637E-2</v>
      </c>
      <c r="H24" s="18">
        <f>SUM(H21:H23)</f>
        <v>17032.97</v>
      </c>
      <c r="I24" s="18">
        <f>SUM(I21:I23)</f>
        <v>18233.286329696424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33.1</v>
      </c>
      <c r="D26" s="30">
        <f>381+803+113.9</f>
        <v>1297.9000000000001</v>
      </c>
      <c r="E26" s="29">
        <f t="shared" ref="E26:E32" si="7">D26/$D$48</f>
        <v>0.19041401367330771</v>
      </c>
      <c r="F26" s="28">
        <f t="shared" ref="F26:F31" si="8">C26-(C26*$E$6)</f>
        <v>35.432562701217208</v>
      </c>
      <c r="G26" s="27" t="str">
        <f t="shared" ref="G26:G31" si="9">IF(C26&gt;=F26,"-","+")</f>
        <v>+</v>
      </c>
      <c r="H26" s="26">
        <f t="shared" ref="H26:H31" si="10">C26*D26</f>
        <v>42960.490000000005</v>
      </c>
      <c r="I26" s="26">
        <f t="shared" ref="I26:I31" si="11">F26*D26</f>
        <v>45987.923129909817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29.5</v>
      </c>
      <c r="D27" s="30">
        <f>933</f>
        <v>933</v>
      </c>
      <c r="E27" s="29">
        <f t="shared" si="7"/>
        <v>0.13687978639124437</v>
      </c>
      <c r="F27" s="28">
        <f t="shared" si="8"/>
        <v>31.578870081145244</v>
      </c>
      <c r="G27" s="27" t="str">
        <f t="shared" si="9"/>
        <v>+</v>
      </c>
      <c r="H27" s="26">
        <f t="shared" si="10"/>
        <v>27523.5</v>
      </c>
      <c r="I27" s="26">
        <f t="shared" si="11"/>
        <v>29463.085785708514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29.5</v>
      </c>
      <c r="D28" s="30">
        <v>565.20000000000005</v>
      </c>
      <c r="E28" s="29">
        <f t="shared" si="7"/>
        <v>8.2920102109679872E-2</v>
      </c>
      <c r="F28" s="28">
        <f t="shared" si="8"/>
        <v>31.578870081145244</v>
      </c>
      <c r="G28" s="27" t="str">
        <f t="shared" si="9"/>
        <v>+</v>
      </c>
      <c r="H28" s="26">
        <f t="shared" si="10"/>
        <v>16673.400000000001</v>
      </c>
      <c r="I28" s="26">
        <f t="shared" si="11"/>
        <v>17848.377369863294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28.5</v>
      </c>
      <c r="D29" s="30">
        <v>436.1</v>
      </c>
      <c r="E29" s="29">
        <f t="shared" si="7"/>
        <v>6.3979930166368354E-2</v>
      </c>
      <c r="F29" s="28">
        <f t="shared" si="8"/>
        <v>30.50839990890303</v>
      </c>
      <c r="G29" s="27" t="str">
        <f t="shared" si="9"/>
        <v>+</v>
      </c>
      <c r="H29" s="26">
        <f t="shared" si="10"/>
        <v>12428.85</v>
      </c>
      <c r="I29" s="26">
        <f t="shared" si="11"/>
        <v>13304.713200272612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28.5</v>
      </c>
      <c r="D30" s="30">
        <v>562.4</v>
      </c>
      <c r="E30" s="29">
        <f t="shared" si="7"/>
        <v>8.2509316041195963E-2</v>
      </c>
      <c r="F30" s="28">
        <f t="shared" si="8"/>
        <v>30.50839990890303</v>
      </c>
      <c r="G30" s="27" t="str">
        <f t="shared" si="9"/>
        <v>+</v>
      </c>
      <c r="H30" s="26">
        <f t="shared" si="10"/>
        <v>16028.4</v>
      </c>
      <c r="I30" s="26">
        <f t="shared" si="11"/>
        <v>17157.924108767063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</v>
      </c>
      <c r="D31" s="30">
        <v>86.9</v>
      </c>
      <c r="E31" s="29">
        <f t="shared" si="7"/>
        <v>1.2749039054018368E-2</v>
      </c>
      <c r="F31" s="28">
        <f t="shared" si="8"/>
        <v>31.043634995024139</v>
      </c>
      <c r="G31" s="27" t="str">
        <f t="shared" si="9"/>
        <v>+</v>
      </c>
      <c r="H31" s="26">
        <f t="shared" si="10"/>
        <v>2520.1000000000004</v>
      </c>
      <c r="I31" s="26">
        <f t="shared" si="11"/>
        <v>2697.6918810675979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30.435331701661731</v>
      </c>
      <c r="D32" s="22">
        <f>SUM(D26:D31)</f>
        <v>3881.5000000000005</v>
      </c>
      <c r="E32" s="21">
        <f t="shared" si="7"/>
        <v>0.56945218743581472</v>
      </c>
      <c r="F32" s="20">
        <f>I32/D32</f>
        <v>32.580114768926677</v>
      </c>
      <c r="G32" s="19">
        <f>F32/C32-1</f>
        <v>7.0470172242211637E-2</v>
      </c>
      <c r="H32" s="18">
        <f>SUM(H26:H31)</f>
        <v>118134.74000000002</v>
      </c>
      <c r="I32" s="18">
        <f>SUM(I26:I31)</f>
        <v>126459.71547558891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17.399999999999999</v>
      </c>
      <c r="D34" s="30">
        <f>554.8+501.7</f>
        <v>1056.5</v>
      </c>
      <c r="E34" s="29">
        <f t="shared" ref="E34:E40" si="13">D34/$D$48</f>
        <v>0.15499838619758807</v>
      </c>
      <c r="F34" s="28">
        <f t="shared" ref="F34:F39" si="14">C34-(C34*$E$6)</f>
        <v>18.62618099701448</v>
      </c>
      <c r="G34" s="27" t="str">
        <f t="shared" ref="G34:G39" si="15">IF(C34&gt;=F34,"-","+")</f>
        <v>+</v>
      </c>
      <c r="H34" s="26">
        <f t="shared" ref="H34:H39" si="16">C34*D34</f>
        <v>18383.099999999999</v>
      </c>
      <c r="I34" s="26">
        <f t="shared" ref="I34:I39" si="17">F34*D34</f>
        <v>19678.560223345798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>
        <v>89.8</v>
      </c>
      <c r="E35" s="29">
        <f t="shared" si="13"/>
        <v>1.3174496053519554E-2</v>
      </c>
      <c r="F35" s="28">
        <f t="shared" si="14"/>
        <v>14.344300308045636</v>
      </c>
      <c r="G35" s="27" t="str">
        <f t="shared" si="15"/>
        <v>+</v>
      </c>
      <c r="H35" s="26">
        <f t="shared" si="16"/>
        <v>1203.32</v>
      </c>
      <c r="I35" s="26">
        <f t="shared" si="17"/>
        <v>1288.1181676624981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11.561077860215887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28.5</v>
      </c>
      <c r="D37" s="30"/>
      <c r="E37" s="29">
        <f t="shared" si="13"/>
        <v>0</v>
      </c>
      <c r="F37" s="28">
        <f t="shared" si="14"/>
        <v>30.50839990890303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28.5</v>
      </c>
      <c r="D38" s="30"/>
      <c r="E38" s="29">
        <f t="shared" si="13"/>
        <v>0</v>
      </c>
      <c r="F38" s="28">
        <f t="shared" si="14"/>
        <v>30.50839990890303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29.5</v>
      </c>
      <c r="D39" s="30"/>
      <c r="E39" s="29">
        <f t="shared" si="13"/>
        <v>0</v>
      </c>
      <c r="F39" s="28">
        <f t="shared" si="14"/>
        <v>31.578870081145244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17.086643984995202</v>
      </c>
      <c r="D40" s="22">
        <f>SUM(D34:D39)</f>
        <v>1146.3</v>
      </c>
      <c r="E40" s="113">
        <f t="shared" si="13"/>
        <v>0.16817288225110763</v>
      </c>
      <c r="F40" s="20">
        <f>I40/D40</f>
        <v>18.290742729659161</v>
      </c>
      <c r="G40" s="19">
        <f>F40/C40-1</f>
        <v>7.0470172242211415E-2</v>
      </c>
      <c r="H40" s="18">
        <f>SUM(H34:H39)</f>
        <v>19586.419999999998</v>
      </c>
      <c r="I40" s="18">
        <f>SUM(I34:I39)</f>
        <v>20966.678391008296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601+102.3+642.6</f>
        <v>1345.9</v>
      </c>
      <c r="E42" s="107">
        <f>D42/$D$48</f>
        <v>0.19745606056160322</v>
      </c>
      <c r="F42" s="28">
        <f>C42-(C42*$E$6)</f>
        <v>0.42818806889688465</v>
      </c>
      <c r="G42" s="27" t="str">
        <f>IF(C42&gt;=F42,"-","+")</f>
        <v>+</v>
      </c>
      <c r="H42" s="26">
        <f>C42*D42</f>
        <v>538.36</v>
      </c>
      <c r="I42" s="26">
        <f>F42*D42</f>
        <v>576.29832192831714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59.7</v>
      </c>
      <c r="E43" s="107">
        <f>D43/$D$48</f>
        <v>8.7585458173175673E-3</v>
      </c>
      <c r="F43" s="28">
        <f>C43-(C43*$E$6)</f>
        <v>0.42818806889688465</v>
      </c>
      <c r="G43" s="27" t="str">
        <f>IF(C43&gt;=F43,"-","+")</f>
        <v>+</v>
      </c>
      <c r="H43" s="26">
        <f>C43*D43</f>
        <v>23.880000000000003</v>
      </c>
      <c r="I43" s="26">
        <f>F43*D43</f>
        <v>25.562827713144014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5.8</v>
      </c>
      <c r="E45" s="107">
        <f>D45/$D$48</f>
        <v>8.5091399900237661E-4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0.39835624202919084</v>
      </c>
      <c r="D46" s="22">
        <f>SUM(D41:D45)</f>
        <v>1411.4</v>
      </c>
      <c r="E46" s="113">
        <f>D46/$D$48</f>
        <v>0.20706552037792317</v>
      </c>
      <c r="F46" s="20">
        <f>I46/D46</f>
        <v>0.42642847501874809</v>
      </c>
      <c r="G46" s="19">
        <f>F46/C46-1</f>
        <v>7.0470172242211637E-2</v>
      </c>
      <c r="H46" s="18">
        <f>SUM(H41:H44)</f>
        <v>562.24</v>
      </c>
      <c r="I46" s="18">
        <f>SUM(I41:I44)</f>
        <v>601.86114964146111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93.100623705874469</v>
      </c>
      <c r="D48" s="13">
        <f>D24+D32+D40+D46</f>
        <v>6816.2000000000007</v>
      </c>
      <c r="E48" s="12">
        <f>SUM(E20:E46)/2</f>
        <v>1</v>
      </c>
      <c r="F48" s="11">
        <f>I48/D48</f>
        <v>24.392116039132514</v>
      </c>
      <c r="G48" s="10"/>
      <c r="H48" s="9">
        <f>SUM(H20:H46)/2</f>
        <v>155316.37</v>
      </c>
      <c r="I48" s="9">
        <f>SUM(I20:I46)/2</f>
        <v>166261.54134593505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6902.1999999999989</v>
      </c>
      <c r="E50" s="12">
        <f>D50/G2</f>
        <v>1.0000144883441269</v>
      </c>
      <c r="F50" s="11">
        <f>I50/D50</f>
        <v>24.699642143084812</v>
      </c>
      <c r="G50" s="10"/>
      <c r="H50" s="9">
        <f>H48+H19</f>
        <v>159258.87</v>
      </c>
      <c r="I50" s="9">
        <f>I48+I19</f>
        <v>170481.86999999997</v>
      </c>
      <c r="J50" s="106">
        <f>D50-G2</f>
        <v>9.9999999998544808E-2</v>
      </c>
      <c r="K50" s="8"/>
    </row>
    <row r="51" spans="1:11" ht="23.25" x14ac:dyDescent="0.35">
      <c r="A51" s="174" t="s">
        <v>853</v>
      </c>
      <c r="B51" s="169"/>
      <c r="C51" s="170"/>
      <c r="G51" s="7"/>
      <c r="H51" s="6"/>
      <c r="I51" s="6">
        <f>+I50/D50</f>
        <v>24.699642143084812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854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854</v>
      </c>
      <c r="D2" s="96" t="s">
        <v>3</v>
      </c>
      <c r="E2" s="95" t="s">
        <v>71</v>
      </c>
      <c r="F2" s="94" t="s">
        <v>5</v>
      </c>
      <c r="G2" s="116">
        <v>12721.2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179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71.068156424581005</v>
      </c>
      <c r="F4" s="81" t="s">
        <v>12</v>
      </c>
      <c r="G4" s="80">
        <f>G2*G3</f>
        <v>356193.60000000003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-6.197661406777133E-4</v>
      </c>
      <c r="F6" s="69" t="s">
        <v>16</v>
      </c>
      <c r="G6" s="68">
        <f>(I50-I19)/(D50-(SUM(D42:D44)+D19))</f>
        <v>33.482191703561668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28.017353451938977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29.218097171307789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26.616485779342028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29.218097171307789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32.620204376186095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26.916671709184229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36.822807393976937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54.233591324824737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47.429376915068126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139.69999999999999</v>
      </c>
      <c r="E21" s="29">
        <f>D21/$D$48</f>
        <v>1.0981668396063264E-2</v>
      </c>
      <c r="F21" s="28">
        <f>C21-(C21*$E$6)</f>
        <v>70.443631536303712</v>
      </c>
      <c r="G21" s="27" t="str">
        <f>IF(C21&gt;=F21,"-","+")</f>
        <v>+</v>
      </c>
      <c r="H21" s="26">
        <f>C21*D21</f>
        <v>9834.8799999999992</v>
      </c>
      <c r="I21" s="26">
        <f>F21*D21</f>
        <v>9840.9753256216281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461.3</v>
      </c>
      <c r="E22" s="29">
        <f>D22/$D$48</f>
        <v>3.6262302298525298E-2</v>
      </c>
      <c r="F22" s="28">
        <f>C22-(C22*$E$6)</f>
        <v>47.329314938454054</v>
      </c>
      <c r="G22" s="27" t="str">
        <f>IF(C22&gt;=F22,"-","+")</f>
        <v>+</v>
      </c>
      <c r="H22" s="26">
        <f>C22*D22</f>
        <v>21819.489999999998</v>
      </c>
      <c r="I22" s="26">
        <f>F22*D22</f>
        <v>21833.012981108855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278.89999999999998</v>
      </c>
      <c r="E23" s="29">
        <f>D23/$D$48</f>
        <v>2.1924032323994588E-2</v>
      </c>
      <c r="F23" s="28">
        <f>C23-(C23*$E$6)</f>
        <v>43.126711920663212</v>
      </c>
      <c r="G23" s="27" t="str">
        <f>IF(C23&gt;=F23,"-","+")</f>
        <v>+</v>
      </c>
      <c r="H23" s="26">
        <f>C23*D23</f>
        <v>12020.59</v>
      </c>
      <c r="I23" s="26">
        <f>F23*D23</f>
        <v>12028.03995467297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49.636276849641995</v>
      </c>
      <c r="D24" s="22">
        <f>SUM(D21:D23)</f>
        <v>879.9</v>
      </c>
      <c r="E24" s="21">
        <f>D24/$D$48</f>
        <v>6.9168003018583141E-2</v>
      </c>
      <c r="F24" s="20">
        <f>I24/D24</f>
        <v>49.667039733382715</v>
      </c>
      <c r="G24" s="19">
        <f>F24/C24-1</f>
        <v>6.1976614067793534E-4</v>
      </c>
      <c r="H24" s="18">
        <f>SUM(H21:H23)</f>
        <v>43674.959999999992</v>
      </c>
      <c r="I24" s="18">
        <f>SUM(I21:I23)</f>
        <v>43702.028261403451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2255</v>
      </c>
      <c r="E26" s="29">
        <f t="shared" ref="E26:E32" si="7">D26/$D$48</f>
        <v>0.17726315127503695</v>
      </c>
      <c r="F26" s="28">
        <f t="shared" ref="F26:F31" si="8">C26-(C26*$E$6)</f>
        <v>37.623303206889481</v>
      </c>
      <c r="G26" s="27" t="str">
        <f t="shared" ref="G26:G31" si="9">IF(C26&gt;=F26,"-","+")</f>
        <v>+</v>
      </c>
      <c r="H26" s="26">
        <f t="shared" ref="H26:H31" si="10">C26*D26</f>
        <v>84788</v>
      </c>
      <c r="I26" s="26">
        <f t="shared" ref="I26:I31" si="11">F26*D26</f>
        <v>84840.548731535775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2311.6</v>
      </c>
      <c r="E27" s="29">
        <f t="shared" si="7"/>
        <v>0.18171241706757221</v>
      </c>
      <c r="F27" s="28">
        <f t="shared" si="8"/>
        <v>33.520762165712704</v>
      </c>
      <c r="G27" s="27" t="str">
        <f t="shared" si="9"/>
        <v>+</v>
      </c>
      <c r="H27" s="26">
        <f t="shared" si="10"/>
        <v>77438.599999999991</v>
      </c>
      <c r="I27" s="26">
        <f t="shared" si="11"/>
        <v>77486.593822261479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1286.8</v>
      </c>
      <c r="E28" s="29">
        <f t="shared" si="7"/>
        <v>0.10115397918435366</v>
      </c>
      <c r="F28" s="28">
        <f t="shared" si="8"/>
        <v>33.520762165712704</v>
      </c>
      <c r="G28" s="27" t="str">
        <f t="shared" si="9"/>
        <v>+</v>
      </c>
      <c r="H28" s="26">
        <f t="shared" si="10"/>
        <v>43107.799999999996</v>
      </c>
      <c r="I28" s="26">
        <f t="shared" si="11"/>
        <v>43134.516754839104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1183.5999999999999</v>
      </c>
      <c r="E29" s="29">
        <f t="shared" si="7"/>
        <v>9.3041536961921814E-2</v>
      </c>
      <c r="F29" s="28">
        <f t="shared" si="8"/>
        <v>32.320018446343887</v>
      </c>
      <c r="G29" s="27" t="str">
        <f t="shared" si="9"/>
        <v>+</v>
      </c>
      <c r="H29" s="26">
        <f t="shared" si="10"/>
        <v>38230.279999999992</v>
      </c>
      <c r="I29" s="26">
        <f t="shared" si="11"/>
        <v>38253.973833092619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775.6</v>
      </c>
      <c r="E30" s="29">
        <f t="shared" si="7"/>
        <v>6.096909096626104E-2</v>
      </c>
      <c r="F30" s="28">
        <f t="shared" si="8"/>
        <v>32.320018446343887</v>
      </c>
      <c r="G30" s="27" t="str">
        <f t="shared" si="9"/>
        <v>+</v>
      </c>
      <c r="H30" s="26">
        <f t="shared" si="10"/>
        <v>25051.879999999997</v>
      </c>
      <c r="I30" s="26">
        <f t="shared" si="11"/>
        <v>25067.406306984321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322.89999999999998</v>
      </c>
      <c r="E31" s="29">
        <f t="shared" si="7"/>
        <v>2.5382825519605065E-2</v>
      </c>
      <c r="F31" s="28">
        <f t="shared" si="8"/>
        <v>32.920390306028295</v>
      </c>
      <c r="G31" s="27" t="str">
        <f t="shared" si="9"/>
        <v>+</v>
      </c>
      <c r="H31" s="26">
        <f t="shared" si="10"/>
        <v>10623.409999999998</v>
      </c>
      <c r="I31" s="26">
        <f t="shared" si="11"/>
        <v>10629.994029816537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34.323639604203791</v>
      </c>
      <c r="D32" s="22">
        <f>SUM(D26:D31)</f>
        <v>8135.5</v>
      </c>
      <c r="E32" s="21">
        <f t="shared" si="7"/>
        <v>0.63952300097475079</v>
      </c>
      <c r="F32" s="20">
        <f>I32/D32</f>
        <v>34.344912233855304</v>
      </c>
      <c r="G32" s="19">
        <f>F32/C32-1</f>
        <v>6.197661406777133E-4</v>
      </c>
      <c r="H32" s="18">
        <f>SUM(H26:H31)</f>
        <v>279239.96999999991</v>
      </c>
      <c r="I32" s="18">
        <f>SUM(I26:I31)</f>
        <v>279413.03347852983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1617</v>
      </c>
      <c r="E34" s="29">
        <f t="shared" ref="E34:E40" si="13">D34/$D$48</f>
        <v>0.12711064993868501</v>
      </c>
      <c r="F34" s="28">
        <f t="shared" ref="F34:F39" si="14">C34-(C34*$E$6)</f>
        <v>19.812271369585421</v>
      </c>
      <c r="G34" s="27" t="str">
        <f t="shared" ref="G34:G39" si="15">IF(C34&gt;=F34,"-","+")</f>
        <v>+</v>
      </c>
      <c r="H34" s="26">
        <f t="shared" ref="H34:H39" si="16">C34*D34</f>
        <v>32016.600000000002</v>
      </c>
      <c r="I34" s="26">
        <f t="shared" ref="I34:I39" si="17">F34*D34</f>
        <v>32036.442804619626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15.209420445338301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12.207561146916268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32.320018446343887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32.320018446343887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33.520762165712704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1617</v>
      </c>
      <c r="E40" s="113">
        <f t="shared" si="13"/>
        <v>0.12711064993868501</v>
      </c>
      <c r="F40" s="20">
        <f>I40/D40</f>
        <v>19.812271369585421</v>
      </c>
      <c r="G40" s="19">
        <f>F40/C40-1</f>
        <v>6.197661406777133E-4</v>
      </c>
      <c r="H40" s="18">
        <f>SUM(H34:H39)</f>
        <v>32016.600000000002</v>
      </c>
      <c r="I40" s="18">
        <f>SUM(I34:I39)</f>
        <v>32036.442804619626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1980</v>
      </c>
      <c r="E42" s="107">
        <f>D42/$D$48</f>
        <v>0.15564569380247145</v>
      </c>
      <c r="F42" s="28">
        <f>C42-(C42*$E$6)</f>
        <v>0.50030988307033886</v>
      </c>
      <c r="G42" s="27" t="str">
        <f>IF(C42&gt;=F42,"-","+")</f>
        <v>+</v>
      </c>
      <c r="H42" s="26">
        <f>C42*D42</f>
        <v>990</v>
      </c>
      <c r="I42" s="26">
        <f>F42*D42</f>
        <v>990.61356847927095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102.9</v>
      </c>
      <c r="E43" s="107">
        <f>D43/$D$48</f>
        <v>8.0888595415526832E-3</v>
      </c>
      <c r="F43" s="28">
        <f>C43-(C43*$E$6)</f>
        <v>0.50030988307033886</v>
      </c>
      <c r="G43" s="27" t="str">
        <f>IF(C43&gt;=F43,"-","+")</f>
        <v>+</v>
      </c>
      <c r="H43" s="26">
        <f>C43*D43</f>
        <v>51.45</v>
      </c>
      <c r="I43" s="26">
        <f>F43*D43</f>
        <v>51.481886967937868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5.9</v>
      </c>
      <c r="E45" s="107">
        <f>D45/$D$48</f>
        <v>4.6379272395685939E-4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0.49858770585982382</v>
      </c>
      <c r="D46" s="22">
        <f>SUM(D41:D45)</f>
        <v>2088.8000000000002</v>
      </c>
      <c r="E46" s="113">
        <f>D46/$D$48</f>
        <v>0.164198346067981</v>
      </c>
      <c r="F46" s="20">
        <f>I46/D46</f>
        <v>0.49889671363807392</v>
      </c>
      <c r="G46" s="19">
        <f>F46/C46-1</f>
        <v>6.197661406777133E-4</v>
      </c>
      <c r="H46" s="18">
        <f>SUM(H41:H44)</f>
        <v>1041.45</v>
      </c>
      <c r="I46" s="18">
        <f>SUM(I41:I44)</f>
        <v>1042.0954554472089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104.25850415970559</v>
      </c>
      <c r="D48" s="13">
        <f>D24+D32+D40+D46</f>
        <v>12721.2</v>
      </c>
      <c r="E48" s="12">
        <f>SUM(E20:E46)/2</f>
        <v>0.99999999999999978</v>
      </c>
      <c r="F48" s="11">
        <f>I48/D48</f>
        <v>28.000000000000011</v>
      </c>
      <c r="G48" s="10"/>
      <c r="H48" s="9">
        <f>SUM(H20:H46)/2</f>
        <v>355972.97999999986</v>
      </c>
      <c r="I48" s="9">
        <f>SUM(I20:I46)/2</f>
        <v>356193.60000000015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12721.2</v>
      </c>
      <c r="E50" s="12">
        <f>D50/G2</f>
        <v>1</v>
      </c>
      <c r="F50" s="11">
        <f>I50/D50</f>
        <v>28.000000000000011</v>
      </c>
      <c r="G50" s="10"/>
      <c r="H50" s="9">
        <f>H48+H19</f>
        <v>355972.97999999986</v>
      </c>
      <c r="I50" s="9">
        <f>I48+I19</f>
        <v>356193.60000000015</v>
      </c>
      <c r="J50" s="106">
        <f>D50-G2</f>
        <v>0</v>
      </c>
      <c r="K50" s="8"/>
    </row>
    <row r="51" spans="1:11" ht="23.25" x14ac:dyDescent="0.35">
      <c r="A51" s="174" t="s">
        <v>855</v>
      </c>
      <c r="B51" s="169"/>
      <c r="C51" s="170"/>
      <c r="G51" s="7"/>
      <c r="H51" s="6"/>
      <c r="I51" s="6">
        <f>+I50/D50</f>
        <v>28.000000000000011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>
    <tabColor rgb="FF92D050"/>
  </sheetPr>
  <dimension ref="A1:K56"/>
  <sheetViews>
    <sheetView topLeftCell="A2"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 bestFit="1"/>
  </cols>
  <sheetData>
    <row r="1" spans="1:11" ht="16.5" thickBot="1" x14ac:dyDescent="0.3">
      <c r="A1" s="103" t="s">
        <v>0</v>
      </c>
      <c r="B1" s="102"/>
      <c r="C1" s="101" t="s">
        <v>854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854</v>
      </c>
      <c r="D2" s="96" t="s">
        <v>3</v>
      </c>
      <c r="E2" s="95" t="s">
        <v>107</v>
      </c>
      <c r="F2" s="94" t="s">
        <v>5</v>
      </c>
      <c r="G2" s="93">
        <v>21349.7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320</v>
      </c>
      <c r="F3" s="88" t="s">
        <v>8</v>
      </c>
      <c r="G3" s="87">
        <v>25</v>
      </c>
      <c r="H3" s="62"/>
      <c r="I3" s="62"/>
      <c r="J3" s="61"/>
      <c r="K3" s="61"/>
    </row>
    <row r="4" spans="1:11" ht="16.5" thickBot="1" x14ac:dyDescent="0.3">
      <c r="A4" s="86" t="s">
        <v>9</v>
      </c>
      <c r="B4" s="85"/>
      <c r="C4" s="84">
        <v>7</v>
      </c>
      <c r="D4" s="83" t="s">
        <v>11</v>
      </c>
      <c r="E4" s="82">
        <f>G2/E3</f>
        <v>66.717812500000008</v>
      </c>
      <c r="F4" s="81" t="s">
        <v>12</v>
      </c>
      <c r="G4" s="80">
        <f>G2*G3</f>
        <v>533742.5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-4.5323534056729287E-5</v>
      </c>
      <c r="F6" s="69" t="s">
        <v>16</v>
      </c>
      <c r="G6" s="68">
        <f>(I50-I19)/(D50-(SUM(D42:D44)+D19))</f>
        <v>29.515155494058678</v>
      </c>
    </row>
    <row r="7" spans="1:11" ht="16.5" thickBot="1" x14ac:dyDescent="0.3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>
        <f t="shared" ref="E10:E19" si="1">D10/$D$19</f>
        <v>0</v>
      </c>
      <c r="F10" s="28">
        <f t="shared" ref="F10:F18" si="2">C10-(C10*$E$6)</f>
        <v>25.00113308835142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>
        <f t="shared" si="1"/>
        <v>0</v>
      </c>
      <c r="F11" s="28">
        <f t="shared" si="2"/>
        <v>26.001178411885476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>
        <v>3581.8</v>
      </c>
      <c r="E12" s="29">
        <f t="shared" si="1"/>
        <v>0.49218803677187961</v>
      </c>
      <c r="F12" s="28">
        <f t="shared" si="2"/>
        <v>23.801078700110551</v>
      </c>
      <c r="G12" s="27" t="str">
        <f t="shared" si="3"/>
        <v>+</v>
      </c>
      <c r="H12" s="34">
        <f t="shared" si="4"/>
        <v>85246.840000000011</v>
      </c>
      <c r="I12" s="34">
        <f t="shared" si="5"/>
        <v>85250.703688055975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>
        <v>2952.4</v>
      </c>
      <c r="E13" s="29">
        <f t="shared" si="1"/>
        <v>0.40569991617770323</v>
      </c>
      <c r="F13" s="28">
        <f t="shared" si="2"/>
        <v>26.001178411885476</v>
      </c>
      <c r="G13" s="27" t="str">
        <f t="shared" si="3"/>
        <v>+</v>
      </c>
      <c r="H13" s="34">
        <f t="shared" si="4"/>
        <v>76762.400000000009</v>
      </c>
      <c r="I13" s="34">
        <f t="shared" si="5"/>
        <v>76765.879143250684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>
        <f t="shared" si="1"/>
        <v>0</v>
      </c>
      <c r="F14" s="28">
        <f t="shared" si="2"/>
        <v>29.101318914841052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>
        <v>170</v>
      </c>
      <c r="E15" s="29">
        <f t="shared" si="1"/>
        <v>2.3360312203701918E-2</v>
      </c>
      <c r="F15" s="28">
        <f t="shared" si="2"/>
        <v>24.001087764817363</v>
      </c>
      <c r="G15" s="27" t="str">
        <f t="shared" si="3"/>
        <v>+</v>
      </c>
      <c r="H15" s="34">
        <f t="shared" si="4"/>
        <v>4080</v>
      </c>
      <c r="I15" s="34">
        <f t="shared" si="5"/>
        <v>4080.1849200189517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32.9</v>
      </c>
      <c r="D16" s="30">
        <v>489.1</v>
      </c>
      <c r="E16" s="29">
        <f t="shared" si="1"/>
        <v>6.720899234606241E-2</v>
      </c>
      <c r="F16" s="28">
        <f t="shared" si="2"/>
        <v>32.901491144270466</v>
      </c>
      <c r="G16" s="27" t="str">
        <f t="shared" si="3"/>
        <v>+</v>
      </c>
      <c r="H16" s="34">
        <f t="shared" si="4"/>
        <v>16091.39</v>
      </c>
      <c r="I16" s="34">
        <f t="shared" si="5"/>
        <v>16092.119318662686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48.4</v>
      </c>
      <c r="D17" s="30">
        <v>84</v>
      </c>
      <c r="E17" s="29">
        <f t="shared" si="1"/>
        <v>1.1542742500652714E-2</v>
      </c>
      <c r="F17" s="28">
        <f t="shared" si="2"/>
        <v>48.402193659048343</v>
      </c>
      <c r="G17" s="27" t="str">
        <f t="shared" si="3"/>
        <v>+</v>
      </c>
      <c r="H17" s="34">
        <f t="shared" si="4"/>
        <v>4065.6</v>
      </c>
      <c r="I17" s="34">
        <f t="shared" si="5"/>
        <v>4065.7842673600608</v>
      </c>
      <c r="J17" s="52"/>
      <c r="K17" s="52"/>
    </row>
    <row r="18" spans="1:11" ht="15.75" thickBot="1" x14ac:dyDescent="0.3">
      <c r="A18" s="25" t="s">
        <v>33</v>
      </c>
      <c r="B18" s="32">
        <v>1.6942143999999999</v>
      </c>
      <c r="C18" s="31">
        <f t="shared" si="0"/>
        <v>42.4</v>
      </c>
      <c r="D18" s="30"/>
      <c r="E18" s="29">
        <f t="shared" si="1"/>
        <v>0</v>
      </c>
      <c r="F18" s="28">
        <f t="shared" si="2"/>
        <v>42.401921717844004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ht="16.5" thickTop="1" thickBot="1" x14ac:dyDescent="0.3">
      <c r="A19" s="51" t="s">
        <v>34</v>
      </c>
      <c r="B19" s="50"/>
      <c r="C19" s="47">
        <f>H19/D19</f>
        <v>25.592765173896911</v>
      </c>
      <c r="D19" s="49">
        <f>SUM(D10:D18)</f>
        <v>7277.3000000000011</v>
      </c>
      <c r="E19" s="48">
        <f t="shared" si="1"/>
        <v>1</v>
      </c>
      <c r="F19" s="47">
        <f>I19/D19</f>
        <v>25.593925128460874</v>
      </c>
      <c r="G19" s="46">
        <f>F19/C19-1</f>
        <v>4.5323534056729287E-5</v>
      </c>
      <c r="H19" s="9">
        <f>SUM(H10:H18)</f>
        <v>186246.23</v>
      </c>
      <c r="I19" s="9">
        <f>SUM(I10:I18)</f>
        <v>186254.67133734835</v>
      </c>
      <c r="J19" s="8"/>
      <c r="K19" s="8"/>
    </row>
    <row r="20" spans="1:11" ht="15.75" thickTop="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62.9</v>
      </c>
      <c r="D21" s="30">
        <v>150.30000000000001</v>
      </c>
      <c r="E21" s="29">
        <f>D21/$D$48</f>
        <v>1.0680329150263634E-2</v>
      </c>
      <c r="F21" s="28">
        <f>C21-(C21*$E$6)</f>
        <v>62.902850850292168</v>
      </c>
      <c r="G21" s="27" t="str">
        <f>IF(C21&gt;=F21,"-","+")</f>
        <v>+</v>
      </c>
      <c r="H21" s="26">
        <f>C21*D21</f>
        <v>9453.8700000000008</v>
      </c>
      <c r="I21" s="26">
        <f>F21*D21</f>
        <v>9454.298482798913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577.9</v>
      </c>
      <c r="E22" s="29">
        <f>D22/$D$48</f>
        <v>4.1065616872504013E-2</v>
      </c>
      <c r="F22" s="28">
        <f>C22-(C22*$E$6)</f>
        <v>42.2019126531372</v>
      </c>
      <c r="G22" s="27" t="str">
        <f>IF(C22&gt;=F22,"-","+")</f>
        <v>+</v>
      </c>
      <c r="H22" s="26">
        <f>C22*D22</f>
        <v>24387.38</v>
      </c>
      <c r="I22" s="26">
        <f>F22*D22</f>
        <v>24388.485322247987</v>
      </c>
      <c r="J22" s="25"/>
      <c r="K22" s="25"/>
    </row>
    <row r="23" spans="1:11" ht="15.75" thickBot="1" x14ac:dyDescent="0.3">
      <c r="A23" s="25" t="s">
        <v>38</v>
      </c>
      <c r="B23" s="32">
        <v>1.54</v>
      </c>
      <c r="C23" s="31">
        <f>ROUND($G$3*B23,1)</f>
        <v>38.5</v>
      </c>
      <c r="D23" s="30">
        <v>309.60000000000002</v>
      </c>
      <c r="E23" s="29">
        <f>D23/$D$48</f>
        <v>2.2000198968207724E-2</v>
      </c>
      <c r="F23" s="28">
        <f>C23-(C23*$E$6)</f>
        <v>38.501744956061181</v>
      </c>
      <c r="G23" s="27" t="str">
        <f>IF(C23&gt;=F23,"-","+")</f>
        <v>+</v>
      </c>
      <c r="H23" s="26">
        <f>C23*D23</f>
        <v>11919.6</v>
      </c>
      <c r="I23" s="26">
        <f>F23*D23</f>
        <v>11920.140238396543</v>
      </c>
      <c r="J23" s="25"/>
      <c r="K23" s="25"/>
    </row>
    <row r="24" spans="1:11" ht="15.75" thickBot="1" x14ac:dyDescent="0.3">
      <c r="A24" s="24" t="s">
        <v>34</v>
      </c>
      <c r="B24" s="23"/>
      <c r="C24" s="20">
        <f>H24/D24</f>
        <v>44.094093274233948</v>
      </c>
      <c r="D24" s="22">
        <f>SUM(D21:D23)</f>
        <v>1037.8000000000002</v>
      </c>
      <c r="E24" s="21">
        <f>D24/$D$48</f>
        <v>7.3746144990975385E-2</v>
      </c>
      <c r="F24" s="20">
        <f>I24/D24</f>
        <v>44.096091774372169</v>
      </c>
      <c r="G24" s="19">
        <f>F24/C24-1</f>
        <v>4.5323534056951331E-5</v>
      </c>
      <c r="H24" s="18">
        <f>SUM(H21:H23)</f>
        <v>45760.85</v>
      </c>
      <c r="I24" s="18">
        <f>SUM(I21:I23)</f>
        <v>45762.924043443447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33.6</v>
      </c>
      <c r="D26" s="30">
        <f>2319.2+488.8+59</f>
        <v>2867</v>
      </c>
      <c r="E26" s="29">
        <f t="shared" ref="E26:E32" si="7">D26/$D$48</f>
        <v>0.20372923269331894</v>
      </c>
      <c r="F26" s="28">
        <f t="shared" ref="F26:F31" si="8">C26-(C26*$E$6)</f>
        <v>33.601522870744304</v>
      </c>
      <c r="G26" s="27" t="str">
        <f t="shared" ref="G26:G31" si="9">IF(C26&gt;=F26,"-","+")</f>
        <v>+</v>
      </c>
      <c r="H26" s="26">
        <f t="shared" ref="H26:H31" si="10">C26*D26</f>
        <v>96331.199999999997</v>
      </c>
      <c r="I26" s="26">
        <f t="shared" ref="I26:I31" si="11">F26*D26</f>
        <v>96335.566070423927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2198</v>
      </c>
      <c r="E27" s="29">
        <f t="shared" si="7"/>
        <v>0.15619004306240494</v>
      </c>
      <c r="F27" s="28">
        <f t="shared" si="8"/>
        <v>29.901355173668296</v>
      </c>
      <c r="G27" s="27" t="str">
        <f t="shared" si="9"/>
        <v>+</v>
      </c>
      <c r="H27" s="26">
        <f t="shared" si="10"/>
        <v>65720.2</v>
      </c>
      <c r="I27" s="26">
        <f t="shared" si="11"/>
        <v>65723.178671722912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1050</v>
      </c>
      <c r="E28" s="29">
        <f t="shared" si="7"/>
        <v>7.4613077896053315E-2</v>
      </c>
      <c r="F28" s="28">
        <f t="shared" si="8"/>
        <v>29.901355173668296</v>
      </c>
      <c r="G28" s="27" t="str">
        <f t="shared" si="9"/>
        <v>+</v>
      </c>
      <c r="H28" s="26">
        <f t="shared" si="10"/>
        <v>31395</v>
      </c>
      <c r="I28" s="26">
        <f t="shared" si="11"/>
        <v>31396.42293235171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1002</v>
      </c>
      <c r="E29" s="29">
        <f t="shared" si="7"/>
        <v>7.1202194335090882E-2</v>
      </c>
      <c r="F29" s="28">
        <f t="shared" si="8"/>
        <v>28.90130985013424</v>
      </c>
      <c r="G29" s="27" t="str">
        <f t="shared" si="9"/>
        <v>+</v>
      </c>
      <c r="H29" s="26">
        <f t="shared" si="10"/>
        <v>28957.8</v>
      </c>
      <c r="I29" s="26">
        <f t="shared" si="11"/>
        <v>28959.112469834508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1123.5</v>
      </c>
      <c r="E30" s="29">
        <f t="shared" si="7"/>
        <v>7.9835993348777057E-2</v>
      </c>
      <c r="F30" s="28">
        <f t="shared" si="8"/>
        <v>28.90130985013424</v>
      </c>
      <c r="G30" s="27" t="str">
        <f t="shared" si="9"/>
        <v>+</v>
      </c>
      <c r="H30" s="26">
        <f t="shared" si="10"/>
        <v>32469.149999999998</v>
      </c>
      <c r="I30" s="26">
        <f t="shared" si="11"/>
        <v>32470.62161662582</v>
      </c>
      <c r="J30" s="25"/>
      <c r="K30" s="25"/>
    </row>
    <row r="31" spans="1:11" ht="15.75" thickBot="1" x14ac:dyDescent="0.3">
      <c r="A31" s="25" t="s">
        <v>45</v>
      </c>
      <c r="B31" s="32">
        <v>1.175</v>
      </c>
      <c r="C31" s="31">
        <f t="shared" si="6"/>
        <v>29.4</v>
      </c>
      <c r="D31" s="30">
        <v>208.4</v>
      </c>
      <c r="E31" s="29">
        <f t="shared" si="7"/>
        <v>1.4808919460511917E-2</v>
      </c>
      <c r="F31" s="28">
        <f t="shared" si="8"/>
        <v>29.401332511901266</v>
      </c>
      <c r="G31" s="27" t="str">
        <f t="shared" si="9"/>
        <v>+</v>
      </c>
      <c r="H31" s="26">
        <f t="shared" si="10"/>
        <v>6126.96</v>
      </c>
      <c r="I31" s="26">
        <f t="shared" si="11"/>
        <v>6127.2376954802239</v>
      </c>
      <c r="J31" s="25"/>
      <c r="K31" s="25"/>
    </row>
    <row r="32" spans="1:11" ht="15.75" thickBot="1" x14ac:dyDescent="0.3">
      <c r="A32" s="24" t="s">
        <v>34</v>
      </c>
      <c r="B32" s="23"/>
      <c r="C32" s="20">
        <f>H32/D32</f>
        <v>30.891632046775317</v>
      </c>
      <c r="D32" s="22">
        <f>SUM(D26:D31)</f>
        <v>8448.9</v>
      </c>
      <c r="E32" s="21">
        <f t="shared" si="7"/>
        <v>0.60037946079615701</v>
      </c>
      <c r="F32" s="20">
        <f>I32/D32</f>
        <v>30.893032164712459</v>
      </c>
      <c r="G32" s="19">
        <f>F32/C32-1</f>
        <v>4.5323534056729287E-5</v>
      </c>
      <c r="H32" s="18">
        <f>SUM(H26:H31)</f>
        <v>261000.30999999997</v>
      </c>
      <c r="I32" s="18">
        <f>SUM(I26:I31)</f>
        <v>261012.13945643909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933.5+1202.1</f>
        <v>2135.6</v>
      </c>
      <c r="E34" s="29">
        <f t="shared" ref="E34:E40" si="13">D34/$D$48</f>
        <v>0.15175589443315377</v>
      </c>
      <c r="F34" s="28">
        <f t="shared" ref="F34:F39" si="14">C34-(C34*$E$6)</f>
        <v>17.700802226552803</v>
      </c>
      <c r="G34" s="27" t="str">
        <f t="shared" ref="G34:G39" si="15">IF(C34&gt;=F34,"-","+")</f>
        <v>+</v>
      </c>
      <c r="H34" s="26">
        <f t="shared" ref="H34:H39" si="16">C34*D34</f>
        <v>37800.119999999995</v>
      </c>
      <c r="I34" s="26">
        <f t="shared" ref="I34:I39" si="17">F34*D34</f>
        <v>37801.833235026163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146.4</v>
      </c>
      <c r="E35" s="29">
        <f t="shared" si="13"/>
        <v>1.0403194860935435E-2</v>
      </c>
      <c r="F35" s="28">
        <f t="shared" si="14"/>
        <v>13.600616400063171</v>
      </c>
      <c r="G35" s="27" t="str">
        <f t="shared" si="15"/>
        <v>+</v>
      </c>
      <c r="H35" s="26">
        <f t="shared" si="16"/>
        <v>1991.04</v>
      </c>
      <c r="I35" s="26">
        <f t="shared" si="17"/>
        <v>1991.1302409692482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10.900494026521219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28.90130985013424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28.90130985013424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ht="15.75" thickBot="1" x14ac:dyDescent="0.3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29.901355173668296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ht="15.75" thickBot="1" x14ac:dyDescent="0.3">
      <c r="A40" s="24" t="s">
        <v>34</v>
      </c>
      <c r="B40" s="23"/>
      <c r="C40" s="20">
        <f>H40/D40</f>
        <v>17.436967572304994</v>
      </c>
      <c r="D40" s="22">
        <f>SUM(D34:D39)</f>
        <v>2282</v>
      </c>
      <c r="E40" s="113">
        <f t="shared" si="13"/>
        <v>0.16215908929408923</v>
      </c>
      <c r="F40" s="20">
        <f>I40/D40</f>
        <v>17.437757877298605</v>
      </c>
      <c r="G40" s="19">
        <f>F40/C40-1</f>
        <v>4.5323534056729287E-5</v>
      </c>
      <c r="H40" s="18">
        <f>SUM(H34:H39)</f>
        <v>39791.159999999996</v>
      </c>
      <c r="I40" s="18">
        <f>SUM(I34:I39)</f>
        <v>39792.963475995413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1050.9+1026+133.5</f>
        <v>2210.4</v>
      </c>
      <c r="E42" s="107">
        <f>D42/$D$48</f>
        <v>0.15707118798232025</v>
      </c>
      <c r="F42" s="28">
        <f>C42-(C42*$E$6)</f>
        <v>0.40001812941362269</v>
      </c>
      <c r="G42" s="27" t="str">
        <f>IF(C42&gt;=F42,"-","+")</f>
        <v>+</v>
      </c>
      <c r="H42" s="26">
        <f>C42*D42</f>
        <v>884.16000000000008</v>
      </c>
      <c r="I42" s="26">
        <f>F42*D42</f>
        <v>884.20007325587164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89</v>
      </c>
      <c r="E43" s="107">
        <f>D43/$D$48</f>
        <v>6.324346602617853E-3</v>
      </c>
      <c r="F43" s="28">
        <f>C43-(C43*$E$6)</f>
        <v>0.40001812941362269</v>
      </c>
      <c r="G43" s="27" t="str">
        <f>IF(C43&gt;=F43,"-","+")</f>
        <v>+</v>
      </c>
      <c r="H43" s="26">
        <f>C43*D43</f>
        <v>35.6</v>
      </c>
      <c r="I43" s="26">
        <f>F43*D43</f>
        <v>35.601613517812417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4.5</v>
      </c>
      <c r="E45" s="107">
        <f>D45/$D$48</f>
        <v>3.197703338402285E-4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ht="15.75" thickBot="1" x14ac:dyDescent="0.3">
      <c r="A46" s="24" t="s">
        <v>34</v>
      </c>
      <c r="B46" s="23"/>
      <c r="C46" s="20">
        <f>H46/D46</f>
        <v>0.39921871609010812</v>
      </c>
      <c r="D46" s="22">
        <f>SUM(D41:D45)</f>
        <v>2303.9</v>
      </c>
      <c r="E46" s="113">
        <f>D46/$D$48</f>
        <v>0.16371530491877834</v>
      </c>
      <c r="F46" s="20">
        <f>I46/D46</f>
        <v>0.3992368100931829</v>
      </c>
      <c r="G46" s="19">
        <f>F46/C46-1</f>
        <v>4.5323534056729287E-5</v>
      </c>
      <c r="H46" s="18">
        <f>SUM(H41:H44)</f>
        <v>919.7600000000001</v>
      </c>
      <c r="I46" s="18">
        <f>SUM(I41:I44)</f>
        <v>919.80168677368408</v>
      </c>
      <c r="J46" s="17"/>
      <c r="K46" s="17"/>
    </row>
    <row r="47" spans="1:11" ht="15.75" thickBot="1" x14ac:dyDescent="0.3">
      <c r="E47" s="16"/>
    </row>
    <row r="48" spans="1:11" ht="15.75" thickBot="1" x14ac:dyDescent="0.3">
      <c r="A48" s="10" t="s">
        <v>58</v>
      </c>
      <c r="B48" s="15"/>
      <c r="C48" s="11">
        <f>C24+C32+C40+C46</f>
        <v>92.821911609404367</v>
      </c>
      <c r="D48" s="13">
        <f>D24+D32+D40+D46</f>
        <v>14072.6</v>
      </c>
      <c r="E48" s="12">
        <f>SUM(E20:E46)/2</f>
        <v>1</v>
      </c>
      <c r="F48" s="11">
        <f>I48/D48</f>
        <v>24.692510883749392</v>
      </c>
      <c r="G48" s="10"/>
      <c r="H48" s="9">
        <f>SUM(H20:H46)/2</f>
        <v>347472.08</v>
      </c>
      <c r="I48" s="9">
        <f>SUM(I20:I46)/2</f>
        <v>347487.82866265171</v>
      </c>
      <c r="J48" s="8"/>
      <c r="K48" s="8"/>
    </row>
    <row r="49" spans="1:11" ht="15.75" thickBot="1" x14ac:dyDescent="0.3">
      <c r="E49" s="16"/>
    </row>
    <row r="50" spans="1:11" ht="15.75" thickBot="1" x14ac:dyDescent="0.3">
      <c r="A50" s="10" t="s">
        <v>59</v>
      </c>
      <c r="B50" s="15"/>
      <c r="C50" s="14"/>
      <c r="D50" s="13">
        <f>SUM(D10:D47)/2</f>
        <v>21349.9</v>
      </c>
      <c r="E50" s="12">
        <f>D50/G2</f>
        <v>1.000009367813131</v>
      </c>
      <c r="F50" s="11">
        <f>I50/D50</f>
        <v>24.999765806865604</v>
      </c>
      <c r="G50" s="10"/>
      <c r="H50" s="9">
        <f>H48+H19</f>
        <v>533718.31000000006</v>
      </c>
      <c r="I50" s="9">
        <f>I48+I19</f>
        <v>533742.5</v>
      </c>
      <c r="J50" s="106">
        <f>D50-G2</f>
        <v>0.2000000000007276</v>
      </c>
      <c r="K50" s="8"/>
    </row>
    <row r="51" spans="1:11" ht="23.25" x14ac:dyDescent="0.35">
      <c r="A51" s="174" t="s">
        <v>856</v>
      </c>
      <c r="B51" s="169"/>
      <c r="C51" s="170"/>
      <c r="G51" s="7"/>
      <c r="H51" s="6"/>
      <c r="I51" s="6">
        <f>+I50/D50</f>
        <v>24.999765806865604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15</v>
      </c>
      <c r="K55" s="1" t="s">
        <v>857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858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858</v>
      </c>
      <c r="D2" s="96" t="s">
        <v>3</v>
      </c>
      <c r="E2" s="95" t="s">
        <v>107</v>
      </c>
      <c r="F2" s="94" t="s">
        <v>5</v>
      </c>
      <c r="G2" s="93">
        <v>3620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52</v>
      </c>
      <c r="F3" s="88" t="s">
        <v>8</v>
      </c>
      <c r="G3" s="87">
        <v>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69.615384615384613</v>
      </c>
      <c r="F4" s="81" t="s">
        <v>12</v>
      </c>
      <c r="G4" s="80">
        <f>G2*G3</f>
        <v>90500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-3.7550143480000298E-2</v>
      </c>
      <c r="F6" s="69" t="s">
        <v>16</v>
      </c>
      <c r="G6" s="68">
        <f>(I50-I19)/(D50-(SUM(D42:D44)+D19))</f>
        <v>28.189879698814476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>
        <f t="shared" ref="E10:E19" si="1">D10/$D$19</f>
        <v>0</v>
      </c>
      <c r="F10" s="28">
        <f t="shared" ref="F10:F18" si="2">C10-(C10*$E$6)</f>
        <v>25.938753587000008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>
        <v>1396.7</v>
      </c>
      <c r="E11" s="29">
        <f t="shared" si="1"/>
        <v>1</v>
      </c>
      <c r="F11" s="28">
        <f t="shared" si="2"/>
        <v>26.976303730480009</v>
      </c>
      <c r="G11" s="27" t="str">
        <f t="shared" si="3"/>
        <v>+</v>
      </c>
      <c r="H11" s="34">
        <f t="shared" si="4"/>
        <v>36314.200000000004</v>
      </c>
      <c r="I11" s="34">
        <f t="shared" si="5"/>
        <v>37677.80342036143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>
        <f t="shared" si="1"/>
        <v>0</v>
      </c>
      <c r="F12" s="28">
        <f t="shared" si="2"/>
        <v>24.693693414824008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>
        <f t="shared" si="1"/>
        <v>0</v>
      </c>
      <c r="F13" s="28">
        <f t="shared" si="2"/>
        <v>26.976303730480009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>
        <f t="shared" si="1"/>
        <v>0</v>
      </c>
      <c r="F14" s="28">
        <f t="shared" si="2"/>
        <v>30.192709175268011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>
        <f t="shared" si="1"/>
        <v>0</v>
      </c>
      <c r="F15" s="28">
        <f t="shared" si="2"/>
        <v>24.901203443520007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32.9</v>
      </c>
      <c r="D16" s="30"/>
      <c r="E16" s="29">
        <f t="shared" si="1"/>
        <v>0</v>
      </c>
      <c r="F16" s="28">
        <f t="shared" si="2"/>
        <v>34.135399720492011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48.4</v>
      </c>
      <c r="D17" s="30"/>
      <c r="E17" s="29">
        <f t="shared" si="1"/>
        <v>0</v>
      </c>
      <c r="F17" s="28">
        <f t="shared" si="2"/>
        <v>50.217426944432013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42.4</v>
      </c>
      <c r="D18" s="30"/>
      <c r="E18" s="29">
        <f t="shared" si="1"/>
        <v>0</v>
      </c>
      <c r="F18" s="28">
        <f t="shared" si="2"/>
        <v>43.992126083552009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26.000000000000004</v>
      </c>
      <c r="D19" s="49">
        <f>SUM(D10:D18)</f>
        <v>1396.7</v>
      </c>
      <c r="E19" s="48">
        <f t="shared" si="1"/>
        <v>1</v>
      </c>
      <c r="F19" s="47">
        <f>I19/D19</f>
        <v>26.976303730480009</v>
      </c>
      <c r="G19" s="46">
        <f>F19/C19-1</f>
        <v>3.7550143480000298E-2</v>
      </c>
      <c r="H19" s="9">
        <f>SUM(H10:H18)</f>
        <v>36314.200000000004</v>
      </c>
      <c r="I19" s="9">
        <f>SUM(I10:I18)</f>
        <v>37677.80342036143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62.9</v>
      </c>
      <c r="D21" s="30"/>
      <c r="E21" s="29">
        <f>D21/$D$48</f>
        <v>0</v>
      </c>
      <c r="F21" s="28">
        <f>C21-(C21*$E$6)</f>
        <v>65.261904024892019</v>
      </c>
      <c r="G21" s="27" t="str">
        <f>IF(C21&gt;=F21,"-","+")</f>
        <v>+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102.9</v>
      </c>
      <c r="E22" s="29">
        <f>D22/$D$48</f>
        <v>4.6276308688613058E-2</v>
      </c>
      <c r="F22" s="28">
        <f>C22-(C22*$E$6)</f>
        <v>43.784616054856016</v>
      </c>
      <c r="G22" s="27" t="str">
        <f>IF(C22&gt;=F22,"-","+")</f>
        <v>+</v>
      </c>
      <c r="H22" s="26">
        <f>C22*D22</f>
        <v>4342.38</v>
      </c>
      <c r="I22" s="26">
        <f>F22*D22</f>
        <v>4505.4369920446843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/>
      <c r="E23" s="29">
        <f>D23/$D$48</f>
        <v>0</v>
      </c>
      <c r="F23" s="28">
        <f>C23-(C23*$E$6)</f>
        <v>39.945680523980009</v>
      </c>
      <c r="G23" s="27" t="str">
        <f>IF(C23&gt;=F23,"-","+")</f>
        <v>+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42.199999999999996</v>
      </c>
      <c r="D24" s="22">
        <f>SUM(D21:D23)</f>
        <v>102.9</v>
      </c>
      <c r="E24" s="21">
        <f>D24/$D$48</f>
        <v>4.6276308688613058E-2</v>
      </c>
      <c r="F24" s="20">
        <f>I24/D24</f>
        <v>43.784616054856016</v>
      </c>
      <c r="G24" s="19">
        <f>F24/C24-1</f>
        <v>3.755014348000052E-2</v>
      </c>
      <c r="H24" s="18">
        <f>SUM(H21:H23)</f>
        <v>4342.38</v>
      </c>
      <c r="I24" s="18">
        <f>SUM(I21:I23)</f>
        <v>4505.4369920446843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33.6</v>
      </c>
      <c r="D26" s="30"/>
      <c r="E26" s="29">
        <f t="shared" ref="E26:E32" si="7">D26/$D$48</f>
        <v>0</v>
      </c>
      <c r="F26" s="28">
        <f t="shared" ref="F26:F31" si="8">C26-(C26*$E$6)</f>
        <v>34.861684820928012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f>213+152</f>
        <v>365</v>
      </c>
      <c r="E27" s="29">
        <f t="shared" si="7"/>
        <v>0.16414822809857885</v>
      </c>
      <c r="F27" s="28">
        <f t="shared" si="8"/>
        <v>31.022749290052008</v>
      </c>
      <c r="G27" s="27" t="str">
        <f t="shared" si="9"/>
        <v>+</v>
      </c>
      <c r="H27" s="26">
        <f t="shared" si="10"/>
        <v>10913.5</v>
      </c>
      <c r="I27" s="26">
        <f t="shared" si="11"/>
        <v>11323.303490868982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265.10000000000002</v>
      </c>
      <c r="E28" s="29">
        <f t="shared" si="7"/>
        <v>0.11922108292858427</v>
      </c>
      <c r="F28" s="28">
        <f t="shared" si="8"/>
        <v>31.022749290052008</v>
      </c>
      <c r="G28" s="27" t="str">
        <f t="shared" si="9"/>
        <v>+</v>
      </c>
      <c r="H28" s="26">
        <f t="shared" si="10"/>
        <v>7926.4900000000007</v>
      </c>
      <c r="I28" s="26">
        <f t="shared" si="11"/>
        <v>8224.1308367927886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425.7</v>
      </c>
      <c r="E29" s="29">
        <f t="shared" si="7"/>
        <v>0.19144630329195894</v>
      </c>
      <c r="F29" s="28">
        <f t="shared" si="8"/>
        <v>29.985199146572008</v>
      </c>
      <c r="G29" s="27" t="str">
        <f t="shared" si="9"/>
        <v>+</v>
      </c>
      <c r="H29" s="26">
        <f t="shared" si="10"/>
        <v>12302.73</v>
      </c>
      <c r="I29" s="26">
        <f t="shared" si="11"/>
        <v>12764.699276695703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255.4</v>
      </c>
      <c r="E30" s="29">
        <f t="shared" si="7"/>
        <v>0.11485878755171793</v>
      </c>
      <c r="F30" s="28">
        <f t="shared" si="8"/>
        <v>29.985199146572008</v>
      </c>
      <c r="G30" s="27" t="str">
        <f t="shared" si="9"/>
        <v>+</v>
      </c>
      <c r="H30" s="26">
        <f t="shared" si="10"/>
        <v>7381.0599999999995</v>
      </c>
      <c r="I30" s="26">
        <f t="shared" si="11"/>
        <v>7658.2198620344907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/>
      <c r="E31" s="29">
        <f t="shared" si="7"/>
        <v>0</v>
      </c>
      <c r="F31" s="28">
        <f t="shared" si="8"/>
        <v>30.503974218312006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29.38055216595485</v>
      </c>
      <c r="D32" s="22">
        <f>SUM(D26:D31)</f>
        <v>1311.2</v>
      </c>
      <c r="E32" s="21">
        <f t="shared" si="7"/>
        <v>0.58967440187083997</v>
      </c>
      <c r="F32" s="20">
        <f>I32/D32</f>
        <v>30.483796115308092</v>
      </c>
      <c r="G32" s="19">
        <f>F32/C32-1</f>
        <v>3.755014348000052E-2</v>
      </c>
      <c r="H32" s="18">
        <f>SUM(H26:H31)</f>
        <v>38523.78</v>
      </c>
      <c r="I32" s="18">
        <f>SUM(I26:I31)</f>
        <v>39970.353466391971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228.8+184.2</f>
        <v>413</v>
      </c>
      <c r="E34" s="29">
        <f t="shared" ref="E34:E40" si="13">D34/$D$48</f>
        <v>0.18573484439647417</v>
      </c>
      <c r="F34" s="28">
        <f t="shared" ref="F34:F39" si="14">C34-(C34*$E$6)</f>
        <v>18.364637539596004</v>
      </c>
      <c r="G34" s="27" t="str">
        <f t="shared" ref="G34:G39" si="15">IF(C34&gt;=F34,"-","+")</f>
        <v>+</v>
      </c>
      <c r="H34" s="26">
        <f t="shared" ref="H34:H39" si="16">C34*D34</f>
        <v>7310.0999999999995</v>
      </c>
      <c r="I34" s="26">
        <f t="shared" ref="I34:I39" si="17">F34*D34</f>
        <v>7584.5953038531497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43.7</v>
      </c>
      <c r="E35" s="29">
        <f t="shared" si="13"/>
        <v>1.9652815254542183E-2</v>
      </c>
      <c r="F35" s="28">
        <f t="shared" si="14"/>
        <v>14.110681951328004</v>
      </c>
      <c r="G35" s="27" t="str">
        <f t="shared" si="15"/>
        <v>+</v>
      </c>
      <c r="H35" s="26">
        <f t="shared" si="16"/>
        <v>594.32000000000005</v>
      </c>
      <c r="I35" s="26">
        <f t="shared" si="17"/>
        <v>616.63680127303383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11.309296563932003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29.985199146572008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29.985199146572008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31.022749290052008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17.30768557039632</v>
      </c>
      <c r="D40" s="22">
        <f>SUM(D34:D39)</f>
        <v>456.7</v>
      </c>
      <c r="E40" s="113">
        <f t="shared" si="13"/>
        <v>0.20538765965101632</v>
      </c>
      <c r="F40" s="20">
        <f>I40/D40</f>
        <v>17.957591646871435</v>
      </c>
      <c r="G40" s="19">
        <f>F40/C40-1</f>
        <v>3.755014348000052E-2</v>
      </c>
      <c r="H40" s="18">
        <f>SUM(H34:H39)</f>
        <v>7904.4199999999992</v>
      </c>
      <c r="I40" s="18">
        <f>SUM(I34:I39)</f>
        <v>8201.2321051261843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106+18+206.8</f>
        <v>330.8</v>
      </c>
      <c r="E42" s="107">
        <f>D42/$D$48</f>
        <v>0.14876776398632846</v>
      </c>
      <c r="F42" s="28">
        <f>C42-(C42*$E$6)</f>
        <v>0.41502005739200015</v>
      </c>
      <c r="G42" s="27" t="str">
        <f>IF(C42&gt;=F42,"-","+")</f>
        <v>+</v>
      </c>
      <c r="H42" s="26">
        <f>C42*D42</f>
        <v>132.32000000000002</v>
      </c>
      <c r="I42" s="26">
        <f>F42*D42</f>
        <v>137.28863498527366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19</v>
      </c>
      <c r="E43" s="107">
        <f>D43/$D$48</f>
        <v>8.5447022845835576E-3</v>
      </c>
      <c r="F43" s="28">
        <f>C43-(C43*$E$6)</f>
        <v>0.41502005739200015</v>
      </c>
      <c r="G43" s="27" t="str">
        <f>IF(C43&gt;=F43,"-","+")</f>
        <v>+</v>
      </c>
      <c r="H43" s="26">
        <f>C43*D43</f>
        <v>7.6000000000000005</v>
      </c>
      <c r="I43" s="26">
        <f>F43*D43</f>
        <v>7.8853810904480026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</v>
      </c>
      <c r="E45" s="107">
        <f>D45/$D$48</f>
        <v>1.3491635186184564E-3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0.39659863945578233</v>
      </c>
      <c r="D46" s="22">
        <f>SUM(D41:D45)</f>
        <v>352.8</v>
      </c>
      <c r="E46" s="113">
        <f>D46/$D$48</f>
        <v>0.15866162978953047</v>
      </c>
      <c r="F46" s="20">
        <f>I46/D46</f>
        <v>0.41149097527131989</v>
      </c>
      <c r="G46" s="19">
        <f>F46/C46-1</f>
        <v>3.7550143480000298E-2</v>
      </c>
      <c r="H46" s="18">
        <f>SUM(H41:H44)</f>
        <v>139.92000000000002</v>
      </c>
      <c r="I46" s="18">
        <f>SUM(I41:I44)</f>
        <v>145.17401607572165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89.284836375806947</v>
      </c>
      <c r="D48" s="13">
        <f>D24+D32+D40+D46</f>
        <v>2223.6000000000004</v>
      </c>
      <c r="E48" s="12">
        <f>SUM(E20:E46)/2</f>
        <v>0.99999999999999978</v>
      </c>
      <c r="F48" s="11">
        <f>I48/D48</f>
        <v>23.755260199513646</v>
      </c>
      <c r="G48" s="10"/>
      <c r="H48" s="9">
        <f>SUM(H20:H46)/2</f>
        <v>50910.500000000015</v>
      </c>
      <c r="I48" s="9">
        <f>SUM(I20:I46)/2</f>
        <v>52822.196579638556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3620.2999999999997</v>
      </c>
      <c r="E50" s="12">
        <f>D50/G2</f>
        <v>1.0000828729281768</v>
      </c>
      <c r="F50" s="11">
        <f>I50/D50</f>
        <v>24.997928348479405</v>
      </c>
      <c r="G50" s="10"/>
      <c r="H50" s="9">
        <f>H48+H19</f>
        <v>87224.700000000012</v>
      </c>
      <c r="I50" s="9">
        <f>I48+I19</f>
        <v>90499.999999999985</v>
      </c>
      <c r="J50" s="106">
        <f>D50-G2</f>
        <v>0.29999999999972715</v>
      </c>
      <c r="K50" s="8"/>
    </row>
    <row r="51" spans="1:11" ht="23.25" x14ac:dyDescent="0.35">
      <c r="A51" s="174" t="s">
        <v>859</v>
      </c>
      <c r="B51" s="169"/>
      <c r="C51" s="170"/>
      <c r="G51" s="7"/>
      <c r="H51" s="6"/>
      <c r="I51" s="6">
        <f>+I50/D50</f>
        <v>24.997928348479405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  <c r="K55" s="1" t="s">
        <v>857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854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858</v>
      </c>
      <c r="D2" s="96" t="s">
        <v>3</v>
      </c>
      <c r="E2" s="95" t="s">
        <v>71</v>
      </c>
      <c r="F2" s="94" t="s">
        <v>5</v>
      </c>
      <c r="G2" s="116">
        <v>11572.1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177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65.379096045197741</v>
      </c>
      <c r="F4" s="81" t="s">
        <v>12</v>
      </c>
      <c r="G4" s="80">
        <f>G2*G3</f>
        <v>324018.8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-8.5689709186111962E-3</v>
      </c>
      <c r="F6" s="69" t="s">
        <v>16</v>
      </c>
      <c r="G6" s="68">
        <f>(I50-I19)/(D50-(SUM(D42:D44)+D19))</f>
        <v>33.59404809491145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28.239931185721112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2789</v>
      </c>
      <c r="E11" s="29">
        <f t="shared" si="1"/>
        <v>0.50046475572510862</v>
      </c>
      <c r="F11" s="28">
        <f t="shared" si="2"/>
        <v>29.450213950823446</v>
      </c>
      <c r="G11" s="27" t="str">
        <f t="shared" si="3"/>
        <v>+</v>
      </c>
      <c r="H11" s="34">
        <f t="shared" si="4"/>
        <v>81438.8</v>
      </c>
      <c r="I11" s="34">
        <f t="shared" si="5"/>
        <v>82136.646708846587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2313.6</v>
      </c>
      <c r="E12" s="29">
        <f t="shared" si="1"/>
        <v>0.41515785544840844</v>
      </c>
      <c r="F12" s="28">
        <f t="shared" si="2"/>
        <v>26.827934626435059</v>
      </c>
      <c r="G12" s="27" t="str">
        <f t="shared" si="3"/>
        <v>+</v>
      </c>
      <c r="H12" s="34">
        <f t="shared" si="4"/>
        <v>61541.760000000002</v>
      </c>
      <c r="I12" s="34">
        <f t="shared" si="5"/>
        <v>62069.109551720154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399.6</v>
      </c>
      <c r="E13" s="29">
        <f t="shared" si="1"/>
        <v>7.1705169016763506E-2</v>
      </c>
      <c r="F13" s="28">
        <f t="shared" si="2"/>
        <v>29.450213950823446</v>
      </c>
      <c r="G13" s="27" t="str">
        <f t="shared" si="3"/>
        <v>+</v>
      </c>
      <c r="H13" s="34">
        <f t="shared" si="4"/>
        <v>11668.32</v>
      </c>
      <c r="I13" s="34">
        <f t="shared" si="5"/>
        <v>11768.305494749049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70.62</v>
      </c>
      <c r="E14" s="29">
        <f t="shared" si="1"/>
        <v>1.2672219809719316E-2</v>
      </c>
      <c r="F14" s="28">
        <f t="shared" si="2"/>
        <v>32.879348451946726</v>
      </c>
      <c r="G14" s="27" t="str">
        <f t="shared" si="3"/>
        <v>+</v>
      </c>
      <c r="H14" s="34">
        <f t="shared" si="4"/>
        <v>2302.2120000000004</v>
      </c>
      <c r="I14" s="34">
        <f t="shared" si="5"/>
        <v>2321.9395876764779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27.130505317710639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37.11533812980489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54.664438223788729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47.80616922154217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28.163675123187183</v>
      </c>
      <c r="D19" s="49">
        <f>SUM(D10:D18)</f>
        <v>5572.8200000000006</v>
      </c>
      <c r="E19" s="48">
        <f t="shared" si="1"/>
        <v>1</v>
      </c>
      <c r="F19" s="47">
        <f>I19/D19</f>
        <v>28.405008836278984</v>
      </c>
      <c r="G19" s="46">
        <f>F19/C19-1</f>
        <v>8.5689709186111962E-3</v>
      </c>
      <c r="H19" s="9">
        <f>SUM(H10:H18)</f>
        <v>156951.092</v>
      </c>
      <c r="I19" s="9">
        <f>SUM(I10:I18)</f>
        <v>158296.00134299227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72.8</v>
      </c>
      <c r="E21" s="29">
        <f>D21/$D$48</f>
        <v>1.213515360637429E-2</v>
      </c>
      <c r="F21" s="28">
        <f>C21-(C21*$E$6)</f>
        <v>71.00325555267024</v>
      </c>
      <c r="G21" s="27" t="str">
        <f>IF(C21&gt;=F21,"-","+")</f>
        <v>+</v>
      </c>
      <c r="H21" s="26">
        <f>C21*D21</f>
        <v>5125.12</v>
      </c>
      <c r="I21" s="26">
        <f>F21*D21</f>
        <v>5169.037004234393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177.5</v>
      </c>
      <c r="E22" s="29">
        <f>D22/$D$48</f>
        <v>2.9587771499058196E-2</v>
      </c>
      <c r="F22" s="28">
        <f>C22-(C22*$E$6)</f>
        <v>47.705312324450304</v>
      </c>
      <c r="G22" s="27" t="str">
        <f>IF(C22&gt;=F22,"-","+")</f>
        <v>+</v>
      </c>
      <c r="H22" s="26">
        <f>C22*D22</f>
        <v>8395.75</v>
      </c>
      <c r="I22" s="26">
        <f>F22*D22</f>
        <v>8467.692937589929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137.5</v>
      </c>
      <c r="E23" s="29">
        <f>D23/$D$48</f>
        <v>2.2920104682369023E-2</v>
      </c>
      <c r="F23" s="28">
        <f>C23-(C23*$E$6)</f>
        <v>43.469322646592147</v>
      </c>
      <c r="G23" s="27" t="str">
        <f>IF(C23&gt;=F23,"-","+")</f>
        <v>+</v>
      </c>
      <c r="H23" s="26">
        <f>C23*D23</f>
        <v>5926.25</v>
      </c>
      <c r="I23" s="26">
        <f>F23*D23</f>
        <v>5977.0318639064199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50.147292418772558</v>
      </c>
      <c r="D24" s="22">
        <f>SUM(D21:D23)</f>
        <v>387.8</v>
      </c>
      <c r="E24" s="21">
        <f>D24/$D$48</f>
        <v>6.4643029787801509E-2</v>
      </c>
      <c r="F24" s="20">
        <f>I24/D24</f>
        <v>50.577003109156109</v>
      </c>
      <c r="G24" s="19">
        <f>F24/C24-1</f>
        <v>8.5689709186111962E-3</v>
      </c>
      <c r="H24" s="18">
        <f>SUM(H21:H23)</f>
        <v>19447.12</v>
      </c>
      <c r="I24" s="18">
        <f>SUM(I21:I23)</f>
        <v>19613.761805730741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254+283.4+49+671-147</f>
        <v>1110.4000000000001</v>
      </c>
      <c r="E26" s="29">
        <f t="shared" ref="E26:E32" si="7">D26/$D$48</f>
        <v>0.1850944308312914</v>
      </c>
      <c r="F26" s="28">
        <f t="shared" ref="F26:F31" si="8">C26-(C26*$E$6)</f>
        <v>37.922193306539782</v>
      </c>
      <c r="G26" s="27" t="str">
        <f t="shared" ref="G26:G31" si="9">IF(C26&gt;=F26,"-","+")</f>
        <v>+</v>
      </c>
      <c r="H26" s="26">
        <f t="shared" ref="H26:H31" si="10">C26*D26</f>
        <v>41751.040000000008</v>
      </c>
      <c r="I26" s="26">
        <f t="shared" ref="I26:I31" si="11">F26*D26</f>
        <v>42108.803447581777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925</v>
      </c>
      <c r="E27" s="29">
        <f t="shared" si="7"/>
        <v>0.15418979513593706</v>
      </c>
      <c r="F27" s="28">
        <f t="shared" si="8"/>
        <v>33.787060525773477</v>
      </c>
      <c r="G27" s="27" t="str">
        <f t="shared" si="9"/>
        <v>+</v>
      </c>
      <c r="H27" s="26">
        <f t="shared" si="10"/>
        <v>30987.5</v>
      </c>
      <c r="I27" s="26">
        <f t="shared" si="11"/>
        <v>31253.030986340465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f>520+147</f>
        <v>667</v>
      </c>
      <c r="E28" s="29">
        <f t="shared" si="7"/>
        <v>0.11118334416829193</v>
      </c>
      <c r="F28" s="28">
        <f t="shared" si="8"/>
        <v>33.787060525773477</v>
      </c>
      <c r="G28" s="27" t="str">
        <f t="shared" si="9"/>
        <v>+</v>
      </c>
      <c r="H28" s="26">
        <f t="shared" si="10"/>
        <v>22344.5</v>
      </c>
      <c r="I28" s="26">
        <f t="shared" si="11"/>
        <v>22535.969370690909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555.79999999999995</v>
      </c>
      <c r="E29" s="29">
        <f t="shared" si="7"/>
        <v>9.264723041789602E-2</v>
      </c>
      <c r="F29" s="28">
        <f t="shared" si="8"/>
        <v>32.576777760671142</v>
      </c>
      <c r="G29" s="27" t="str">
        <f t="shared" si="9"/>
        <v>+</v>
      </c>
      <c r="H29" s="26">
        <f t="shared" si="10"/>
        <v>17952.339999999997</v>
      </c>
      <c r="I29" s="26">
        <f t="shared" si="11"/>
        <v>18106.17307938102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400.1</v>
      </c>
      <c r="E30" s="29">
        <f t="shared" si="7"/>
        <v>6.6693337333933428E-2</v>
      </c>
      <c r="F30" s="28">
        <f t="shared" si="8"/>
        <v>32.576777760671142</v>
      </c>
      <c r="G30" s="27" t="str">
        <f t="shared" si="9"/>
        <v>+</v>
      </c>
      <c r="H30" s="26">
        <f t="shared" si="10"/>
        <v>12923.23</v>
      </c>
      <c r="I30" s="26">
        <f t="shared" si="11"/>
        <v>13033.968782044525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70</v>
      </c>
      <c r="E31" s="29">
        <f t="shared" si="7"/>
        <v>1.1668416929206048E-2</v>
      </c>
      <c r="F31" s="28">
        <f t="shared" si="8"/>
        <v>33.181919143222309</v>
      </c>
      <c r="G31" s="27" t="str">
        <f t="shared" si="9"/>
        <v>+</v>
      </c>
      <c r="H31" s="26">
        <f t="shared" si="10"/>
        <v>2303</v>
      </c>
      <c r="I31" s="26">
        <f t="shared" si="11"/>
        <v>2322.7343400255618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34.402169889762092</v>
      </c>
      <c r="D32" s="22">
        <f>SUM(D26:D31)</f>
        <v>3728.2999999999997</v>
      </c>
      <c r="E32" s="21">
        <f t="shared" si="7"/>
        <v>0.62147655481655584</v>
      </c>
      <c r="F32" s="20">
        <f>I32/D32</f>
        <v>34.696961083084588</v>
      </c>
      <c r="G32" s="19">
        <f>F32/C32-1</f>
        <v>8.5689709186111962E-3</v>
      </c>
      <c r="H32" s="18">
        <f>SUM(H26:H31)</f>
        <v>128261.61</v>
      </c>
      <c r="I32" s="18">
        <f>SUM(I26:I31)</f>
        <v>129360.68000606427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812.2</v>
      </c>
      <c r="E34" s="29">
        <f t="shared" ref="E34:E40" si="13">D34/$D$48</f>
        <v>0.13538697471287361</v>
      </c>
      <c r="F34" s="28">
        <f t="shared" ref="F34:F39" si="14">C34-(C34*$E$6)</f>
        <v>19.969665624188501</v>
      </c>
      <c r="G34" s="27" t="str">
        <f t="shared" ref="G34:G39" si="15">IF(C34&gt;=F34,"-","+")</f>
        <v>+</v>
      </c>
      <c r="H34" s="26">
        <f t="shared" ref="H34:H39" si="16">C34*D34</f>
        <v>16081.560000000001</v>
      </c>
      <c r="I34" s="26">
        <f t="shared" ref="I34:I39" si="17">F34*D34</f>
        <v>16219.362419965901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15.330248357962889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12.304541445207056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32.576777760671142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32.576777760671142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33.787060525773477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812.2</v>
      </c>
      <c r="E40" s="113">
        <f t="shared" si="13"/>
        <v>0.13538697471287361</v>
      </c>
      <c r="F40" s="20">
        <f>I40/D40</f>
        <v>19.969665624188501</v>
      </c>
      <c r="G40" s="19">
        <f>F40/C40-1</f>
        <v>8.5689709186111962E-3</v>
      </c>
      <c r="H40" s="18">
        <f>SUM(H34:H39)</f>
        <v>16081.560000000001</v>
      </c>
      <c r="I40" s="18">
        <f>SUM(I34:I39)</f>
        <v>16219.362419965901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949</v>
      </c>
      <c r="E42" s="107">
        <f>D42/$D$48</f>
        <v>0.15819039522595058</v>
      </c>
      <c r="F42" s="28">
        <f>C42-(C42*$E$6)</f>
        <v>0.5042844854593056</v>
      </c>
      <c r="G42" s="27" t="str">
        <f>IF(C42&gt;=F42,"-","+")</f>
        <v>+</v>
      </c>
      <c r="H42" s="26">
        <f>C42*D42</f>
        <v>474.5</v>
      </c>
      <c r="I42" s="26">
        <f>F42*D42</f>
        <v>478.56597670088104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100</v>
      </c>
      <c r="E43" s="107">
        <f>D43/$D$48</f>
        <v>1.6669167041722926E-2</v>
      </c>
      <c r="F43" s="28">
        <f>C43-(C43*$E$6)</f>
        <v>0.5042844854593056</v>
      </c>
      <c r="G43" s="27" t="str">
        <f>IF(C43&gt;=F43,"-","+")</f>
        <v>+</v>
      </c>
      <c r="H43" s="26">
        <f>C43*D43</f>
        <v>50</v>
      </c>
      <c r="I43" s="26">
        <f>F43*D43</f>
        <v>50.428448545930557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17</v>
      </c>
      <c r="E44" s="107">
        <f>D44/$D$48</f>
        <v>2.8337583970928976E-3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4.8</v>
      </c>
      <c r="E45" s="107">
        <f>D45/$D$48</f>
        <v>8.0012001800270044E-4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0.48982069480762047</v>
      </c>
      <c r="D46" s="22">
        <f>SUM(D41:D45)</f>
        <v>1070.8</v>
      </c>
      <c r="E46" s="113">
        <f>D46/$D$48</f>
        <v>0.17849344068276909</v>
      </c>
      <c r="F46" s="20">
        <f>I46/D46</f>
        <v>0.49401795409676097</v>
      </c>
      <c r="G46" s="19">
        <f>F46/C46-1</f>
        <v>8.5689709186114182E-3</v>
      </c>
      <c r="H46" s="18">
        <f>SUM(H41:H44)</f>
        <v>524.5</v>
      </c>
      <c r="I46" s="18">
        <f>SUM(I41:I44)</f>
        <v>528.9944252468116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104.83928300334227</v>
      </c>
      <c r="D48" s="13">
        <f>D24+D32+D40+D46</f>
        <v>5999.0999999999995</v>
      </c>
      <c r="E48" s="12">
        <f>SUM(E20:E46)/2</f>
        <v>1.0000000000000002</v>
      </c>
      <c r="F48" s="11">
        <f>I48/D48</f>
        <v>27.624610134354771</v>
      </c>
      <c r="G48" s="10"/>
      <c r="H48" s="9">
        <f>SUM(H20:H46)/2</f>
        <v>164314.79</v>
      </c>
      <c r="I48" s="9">
        <f>SUM(I20:I46)/2</f>
        <v>165722.79865700769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11571.92</v>
      </c>
      <c r="E50" s="12">
        <f>D50/G2</f>
        <v>0.99998444534699837</v>
      </c>
      <c r="F50" s="11">
        <f>I50/D50</f>
        <v>28.000435537058667</v>
      </c>
      <c r="G50" s="10"/>
      <c r="H50" s="9">
        <f>H48+H19</f>
        <v>321265.88199999998</v>
      </c>
      <c r="I50" s="9">
        <f>I48+I19</f>
        <v>324018.79999999993</v>
      </c>
      <c r="J50" s="106">
        <f>D50-G2</f>
        <v>-0.18000000000029104</v>
      </c>
      <c r="K50" s="8"/>
    </row>
    <row r="51" spans="1:11" ht="23.25" x14ac:dyDescent="0.35">
      <c r="A51" s="174" t="s">
        <v>860</v>
      </c>
      <c r="B51" s="169"/>
      <c r="C51" s="170"/>
      <c r="G51" s="7"/>
      <c r="H51" s="6"/>
      <c r="I51" s="6">
        <f>+I50/D50</f>
        <v>28.000435537058667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861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861</v>
      </c>
      <c r="D2" s="96" t="s">
        <v>3</v>
      </c>
      <c r="E2" s="95" t="s">
        <v>71</v>
      </c>
      <c r="F2" s="94" t="s">
        <v>5</v>
      </c>
      <c r="G2" s="116">
        <v>13963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176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79.335227272727266</v>
      </c>
      <c r="F4" s="81" t="s">
        <v>12</v>
      </c>
      <c r="G4" s="80">
        <f>G2*G3</f>
        <v>390964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-4.4675947157570839E-3</v>
      </c>
      <c r="F6" s="69" t="s">
        <v>16</v>
      </c>
      <c r="G6" s="68">
        <f>(I50-I19)/(D50-(SUM(D42:D44)+D19))</f>
        <v>33.628419060725982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28.125092652041197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29.330453765700106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26.71883801943914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29.330453765700106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32.745643587733682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27.020178297853864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36.964407485539859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54.442143633594036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47.611763989526885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167.4</v>
      </c>
      <c r="E21" s="29">
        <f>D21/$D$48</f>
        <v>1.1988827615841868E-2</v>
      </c>
      <c r="F21" s="28">
        <f>C21-(C21*$E$6)</f>
        <v>70.71451866798931</v>
      </c>
      <c r="G21" s="27" t="str">
        <f>IF(C21&gt;=F21,"-","+")</f>
        <v>+</v>
      </c>
      <c r="H21" s="26">
        <f>C21*D21</f>
        <v>11784.960000000001</v>
      </c>
      <c r="I21" s="26">
        <f>F21*D21</f>
        <v>11837.61042502141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474.7</v>
      </c>
      <c r="E22" s="29">
        <f>D22/$D$48</f>
        <v>3.3996992050418964E-2</v>
      </c>
      <c r="F22" s="28">
        <f>C22-(C22*$E$6)</f>
        <v>47.511317230055305</v>
      </c>
      <c r="G22" s="27" t="str">
        <f>IF(C22&gt;=F22,"-","+")</f>
        <v>+</v>
      </c>
      <c r="H22" s="26">
        <f>C22*D22</f>
        <v>22453.309999999998</v>
      </c>
      <c r="I22" s="26">
        <f>F22*D22</f>
        <v>22553.622289107254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326.60000000000002</v>
      </c>
      <c r="E23" s="29">
        <f>D23/$D$48</f>
        <v>2.3390388884910122E-2</v>
      </c>
      <c r="F23" s="28">
        <f>C23-(C23*$E$6)</f>
        <v>43.292553332249135</v>
      </c>
      <c r="G23" s="27" t="str">
        <f>IF(C23&gt;=F23,"-","+")</f>
        <v>+</v>
      </c>
      <c r="H23" s="26">
        <f>C23*D23</f>
        <v>14076.460000000001</v>
      </c>
      <c r="I23" s="26">
        <f>F23*D23</f>
        <v>14139.347918312569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49.875843914524616</v>
      </c>
      <c r="D24" s="22">
        <f>SUM(D21:D23)</f>
        <v>968.7</v>
      </c>
      <c r="E24" s="21">
        <f>D24/$D$48</f>
        <v>6.9376208551170951E-2</v>
      </c>
      <c r="F24" s="20">
        <f>I24/D24</f>
        <v>50.098668971241075</v>
      </c>
      <c r="G24" s="19">
        <f>F24/C24-1</f>
        <v>4.4675947157570839E-3</v>
      </c>
      <c r="H24" s="18">
        <f>SUM(H21:H23)</f>
        <v>48314.729999999996</v>
      </c>
      <c r="I24" s="18">
        <f>SUM(I21:I23)</f>
        <v>48530.580632441233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2561</v>
      </c>
      <c r="E26" s="29">
        <f t="shared" ref="E26:E32" si="7">D26/$D$48</f>
        <v>0.18341330659600372</v>
      </c>
      <c r="F26" s="28">
        <f t="shared" ref="F26:F31" si="8">C26-(C26*$E$6)</f>
        <v>37.767981561312467</v>
      </c>
      <c r="G26" s="27" t="str">
        <f t="shared" ref="G26:G31" si="9">IF(C26&gt;=F26,"-","+")</f>
        <v>+</v>
      </c>
      <c r="H26" s="26">
        <f t="shared" ref="H26:H31" si="10">C26*D26</f>
        <v>96293.6</v>
      </c>
      <c r="I26" s="26">
        <f t="shared" ref="I26:I31" si="11">F26*D26</f>
        <v>96723.800778521225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2474.5</v>
      </c>
      <c r="E27" s="29">
        <f t="shared" si="7"/>
        <v>0.17721836281601375</v>
      </c>
      <c r="F27" s="28">
        <f t="shared" si="8"/>
        <v>33.649664422977864</v>
      </c>
      <c r="G27" s="27" t="str">
        <f t="shared" si="9"/>
        <v>+</v>
      </c>
      <c r="H27" s="26">
        <f t="shared" si="10"/>
        <v>82895.75</v>
      </c>
      <c r="I27" s="26">
        <f t="shared" si="11"/>
        <v>83266.094614658723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1390.2</v>
      </c>
      <c r="E28" s="29">
        <f t="shared" si="7"/>
        <v>9.9563131132278174E-2</v>
      </c>
      <c r="F28" s="28">
        <f t="shared" si="8"/>
        <v>33.649664422977864</v>
      </c>
      <c r="G28" s="27" t="str">
        <f t="shared" si="9"/>
        <v>+</v>
      </c>
      <c r="H28" s="26">
        <f t="shared" si="10"/>
        <v>46571.700000000004</v>
      </c>
      <c r="I28" s="26">
        <f t="shared" si="11"/>
        <v>46779.763480823829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1233.8</v>
      </c>
      <c r="E29" s="29">
        <f t="shared" si="7"/>
        <v>8.8362099835278943E-2</v>
      </c>
      <c r="F29" s="28">
        <f t="shared" si="8"/>
        <v>32.444303309318954</v>
      </c>
      <c r="G29" s="27" t="str">
        <f t="shared" si="9"/>
        <v>+</v>
      </c>
      <c r="H29" s="26">
        <f t="shared" si="10"/>
        <v>39851.74</v>
      </c>
      <c r="I29" s="26">
        <f t="shared" si="11"/>
        <v>40029.781423037726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786.4</v>
      </c>
      <c r="E30" s="29">
        <f t="shared" si="7"/>
        <v>5.6320275012533123E-2</v>
      </c>
      <c r="F30" s="28">
        <f t="shared" si="8"/>
        <v>32.444303309318954</v>
      </c>
      <c r="G30" s="27" t="str">
        <f t="shared" si="9"/>
        <v>+</v>
      </c>
      <c r="H30" s="26">
        <f t="shared" si="10"/>
        <v>25400.719999999998</v>
      </c>
      <c r="I30" s="26">
        <f t="shared" si="11"/>
        <v>25514.200122448427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383.8</v>
      </c>
      <c r="E31" s="29">
        <f t="shared" si="7"/>
        <v>2.7486929742891929E-2</v>
      </c>
      <c r="F31" s="28">
        <f t="shared" si="8"/>
        <v>33.046983866148409</v>
      </c>
      <c r="G31" s="27" t="str">
        <f t="shared" si="9"/>
        <v>+</v>
      </c>
      <c r="H31" s="26">
        <f t="shared" si="10"/>
        <v>12627.02</v>
      </c>
      <c r="I31" s="26">
        <f t="shared" si="11"/>
        <v>12683.43240782776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34.388544344654981</v>
      </c>
      <c r="D32" s="22">
        <f>SUM(D26:D31)</f>
        <v>8829.6999999999989</v>
      </c>
      <c r="E32" s="21">
        <f t="shared" si="7"/>
        <v>0.63236410513499952</v>
      </c>
      <c r="F32" s="20">
        <f>I32/D32</f>
        <v>34.542178423651741</v>
      </c>
      <c r="G32" s="19">
        <f>F32/C32-1</f>
        <v>4.4675947157570839E-3</v>
      </c>
      <c r="H32" s="18">
        <f>SUM(H26:H31)</f>
        <v>303640.53000000003</v>
      </c>
      <c r="I32" s="18">
        <f>SUM(I26:I31)</f>
        <v>304997.07282731775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1823.3</v>
      </c>
      <c r="E34" s="29">
        <f t="shared" ref="E34:E40" si="13">D34/$D$48</f>
        <v>0.13058082074052854</v>
      </c>
      <c r="F34" s="28">
        <f t="shared" ref="F34:F39" si="14">C34-(C34*$E$6)</f>
        <v>19.888458375371989</v>
      </c>
      <c r="G34" s="27" t="str">
        <f t="shared" ref="G34:G39" si="15">IF(C34&gt;=F34,"-","+")</f>
        <v>+</v>
      </c>
      <c r="H34" s="26">
        <f t="shared" ref="H34:H39" si="16">C34*D34</f>
        <v>36101.340000000004</v>
      </c>
      <c r="I34" s="26">
        <f t="shared" ref="I34:I39" si="17">F34*D34</f>
        <v>36262.626155815749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15.267907439679506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12.254504655532235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32.444303309318954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32.444303309318954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33.649664422977864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19.800000000000004</v>
      </c>
      <c r="D40" s="22">
        <f>SUM(D34:D39)</f>
        <v>1823.3</v>
      </c>
      <c r="E40" s="113">
        <f t="shared" si="13"/>
        <v>0.13058082074052854</v>
      </c>
      <c r="F40" s="20">
        <f>I40/D40</f>
        <v>19.888458375371989</v>
      </c>
      <c r="G40" s="19">
        <f>F40/C40-1</f>
        <v>4.4675947157568618E-3</v>
      </c>
      <c r="H40" s="18">
        <f>SUM(H34:H39)</f>
        <v>36101.340000000004</v>
      </c>
      <c r="I40" s="18">
        <f>SUM(I34:I39)</f>
        <v>36262.626155815749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2235</v>
      </c>
      <c r="E42" s="107">
        <f>D42/$D$48</f>
        <v>0.16006588841939412</v>
      </c>
      <c r="F42" s="28">
        <f>C42-(C42*$E$6)</f>
        <v>0.50223379735787854</v>
      </c>
      <c r="G42" s="27" t="str">
        <f>IF(C42&gt;=F42,"-","+")</f>
        <v>+</v>
      </c>
      <c r="H42" s="26">
        <f>C42*D42</f>
        <v>1117.5</v>
      </c>
      <c r="I42" s="26">
        <f>F42*D42</f>
        <v>1122.4925370948586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102</v>
      </c>
      <c r="E43" s="107">
        <f>D43/$D$48</f>
        <v>7.3050204110864424E-3</v>
      </c>
      <c r="F43" s="28">
        <f>C43-(C43*$E$6)</f>
        <v>0.50223379735787854</v>
      </c>
      <c r="G43" s="27" t="str">
        <f>IF(C43&gt;=F43,"-","+")</f>
        <v>+</v>
      </c>
      <c r="H43" s="26">
        <f>C43*D43</f>
        <v>51</v>
      </c>
      <c r="I43" s="26">
        <f>F43*D43</f>
        <v>51.227847330503614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4.3</v>
      </c>
      <c r="E45" s="107">
        <f>D45/$D$48</f>
        <v>3.0795674282031081E-4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0.4990817067441165</v>
      </c>
      <c r="D46" s="22">
        <f>SUM(D41:D45)</f>
        <v>2341.3000000000002</v>
      </c>
      <c r="E46" s="113">
        <f>D46/$D$48</f>
        <v>0.16767886557330089</v>
      </c>
      <c r="F46" s="20">
        <f>I46/D46</f>
        <v>0.50131140153989751</v>
      </c>
      <c r="G46" s="19">
        <f>F46/C46-1</f>
        <v>4.4675947157570839E-3</v>
      </c>
      <c r="H46" s="18">
        <f>SUM(H41:H44)</f>
        <v>1168.5</v>
      </c>
      <c r="I46" s="18">
        <f>SUM(I41:I44)</f>
        <v>1173.7203844253622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104.56346996592372</v>
      </c>
      <c r="D48" s="13">
        <f>D24+D32+D40+D46</f>
        <v>13963</v>
      </c>
      <c r="E48" s="12">
        <f>SUM(E20:E46)/2</f>
        <v>1.0000000000000002</v>
      </c>
      <c r="F48" s="11">
        <f>I48/D48</f>
        <v>28.000000000000007</v>
      </c>
      <c r="G48" s="10"/>
      <c r="H48" s="9">
        <f>SUM(H20:H46)/2</f>
        <v>389225.1</v>
      </c>
      <c r="I48" s="9">
        <f>SUM(I20:I46)/2</f>
        <v>390964.00000000012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13962.999999999996</v>
      </c>
      <c r="E50" s="12">
        <f>D50/G2</f>
        <v>0.99999999999999978</v>
      </c>
      <c r="F50" s="11">
        <f>I50/D50</f>
        <v>28.000000000000014</v>
      </c>
      <c r="G50" s="10"/>
      <c r="H50" s="9">
        <f>H48+H19</f>
        <v>389225.1</v>
      </c>
      <c r="I50" s="9">
        <f>I48+I19</f>
        <v>390964.00000000012</v>
      </c>
      <c r="J50" s="106">
        <f>D50-G2</f>
        <v>0</v>
      </c>
      <c r="K50" s="8"/>
    </row>
    <row r="51" spans="1:11" ht="23.25" x14ac:dyDescent="0.35">
      <c r="A51" s="174" t="s">
        <v>862</v>
      </c>
      <c r="B51" s="169"/>
      <c r="C51" s="170"/>
      <c r="G51" s="7"/>
      <c r="H51" s="6"/>
      <c r="I51" s="6">
        <f>+I50/D50</f>
        <v>28.000000000000014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861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861</v>
      </c>
      <c r="D2" s="96" t="s">
        <v>3</v>
      </c>
      <c r="E2" s="95" t="s">
        <v>71</v>
      </c>
      <c r="F2" s="94" t="s">
        <v>5</v>
      </c>
      <c r="G2" s="116">
        <v>7756.2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100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77.561999999999998</v>
      </c>
      <c r="F4" s="81" t="s">
        <v>12</v>
      </c>
      <c r="G4" s="80">
        <f>G2*G3</f>
        <v>217173.6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-5.0283906442698534E-3</v>
      </c>
      <c r="F6" s="69" t="s">
        <v>16</v>
      </c>
      <c r="G6" s="68">
        <f>(I50-I19)/(D50-(SUM(D42:D44)+D19))</f>
        <v>33.166007383372808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28.140794938039555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331</v>
      </c>
      <c r="E11" s="29">
        <f t="shared" si="1"/>
        <v>0.43656027433394878</v>
      </c>
      <c r="F11" s="28">
        <f t="shared" si="2"/>
        <v>29.34682900681268</v>
      </c>
      <c r="G11" s="27" t="str">
        <f t="shared" si="3"/>
        <v>+</v>
      </c>
      <c r="H11" s="34">
        <f t="shared" si="4"/>
        <v>9665.1999999999989</v>
      </c>
      <c r="I11" s="34">
        <f t="shared" si="5"/>
        <v>9713.8004012549973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67.8</v>
      </c>
      <c r="E12" s="29">
        <f t="shared" si="1"/>
        <v>8.9422316011606426E-2</v>
      </c>
      <c r="F12" s="28">
        <f t="shared" si="2"/>
        <v>26.733755191137579</v>
      </c>
      <c r="G12" s="27" t="str">
        <f t="shared" si="3"/>
        <v>+</v>
      </c>
      <c r="H12" s="34">
        <f t="shared" si="4"/>
        <v>1803.48</v>
      </c>
      <c r="I12" s="34">
        <f t="shared" si="5"/>
        <v>1812.5486019591278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29.34682900681268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359.4</v>
      </c>
      <c r="E14" s="29">
        <f t="shared" si="1"/>
        <v>0.47401740965444467</v>
      </c>
      <c r="F14" s="28">
        <f t="shared" si="2"/>
        <v>32.763925535003196</v>
      </c>
      <c r="G14" s="27" t="str">
        <f t="shared" si="3"/>
        <v>+</v>
      </c>
      <c r="H14" s="34">
        <f t="shared" si="4"/>
        <v>11716.44</v>
      </c>
      <c r="I14" s="34">
        <f t="shared" si="5"/>
        <v>11775.354837280147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27.035263708330859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36.985044775709127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54.472538772919428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47.638345716538389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30.579161171194933</v>
      </c>
      <c r="D19" s="49">
        <f>SUM(D10:D18)</f>
        <v>758.2</v>
      </c>
      <c r="E19" s="48">
        <f t="shared" si="1"/>
        <v>1</v>
      </c>
      <c r="F19" s="47">
        <f>I19/D19</f>
        <v>30.732925139137787</v>
      </c>
      <c r="G19" s="46">
        <f>F19/C19-1</f>
        <v>5.0283906442698534E-3</v>
      </c>
      <c r="H19" s="9">
        <f>SUM(H10:H18)</f>
        <v>23185.119999999999</v>
      </c>
      <c r="I19" s="9">
        <f>SUM(I10:I18)</f>
        <v>23301.703840494272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102.6</v>
      </c>
      <c r="E21" s="29">
        <f>D21/$D$48</f>
        <v>1.466112230462554E-2</v>
      </c>
      <c r="F21" s="28">
        <f>C21-(C21*$E$6)</f>
        <v>70.753998701356608</v>
      </c>
      <c r="G21" s="27" t="str">
        <f>IF(C21&gt;=F21,"-","+")</f>
        <v>+</v>
      </c>
      <c r="H21" s="26">
        <f>C21*D21</f>
        <v>7223.04</v>
      </c>
      <c r="I21" s="26">
        <f>F21*D21</f>
        <v>7259.3602667591877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220.8</v>
      </c>
      <c r="E22" s="29">
        <f>D22/$D$48</f>
        <v>3.1551421100012862E-2</v>
      </c>
      <c r="F22" s="28">
        <f>C22-(C22*$E$6)</f>
        <v>47.537842877473963</v>
      </c>
      <c r="G22" s="27" t="str">
        <f>IF(C22&gt;=F22,"-","+")</f>
        <v>+</v>
      </c>
      <c r="H22" s="26">
        <f>C22*D22</f>
        <v>10443.84</v>
      </c>
      <c r="I22" s="26">
        <f>F22*D22</f>
        <v>10496.355707346251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203</v>
      </c>
      <c r="E23" s="29">
        <f>D23/$D$48</f>
        <v>2.9007873565682112E-2</v>
      </c>
      <c r="F23" s="28">
        <f>C23-(C23*$E$6)</f>
        <v>43.316723636768032</v>
      </c>
      <c r="G23" s="27" t="str">
        <f>IF(C23&gt;=F23,"-","+")</f>
        <v>+</v>
      </c>
      <c r="H23" s="26">
        <f>C23*D23</f>
        <v>8749.3000000000011</v>
      </c>
      <c r="I23" s="26">
        <f>F23*D23</f>
        <v>8793.29489826391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50.182712765957447</v>
      </c>
      <c r="D24" s="22">
        <f>SUM(D21:D23)</f>
        <v>526.4</v>
      </c>
      <c r="E24" s="21">
        <f>D24/$D$48</f>
        <v>7.5220416970320503E-2</v>
      </c>
      <c r="F24" s="20">
        <f>I24/D24</f>
        <v>50.435051049333872</v>
      </c>
      <c r="G24" s="19">
        <f>F24/C24-1</f>
        <v>5.0283906442698534E-3</v>
      </c>
      <c r="H24" s="18">
        <f>SUM(H21:H23)</f>
        <v>26416.18</v>
      </c>
      <c r="I24" s="18">
        <f>SUM(I21:I23)</f>
        <v>26549.010872369348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1326.7</v>
      </c>
      <c r="E26" s="29">
        <f t="shared" ref="E26:E32" si="7">D26/$D$48</f>
        <v>0.18958002886497763</v>
      </c>
      <c r="F26" s="28">
        <f t="shared" ref="F26:F31" si="8">C26-(C26*$E$6)</f>
        <v>37.789067488224546</v>
      </c>
      <c r="G26" s="27" t="str">
        <f t="shared" ref="G26:G31" si="9">IF(C26&gt;=F26,"-","+")</f>
        <v>+</v>
      </c>
      <c r="H26" s="26">
        <f t="shared" ref="H26:H31" si="10">C26*D26</f>
        <v>49883.920000000006</v>
      </c>
      <c r="I26" s="26">
        <f t="shared" ref="I26:I31" si="11">F26*D26</f>
        <v>50134.755836627504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942.8</v>
      </c>
      <c r="E27" s="29">
        <f t="shared" si="7"/>
        <v>0.13472228176219259</v>
      </c>
      <c r="F27" s="28">
        <f t="shared" si="8"/>
        <v>33.66845108658304</v>
      </c>
      <c r="G27" s="27" t="str">
        <f t="shared" si="9"/>
        <v>+</v>
      </c>
      <c r="H27" s="26">
        <f t="shared" si="10"/>
        <v>31583.8</v>
      </c>
      <c r="I27" s="26">
        <f t="shared" si="11"/>
        <v>31742.61568443049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595.79999999999995</v>
      </c>
      <c r="E28" s="29">
        <f t="shared" si="7"/>
        <v>8.5137394435632521E-2</v>
      </c>
      <c r="F28" s="28">
        <f t="shared" si="8"/>
        <v>33.66845108658304</v>
      </c>
      <c r="G28" s="27" t="str">
        <f t="shared" si="9"/>
        <v>+</v>
      </c>
      <c r="H28" s="26">
        <f t="shared" si="10"/>
        <v>19959.3</v>
      </c>
      <c r="I28" s="26">
        <f t="shared" si="11"/>
        <v>20059.663157386174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603.9</v>
      </c>
      <c r="E29" s="29">
        <f t="shared" si="7"/>
        <v>8.6294851459681909E-2</v>
      </c>
      <c r="F29" s="28">
        <f t="shared" si="8"/>
        <v>32.462417017809912</v>
      </c>
      <c r="G29" s="27" t="str">
        <f t="shared" si="9"/>
        <v>+</v>
      </c>
      <c r="H29" s="26">
        <f t="shared" si="10"/>
        <v>19505.969999999998</v>
      </c>
      <c r="I29" s="26">
        <f t="shared" si="11"/>
        <v>19604.053637055404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608.4</v>
      </c>
      <c r="E30" s="29">
        <f t="shared" si="7"/>
        <v>8.6937883139709349E-2</v>
      </c>
      <c r="F30" s="28">
        <f t="shared" si="8"/>
        <v>32.462417017809912</v>
      </c>
      <c r="G30" s="27" t="str">
        <f t="shared" si="9"/>
        <v>+</v>
      </c>
      <c r="H30" s="26">
        <f t="shared" si="10"/>
        <v>19651.319999999996</v>
      </c>
      <c r="I30" s="26">
        <f t="shared" si="11"/>
        <v>19750.134513635549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90</v>
      </c>
      <c r="E31" s="29">
        <f t="shared" si="7"/>
        <v>1.286063360054872E-2</v>
      </c>
      <c r="F31" s="28">
        <f t="shared" si="8"/>
        <v>33.06543405219648</v>
      </c>
      <c r="G31" s="27" t="str">
        <f t="shared" si="9"/>
        <v>+</v>
      </c>
      <c r="H31" s="26">
        <f t="shared" si="10"/>
        <v>2961</v>
      </c>
      <c r="I31" s="26">
        <f t="shared" si="11"/>
        <v>2975.8890646976834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34.443159132354346</v>
      </c>
      <c r="D32" s="22">
        <f>SUM(D26:D31)</f>
        <v>4167.6000000000004</v>
      </c>
      <c r="E32" s="21">
        <f t="shared" si="7"/>
        <v>0.59553307326274274</v>
      </c>
      <c r="F32" s="20">
        <f>I32/D32</f>
        <v>34.616352791494585</v>
      </c>
      <c r="G32" s="19">
        <f>F32/C32-1</f>
        <v>5.0283906442700754E-3</v>
      </c>
      <c r="H32" s="18">
        <f>SUM(H26:H31)</f>
        <v>143545.31</v>
      </c>
      <c r="I32" s="18">
        <f>SUM(I26:I31)</f>
        <v>144267.11189383283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672.1+400.9</f>
        <v>1073</v>
      </c>
      <c r="E34" s="29">
        <f t="shared" ref="E34:E40" si="13">D34/$D$48</f>
        <v>0.15332733170431972</v>
      </c>
      <c r="F34" s="28">
        <f t="shared" ref="F34:F39" si="14">C34-(C34*$E$6)</f>
        <v>19.899562134756543</v>
      </c>
      <c r="G34" s="27" t="str">
        <f t="shared" ref="G34:G39" si="15">IF(C34&gt;=F34,"-","+")</f>
        <v>+</v>
      </c>
      <c r="H34" s="26">
        <f t="shared" ref="H34:H39" si="16">C34*D34</f>
        <v>21245.4</v>
      </c>
      <c r="I34" s="26">
        <f t="shared" ref="I34:I39" si="17">F34*D34</f>
        <v>21352.230170593772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73.599999999999994</v>
      </c>
      <c r="E35" s="29">
        <f t="shared" si="13"/>
        <v>1.0517140366670952E-2</v>
      </c>
      <c r="F35" s="28">
        <f t="shared" si="14"/>
        <v>15.276431537792901</v>
      </c>
      <c r="G35" s="27" t="str">
        <f t="shared" si="15"/>
        <v>+</v>
      </c>
      <c r="H35" s="26">
        <f t="shared" si="16"/>
        <v>1118.7199999999998</v>
      </c>
      <c r="I35" s="26">
        <f t="shared" si="17"/>
        <v>1124.3453611815573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12.261346365860092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32.462417017809912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32.462417017809912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33.66845108658304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19.504727019012737</v>
      </c>
      <c r="D40" s="22">
        <f>SUM(D34:D39)</f>
        <v>1146.5999999999999</v>
      </c>
      <c r="E40" s="113">
        <f t="shared" si="13"/>
        <v>0.16384447207099068</v>
      </c>
      <c r="F40" s="20">
        <f>I40/D40</f>
        <v>19.602804405874174</v>
      </c>
      <c r="G40" s="19">
        <f>F40/C40-1</f>
        <v>5.0283906442696313E-3</v>
      </c>
      <c r="H40" s="18">
        <f>SUM(H34:H39)</f>
        <v>22364.120000000003</v>
      </c>
      <c r="I40" s="18">
        <f>SUM(I34:I39)</f>
        <v>22476.575531775328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64.9+503+562.7</f>
        <v>1130.5999999999999</v>
      </c>
      <c r="E42" s="107">
        <f>D42/$D$48</f>
        <v>0.1615581372086709</v>
      </c>
      <c r="F42" s="28">
        <f>C42-(C42*$E$6)</f>
        <v>0.50251419532213493</v>
      </c>
      <c r="G42" s="27" t="str">
        <f>IF(C42&gt;=F42,"-","+")</f>
        <v>+</v>
      </c>
      <c r="H42" s="26">
        <f>C42*D42</f>
        <v>565.29999999999995</v>
      </c>
      <c r="I42" s="26">
        <f>F42*D42</f>
        <v>568.14254923120575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22</v>
      </c>
      <c r="E43" s="107">
        <f>D43/$D$48</f>
        <v>3.1437104356896871E-3</v>
      </c>
      <c r="F43" s="28">
        <f>C43-(C43*$E$6)</f>
        <v>0.50251419532213493</v>
      </c>
      <c r="G43" s="27" t="str">
        <f>IF(C43&gt;=F43,"-","+")</f>
        <v>+</v>
      </c>
      <c r="H43" s="26">
        <f>C43*D43</f>
        <v>11</v>
      </c>
      <c r="I43" s="26">
        <f>F43*D43</f>
        <v>11.055312297086969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4.9000000000000004</v>
      </c>
      <c r="E45" s="107">
        <f>D45/$D$48</f>
        <v>7.0019005158543032E-4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0.49788336933045352</v>
      </c>
      <c r="D46" s="22">
        <f>SUM(D41:D45)</f>
        <v>1157.5</v>
      </c>
      <c r="E46" s="113">
        <f>D46/$D$48</f>
        <v>0.16540203769594602</v>
      </c>
      <c r="F46" s="20">
        <f>I46/D46</f>
        <v>0.50038692140673235</v>
      </c>
      <c r="G46" s="19">
        <f>F46/C46-1</f>
        <v>5.0283906442698534E-3</v>
      </c>
      <c r="H46" s="18">
        <f>SUM(H41:H44)</f>
        <v>576.29999999999995</v>
      </c>
      <c r="I46" s="18">
        <f>SUM(I41:I44)</f>
        <v>579.19786152829272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104.62848228665499</v>
      </c>
      <c r="D48" s="13">
        <f>D24+D32+D40+D46</f>
        <v>6998.1</v>
      </c>
      <c r="E48" s="12">
        <f>SUM(E20:E46)/2</f>
        <v>1</v>
      </c>
      <c r="F48" s="11">
        <f>I48/D48</f>
        <v>27.7035046883448</v>
      </c>
      <c r="G48" s="10"/>
      <c r="H48" s="9">
        <f>SUM(H20:H46)/2</f>
        <v>192901.90999999997</v>
      </c>
      <c r="I48" s="9">
        <f>SUM(I20:I46)/2</f>
        <v>193871.89615950576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7756.3</v>
      </c>
      <c r="E50" s="12">
        <f>D50/G2</f>
        <v>1.0000128929114773</v>
      </c>
      <c r="F50" s="11">
        <f>I50/D50</f>
        <v>27.999639003132941</v>
      </c>
      <c r="G50" s="10"/>
      <c r="H50" s="9">
        <f>H48+H19</f>
        <v>216087.02999999997</v>
      </c>
      <c r="I50" s="9">
        <f>I48+I19</f>
        <v>217173.60000000003</v>
      </c>
      <c r="J50" s="106">
        <f>D50-G2</f>
        <v>0.1000000000003638</v>
      </c>
      <c r="K50" s="8"/>
    </row>
    <row r="51" spans="1:11" ht="23.25" x14ac:dyDescent="0.35">
      <c r="A51" s="174" t="s">
        <v>863</v>
      </c>
      <c r="B51" s="169"/>
      <c r="C51" s="170"/>
      <c r="G51" s="7"/>
      <c r="H51" s="6"/>
      <c r="I51" s="6">
        <f>+I50/D50</f>
        <v>27.999639003132941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861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864</v>
      </c>
      <c r="D2" s="96" t="s">
        <v>3</v>
      </c>
      <c r="E2" s="95" t="s">
        <v>112</v>
      </c>
      <c r="F2" s="94" t="s">
        <v>5</v>
      </c>
      <c r="G2" s="93">
        <v>894.9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16</v>
      </c>
      <c r="F3" s="88" t="s">
        <v>8</v>
      </c>
      <c r="G3" s="87">
        <v>23.2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55.931249999999999</v>
      </c>
      <c r="F4" s="81" t="s">
        <v>12</v>
      </c>
      <c r="G4" s="80">
        <f>G2*G3</f>
        <v>20761.68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-0.14816361224188479</v>
      </c>
      <c r="F6" s="69" t="s">
        <v>16</v>
      </c>
      <c r="G6" s="68">
        <f>(I50-I19)/(D50-(SUM(D42:D44)+D19))</f>
        <v>31.557501139990883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23.2</v>
      </c>
      <c r="D10" s="30"/>
      <c r="E10" s="29" t="e">
        <f t="shared" ref="E10:E19" si="1">D10/$D$19</f>
        <v>#DIV/0!</v>
      </c>
      <c r="F10" s="28">
        <f t="shared" ref="F10:F18" si="2">C10-(C10*$E$6)</f>
        <v>26.637395804011724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24.2</v>
      </c>
      <c r="D11" s="30"/>
      <c r="E11" s="29" t="e">
        <f t="shared" si="1"/>
        <v>#DIV/0!</v>
      </c>
      <c r="F11" s="28">
        <f t="shared" si="2"/>
        <v>27.785559416253612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22.1</v>
      </c>
      <c r="D12" s="30"/>
      <c r="E12" s="29" t="e">
        <f t="shared" si="1"/>
        <v>#DIV/0!</v>
      </c>
      <c r="F12" s="28">
        <f t="shared" si="2"/>
        <v>25.374415830545654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24.2</v>
      </c>
      <c r="D13" s="30"/>
      <c r="E13" s="29" t="e">
        <f t="shared" si="1"/>
        <v>#DIV/0!</v>
      </c>
      <c r="F13" s="28">
        <f t="shared" si="2"/>
        <v>27.785559416253612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</v>
      </c>
      <c r="D14" s="30"/>
      <c r="E14" s="29" t="e">
        <f t="shared" si="1"/>
        <v>#DIV/0!</v>
      </c>
      <c r="F14" s="28">
        <f t="shared" si="2"/>
        <v>31.000417530530889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22.3</v>
      </c>
      <c r="D15" s="30"/>
      <c r="E15" s="29" t="e">
        <f t="shared" si="1"/>
        <v>#DIV/0!</v>
      </c>
      <c r="F15" s="28">
        <f t="shared" si="2"/>
        <v>25.60404855299403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30.5</v>
      </c>
      <c r="D16" s="30"/>
      <c r="E16" s="29" t="e">
        <f t="shared" si="1"/>
        <v>#DIV/0!</v>
      </c>
      <c r="F16" s="28">
        <f t="shared" si="2"/>
        <v>35.018990173377489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44.9</v>
      </c>
      <c r="D17" s="30"/>
      <c r="E17" s="29" t="e">
        <f t="shared" si="1"/>
        <v>#DIV/0!</v>
      </c>
      <c r="F17" s="28">
        <f t="shared" si="2"/>
        <v>51.552546189660625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39.299999999999997</v>
      </c>
      <c r="D18" s="30"/>
      <c r="E18" s="29" t="e">
        <f t="shared" si="1"/>
        <v>#DIV/0!</v>
      </c>
      <c r="F18" s="28">
        <f t="shared" si="2"/>
        <v>45.122829961106071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58.3</v>
      </c>
      <c r="D21" s="30">
        <v>11</v>
      </c>
      <c r="E21" s="29">
        <f>D21/$D$48</f>
        <v>1.2291876187283496E-2</v>
      </c>
      <c r="F21" s="28">
        <f>C21-(C21*$E$6)</f>
        <v>66.937938593701887</v>
      </c>
      <c r="G21" s="27" t="str">
        <f>IF(C21&gt;=F21,"-","+")</f>
        <v>+</v>
      </c>
      <c r="H21" s="26">
        <f>C21*D21</f>
        <v>641.29999999999995</v>
      </c>
      <c r="I21" s="26">
        <f>F21*D21</f>
        <v>736.31732453072073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39.200000000000003</v>
      </c>
      <c r="D22" s="30">
        <v>27</v>
      </c>
      <c r="E22" s="29">
        <f>D22/$D$48</f>
        <v>3.0170968823332218E-2</v>
      </c>
      <c r="F22" s="28">
        <f>C22-(C22*$E$6)</f>
        <v>45.008013599881885</v>
      </c>
      <c r="G22" s="27" t="str">
        <f>IF(C22&gt;=F22,"-","+")</f>
        <v>+</v>
      </c>
      <c r="H22" s="26">
        <f>C22*D22</f>
        <v>1058.4000000000001</v>
      </c>
      <c r="I22" s="26">
        <f>F22*D22</f>
        <v>1215.2163671968108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35.700000000000003</v>
      </c>
      <c r="D23" s="30">
        <v>20</v>
      </c>
      <c r="E23" s="29">
        <f>D23/$D$48</f>
        <v>2.2348865795060902E-2</v>
      </c>
      <c r="F23" s="28">
        <f>C23-(C23*$E$6)</f>
        <v>40.989440957035292</v>
      </c>
      <c r="G23" s="27" t="str">
        <f>IF(C23&gt;=F23,"-","+")</f>
        <v>+</v>
      </c>
      <c r="H23" s="26">
        <f>C23*D23</f>
        <v>714</v>
      </c>
      <c r="I23" s="26">
        <f>F23*D23</f>
        <v>819.78881914070587</v>
      </c>
      <c r="J23" s="25"/>
      <c r="K23" s="25"/>
    </row>
    <row r="24" spans="1:11" x14ac:dyDescent="0.25">
      <c r="A24" s="24" t="s">
        <v>34</v>
      </c>
      <c r="B24" s="23"/>
      <c r="C24" s="20">
        <f>H24/D24</f>
        <v>41.615517241379308</v>
      </c>
      <c r="D24" s="22">
        <f>SUM(D21:D23)</f>
        <v>58</v>
      </c>
      <c r="E24" s="21">
        <f>D24/$D$48</f>
        <v>6.4811710805676617E-2</v>
      </c>
      <c r="F24" s="20">
        <f>I24/D24</f>
        <v>47.781422601176502</v>
      </c>
      <c r="G24" s="19">
        <f>F24/C24-1</f>
        <v>0.14816361224188479</v>
      </c>
      <c r="H24" s="18">
        <f>SUM(H21:H23)</f>
        <v>2413.6999999999998</v>
      </c>
      <c r="I24" s="18">
        <f>SUM(I21:I23)</f>
        <v>2771.3225108682373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31.1</v>
      </c>
      <c r="D26" s="30">
        <v>146</v>
      </c>
      <c r="E26" s="29">
        <f t="shared" ref="E26:E32" si="7">D26/$D$48</f>
        <v>0.16314672030394459</v>
      </c>
      <c r="F26" s="28">
        <f t="shared" ref="F26:F31" si="8">C26-(C26*$E$6)</f>
        <v>35.707888340722619</v>
      </c>
      <c r="G26" s="27" t="str">
        <f t="shared" ref="G26:G31" si="9">IF(C26&gt;=F26,"-","+")</f>
        <v>+</v>
      </c>
      <c r="H26" s="26">
        <f t="shared" ref="H26:H31" si="10">C26*D26</f>
        <v>4540.6000000000004</v>
      </c>
      <c r="I26" s="26">
        <f t="shared" ref="I26:I31" si="11">F26*D26</f>
        <v>5213.351697745502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27.7</v>
      </c>
      <c r="D27" s="30">
        <v>118.6</v>
      </c>
      <c r="E27" s="29">
        <f t="shared" si="7"/>
        <v>0.13252877416471115</v>
      </c>
      <c r="F27" s="28">
        <f t="shared" si="8"/>
        <v>31.804132059100208</v>
      </c>
      <c r="G27" s="27" t="str">
        <f t="shared" si="9"/>
        <v>+</v>
      </c>
      <c r="H27" s="26">
        <f t="shared" si="10"/>
        <v>3285.22</v>
      </c>
      <c r="I27" s="26">
        <f t="shared" si="11"/>
        <v>3771.9700622092846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27.7</v>
      </c>
      <c r="D28" s="30">
        <v>83</v>
      </c>
      <c r="E28" s="29">
        <f t="shared" si="7"/>
        <v>9.2747793049502744E-2</v>
      </c>
      <c r="F28" s="28">
        <f t="shared" si="8"/>
        <v>31.804132059100208</v>
      </c>
      <c r="G28" s="27" t="str">
        <f t="shared" si="9"/>
        <v>+</v>
      </c>
      <c r="H28" s="26">
        <f t="shared" si="10"/>
        <v>2299.1</v>
      </c>
      <c r="I28" s="26">
        <f t="shared" si="11"/>
        <v>2639.7429609053174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26.8</v>
      </c>
      <c r="D29" s="30">
        <v>69.900000000000006</v>
      </c>
      <c r="E29" s="29">
        <f t="shared" si="7"/>
        <v>7.8109285953737853E-2</v>
      </c>
      <c r="F29" s="28">
        <f t="shared" si="8"/>
        <v>30.770784808082514</v>
      </c>
      <c r="G29" s="27" t="str">
        <f t="shared" si="9"/>
        <v>+</v>
      </c>
      <c r="H29" s="26">
        <f t="shared" si="10"/>
        <v>1873.3200000000002</v>
      </c>
      <c r="I29" s="26">
        <f t="shared" si="11"/>
        <v>2150.877858084968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26.8</v>
      </c>
      <c r="D30" s="30">
        <v>44.2</v>
      </c>
      <c r="E30" s="29">
        <f t="shared" si="7"/>
        <v>4.9390993407084596E-2</v>
      </c>
      <c r="F30" s="28">
        <f t="shared" si="8"/>
        <v>30.770784808082514</v>
      </c>
      <c r="G30" s="27" t="str">
        <f t="shared" si="9"/>
        <v>+</v>
      </c>
      <c r="H30" s="26">
        <f t="shared" si="10"/>
        <v>1184.5600000000002</v>
      </c>
      <c r="I30" s="26">
        <f t="shared" si="11"/>
        <v>1360.0686885172472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27.3</v>
      </c>
      <c r="D31" s="30">
        <v>13.7</v>
      </c>
      <c r="E31" s="29">
        <f t="shared" si="7"/>
        <v>1.5308973069616717E-2</v>
      </c>
      <c r="F31" s="28">
        <f t="shared" si="8"/>
        <v>31.344866614203454</v>
      </c>
      <c r="G31" s="27" t="str">
        <f t="shared" si="9"/>
        <v>+</v>
      </c>
      <c r="H31" s="26">
        <f t="shared" si="10"/>
        <v>374.01</v>
      </c>
      <c r="I31" s="26">
        <f t="shared" si="11"/>
        <v>429.42467261458728</v>
      </c>
      <c r="J31" s="25"/>
      <c r="K31" s="25"/>
    </row>
    <row r="32" spans="1:11" x14ac:dyDescent="0.25">
      <c r="A32" s="24" t="s">
        <v>34</v>
      </c>
      <c r="B32" s="23"/>
      <c r="C32" s="20">
        <f>H32/D32</f>
        <v>28.516638620109383</v>
      </c>
      <c r="D32" s="22">
        <f>SUM(D26:D31)</f>
        <v>475.4</v>
      </c>
      <c r="E32" s="21">
        <f t="shared" si="7"/>
        <v>0.53123253994859765</v>
      </c>
      <c r="F32" s="20">
        <f>I32/D32</f>
        <v>32.741766807061225</v>
      </c>
      <c r="G32" s="19">
        <f>F32/C32-1</f>
        <v>0.14816361224188479</v>
      </c>
      <c r="H32" s="18">
        <f>SUM(H26:H31)</f>
        <v>13556.81</v>
      </c>
      <c r="I32" s="18">
        <f>SUM(I26:I31)</f>
        <v>15565.435940076906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16.399999999999999</v>
      </c>
      <c r="D34" s="30">
        <v>123</v>
      </c>
      <c r="E34" s="29">
        <f t="shared" ref="E34:E40" si="13">D34/$D$48</f>
        <v>0.13744552463962453</v>
      </c>
      <c r="F34" s="28">
        <f t="shared" ref="F34:F39" si="14">C34-(C34*$E$6)</f>
        <v>18.829883240766907</v>
      </c>
      <c r="G34" s="27" t="str">
        <f t="shared" ref="G34:G39" si="15">IF(C34&gt;=F34,"-","+")</f>
        <v>+</v>
      </c>
      <c r="H34" s="26">
        <f t="shared" ref="H34:H39" si="16">C34*D34</f>
        <v>2017.1999999999998</v>
      </c>
      <c r="I34" s="26">
        <f t="shared" ref="I34:I39" si="17">F34*D34</f>
        <v>2316.0756386143298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12.6</v>
      </c>
      <c r="D35" s="30"/>
      <c r="E35" s="29">
        <f t="shared" si="13"/>
        <v>0</v>
      </c>
      <c r="F35" s="28">
        <f t="shared" si="14"/>
        <v>14.466861514247748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10.1</v>
      </c>
      <c r="D36" s="30"/>
      <c r="E36" s="29">
        <f t="shared" si="13"/>
        <v>0</v>
      </c>
      <c r="F36" s="28">
        <f t="shared" si="14"/>
        <v>11.596452483643036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26.8</v>
      </c>
      <c r="D37" s="30"/>
      <c r="E37" s="29">
        <f t="shared" si="13"/>
        <v>0</v>
      </c>
      <c r="F37" s="28">
        <f t="shared" si="14"/>
        <v>30.770784808082514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26.8</v>
      </c>
      <c r="D38" s="30"/>
      <c r="E38" s="29">
        <f t="shared" si="13"/>
        <v>0</v>
      </c>
      <c r="F38" s="28">
        <f t="shared" si="14"/>
        <v>30.770784808082514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27.7</v>
      </c>
      <c r="D39" s="30"/>
      <c r="E39" s="29">
        <f t="shared" si="13"/>
        <v>0</v>
      </c>
      <c r="F39" s="28">
        <f t="shared" si="14"/>
        <v>31.804132059100208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16.399999999999999</v>
      </c>
      <c r="D40" s="22">
        <f>SUM(D34:D39)</f>
        <v>123</v>
      </c>
      <c r="E40" s="113">
        <f t="shared" si="13"/>
        <v>0.13744552463962453</v>
      </c>
      <c r="F40" s="20">
        <f>I40/D40</f>
        <v>18.829883240766907</v>
      </c>
      <c r="G40" s="19">
        <f>F40/C40-1</f>
        <v>0.14816361224188479</v>
      </c>
      <c r="H40" s="18">
        <f>SUM(H34:H39)</f>
        <v>2017.1999999999998</v>
      </c>
      <c r="I40" s="18">
        <f>SUM(I34:I39)</f>
        <v>2316.0756386143298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221</v>
      </c>
      <c r="E42" s="107">
        <f>D42/$D$48</f>
        <v>0.24695496703542297</v>
      </c>
      <c r="F42" s="28">
        <f>C42-(C42*$E$6)</f>
        <v>0.45926544489675392</v>
      </c>
      <c r="G42" s="27" t="str">
        <f>IF(C42&gt;=F42,"-","+")</f>
        <v>+</v>
      </c>
      <c r="H42" s="26">
        <f>C42*D42</f>
        <v>88.4</v>
      </c>
      <c r="I42" s="26">
        <f>F42*D42</f>
        <v>101.49766332218262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16</v>
      </c>
      <c r="E43" s="107">
        <f>D43/$D$48</f>
        <v>1.787909263604872E-2</v>
      </c>
      <c r="F43" s="28">
        <f>C43-(C43*$E$6)</f>
        <v>0.45926544489675392</v>
      </c>
      <c r="G43" s="27" t="str">
        <f>IF(C43&gt;=F43,"-","+")</f>
        <v>+</v>
      </c>
      <c r="H43" s="26">
        <f>C43*D43</f>
        <v>6.4</v>
      </c>
      <c r="I43" s="26">
        <f>F43*D43</f>
        <v>7.3482471183480627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1.5</v>
      </c>
      <c r="E45" s="107">
        <f>D45/$D$48</f>
        <v>1.6761649346295675E-3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0.39748427672955977</v>
      </c>
      <c r="D46" s="22">
        <f>SUM(D41:D45)</f>
        <v>238.5</v>
      </c>
      <c r="E46" s="113">
        <f>D46/$D$48</f>
        <v>0.26651022460610124</v>
      </c>
      <c r="F46" s="20">
        <f>I46/D46</f>
        <v>0.45637698297916424</v>
      </c>
      <c r="G46" s="19">
        <f>F46/C46-1</f>
        <v>0.14816361224188457</v>
      </c>
      <c r="H46" s="18">
        <f>SUM(H41:H44)</f>
        <v>94.800000000000011</v>
      </c>
      <c r="I46" s="18">
        <f>SUM(I41:I44)</f>
        <v>108.84591044053067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86.929640138218247</v>
      </c>
      <c r="D48" s="13">
        <f>D24+D32+D40+D46</f>
        <v>894.9</v>
      </c>
      <c r="E48" s="12">
        <f>SUM(E20:E46)/2</f>
        <v>1</v>
      </c>
      <c r="F48" s="11">
        <f>I48/D48</f>
        <v>23.200000000000006</v>
      </c>
      <c r="G48" s="10"/>
      <c r="H48" s="9">
        <f>SUM(H20:H46)/2</f>
        <v>18082.509999999998</v>
      </c>
      <c r="I48" s="9">
        <f>SUM(I20:I46)/2</f>
        <v>20761.680000000004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894.90000000000009</v>
      </c>
      <c r="E50" s="12">
        <f>D50/G2</f>
        <v>1.0000000000000002</v>
      </c>
      <c r="F50" s="11">
        <f>I50/D50</f>
        <v>23.200000000000003</v>
      </c>
      <c r="G50" s="10"/>
      <c r="H50" s="9">
        <f>H48+H19</f>
        <v>18082.509999999998</v>
      </c>
      <c r="I50" s="9">
        <f>I48+I19</f>
        <v>20761.680000000004</v>
      </c>
      <c r="J50" s="106">
        <f>D50-G2</f>
        <v>0</v>
      </c>
      <c r="K50" s="8"/>
    </row>
    <row r="51" spans="1:11" ht="23.25" x14ac:dyDescent="0.35">
      <c r="A51" s="174" t="s">
        <v>865</v>
      </c>
      <c r="B51" s="169"/>
      <c r="C51" s="170"/>
      <c r="G51" s="7"/>
      <c r="H51" s="6"/>
      <c r="I51" s="6">
        <f>+I50/D50</f>
        <v>23.200000000000003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861</v>
      </c>
      <c r="D1" s="100" t="s">
        <v>1</v>
      </c>
      <c r="E1" s="168" t="s">
        <v>821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864</v>
      </c>
      <c r="D2" s="96" t="s">
        <v>3</v>
      </c>
      <c r="E2" s="95" t="s">
        <v>112</v>
      </c>
      <c r="F2" s="94" t="s">
        <v>5</v>
      </c>
      <c r="G2" s="116">
        <v>6582.4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822</v>
      </c>
      <c r="D3" s="90" t="s">
        <v>7</v>
      </c>
      <c r="E3" s="89">
        <v>108</v>
      </c>
      <c r="F3" s="88" t="s">
        <v>8</v>
      </c>
      <c r="G3" s="87">
        <v>24.65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60.948148148148142</v>
      </c>
      <c r="F4" s="81" t="s">
        <v>12</v>
      </c>
      <c r="G4" s="80">
        <f>G2*G3</f>
        <v>162256.15999999997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-8.4234940414781745E-2</v>
      </c>
      <c r="F6" s="69" t="s">
        <v>16</v>
      </c>
      <c r="G6" s="68">
        <f>(I50-I19)/(D50-(SUM(D42:D44)+D19))</f>
        <v>31.279501860312699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24.7</v>
      </c>
      <c r="D10" s="30"/>
      <c r="E10" s="29" t="e">
        <f t="shared" ref="E10:E19" si="1">D10/$D$19</f>
        <v>#DIV/0!</v>
      </c>
      <c r="F10" s="28">
        <f t="shared" ref="F10:F18" si="2">C10-(C10*$E$6)</f>
        <v>26.780603028245107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25.7</v>
      </c>
      <c r="D11" s="30"/>
      <c r="E11" s="29" t="e">
        <f t="shared" si="1"/>
        <v>#DIV/0!</v>
      </c>
      <c r="F11" s="28">
        <f t="shared" si="2"/>
        <v>27.864837968659891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23.5</v>
      </c>
      <c r="D12" s="30"/>
      <c r="E12" s="29" t="e">
        <f t="shared" si="1"/>
        <v>#DIV/0!</v>
      </c>
      <c r="F12" s="28">
        <f t="shared" si="2"/>
        <v>25.47952109974737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25.7</v>
      </c>
      <c r="D13" s="30"/>
      <c r="E13" s="29" t="e">
        <f t="shared" si="1"/>
        <v>#DIV/0!</v>
      </c>
      <c r="F13" s="28">
        <f t="shared" si="2"/>
        <v>27.864837968659891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28.7</v>
      </c>
      <c r="D14" s="30"/>
      <c r="E14" s="29" t="e">
        <f t="shared" si="1"/>
        <v>#DIV/0!</v>
      </c>
      <c r="F14" s="28">
        <f t="shared" si="2"/>
        <v>31.117542789904235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23.7</v>
      </c>
      <c r="D15" s="30"/>
      <c r="E15" s="29" t="e">
        <f t="shared" si="1"/>
        <v>#DIV/0!</v>
      </c>
      <c r="F15" s="28">
        <f t="shared" si="2"/>
        <v>25.696368087830326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32.4</v>
      </c>
      <c r="D16" s="30"/>
      <c r="E16" s="29" t="e">
        <f t="shared" si="1"/>
        <v>#DIV/0!</v>
      </c>
      <c r="F16" s="28">
        <f t="shared" si="2"/>
        <v>35.129212069438928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47.7</v>
      </c>
      <c r="D17" s="30"/>
      <c r="E17" s="29" t="e">
        <f t="shared" si="1"/>
        <v>#DIV/0!</v>
      </c>
      <c r="F17" s="28">
        <f t="shared" si="2"/>
        <v>51.718006657785089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41.8</v>
      </c>
      <c r="D18" s="30"/>
      <c r="E18" s="29" t="e">
        <f t="shared" si="1"/>
        <v>#DIV/0!</v>
      </c>
      <c r="F18" s="28">
        <f t="shared" si="2"/>
        <v>45.32102050933787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</v>
      </c>
      <c r="D21" s="30">
        <v>85.3</v>
      </c>
      <c r="E21" s="29">
        <f>D21/$D$48</f>
        <v>1.2958799222168206E-2</v>
      </c>
      <c r="F21" s="28">
        <f>C21-(C21*$E$6)</f>
        <v>67.22256630571647</v>
      </c>
      <c r="G21" s="27" t="str">
        <f>IF(C21&gt;=F21,"-","+")</f>
        <v>+</v>
      </c>
      <c r="H21" s="26">
        <f>C21*D21</f>
        <v>5288.5999999999995</v>
      </c>
      <c r="I21" s="26">
        <f>F21*D21</f>
        <v>5734.0849058776148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41.6</v>
      </c>
      <c r="D22" s="30">
        <v>170.2</v>
      </c>
      <c r="E22" s="29">
        <f>D22/$D$48</f>
        <v>2.5856830335439961E-2</v>
      </c>
      <c r="F22" s="28">
        <f>C22-(C22*$E$6)</f>
        <v>45.104173521254921</v>
      </c>
      <c r="G22" s="27" t="str">
        <f>IF(C22&gt;=F22,"-","+")</f>
        <v>+</v>
      </c>
      <c r="H22" s="26">
        <f>C22*D22</f>
        <v>7080.32</v>
      </c>
      <c r="I22" s="26">
        <f>F22*D22</f>
        <v>7676.7303333175869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</v>
      </c>
      <c r="D23" s="30">
        <v>107.8</v>
      </c>
      <c r="E23" s="29">
        <f>D23/$D$48</f>
        <v>1.6377005347593582E-2</v>
      </c>
      <c r="F23" s="28">
        <f>C23-(C23*$E$6)</f>
        <v>41.200927735761709</v>
      </c>
      <c r="G23" s="27" t="str">
        <f>IF(C23&gt;=F23,"-","+")</f>
        <v>+</v>
      </c>
      <c r="H23" s="26">
        <f>C23*D23</f>
        <v>4096.3999999999996</v>
      </c>
      <c r="I23" s="26">
        <f>F23*D23</f>
        <v>4441.4600099151121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45.321552436003302</v>
      </c>
      <c r="D24" s="22">
        <f>SUM(D21:D23)</f>
        <v>363.3</v>
      </c>
      <c r="E24" s="21">
        <f>D24/$D$48</f>
        <v>5.5192634905201758E-2</v>
      </c>
      <c r="F24" s="20">
        <f>I24/D24</f>
        <v>49.139210704955453</v>
      </c>
      <c r="G24" s="19">
        <f>F24/C24-1</f>
        <v>8.4234940414781967E-2</v>
      </c>
      <c r="H24" s="18">
        <f>SUM(H21:H23)</f>
        <v>16465.32</v>
      </c>
      <c r="I24" s="18">
        <f>SUM(I21:I23)</f>
        <v>17852.275249110317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33.1</v>
      </c>
      <c r="D26" s="30">
        <f>100+335.1+42+662</f>
        <v>1139.0999999999999</v>
      </c>
      <c r="E26" s="29">
        <f t="shared" ref="E26:E32" si="7">D26/$D$48</f>
        <v>0.17305238210986873</v>
      </c>
      <c r="F26" s="28">
        <f t="shared" ref="F26:F31" si="8">C26-(C26*$E$6)</f>
        <v>35.888176527729279</v>
      </c>
      <c r="G26" s="27" t="str">
        <f t="shared" ref="G26:G31" si="9">IF(C26&gt;=F26,"-","+")</f>
        <v>+</v>
      </c>
      <c r="H26" s="26">
        <f t="shared" ref="H26:H31" si="10">C26*D26</f>
        <v>37704.21</v>
      </c>
      <c r="I26" s="26">
        <f t="shared" ref="I26:I31" si="11">F26*D26</f>
        <v>40880.22188273642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29.5</v>
      </c>
      <c r="D27" s="30">
        <v>897</v>
      </c>
      <c r="E27" s="29">
        <f t="shared" si="7"/>
        <v>0.1362724842002917</v>
      </c>
      <c r="F27" s="28">
        <f t="shared" si="8"/>
        <v>31.98493074223606</v>
      </c>
      <c r="G27" s="27" t="str">
        <f t="shared" si="9"/>
        <v>+</v>
      </c>
      <c r="H27" s="26">
        <f t="shared" si="10"/>
        <v>26461.5</v>
      </c>
      <c r="I27" s="26">
        <f t="shared" si="11"/>
        <v>28690.482875785747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29.5</v>
      </c>
      <c r="D28" s="30">
        <v>671</v>
      </c>
      <c r="E28" s="29">
        <f t="shared" si="7"/>
        <v>0.1019385026737968</v>
      </c>
      <c r="F28" s="28">
        <f t="shared" si="8"/>
        <v>31.98493074223606</v>
      </c>
      <c r="G28" s="27" t="str">
        <f t="shared" si="9"/>
        <v>+</v>
      </c>
      <c r="H28" s="26">
        <f t="shared" si="10"/>
        <v>19794.5</v>
      </c>
      <c r="I28" s="26">
        <f t="shared" si="11"/>
        <v>21461.888528040396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28.5</v>
      </c>
      <c r="D29" s="30">
        <v>594.9</v>
      </c>
      <c r="E29" s="29">
        <f t="shared" si="7"/>
        <v>9.037736995624697E-2</v>
      </c>
      <c r="F29" s="28">
        <f t="shared" si="8"/>
        <v>30.900695801821279</v>
      </c>
      <c r="G29" s="27" t="str">
        <f t="shared" si="9"/>
        <v>+</v>
      </c>
      <c r="H29" s="26">
        <f t="shared" si="10"/>
        <v>16954.649999999998</v>
      </c>
      <c r="I29" s="26">
        <f t="shared" si="11"/>
        <v>18382.823932503477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28.5</v>
      </c>
      <c r="D30" s="30">
        <v>345.3</v>
      </c>
      <c r="E30" s="29">
        <f t="shared" si="7"/>
        <v>5.2458070004861454E-2</v>
      </c>
      <c r="F30" s="28">
        <f t="shared" si="8"/>
        <v>30.900695801821279</v>
      </c>
      <c r="G30" s="27" t="str">
        <f t="shared" si="9"/>
        <v>+</v>
      </c>
      <c r="H30" s="26">
        <f t="shared" si="10"/>
        <v>9841.0500000000011</v>
      </c>
      <c r="I30" s="26">
        <f t="shared" si="11"/>
        <v>10670.010260368888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</v>
      </c>
      <c r="D31" s="30">
        <v>161.69999999999999</v>
      </c>
      <c r="E31" s="29">
        <f t="shared" si="7"/>
        <v>2.4565508021390375E-2</v>
      </c>
      <c r="F31" s="28">
        <f t="shared" si="8"/>
        <v>31.442813272028673</v>
      </c>
      <c r="G31" s="27" t="str">
        <f t="shared" si="9"/>
        <v>+</v>
      </c>
      <c r="H31" s="26">
        <f t="shared" si="10"/>
        <v>4689.2999999999993</v>
      </c>
      <c r="I31" s="26">
        <f t="shared" si="11"/>
        <v>5084.3029060870358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30.308535048569176</v>
      </c>
      <c r="D32" s="22">
        <f>SUM(D26:D31)</f>
        <v>3809</v>
      </c>
      <c r="E32" s="21">
        <f t="shared" si="7"/>
        <v>0.57866431696645604</v>
      </c>
      <c r="F32" s="20">
        <f>I32/D32</f>
        <v>32.861572692444724</v>
      </c>
      <c r="G32" s="19">
        <f>F32/C32-1</f>
        <v>8.4234940414781745E-2</v>
      </c>
      <c r="H32" s="18">
        <f>SUM(H26:H31)</f>
        <v>115445.20999999999</v>
      </c>
      <c r="I32" s="18">
        <f>SUM(I26:I31)</f>
        <v>125169.73038552195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17.399999999999999</v>
      </c>
      <c r="D34" s="30">
        <f>336.4+454.9+65+59</f>
        <v>915.3</v>
      </c>
      <c r="E34" s="29">
        <f t="shared" ref="E34:E40" si="13">D34/$D$48</f>
        <v>0.13905262518230432</v>
      </c>
      <c r="F34" s="28">
        <f t="shared" ref="F34:F39" si="14">C34-(C34*$E$6)</f>
        <v>18.865687963217201</v>
      </c>
      <c r="G34" s="27" t="str">
        <f t="shared" ref="G34:G39" si="15">IF(C34&gt;=F34,"-","+")</f>
        <v>+</v>
      </c>
      <c r="H34" s="26">
        <f t="shared" ref="H34:H39" si="16">C34*D34</f>
        <v>15926.219999999998</v>
      </c>
      <c r="I34" s="26">
        <f t="shared" ref="I34:I39" si="17">F34*D34</f>
        <v>17267.764192732702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>
        <v>93.7</v>
      </c>
      <c r="E35" s="29">
        <f t="shared" si="13"/>
        <v>1.4234929508993681E-2</v>
      </c>
      <c r="F35" s="28">
        <f t="shared" si="14"/>
        <v>14.528748201558075</v>
      </c>
      <c r="G35" s="27" t="str">
        <f t="shared" si="15"/>
        <v>+</v>
      </c>
      <c r="H35" s="26">
        <f t="shared" si="16"/>
        <v>1255.5800000000002</v>
      </c>
      <c r="I35" s="26">
        <f t="shared" si="17"/>
        <v>1361.3437064859918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11.709737356479643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28.5</v>
      </c>
      <c r="D37" s="30"/>
      <c r="E37" s="29">
        <f t="shared" si="13"/>
        <v>0</v>
      </c>
      <c r="F37" s="28">
        <f t="shared" si="14"/>
        <v>30.900695801821279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28.5</v>
      </c>
      <c r="D38" s="30"/>
      <c r="E38" s="29">
        <f t="shared" si="13"/>
        <v>0</v>
      </c>
      <c r="F38" s="28">
        <f t="shared" si="14"/>
        <v>30.900695801821279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29.5</v>
      </c>
      <c r="D39" s="30"/>
      <c r="E39" s="29">
        <f t="shared" si="13"/>
        <v>0</v>
      </c>
      <c r="F39" s="28">
        <f t="shared" si="14"/>
        <v>31.98493074223606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17.028543111992072</v>
      </c>
      <c r="D40" s="22">
        <f>SUM(D34:D39)</f>
        <v>1009</v>
      </c>
      <c r="E40" s="113">
        <f t="shared" si="13"/>
        <v>0.15328755469129801</v>
      </c>
      <c r="F40" s="20">
        <f>I40/D40</f>
        <v>18.462941426381263</v>
      </c>
      <c r="G40" s="19">
        <f>F40/C40-1</f>
        <v>8.4234940414781523E-2</v>
      </c>
      <c r="H40" s="18">
        <f>SUM(H34:H39)</f>
        <v>17181.8</v>
      </c>
      <c r="I40" s="18">
        <f>SUM(I34:I39)</f>
        <v>18629.107899218696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660+77.5+608.6</f>
        <v>1346.1</v>
      </c>
      <c r="E42" s="107">
        <f>D42/$D$48</f>
        <v>0.2044998784637822</v>
      </c>
      <c r="F42" s="28">
        <f>C42-(C42*$E$6)</f>
        <v>0.43369397616591271</v>
      </c>
      <c r="G42" s="27" t="str">
        <f>IF(C42&gt;=F42,"-","+")</f>
        <v>+</v>
      </c>
      <c r="H42" s="26">
        <f>C42*D42</f>
        <v>538.43999999999994</v>
      </c>
      <c r="I42" s="26">
        <f>F42*D42</f>
        <v>583.79546131693508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49</v>
      </c>
      <c r="E43" s="107">
        <f>D43/$D$48</f>
        <v>7.4440933398152651E-3</v>
      </c>
      <c r="F43" s="28">
        <f>C43-(C43*$E$6)</f>
        <v>0.43369397616591271</v>
      </c>
      <c r="G43" s="27" t="str">
        <f>IF(C43&gt;=F43,"-","+")</f>
        <v>+</v>
      </c>
      <c r="H43" s="26">
        <f>C43*D43</f>
        <v>19.600000000000001</v>
      </c>
      <c r="I43" s="26">
        <f>F43*D43</f>
        <v>21.251004832129723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9.1152163344676714E-4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0.39828706016701165</v>
      </c>
      <c r="D46" s="22">
        <f>SUM(D41:D45)</f>
        <v>1401.1</v>
      </c>
      <c r="E46" s="113">
        <f>D46/$D$48</f>
        <v>0.21285549343704424</v>
      </c>
      <c r="F46" s="20">
        <f>I46/D46</f>
        <v>0.43183674694815849</v>
      </c>
      <c r="G46" s="19">
        <f>F46/C46-1</f>
        <v>8.4234940414781745E-2</v>
      </c>
      <c r="H46" s="18">
        <f>SUM(H41:H44)</f>
        <v>558.04</v>
      </c>
      <c r="I46" s="18">
        <f>SUM(I41:I44)</f>
        <v>605.04646614906483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93.056917656731542</v>
      </c>
      <c r="D48" s="13">
        <f>D24+D32+D40+D46</f>
        <v>6582.4</v>
      </c>
      <c r="E48" s="12">
        <f>SUM(E20:E46)/2</f>
        <v>1</v>
      </c>
      <c r="F48" s="11">
        <f>I48/D48</f>
        <v>24.650000000000006</v>
      </c>
      <c r="G48" s="10"/>
      <c r="H48" s="9">
        <f>SUM(H20:H46)/2</f>
        <v>149650.36999999994</v>
      </c>
      <c r="I48" s="9">
        <f>SUM(I20:I46)/2</f>
        <v>162256.16000000003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6582.4</v>
      </c>
      <c r="E50" s="12">
        <f>D50/G2</f>
        <v>1</v>
      </c>
      <c r="F50" s="11">
        <f>I50/D50</f>
        <v>24.650000000000006</v>
      </c>
      <c r="G50" s="10"/>
      <c r="H50" s="9">
        <f>H48+H19</f>
        <v>149650.36999999994</v>
      </c>
      <c r="I50" s="9">
        <f>I48+I19</f>
        <v>162256.16000000003</v>
      </c>
      <c r="J50" s="106">
        <f>D50-G2</f>
        <v>0</v>
      </c>
      <c r="K50" s="8"/>
    </row>
    <row r="51" spans="1:11" ht="23.25" x14ac:dyDescent="0.35">
      <c r="A51" s="174" t="s">
        <v>866</v>
      </c>
      <c r="B51" s="169"/>
      <c r="C51" s="170"/>
      <c r="G51" s="7"/>
      <c r="H51" s="6"/>
      <c r="I51" s="6">
        <f>+I50/D50</f>
        <v>24.650000000000006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861</v>
      </c>
      <c r="D1" s="100" t="s">
        <v>1</v>
      </c>
      <c r="E1" s="168" t="s">
        <v>821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864</v>
      </c>
      <c r="D2" s="96" t="s">
        <v>3</v>
      </c>
      <c r="E2" s="95" t="s">
        <v>107</v>
      </c>
      <c r="F2" s="94" t="s">
        <v>5</v>
      </c>
      <c r="G2" s="116">
        <v>1758.6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822</v>
      </c>
      <c r="D3" s="90" t="s">
        <v>7</v>
      </c>
      <c r="E3" s="89">
        <v>26</v>
      </c>
      <c r="F3" s="88" t="s">
        <v>8</v>
      </c>
      <c r="G3" s="87">
        <v>25.75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67.638461538461542</v>
      </c>
      <c r="F4" s="81" t="s">
        <v>12</v>
      </c>
      <c r="G4" s="80">
        <f>G2*G3</f>
        <v>45283.95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-2.3806164819318631E-2</v>
      </c>
      <c r="F6" s="69" t="s">
        <v>16</v>
      </c>
      <c r="G6" s="68">
        <f>(I50-I19)/(D50-(SUM(D42:D44)+D19))</f>
        <v>31.370938690682362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25.8</v>
      </c>
      <c r="D10" s="30"/>
      <c r="E10" s="29" t="e">
        <f t="shared" ref="E10:E19" si="1">D10/$D$19</f>
        <v>#DIV/0!</v>
      </c>
      <c r="F10" s="28">
        <f t="shared" ref="F10:F18" si="2">C10-(C10*$E$6)</f>
        <v>26.414199052338422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26.8</v>
      </c>
      <c r="D11" s="30"/>
      <c r="E11" s="29" t="e">
        <f t="shared" si="1"/>
        <v>#DIV/0!</v>
      </c>
      <c r="F11" s="28">
        <f t="shared" si="2"/>
        <v>27.438005217157741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24.5</v>
      </c>
      <c r="D12" s="30"/>
      <c r="E12" s="29" t="e">
        <f t="shared" si="1"/>
        <v>#DIV/0!</v>
      </c>
      <c r="F12" s="28">
        <f t="shared" si="2"/>
        <v>25.083251038073307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26.8</v>
      </c>
      <c r="D13" s="30"/>
      <c r="E13" s="29" t="e">
        <f t="shared" si="1"/>
        <v>#DIV/0!</v>
      </c>
      <c r="F13" s="28">
        <f t="shared" si="2"/>
        <v>27.438005217157741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</v>
      </c>
      <c r="D14" s="30"/>
      <c r="E14" s="29" t="e">
        <f t="shared" si="1"/>
        <v>#DIV/0!</v>
      </c>
      <c r="F14" s="28">
        <f t="shared" si="2"/>
        <v>30.714184944579557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24.7</v>
      </c>
      <c r="D15" s="30"/>
      <c r="E15" s="29" t="e">
        <f t="shared" si="1"/>
        <v>#DIV/0!</v>
      </c>
      <c r="F15" s="28">
        <f t="shared" si="2"/>
        <v>25.288012271037168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33.799999999999997</v>
      </c>
      <c r="D16" s="30"/>
      <c r="E16" s="29" t="e">
        <f t="shared" si="1"/>
        <v>#DIV/0!</v>
      </c>
      <c r="F16" s="28">
        <f t="shared" si="2"/>
        <v>34.604648370892967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49.8</v>
      </c>
      <c r="D17" s="30"/>
      <c r="E17" s="29" t="e">
        <f t="shared" si="1"/>
        <v>#DIV/0!</v>
      </c>
      <c r="F17" s="28">
        <f t="shared" si="2"/>
        <v>50.985547008002065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43.6</v>
      </c>
      <c r="D18" s="30"/>
      <c r="E18" s="29" t="e">
        <f t="shared" si="1"/>
        <v>#DIV/0!</v>
      </c>
      <c r="F18" s="28">
        <f t="shared" si="2"/>
        <v>44.637948786122294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64.8</v>
      </c>
      <c r="D21" s="30">
        <v>23.5</v>
      </c>
      <c r="E21" s="29">
        <f>D21/$D$48</f>
        <v>1.3360623116720677E-2</v>
      </c>
      <c r="F21" s="28">
        <f>C21-(C21*$E$6)</f>
        <v>66.342639480291851</v>
      </c>
      <c r="G21" s="27" t="str">
        <f>IF(C21&gt;=F21,"-","+")</f>
        <v>+</v>
      </c>
      <c r="H21" s="26">
        <f>C21*D21</f>
        <v>1522.8</v>
      </c>
      <c r="I21" s="26">
        <f>F21*D21</f>
        <v>1559.0520277868584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43.5</v>
      </c>
      <c r="D22" s="30">
        <v>43.3</v>
      </c>
      <c r="E22" s="29">
        <f>D22/$D$48</f>
        <v>2.4617658764000225E-2</v>
      </c>
      <c r="F22" s="28">
        <f>C22-(C22*$E$6)</f>
        <v>44.535568169640364</v>
      </c>
      <c r="G22" s="27" t="str">
        <f>IF(C22&gt;=F22,"-","+")</f>
        <v>+</v>
      </c>
      <c r="H22" s="26">
        <f>C22*D22</f>
        <v>1883.55</v>
      </c>
      <c r="I22" s="26">
        <f>F22*D22</f>
        <v>1928.3901017454277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39.700000000000003</v>
      </c>
      <c r="D23" s="30">
        <v>37.9</v>
      </c>
      <c r="E23" s="29">
        <f>D23/$D$48</f>
        <v>2.1547558132923986E-2</v>
      </c>
      <c r="F23" s="28">
        <f>C23-(C23*$E$6)</f>
        <v>40.645104743326954</v>
      </c>
      <c r="G23" s="27" t="str">
        <f>IF(C23&gt;=F23,"-","+")</f>
        <v>+</v>
      </c>
      <c r="H23" s="26">
        <f>C23*D23</f>
        <v>1504.63</v>
      </c>
      <c r="I23" s="26">
        <f>F23*D23</f>
        <v>1540.4494697720916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46.905253104106976</v>
      </c>
      <c r="D24" s="22">
        <f>SUM(D21:D23)</f>
        <v>104.69999999999999</v>
      </c>
      <c r="E24" s="21">
        <f>D24/$D$48</f>
        <v>5.952584001364488E-2</v>
      </c>
      <c r="F24" s="20">
        <f>I24/D24</f>
        <v>48.021887290395206</v>
      </c>
      <c r="G24" s="19">
        <f>F24/C24-1</f>
        <v>2.3806164819318631E-2</v>
      </c>
      <c r="H24" s="18">
        <f>SUM(H21:H23)</f>
        <v>4910.9799999999996</v>
      </c>
      <c r="I24" s="18">
        <f>SUM(I21:I23)</f>
        <v>5027.8915993043775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34.6</v>
      </c>
      <c r="D26" s="30">
        <f>121+30.3+90+64</f>
        <v>305.3</v>
      </c>
      <c r="E26" s="29">
        <f t="shared" ref="E26:E32" si="7">D26/$D$48</f>
        <v>0.1735743930865882</v>
      </c>
      <c r="F26" s="28">
        <f t="shared" ref="F26:F31" si="8">C26-(C26*$E$6)</f>
        <v>35.423693302748426</v>
      </c>
      <c r="G26" s="27" t="str">
        <f t="shared" ref="G26:G31" si="9">IF(C26&gt;=F26,"-","+")</f>
        <v>+</v>
      </c>
      <c r="H26" s="26">
        <f t="shared" ref="H26:H31" si="10">C26*D26</f>
        <v>10563.380000000001</v>
      </c>
      <c r="I26" s="26">
        <f t="shared" ref="I26:I31" si="11">F26*D26</f>
        <v>10814.853565329095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30.8</v>
      </c>
      <c r="D27" s="30">
        <f>264.8</f>
        <v>264.8</v>
      </c>
      <c r="E27" s="29">
        <f t="shared" si="7"/>
        <v>0.1505486383535164</v>
      </c>
      <c r="F27" s="28">
        <f t="shared" si="8"/>
        <v>31.533229876435016</v>
      </c>
      <c r="G27" s="27" t="str">
        <f t="shared" si="9"/>
        <v>+</v>
      </c>
      <c r="H27" s="26">
        <f t="shared" si="10"/>
        <v>8155.84</v>
      </c>
      <c r="I27" s="26">
        <f t="shared" si="11"/>
        <v>8349.9992712799922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30.8</v>
      </c>
      <c r="D28" s="30">
        <f>96.8+104</f>
        <v>200.8</v>
      </c>
      <c r="E28" s="29">
        <f t="shared" si="7"/>
        <v>0.11416226050372393</v>
      </c>
      <c r="F28" s="28">
        <f t="shared" si="8"/>
        <v>31.533229876435016</v>
      </c>
      <c r="G28" s="27" t="str">
        <f t="shared" si="9"/>
        <v>+</v>
      </c>
      <c r="H28" s="26">
        <f t="shared" si="10"/>
        <v>6184.64</v>
      </c>
      <c r="I28" s="26">
        <f t="shared" si="11"/>
        <v>6331.8725591881512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29.7</v>
      </c>
      <c r="D29" s="30">
        <f>171.9</f>
        <v>171.9</v>
      </c>
      <c r="E29" s="29">
        <f t="shared" si="7"/>
        <v>9.7731536755926995E-2</v>
      </c>
      <c r="F29" s="28">
        <f t="shared" si="8"/>
        <v>30.407043095133762</v>
      </c>
      <c r="G29" s="27" t="str">
        <f t="shared" si="9"/>
        <v>+</v>
      </c>
      <c r="H29" s="26">
        <f t="shared" si="10"/>
        <v>5105.43</v>
      </c>
      <c r="I29" s="26">
        <f t="shared" si="11"/>
        <v>5226.9707080534936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29.7</v>
      </c>
      <c r="D30" s="30">
        <v>127.5</v>
      </c>
      <c r="E30" s="29">
        <f t="shared" si="7"/>
        <v>7.2488487122633463E-2</v>
      </c>
      <c r="F30" s="28">
        <f t="shared" si="8"/>
        <v>30.407043095133762</v>
      </c>
      <c r="G30" s="27" t="str">
        <f t="shared" si="9"/>
        <v>+</v>
      </c>
      <c r="H30" s="26">
        <f t="shared" si="10"/>
        <v>3786.75</v>
      </c>
      <c r="I30" s="26">
        <f t="shared" si="11"/>
        <v>3876.8979946295544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30.3</v>
      </c>
      <c r="D31" s="30">
        <v>46</v>
      </c>
      <c r="E31" s="29">
        <f t="shared" si="7"/>
        <v>2.6152709079538348E-2</v>
      </c>
      <c r="F31" s="28">
        <f t="shared" si="8"/>
        <v>31.021326794025356</v>
      </c>
      <c r="G31" s="27" t="str">
        <f t="shared" si="9"/>
        <v>+</v>
      </c>
      <c r="H31" s="26">
        <f t="shared" si="10"/>
        <v>1393.8</v>
      </c>
      <c r="I31" s="26">
        <f t="shared" si="11"/>
        <v>1426.9810325251665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31.523640598405446</v>
      </c>
      <c r="D32" s="22">
        <f>SUM(D26:D31)</f>
        <v>1116.3000000000002</v>
      </c>
      <c r="E32" s="21">
        <f t="shared" si="7"/>
        <v>0.63465802490192746</v>
      </c>
      <c r="F32" s="20">
        <f>I32/D32</f>
        <v>32.274097582196049</v>
      </c>
      <c r="G32" s="19">
        <f>F32/C32-1</f>
        <v>2.3806164819318631E-2</v>
      </c>
      <c r="H32" s="18">
        <f>SUM(H26:H31)</f>
        <v>35189.840000000004</v>
      </c>
      <c r="I32" s="18">
        <f>SUM(I26:I31)</f>
        <v>36027.575131005455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18.2</v>
      </c>
      <c r="D34" s="30">
        <v>220</v>
      </c>
      <c r="E34" s="29">
        <f t="shared" ref="E34:E40" si="13">D34/$D$48</f>
        <v>0.12507817385866166</v>
      </c>
      <c r="F34" s="28">
        <f t="shared" ref="F34:F39" si="14">C34-(C34*$E$6)</f>
        <v>18.633272199711598</v>
      </c>
      <c r="G34" s="27" t="str">
        <f t="shared" ref="G34:G39" si="15">IF(C34&gt;=F34,"-","+")</f>
        <v>+</v>
      </c>
      <c r="H34" s="26">
        <f t="shared" ref="H34:H39" si="16">C34*D34</f>
        <v>4004</v>
      </c>
      <c r="I34" s="26">
        <f t="shared" ref="I34:I39" si="17">F34*D34</f>
        <v>4099.3198839365514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</v>
      </c>
      <c r="D35" s="30"/>
      <c r="E35" s="29">
        <f t="shared" si="13"/>
        <v>0</v>
      </c>
      <c r="F35" s="28">
        <f t="shared" si="14"/>
        <v>14.333286307470461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11.466629045976369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29.7</v>
      </c>
      <c r="D37" s="30"/>
      <c r="E37" s="29">
        <f t="shared" si="13"/>
        <v>0</v>
      </c>
      <c r="F37" s="28">
        <f t="shared" si="14"/>
        <v>30.407043095133762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29.7</v>
      </c>
      <c r="D38" s="30"/>
      <c r="E38" s="29">
        <f t="shared" si="13"/>
        <v>0</v>
      </c>
      <c r="F38" s="28">
        <f t="shared" si="14"/>
        <v>30.407043095133762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30.8</v>
      </c>
      <c r="D39" s="30"/>
      <c r="E39" s="29">
        <f t="shared" si="13"/>
        <v>0</v>
      </c>
      <c r="F39" s="28">
        <f t="shared" si="14"/>
        <v>31.533229876435016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18.2</v>
      </c>
      <c r="D40" s="22">
        <f>SUM(D34:D39)</f>
        <v>220</v>
      </c>
      <c r="E40" s="113">
        <f t="shared" si="13"/>
        <v>0.12507817385866166</v>
      </c>
      <c r="F40" s="20">
        <f>I40/D40</f>
        <v>18.633272199711598</v>
      </c>
      <c r="G40" s="19">
        <f>F40/C40-1</f>
        <v>2.3806164819318631E-2</v>
      </c>
      <c r="H40" s="18">
        <f>SUM(H34:H39)</f>
        <v>4004</v>
      </c>
      <c r="I40" s="18">
        <f>SUM(I34:I39)</f>
        <v>4099.3198839365514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300</v>
      </c>
      <c r="E42" s="107">
        <f>D42/$D$48</f>
        <v>0.17056114617090226</v>
      </c>
      <c r="F42" s="28">
        <f>C42-(C42*$E$6)</f>
        <v>0.40952246592772745</v>
      </c>
      <c r="G42" s="27" t="str">
        <f>IF(C42&gt;=F42,"-","+")</f>
        <v>+</v>
      </c>
      <c r="H42" s="26">
        <f>C42*D42</f>
        <v>120</v>
      </c>
      <c r="I42" s="26">
        <f>F42*D42</f>
        <v>122.85673977831823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15.4</v>
      </c>
      <c r="E43" s="107">
        <f>D43/$D$48</f>
        <v>8.7554721701063164E-3</v>
      </c>
      <c r="F43" s="28">
        <f>C43-(C43*$E$6)</f>
        <v>0.40952246592772745</v>
      </c>
      <c r="G43" s="27" t="str">
        <f>IF(C43&gt;=F43,"-","+")</f>
        <v>+</v>
      </c>
      <c r="H43" s="26">
        <f>C43*D43</f>
        <v>6.16</v>
      </c>
      <c r="I43" s="26">
        <f>F43*D43</f>
        <v>6.3066459752870028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2.5</v>
      </c>
      <c r="E45" s="107">
        <f>D45/$D$48</f>
        <v>1.4213428847575189E-3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0.39685435671594843</v>
      </c>
      <c r="D46" s="22">
        <f>SUM(D41:D45)</f>
        <v>317.89999999999998</v>
      </c>
      <c r="E46" s="113">
        <f>D46/$D$48</f>
        <v>0.18073796122576608</v>
      </c>
      <c r="F46" s="20">
        <f>I46/D46</f>
        <v>0.40630193694119299</v>
      </c>
      <c r="G46" s="19">
        <f>F46/C46-1</f>
        <v>2.3806164819318631E-2</v>
      </c>
      <c r="H46" s="18">
        <f>SUM(H41:H44)</f>
        <v>126.16</v>
      </c>
      <c r="I46" s="18">
        <f>SUM(I41:I44)</f>
        <v>129.16338575360524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97.025748059228377</v>
      </c>
      <c r="D48" s="13">
        <f>D24+D32+D40+D46</f>
        <v>1758.9</v>
      </c>
      <c r="E48" s="12">
        <f>SUM(E20:E46)/2</f>
        <v>1.0000000000000002</v>
      </c>
      <c r="F48" s="11">
        <f>I48/D48</f>
        <v>25.745608050486091</v>
      </c>
      <c r="G48" s="10"/>
      <c r="H48" s="9">
        <f>SUM(H20:H46)/2</f>
        <v>44230.98000000001</v>
      </c>
      <c r="I48" s="9">
        <f>SUM(I20:I46)/2</f>
        <v>45283.94999999999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1758.9</v>
      </c>
      <c r="E50" s="12">
        <f>D50/G2</f>
        <v>1.0001705902422382</v>
      </c>
      <c r="F50" s="11">
        <f>I50/D50</f>
        <v>25.745608050486091</v>
      </c>
      <c r="G50" s="10"/>
      <c r="H50" s="9">
        <f>H48+H19</f>
        <v>44230.98000000001</v>
      </c>
      <c r="I50" s="9">
        <f>I48+I19</f>
        <v>45283.94999999999</v>
      </c>
      <c r="J50" s="106">
        <f>D50-G2</f>
        <v>0.3000000000001819</v>
      </c>
      <c r="K50" s="8"/>
    </row>
    <row r="51" spans="1:11" ht="23.25" x14ac:dyDescent="0.35">
      <c r="A51" s="174" t="s">
        <v>867</v>
      </c>
      <c r="B51" s="169"/>
      <c r="C51" s="170"/>
      <c r="G51" s="7"/>
      <c r="H51" s="6"/>
      <c r="I51" s="6">
        <f>+I50/D50</f>
        <v>25.745608050486091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861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864</v>
      </c>
      <c r="D2" s="96" t="s">
        <v>3</v>
      </c>
      <c r="E2" s="95" t="s">
        <v>71</v>
      </c>
      <c r="F2" s="94" t="s">
        <v>5</v>
      </c>
      <c r="G2" s="116">
        <v>21319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276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77.242753623188406</v>
      </c>
      <c r="F4" s="81" t="s">
        <v>12</v>
      </c>
      <c r="G4" s="80">
        <f>G2*G3</f>
        <v>596932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-1.5705100107864078E-2</v>
      </c>
      <c r="F6" s="69" t="s">
        <v>16</v>
      </c>
      <c r="G6" s="68">
        <f>(I50-I19)/(D50-(SUM(D42:D44)+D19))</f>
        <v>32.876810613610864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28.439742803020195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6011.5</v>
      </c>
      <c r="E11" s="29">
        <f t="shared" si="1"/>
        <v>0.78519089353587335</v>
      </c>
      <c r="F11" s="28">
        <f t="shared" si="2"/>
        <v>29.65858892314963</v>
      </c>
      <c r="G11" s="27" t="str">
        <f t="shared" si="3"/>
        <v>+</v>
      </c>
      <c r="H11" s="34">
        <f t="shared" si="4"/>
        <v>175535.8</v>
      </c>
      <c r="I11" s="34">
        <f t="shared" si="5"/>
        <v>178292.607311514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604.5</v>
      </c>
      <c r="E12" s="29">
        <f t="shared" si="1"/>
        <v>7.8956648946591601E-2</v>
      </c>
      <c r="F12" s="28">
        <f t="shared" si="2"/>
        <v>27.017755662869185</v>
      </c>
      <c r="G12" s="27" t="str">
        <f t="shared" si="3"/>
        <v>+</v>
      </c>
      <c r="H12" s="34">
        <f t="shared" si="4"/>
        <v>16079.7</v>
      </c>
      <c r="I12" s="34">
        <f t="shared" si="5"/>
        <v>16332.233298204423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530.6</v>
      </c>
      <c r="E13" s="29">
        <f t="shared" si="1"/>
        <v>6.9304214939721262E-2</v>
      </c>
      <c r="F13" s="28">
        <f t="shared" si="2"/>
        <v>29.65858892314963</v>
      </c>
      <c r="G13" s="27" t="str">
        <f t="shared" si="3"/>
        <v>+</v>
      </c>
      <c r="H13" s="34">
        <f t="shared" si="4"/>
        <v>15493.52</v>
      </c>
      <c r="I13" s="34">
        <f t="shared" si="5"/>
        <v>15736.847282623194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375.6</v>
      </c>
      <c r="E14" s="29">
        <f t="shared" si="1"/>
        <v>4.9058920338031116E-2</v>
      </c>
      <c r="F14" s="28">
        <f t="shared" si="2"/>
        <v>33.111986263516371</v>
      </c>
      <c r="G14" s="27" t="str">
        <f t="shared" si="3"/>
        <v>+</v>
      </c>
      <c r="H14" s="34">
        <f t="shared" si="4"/>
        <v>12244.560000000001</v>
      </c>
      <c r="I14" s="34">
        <f t="shared" si="5"/>
        <v>12436.862040576751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121</v>
      </c>
      <c r="E15" s="29">
        <f t="shared" si="1"/>
        <v>1.5804391269706508E-2</v>
      </c>
      <c r="F15" s="28">
        <f t="shared" si="2"/>
        <v>27.322467192901541</v>
      </c>
      <c r="G15" s="27" t="str">
        <f t="shared" si="3"/>
        <v>+</v>
      </c>
      <c r="H15" s="34">
        <f t="shared" si="4"/>
        <v>3254.8999999999996</v>
      </c>
      <c r="I15" s="34">
        <f t="shared" si="5"/>
        <v>3306.0185303410867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37.377947683969396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>
        <v>12.9</v>
      </c>
      <c r="E17" s="29">
        <f t="shared" si="1"/>
        <v>1.6849309700761484E-3</v>
      </c>
      <c r="F17" s="28">
        <f t="shared" si="2"/>
        <v>55.051216425846235</v>
      </c>
      <c r="G17" s="27" t="str">
        <f t="shared" si="3"/>
        <v>+</v>
      </c>
      <c r="H17" s="34">
        <f t="shared" si="4"/>
        <v>699.18000000000006</v>
      </c>
      <c r="I17" s="34">
        <f t="shared" si="5"/>
        <v>710.16069189341647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48.144421745112759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29.167286216219743</v>
      </c>
      <c r="D19" s="49">
        <f>SUM(D10:D18)</f>
        <v>7656.1</v>
      </c>
      <c r="E19" s="48">
        <f t="shared" si="1"/>
        <v>1</v>
      </c>
      <c r="F19" s="47">
        <f>I19/D19</f>
        <v>29.625361366120206</v>
      </c>
      <c r="G19" s="46">
        <f>F19/C19-1</f>
        <v>1.57051001078643E-2</v>
      </c>
      <c r="H19" s="9">
        <f>SUM(H10:H18)</f>
        <v>223307.65999999997</v>
      </c>
      <c r="I19" s="9">
        <f>SUM(I10:I18)</f>
        <v>226814.72915515292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78.7</v>
      </c>
      <c r="E21" s="29">
        <f>D21/$D$48</f>
        <v>5.7601241317729035E-3</v>
      </c>
      <c r="F21" s="28">
        <f>C21-(C21*$E$6)</f>
        <v>71.505639047593633</v>
      </c>
      <c r="G21" s="27" t="str">
        <f>IF(C21&gt;=F21,"-","+")</f>
        <v>+</v>
      </c>
      <c r="H21" s="26">
        <f>C21*D21</f>
        <v>5540.4800000000005</v>
      </c>
      <c r="I21" s="26">
        <f>F21*D21</f>
        <v>5627.493793045619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449.7</v>
      </c>
      <c r="E22" s="29">
        <f>D22/$D$48</f>
        <v>3.291394945436181E-2</v>
      </c>
      <c r="F22" s="28">
        <f>C22-(C22*$E$6)</f>
        <v>48.042851235101971</v>
      </c>
      <c r="G22" s="27" t="str">
        <f>IF(C22&gt;=F22,"-","+")</f>
        <v>+</v>
      </c>
      <c r="H22" s="26">
        <f>C22*D22</f>
        <v>21270.809999999998</v>
      </c>
      <c r="I22" s="26">
        <f>F22*D22</f>
        <v>21604.870200425357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155.4</v>
      </c>
      <c r="E23" s="29">
        <f>D23/$D$48</f>
        <v>1.1373866455876864E-2</v>
      </c>
      <c r="F23" s="28">
        <f>C23-(C23*$E$6)</f>
        <v>43.776889814648946</v>
      </c>
      <c r="G23" s="27" t="str">
        <f>IF(C23&gt;=F23,"-","+")</f>
        <v>+</v>
      </c>
      <c r="H23" s="26">
        <f>C23*D23</f>
        <v>6697.7400000000007</v>
      </c>
      <c r="I23" s="26">
        <f>F23*D23</f>
        <v>6802.9286771964462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49.004138637028369</v>
      </c>
      <c r="D24" s="22">
        <f>SUM(D21:D23)</f>
        <v>683.8</v>
      </c>
      <c r="E24" s="21">
        <f>D24/$D$48</f>
        <v>5.0047940042011574E-2</v>
      </c>
      <c r="F24" s="20">
        <f>I24/D24</f>
        <v>49.773753540022554</v>
      </c>
      <c r="G24" s="19">
        <f>F24/C24-1</f>
        <v>1.5705100107864078E-2</v>
      </c>
      <c r="H24" s="18">
        <f>SUM(H21:H23)</f>
        <v>33509.03</v>
      </c>
      <c r="I24" s="18">
        <f>SUM(I21:I23)</f>
        <v>34035.292670667419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403.8+55.6+180.4+1710.2</f>
        <v>2350</v>
      </c>
      <c r="E26" s="29">
        <f t="shared" ref="E26:E32" si="7">D26/$D$48</f>
        <v>0.17199862401100791</v>
      </c>
      <c r="F26" s="28">
        <f t="shared" ref="F26:F31" si="8">C26-(C26*$E$6)</f>
        <v>38.190511764055692</v>
      </c>
      <c r="G26" s="27" t="str">
        <f t="shared" ref="G26:G31" si="9">IF(C26&gt;=F26,"-","+")</f>
        <v>+</v>
      </c>
      <c r="H26" s="26">
        <f t="shared" ref="H26:H31" si="10">C26*D26</f>
        <v>88360</v>
      </c>
      <c r="I26" s="26">
        <f t="shared" ref="I26:I31" si="11">F26*D26</f>
        <v>89747.702645530881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2098</v>
      </c>
      <c r="E27" s="29">
        <f t="shared" si="7"/>
        <v>0.15355451624472111</v>
      </c>
      <c r="F27" s="28">
        <f t="shared" si="8"/>
        <v>34.026120853613449</v>
      </c>
      <c r="G27" s="27" t="str">
        <f t="shared" si="9"/>
        <v>+</v>
      </c>
      <c r="H27" s="26">
        <f t="shared" si="10"/>
        <v>70283</v>
      </c>
      <c r="I27" s="26">
        <f t="shared" si="11"/>
        <v>71386.80155088102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1454</v>
      </c>
      <c r="E28" s="29">
        <f t="shared" si="7"/>
        <v>0.1064195741753215</v>
      </c>
      <c r="F28" s="28">
        <f t="shared" si="8"/>
        <v>34.026120853613449</v>
      </c>
      <c r="G28" s="27" t="str">
        <f t="shared" si="9"/>
        <v>+</v>
      </c>
      <c r="H28" s="26">
        <f t="shared" si="10"/>
        <v>48709</v>
      </c>
      <c r="I28" s="26">
        <f t="shared" si="11"/>
        <v>49473.979721153955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1250</v>
      </c>
      <c r="E29" s="29">
        <f t="shared" si="7"/>
        <v>9.1488629793089318E-2</v>
      </c>
      <c r="F29" s="28">
        <f t="shared" si="8"/>
        <v>32.807274733484007</v>
      </c>
      <c r="G29" s="27" t="str">
        <f t="shared" si="9"/>
        <v>+</v>
      </c>
      <c r="H29" s="26">
        <f t="shared" si="10"/>
        <v>40375</v>
      </c>
      <c r="I29" s="26">
        <f t="shared" si="11"/>
        <v>41009.093416855008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1094</v>
      </c>
      <c r="E30" s="29">
        <f t="shared" si="7"/>
        <v>8.0070848794911775E-2</v>
      </c>
      <c r="F30" s="28">
        <f t="shared" si="8"/>
        <v>32.807274733484007</v>
      </c>
      <c r="G30" s="27" t="str">
        <f t="shared" si="9"/>
        <v>+</v>
      </c>
      <c r="H30" s="26">
        <f t="shared" si="10"/>
        <v>35336.199999999997</v>
      </c>
      <c r="I30" s="26">
        <f t="shared" si="11"/>
        <v>35891.158558431503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106.7</v>
      </c>
      <c r="E31" s="29">
        <f t="shared" si="7"/>
        <v>7.8094694391381047E-3</v>
      </c>
      <c r="F31" s="28">
        <f t="shared" si="8"/>
        <v>33.416697793548728</v>
      </c>
      <c r="G31" s="27" t="str">
        <f t="shared" si="9"/>
        <v>+</v>
      </c>
      <c r="H31" s="26">
        <f t="shared" si="10"/>
        <v>3510.43</v>
      </c>
      <c r="I31" s="26">
        <f t="shared" si="11"/>
        <v>3565.5616545716493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34.30910124869802</v>
      </c>
      <c r="D32" s="22">
        <f>SUM(D26:D31)</f>
        <v>8352.7000000000007</v>
      </c>
      <c r="E32" s="21">
        <f t="shared" si="7"/>
        <v>0.61134166245818977</v>
      </c>
      <c r="F32" s="20">
        <f>I32/D32</f>
        <v>34.847929118419671</v>
      </c>
      <c r="G32" s="19">
        <f>F32/C32-1</f>
        <v>1.5705100107864078E-2</v>
      </c>
      <c r="H32" s="18">
        <f>SUM(H26:H31)</f>
        <v>286573.63</v>
      </c>
      <c r="I32" s="18">
        <f>SUM(I26:I31)</f>
        <v>291074.29754742404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1182.7+867.3</f>
        <v>2050</v>
      </c>
      <c r="E34" s="29">
        <f t="shared" ref="E34:E40" si="13">D34/$D$48</f>
        <v>0.15004135286066647</v>
      </c>
      <c r="F34" s="28">
        <f t="shared" ref="F34:F39" si="14">C34-(C34*$E$6)</f>
        <v>20.110960982135708</v>
      </c>
      <c r="G34" s="27" t="str">
        <f t="shared" ref="G34:G39" si="15">IF(C34&gt;=F34,"-","+")</f>
        <v>+</v>
      </c>
      <c r="H34" s="26">
        <f t="shared" ref="H34:H39" si="16">C34*D34</f>
        <v>40590</v>
      </c>
      <c r="I34" s="26">
        <f t="shared" ref="I34:I39" si="17">F34*D34</f>
        <v>41227.470013378203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166.3</v>
      </c>
      <c r="E35" s="29">
        <f t="shared" si="13"/>
        <v>1.2171647307672603E-2</v>
      </c>
      <c r="F35" s="28">
        <f t="shared" si="14"/>
        <v>15.438717521639534</v>
      </c>
      <c r="G35" s="27" t="str">
        <f t="shared" si="15"/>
        <v>+</v>
      </c>
      <c r="H35" s="26">
        <f t="shared" si="16"/>
        <v>2527.7600000000002</v>
      </c>
      <c r="I35" s="26">
        <f t="shared" si="17"/>
        <v>2567.4587238486547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12.39160222131594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32.807274733484007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32.807274733484007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34.026120853613449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19.454839146324954</v>
      </c>
      <c r="D40" s="22">
        <f>SUM(D34:D39)</f>
        <v>2216.3000000000002</v>
      </c>
      <c r="E40" s="113">
        <f t="shared" si="13"/>
        <v>0.16221300016833909</v>
      </c>
      <c r="F40" s="20">
        <f>I40/D40</f>
        <v>19.760379342700382</v>
      </c>
      <c r="G40" s="19">
        <f>F40/C40-1</f>
        <v>1.57051001078643E-2</v>
      </c>
      <c r="H40" s="18">
        <f>SUM(H34:H39)</f>
        <v>43117.760000000002</v>
      </c>
      <c r="I40" s="18">
        <f>SUM(I34:I39)</f>
        <v>43794.928737226859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938+1230.7+149.5</f>
        <v>2318.1999999999998</v>
      </c>
      <c r="E42" s="107">
        <f>D42/$D$48</f>
        <v>0.1696711532690717</v>
      </c>
      <c r="F42" s="28">
        <f>C42-(C42*$E$6)</f>
        <v>0.50785255005393204</v>
      </c>
      <c r="G42" s="27" t="str">
        <f>IF(C42&gt;=F42,"-","+")</f>
        <v>+</v>
      </c>
      <c r="H42" s="26">
        <f>C42*D42</f>
        <v>1159.0999999999999</v>
      </c>
      <c r="I42" s="26">
        <f>F42*D42</f>
        <v>1177.3037815350251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69.8</v>
      </c>
      <c r="E43" s="107">
        <f>D43/$D$48</f>
        <v>5.1087250876461071E-3</v>
      </c>
      <c r="F43" s="28">
        <f>C43-(C43*$E$6)</f>
        <v>0.50785255005393204</v>
      </c>
      <c r="G43" s="27" t="str">
        <f>IF(C43&gt;=F43,"-","+")</f>
        <v>+</v>
      </c>
      <c r="H43" s="26">
        <f>C43*D43</f>
        <v>34.9</v>
      </c>
      <c r="I43" s="26">
        <f>F43*D43</f>
        <v>35.448107993764452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17.2</v>
      </c>
      <c r="E44" s="107">
        <f>D44/$D$48</f>
        <v>1.2588835459529089E-3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4.9000000000000004</v>
      </c>
      <c r="E45" s="107">
        <f>D45/$D$48</f>
        <v>3.5863542878891014E-4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0.49541512800298743</v>
      </c>
      <c r="D46" s="22">
        <f>SUM(D41:D45)</f>
        <v>2410.1</v>
      </c>
      <c r="E46" s="113">
        <f>D46/$D$48</f>
        <v>0.17639739733145965</v>
      </c>
      <c r="F46" s="20">
        <f>I46/D46</f>
        <v>0.5031956721832247</v>
      </c>
      <c r="G46" s="19">
        <f>F46/C46-1</f>
        <v>1.57051001078643E-2</v>
      </c>
      <c r="H46" s="18">
        <f>SUM(H41:H44)</f>
        <v>1194</v>
      </c>
      <c r="I46" s="18">
        <f>SUM(I41:I44)</f>
        <v>1212.7518895287897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103.26349416005434</v>
      </c>
      <c r="D48" s="13">
        <f>D24+D32+D40+D46</f>
        <v>13662.9</v>
      </c>
      <c r="E48" s="12">
        <f>SUM(E20:E46)/2</f>
        <v>1</v>
      </c>
      <c r="F48" s="11">
        <f>I48/D48</f>
        <v>27.089217577882238</v>
      </c>
      <c r="G48" s="10"/>
      <c r="H48" s="9">
        <f>SUM(H20:H46)/2</f>
        <v>364394.42000000004</v>
      </c>
      <c r="I48" s="9">
        <f>SUM(I20:I46)/2</f>
        <v>370117.2708448472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21319.000000000004</v>
      </c>
      <c r="E50" s="12">
        <f>D50/G2</f>
        <v>1.0000000000000002</v>
      </c>
      <c r="F50" s="11">
        <f>I50/D50</f>
        <v>28</v>
      </c>
      <c r="G50" s="10"/>
      <c r="H50" s="9">
        <f>H48+H19</f>
        <v>587702.08000000007</v>
      </c>
      <c r="I50" s="9">
        <f>I48+I19</f>
        <v>596932.00000000012</v>
      </c>
      <c r="J50" s="106">
        <f>D50-G2</f>
        <v>0</v>
      </c>
      <c r="K50" s="8"/>
    </row>
    <row r="51" spans="1:11" ht="23.25" x14ac:dyDescent="0.35">
      <c r="A51" s="174" t="s">
        <v>868</v>
      </c>
      <c r="B51" s="169"/>
      <c r="C51" s="170"/>
      <c r="G51" s="7"/>
      <c r="H51" s="6"/>
      <c r="I51" s="6">
        <f>+I50/D50</f>
        <v>28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864</v>
      </c>
      <c r="D1" s="100" t="s">
        <v>1</v>
      </c>
      <c r="E1" s="168" t="s">
        <v>732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864</v>
      </c>
      <c r="D2" s="96" t="s">
        <v>3</v>
      </c>
      <c r="E2" s="95" t="s">
        <v>112</v>
      </c>
      <c r="F2" s="94" t="s">
        <v>5</v>
      </c>
      <c r="G2" s="93">
        <v>2026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36</v>
      </c>
      <c r="F3" s="88" t="s">
        <v>8</v>
      </c>
      <c r="G3" s="87">
        <v>24.3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56.277777777777779</v>
      </c>
      <c r="F4" s="81" t="s">
        <v>12</v>
      </c>
      <c r="G4" s="80">
        <f>G2*G3</f>
        <v>49231.8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-0.111125906523039</v>
      </c>
      <c r="F6" s="69" t="s">
        <v>16</v>
      </c>
      <c r="G6" s="68">
        <f>(I50-I19)/(D50-(SUM(D42:D44)+D19))</f>
        <v>31.437931034482766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24.3</v>
      </c>
      <c r="D10" s="30"/>
      <c r="E10" s="29" t="e">
        <f t="shared" ref="E10:E19" si="1">D10/$D$19</f>
        <v>#DIV/0!</v>
      </c>
      <c r="F10" s="28">
        <f t="shared" ref="F10:F18" si="2">C10-(C10*$E$6)</f>
        <v>27.000359528509847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25.3</v>
      </c>
      <c r="D11" s="30"/>
      <c r="E11" s="29" t="e">
        <f t="shared" si="1"/>
        <v>#DIV/0!</v>
      </c>
      <c r="F11" s="28">
        <f t="shared" si="2"/>
        <v>28.111485435032886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23.1</v>
      </c>
      <c r="D12" s="30"/>
      <c r="E12" s="29" t="e">
        <f t="shared" si="1"/>
        <v>#DIV/0!</v>
      </c>
      <c r="F12" s="28">
        <f t="shared" si="2"/>
        <v>25.667008440682203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25.3</v>
      </c>
      <c r="D13" s="30"/>
      <c r="E13" s="29" t="e">
        <f t="shared" si="1"/>
        <v>#DIV/0!</v>
      </c>
      <c r="F13" s="28">
        <f t="shared" si="2"/>
        <v>28.111485435032886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28.3</v>
      </c>
      <c r="D14" s="30"/>
      <c r="E14" s="29" t="e">
        <f t="shared" si="1"/>
        <v>#DIV/0!</v>
      </c>
      <c r="F14" s="28">
        <f t="shared" si="2"/>
        <v>31.444863154602004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23.3</v>
      </c>
      <c r="D15" s="30"/>
      <c r="E15" s="29" t="e">
        <f t="shared" si="1"/>
        <v>#DIV/0!</v>
      </c>
      <c r="F15" s="28">
        <f t="shared" si="2"/>
        <v>25.889233621986811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31.9</v>
      </c>
      <c r="D16" s="30"/>
      <c r="E16" s="29" t="e">
        <f t="shared" si="1"/>
        <v>#DIV/0!</v>
      </c>
      <c r="F16" s="28">
        <f t="shared" si="2"/>
        <v>35.444916418084944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</v>
      </c>
      <c r="D17" s="30"/>
      <c r="E17" s="29" t="e">
        <f t="shared" si="1"/>
        <v>#DIV/0!</v>
      </c>
      <c r="F17" s="28">
        <f t="shared" si="2"/>
        <v>52.222917606582833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41.2</v>
      </c>
      <c r="D18" s="30"/>
      <c r="E18" s="29" t="e">
        <f t="shared" si="1"/>
        <v>#DIV/0!</v>
      </c>
      <c r="F18" s="28">
        <f t="shared" si="2"/>
        <v>45.778387348749206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61.1</v>
      </c>
      <c r="D21" s="30">
        <v>26.1</v>
      </c>
      <c r="E21" s="29">
        <f>D21/$D$48</f>
        <v>1.2881891318296234E-2</v>
      </c>
      <c r="F21" s="28">
        <f>C21-(C21*$E$6)</f>
        <v>67.889792888557679</v>
      </c>
      <c r="G21" s="27" t="str">
        <f>IF(C21&gt;=F21,"-","+")</f>
        <v>+</v>
      </c>
      <c r="H21" s="26">
        <f>C21*D21</f>
        <v>1594.71</v>
      </c>
      <c r="I21" s="26">
        <f>F21*D21</f>
        <v>1771.9235943913554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</v>
      </c>
      <c r="D22" s="30">
        <v>59.6</v>
      </c>
      <c r="E22" s="29">
        <f>D22/$D$48</f>
        <v>2.941611963871477E-2</v>
      </c>
      <c r="F22" s="28">
        <f>C22-(C22*$E$6)</f>
        <v>45.556162167444597</v>
      </c>
      <c r="G22" s="27" t="str">
        <f>IF(C22&gt;=F22,"-","+")</f>
        <v>+</v>
      </c>
      <c r="H22" s="26">
        <f>C22*D22</f>
        <v>2443.6</v>
      </c>
      <c r="I22" s="26">
        <f>F22*D22</f>
        <v>2715.147265179698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37.4</v>
      </c>
      <c r="D23" s="30">
        <v>43.7</v>
      </c>
      <c r="E23" s="29">
        <f>D23/$D$48</f>
        <v>2.1568530674695226E-2</v>
      </c>
      <c r="F23" s="28">
        <f>C23-(C23*$E$6)</f>
        <v>41.556108903961658</v>
      </c>
      <c r="G23" s="27" t="str">
        <f>IF(C23&gt;=F23,"-","+")</f>
        <v>+</v>
      </c>
      <c r="H23" s="26">
        <f>C23*D23</f>
        <v>1634.38</v>
      </c>
      <c r="I23" s="26">
        <f>F23*D23</f>
        <v>1816.0019591031246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43.838408037094283</v>
      </c>
      <c r="D24" s="22">
        <f>SUM(D21:D23)</f>
        <v>129.4</v>
      </c>
      <c r="E24" s="21">
        <f>D24/$D$48</f>
        <v>6.3866541631706228E-2</v>
      </c>
      <c r="F24" s="20">
        <f>I24/D24</f>
        <v>48.709990870743262</v>
      </c>
      <c r="G24" s="19">
        <f>F24/C24-1</f>
        <v>0.111125906523039</v>
      </c>
      <c r="H24" s="18">
        <f>SUM(H21:H23)</f>
        <v>5672.6900000000005</v>
      </c>
      <c r="I24" s="18">
        <f>SUM(I21:I23)</f>
        <v>6303.0728186741781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32.6</v>
      </c>
      <c r="D26" s="30">
        <v>359.2</v>
      </c>
      <c r="E26" s="29">
        <f t="shared" ref="E26:E32" si="7">D26/$D$48</f>
        <v>0.17728641231923398</v>
      </c>
      <c r="F26" s="28">
        <f t="shared" ref="F26:F31" si="8">C26-(C26*$E$6)</f>
        <v>36.222704552651074</v>
      </c>
      <c r="G26" s="27" t="str">
        <f t="shared" ref="G26:G31" si="9">IF(C26&gt;=F26,"-","+")</f>
        <v>+</v>
      </c>
      <c r="H26" s="26">
        <f t="shared" ref="H26:H31" si="10">C26*D26</f>
        <v>11709.92</v>
      </c>
      <c r="I26" s="26">
        <f t="shared" ref="I26:I31" si="11">F26*D26</f>
        <v>13011.195475312265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</v>
      </c>
      <c r="D27" s="30">
        <f>329.2-67</f>
        <v>262.2</v>
      </c>
      <c r="E27" s="29">
        <f t="shared" si="7"/>
        <v>0.12941118404817134</v>
      </c>
      <c r="F27" s="28">
        <f t="shared" si="8"/>
        <v>32.222651289168134</v>
      </c>
      <c r="G27" s="27" t="str">
        <f t="shared" si="9"/>
        <v>+</v>
      </c>
      <c r="H27" s="26">
        <f t="shared" si="10"/>
        <v>7603.7999999999993</v>
      </c>
      <c r="I27" s="26">
        <f t="shared" si="11"/>
        <v>8448.7791680198843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</v>
      </c>
      <c r="D28" s="30">
        <v>185.7</v>
      </c>
      <c r="E28" s="29">
        <f t="shared" si="7"/>
        <v>9.1653916391096185E-2</v>
      </c>
      <c r="F28" s="28">
        <f t="shared" si="8"/>
        <v>32.222651289168134</v>
      </c>
      <c r="G28" s="27" t="str">
        <f t="shared" si="9"/>
        <v>+</v>
      </c>
      <c r="H28" s="26">
        <f t="shared" si="10"/>
        <v>5385.2999999999993</v>
      </c>
      <c r="I28" s="26">
        <f t="shared" si="11"/>
        <v>5983.7463443985225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28.1</v>
      </c>
      <c r="D29" s="30">
        <v>152</v>
      </c>
      <c r="E29" s="29">
        <f t="shared" si="7"/>
        <v>7.5020976259809483E-2</v>
      </c>
      <c r="F29" s="28">
        <f t="shared" si="8"/>
        <v>31.222637973297399</v>
      </c>
      <c r="G29" s="27" t="str">
        <f t="shared" si="9"/>
        <v>+</v>
      </c>
      <c r="H29" s="26">
        <f t="shared" si="10"/>
        <v>4271.2</v>
      </c>
      <c r="I29" s="26">
        <f t="shared" si="11"/>
        <v>4745.8409719412048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28.1</v>
      </c>
      <c r="D30" s="30">
        <v>102.4</v>
      </c>
      <c r="E30" s="29">
        <f t="shared" si="7"/>
        <v>5.0540447164503233E-2</v>
      </c>
      <c r="F30" s="28">
        <f t="shared" si="8"/>
        <v>31.222637973297399</v>
      </c>
      <c r="G30" s="27" t="str">
        <f t="shared" si="9"/>
        <v>+</v>
      </c>
      <c r="H30" s="26">
        <f t="shared" si="10"/>
        <v>2877.4400000000005</v>
      </c>
      <c r="I30" s="26">
        <f t="shared" si="11"/>
        <v>3197.198128465654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28.6</v>
      </c>
      <c r="D31" s="30">
        <v>34</v>
      </c>
      <c r="E31" s="29">
        <f t="shared" si="7"/>
        <v>1.6781007847588961E-2</v>
      </c>
      <c r="F31" s="28">
        <f t="shared" si="8"/>
        <v>31.778200926558917</v>
      </c>
      <c r="G31" s="27" t="str">
        <f t="shared" si="9"/>
        <v>+</v>
      </c>
      <c r="H31" s="26">
        <f t="shared" si="10"/>
        <v>972.40000000000009</v>
      </c>
      <c r="I31" s="26">
        <f t="shared" si="11"/>
        <v>1080.4588315030032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29.958977635782752</v>
      </c>
      <c r="D32" s="22">
        <f>SUM(D26:D31)</f>
        <v>1095.5</v>
      </c>
      <c r="E32" s="21">
        <f t="shared" si="7"/>
        <v>0.54069394403040316</v>
      </c>
      <c r="F32" s="20">
        <f>I32/D32</f>
        <v>33.288196184062556</v>
      </c>
      <c r="G32" s="19">
        <f>F32/C32-1</f>
        <v>0.11112590652303878</v>
      </c>
      <c r="H32" s="18">
        <f>SUM(H26:H31)</f>
        <v>32820.060000000005</v>
      </c>
      <c r="I32" s="18">
        <f>SUM(I26:I31)</f>
        <v>36467.218919640531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17.2</v>
      </c>
      <c r="D34" s="30">
        <f>149.7+150.3</f>
        <v>300</v>
      </c>
      <c r="E34" s="29">
        <f t="shared" ref="E34:E40" si="13">D34/$D$48</f>
        <v>0.14806771630225554</v>
      </c>
      <c r="F34" s="28">
        <f t="shared" ref="F34:F39" si="14">C34-(C34*$E$6)</f>
        <v>19.111365592196272</v>
      </c>
      <c r="G34" s="27" t="str">
        <f t="shared" ref="G34:G39" si="15">IF(C34&gt;=F34,"-","+")</f>
        <v>+</v>
      </c>
      <c r="H34" s="26">
        <f t="shared" ref="H34:H39" si="16">C34*D34</f>
        <v>5160</v>
      </c>
      <c r="I34" s="26">
        <f t="shared" ref="I34:I39" si="17">F34*D34</f>
        <v>5733.4096776588813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13.2</v>
      </c>
      <c r="D35" s="30">
        <v>35.700000000000003</v>
      </c>
      <c r="E35" s="29">
        <f t="shared" si="13"/>
        <v>1.7620058239968414E-2</v>
      </c>
      <c r="F35" s="28">
        <f t="shared" si="14"/>
        <v>14.666861966104115</v>
      </c>
      <c r="G35" s="27" t="str">
        <f t="shared" si="15"/>
        <v>+</v>
      </c>
      <c r="H35" s="26">
        <f t="shared" si="16"/>
        <v>471.24</v>
      </c>
      <c r="I35" s="26">
        <f t="shared" si="17"/>
        <v>523.60697218991697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11.777934609144213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28.1</v>
      </c>
      <c r="D37" s="30"/>
      <c r="E37" s="29">
        <f t="shared" si="13"/>
        <v>0</v>
      </c>
      <c r="F37" s="28">
        <f t="shared" si="14"/>
        <v>31.222637973297399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28.1</v>
      </c>
      <c r="D38" s="30"/>
      <c r="E38" s="29">
        <f t="shared" si="13"/>
        <v>0</v>
      </c>
      <c r="F38" s="28">
        <f t="shared" si="14"/>
        <v>31.222637973297399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</v>
      </c>
      <c r="D39" s="30"/>
      <c r="E39" s="29">
        <f t="shared" si="13"/>
        <v>0</v>
      </c>
      <c r="F39" s="28">
        <f t="shared" si="14"/>
        <v>32.222651289168134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16.774620196604111</v>
      </c>
      <c r="D40" s="22">
        <f>SUM(D34:D39)</f>
        <v>335.7</v>
      </c>
      <c r="E40" s="113">
        <f t="shared" si="13"/>
        <v>0.16568777454222397</v>
      </c>
      <c r="F40" s="20">
        <f>I40/D40</f>
        <v>18.638715072531422</v>
      </c>
      <c r="G40" s="19">
        <f>F40/C40-1</f>
        <v>0.111125906523039</v>
      </c>
      <c r="H40" s="18">
        <f>SUM(H34:H39)</f>
        <v>5631.24</v>
      </c>
      <c r="I40" s="18">
        <f>SUM(I34:I39)</f>
        <v>6257.0166498487979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213+27.1+210</f>
        <v>450.1</v>
      </c>
      <c r="E42" s="107">
        <f>D42/$D$48</f>
        <v>0.22215093035881742</v>
      </c>
      <c r="F42" s="28">
        <f>C42-(C42*$E$6)</f>
        <v>0.44445036260921561</v>
      </c>
      <c r="G42" s="27" t="str">
        <f>IF(C42&gt;=F42,"-","+")</f>
        <v>+</v>
      </c>
      <c r="H42" s="26">
        <f>C42*D42</f>
        <v>180.04000000000002</v>
      </c>
      <c r="I42" s="26">
        <f>F42*D42</f>
        <v>200.04710821040797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</v>
      </c>
      <c r="E43" s="107">
        <f>D43/$D$48</f>
        <v>4.9355905434085188E-3</v>
      </c>
      <c r="F43" s="28">
        <f>C43-(C43*$E$6)</f>
        <v>0.44445036260921561</v>
      </c>
      <c r="G43" s="27" t="str">
        <f>IF(C43&gt;=F43,"-","+")</f>
        <v>+</v>
      </c>
      <c r="H43" s="26">
        <f>C43*D43</f>
        <v>4</v>
      </c>
      <c r="I43" s="26">
        <f>F43*D43</f>
        <v>4.444503626092156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2.6652188934406002E-3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0.39535982814178305</v>
      </c>
      <c r="D46" s="22">
        <f>SUM(D41:D45)</f>
        <v>465.5</v>
      </c>
      <c r="E46" s="113">
        <f>D46/$D$48</f>
        <v>0.22975173979566654</v>
      </c>
      <c r="F46" s="20">
        <f>I46/D46</f>
        <v>0.43929454744683161</v>
      </c>
      <c r="G46" s="19">
        <f>F46/C46-1</f>
        <v>0.111125906523039</v>
      </c>
      <c r="H46" s="18">
        <f>SUM(H41:H44)</f>
        <v>184.04000000000002</v>
      </c>
      <c r="I46" s="18">
        <f>SUM(I41:I44)</f>
        <v>204.49161183650011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90.96736569762291</v>
      </c>
      <c r="D48" s="13">
        <f>D24+D32+D40+D46</f>
        <v>2026.1000000000001</v>
      </c>
      <c r="E48" s="12">
        <f>SUM(E20:E46)/2</f>
        <v>0.99999999999999989</v>
      </c>
      <c r="F48" s="11">
        <f>I48/D48</f>
        <v>24.298800651497956</v>
      </c>
      <c r="G48" s="10"/>
      <c r="H48" s="9">
        <f>SUM(H20:H46)/2</f>
        <v>44308.03</v>
      </c>
      <c r="I48" s="9">
        <f>SUM(I20:I46)/2</f>
        <v>49231.80000000001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2026.1</v>
      </c>
      <c r="E50" s="12">
        <f>D50/G2</f>
        <v>1.0000493583415597</v>
      </c>
      <c r="F50" s="11">
        <f>I50/D50</f>
        <v>24.29880065149796</v>
      </c>
      <c r="G50" s="10"/>
      <c r="H50" s="9">
        <f>H48+H19</f>
        <v>44308.03</v>
      </c>
      <c r="I50" s="9">
        <f>I48+I19</f>
        <v>49231.80000000001</v>
      </c>
      <c r="J50" s="106">
        <f>D50-G2</f>
        <v>9.9999999999909051E-2</v>
      </c>
      <c r="K50" s="8"/>
    </row>
    <row r="51" spans="1:11" ht="23.25" x14ac:dyDescent="0.35">
      <c r="A51" s="174" t="s">
        <v>869</v>
      </c>
      <c r="B51" s="169"/>
      <c r="C51" s="170"/>
      <c r="G51" s="7"/>
      <c r="H51" s="6"/>
      <c r="I51" s="6">
        <f>+I50/D50</f>
        <v>24.29880065149796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870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870</v>
      </c>
      <c r="D2" s="96" t="s">
        <v>3</v>
      </c>
      <c r="E2" s="95" t="s">
        <v>112</v>
      </c>
      <c r="F2" s="94" t="s">
        <v>5</v>
      </c>
      <c r="G2" s="93">
        <v>12103.7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184</v>
      </c>
      <c r="F3" s="88" t="s">
        <v>8</v>
      </c>
      <c r="G3" s="87">
        <v>24.95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65.780978260869574</v>
      </c>
      <c r="F4" s="81" t="s">
        <v>12</v>
      </c>
      <c r="G4" s="80">
        <f>G2*G3</f>
        <v>301987.315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-6.4589732890971918E-2</v>
      </c>
      <c r="F6" s="69" t="s">
        <v>16</v>
      </c>
      <c r="G6" s="68">
        <f>(I50-I19)/(D50-(SUM(D42:D44)+D19))</f>
        <v>31.178999235979184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 t="e">
        <f t="shared" ref="E10:E19" si="1">D10/$D$19</f>
        <v>#DIV/0!</v>
      </c>
      <c r="F10" s="28">
        <f t="shared" ref="F10:F18" si="2">C10-(C10*$E$6)</f>
        <v>26.614743322274297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 t="e">
        <f t="shared" si="1"/>
        <v>#DIV/0!</v>
      </c>
      <c r="F11" s="28">
        <f t="shared" si="2"/>
        <v>27.679333055165269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23.7</v>
      </c>
      <c r="D12" s="30"/>
      <c r="E12" s="29" t="e">
        <f t="shared" si="1"/>
        <v>#DIV/0!</v>
      </c>
      <c r="F12" s="28">
        <f t="shared" si="2"/>
        <v>25.230776669516032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 t="e">
        <f t="shared" si="1"/>
        <v>#DIV/0!</v>
      </c>
      <c r="F13" s="28">
        <f t="shared" si="2"/>
        <v>27.679333055165269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</v>
      </c>
      <c r="D14" s="30"/>
      <c r="E14" s="29" t="e">
        <f t="shared" si="1"/>
        <v>#DIV/0!</v>
      </c>
      <c r="F14" s="28">
        <f t="shared" si="2"/>
        <v>30.873102253838187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 t="e">
        <f t="shared" si="1"/>
        <v>#DIV/0!</v>
      </c>
      <c r="F15" s="28">
        <f t="shared" si="2"/>
        <v>25.550153589383328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32.799999999999997</v>
      </c>
      <c r="D16" s="30"/>
      <c r="E16" s="29" t="e">
        <f t="shared" si="1"/>
        <v>#DIV/0!</v>
      </c>
      <c r="F16" s="28">
        <f t="shared" si="2"/>
        <v>34.918543238823872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48.3</v>
      </c>
      <c r="D17" s="30"/>
      <c r="E17" s="29" t="e">
        <f t="shared" si="1"/>
        <v>#DIV/0!</v>
      </c>
      <c r="F17" s="28">
        <f t="shared" si="2"/>
        <v>51.419684098633944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42.3</v>
      </c>
      <c r="D18" s="30"/>
      <c r="E18" s="29" t="e">
        <f t="shared" si="1"/>
        <v>#DIV/0!</v>
      </c>
      <c r="F18" s="28">
        <f t="shared" si="2"/>
        <v>45.032145701288108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62.7</v>
      </c>
      <c r="D21" s="30">
        <v>164.3</v>
      </c>
      <c r="E21" s="29">
        <f>D21/$D$48</f>
        <v>1.3574361558862167E-2</v>
      </c>
      <c r="F21" s="28">
        <f>C21-(C21*$E$6)</f>
        <v>66.749776252263942</v>
      </c>
      <c r="G21" s="27" t="str">
        <f>IF(C21&gt;=F21,"-","+")</f>
        <v>+</v>
      </c>
      <c r="H21" s="26">
        <f>C21*D21</f>
        <v>10301.61</v>
      </c>
      <c r="I21" s="26">
        <f>F21*D21</f>
        <v>10966.988238246966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42.1</v>
      </c>
      <c r="D22" s="30">
        <v>336.8</v>
      </c>
      <c r="E22" s="29">
        <f>D22/$D$48</f>
        <v>2.782620190520254E-2</v>
      </c>
      <c r="F22" s="28">
        <f>C22-(C22*$E$6)</f>
        <v>44.819227754709921</v>
      </c>
      <c r="G22" s="27" t="str">
        <f>IF(C22&gt;=F22,"-","+")</f>
        <v>+</v>
      </c>
      <c r="H22" s="26">
        <f>C22*D22</f>
        <v>14179.28</v>
      </c>
      <c r="I22" s="26">
        <f>F22*D22</f>
        <v>15095.115907786301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38.4</v>
      </c>
      <c r="D23" s="30">
        <v>287.2</v>
      </c>
      <c r="E23" s="29">
        <f>D23/$D$48</f>
        <v>2.3728281434602639E-2</v>
      </c>
      <c r="F23" s="28">
        <f>C23-(C23*$E$6)</f>
        <v>40.880245743013319</v>
      </c>
      <c r="G23" s="27" t="str">
        <f>IF(C23&gt;=F23,"-","+")</f>
        <v>+</v>
      </c>
      <c r="H23" s="26">
        <f>C23*D23</f>
        <v>11028.48</v>
      </c>
      <c r="I23" s="26">
        <f>F23*D23</f>
        <v>11740.806577393425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45.045502981098565</v>
      </c>
      <c r="D24" s="22">
        <f>SUM(D21:D23)</f>
        <v>788.3</v>
      </c>
      <c r="E24" s="21">
        <f>D24/$D$48</f>
        <v>6.512884489866734E-2</v>
      </c>
      <c r="F24" s="20">
        <f>I24/D24</f>
        <v>47.954979986587205</v>
      </c>
      <c r="G24" s="19">
        <f>F24/C24-1</f>
        <v>6.4589732890971918E-2</v>
      </c>
      <c r="H24" s="18">
        <f>SUM(H21:H23)</f>
        <v>35509.369999999995</v>
      </c>
      <c r="I24" s="18">
        <f>SUM(I21:I23)</f>
        <v>37802.910723426692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33.5</v>
      </c>
      <c r="D26" s="30">
        <f>247.3+265.1+198+1520.6</f>
        <v>2231</v>
      </c>
      <c r="E26" s="29">
        <f t="shared" ref="E26:E32" si="7">D26/$D$48</f>
        <v>0.18432380181266883</v>
      </c>
      <c r="F26" s="28">
        <f t="shared" ref="F26:F31" si="8">C26-(C26*$E$6)</f>
        <v>35.663756051847557</v>
      </c>
      <c r="G26" s="27" t="str">
        <f t="shared" ref="G26:G31" si="9">IF(C26&gt;=F26,"-","+")</f>
        <v>+</v>
      </c>
      <c r="H26" s="26">
        <f t="shared" ref="H26:H31" si="10">C26*D26</f>
        <v>74738.5</v>
      </c>
      <c r="I26" s="26">
        <f t="shared" ref="I26:I31" si="11">F26*D26</f>
        <v>79565.839751671898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29.8</v>
      </c>
      <c r="D27" s="30">
        <v>1849</v>
      </c>
      <c r="E27" s="29">
        <f t="shared" si="7"/>
        <v>0.1527632046399035</v>
      </c>
      <c r="F27" s="28">
        <f t="shared" si="8"/>
        <v>31.724774040150965</v>
      </c>
      <c r="G27" s="27" t="str">
        <f t="shared" si="9"/>
        <v>+</v>
      </c>
      <c r="H27" s="26">
        <f t="shared" si="10"/>
        <v>55100.200000000004</v>
      </c>
      <c r="I27" s="26">
        <f t="shared" si="11"/>
        <v>58659.107200239137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29.8</v>
      </c>
      <c r="D28" s="30">
        <v>916</v>
      </c>
      <c r="E28" s="29">
        <f t="shared" si="7"/>
        <v>7.5679337723175547E-2</v>
      </c>
      <c r="F28" s="28">
        <f t="shared" si="8"/>
        <v>31.724774040150965</v>
      </c>
      <c r="G28" s="27" t="str">
        <f t="shared" si="9"/>
        <v>+</v>
      </c>
      <c r="H28" s="26">
        <f t="shared" si="10"/>
        <v>27296.799999999999</v>
      </c>
      <c r="I28" s="26">
        <f t="shared" si="11"/>
        <v>29059.893020778283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28.8</v>
      </c>
      <c r="D29" s="30">
        <v>890</v>
      </c>
      <c r="E29" s="29">
        <f t="shared" si="7"/>
        <v>7.3531234250683669E-2</v>
      </c>
      <c r="F29" s="28">
        <f t="shared" si="8"/>
        <v>30.660184307259993</v>
      </c>
      <c r="G29" s="27" t="str">
        <f t="shared" si="9"/>
        <v>+</v>
      </c>
      <c r="H29" s="26">
        <f t="shared" si="10"/>
        <v>25632</v>
      </c>
      <c r="I29" s="26">
        <f t="shared" si="11"/>
        <v>27287.564033461393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28.8</v>
      </c>
      <c r="D30" s="30">
        <v>730.3</v>
      </c>
      <c r="E30" s="29">
        <f t="shared" si="7"/>
        <v>6.0336921767723914E-2</v>
      </c>
      <c r="F30" s="28">
        <f t="shared" si="8"/>
        <v>30.660184307259993</v>
      </c>
      <c r="G30" s="27" t="str">
        <f t="shared" si="9"/>
        <v>+</v>
      </c>
      <c r="H30" s="26">
        <f t="shared" si="10"/>
        <v>21032.639999999999</v>
      </c>
      <c r="I30" s="26">
        <f t="shared" si="11"/>
        <v>22391.132599591972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29.3</v>
      </c>
      <c r="D31" s="30">
        <v>336.9</v>
      </c>
      <c r="E31" s="29">
        <f t="shared" si="7"/>
        <v>2.7834463841635199E-2</v>
      </c>
      <c r="F31" s="28">
        <f t="shared" si="8"/>
        <v>31.192479173705479</v>
      </c>
      <c r="G31" s="27" t="str">
        <f t="shared" si="9"/>
        <v>+</v>
      </c>
      <c r="H31" s="26">
        <f t="shared" si="10"/>
        <v>9871.17</v>
      </c>
      <c r="I31" s="26">
        <f t="shared" si="11"/>
        <v>10508.746233621376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30.729924351377786</v>
      </c>
      <c r="D32" s="22">
        <f>SUM(D26:D31)</f>
        <v>6953.2</v>
      </c>
      <c r="E32" s="21">
        <f t="shared" si="7"/>
        <v>0.57446896403579062</v>
      </c>
      <c r="F32" s="20">
        <f>I32/D32</f>
        <v>32.714761956993044</v>
      </c>
      <c r="G32" s="19">
        <f>F32/C32-1</f>
        <v>6.4589732890971696E-2</v>
      </c>
      <c r="H32" s="18">
        <f>SUM(H26:H31)</f>
        <v>213671.31000000003</v>
      </c>
      <c r="I32" s="18">
        <f>SUM(I26:I31)</f>
        <v>227472.28283936405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f>789.9+991.1</f>
        <v>1781</v>
      </c>
      <c r="E34" s="29">
        <f t="shared" ref="E34:E40" si="13">D34/$D$48</f>
        <v>0.14714508786569394</v>
      </c>
      <c r="F34" s="28">
        <f t="shared" ref="F34:F39" si="14">C34-(C34*$E$6)</f>
        <v>18.736779298881107</v>
      </c>
      <c r="G34" s="27" t="str">
        <f t="shared" ref="G34:G39" si="15">IF(C34&gt;=F34,"-","+")</f>
        <v>+</v>
      </c>
      <c r="H34" s="26">
        <f t="shared" ref="H34:H39" si="16">C34*D34</f>
        <v>31345.600000000002</v>
      </c>
      <c r="I34" s="26">
        <f t="shared" ref="I34:I39" si="17">F34*D34</f>
        <v>33370.203931307253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159.69999999999999</v>
      </c>
      <c r="E35" s="29">
        <f t="shared" si="13"/>
        <v>1.3194312482959755E-2</v>
      </c>
      <c r="F35" s="28">
        <f t="shared" si="14"/>
        <v>14.478420367317218</v>
      </c>
      <c r="G35" s="27" t="str">
        <f t="shared" si="15"/>
        <v>+</v>
      </c>
      <c r="H35" s="26">
        <f t="shared" si="16"/>
        <v>2171.9199999999996</v>
      </c>
      <c r="I35" s="26">
        <f t="shared" si="17"/>
        <v>2312.2037326605596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11.604028088511594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28.8</v>
      </c>
      <c r="D37" s="30"/>
      <c r="E37" s="29">
        <f t="shared" si="13"/>
        <v>0</v>
      </c>
      <c r="F37" s="28">
        <f t="shared" si="14"/>
        <v>30.660184307259993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28.8</v>
      </c>
      <c r="D38" s="30"/>
      <c r="E38" s="29">
        <f t="shared" si="13"/>
        <v>0</v>
      </c>
      <c r="F38" s="28">
        <f t="shared" si="14"/>
        <v>30.660184307259993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29.8</v>
      </c>
      <c r="D39" s="30"/>
      <c r="E39" s="29">
        <f t="shared" si="13"/>
        <v>0</v>
      </c>
      <c r="F39" s="28">
        <f t="shared" si="14"/>
        <v>31.724774040150965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17.270840418405733</v>
      </c>
      <c r="D40" s="22">
        <f>SUM(D34:D39)</f>
        <v>1940.7</v>
      </c>
      <c r="E40" s="113">
        <f t="shared" si="13"/>
        <v>0.16033940034865371</v>
      </c>
      <c r="F40" s="20">
        <f>I40/D40</f>
        <v>18.386359387833156</v>
      </c>
      <c r="G40" s="19">
        <f>F40/C40-1</f>
        <v>6.4589732890971696E-2</v>
      </c>
      <c r="H40" s="18">
        <f>SUM(H34:H39)</f>
        <v>33517.520000000004</v>
      </c>
      <c r="I40" s="18">
        <f>SUM(I34:I39)</f>
        <v>35682.40766396781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1241.5+122.2+980</f>
        <v>2343.6999999999998</v>
      </c>
      <c r="E42" s="107">
        <f>D42/$D$48</f>
        <v>0.19363500417227786</v>
      </c>
      <c r="F42" s="28">
        <f>C42-(C42*$E$6)</f>
        <v>0.42583589315638881</v>
      </c>
      <c r="G42" s="27" t="str">
        <f>IF(C42&gt;=F42,"-","+")</f>
        <v>+</v>
      </c>
      <c r="H42" s="26">
        <f>C42*D42</f>
        <v>937.48</v>
      </c>
      <c r="I42" s="26">
        <f>F42*D42</f>
        <v>998.03158279062836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74.400000000000006</v>
      </c>
      <c r="E43" s="107">
        <f>D43/$D$48</f>
        <v>6.1468807058998485E-3</v>
      </c>
      <c r="F43" s="28">
        <f>C43-(C43*$E$6)</f>
        <v>0.42583589315638881</v>
      </c>
      <c r="G43" s="27" t="str">
        <f>IF(C43&gt;=F43,"-","+")</f>
        <v>+</v>
      </c>
      <c r="H43" s="26">
        <f>C43*D43</f>
        <v>29.760000000000005</v>
      </c>
      <c r="I43" s="26">
        <f>F43*D43</f>
        <v>31.682190450835328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3.4</v>
      </c>
      <c r="E45" s="107">
        <f>D45/$D$48</f>
        <v>2.8090583871047696E-4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0.39943836465001031</v>
      </c>
      <c r="D46" s="22">
        <f>SUM(D41:D45)</f>
        <v>2421.5</v>
      </c>
      <c r="E46" s="113">
        <f>D46/$D$48</f>
        <v>0.20006279071688821</v>
      </c>
      <c r="F46" s="20">
        <f>I46/D46</f>
        <v>0.42523798192916118</v>
      </c>
      <c r="G46" s="19">
        <f>F46/C46-1</f>
        <v>6.458973289097214E-2</v>
      </c>
      <c r="H46" s="18">
        <f>SUM(H41:H44)</f>
        <v>967.24</v>
      </c>
      <c r="I46" s="18">
        <f>SUM(I41:I44)</f>
        <v>1029.7137732414637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93.445706115532104</v>
      </c>
      <c r="D48" s="13">
        <f>D24+D32+D40+D46</f>
        <v>12103.7</v>
      </c>
      <c r="E48" s="12">
        <f>SUM(E20:E46)/2</f>
        <v>0.99999999999999978</v>
      </c>
      <c r="F48" s="11">
        <f>I48/D48</f>
        <v>24.950000000000003</v>
      </c>
      <c r="G48" s="10"/>
      <c r="H48" s="9">
        <f>SUM(H20:H46)/2</f>
        <v>283665.44</v>
      </c>
      <c r="I48" s="9">
        <f>SUM(I20:I46)/2</f>
        <v>301987.31500000006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12103.700000000003</v>
      </c>
      <c r="E50" s="12">
        <f>D50/G2</f>
        <v>1.0000000000000002</v>
      </c>
      <c r="F50" s="11">
        <f>I50/D50</f>
        <v>24.95</v>
      </c>
      <c r="G50" s="10"/>
      <c r="H50" s="9">
        <f>H48+H19</f>
        <v>283665.44</v>
      </c>
      <c r="I50" s="9">
        <f>I48+I19</f>
        <v>301987.31500000006</v>
      </c>
      <c r="J50" s="106">
        <f>D50-G2</f>
        <v>0</v>
      </c>
      <c r="K50" s="8"/>
    </row>
    <row r="51" spans="1:11" ht="23.25" x14ac:dyDescent="0.35">
      <c r="A51" s="174" t="s">
        <v>871</v>
      </c>
      <c r="B51" s="169"/>
      <c r="C51" s="170"/>
      <c r="G51" s="7"/>
      <c r="H51" s="6"/>
      <c r="I51" s="6">
        <f>+I50/D50</f>
        <v>24.95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870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870</v>
      </c>
      <c r="D2" s="96" t="s">
        <v>3</v>
      </c>
      <c r="E2" s="95" t="s">
        <v>71</v>
      </c>
      <c r="F2" s="94" t="s">
        <v>5</v>
      </c>
      <c r="G2" s="93">
        <v>10704.4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140</v>
      </c>
      <c r="F3" s="88" t="s">
        <v>8</v>
      </c>
      <c r="G3" s="87">
        <v>27.8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76.459999999999994</v>
      </c>
      <c r="F4" s="81" t="s">
        <v>12</v>
      </c>
      <c r="G4" s="80">
        <f>G2*G3</f>
        <v>297582.32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-1.9859423390846676E-3</v>
      </c>
      <c r="F6" s="69" t="s">
        <v>16</v>
      </c>
      <c r="G6" s="68">
        <f>(I50-I19)/(D50-(SUM(D42:D44)+D19))</f>
        <v>32.880053973934203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27.8</v>
      </c>
      <c r="D10" s="30"/>
      <c r="E10" s="29">
        <f t="shared" ref="E10:E19" si="1">D10/$D$19</f>
        <v>0</v>
      </c>
      <c r="F10" s="28">
        <f t="shared" ref="F10:F18" si="2">C10-(C10*$E$6)</f>
        <v>27.855209197026554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</v>
      </c>
      <c r="D11" s="30">
        <v>1052.0999999999999</v>
      </c>
      <c r="E11" s="29">
        <f t="shared" si="1"/>
        <v>0.23818795137080886</v>
      </c>
      <c r="F11" s="28">
        <f t="shared" si="2"/>
        <v>29.057592327833454</v>
      </c>
      <c r="G11" s="27" t="str">
        <f t="shared" si="3"/>
        <v>+</v>
      </c>
      <c r="H11" s="34">
        <f t="shared" si="4"/>
        <v>30510.899999999998</v>
      </c>
      <c r="I11" s="34">
        <f t="shared" si="5"/>
        <v>30571.492888113575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26.4</v>
      </c>
      <c r="D12" s="30">
        <v>1233.7</v>
      </c>
      <c r="E12" s="29">
        <f t="shared" si="1"/>
        <v>0.27930089877974235</v>
      </c>
      <c r="F12" s="28">
        <f t="shared" si="2"/>
        <v>26.452428877751835</v>
      </c>
      <c r="G12" s="27" t="str">
        <f t="shared" si="3"/>
        <v>+</v>
      </c>
      <c r="H12" s="34">
        <f t="shared" si="4"/>
        <v>32569.68</v>
      </c>
      <c r="I12" s="34">
        <f t="shared" si="5"/>
        <v>32634.361506482441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</v>
      </c>
      <c r="D13" s="30">
        <v>2131.3000000000002</v>
      </c>
      <c r="E13" s="29">
        <f t="shared" si="1"/>
        <v>0.48251114984944876</v>
      </c>
      <c r="F13" s="28">
        <f t="shared" si="2"/>
        <v>29.057592327833454</v>
      </c>
      <c r="G13" s="27" t="str">
        <f t="shared" si="3"/>
        <v>+</v>
      </c>
      <c r="H13" s="34">
        <f t="shared" si="4"/>
        <v>61807.700000000004</v>
      </c>
      <c r="I13" s="34">
        <f t="shared" si="5"/>
        <v>61930.446528311448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32.4</v>
      </c>
      <c r="D14" s="30"/>
      <c r="E14" s="29">
        <f t="shared" si="1"/>
        <v>0</v>
      </c>
      <c r="F14" s="28">
        <f t="shared" si="2"/>
        <v>32.464344531786345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26.7</v>
      </c>
      <c r="D15" s="30"/>
      <c r="E15" s="29">
        <f t="shared" si="1"/>
        <v>0</v>
      </c>
      <c r="F15" s="28">
        <f t="shared" si="2"/>
        <v>26.753024660453558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36.5</v>
      </c>
      <c r="D16" s="30"/>
      <c r="E16" s="29">
        <f t="shared" si="1"/>
        <v>0</v>
      </c>
      <c r="F16" s="28">
        <f t="shared" si="2"/>
        <v>36.572486895376592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53.8</v>
      </c>
      <c r="D17" s="30"/>
      <c r="E17" s="29">
        <f t="shared" si="1"/>
        <v>0</v>
      </c>
      <c r="F17" s="28">
        <f t="shared" si="2"/>
        <v>53.906843697842753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47.1</v>
      </c>
      <c r="D18" s="30"/>
      <c r="E18" s="29">
        <f t="shared" si="1"/>
        <v>0</v>
      </c>
      <c r="F18" s="28">
        <f t="shared" si="2"/>
        <v>47.193537884170887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28.273817663172668</v>
      </c>
      <c r="D19" s="49">
        <f>SUM(D10:D18)</f>
        <v>4417.1000000000004</v>
      </c>
      <c r="E19" s="48">
        <f t="shared" si="1"/>
        <v>1</v>
      </c>
      <c r="F19" s="47">
        <f>I19/D19</f>
        <v>28.329967834757522</v>
      </c>
      <c r="G19" s="46">
        <f>F19/C19-1</f>
        <v>1.9859423390846676E-3</v>
      </c>
      <c r="H19" s="9">
        <f>SUM(H10:H18)</f>
        <v>124888.28</v>
      </c>
      <c r="I19" s="9">
        <f>SUM(I10:I18)</f>
        <v>125136.30092290745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69.900000000000006</v>
      </c>
      <c r="D21" s="30">
        <v>113.3</v>
      </c>
      <c r="E21" s="29">
        <f>D21/$D$48</f>
        <v>1.8020453930940147E-2</v>
      </c>
      <c r="F21" s="28">
        <f>C21-(C21*$E$6)</f>
        <v>70.038817369502027</v>
      </c>
      <c r="G21" s="27" t="str">
        <f>IF(C21&gt;=F21,"-","+")</f>
        <v>+</v>
      </c>
      <c r="H21" s="26">
        <f>C21*D21</f>
        <v>7919.67</v>
      </c>
      <c r="I21" s="26">
        <f>F21*D21</f>
        <v>7935.3980079645798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</v>
      </c>
      <c r="D22" s="30">
        <v>242.8</v>
      </c>
      <c r="E22" s="29">
        <f>D22/$D$48</f>
        <v>3.8617530577513395E-2</v>
      </c>
      <c r="F22" s="28">
        <f>C22-(C22*$E$6)</f>
        <v>47.093339289936978</v>
      </c>
      <c r="G22" s="27" t="str">
        <f>IF(C22&gt;=F22,"-","+")</f>
        <v>+</v>
      </c>
      <c r="H22" s="26">
        <f>C22*D22</f>
        <v>11411.6</v>
      </c>
      <c r="I22" s="26">
        <f>F22*D22</f>
        <v>11434.262779596698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42.8</v>
      </c>
      <c r="D23" s="30">
        <v>206</v>
      </c>
      <c r="E23" s="29">
        <f>D23/$D$48</f>
        <v>3.276446169261845E-2</v>
      </c>
      <c r="F23" s="28">
        <f>C23-(C23*$E$6)</f>
        <v>42.884998332112822</v>
      </c>
      <c r="G23" s="27" t="str">
        <f>IF(C23&gt;=F23,"-","+")</f>
        <v>+</v>
      </c>
      <c r="H23" s="26">
        <f>C23*D23</f>
        <v>8816.7999999999993</v>
      </c>
      <c r="I23" s="26">
        <f>F23*D23</f>
        <v>8834.309656415242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50.076623376623374</v>
      </c>
      <c r="D24" s="22">
        <f>SUM(D21:D23)</f>
        <v>562.1</v>
      </c>
      <c r="E24" s="21">
        <f>D24/$D$48</f>
        <v>8.9402446201071989E-2</v>
      </c>
      <c r="F24" s="20">
        <f>I24/D24</f>
        <v>50.176072663185408</v>
      </c>
      <c r="G24" s="19">
        <f>F24/C24-1</f>
        <v>1.9859423390846676E-3</v>
      </c>
      <c r="H24" s="18">
        <f>SUM(H21:H23)</f>
        <v>28148.07</v>
      </c>
      <c r="I24" s="18">
        <f>SUM(I21:I23)</f>
        <v>28203.970443976519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37.299999999999997</v>
      </c>
      <c r="D26" s="30">
        <f>5+917.8+51.9</f>
        <v>974.69999999999993</v>
      </c>
      <c r="E26" s="29">
        <f t="shared" ref="E26:E32" si="7">D26/$D$48</f>
        <v>0.15502680005725825</v>
      </c>
      <c r="F26" s="28">
        <f t="shared" ref="F26:F31" si="8">C26-(C26*$E$6)</f>
        <v>37.374075649247857</v>
      </c>
      <c r="G26" s="27" t="str">
        <f t="shared" ref="G26:G31" si="9">IF(C26&gt;=F26,"-","+")</f>
        <v>+</v>
      </c>
      <c r="H26" s="26">
        <f t="shared" ref="H26:H31" si="10">C26*D26</f>
        <v>36356.31</v>
      </c>
      <c r="I26" s="26">
        <f t="shared" ref="I26:I31" si="11">F26*D26</f>
        <v>36428.511535321886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33.200000000000003</v>
      </c>
      <c r="D27" s="30">
        <v>803.9</v>
      </c>
      <c r="E27" s="29">
        <f t="shared" si="7"/>
        <v>0.12786092599366974</v>
      </c>
      <c r="F27" s="28">
        <f t="shared" si="8"/>
        <v>33.265933285657617</v>
      </c>
      <c r="G27" s="27" t="str">
        <f t="shared" si="9"/>
        <v>+</v>
      </c>
      <c r="H27" s="26">
        <f t="shared" si="10"/>
        <v>26689.480000000003</v>
      </c>
      <c r="I27" s="26">
        <f t="shared" si="11"/>
        <v>26742.483768340157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33.200000000000003</v>
      </c>
      <c r="D28" s="30">
        <v>524</v>
      </c>
      <c r="E28" s="29">
        <f t="shared" si="7"/>
        <v>8.3342611295786725E-2</v>
      </c>
      <c r="F28" s="28">
        <f t="shared" si="8"/>
        <v>33.265933285657617</v>
      </c>
      <c r="G28" s="27" t="str">
        <f t="shared" si="9"/>
        <v>+</v>
      </c>
      <c r="H28" s="26">
        <f t="shared" si="10"/>
        <v>17396.800000000003</v>
      </c>
      <c r="I28" s="26">
        <f t="shared" si="11"/>
        <v>17431.349041684593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32.1</v>
      </c>
      <c r="D29" s="30">
        <v>641.5</v>
      </c>
      <c r="E29" s="29">
        <f t="shared" si="7"/>
        <v>0.1020310785233725</v>
      </c>
      <c r="F29" s="28">
        <f t="shared" si="8"/>
        <v>32.163748749084618</v>
      </c>
      <c r="G29" s="27" t="str">
        <f t="shared" si="9"/>
        <v>+</v>
      </c>
      <c r="H29" s="26">
        <f t="shared" si="10"/>
        <v>20592.150000000001</v>
      </c>
      <c r="I29" s="26">
        <f t="shared" si="11"/>
        <v>20633.044822537784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32.1</v>
      </c>
      <c r="D30" s="30">
        <v>600.4</v>
      </c>
      <c r="E30" s="29">
        <f t="shared" si="7"/>
        <v>9.5494091263340367E-2</v>
      </c>
      <c r="F30" s="28">
        <f t="shared" si="8"/>
        <v>32.163748749084618</v>
      </c>
      <c r="G30" s="27" t="str">
        <f t="shared" si="9"/>
        <v>+</v>
      </c>
      <c r="H30" s="26">
        <f t="shared" si="10"/>
        <v>19272.84</v>
      </c>
      <c r="I30" s="26">
        <f t="shared" si="11"/>
        <v>19311.114748950404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32.700000000000003</v>
      </c>
      <c r="D31" s="30">
        <v>98.7</v>
      </c>
      <c r="E31" s="29">
        <f t="shared" si="7"/>
        <v>1.5698312471172041E-2</v>
      </c>
      <c r="F31" s="28">
        <f t="shared" si="8"/>
        <v>32.764940314488072</v>
      </c>
      <c r="G31" s="27" t="str">
        <f t="shared" si="9"/>
        <v>+</v>
      </c>
      <c r="H31" s="26">
        <f t="shared" si="10"/>
        <v>3227.4900000000002</v>
      </c>
      <c r="I31" s="26">
        <f t="shared" si="11"/>
        <v>3233.8996090399728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33.908396464646465</v>
      </c>
      <c r="D32" s="22">
        <f>SUM(D26:D31)</f>
        <v>3643.2</v>
      </c>
      <c r="E32" s="21">
        <f t="shared" si="7"/>
        <v>0.57945381960459963</v>
      </c>
      <c r="F32" s="20">
        <f>I32/D32</f>
        <v>33.975736584836078</v>
      </c>
      <c r="G32" s="19">
        <f>F32/C32-1</f>
        <v>1.9859423390846676E-3</v>
      </c>
      <c r="H32" s="18">
        <f>SUM(H26:H31)</f>
        <v>123535.06999999999</v>
      </c>
      <c r="I32" s="18">
        <f>SUM(I26:I31)</f>
        <v>123780.4035258748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19.600000000000001</v>
      </c>
      <c r="D34" s="30">
        <f>553.2+402.9</f>
        <v>956.1</v>
      </c>
      <c r="E34" s="29">
        <f t="shared" ref="E34:E40" si="13">D34/$D$48</f>
        <v>0.15206845545782766</v>
      </c>
      <c r="F34" s="28">
        <f t="shared" ref="F34:F39" si="14">C34-(C34*$E$6)</f>
        <v>19.63892446984606</v>
      </c>
      <c r="G34" s="27" t="str">
        <f t="shared" ref="G34:G39" si="15">IF(C34&gt;=F34,"-","+")</f>
        <v>+</v>
      </c>
      <c r="H34" s="26">
        <f t="shared" ref="H34:H39" si="16">C34*D34</f>
        <v>18739.560000000001</v>
      </c>
      <c r="I34" s="26">
        <f t="shared" ref="I34:I39" si="17">F34*D34</f>
        <v>18776.775685619818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15.1</v>
      </c>
      <c r="D35" s="30">
        <v>77.3</v>
      </c>
      <c r="E35" s="29">
        <f t="shared" si="13"/>
        <v>1.2294625673977698E-2</v>
      </c>
      <c r="F35" s="28">
        <f t="shared" si="14"/>
        <v>15.129987729320177</v>
      </c>
      <c r="G35" s="27" t="str">
        <f t="shared" si="15"/>
        <v>+</v>
      </c>
      <c r="H35" s="26">
        <f t="shared" si="16"/>
        <v>1167.23</v>
      </c>
      <c r="I35" s="26">
        <f t="shared" si="17"/>
        <v>1169.5480514764497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12.1</v>
      </c>
      <c r="D36" s="30"/>
      <c r="E36" s="29">
        <f t="shared" si="13"/>
        <v>0</v>
      </c>
      <c r="F36" s="28">
        <f t="shared" si="14"/>
        <v>12.124029902302924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32.1</v>
      </c>
      <c r="D37" s="30"/>
      <c r="E37" s="29">
        <f t="shared" si="13"/>
        <v>0</v>
      </c>
      <c r="F37" s="28">
        <f t="shared" si="14"/>
        <v>32.163748749084618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32.1</v>
      </c>
      <c r="D38" s="30"/>
      <c r="E38" s="29">
        <f t="shared" si="13"/>
        <v>0</v>
      </c>
      <c r="F38" s="28">
        <f t="shared" si="14"/>
        <v>32.163748749084618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33.200000000000003</v>
      </c>
      <c r="D39" s="30"/>
      <c r="E39" s="29">
        <f t="shared" si="13"/>
        <v>0</v>
      </c>
      <c r="F39" s="28">
        <f t="shared" si="14"/>
        <v>33.265933285657617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19.263392684342946</v>
      </c>
      <c r="D40" s="22">
        <f>SUM(D34:D39)</f>
        <v>1033.4000000000001</v>
      </c>
      <c r="E40" s="113">
        <f t="shared" si="13"/>
        <v>0.16436308113180537</v>
      </c>
      <c r="F40" s="20">
        <f>I40/D40</f>
        <v>19.301648671469195</v>
      </c>
      <c r="G40" s="19">
        <f>F40/C40-1</f>
        <v>1.9859423390846676E-3</v>
      </c>
      <c r="H40" s="18">
        <f>SUM(H34:H39)</f>
        <v>19906.79</v>
      </c>
      <c r="I40" s="18">
        <f>SUM(I34:I39)</f>
        <v>19946.323737096267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564.8+82.8+350</f>
        <v>997.59999999999991</v>
      </c>
      <c r="E42" s="107">
        <f>D42/$D$48</f>
        <v>0.15866906303182601</v>
      </c>
      <c r="F42" s="28">
        <f>C42-(C42*$E$6)</f>
        <v>0.50099297116954233</v>
      </c>
      <c r="G42" s="27" t="str">
        <f>IF(C42&gt;=F42,"-","+")</f>
        <v>+</v>
      </c>
      <c r="H42" s="26">
        <f>C42*D42</f>
        <v>498.79999999999995</v>
      </c>
      <c r="I42" s="26">
        <f>F42*D42</f>
        <v>499.79058803873539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31</v>
      </c>
      <c r="E43" s="107">
        <f>D43/$D$48</f>
        <v>4.9305743323843293E-3</v>
      </c>
      <c r="F43" s="28">
        <f>C43-(C43*$E$6)</f>
        <v>0.50099297116954233</v>
      </c>
      <c r="G43" s="27" t="str">
        <f>IF(C43&gt;=F43,"-","+")</f>
        <v>+</v>
      </c>
      <c r="H43" s="26">
        <f>C43*D43</f>
        <v>15.5</v>
      </c>
      <c r="I43" s="26">
        <f>F43*D43</f>
        <v>15.530782106255812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</v>
      </c>
      <c r="E44" s="107">
        <f>D44/$D$48</f>
        <v>2.2267109888187294E-3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9.5430470949374121E-4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0.49046347510967003</v>
      </c>
      <c r="D46" s="22">
        <f>SUM(D41:D45)</f>
        <v>1048.5999999999999</v>
      </c>
      <c r="E46" s="113">
        <f>D46/$D$48</f>
        <v>0.16678065306252282</v>
      </c>
      <c r="F46" s="20">
        <f>I46/D46</f>
        <v>0.49143750729066493</v>
      </c>
      <c r="G46" s="19">
        <f>F46/C46-1</f>
        <v>1.9859423390846676E-3</v>
      </c>
      <c r="H46" s="18">
        <f>SUM(H41:H44)</f>
        <v>514.29999999999995</v>
      </c>
      <c r="I46" s="18">
        <f>SUM(I41:I44)</f>
        <v>515.32137014499119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103.73887600072244</v>
      </c>
      <c r="D48" s="13">
        <f>D24+D32+D40+D46</f>
        <v>6287.3000000000011</v>
      </c>
      <c r="E48" s="12">
        <f>SUM(E20:E46)/2</f>
        <v>0.99999999999999989</v>
      </c>
      <c r="F48" s="11">
        <f>I48/D48</f>
        <v>27.427674689786169</v>
      </c>
      <c r="G48" s="10"/>
      <c r="H48" s="9">
        <f>SUM(H20:H46)/2</f>
        <v>172104.22999999995</v>
      </c>
      <c r="I48" s="9">
        <f>SUM(I20:I46)/2</f>
        <v>172446.01907709261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10704.399999999998</v>
      </c>
      <c r="E50" s="12">
        <f>D50/G2</f>
        <v>0.99999999999999978</v>
      </c>
      <c r="F50" s="11">
        <f>I50/D50</f>
        <v>27.800000000000011</v>
      </c>
      <c r="G50" s="10"/>
      <c r="H50" s="9">
        <f>H48+H19</f>
        <v>296992.50999999995</v>
      </c>
      <c r="I50" s="9">
        <f>I48+I19</f>
        <v>297582.32000000007</v>
      </c>
      <c r="J50" s="106">
        <f>D50-G2</f>
        <v>0</v>
      </c>
      <c r="K50" s="8"/>
    </row>
    <row r="51" spans="1:11" ht="23.25" x14ac:dyDescent="0.35">
      <c r="A51" s="174" t="s">
        <v>872</v>
      </c>
      <c r="B51" s="169"/>
      <c r="C51" s="170"/>
      <c r="G51" s="7"/>
      <c r="H51" s="6"/>
      <c r="I51" s="6">
        <f>+I50/D50</f>
        <v>27.800000000000011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873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873</v>
      </c>
      <c r="D2" s="96" t="s">
        <v>3</v>
      </c>
      <c r="E2" s="95" t="s">
        <v>71</v>
      </c>
      <c r="F2" s="94" t="s">
        <v>5</v>
      </c>
      <c r="G2" s="116">
        <v>16242.3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186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87.324193548387086</v>
      </c>
      <c r="F4" s="81" t="s">
        <v>12</v>
      </c>
      <c r="G4" s="80">
        <f>G2*G3</f>
        <v>454784.39999999997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8.8431800974597685E-4</v>
      </c>
      <c r="F6" s="69" t="s">
        <v>16</v>
      </c>
      <c r="G6" s="68">
        <f>(I50-I19)/(D50-(SUM(D42:D44)+D19))</f>
        <v>33.309485618861366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 t="e">
        <f t="shared" ref="E10:E19" si="1">D10/$D$19</f>
        <v>#DIV/0!</v>
      </c>
      <c r="F10" s="28">
        <f t="shared" ref="F10:F18" si="2">C10-(C10*$E$6)</f>
        <v>27.975239095727112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 t="e">
        <f t="shared" si="1"/>
        <v>#DIV/0!</v>
      </c>
      <c r="F11" s="28">
        <f t="shared" si="2"/>
        <v>29.174177914115418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 t="e">
        <f t="shared" si="1"/>
        <v>#DIV/0!</v>
      </c>
      <c r="F12" s="28">
        <f t="shared" si="2"/>
        <v>26.57647714094076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 t="e">
        <f t="shared" si="1"/>
        <v>#DIV/0!</v>
      </c>
      <c r="F13" s="28">
        <f t="shared" si="2"/>
        <v>29.174177914115418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 t="e">
        <f t="shared" si="1"/>
        <v>#DIV/0!</v>
      </c>
      <c r="F14" s="28">
        <f t="shared" si="2"/>
        <v>32.571171232882286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 t="e">
        <f t="shared" si="1"/>
        <v>#DIV/0!</v>
      </c>
      <c r="F15" s="28">
        <f t="shared" si="2"/>
        <v>26.876211845537831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 t="e">
        <f t="shared" si="1"/>
        <v>#DIV/0!</v>
      </c>
      <c r="F16" s="28">
        <f t="shared" si="2"/>
        <v>36.767457097241348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 t="e">
        <f t="shared" si="1"/>
        <v>#DIV/0!</v>
      </c>
      <c r="F17" s="28">
        <f t="shared" si="2"/>
        <v>54.152069963871774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 t="e">
        <f t="shared" si="1"/>
        <v>#DIV/0!</v>
      </c>
      <c r="F18" s="28">
        <f t="shared" si="2"/>
        <v>47.35808332633804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209.5</v>
      </c>
      <c r="E21" s="29">
        <f>D21/$D$48</f>
        <v>1.2898419558806327E-2</v>
      </c>
      <c r="F21" s="28">
        <f>C21-(C21*$E$6)</f>
        <v>70.337744012113887</v>
      </c>
      <c r="G21" s="27" t="str">
        <f>IF(C21&gt;=F21,"-","+")</f>
        <v>-</v>
      </c>
      <c r="H21" s="26">
        <f>C21*D21</f>
        <v>14748.800000000001</v>
      </c>
      <c r="I21" s="26">
        <f>F21*D21</f>
        <v>14735.75737053786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513.29999999999995</v>
      </c>
      <c r="E22" s="29">
        <f>D22/$D$48</f>
        <v>3.1602667109953637E-2</v>
      </c>
      <c r="F22" s="28">
        <f>C22-(C22*$E$6)</f>
        <v>47.258171758139014</v>
      </c>
      <c r="G22" s="27" t="str">
        <f>IF(C22&gt;=F22,"-","+")</f>
        <v>-</v>
      </c>
      <c r="H22" s="26">
        <f>C22*D22</f>
        <v>24279.089999999997</v>
      </c>
      <c r="I22" s="26">
        <f>F22*D22</f>
        <v>24257.619563452754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415.8</v>
      </c>
      <c r="E23" s="29">
        <f>D23/$D$48</f>
        <v>2.5599822685210841E-2</v>
      </c>
      <c r="F23" s="28">
        <f>C23-(C23*$E$6)</f>
        <v>43.061885893779952</v>
      </c>
      <c r="G23" s="27" t="str">
        <f>IF(C23&gt;=F23,"-","+")</f>
        <v>-</v>
      </c>
      <c r="H23" s="26">
        <f>C23*D23</f>
        <v>17920.98</v>
      </c>
      <c r="I23" s="26">
        <f>F23*D23</f>
        <v>17905.132154633706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50.016572984366768</v>
      </c>
      <c r="D24" s="22">
        <f>SUM(D21:D23)</f>
        <v>1138.5999999999999</v>
      </c>
      <c r="E24" s="21">
        <f>D24/$D$48</f>
        <v>7.01009093539708E-2</v>
      </c>
      <c r="F24" s="20">
        <f>I24/D24</f>
        <v>49.972342428090926</v>
      </c>
      <c r="G24" s="19">
        <f>F24/C24-1</f>
        <v>-8.8431800974586583E-4</v>
      </c>
      <c r="H24" s="18">
        <f>SUM(H21:H23)</f>
        <v>56948.869999999995</v>
      </c>
      <c r="I24" s="18">
        <f>SUM(I21:I23)</f>
        <v>56898.50908862432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v>3168.1</v>
      </c>
      <c r="E26" s="29">
        <f t="shared" ref="E26:E32" si="7">D26/$D$48</f>
        <v>0.19505242484130941</v>
      </c>
      <c r="F26" s="28">
        <f t="shared" ref="F26:F31" si="8">C26-(C26*$E$6)</f>
        <v>37.56674964283355</v>
      </c>
      <c r="G26" s="27" t="str">
        <f t="shared" ref="G26:G31" si="9">IF(C26&gt;=F26,"-","+")</f>
        <v>-</v>
      </c>
      <c r="H26" s="26">
        <f t="shared" ref="H26:H31" si="10">C26*D26</f>
        <v>119120.56</v>
      </c>
      <c r="I26" s="26">
        <f t="shared" ref="I26:I31" si="11">F26*D26</f>
        <v>119015.21954346096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2547</v>
      </c>
      <c r="E27" s="29">
        <f t="shared" si="7"/>
        <v>0.15681276666481964</v>
      </c>
      <c r="F27" s="28">
        <f t="shared" si="8"/>
        <v>33.470375346673507</v>
      </c>
      <c r="G27" s="27" t="str">
        <f t="shared" si="9"/>
        <v>-</v>
      </c>
      <c r="H27" s="26">
        <f t="shared" si="10"/>
        <v>85324.5</v>
      </c>
      <c r="I27" s="26">
        <f t="shared" si="11"/>
        <v>85249.04600797742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1572.8</v>
      </c>
      <c r="E28" s="29">
        <f t="shared" si="7"/>
        <v>9.6833576525492085E-2</v>
      </c>
      <c r="F28" s="28">
        <f t="shared" si="8"/>
        <v>33.470375346673507</v>
      </c>
      <c r="G28" s="27" t="str">
        <f t="shared" si="9"/>
        <v>-</v>
      </c>
      <c r="H28" s="26">
        <f t="shared" si="10"/>
        <v>52688.799999999996</v>
      </c>
      <c r="I28" s="26">
        <f t="shared" si="11"/>
        <v>52642.206345248087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1336.4</v>
      </c>
      <c r="E29" s="29">
        <f t="shared" si="7"/>
        <v>8.2278987581808002E-2</v>
      </c>
      <c r="F29" s="28">
        <f t="shared" si="8"/>
        <v>32.2714365282852</v>
      </c>
      <c r="G29" s="27" t="str">
        <f t="shared" si="9"/>
        <v>-</v>
      </c>
      <c r="H29" s="26">
        <f t="shared" si="10"/>
        <v>43165.72</v>
      </c>
      <c r="I29" s="26">
        <f t="shared" si="11"/>
        <v>43127.547776400344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1090.8</v>
      </c>
      <c r="E30" s="29">
        <f t="shared" si="7"/>
        <v>6.7157976394968691E-2</v>
      </c>
      <c r="F30" s="28">
        <f t="shared" si="8"/>
        <v>32.2714365282852</v>
      </c>
      <c r="G30" s="27" t="str">
        <f t="shared" si="9"/>
        <v>-</v>
      </c>
      <c r="H30" s="26">
        <f t="shared" si="10"/>
        <v>35232.839999999997</v>
      </c>
      <c r="I30" s="26">
        <f t="shared" si="11"/>
        <v>35201.682965053493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460.8</v>
      </c>
      <c r="E31" s="29">
        <f t="shared" si="7"/>
        <v>2.8370366265861365E-2</v>
      </c>
      <c r="F31" s="28">
        <f t="shared" si="8"/>
        <v>32.870905937479357</v>
      </c>
      <c r="G31" s="27" t="str">
        <f t="shared" si="9"/>
        <v>-</v>
      </c>
      <c r="H31" s="26">
        <f t="shared" si="10"/>
        <v>15160.32</v>
      </c>
      <c r="I31" s="26">
        <f t="shared" si="11"/>
        <v>15146.913455990489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34.463068622922783</v>
      </c>
      <c r="D32" s="22">
        <f>SUM(D26:D31)</f>
        <v>10175.9</v>
      </c>
      <c r="E32" s="21">
        <f t="shared" si="7"/>
        <v>0.62650609827425918</v>
      </c>
      <c r="F32" s="20">
        <f>I32/D32</f>
        <v>34.432592310668426</v>
      </c>
      <c r="G32" s="19">
        <f>F32/C32-1</f>
        <v>-8.8431800974586583E-4</v>
      </c>
      <c r="H32" s="18">
        <f>SUM(H26:H31)</f>
        <v>350692.73999999993</v>
      </c>
      <c r="I32" s="18">
        <f>SUM(I26:I31)</f>
        <v>350382.61609413079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v>2335.9</v>
      </c>
      <c r="E34" s="29">
        <f t="shared" ref="E34:E40" si="13">D34/$D$48</f>
        <v>0.14381583888981242</v>
      </c>
      <c r="F34" s="28">
        <f t="shared" ref="F34:F39" si="14">C34-(C34*$E$6)</f>
        <v>19.782490503407029</v>
      </c>
      <c r="G34" s="27" t="str">
        <f t="shared" ref="G34:G39" si="15">IF(C34&gt;=F34,"-","+")</f>
        <v>-</v>
      </c>
      <c r="H34" s="26">
        <f t="shared" ref="H34:H39" si="16">C34*D34</f>
        <v>46250.820000000007</v>
      </c>
      <c r="I34" s="26">
        <f t="shared" ref="I34:I39" si="17">F34*D34</f>
        <v>46209.91956690848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/>
      <c r="E35" s="29">
        <f t="shared" si="13"/>
        <v>0</v>
      </c>
      <c r="F35" s="28">
        <f t="shared" si="14"/>
        <v>15.186558366251861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12.189211320281098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32.2714365282852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32.2714365282852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33.470375346673507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</v>
      </c>
      <c r="D40" s="22">
        <f>SUM(D34:D39)</f>
        <v>2335.9</v>
      </c>
      <c r="E40" s="113">
        <f t="shared" si="13"/>
        <v>0.14381583888981242</v>
      </c>
      <c r="F40" s="20">
        <f>I40/D40</f>
        <v>19.782490503407029</v>
      </c>
      <c r="G40" s="19">
        <f>F40/C40-1</f>
        <v>-8.8431800974608787E-4</v>
      </c>
      <c r="H40" s="18">
        <f>SUM(H34:H39)</f>
        <v>46250.820000000007</v>
      </c>
      <c r="I40" s="18">
        <f>SUM(I34:I39)</f>
        <v>46209.91956690848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2432</v>
      </c>
      <c r="E42" s="107">
        <f>D42/$D$48</f>
        <v>0.14973248862537941</v>
      </c>
      <c r="F42" s="28">
        <f>C42-(C42*$E$6)</f>
        <v>0.49955784099512701</v>
      </c>
      <c r="G42" s="27" t="str">
        <f>IF(C42&gt;=F42,"-","+")</f>
        <v>-</v>
      </c>
      <c r="H42" s="26">
        <f>C42*D42</f>
        <v>1216</v>
      </c>
      <c r="I42" s="26">
        <f>F42*D42</f>
        <v>1214.9246693001489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157</v>
      </c>
      <c r="E43" s="107">
        <f>D43/$D$48</f>
        <v>9.6661187147140497E-3</v>
      </c>
      <c r="F43" s="28">
        <f>C43-(C43*$E$6)</f>
        <v>0.49955784099512701</v>
      </c>
      <c r="G43" s="27" t="str">
        <f>IF(C43&gt;=F43,"-","+")</f>
        <v>-</v>
      </c>
      <c r="H43" s="26">
        <f>C43*D43</f>
        <v>78.5</v>
      </c>
      <c r="I43" s="26">
        <f>F43*D43</f>
        <v>78.43058103623494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2.9</v>
      </c>
      <c r="E45" s="107">
        <f>D45/$D$48</f>
        <v>1.7854614186414486E-4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0.49944056483660632</v>
      </c>
      <c r="D46" s="22">
        <f>SUM(D41:D45)</f>
        <v>2591.9</v>
      </c>
      <c r="E46" s="113">
        <f>D46/$D$48</f>
        <v>0.15957715348195761</v>
      </c>
      <c r="F46" s="20">
        <f>I46/D46</f>
        <v>0.49899890055032364</v>
      </c>
      <c r="G46" s="19">
        <f>F46/C46-1</f>
        <v>-8.8431800974586583E-4</v>
      </c>
      <c r="H46" s="18">
        <f>SUM(H41:H44)</f>
        <v>1294.5</v>
      </c>
      <c r="I46" s="18">
        <f>SUM(I41:I44)</f>
        <v>1293.355250336384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104.77908217212615</v>
      </c>
      <c r="D48" s="13">
        <f>D24+D32+D40+D46</f>
        <v>16242.3</v>
      </c>
      <c r="E48" s="12">
        <f>SUM(E20:E46)/2</f>
        <v>1</v>
      </c>
      <c r="F48" s="11">
        <f>I48/D48</f>
        <v>28</v>
      </c>
      <c r="G48" s="10"/>
      <c r="H48" s="9">
        <f>SUM(H20:H46)/2</f>
        <v>455186.92999999993</v>
      </c>
      <c r="I48" s="9">
        <f>SUM(I20:I46)/2</f>
        <v>454784.39999999997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16242.300000000001</v>
      </c>
      <c r="E50" s="12">
        <f>D50/G2</f>
        <v>1.0000000000000002</v>
      </c>
      <c r="F50" s="11">
        <f>I50/D50</f>
        <v>27.999999999999996</v>
      </c>
      <c r="G50" s="10"/>
      <c r="H50" s="9">
        <f>H48+H19</f>
        <v>455186.92999999993</v>
      </c>
      <c r="I50" s="9">
        <f>I48+I19</f>
        <v>454784.39999999997</v>
      </c>
      <c r="J50" s="106">
        <f>D50-G2</f>
        <v>0</v>
      </c>
      <c r="K50" s="8"/>
    </row>
    <row r="51" spans="1:11" ht="23.25" x14ac:dyDescent="0.35">
      <c r="A51" s="174" t="s">
        <v>874</v>
      </c>
      <c r="B51" s="169"/>
      <c r="C51" s="170"/>
      <c r="G51" s="7"/>
      <c r="H51" s="6"/>
      <c r="I51" s="6">
        <f>+I50/D50</f>
        <v>27.999999999999996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873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873</v>
      </c>
      <c r="D2" s="96" t="s">
        <v>3</v>
      </c>
      <c r="E2" s="95" t="s">
        <v>71</v>
      </c>
      <c r="F2" s="94" t="s">
        <v>5</v>
      </c>
      <c r="G2" s="116">
        <v>5797.5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62</v>
      </c>
      <c r="F3" s="88" t="s">
        <v>8</v>
      </c>
      <c r="G3" s="87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93.508064516129039</v>
      </c>
      <c r="F4" s="81" t="s">
        <v>12</v>
      </c>
      <c r="G4" s="80">
        <f>G2*G3</f>
        <v>162330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-3.2015558801439248E-3</v>
      </c>
      <c r="F6" s="69" t="s">
        <v>16</v>
      </c>
      <c r="G6" s="68">
        <f>(I50-I19)/(D50-(SUM(D42:D44)+D19))</f>
        <v>33.302693156824489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28.089643564644028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/>
      <c r="E11" s="29">
        <f t="shared" si="1"/>
        <v>0</v>
      </c>
      <c r="F11" s="28">
        <f t="shared" si="2"/>
        <v>29.293485431700201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/>
      <c r="E12" s="29">
        <f t="shared" si="1"/>
        <v>0</v>
      </c>
      <c r="F12" s="28">
        <f t="shared" si="2"/>
        <v>26.685161386411831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/>
      <c r="E13" s="29">
        <f t="shared" si="1"/>
        <v>0</v>
      </c>
      <c r="F13" s="28">
        <f t="shared" si="2"/>
        <v>29.293485431700201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/>
      <c r="E14" s="29">
        <f t="shared" si="1"/>
        <v>0</v>
      </c>
      <c r="F14" s="28">
        <f t="shared" si="2"/>
        <v>32.70437072169269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>
        <v>180</v>
      </c>
      <c r="E15" s="29">
        <f t="shared" si="1"/>
        <v>0.90452261306532666</v>
      </c>
      <c r="F15" s="28">
        <f t="shared" si="2"/>
        <v>26.98612185317587</v>
      </c>
      <c r="G15" s="27" t="str">
        <f t="shared" si="3"/>
        <v>+</v>
      </c>
      <c r="H15" s="34">
        <f t="shared" si="4"/>
        <v>4842</v>
      </c>
      <c r="I15" s="34">
        <f t="shared" si="5"/>
        <v>4857.501933571657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36.917817256389291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>
        <v>19</v>
      </c>
      <c r="E17" s="29">
        <f t="shared" si="1"/>
        <v>9.5477386934673364E-2</v>
      </c>
      <c r="F17" s="28">
        <f t="shared" si="2"/>
        <v>54.373524328703802</v>
      </c>
      <c r="G17" s="27" t="str">
        <f t="shared" si="3"/>
        <v>+</v>
      </c>
      <c r="H17" s="34">
        <f t="shared" si="4"/>
        <v>1029.8</v>
      </c>
      <c r="I17" s="34">
        <f t="shared" si="5"/>
        <v>1033.0969622453722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47.551753748718824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29.506532663316584</v>
      </c>
      <c r="D19" s="49">
        <f>SUM(D10:D18)</f>
        <v>199</v>
      </c>
      <c r="E19" s="48">
        <f t="shared" si="1"/>
        <v>1</v>
      </c>
      <c r="F19" s="47">
        <f>I19/D19</f>
        <v>29.600999476467482</v>
      </c>
      <c r="G19" s="46">
        <f>F19/C19-1</f>
        <v>3.2015558801439248E-3</v>
      </c>
      <c r="H19" s="9">
        <f>SUM(H10:H18)</f>
        <v>5871.8</v>
      </c>
      <c r="I19" s="9">
        <f>SUM(I10:I18)</f>
        <v>5890.5988958170292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80.3</v>
      </c>
      <c r="E21" s="29">
        <f>D21/$D$48</f>
        <v>1.4343127623470569E-2</v>
      </c>
      <c r="F21" s="28">
        <f>C21-(C21*$E$6)</f>
        <v>70.625389533962135</v>
      </c>
      <c r="G21" s="27" t="str">
        <f>IF(C21&gt;=F21,"-","+")</f>
        <v>+</v>
      </c>
      <c r="H21" s="26">
        <f>C21*D21</f>
        <v>5653.12</v>
      </c>
      <c r="I21" s="26">
        <f>F21*D21</f>
        <v>5671.2187795771597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205.7</v>
      </c>
      <c r="E22" s="29">
        <f>D22/$D$48</f>
        <v>3.6741984460123236E-2</v>
      </c>
      <c r="F22" s="28">
        <f>C22-(C22*$E$6)</f>
        <v>47.451433593130808</v>
      </c>
      <c r="G22" s="27" t="str">
        <f>IF(C22&gt;=F22,"-","+")</f>
        <v>+</v>
      </c>
      <c r="H22" s="26">
        <f>C22*D22</f>
        <v>9729.6099999999988</v>
      </c>
      <c r="I22" s="26">
        <f>F22*D22</f>
        <v>9760.7598901070069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150.80000000000001</v>
      </c>
      <c r="E23" s="29">
        <f>D23/$D$48</f>
        <v>2.6935786371349465E-2</v>
      </c>
      <c r="F23" s="28">
        <f>C23-(C23*$E$6)</f>
        <v>43.237987058434207</v>
      </c>
      <c r="G23" s="27" t="str">
        <f>IF(C23&gt;=F23,"-","+")</f>
        <v>+</v>
      </c>
      <c r="H23" s="26">
        <f>C23*D23</f>
        <v>6499.4800000000005</v>
      </c>
      <c r="I23" s="26">
        <f>F23*D23</f>
        <v>6520.2884484118786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50.096634615384609</v>
      </c>
      <c r="D24" s="22">
        <f>SUM(D21:D23)</f>
        <v>436.8</v>
      </c>
      <c r="E24" s="21">
        <f>D24/$D$48</f>
        <v>7.8020898454943283E-2</v>
      </c>
      <c r="F24" s="20">
        <f>I24/D24</f>
        <v>50.257021790512923</v>
      </c>
      <c r="G24" s="19">
        <f>F24/C24-1</f>
        <v>3.2015558801441468E-3</v>
      </c>
      <c r="H24" s="18">
        <f>SUM(H21:H23)</f>
        <v>21882.21</v>
      </c>
      <c r="I24" s="18">
        <f>SUM(I21:I23)</f>
        <v>21952.267118096046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288+87.2+744.6</f>
        <v>1119.8</v>
      </c>
      <c r="E26" s="29">
        <f t="shared" ref="E26:E32" si="7">D26/$D$48</f>
        <v>0.20001786192730192</v>
      </c>
      <c r="F26" s="28">
        <f t="shared" ref="F26:F31" si="8">C26-(C26*$E$6)</f>
        <v>37.720378501093414</v>
      </c>
      <c r="G26" s="27" t="str">
        <f t="shared" ref="G26:G31" si="9">IF(C26&gt;=F26,"-","+")</f>
        <v>+</v>
      </c>
      <c r="H26" s="26">
        <f t="shared" ref="H26:H31" si="10">C26*D26</f>
        <v>42104.480000000003</v>
      </c>
      <c r="I26" s="26">
        <f t="shared" ref="I26:I31" si="11">F26*D26</f>
        <v>42239.279845524405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852.2</v>
      </c>
      <c r="E27" s="29">
        <f t="shared" si="7"/>
        <v>0.15221934446726801</v>
      </c>
      <c r="F27" s="28">
        <f t="shared" si="8"/>
        <v>33.607252121984821</v>
      </c>
      <c r="G27" s="27" t="str">
        <f t="shared" si="9"/>
        <v>+</v>
      </c>
      <c r="H27" s="26">
        <f t="shared" si="10"/>
        <v>28548.7</v>
      </c>
      <c r="I27" s="26">
        <f t="shared" si="11"/>
        <v>28640.100258355465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f>499.3+50</f>
        <v>549.29999999999995</v>
      </c>
      <c r="E28" s="29">
        <f t="shared" si="7"/>
        <v>9.8115566669643633E-2</v>
      </c>
      <c r="F28" s="28">
        <f t="shared" si="8"/>
        <v>33.607252121984821</v>
      </c>
      <c r="G28" s="27" t="str">
        <f t="shared" si="9"/>
        <v>+</v>
      </c>
      <c r="H28" s="26">
        <f t="shared" si="10"/>
        <v>18401.55</v>
      </c>
      <c r="I28" s="26">
        <f t="shared" si="11"/>
        <v>18460.463590606261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349.9</v>
      </c>
      <c r="E29" s="29">
        <f t="shared" si="7"/>
        <v>6.2498883629543617E-2</v>
      </c>
      <c r="F29" s="28">
        <f t="shared" si="8"/>
        <v>32.403410254928644</v>
      </c>
      <c r="G29" s="27" t="str">
        <f t="shared" si="9"/>
        <v>+</v>
      </c>
      <c r="H29" s="26">
        <f t="shared" si="10"/>
        <v>11301.769999999999</v>
      </c>
      <c r="I29" s="26">
        <f t="shared" si="11"/>
        <v>11337.953248199532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395.4</v>
      </c>
      <c r="E30" s="29">
        <f t="shared" si="7"/>
        <v>7.0626060551933545E-2</v>
      </c>
      <c r="F30" s="28">
        <f t="shared" si="8"/>
        <v>32.403410254928644</v>
      </c>
      <c r="G30" s="27" t="str">
        <f t="shared" si="9"/>
        <v>+</v>
      </c>
      <c r="H30" s="26">
        <f t="shared" si="10"/>
        <v>12771.419999999998</v>
      </c>
      <c r="I30" s="26">
        <f t="shared" si="11"/>
        <v>12812.308414798785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88.2</v>
      </c>
      <c r="E31" s="29">
        <f t="shared" si="7"/>
        <v>1.5754219880325084E-2</v>
      </c>
      <c r="F31" s="28">
        <f t="shared" si="8"/>
        <v>33.005331188456736</v>
      </c>
      <c r="G31" s="27" t="str">
        <f t="shared" si="9"/>
        <v>+</v>
      </c>
      <c r="H31" s="26">
        <f t="shared" si="10"/>
        <v>2901.7799999999997</v>
      </c>
      <c r="I31" s="26">
        <f t="shared" si="11"/>
        <v>2911.0702108218843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34.586175032788844</v>
      </c>
      <c r="D32" s="22">
        <f>SUM(D26:D31)</f>
        <v>3354.8</v>
      </c>
      <c r="E32" s="21">
        <f t="shared" si="7"/>
        <v>0.59923193712601586</v>
      </c>
      <c r="F32" s="20">
        <f>I32/D32</f>
        <v>34.696904604836746</v>
      </c>
      <c r="G32" s="19">
        <f>F32/C32-1</f>
        <v>3.2015558801437027E-3</v>
      </c>
      <c r="H32" s="18">
        <f>SUM(H26:H31)</f>
        <v>116029.70000000001</v>
      </c>
      <c r="I32" s="18">
        <f>SUM(I26:I31)</f>
        <v>116401.17556830632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288.1+558.6</f>
        <v>846.7</v>
      </c>
      <c r="E34" s="29">
        <f t="shared" ref="E34:E40" si="13">D34/$D$48</f>
        <v>0.15123693846566044</v>
      </c>
      <c r="F34" s="28">
        <f t="shared" ref="F34:F39" si="14">C34-(C34*$E$6)</f>
        <v>19.86339080642685</v>
      </c>
      <c r="G34" s="27" t="str">
        <f t="shared" ref="G34:G39" si="15">IF(C34&gt;=F34,"-","+")</f>
        <v>+</v>
      </c>
      <c r="H34" s="26">
        <f t="shared" ref="H34:H39" si="16">C34*D34</f>
        <v>16764.66</v>
      </c>
      <c r="I34" s="26">
        <f t="shared" ref="I34:I39" si="17">F34*D34</f>
        <v>16818.332995801615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53.9</v>
      </c>
      <c r="E35" s="29">
        <f t="shared" si="13"/>
        <v>9.6275788157542189E-3</v>
      </c>
      <c r="F35" s="28">
        <f t="shared" si="14"/>
        <v>15.248663649378187</v>
      </c>
      <c r="G35" s="27" t="str">
        <f t="shared" si="15"/>
        <v>+</v>
      </c>
      <c r="H35" s="26">
        <f t="shared" si="16"/>
        <v>819.28</v>
      </c>
      <c r="I35" s="26">
        <f t="shared" si="17"/>
        <v>821.90297070148426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12.239058981737756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32.403410254928644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32.403410254928644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33.607252121984821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19.524694648012435</v>
      </c>
      <c r="D40" s="22">
        <f>SUM(D34:D39)</f>
        <v>900.6</v>
      </c>
      <c r="E40" s="113">
        <f t="shared" si="13"/>
        <v>0.16086451728141465</v>
      </c>
      <c r="F40" s="20">
        <f>I40/D40</f>
        <v>19.587204048970797</v>
      </c>
      <c r="G40" s="19">
        <f>F40/C40-1</f>
        <v>3.2015558801441468E-3</v>
      </c>
      <c r="H40" s="18">
        <f>SUM(H34:H39)</f>
        <v>17583.939999999999</v>
      </c>
      <c r="I40" s="18">
        <f>SUM(I34:I39)</f>
        <v>17640.2359665031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61.9+374.2+425</f>
        <v>861.09999999999991</v>
      </c>
      <c r="E42" s="107">
        <f>D42/$D$48</f>
        <v>0.15380905599714206</v>
      </c>
      <c r="F42" s="28">
        <f>C42-(C42*$E$6)</f>
        <v>0.50160077794007196</v>
      </c>
      <c r="G42" s="27" t="str">
        <f>IF(C42&gt;=F42,"-","+")</f>
        <v>+</v>
      </c>
      <c r="H42" s="26">
        <f>C42*D42</f>
        <v>430.54999999999995</v>
      </c>
      <c r="I42" s="26">
        <f>F42*D42</f>
        <v>431.92842988419591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27.5</v>
      </c>
      <c r="E43" s="107">
        <f>D43/$D$48</f>
        <v>4.9120300080378668E-3</v>
      </c>
      <c r="F43" s="28">
        <f>C43-(C43*$E$6)</f>
        <v>0.50160077794007196</v>
      </c>
      <c r="G43" s="27" t="str">
        <f>IF(C43&gt;=F43,"-","+")</f>
        <v>+</v>
      </c>
      <c r="H43" s="26">
        <f>C43*D43</f>
        <v>13.75</v>
      </c>
      <c r="I43" s="26">
        <f>F43*D43</f>
        <v>13.794021393351979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12.4</v>
      </c>
      <c r="E44" s="107">
        <f>D44/$D$48</f>
        <v>2.2148789854425288E-3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9.4668214700366154E-4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0.4902350215160543</v>
      </c>
      <c r="D46" s="22">
        <f>SUM(D41:D45)</f>
        <v>906.29999999999984</v>
      </c>
      <c r="E46" s="113">
        <f>D46/$D$48</f>
        <v>0.1618826471376261</v>
      </c>
      <c r="F46" s="20">
        <f>I46/D46</f>
        <v>0.49180453633184151</v>
      </c>
      <c r="G46" s="19">
        <f>F46/C46-1</f>
        <v>3.2015558801439248E-3</v>
      </c>
      <c r="H46" s="18">
        <f>SUM(H41:H44)</f>
        <v>444.29999999999995</v>
      </c>
      <c r="I46" s="18">
        <f>SUM(I41:I44)</f>
        <v>445.72245127754786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104.69773931770193</v>
      </c>
      <c r="D48" s="13">
        <f>D24+D32+D40+D46</f>
        <v>5598.5000000000009</v>
      </c>
      <c r="E48" s="12">
        <f>SUM(E20:E46)/2</f>
        <v>0.99999999999999989</v>
      </c>
      <c r="F48" s="11">
        <f>I48/D48</f>
        <v>27.943092096844332</v>
      </c>
      <c r="G48" s="10"/>
      <c r="H48" s="9">
        <f>SUM(H20:H46)/2</f>
        <v>155940.14999999997</v>
      </c>
      <c r="I48" s="9">
        <f>SUM(I20:I46)/2</f>
        <v>156439.40110418302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5797.4999999999991</v>
      </c>
      <c r="E50" s="12">
        <f>D50/G2</f>
        <v>0.99999999999999989</v>
      </c>
      <c r="F50" s="11">
        <f>I50/D50</f>
        <v>28.000000000000014</v>
      </c>
      <c r="G50" s="10"/>
      <c r="H50" s="9">
        <f>H48+H19</f>
        <v>161811.94999999995</v>
      </c>
      <c r="I50" s="9">
        <f>I48+I19</f>
        <v>162330.00000000006</v>
      </c>
      <c r="J50" s="106">
        <f>D50-G2</f>
        <v>0</v>
      </c>
      <c r="K50" s="8"/>
    </row>
    <row r="51" spans="1:11" ht="23.25" x14ac:dyDescent="0.35">
      <c r="A51" s="174" t="s">
        <v>875</v>
      </c>
      <c r="B51" s="169"/>
      <c r="C51" s="170"/>
      <c r="G51" s="7"/>
      <c r="H51" s="6"/>
      <c r="I51" s="6">
        <f>+I50/D50</f>
        <v>28.000000000000014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 bestFit="1" customWidth="1"/>
  </cols>
  <sheetData>
    <row r="1" spans="1:11" ht="15.75" x14ac:dyDescent="0.25">
      <c r="A1" s="103" t="s">
        <v>0</v>
      </c>
      <c r="B1" s="102"/>
      <c r="C1" s="101" t="s">
        <v>870</v>
      </c>
      <c r="D1" s="100" t="s">
        <v>1</v>
      </c>
      <c r="E1" s="168" t="s">
        <v>775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876</v>
      </c>
      <c r="D2" s="96" t="s">
        <v>3</v>
      </c>
      <c r="E2" s="95" t="s">
        <v>112</v>
      </c>
      <c r="F2" s="94" t="s">
        <v>5</v>
      </c>
      <c r="G2" s="116">
        <v>15919.9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248</v>
      </c>
      <c r="F3" s="88" t="s">
        <v>8</v>
      </c>
      <c r="G3" s="120">
        <v>25.26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64.193145161290317</v>
      </c>
      <c r="F4" s="81" t="s">
        <v>12</v>
      </c>
      <c r="G4" s="80">
        <f>G2*G3</f>
        <v>402136.674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-5.0699351575653306E-2</v>
      </c>
      <c r="F6" s="69" t="s">
        <v>16</v>
      </c>
      <c r="G6" s="68">
        <f>(I50-I19)/(D50-(SUM(D42:D44)+D19))</f>
        <v>31.14708004906451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>
        <f t="shared" ref="E10:E19" si="1">D10/$D$19</f>
        <v>0</v>
      </c>
      <c r="F10" s="28">
        <f t="shared" ref="F10:F18" si="2">C10-(C10*$E$6)</f>
        <v>26.582693594864029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>
        <f t="shared" si="1"/>
        <v>0</v>
      </c>
      <c r="F11" s="28">
        <f t="shared" si="2"/>
        <v>27.633392946439685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>
        <f t="shared" si="1"/>
        <v>0</v>
      </c>
      <c r="F12" s="28">
        <f t="shared" si="2"/>
        <v>25.216784437815679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>
        <f t="shared" si="1"/>
        <v>0</v>
      </c>
      <c r="F13" s="28">
        <f t="shared" si="2"/>
        <v>27.633392946439685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>
        <f t="shared" si="1"/>
        <v>0</v>
      </c>
      <c r="F14" s="28">
        <f t="shared" si="2"/>
        <v>30.890560936324206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>
        <f t="shared" si="1"/>
        <v>0</v>
      </c>
      <c r="F15" s="28">
        <f t="shared" si="2"/>
        <v>25.426924308130808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>
        <f t="shared" si="1"/>
        <v>0</v>
      </c>
      <c r="F16" s="28">
        <f t="shared" si="2"/>
        <v>34.88321847231169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48.9</v>
      </c>
      <c r="D17" s="30">
        <v>12</v>
      </c>
      <c r="E17" s="29">
        <f t="shared" si="1"/>
        <v>1</v>
      </c>
      <c r="F17" s="28">
        <f t="shared" si="2"/>
        <v>51.379198292049445</v>
      </c>
      <c r="G17" s="27" t="str">
        <f t="shared" si="3"/>
        <v>+</v>
      </c>
      <c r="H17" s="34">
        <f t="shared" si="4"/>
        <v>586.79999999999995</v>
      </c>
      <c r="I17" s="34">
        <f t="shared" si="5"/>
        <v>616.55037950459337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>
        <f t="shared" si="1"/>
        <v>0</v>
      </c>
      <c r="F18" s="28">
        <f t="shared" si="2"/>
        <v>44.96993224743796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48.9</v>
      </c>
      <c r="D19" s="49">
        <f>SUM(D10:D18)</f>
        <v>12</v>
      </c>
      <c r="E19" s="48">
        <f t="shared" si="1"/>
        <v>1</v>
      </c>
      <c r="F19" s="47">
        <f>I19/D19</f>
        <v>51.379198292049445</v>
      </c>
      <c r="G19" s="46">
        <f>F19/C19-1</f>
        <v>5.0699351575653306E-2</v>
      </c>
      <c r="H19" s="9">
        <f>SUM(H10:H18)</f>
        <v>586.79999999999995</v>
      </c>
      <c r="I19" s="9">
        <f>SUM(I10:I18)</f>
        <v>616.55037950459337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63.5</v>
      </c>
      <c r="D21" s="30">
        <v>218.4</v>
      </c>
      <c r="E21" s="29">
        <f>D21/$D$48</f>
        <v>1.3729027715789011E-2</v>
      </c>
      <c r="F21" s="28">
        <f>C21-(C21*$E$6)</f>
        <v>66.719408825053989</v>
      </c>
      <c r="G21" s="27" t="str">
        <f>IF(C21&gt;=F21,"-","+")</f>
        <v>+</v>
      </c>
      <c r="H21" s="26">
        <f>C21*D21</f>
        <v>13868.4</v>
      </c>
      <c r="I21" s="26">
        <f>F21*D21</f>
        <v>14571.518887391792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42.7</v>
      </c>
      <c r="D22" s="30">
        <v>412.7</v>
      </c>
      <c r="E22" s="29">
        <f>D22/$D$48</f>
        <v>2.5943084882354049E-2</v>
      </c>
      <c r="F22" s="28">
        <f>C22-(C22*$E$6)</f>
        <v>44.864862312280401</v>
      </c>
      <c r="G22" s="27" t="str">
        <f>IF(C22&gt;=F22,"-","+")</f>
        <v>+</v>
      </c>
      <c r="H22" s="26">
        <f>C22*D22</f>
        <v>17622.29</v>
      </c>
      <c r="I22" s="26">
        <f>F22*D22</f>
        <v>18515.728676278122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v>345.2</v>
      </c>
      <c r="E23" s="29">
        <f>D23/$D$48</f>
        <v>2.1699910107556623E-2</v>
      </c>
      <c r="F23" s="28">
        <f>C23-(C23*$E$6)</f>
        <v>40.872204776292911</v>
      </c>
      <c r="G23" s="27" t="str">
        <f>IF(C23&gt;=F23,"-","+")</f>
        <v>+</v>
      </c>
      <c r="H23" s="26">
        <f>C23*D23</f>
        <v>13428.279999999999</v>
      </c>
      <c r="I23" s="26">
        <f>F23*D23</f>
        <v>14109.085088776312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46.009392604732156</v>
      </c>
      <c r="D24" s="22">
        <f>SUM(D21:D23)</f>
        <v>976.3</v>
      </c>
      <c r="E24" s="21">
        <f>D24/$D$48</f>
        <v>6.1372022705699684E-2</v>
      </c>
      <c r="F24" s="20">
        <f>I24/D24</f>
        <v>48.34203897618174</v>
      </c>
      <c r="G24" s="19">
        <f>F24/C24-1</f>
        <v>5.0699351575653528E-2</v>
      </c>
      <c r="H24" s="18">
        <f>SUM(H21:H23)</f>
        <v>44918.97</v>
      </c>
      <c r="I24" s="18">
        <f>SUM(I21:I23)</f>
        <v>47196.332652446232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f>2341.8+30+608.2+1.4</f>
        <v>2981.4</v>
      </c>
      <c r="E26" s="29">
        <f t="shared" ref="E26:E32" si="7">D26/$D$48</f>
        <v>0.18741631516416374</v>
      </c>
      <c r="F26" s="28">
        <f t="shared" ref="F26:F31" si="8">C26-(C26*$E$6)</f>
        <v>35.618708018414644</v>
      </c>
      <c r="G26" s="27" t="str">
        <f t="shared" ref="G26:G31" si="9">IF(C26&gt;=F26,"-","+")</f>
        <v>+</v>
      </c>
      <c r="H26" s="26">
        <f t="shared" ref="H26:H31" si="10">C26*D26</f>
        <v>101069.45999999999</v>
      </c>
      <c r="I26" s="26">
        <f t="shared" ref="I26:I31" si="11">F26*D26</f>
        <v>106193.61608610142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2436</v>
      </c>
      <c r="E27" s="29">
        <f t="shared" si="7"/>
        <v>0.15313146298380051</v>
      </c>
      <c r="F27" s="28">
        <f t="shared" si="8"/>
        <v>31.73112041758473</v>
      </c>
      <c r="G27" s="27" t="str">
        <f t="shared" si="9"/>
        <v>+</v>
      </c>
      <c r="H27" s="26">
        <f t="shared" si="10"/>
        <v>73567.199999999997</v>
      </c>
      <c r="I27" s="26">
        <f t="shared" si="11"/>
        <v>77297.009337236406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f>1362+200</f>
        <v>1562</v>
      </c>
      <c r="E28" s="29">
        <f t="shared" si="7"/>
        <v>9.8190207381238251E-2</v>
      </c>
      <c r="F28" s="28">
        <f t="shared" si="8"/>
        <v>31.73112041758473</v>
      </c>
      <c r="G28" s="27" t="str">
        <f t="shared" si="9"/>
        <v>+</v>
      </c>
      <c r="H28" s="26">
        <f t="shared" si="10"/>
        <v>47172.4</v>
      </c>
      <c r="I28" s="26">
        <f t="shared" si="11"/>
        <v>49564.010092267352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1115.4000000000001</v>
      </c>
      <c r="E29" s="29">
        <f t="shared" si="7"/>
        <v>7.0116105834208173E-2</v>
      </c>
      <c r="F29" s="28">
        <f t="shared" si="8"/>
        <v>30.680421066009075</v>
      </c>
      <c r="G29" s="27" t="str">
        <f t="shared" si="9"/>
        <v>+</v>
      </c>
      <c r="H29" s="26">
        <f t="shared" si="10"/>
        <v>32569.68</v>
      </c>
      <c r="I29" s="26">
        <f t="shared" si="11"/>
        <v>34220.941657026524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928.5</v>
      </c>
      <c r="E30" s="29">
        <f t="shared" si="7"/>
        <v>5.8367226346657954E-2</v>
      </c>
      <c r="F30" s="28">
        <f t="shared" si="8"/>
        <v>30.680421066009075</v>
      </c>
      <c r="G30" s="27" t="str">
        <f t="shared" si="9"/>
        <v>+</v>
      </c>
      <c r="H30" s="26">
        <f t="shared" si="10"/>
        <v>27112.2</v>
      </c>
      <c r="I30" s="26">
        <f t="shared" si="11"/>
        <v>28486.770959789425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333.2</v>
      </c>
      <c r="E31" s="29">
        <f t="shared" si="7"/>
        <v>2.0945567925370414E-2</v>
      </c>
      <c r="F31" s="28">
        <f t="shared" si="8"/>
        <v>31.205770741796904</v>
      </c>
      <c r="G31" s="27" t="str">
        <f t="shared" si="9"/>
        <v>+</v>
      </c>
      <c r="H31" s="26">
        <f t="shared" si="10"/>
        <v>9896.0399999999991</v>
      </c>
      <c r="I31" s="26">
        <f t="shared" si="11"/>
        <v>10397.762811166727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31.142732859509422</v>
      </c>
      <c r="D32" s="22">
        <f>SUM(D26:D31)</f>
        <v>9356.5</v>
      </c>
      <c r="E32" s="21">
        <f t="shared" si="7"/>
        <v>0.58816688563543906</v>
      </c>
      <c r="F32" s="20">
        <f>I32/D32</f>
        <v>32.721649221780346</v>
      </c>
      <c r="G32" s="19">
        <f>F32/C32-1</f>
        <v>5.0699351575653528E-2</v>
      </c>
      <c r="H32" s="18">
        <f>SUM(H26:H31)</f>
        <v>291386.97999999992</v>
      </c>
      <c r="I32" s="18">
        <f>SUM(I26:I31)</f>
        <v>306160.11094358779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1027.7+1323.3</f>
        <v>2351</v>
      </c>
      <c r="E34" s="29">
        <f t="shared" ref="E34:E40" si="13">D34/$D$48</f>
        <v>0.14778820585998151</v>
      </c>
      <c r="F34" s="28">
        <f t="shared" ref="F34:F39" si="14">C34-(C34*$E$6)</f>
        <v>18.702448458046629</v>
      </c>
      <c r="G34" s="27" t="str">
        <f t="shared" ref="G34:G39" si="15">IF(C34&gt;=F34,"-","+")</f>
        <v>+</v>
      </c>
      <c r="H34" s="26">
        <f t="shared" ref="H34:H39" si="16">C34*D34</f>
        <v>41847.800000000003</v>
      </c>
      <c r="I34" s="26">
        <f t="shared" ref="I34:I39" si="17">F34*D34</f>
        <v>43969.45632486762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203.6</v>
      </c>
      <c r="E35" s="29">
        <f t="shared" si="13"/>
        <v>1.2798672357759352E-2</v>
      </c>
      <c r="F35" s="28">
        <f t="shared" si="14"/>
        <v>14.394581116586449</v>
      </c>
      <c r="G35" s="27" t="str">
        <f t="shared" si="15"/>
        <v>+</v>
      </c>
      <c r="H35" s="26">
        <f t="shared" si="16"/>
        <v>2789.3199999999997</v>
      </c>
      <c r="I35" s="26">
        <f t="shared" si="17"/>
        <v>2930.736715337001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11.557692867332186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30.680421066009075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30.680421066009075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31.73112041758473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17.47323260001566</v>
      </c>
      <c r="D40" s="22">
        <f>SUM(D34:D39)</f>
        <v>2554.6</v>
      </c>
      <c r="E40" s="113">
        <f t="shared" si="13"/>
        <v>0.16058687821774087</v>
      </c>
      <c r="F40" s="20">
        <f>I40/D40</f>
        <v>18.359114162767018</v>
      </c>
      <c r="G40" s="19">
        <f>F40/C40-1</f>
        <v>5.0699351575653084E-2</v>
      </c>
      <c r="H40" s="18">
        <f>SUM(H34:H39)</f>
        <v>44637.120000000003</v>
      </c>
      <c r="I40" s="18">
        <f>SUM(I34:I39)</f>
        <v>46900.19304020462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1203+199.3+1562.5</f>
        <v>2964.8</v>
      </c>
      <c r="E42" s="107">
        <f>D42/$D$48</f>
        <v>0.18637280847880613</v>
      </c>
      <c r="F42" s="28">
        <f>C42-(C42*$E$6)</f>
        <v>0.42027974063026136</v>
      </c>
      <c r="G42" s="27" t="str">
        <f>IF(C42&gt;=F42,"-","+")</f>
        <v>+</v>
      </c>
      <c r="H42" s="26">
        <f>C42*D42</f>
        <v>1185.92</v>
      </c>
      <c r="I42" s="26">
        <f>F42*D42</f>
        <v>1246.0453750205988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41.5</v>
      </c>
      <c r="E43" s="107">
        <f>D43/$D$48</f>
        <v>2.6087667133939743E-3</v>
      </c>
      <c r="F43" s="28">
        <f>C43-(C43*$E$6)</f>
        <v>0.42027974063026136</v>
      </c>
      <c r="G43" s="27" t="str">
        <f>IF(C43&gt;=F43,"-","+")</f>
        <v>+</v>
      </c>
      <c r="H43" s="26">
        <f>C43*D43</f>
        <v>16.600000000000001</v>
      </c>
      <c r="I43" s="26">
        <f>F43*D43</f>
        <v>17.441609236155845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10.5</v>
      </c>
      <c r="E44" s="107">
        <f>D44/$D$48</f>
        <v>6.6004940941293325E-4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3.7</v>
      </c>
      <c r="E45" s="107">
        <f>D45/$D$48</f>
        <v>2.3258883950741458E-4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0.3981195166363185</v>
      </c>
      <c r="D46" s="22">
        <f>SUM(D41:D45)</f>
        <v>3020.5</v>
      </c>
      <c r="E46" s="113">
        <f>D46/$D$48</f>
        <v>0.18987421344112046</v>
      </c>
      <c r="F46" s="20">
        <f>I46/D46</f>
        <v>0.41830391797939243</v>
      </c>
      <c r="G46" s="19">
        <f>F46/C46-1</f>
        <v>5.0699351575653528E-2</v>
      </c>
      <c r="H46" s="18">
        <f>SUM(H41:H44)</f>
        <v>1202.52</v>
      </c>
      <c r="I46" s="18">
        <f>SUM(I41:I44)</f>
        <v>1263.4869842567548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95.023477580893555</v>
      </c>
      <c r="D48" s="13">
        <f>D24+D32+D40+D46</f>
        <v>15907.9</v>
      </c>
      <c r="E48" s="12">
        <f>SUM(E20:E46)/2</f>
        <v>1</v>
      </c>
      <c r="F48" s="11">
        <f>I48/D48</f>
        <v>25.240297186963424</v>
      </c>
      <c r="G48" s="10"/>
      <c r="H48" s="9">
        <f>SUM(H20:H46)/2</f>
        <v>382145.58999999997</v>
      </c>
      <c r="I48" s="9">
        <f>SUM(I20:I46)/2</f>
        <v>401520.12362049543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15919.899999999998</v>
      </c>
      <c r="E50" s="12">
        <f>D50/G2</f>
        <v>0.99999999999999989</v>
      </c>
      <c r="F50" s="11">
        <f>I50/D50</f>
        <v>25.260000000000005</v>
      </c>
      <c r="G50" s="10"/>
      <c r="H50" s="9">
        <f>H48+H19</f>
        <v>382732.38999999996</v>
      </c>
      <c r="I50" s="9">
        <f>I48+I19</f>
        <v>402136.674</v>
      </c>
      <c r="J50" s="106">
        <f>D50-G2</f>
        <v>0</v>
      </c>
      <c r="K50" s="8"/>
    </row>
    <row r="51" spans="1:11" ht="23.25" x14ac:dyDescent="0.35">
      <c r="A51" s="174" t="s">
        <v>877</v>
      </c>
      <c r="B51" s="169"/>
      <c r="C51" s="170"/>
      <c r="G51" s="7"/>
      <c r="H51" s="6"/>
      <c r="I51" s="6">
        <f>+I50/D50</f>
        <v>25.260000000000005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873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876</v>
      </c>
      <c r="D2" s="96" t="s">
        <v>3</v>
      </c>
      <c r="E2" s="95" t="s">
        <v>112</v>
      </c>
      <c r="F2" s="94" t="s">
        <v>5</v>
      </c>
      <c r="G2" s="93">
        <v>3343.1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56</v>
      </c>
      <c r="F3" s="88" t="s">
        <v>8</v>
      </c>
      <c r="G3" s="87">
        <v>24.1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59.698214285714286</v>
      </c>
      <c r="F4" s="81" t="s">
        <v>12</v>
      </c>
      <c r="G4" s="80">
        <f>G2*G3</f>
        <v>80568.710000000006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-9.3258165033741625E-2</v>
      </c>
      <c r="F6" s="69" t="s">
        <v>16</v>
      </c>
      <c r="G6" s="68">
        <f>(I50-I19)/(D50-(SUM(D42:D44)+D19))</f>
        <v>30.849144235555396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24.1</v>
      </c>
      <c r="D10" s="30"/>
      <c r="E10" s="29" t="e">
        <f t="shared" ref="E10:E19" si="1">D10/$D$19</f>
        <v>#DIV/0!</v>
      </c>
      <c r="F10" s="28">
        <f t="shared" ref="F10:F18" si="2">C10-(C10*$E$6)</f>
        <v>26.347521777313176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25.1</v>
      </c>
      <c r="D11" s="30"/>
      <c r="E11" s="29" t="e">
        <f t="shared" si="1"/>
        <v>#DIV/0!</v>
      </c>
      <c r="F11" s="28">
        <f t="shared" si="2"/>
        <v>27.440779942346918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22.9</v>
      </c>
      <c r="D12" s="30"/>
      <c r="E12" s="29" t="e">
        <f t="shared" si="1"/>
        <v>#DIV/0!</v>
      </c>
      <c r="F12" s="28">
        <f t="shared" si="2"/>
        <v>25.03561197927268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25.1</v>
      </c>
      <c r="D13" s="30"/>
      <c r="E13" s="29" t="e">
        <f t="shared" si="1"/>
        <v>#DIV/0!</v>
      </c>
      <c r="F13" s="28">
        <f t="shared" si="2"/>
        <v>27.440779942346918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28.1</v>
      </c>
      <c r="D14" s="30"/>
      <c r="E14" s="29" t="e">
        <f t="shared" si="1"/>
        <v>#DIV/0!</v>
      </c>
      <c r="F14" s="28">
        <f t="shared" si="2"/>
        <v>30.72055443744814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23.1</v>
      </c>
      <c r="D15" s="30"/>
      <c r="E15" s="29" t="e">
        <f t="shared" si="1"/>
        <v>#DIV/0!</v>
      </c>
      <c r="F15" s="28">
        <f t="shared" si="2"/>
        <v>25.254263612279434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31.7</v>
      </c>
      <c r="D16" s="30"/>
      <c r="E16" s="29" t="e">
        <f t="shared" si="1"/>
        <v>#DIV/0!</v>
      </c>
      <c r="F16" s="28">
        <f t="shared" si="2"/>
        <v>34.65628383156961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46.6</v>
      </c>
      <c r="D17" s="30"/>
      <c r="E17" s="29" t="e">
        <f t="shared" si="1"/>
        <v>#DIV/0!</v>
      </c>
      <c r="F17" s="28">
        <f t="shared" si="2"/>
        <v>50.945830490572362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40.799999999999997</v>
      </c>
      <c r="D18" s="30"/>
      <c r="E18" s="29" t="e">
        <f t="shared" si="1"/>
        <v>#DIV/0!</v>
      </c>
      <c r="F18" s="28">
        <f t="shared" si="2"/>
        <v>44.604933133376655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60.6</v>
      </c>
      <c r="D21" s="30">
        <v>43.4</v>
      </c>
      <c r="E21" s="29">
        <f>D21/$D$48</f>
        <v>1.2981962848852861E-2</v>
      </c>
      <c r="F21" s="28">
        <f>C21-(C21*$E$6)</f>
        <v>66.251444801044741</v>
      </c>
      <c r="G21" s="27" t="str">
        <f>IF(C21&gt;=F21,"-","+")</f>
        <v>+</v>
      </c>
      <c r="H21" s="26">
        <f>C21*D21</f>
        <v>2630.04</v>
      </c>
      <c r="I21" s="26">
        <f>F21*D21</f>
        <v>2875.3127043653417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40.700000000000003</v>
      </c>
      <c r="D22" s="30">
        <v>99.7</v>
      </c>
      <c r="E22" s="29">
        <f>D22/$D$48</f>
        <v>2.9822619724208074E-2</v>
      </c>
      <c r="F22" s="28">
        <f>C22-(C22*$E$6)</f>
        <v>44.49560731687329</v>
      </c>
      <c r="G22" s="27" t="str">
        <f>IF(C22&gt;=F22,"-","+")</f>
        <v>+</v>
      </c>
      <c r="H22" s="26">
        <f>C22*D22</f>
        <v>4057.7900000000004</v>
      </c>
      <c r="I22" s="26">
        <f>F22*D22</f>
        <v>4436.2120494922674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37.1</v>
      </c>
      <c r="D23" s="30">
        <v>65.3</v>
      </c>
      <c r="E23" s="29">
        <f>D23/$D$48</f>
        <v>1.9532768986868475E-2</v>
      </c>
      <c r="F23" s="28">
        <f>C23-(C23*$E$6)</f>
        <v>40.559877922751816</v>
      </c>
      <c r="G23" s="27" t="str">
        <f>IF(C23&gt;=F23,"-","+")</f>
        <v>+</v>
      </c>
      <c r="H23" s="26">
        <f>C23*D23</f>
        <v>2422.63</v>
      </c>
      <c r="I23" s="26">
        <f>F23*D23</f>
        <v>2648.5600283556937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43.716218809980809</v>
      </c>
      <c r="D24" s="22">
        <f>SUM(D21:D23)</f>
        <v>208.39999999999998</v>
      </c>
      <c r="E24" s="21">
        <f>D24/$D$48</f>
        <v>6.2337351559929401E-2</v>
      </c>
      <c r="F24" s="20">
        <f>I24/D24</f>
        <v>47.793113158413171</v>
      </c>
      <c r="G24" s="19">
        <f>F24/C24-1</f>
        <v>9.3258165033741847E-2</v>
      </c>
      <c r="H24" s="18">
        <f>SUM(H21:H23)</f>
        <v>9110.4599999999991</v>
      </c>
      <c r="I24" s="18">
        <f>SUM(I21:I23)</f>
        <v>9960.0847822133037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32.299999999999997</v>
      </c>
      <c r="D26" s="30">
        <v>573</v>
      </c>
      <c r="E26" s="29">
        <f t="shared" ref="E26:E32" si="7">D26/$D$48</f>
        <v>0.17139780443301128</v>
      </c>
      <c r="F26" s="28">
        <f t="shared" ref="F26:F31" si="8">C26-(C26*$E$6)</f>
        <v>35.312238730589854</v>
      </c>
      <c r="G26" s="27" t="str">
        <f t="shared" ref="G26:G31" si="9">IF(C26&gt;=F26,"-","+")</f>
        <v>+</v>
      </c>
      <c r="H26" s="26">
        <f t="shared" ref="H26:H31" si="10">C26*D26</f>
        <v>18507.899999999998</v>
      </c>
      <c r="I26" s="26">
        <f t="shared" ref="I26:I31" si="11">F26*D26</f>
        <v>20233.912792627987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28.8</v>
      </c>
      <c r="D27" s="30">
        <v>506</v>
      </c>
      <c r="E27" s="29">
        <f t="shared" si="7"/>
        <v>0.15135652538063474</v>
      </c>
      <c r="F27" s="28">
        <f t="shared" si="8"/>
        <v>31.485835152971759</v>
      </c>
      <c r="G27" s="27" t="str">
        <f t="shared" si="9"/>
        <v>+</v>
      </c>
      <c r="H27" s="26">
        <f t="shared" si="10"/>
        <v>14572.800000000001</v>
      </c>
      <c r="I27" s="26">
        <f t="shared" si="11"/>
        <v>15931.832587403711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28.8</v>
      </c>
      <c r="D28" s="30">
        <v>300.89999999999998</v>
      </c>
      <c r="E28" s="29">
        <f t="shared" si="7"/>
        <v>9.0006281594926865E-2</v>
      </c>
      <c r="F28" s="28">
        <f t="shared" si="8"/>
        <v>31.485835152971759</v>
      </c>
      <c r="G28" s="27" t="str">
        <f t="shared" si="9"/>
        <v>+</v>
      </c>
      <c r="H28" s="26">
        <f t="shared" si="10"/>
        <v>8665.92</v>
      </c>
      <c r="I28" s="26">
        <f t="shared" si="11"/>
        <v>9474.0877975292024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27.8</v>
      </c>
      <c r="D29" s="30">
        <v>214.5</v>
      </c>
      <c r="E29" s="29">
        <f t="shared" si="7"/>
        <v>6.4162005324399515E-2</v>
      </c>
      <c r="F29" s="28">
        <f t="shared" si="8"/>
        <v>30.392576987938018</v>
      </c>
      <c r="G29" s="27" t="str">
        <f t="shared" si="9"/>
        <v>+</v>
      </c>
      <c r="H29" s="26">
        <f t="shared" si="10"/>
        <v>5963.1</v>
      </c>
      <c r="I29" s="26">
        <f t="shared" si="11"/>
        <v>6519.2077639127046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27.8</v>
      </c>
      <c r="D30" s="30">
        <v>183.4</v>
      </c>
      <c r="E30" s="29">
        <f t="shared" si="7"/>
        <v>5.4859262361281448E-2</v>
      </c>
      <c r="F30" s="28">
        <f t="shared" si="8"/>
        <v>30.392576987938018</v>
      </c>
      <c r="G30" s="27" t="str">
        <f t="shared" si="9"/>
        <v>+</v>
      </c>
      <c r="H30" s="26">
        <f t="shared" si="10"/>
        <v>5098.5200000000004</v>
      </c>
      <c r="I30" s="26">
        <f t="shared" si="11"/>
        <v>5573.9986195878328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28.3</v>
      </c>
      <c r="D31" s="30">
        <v>97</v>
      </c>
      <c r="E31" s="29">
        <f t="shared" si="7"/>
        <v>2.9014986090754091E-2</v>
      </c>
      <c r="F31" s="28">
        <f t="shared" si="8"/>
        <v>30.939206070454887</v>
      </c>
      <c r="G31" s="27" t="str">
        <f t="shared" si="9"/>
        <v>+</v>
      </c>
      <c r="H31" s="26">
        <f t="shared" si="10"/>
        <v>2745.1</v>
      </c>
      <c r="I31" s="26">
        <f t="shared" si="11"/>
        <v>3001.1029888341241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29.631608704928517</v>
      </c>
      <c r="D32" s="22">
        <f>SUM(D26:D31)</f>
        <v>1874.8000000000002</v>
      </c>
      <c r="E32" s="21">
        <f t="shared" si="7"/>
        <v>0.56079686518500804</v>
      </c>
      <c r="F32" s="20">
        <f>I32/D32</f>
        <v>32.394998159747999</v>
      </c>
      <c r="G32" s="19">
        <f>F32/C32-1</f>
        <v>9.3258165033741625E-2</v>
      </c>
      <c r="H32" s="18">
        <f>SUM(H26:H31)</f>
        <v>55553.339999999989</v>
      </c>
      <c r="I32" s="18">
        <f>SUM(I26:I31)</f>
        <v>60734.142549895558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</v>
      </c>
      <c r="D34" s="30">
        <f>230.8+251</f>
        <v>481.8</v>
      </c>
      <c r="E34" s="29">
        <f t="shared" ref="E34:E40" si="13">D34/$D$48</f>
        <v>0.14411773503634351</v>
      </c>
      <c r="F34" s="28">
        <f t="shared" ref="F34:F39" si="14">C34-(C34*$E$6)</f>
        <v>18.585388805573608</v>
      </c>
      <c r="G34" s="27" t="str">
        <f t="shared" ref="G34:G39" si="15">IF(C34&gt;=F34,"-","+")</f>
        <v>+</v>
      </c>
      <c r="H34" s="26">
        <f t="shared" ref="H34:H39" si="16">C34*D34</f>
        <v>8190.6</v>
      </c>
      <c r="I34" s="26">
        <f t="shared" ref="I34:I39" si="17">F34*D34</f>
        <v>8954.4403265253641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13.1</v>
      </c>
      <c r="D35" s="30">
        <v>42</v>
      </c>
      <c r="E35" s="29">
        <f t="shared" si="13"/>
        <v>1.2563189853728576E-2</v>
      </c>
      <c r="F35" s="28">
        <f t="shared" si="14"/>
        <v>14.321681961942016</v>
      </c>
      <c r="G35" s="27" t="str">
        <f t="shared" si="15"/>
        <v>+</v>
      </c>
      <c r="H35" s="26">
        <f t="shared" si="16"/>
        <v>550.19999999999993</v>
      </c>
      <c r="I35" s="26">
        <f t="shared" si="17"/>
        <v>601.51064240156461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10.5</v>
      </c>
      <c r="D36" s="30"/>
      <c r="E36" s="29">
        <f t="shared" si="13"/>
        <v>0</v>
      </c>
      <c r="F36" s="28">
        <f t="shared" si="14"/>
        <v>11.479210732854288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27.8</v>
      </c>
      <c r="D37" s="30"/>
      <c r="E37" s="29">
        <f t="shared" si="13"/>
        <v>0</v>
      </c>
      <c r="F37" s="28">
        <f t="shared" si="14"/>
        <v>30.392576987938018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27.8</v>
      </c>
      <c r="D38" s="30"/>
      <c r="E38" s="29">
        <f t="shared" si="13"/>
        <v>0</v>
      </c>
      <c r="F38" s="28">
        <f t="shared" si="14"/>
        <v>30.392576987938018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28.8</v>
      </c>
      <c r="D39" s="30"/>
      <c r="E39" s="29">
        <f t="shared" si="13"/>
        <v>0</v>
      </c>
      <c r="F39" s="28">
        <f t="shared" si="14"/>
        <v>31.485835152971759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16.687285223367702</v>
      </c>
      <c r="D40" s="22">
        <f>SUM(D34:D39)</f>
        <v>523.79999999999995</v>
      </c>
      <c r="E40" s="113">
        <f t="shared" si="13"/>
        <v>0.15668092489007207</v>
      </c>
      <c r="F40" s="20">
        <f>I40/D40</f>
        <v>18.243510822693644</v>
      </c>
      <c r="G40" s="19">
        <f>F40/C40-1</f>
        <v>9.3258165033741403E-2</v>
      </c>
      <c r="H40" s="18">
        <f>SUM(H34:H39)</f>
        <v>8740.8000000000011</v>
      </c>
      <c r="I40" s="18">
        <f>SUM(I34:I39)</f>
        <v>9555.9509689269289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276+47.9+394.5</f>
        <v>718.4</v>
      </c>
      <c r="E42" s="107">
        <f>D42/$D$48</f>
        <v>0.21489037121234783</v>
      </c>
      <c r="F42" s="28">
        <f>C42-(C42*$E$6)</f>
        <v>0.43730326601349667</v>
      </c>
      <c r="G42" s="27" t="str">
        <f>IF(C42&gt;=F42,"-","+")</f>
        <v>+</v>
      </c>
      <c r="H42" s="26">
        <f>C42*D42</f>
        <v>287.36</v>
      </c>
      <c r="I42" s="26">
        <f>F42*D42</f>
        <v>314.15866630409602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</v>
      </c>
      <c r="E43" s="107">
        <f>D43/$D$48</f>
        <v>2.9912356794591847E-3</v>
      </c>
      <c r="F43" s="28">
        <f>C43-(C43*$E$6)</f>
        <v>0.43730326601349667</v>
      </c>
      <c r="G43" s="27" t="str">
        <f>IF(C43&gt;=F43,"-","+")</f>
        <v>+</v>
      </c>
      <c r="H43" s="26">
        <f>C43*D43</f>
        <v>4</v>
      </c>
      <c r="I43" s="26">
        <f>F43*D43</f>
        <v>4.3730326601349665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</v>
      </c>
      <c r="E44" s="107">
        <f>D44/$D$48</f>
        <v>8.9737070383775542E-4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1.4058807693458168E-3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0.39581578589865507</v>
      </c>
      <c r="D46" s="22">
        <f>SUM(D41:D45)</f>
        <v>736.1</v>
      </c>
      <c r="E46" s="113">
        <f>D46/$D$48</f>
        <v>0.22018485836499058</v>
      </c>
      <c r="F46" s="20">
        <f>I46/D46</f>
        <v>0.43272883978295201</v>
      </c>
      <c r="G46" s="19">
        <f>F46/C46-1</f>
        <v>9.3258165033741625E-2</v>
      </c>
      <c r="H46" s="18">
        <f>SUM(H41:H44)</f>
        <v>291.36</v>
      </c>
      <c r="I46" s="18">
        <f>SUM(I41:I44)</f>
        <v>318.531698964231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90.430928524175684</v>
      </c>
      <c r="D48" s="13">
        <f>D24+D32+D40+D46</f>
        <v>3343.1</v>
      </c>
      <c r="E48" s="12">
        <f>SUM(E20:E46)/2</f>
        <v>1</v>
      </c>
      <c r="F48" s="11">
        <f>I48/D48</f>
        <v>24.100000000000009</v>
      </c>
      <c r="G48" s="10"/>
      <c r="H48" s="9">
        <f>SUM(H20:H46)/2</f>
        <v>73695.959999999992</v>
      </c>
      <c r="I48" s="9">
        <f>SUM(I20:I46)/2</f>
        <v>80568.710000000021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3343.1</v>
      </c>
      <c r="E50" s="12">
        <f>D50/G2</f>
        <v>1</v>
      </c>
      <c r="F50" s="11">
        <f>I50/D50</f>
        <v>24.100000000000009</v>
      </c>
      <c r="G50" s="10"/>
      <c r="H50" s="9">
        <f>H48+H19</f>
        <v>73695.959999999992</v>
      </c>
      <c r="I50" s="9">
        <f>I48+I19</f>
        <v>80568.710000000021</v>
      </c>
      <c r="J50" s="106">
        <f>D50-G2</f>
        <v>0</v>
      </c>
      <c r="K50" s="8"/>
    </row>
    <row r="51" spans="1:11" ht="23.25" x14ac:dyDescent="0.35">
      <c r="A51" s="174" t="s">
        <v>878</v>
      </c>
      <c r="B51" s="169"/>
      <c r="C51" s="170"/>
      <c r="G51" s="7"/>
      <c r="H51" s="6"/>
      <c r="I51" s="6">
        <f>+I50/D50</f>
        <v>24.100000000000009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873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879</v>
      </c>
      <c r="D2" s="96" t="s">
        <v>3</v>
      </c>
      <c r="E2" s="95" t="s">
        <v>71</v>
      </c>
      <c r="F2" s="94" t="s">
        <v>5</v>
      </c>
      <c r="G2" s="93">
        <v>4231.6000000000004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60</v>
      </c>
      <c r="F3" s="88" t="s">
        <v>8</v>
      </c>
      <c r="G3" s="87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70.526666666666671</v>
      </c>
      <c r="F4" s="81" t="s">
        <v>12</v>
      </c>
      <c r="G4" s="80">
        <f>G2*G3</f>
        <v>119542.70000000001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2.2292839172440071E-2</v>
      </c>
      <c r="F6" s="69" t="s">
        <v>16</v>
      </c>
      <c r="G6" s="68">
        <f>(I50-I19)/(D50-(SUM(D42:D44)+D19))</f>
        <v>33.480660971852686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27.669112651419947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28.74459052833026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26.300322626261362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28.74459052833026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32.166565591226721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26.495864058426875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36.272935666702473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53.382810981184775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46.832173003640122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51.2</v>
      </c>
      <c r="E21" s="29">
        <f>D21/$D$48</f>
        <v>1.2099442291331886E-2</v>
      </c>
      <c r="F21" s="28">
        <f>C21-(C21*$E$6)</f>
        <v>69.417208418756758</v>
      </c>
      <c r="G21" s="27" t="str">
        <f>IF(C21&gt;=F21,"-","+")</f>
        <v>-</v>
      </c>
      <c r="H21" s="26">
        <f>C21*D21</f>
        <v>3635.2000000000003</v>
      </c>
      <c r="I21" s="26">
        <f>F21*D21</f>
        <v>3554.1610710403461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128.5</v>
      </c>
      <c r="E22" s="29">
        <f>D22/$D$48</f>
        <v>3.0366764344456003E-2</v>
      </c>
      <c r="F22" s="28">
        <f>C22-(C22*$E$6)</f>
        <v>46.636631571474609</v>
      </c>
      <c r="G22" s="27" t="str">
        <f>IF(C22&gt;=F22,"-","+")</f>
        <v>-</v>
      </c>
      <c r="H22" s="26">
        <f>C22*D22</f>
        <v>6129.4500000000007</v>
      </c>
      <c r="I22" s="26">
        <f>F22*D22</f>
        <v>5992.8071569344875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96.5</v>
      </c>
      <c r="E23" s="29">
        <f>D23/$D$48</f>
        <v>2.2804612912373574E-2</v>
      </c>
      <c r="F23" s="28">
        <f>C23-(C23*$E$6)</f>
        <v>42.530261495998857</v>
      </c>
      <c r="G23" s="27" t="str">
        <f>IF(C23&gt;=F23,"-","+")</f>
        <v>-</v>
      </c>
      <c r="H23" s="26">
        <f>C23*D23</f>
        <v>4197.75</v>
      </c>
      <c r="I23" s="26">
        <f>F23*D23</f>
        <v>4104.1702343638899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50.551774076755983</v>
      </c>
      <c r="D24" s="22">
        <f>SUM(D21:D23)</f>
        <v>276.2</v>
      </c>
      <c r="E24" s="21">
        <f>D24/$D$48</f>
        <v>6.5270819548161454E-2</v>
      </c>
      <c r="F24" s="20">
        <f>I24/D24</f>
        <v>49.424831507381334</v>
      </c>
      <c r="G24" s="19">
        <f>F24/C24-1</f>
        <v>-2.2292839172440071E-2</v>
      </c>
      <c r="H24" s="18">
        <f>SUM(H21:H23)</f>
        <v>13962.400000000001</v>
      </c>
      <c r="I24" s="18">
        <f>SUM(I21:I23)</f>
        <v>13651.138462338724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v>822.4</v>
      </c>
      <c r="E26" s="29">
        <f t="shared" ref="E26:E32" si="7">D26/$D$48</f>
        <v>0.1943472918045184</v>
      </c>
      <c r="F26" s="28">
        <f t="shared" ref="F26:F31" si="8">C26-(C26*$E$6)</f>
        <v>37.055101395364517</v>
      </c>
      <c r="G26" s="27" t="str">
        <f t="shared" ref="G26:G31" si="9">IF(C26&gt;=F26,"-","+")</f>
        <v>-</v>
      </c>
      <c r="H26" s="26">
        <f t="shared" ref="H26:H31" si="10">C26*D26</f>
        <v>31168.959999999999</v>
      </c>
      <c r="I26" s="26">
        <f t="shared" ref="I26:I31" si="11">F26*D26</f>
        <v>30474.115387547779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733.3</v>
      </c>
      <c r="E27" s="29">
        <f t="shared" si="7"/>
        <v>0.17329142641081388</v>
      </c>
      <c r="F27" s="28">
        <f t="shared" si="8"/>
        <v>33.046502035971521</v>
      </c>
      <c r="G27" s="27" t="str">
        <f t="shared" si="9"/>
        <v>-</v>
      </c>
      <c r="H27" s="26">
        <f t="shared" si="10"/>
        <v>24785.539999999997</v>
      </c>
      <c r="I27" s="26">
        <f t="shared" si="11"/>
        <v>24232.999942977916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512.70000000000005</v>
      </c>
      <c r="E28" s="29">
        <f t="shared" si="7"/>
        <v>0.12115984497589567</v>
      </c>
      <c r="F28" s="28">
        <f t="shared" si="8"/>
        <v>33.046502035971521</v>
      </c>
      <c r="G28" s="27" t="str">
        <f t="shared" si="9"/>
        <v>-</v>
      </c>
      <c r="H28" s="26">
        <f t="shared" si="10"/>
        <v>17329.259999999998</v>
      </c>
      <c r="I28" s="26">
        <f t="shared" si="11"/>
        <v>16942.941593842599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461.1</v>
      </c>
      <c r="E29" s="29">
        <f t="shared" si="7"/>
        <v>0.10896587579166275</v>
      </c>
      <c r="F29" s="28">
        <f t="shared" si="8"/>
        <v>31.873253442978456</v>
      </c>
      <c r="G29" s="27" t="str">
        <f t="shared" si="9"/>
        <v>-</v>
      </c>
      <c r="H29" s="26">
        <f t="shared" si="10"/>
        <v>15031.86</v>
      </c>
      <c r="I29" s="26">
        <f t="shared" si="11"/>
        <v>14696.757162557367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277.89999999999998</v>
      </c>
      <c r="E30" s="29">
        <f t="shared" si="7"/>
        <v>6.5672558842990836E-2</v>
      </c>
      <c r="F30" s="28">
        <f t="shared" si="8"/>
        <v>31.873253442978456</v>
      </c>
      <c r="G30" s="27" t="str">
        <f t="shared" si="9"/>
        <v>-</v>
      </c>
      <c r="H30" s="26">
        <f t="shared" si="10"/>
        <v>9059.5399999999991</v>
      </c>
      <c r="I30" s="26">
        <f t="shared" si="11"/>
        <v>8857.5771318037114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71</v>
      </c>
      <c r="E31" s="29">
        <f t="shared" si="7"/>
        <v>1.6778523489932889E-2</v>
      </c>
      <c r="F31" s="28">
        <f t="shared" si="8"/>
        <v>32.45987773947499</v>
      </c>
      <c r="G31" s="27" t="str">
        <f t="shared" si="9"/>
        <v>-</v>
      </c>
      <c r="H31" s="26">
        <f t="shared" si="10"/>
        <v>2357.2000000000003</v>
      </c>
      <c r="I31" s="26">
        <f t="shared" si="11"/>
        <v>2304.6513195027242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34.648540856031126</v>
      </c>
      <c r="D32" s="22">
        <f>SUM(D26:D31)</f>
        <v>2878.3999999999996</v>
      </c>
      <c r="E32" s="21">
        <f t="shared" si="7"/>
        <v>0.68021552131581431</v>
      </c>
      <c r="F32" s="20">
        <f>I32/D32</f>
        <v>33.876126507167911</v>
      </c>
      <c r="G32" s="19">
        <f>F32/C32-1</f>
        <v>-2.229283917243996E-2</v>
      </c>
      <c r="H32" s="18">
        <f>SUM(H26:H31)</f>
        <v>99732.359999999986</v>
      </c>
      <c r="I32" s="18">
        <f>SUM(I26:I31)</f>
        <v>97509.042538232097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412.3</v>
      </c>
      <c r="E34" s="29">
        <f t="shared" ref="E34:E40" si="13">D34/$D$48</f>
        <v>9.7433594857737046E-2</v>
      </c>
      <c r="F34" s="28">
        <f t="shared" ref="F34:F39" si="14">C34-(C34*$E$6)</f>
        <v>19.5541432165512</v>
      </c>
      <c r="G34" s="27" t="str">
        <f t="shared" ref="G34:G39" si="15">IF(C34&gt;=F34,"-","+")</f>
        <v>-</v>
      </c>
      <c r="H34" s="26">
        <f t="shared" ref="H34:H39" si="16">C34*D34</f>
        <v>8246</v>
      </c>
      <c r="I34" s="26">
        <f t="shared" ref="I34:I39" si="17">F34*D34</f>
        <v>8062.17324818406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15.056690276744423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12.025798078178989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31.873253442978456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31.873253442978456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33.046502035971521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412.3</v>
      </c>
      <c r="E40" s="21">
        <f t="shared" si="13"/>
        <v>9.7433594857737046E-2</v>
      </c>
      <c r="F40" s="20">
        <f>I40/D40</f>
        <v>19.5541432165512</v>
      </c>
      <c r="G40" s="19">
        <f>F40/C40-1</f>
        <v>-2.229283917243996E-2</v>
      </c>
      <c r="H40" s="18">
        <f>SUM(H34:H39)</f>
        <v>8246</v>
      </c>
      <c r="I40" s="18">
        <f>SUM(I34:I39)</f>
        <v>8062.17324818406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642</v>
      </c>
      <c r="E42" s="107">
        <f>D42/$D$48</f>
        <v>0.15171566310615373</v>
      </c>
      <c r="F42" s="28">
        <f>C42-(C42*$E$6)</f>
        <v>0.48885358041377996</v>
      </c>
      <c r="G42" s="27" t="str">
        <f>IF(C42&gt;=F42,"-","+")</f>
        <v>-</v>
      </c>
      <c r="H42" s="26">
        <f>C42*D42</f>
        <v>321</v>
      </c>
      <c r="I42" s="26">
        <f>F42*D42</f>
        <v>313.84399862564675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13.3</v>
      </c>
      <c r="E43" s="107">
        <f>D43/$D$48</f>
        <v>3.1430191889592596E-3</v>
      </c>
      <c r="F43" s="28">
        <f>C43-(C43*$E$6)</f>
        <v>0.48885358041377996</v>
      </c>
      <c r="G43" s="27" t="str">
        <f>IF(C43&gt;=F43,"-","+")</f>
        <v>-</v>
      </c>
      <c r="H43" s="26">
        <f>C43*D43</f>
        <v>6.65</v>
      </c>
      <c r="I43" s="26">
        <f>F43*D43</f>
        <v>6.5017526195032742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5.8</v>
      </c>
      <c r="E44" s="107">
        <f>D44/$D$48</f>
        <v>1.37063994706494E-3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3.6</v>
      </c>
      <c r="E45" s="107">
        <f>D45/$D$48</f>
        <v>8.5074203610927327E-4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0.49292914096584928</v>
      </c>
      <c r="D46" s="22">
        <f>SUM(D41:D45)</f>
        <v>664.69999999999993</v>
      </c>
      <c r="E46" s="113">
        <f>D46/$D$48</f>
        <v>0.15708006427828719</v>
      </c>
      <c r="F46" s="20">
        <f>I46/D46</f>
        <v>0.48194035090288861</v>
      </c>
      <c r="G46" s="19">
        <f>F46/C46-1</f>
        <v>-2.229283917243996E-2</v>
      </c>
      <c r="H46" s="18">
        <f>SUM(H41:H44)</f>
        <v>327.64999999999998</v>
      </c>
      <c r="I46" s="18">
        <f>SUM(I41:I44)</f>
        <v>320.34575124515004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105.69324407375296</v>
      </c>
      <c r="D48" s="13">
        <f>D24+D32+D40+D46</f>
        <v>4231.5999999999995</v>
      </c>
      <c r="E48" s="12">
        <f>SUM(E20:E46)/2</f>
        <v>1</v>
      </c>
      <c r="F48" s="11">
        <f>I48/D48</f>
        <v>28.250000000000014</v>
      </c>
      <c r="G48" s="10"/>
      <c r="H48" s="9">
        <f>SUM(H20:H46)/2</f>
        <v>122268.40999999997</v>
      </c>
      <c r="I48" s="9">
        <f>SUM(I20:I46)/2</f>
        <v>119542.70000000004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4231.6000000000004</v>
      </c>
      <c r="E50" s="12">
        <f>D50/G2</f>
        <v>1</v>
      </c>
      <c r="F50" s="11">
        <f>I50/D50</f>
        <v>28.250000000000007</v>
      </c>
      <c r="G50" s="10"/>
      <c r="H50" s="9">
        <f>H48+H19</f>
        <v>122268.40999999997</v>
      </c>
      <c r="I50" s="9">
        <f>I48+I19</f>
        <v>119542.70000000004</v>
      </c>
      <c r="J50" s="106">
        <f>D50-G2</f>
        <v>0</v>
      </c>
      <c r="K50" s="8"/>
    </row>
    <row r="51" spans="1:11" ht="23.25" x14ac:dyDescent="0.35">
      <c r="A51" s="174" t="s">
        <v>880</v>
      </c>
      <c r="B51" s="169"/>
      <c r="C51" s="170"/>
      <c r="G51" s="7"/>
      <c r="H51" s="6"/>
      <c r="I51" s="6">
        <f>+I50/D50</f>
        <v>28.250000000000007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873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879</v>
      </c>
      <c r="D2" s="96" t="s">
        <v>3</v>
      </c>
      <c r="E2" s="95" t="s">
        <v>71</v>
      </c>
      <c r="F2" s="94" t="s">
        <v>5</v>
      </c>
      <c r="G2" s="116">
        <v>22679.1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256</v>
      </c>
      <c r="F3" s="88" t="s">
        <v>8</v>
      </c>
      <c r="G3" s="120">
        <v>28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88.590234374999994</v>
      </c>
      <c r="F4" s="81" t="s">
        <v>12</v>
      </c>
      <c r="G4" s="80">
        <f>G2*G3</f>
        <v>635014.79999999993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-1.2567132234182932E-2</v>
      </c>
      <c r="F6" s="69" t="s">
        <v>16</v>
      </c>
      <c r="G6" s="68">
        <f>(I50-I19)/(D50-(SUM(D42:D44)+D19))</f>
        <v>33.236210297174601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</v>
      </c>
      <c r="D10" s="30"/>
      <c r="E10" s="29">
        <f t="shared" ref="E10:E19" si="1">D10/$D$19</f>
        <v>0</v>
      </c>
      <c r="F10" s="28">
        <f t="shared" ref="F10:F18" si="2">C10-(C10*$E$6)</f>
        <v>28.35187970255712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30">
        <v>3027.3</v>
      </c>
      <c r="E11" s="29">
        <f t="shared" si="1"/>
        <v>0.50677983125753323</v>
      </c>
      <c r="F11" s="28">
        <f t="shared" si="2"/>
        <v>29.56696026123814</v>
      </c>
      <c r="G11" s="27" t="str">
        <f t="shared" si="3"/>
        <v>+</v>
      </c>
      <c r="H11" s="34">
        <f t="shared" si="4"/>
        <v>88397.16</v>
      </c>
      <c r="I11" s="34">
        <f t="shared" si="5"/>
        <v>89508.058798846221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26.6</v>
      </c>
      <c r="D12" s="30">
        <v>1577.6</v>
      </c>
      <c r="E12" s="29">
        <f t="shared" si="1"/>
        <v>0.26409535288603186</v>
      </c>
      <c r="F12" s="28">
        <f t="shared" si="2"/>
        <v>26.934285717429269</v>
      </c>
      <c r="G12" s="27" t="str">
        <f t="shared" si="3"/>
        <v>+</v>
      </c>
      <c r="H12" s="34">
        <f t="shared" si="4"/>
        <v>41964.159999999996</v>
      </c>
      <c r="I12" s="34">
        <f t="shared" si="5"/>
        <v>42491.529147816414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30">
        <v>844.9</v>
      </c>
      <c r="E13" s="29">
        <f t="shared" si="1"/>
        <v>0.1414389982590063</v>
      </c>
      <c r="F13" s="28">
        <f t="shared" si="2"/>
        <v>29.56696026123814</v>
      </c>
      <c r="G13" s="27" t="str">
        <f t="shared" si="3"/>
        <v>+</v>
      </c>
      <c r="H13" s="34">
        <f t="shared" si="4"/>
        <v>24671.079999999998</v>
      </c>
      <c r="I13" s="34">
        <f t="shared" si="5"/>
        <v>24981.124724720103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32.6</v>
      </c>
      <c r="D14" s="30">
        <v>523.79999999999995</v>
      </c>
      <c r="E14" s="29">
        <f t="shared" si="1"/>
        <v>8.7685817597428689E-2</v>
      </c>
      <c r="F14" s="28">
        <f t="shared" si="2"/>
        <v>33.009688510834366</v>
      </c>
      <c r="G14" s="27" t="str">
        <f t="shared" si="3"/>
        <v>+</v>
      </c>
      <c r="H14" s="34">
        <f t="shared" si="4"/>
        <v>17075.88</v>
      </c>
      <c r="I14" s="34">
        <f t="shared" si="5"/>
        <v>17290.474841975039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30"/>
      <c r="E15" s="29">
        <f t="shared" si="1"/>
        <v>0</v>
      </c>
      <c r="F15" s="28">
        <f t="shared" si="2"/>
        <v>27.238055857099518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36.799999999999997</v>
      </c>
      <c r="D16" s="30"/>
      <c r="E16" s="29">
        <f t="shared" si="1"/>
        <v>0</v>
      </c>
      <c r="F16" s="28">
        <f t="shared" si="2"/>
        <v>37.262470466217927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54.2</v>
      </c>
      <c r="D17" s="30"/>
      <c r="E17" s="29">
        <f t="shared" si="1"/>
        <v>0</v>
      </c>
      <c r="F17" s="28">
        <f t="shared" si="2"/>
        <v>54.881138567092719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47.4</v>
      </c>
      <c r="D18" s="30"/>
      <c r="E18" s="29">
        <f t="shared" si="1"/>
        <v>0</v>
      </c>
      <c r="F18" s="28">
        <f t="shared" si="2"/>
        <v>47.995682067900269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28.811483862327577</v>
      </c>
      <c r="D19" s="49">
        <f>SUM(D10:D18)</f>
        <v>5973.5999999999995</v>
      </c>
      <c r="E19" s="48">
        <f t="shared" si="1"/>
        <v>1</v>
      </c>
      <c r="F19" s="47">
        <f>I19/D19</f>
        <v>29.173561589888475</v>
      </c>
      <c r="G19" s="46">
        <f>F19/C19-1</f>
        <v>1.2567132234182932E-2</v>
      </c>
      <c r="H19" s="9">
        <f>SUM(H10:H18)</f>
        <v>172108.28</v>
      </c>
      <c r="I19" s="9">
        <f>SUM(I10:I18)</f>
        <v>174271.18751335779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70.400000000000006</v>
      </c>
      <c r="D21" s="30">
        <v>160</v>
      </c>
      <c r="E21" s="29">
        <f>D21/$D$48</f>
        <v>9.5774546717028123E-3</v>
      </c>
      <c r="F21" s="28">
        <f>C21-(C21*$E$6)</f>
        <v>71.284726109286481</v>
      </c>
      <c r="G21" s="27" t="str">
        <f>IF(C21&gt;=F21,"-","+")</f>
        <v>+</v>
      </c>
      <c r="H21" s="26">
        <f>C21*D21</f>
        <v>11264</v>
      </c>
      <c r="I21" s="26">
        <f>F21*D21</f>
        <v>11405.556177485836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47.3</v>
      </c>
      <c r="D22" s="30">
        <v>571.70000000000005</v>
      </c>
      <c r="E22" s="29">
        <f>D22/$D$48</f>
        <v>3.4221442723828113E-2</v>
      </c>
      <c r="F22" s="28">
        <f>C22-(C22*$E$6)</f>
        <v>47.894425354676848</v>
      </c>
      <c r="G22" s="27" t="str">
        <f>IF(C22&gt;=F22,"-","+")</f>
        <v>+</v>
      </c>
      <c r="H22" s="26">
        <f>C22*D22</f>
        <v>27041.41</v>
      </c>
      <c r="I22" s="26">
        <f>F22*D22</f>
        <v>27381.242975268757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43.1</v>
      </c>
      <c r="D23" s="30">
        <v>322.60000000000002</v>
      </c>
      <c r="E23" s="29">
        <f>D23/$D$48</f>
        <v>1.9310542981820798E-2</v>
      </c>
      <c r="F23" s="28">
        <f>C23-(C23*$E$6)</f>
        <v>43.641643399293287</v>
      </c>
      <c r="G23" s="27" t="str">
        <f>IF(C23&gt;=F23,"-","+")</f>
        <v>+</v>
      </c>
      <c r="H23" s="26">
        <f>C23*D23</f>
        <v>13904.060000000001</v>
      </c>
      <c r="I23" s="26">
        <f>F23*D23</f>
        <v>14078.794160612015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49.520506497201929</v>
      </c>
      <c r="D24" s="22">
        <f>SUM(D21:D23)</f>
        <v>1054.3000000000002</v>
      </c>
      <c r="E24" s="21">
        <f>D24/$D$48</f>
        <v>6.3109440377351736E-2</v>
      </c>
      <c r="F24" s="20">
        <f>I24/D24</f>
        <v>50.14283725065598</v>
      </c>
      <c r="G24" s="19">
        <f>F24/C24-1</f>
        <v>1.2567132234182932E-2</v>
      </c>
      <c r="H24" s="18">
        <f>SUM(H21:H23)</f>
        <v>52209.47</v>
      </c>
      <c r="I24" s="18">
        <f>SUM(I21:I23)</f>
        <v>52865.593313366611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37.6</v>
      </c>
      <c r="D26" s="30">
        <f>886.6+559.6+128.8+1619.8</f>
        <v>3194.8</v>
      </c>
      <c r="E26" s="29">
        <f t="shared" ref="E26:E32" si="7">D26/$D$48</f>
        <v>0.19123782615722593</v>
      </c>
      <c r="F26" s="28">
        <f t="shared" ref="F26:F31" si="8">C26-(C26*$E$6)</f>
        <v>38.072524172005281</v>
      </c>
      <c r="G26" s="27" t="str">
        <f t="shared" ref="G26:G31" si="9">IF(C26&gt;=F26,"-","+")</f>
        <v>+</v>
      </c>
      <c r="H26" s="26">
        <f t="shared" ref="H26:H31" si="10">C26*D26</f>
        <v>120124.48000000001</v>
      </c>
      <c r="I26" s="26">
        <f t="shared" ref="I26:I31" si="11">F26*D26</f>
        <v>121634.10022472248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30">
        <v>2838</v>
      </c>
      <c r="E27" s="29">
        <f t="shared" si="7"/>
        <v>0.16988010223932865</v>
      </c>
      <c r="F27" s="28">
        <f t="shared" si="8"/>
        <v>33.920998929845126</v>
      </c>
      <c r="G27" s="27" t="str">
        <f t="shared" si="9"/>
        <v>+</v>
      </c>
      <c r="H27" s="26">
        <f t="shared" si="10"/>
        <v>95073</v>
      </c>
      <c r="I27" s="26">
        <f t="shared" si="11"/>
        <v>96267.794962900472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30">
        <v>1583.2</v>
      </c>
      <c r="E28" s="29">
        <f t="shared" si="7"/>
        <v>9.4768913976499336E-2</v>
      </c>
      <c r="F28" s="28">
        <f t="shared" si="8"/>
        <v>33.920998929845126</v>
      </c>
      <c r="G28" s="27" t="str">
        <f t="shared" si="9"/>
        <v>+</v>
      </c>
      <c r="H28" s="26">
        <f t="shared" si="10"/>
        <v>53037.200000000004</v>
      </c>
      <c r="I28" s="26">
        <f t="shared" si="11"/>
        <v>53703.725505730807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32.299999999999997</v>
      </c>
      <c r="D29" s="30">
        <v>1326.3</v>
      </c>
      <c r="E29" s="29">
        <f t="shared" si="7"/>
        <v>7.9391113319246503E-2</v>
      </c>
      <c r="F29" s="28">
        <f t="shared" si="8"/>
        <v>32.705918371164103</v>
      </c>
      <c r="G29" s="27" t="str">
        <f t="shared" si="9"/>
        <v>+</v>
      </c>
      <c r="H29" s="26">
        <f t="shared" si="10"/>
        <v>42839.49</v>
      </c>
      <c r="I29" s="26">
        <f t="shared" si="11"/>
        <v>43377.85953567495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32.299999999999997</v>
      </c>
      <c r="D30" s="30">
        <v>968</v>
      </c>
      <c r="E30" s="29">
        <f t="shared" si="7"/>
        <v>5.794360076380202E-2</v>
      </c>
      <c r="F30" s="28">
        <f t="shared" si="8"/>
        <v>32.705918371164103</v>
      </c>
      <c r="G30" s="27" t="str">
        <f t="shared" si="9"/>
        <v>+</v>
      </c>
      <c r="H30" s="26">
        <f t="shared" si="10"/>
        <v>31266.399999999998</v>
      </c>
      <c r="I30" s="26">
        <f t="shared" si="11"/>
        <v>31659.32898328685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32.9</v>
      </c>
      <c r="D31" s="30">
        <v>201.8</v>
      </c>
      <c r="E31" s="29">
        <f t="shared" si="7"/>
        <v>1.2079564704685174E-2</v>
      </c>
      <c r="F31" s="28">
        <f t="shared" si="8"/>
        <v>33.313458650504614</v>
      </c>
      <c r="G31" s="27" t="str">
        <f t="shared" si="9"/>
        <v>+</v>
      </c>
      <c r="H31" s="26">
        <f t="shared" si="10"/>
        <v>6639.22</v>
      </c>
      <c r="I31" s="26">
        <f t="shared" si="11"/>
        <v>6722.6559556718312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34.511109462920665</v>
      </c>
      <c r="D32" s="22">
        <f>SUM(D26:D31)</f>
        <v>10112.099999999999</v>
      </c>
      <c r="E32" s="21">
        <f t="shared" si="7"/>
        <v>0.60530112116078749</v>
      </c>
      <c r="F32" s="20">
        <f>I32/D32</f>
        <v>34.944815139089556</v>
      </c>
      <c r="G32" s="19">
        <f>F32/C32-1</f>
        <v>1.2567132234183154E-2</v>
      </c>
      <c r="H32" s="18">
        <f>SUM(H26:H31)</f>
        <v>348979.79</v>
      </c>
      <c r="I32" s="18">
        <f>SUM(I26:I31)</f>
        <v>353365.46516798745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30">
        <f>1011.9+1497.1</f>
        <v>2509</v>
      </c>
      <c r="E34" s="29">
        <f t="shared" ref="E34:E40" si="13">D34/$D$48</f>
        <v>0.15018646107063974</v>
      </c>
      <c r="F34" s="28">
        <f t="shared" ref="F34:F39" si="14">C34-(C34*$E$6)</f>
        <v>20.048829218236822</v>
      </c>
      <c r="G34" s="27" t="str">
        <f t="shared" ref="G34:G39" si="15">IF(C34&gt;=F34,"-","+")</f>
        <v>+</v>
      </c>
      <c r="H34" s="26">
        <f t="shared" ref="H34:H39" si="16">C34*D34</f>
        <v>49678.200000000004</v>
      </c>
      <c r="I34" s="26">
        <f t="shared" ref="I34:I39" si="17">F34*D34</f>
        <v>50302.512508556189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180.7</v>
      </c>
      <c r="E35" s="29">
        <f t="shared" si="13"/>
        <v>1.0816537869854363E-2</v>
      </c>
      <c r="F35" s="28">
        <f t="shared" si="14"/>
        <v>15.39102040995958</v>
      </c>
      <c r="G35" s="27" t="str">
        <f t="shared" si="15"/>
        <v>+</v>
      </c>
      <c r="H35" s="26">
        <f t="shared" si="16"/>
        <v>2746.64</v>
      </c>
      <c r="I35" s="26">
        <f t="shared" si="17"/>
        <v>2781.1573880796959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12.353319013257032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32.299999999999997</v>
      </c>
      <c r="D37" s="30"/>
      <c r="E37" s="29">
        <f t="shared" si="13"/>
        <v>0</v>
      </c>
      <c r="F37" s="28">
        <f t="shared" si="14"/>
        <v>32.705918371164103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32.299999999999997</v>
      </c>
      <c r="D38" s="30"/>
      <c r="E38" s="29">
        <f t="shared" si="13"/>
        <v>0</v>
      </c>
      <c r="F38" s="28">
        <f t="shared" si="14"/>
        <v>32.705918371164103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30"/>
      <c r="E39" s="29">
        <f t="shared" si="13"/>
        <v>0</v>
      </c>
      <c r="F39" s="28">
        <f t="shared" si="14"/>
        <v>33.920998929845126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19.490961817303049</v>
      </c>
      <c r="D40" s="22">
        <f>SUM(D34:D39)</f>
        <v>2689.7</v>
      </c>
      <c r="E40" s="113">
        <f t="shared" si="13"/>
        <v>0.16100299894049408</v>
      </c>
      <c r="F40" s="20">
        <f>I40/D40</f>
        <v>19.735907311832502</v>
      </c>
      <c r="G40" s="19">
        <f>F40/C40-1</f>
        <v>1.256713223418271E-2</v>
      </c>
      <c r="H40" s="18">
        <f>SUM(H34:H39)</f>
        <v>52424.840000000004</v>
      </c>
      <c r="I40" s="18">
        <f>SUM(I34:I39)</f>
        <v>53083.669896635882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203.3+1389.9+1170</f>
        <v>2763.2</v>
      </c>
      <c r="E42" s="107">
        <f>D42/$D$48</f>
        <v>0.16540264218030756</v>
      </c>
      <c r="F42" s="28">
        <f>C42-(C42*$E$6)</f>
        <v>0.50628356611709147</v>
      </c>
      <c r="G42" s="27" t="str">
        <f>IF(C42&gt;=F42,"-","+")</f>
        <v>+</v>
      </c>
      <c r="H42" s="26">
        <f>C42*D42</f>
        <v>1381.6</v>
      </c>
      <c r="I42" s="26">
        <f>F42*D42</f>
        <v>1398.962749894747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59.1</v>
      </c>
      <c r="E43" s="107">
        <f>D43/$D$48</f>
        <v>3.5376723193602266E-3</v>
      </c>
      <c r="F43" s="28">
        <f>C43-(C43*$E$6)</f>
        <v>0.50628356611709147</v>
      </c>
      <c r="G43" s="27" t="str">
        <f>IF(C43&gt;=F43,"-","+")</f>
        <v>+</v>
      </c>
      <c r="H43" s="26">
        <f>C43*D43</f>
        <v>29.55</v>
      </c>
      <c r="I43" s="26">
        <f>F43*D43</f>
        <v>29.921358757520107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20.9</v>
      </c>
      <c r="E44" s="107">
        <f>D44/$D$48</f>
        <v>1.2510550164911798E-3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6.6</v>
      </c>
      <c r="E45" s="107">
        <f>D45/$D$48</f>
        <v>3.95070005207741E-4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0.49517510000701803</v>
      </c>
      <c r="D46" s="22">
        <f>SUM(D41:D45)</f>
        <v>2849.7999999999997</v>
      </c>
      <c r="E46" s="113">
        <f>D46/$D$48</f>
        <v>0.17058643952136671</v>
      </c>
      <c r="F46" s="20">
        <f>I46/D46</f>
        <v>0.50139803096788094</v>
      </c>
      <c r="G46" s="19">
        <f>F46/C46-1</f>
        <v>1.2567132234182932E-2</v>
      </c>
      <c r="H46" s="18">
        <f>SUM(H41:H44)</f>
        <v>1411.1499999999999</v>
      </c>
      <c r="I46" s="18">
        <f>SUM(I41:I44)</f>
        <v>1428.8841086522671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104.01775287743266</v>
      </c>
      <c r="D48" s="13">
        <f>D24+D32+D40+D46</f>
        <v>16705.899999999998</v>
      </c>
      <c r="E48" s="12">
        <f>SUM(E20:E46)/2</f>
        <v>1.0000000000000002</v>
      </c>
      <c r="F48" s="11">
        <f>I48/D48</f>
        <v>27.579694149171388</v>
      </c>
      <c r="G48" s="10"/>
      <c r="H48" s="9">
        <f>SUM(H20:H46)/2</f>
        <v>455025.25</v>
      </c>
      <c r="I48" s="9">
        <f>SUM(I20:I46)/2</f>
        <v>460743.6124866422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22679.499999999996</v>
      </c>
      <c r="E50" s="12">
        <f>D50/G2</f>
        <v>1.0000176373841994</v>
      </c>
      <c r="F50" s="11">
        <f>I50/D50</f>
        <v>27.999506161952432</v>
      </c>
      <c r="G50" s="10"/>
      <c r="H50" s="9">
        <f>H48+H19</f>
        <v>627133.53</v>
      </c>
      <c r="I50" s="9">
        <f>I48+I19</f>
        <v>635014.80000000005</v>
      </c>
      <c r="J50" s="106">
        <f>D50-G2</f>
        <v>0.39999999999781721</v>
      </c>
      <c r="K50" s="8"/>
    </row>
    <row r="51" spans="1:11" ht="23.25" x14ac:dyDescent="0.35">
      <c r="A51" s="174" t="s">
        <v>881</v>
      </c>
      <c r="B51" s="169"/>
      <c r="C51" s="170"/>
      <c r="G51" s="7"/>
      <c r="H51" s="6"/>
      <c r="I51" s="6">
        <f>+I50/D50</f>
        <v>27.999506161952432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882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882</v>
      </c>
      <c r="D2" s="96" t="s">
        <v>3</v>
      </c>
      <c r="E2" s="95" t="s">
        <v>112</v>
      </c>
      <c r="F2" s="94" t="s">
        <v>5</v>
      </c>
      <c r="G2" s="93">
        <v>6474.8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116</v>
      </c>
      <c r="F3" s="88" t="s">
        <v>8</v>
      </c>
      <c r="G3" s="87">
        <v>24.35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55.817241379310346</v>
      </c>
      <c r="F4" s="81" t="s">
        <v>12</v>
      </c>
      <c r="G4" s="80">
        <f>G2*G3</f>
        <v>157661.38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-0.10819045104699709</v>
      </c>
      <c r="F6" s="69" t="s">
        <v>16</v>
      </c>
      <c r="G6" s="68">
        <f>(I50-I19)/(D50-(SUM(D42:D44)+D19))</f>
        <v>31.279537338306476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24.4</v>
      </c>
      <c r="D10" s="30"/>
      <c r="E10" s="29" t="e">
        <f t="shared" ref="E10:E19" si="1">D10/$D$19</f>
        <v>#DIV/0!</v>
      </c>
      <c r="F10" s="28">
        <f t="shared" ref="F10:F18" si="2">C10-(C10*$E$6)</f>
        <v>27.039847005546726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25.4</v>
      </c>
      <c r="D11" s="30"/>
      <c r="E11" s="29" t="e">
        <f t="shared" si="1"/>
        <v>#DIV/0!</v>
      </c>
      <c r="F11" s="28">
        <f t="shared" si="2"/>
        <v>28.148037456593723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23.2</v>
      </c>
      <c r="D12" s="30"/>
      <c r="E12" s="29" t="e">
        <f t="shared" si="1"/>
        <v>#DIV/0!</v>
      </c>
      <c r="F12" s="28">
        <f t="shared" si="2"/>
        <v>25.710018464290332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25.4</v>
      </c>
      <c r="D13" s="30"/>
      <c r="E13" s="29" t="e">
        <f t="shared" si="1"/>
        <v>#DIV/0!</v>
      </c>
      <c r="F13" s="28">
        <f t="shared" si="2"/>
        <v>28.148037456593723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28.3</v>
      </c>
      <c r="D14" s="30"/>
      <c r="E14" s="29" t="e">
        <f t="shared" si="1"/>
        <v>#DIV/0!</v>
      </c>
      <c r="F14" s="28">
        <f t="shared" si="2"/>
        <v>31.361789764630018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23.4</v>
      </c>
      <c r="D15" s="30"/>
      <c r="E15" s="29" t="e">
        <f t="shared" si="1"/>
        <v>#DIV/0!</v>
      </c>
      <c r="F15" s="28">
        <f t="shared" si="2"/>
        <v>25.931656554499732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</v>
      </c>
      <c r="D16" s="30"/>
      <c r="E16" s="29" t="e">
        <f t="shared" si="1"/>
        <v>#DIV/0!</v>
      </c>
      <c r="F16" s="28">
        <f t="shared" si="2"/>
        <v>35.462094433503907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47.1</v>
      </c>
      <c r="D17" s="30"/>
      <c r="E17" s="29" t="e">
        <f t="shared" si="1"/>
        <v>#DIV/0!</v>
      </c>
      <c r="F17" s="28">
        <f t="shared" si="2"/>
        <v>52.195770244313564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41.3</v>
      </c>
      <c r="D18" s="30"/>
      <c r="E18" s="29" t="e">
        <f t="shared" si="1"/>
        <v>#DIV/0!</v>
      </c>
      <c r="F18" s="28">
        <f t="shared" si="2"/>
        <v>45.768265628240975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61.2</v>
      </c>
      <c r="D21" s="30">
        <v>84.1</v>
      </c>
      <c r="E21" s="29">
        <f>D21/$D$48</f>
        <v>1.2988818187434359E-2</v>
      </c>
      <c r="F21" s="28">
        <f>C21-(C21*$E$6)</f>
        <v>67.821255604076228</v>
      </c>
      <c r="G21" s="27" t="str">
        <f>IF(C21&gt;=F21,"-","+")</f>
        <v>+</v>
      </c>
      <c r="H21" s="26">
        <f>C21*D21</f>
        <v>5146.92</v>
      </c>
      <c r="I21" s="26">
        <f>F21*D21</f>
        <v>5703.7675963028105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41.1</v>
      </c>
      <c r="D22" s="30">
        <v>180.3</v>
      </c>
      <c r="E22" s="29">
        <f>D22/$D$48</f>
        <v>2.7846419966639897E-2</v>
      </c>
      <c r="F22" s="28">
        <f>C22-(C22*$E$6)</f>
        <v>45.546627538031579</v>
      </c>
      <c r="G22" s="27" t="str">
        <f>IF(C22&gt;=F22,"-","+")</f>
        <v>+</v>
      </c>
      <c r="H22" s="26">
        <f>C22*D22</f>
        <v>7410.3300000000008</v>
      </c>
      <c r="I22" s="26">
        <f>F22*D22</f>
        <v>8212.0569451070951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37.5</v>
      </c>
      <c r="D23" s="30">
        <v>116</v>
      </c>
      <c r="E23" s="29">
        <f>D23/$D$48</f>
        <v>1.791561129301291E-2</v>
      </c>
      <c r="F23" s="28">
        <f>C23-(C23*$E$6)</f>
        <v>41.557141914262388</v>
      </c>
      <c r="G23" s="27" t="str">
        <f>IF(C23&gt;=F23,"-","+")</f>
        <v>+</v>
      </c>
      <c r="H23" s="26">
        <f>C23*D23</f>
        <v>4350</v>
      </c>
      <c r="I23" s="26">
        <f>F23*D23</f>
        <v>4820.6284620544375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44.445977917981075</v>
      </c>
      <c r="D24" s="22">
        <f>SUM(D21:D23)</f>
        <v>380.4</v>
      </c>
      <c r="E24" s="21">
        <f>D24/$D$48</f>
        <v>5.8750849447087167E-2</v>
      </c>
      <c r="F24" s="20">
        <f>I24/D24</f>
        <v>49.254608316152321</v>
      </c>
      <c r="G24" s="19">
        <f>F24/C24-1</f>
        <v>0.10819045104699709</v>
      </c>
      <c r="H24" s="18">
        <f>SUM(H21:H23)</f>
        <v>16907.25</v>
      </c>
      <c r="I24" s="18">
        <f>SUM(I21:I23)</f>
        <v>18736.453003464343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32.700000000000003</v>
      </c>
      <c r="D26" s="30">
        <f>1071.5</f>
        <v>1071.5</v>
      </c>
      <c r="E26" s="29">
        <f t="shared" ref="E26:E32" si="7">D26/$D$48</f>
        <v>0.16548773707295977</v>
      </c>
      <c r="F26" s="28">
        <f t="shared" ref="F26:F31" si="8">C26-(C26*$E$6)</f>
        <v>36.237827749236807</v>
      </c>
      <c r="G26" s="27" t="str">
        <f t="shared" ref="G26:G31" si="9">IF(C26&gt;=F26,"-","+")</f>
        <v>+</v>
      </c>
      <c r="H26" s="26">
        <f t="shared" ref="H26:H31" si="10">C26*D26</f>
        <v>35038.050000000003</v>
      </c>
      <c r="I26" s="26">
        <f t="shared" ref="I26:I31" si="11">F26*D26</f>
        <v>38828.832433307238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29.1</v>
      </c>
      <c r="D27" s="30">
        <v>815</v>
      </c>
      <c r="E27" s="29">
        <f t="shared" si="7"/>
        <v>0.12587261382590967</v>
      </c>
      <c r="F27" s="28">
        <f t="shared" si="8"/>
        <v>32.248342125467616</v>
      </c>
      <c r="G27" s="27" t="str">
        <f t="shared" si="9"/>
        <v>+</v>
      </c>
      <c r="H27" s="26">
        <f t="shared" si="10"/>
        <v>23716.5</v>
      </c>
      <c r="I27" s="26">
        <f t="shared" si="11"/>
        <v>26282.398832256105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29.1</v>
      </c>
      <c r="D28" s="30">
        <v>703.9</v>
      </c>
      <c r="E28" s="29">
        <f t="shared" si="7"/>
        <v>0.10871378266510162</v>
      </c>
      <c r="F28" s="28">
        <f t="shared" si="8"/>
        <v>32.248342125467616</v>
      </c>
      <c r="G28" s="27" t="str">
        <f t="shared" si="9"/>
        <v>+</v>
      </c>
      <c r="H28" s="26">
        <f t="shared" si="10"/>
        <v>20483.490000000002</v>
      </c>
      <c r="I28" s="26">
        <f t="shared" si="11"/>
        <v>22699.608022116656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28.1</v>
      </c>
      <c r="D29" s="30">
        <v>518.6</v>
      </c>
      <c r="E29" s="29">
        <f t="shared" si="7"/>
        <v>8.0095138073762895E-2</v>
      </c>
      <c r="F29" s="28">
        <f t="shared" si="8"/>
        <v>31.140151674420618</v>
      </c>
      <c r="G29" s="27" t="str">
        <f t="shared" si="9"/>
        <v>+</v>
      </c>
      <c r="H29" s="26">
        <f t="shared" si="10"/>
        <v>14572.660000000002</v>
      </c>
      <c r="I29" s="26">
        <f t="shared" si="11"/>
        <v>16149.282658354534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28.1</v>
      </c>
      <c r="D30" s="30">
        <v>268.60000000000002</v>
      </c>
      <c r="E30" s="29">
        <f t="shared" si="7"/>
        <v>4.1483906838821277E-2</v>
      </c>
      <c r="F30" s="28">
        <f t="shared" si="8"/>
        <v>31.140151674420618</v>
      </c>
      <c r="G30" s="27" t="str">
        <f t="shared" si="9"/>
        <v>+</v>
      </c>
      <c r="H30" s="26">
        <f t="shared" si="10"/>
        <v>7547.6600000000008</v>
      </c>
      <c r="I30" s="26">
        <f t="shared" si="11"/>
        <v>8364.2447397493779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28.6</v>
      </c>
      <c r="D31" s="30">
        <v>155.80000000000001</v>
      </c>
      <c r="E31" s="29">
        <f t="shared" si="7"/>
        <v>2.4062519305615617E-2</v>
      </c>
      <c r="F31" s="28">
        <f t="shared" si="8"/>
        <v>31.694246899944119</v>
      </c>
      <c r="G31" s="27" t="str">
        <f t="shared" si="9"/>
        <v>+</v>
      </c>
      <c r="H31" s="26">
        <f t="shared" si="10"/>
        <v>4455.88</v>
      </c>
      <c r="I31" s="26">
        <f t="shared" si="11"/>
        <v>4937.9636670112941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29.946861379973967</v>
      </c>
      <c r="D32" s="22">
        <f>SUM(D26:D31)</f>
        <v>3533.4</v>
      </c>
      <c r="E32" s="21">
        <f t="shared" si="7"/>
        <v>0.54571569778217088</v>
      </c>
      <c r="F32" s="20">
        <f>I32/D32</f>
        <v>33.186825820115246</v>
      </c>
      <c r="G32" s="19">
        <f>F32/C32-1</f>
        <v>0.10819045104699709</v>
      </c>
      <c r="H32" s="18">
        <f>SUM(H26:H31)</f>
        <v>105814.24000000002</v>
      </c>
      <c r="I32" s="18">
        <f>SUM(I26:I31)</f>
        <v>117262.33035279521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17.2</v>
      </c>
      <c r="D34" s="30">
        <f>645.6+394.3</f>
        <v>1039.9000000000001</v>
      </c>
      <c r="E34" s="29">
        <f t="shared" ref="E34:E40" si="13">D34/$D$48</f>
        <v>0.16060727744486317</v>
      </c>
      <c r="F34" s="28">
        <f t="shared" ref="F34:F39" si="14">C34-(C34*$E$6)</f>
        <v>19.060875758008351</v>
      </c>
      <c r="G34" s="27" t="str">
        <f t="shared" ref="G34:G39" si="15">IF(C34&gt;=F34,"-","+")</f>
        <v>+</v>
      </c>
      <c r="H34" s="26">
        <f t="shared" ref="H34:H39" si="16">C34*D34</f>
        <v>17886.280000000002</v>
      </c>
      <c r="I34" s="26">
        <f t="shared" ref="I34:I39" si="17">F34*D34</f>
        <v>19821.404700752886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13.2</v>
      </c>
      <c r="D35" s="30">
        <v>82.4</v>
      </c>
      <c r="E35" s="29">
        <f t="shared" si="13"/>
        <v>1.2726261815036758E-2</v>
      </c>
      <c r="F35" s="28">
        <f t="shared" si="14"/>
        <v>14.62811395382036</v>
      </c>
      <c r="G35" s="27" t="str">
        <f t="shared" si="15"/>
        <v>+</v>
      </c>
      <c r="H35" s="26">
        <f t="shared" si="16"/>
        <v>1087.68</v>
      </c>
      <c r="I35" s="26">
        <f t="shared" si="17"/>
        <v>1205.3565897947979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11.746818781098169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28.1</v>
      </c>
      <c r="D37" s="30"/>
      <c r="E37" s="29">
        <f t="shared" si="13"/>
        <v>0</v>
      </c>
      <c r="F37" s="28">
        <f t="shared" si="14"/>
        <v>31.140151674420618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28.1</v>
      </c>
      <c r="D38" s="30"/>
      <c r="E38" s="29">
        <f t="shared" si="13"/>
        <v>0</v>
      </c>
      <c r="F38" s="28">
        <f t="shared" si="14"/>
        <v>31.140151674420618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29.1</v>
      </c>
      <c r="D39" s="30"/>
      <c r="E39" s="29">
        <f t="shared" si="13"/>
        <v>0</v>
      </c>
      <c r="F39" s="28">
        <f t="shared" si="14"/>
        <v>32.248342125467616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16.906317383943687</v>
      </c>
      <c r="D40" s="22">
        <f>SUM(D34:D39)</f>
        <v>1122.3000000000002</v>
      </c>
      <c r="E40" s="113">
        <f t="shared" si="13"/>
        <v>0.17333353925989994</v>
      </c>
      <c r="F40" s="20">
        <f>I40/D40</f>
        <v>18.735419487256245</v>
      </c>
      <c r="G40" s="19">
        <f>F40/C40-1</f>
        <v>0.10819045104699732</v>
      </c>
      <c r="H40" s="18">
        <f>SUM(H34:H39)</f>
        <v>18973.960000000003</v>
      </c>
      <c r="I40" s="18">
        <f>SUM(I34:I39)</f>
        <v>21026.761290547685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708+79+595.4</f>
        <v>1382.4</v>
      </c>
      <c r="E42" s="107">
        <f>D42/$D$48</f>
        <v>0.2135046642367332</v>
      </c>
      <c r="F42" s="28">
        <f>C42-(C42*$E$6)</f>
        <v>0.44327618041879885</v>
      </c>
      <c r="G42" s="27" t="str">
        <f>IF(C42&gt;=F42,"-","+")</f>
        <v>+</v>
      </c>
      <c r="H42" s="26">
        <f>C42*D42</f>
        <v>552.96</v>
      </c>
      <c r="I42" s="26">
        <f>F42*D42</f>
        <v>612.78499181094753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52</v>
      </c>
      <c r="E43" s="107">
        <f>D43/$D$48</f>
        <v>8.031136096867857E-3</v>
      </c>
      <c r="F43" s="28">
        <f>C43-(C43*$E$6)</f>
        <v>0.44327618041879885</v>
      </c>
      <c r="G43" s="27" t="str">
        <f>IF(C43&gt;=F43,"-","+")</f>
        <v>+</v>
      </c>
      <c r="H43" s="26">
        <f>C43*D43</f>
        <v>20.8</v>
      </c>
      <c r="I43" s="26">
        <f>F43*D43</f>
        <v>23.050361381777542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4.3</v>
      </c>
      <c r="E45" s="107">
        <f>D45/$D$48</f>
        <v>6.6411317724099578E-4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0.39880447626329324</v>
      </c>
      <c r="D46" s="22">
        <f>SUM(D41:D45)</f>
        <v>1438.7</v>
      </c>
      <c r="E46" s="113">
        <f>D46/$D$48</f>
        <v>0.22219991351084203</v>
      </c>
      <c r="F46" s="20">
        <f>I46/D46</f>
        <v>0.44195131242978036</v>
      </c>
      <c r="G46" s="19">
        <f>F46/C46-1</f>
        <v>0.10819045104699709</v>
      </c>
      <c r="H46" s="18">
        <f>SUM(H41:H44)</f>
        <v>573.76</v>
      </c>
      <c r="I46" s="18">
        <f>SUM(I41:I44)</f>
        <v>635.83535319272505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91.69796115816203</v>
      </c>
      <c r="D48" s="13">
        <f>D24+D32+D40+D46</f>
        <v>6474.8</v>
      </c>
      <c r="E48" s="12">
        <f>SUM(E20:E46)/2</f>
        <v>1</v>
      </c>
      <c r="F48" s="11">
        <f>I48/D48</f>
        <v>24.349999999999991</v>
      </c>
      <c r="G48" s="10"/>
      <c r="H48" s="9">
        <f>SUM(H20:H46)/2</f>
        <v>142269.21000000005</v>
      </c>
      <c r="I48" s="9">
        <f>SUM(I20:I46)/2</f>
        <v>157661.37999999995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6474.8</v>
      </c>
      <c r="E50" s="12">
        <f>D50/G2</f>
        <v>1</v>
      </c>
      <c r="F50" s="11">
        <f>I50/D50</f>
        <v>24.349999999999991</v>
      </c>
      <c r="G50" s="10"/>
      <c r="H50" s="9">
        <f>H48+H19</f>
        <v>142269.21000000005</v>
      </c>
      <c r="I50" s="9">
        <f>I48+I19</f>
        <v>157661.37999999995</v>
      </c>
      <c r="J50" s="106">
        <f>D50-G2</f>
        <v>0</v>
      </c>
      <c r="K50" s="8"/>
    </row>
    <row r="51" spans="1:11" ht="23.25" x14ac:dyDescent="0.35">
      <c r="A51" s="174" t="s">
        <v>883</v>
      </c>
      <c r="B51" s="169"/>
      <c r="C51" s="170"/>
      <c r="G51" s="7"/>
      <c r="H51" s="6"/>
      <c r="I51" s="6">
        <f>+I50/D50</f>
        <v>24.349999999999991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882</v>
      </c>
      <c r="D2" s="96" t="s">
        <v>3</v>
      </c>
      <c r="E2" s="95" t="s">
        <v>71</v>
      </c>
      <c r="F2" s="94" t="s">
        <v>5</v>
      </c>
      <c r="G2" s="116">
        <v>19344.900000000001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227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85.219823788546265</v>
      </c>
      <c r="F4" s="81" t="s">
        <v>12</v>
      </c>
      <c r="G4" s="80">
        <f>G2*G3</f>
        <v>546493.42500000005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1.0654528063316238E-2</v>
      </c>
      <c r="F6" s="69" t="s">
        <v>16</v>
      </c>
      <c r="G6" s="68">
        <f>(I50-I19)/(D50-(SUM(D42:D44)+D19))</f>
        <v>33.469505025079464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27.99847685580815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29.086756874938501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26.613393195096791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29.086756874938501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32.549466026716892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26.81126228948413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36.70471700885097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54.018262767742932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47.389648105767151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243.9</v>
      </c>
      <c r="E21" s="29">
        <f>D21/$D$48</f>
        <v>1.2607974194749003E-2</v>
      </c>
      <c r="F21" s="28">
        <f>C21-(C21*$E$6)</f>
        <v>70.24352850750455</v>
      </c>
      <c r="G21" s="27" t="str">
        <f>IF(C21&gt;=F21,"-","+")</f>
        <v>-</v>
      </c>
      <c r="H21" s="26">
        <f>C21*D21</f>
        <v>17316.900000000001</v>
      </c>
      <c r="I21" s="26">
        <f>F21*D21</f>
        <v>17132.39660298036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621.6</v>
      </c>
      <c r="E22" s="29">
        <f>D22/$D$48</f>
        <v>3.2132500038769905E-2</v>
      </c>
      <c r="F22" s="28">
        <f>C22-(C22*$E$6)</f>
        <v>47.191779011379815</v>
      </c>
      <c r="G22" s="27" t="str">
        <f>IF(C22&gt;=F22,"-","+")</f>
        <v>-</v>
      </c>
      <c r="H22" s="26">
        <f>C22*D22</f>
        <v>29650.320000000003</v>
      </c>
      <c r="I22" s="26">
        <f>F22*D22</f>
        <v>29334.409833473695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460.2</v>
      </c>
      <c r="E23" s="29">
        <f>D23/$D$48</f>
        <v>2.3789215762293935E-2</v>
      </c>
      <c r="F23" s="28">
        <f>C23-(C23*$E$6)</f>
        <v>43.036528029245744</v>
      </c>
      <c r="G23" s="27" t="str">
        <f>IF(C23&gt;=F23,"-","+")</f>
        <v>-</v>
      </c>
      <c r="H23" s="26">
        <f>C23*D23</f>
        <v>20018.7</v>
      </c>
      <c r="I23" s="26">
        <f>F23*D23</f>
        <v>19805.41019905889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50.528716904276983</v>
      </c>
      <c r="D24" s="22">
        <f>SUM(D21:D23)</f>
        <v>1325.7</v>
      </c>
      <c r="E24" s="21">
        <f>D24/$D$48</f>
        <v>6.8529689995812854E-2</v>
      </c>
      <c r="F24" s="20">
        <f>I24/D24</f>
        <v>49.990357272017008</v>
      </c>
      <c r="G24" s="19">
        <f>F24/C24-1</f>
        <v>-1.0654528063316127E-2</v>
      </c>
      <c r="H24" s="18">
        <f>SUM(H21:H23)</f>
        <v>66985.919999999998</v>
      </c>
      <c r="I24" s="18">
        <f>SUM(I21:I23)</f>
        <v>66272.216635512945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v>3611.8</v>
      </c>
      <c r="E26" s="29">
        <f t="shared" ref="E26:E32" si="7">D26/$D$48</f>
        <v>0.18670553996143685</v>
      </c>
      <c r="F26" s="28">
        <f t="shared" ref="F26:F31" si="8">C26-(C26*$E$6)</f>
        <v>37.496193386400314</v>
      </c>
      <c r="G26" s="27" t="str">
        <f t="shared" ref="G26:G31" si="9">IF(C26&gt;=F26,"-","+")</f>
        <v>-</v>
      </c>
      <c r="H26" s="26">
        <f t="shared" ref="H26:H31" si="10">C26*D26</f>
        <v>136887.22</v>
      </c>
      <c r="I26" s="26">
        <f t="shared" ref="I26:I31" si="11">F26*D26</f>
        <v>135428.75127300067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3114.1</v>
      </c>
      <c r="E27" s="29">
        <f t="shared" si="7"/>
        <v>0.16097782878174607</v>
      </c>
      <c r="F27" s="28">
        <f t="shared" si="8"/>
        <v>33.439876951459908</v>
      </c>
      <c r="G27" s="27" t="str">
        <f t="shared" si="9"/>
        <v>-</v>
      </c>
      <c r="H27" s="26">
        <f t="shared" si="10"/>
        <v>105256.57999999999</v>
      </c>
      <c r="I27" s="26">
        <f t="shared" si="11"/>
        <v>104135.1208145413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2357.6</v>
      </c>
      <c r="E28" s="29">
        <f t="shared" si="7"/>
        <v>0.12187191456146063</v>
      </c>
      <c r="F28" s="28">
        <f t="shared" si="8"/>
        <v>33.439876951459908</v>
      </c>
      <c r="G28" s="27" t="str">
        <f t="shared" si="9"/>
        <v>-</v>
      </c>
      <c r="H28" s="26">
        <f t="shared" si="10"/>
        <v>79686.87999999999</v>
      </c>
      <c r="I28" s="26">
        <f t="shared" si="11"/>
        <v>78837.853900761882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1676.4</v>
      </c>
      <c r="E29" s="29">
        <f t="shared" si="7"/>
        <v>8.6658499139308037E-2</v>
      </c>
      <c r="F29" s="28">
        <f t="shared" si="8"/>
        <v>32.252662385135892</v>
      </c>
      <c r="G29" s="27" t="str">
        <f t="shared" si="9"/>
        <v>-</v>
      </c>
      <c r="H29" s="26">
        <f t="shared" si="10"/>
        <v>54650.640000000007</v>
      </c>
      <c r="I29" s="26">
        <f t="shared" si="11"/>
        <v>54068.363222441811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1271.5999999999999</v>
      </c>
      <c r="E30" s="29">
        <f t="shared" si="7"/>
        <v>6.5733087273648336E-2</v>
      </c>
      <c r="F30" s="28">
        <f t="shared" si="8"/>
        <v>32.252662385135892</v>
      </c>
      <c r="G30" s="27" t="str">
        <f t="shared" si="9"/>
        <v>-</v>
      </c>
      <c r="H30" s="26">
        <f t="shared" si="10"/>
        <v>41454.159999999996</v>
      </c>
      <c r="I30" s="26">
        <f t="shared" si="11"/>
        <v>41012.485488938801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502.8</v>
      </c>
      <c r="E31" s="29">
        <f t="shared" si="7"/>
        <v>2.599134655645674E-2</v>
      </c>
      <c r="F31" s="28">
        <f t="shared" si="8"/>
        <v>32.846269668297907</v>
      </c>
      <c r="G31" s="27" t="str">
        <f t="shared" si="9"/>
        <v>-</v>
      </c>
      <c r="H31" s="26">
        <f t="shared" si="10"/>
        <v>16692.960000000003</v>
      </c>
      <c r="I31" s="26">
        <f t="shared" si="11"/>
        <v>16515.104389220189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34.675126652465636</v>
      </c>
      <c r="D32" s="22">
        <f>SUM(D26:D31)</f>
        <v>12534.3</v>
      </c>
      <c r="E32" s="21">
        <f t="shared" si="7"/>
        <v>0.64793821627405668</v>
      </c>
      <c r="F32" s="20">
        <f>I32/D32</f>
        <v>34.305679542447898</v>
      </c>
      <c r="G32" s="19">
        <f>F32/C32-1</f>
        <v>-1.0654528063316238E-2</v>
      </c>
      <c r="H32" s="18">
        <f>SUM(H26:H31)</f>
        <v>434628.44</v>
      </c>
      <c r="I32" s="18">
        <f>SUM(I26:I31)</f>
        <v>429997.67908890464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2462.8000000000002</v>
      </c>
      <c r="E34" s="29">
        <f t="shared" ref="E34:E40" si="13">D34/$D$48</f>
        <v>0.1273100403723979</v>
      </c>
      <c r="F34" s="28">
        <f t="shared" ref="F34:F39" si="14">C34-(C34*$E$6)</f>
        <v>19.786909438733677</v>
      </c>
      <c r="G34" s="27" t="str">
        <f t="shared" ref="G34:G39" si="15">IF(C34&gt;=F34,"-","+")</f>
        <v>-</v>
      </c>
      <c r="H34" s="26">
        <f t="shared" ref="H34:H39" si="16">C34*D34</f>
        <v>49256</v>
      </c>
      <c r="I34" s="26">
        <f t="shared" ref="I34:I39" si="17">F34*D34</f>
        <v>48731.200565713305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15.23592026782493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12.168949304821211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32.252662385135892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32.252662385135892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33.439876951459908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2462.8000000000002</v>
      </c>
      <c r="E40" s="113">
        <f t="shared" si="13"/>
        <v>0.1273100403723979</v>
      </c>
      <c r="F40" s="20">
        <f>I40/D40</f>
        <v>19.786909438733677</v>
      </c>
      <c r="G40" s="19">
        <f>F40/C40-1</f>
        <v>-1.0654528063316127E-2</v>
      </c>
      <c r="H40" s="18">
        <f>SUM(H34:H39)</f>
        <v>49256</v>
      </c>
      <c r="I40" s="18">
        <f>SUM(I34:I39)</f>
        <v>48731.200565713305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2862</v>
      </c>
      <c r="E42" s="107">
        <f>D42/$D$48</f>
        <v>0.14794597025572631</v>
      </c>
      <c r="F42" s="28">
        <f>C42-(C42*$E$6)</f>
        <v>0.49467273596834188</v>
      </c>
      <c r="G42" s="27" t="str">
        <f>IF(C42&gt;=F42,"-","+")</f>
        <v>-</v>
      </c>
      <c r="H42" s="26">
        <f>C42*D42</f>
        <v>1431</v>
      </c>
      <c r="I42" s="26">
        <f>F42*D42</f>
        <v>1415.7533703413944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154.80000000000001</v>
      </c>
      <c r="E43" s="107">
        <f>D43/$D$48</f>
        <v>8.0021090830141271E-3</v>
      </c>
      <c r="F43" s="28">
        <f>C43-(C43*$E$6)</f>
        <v>0.49467273596834188</v>
      </c>
      <c r="G43" s="27" t="str">
        <f>IF(C43&gt;=F43,"-","+")</f>
        <v>-</v>
      </c>
      <c r="H43" s="26">
        <f>C43*D43</f>
        <v>77.400000000000006</v>
      </c>
      <c r="I43" s="26">
        <f>F43*D43</f>
        <v>76.575339527899331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2.7397401899208575E-4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0.4991231263029019</v>
      </c>
      <c r="D46" s="22">
        <f>SUM(D41:D45)</f>
        <v>3022.1000000000004</v>
      </c>
      <c r="E46" s="113">
        <f>D46/$D$48</f>
        <v>0.15622205335773254</v>
      </c>
      <c r="F46" s="20">
        <f>I46/D46</f>
        <v>0.49380520494665747</v>
      </c>
      <c r="G46" s="19">
        <f>F46/C46-1</f>
        <v>-1.0654528063316238E-2</v>
      </c>
      <c r="H46" s="18">
        <f>SUM(H41:H44)</f>
        <v>1508.4</v>
      </c>
      <c r="I46" s="18">
        <f>SUM(I41:I44)</f>
        <v>1492.3287098692938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105.70296668304552</v>
      </c>
      <c r="D48" s="13">
        <f>D24+D32+D40+D46</f>
        <v>19344.900000000001</v>
      </c>
      <c r="E48" s="12">
        <f>SUM(E20:E46)/2</f>
        <v>1</v>
      </c>
      <c r="F48" s="11">
        <f>I48/D48</f>
        <v>28.25</v>
      </c>
      <c r="G48" s="10"/>
      <c r="H48" s="9">
        <f>SUM(H20:H46)/2</f>
        <v>552378.75999999989</v>
      </c>
      <c r="I48" s="9">
        <f>SUM(I20:I46)/2</f>
        <v>546493.42500000005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19344.900000000001</v>
      </c>
      <c r="E50" s="12">
        <f>D50/G2</f>
        <v>1</v>
      </c>
      <c r="F50" s="11">
        <f>I50/D50</f>
        <v>28.25</v>
      </c>
      <c r="G50" s="10"/>
      <c r="H50" s="9">
        <f>H48+H19</f>
        <v>552378.75999999989</v>
      </c>
      <c r="I50" s="9">
        <f>I48+I19</f>
        <v>546493.42500000005</v>
      </c>
      <c r="J50" s="106">
        <f>D50-G2</f>
        <v>0</v>
      </c>
      <c r="K50" s="8"/>
    </row>
    <row r="51" spans="1:11" ht="23.25" x14ac:dyDescent="0.35">
      <c r="A51" s="174" t="s">
        <v>884</v>
      </c>
      <c r="B51" s="169"/>
      <c r="C51" s="170"/>
      <c r="G51" s="7"/>
      <c r="H51" s="6"/>
      <c r="I51" s="6">
        <f>+I50/D50</f>
        <v>28.25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882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885</v>
      </c>
      <c r="D2" s="96" t="s">
        <v>3</v>
      </c>
      <c r="E2" s="95" t="s">
        <v>71</v>
      </c>
      <c r="F2" s="94" t="s">
        <v>5</v>
      </c>
      <c r="G2" s="93">
        <v>21359.1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280</v>
      </c>
      <c r="F3" s="88" t="s">
        <v>8</v>
      </c>
      <c r="G3" s="87">
        <v>28.45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76.282499999999999</v>
      </c>
      <c r="F4" s="81" t="s">
        <v>12</v>
      </c>
      <c r="G4" s="80">
        <f>G2*G3</f>
        <v>607666.3949999999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5.584507350989476E-3</v>
      </c>
      <c r="F6" s="69" t="s">
        <v>16</v>
      </c>
      <c r="G6" s="68">
        <f>(I50-I19)/(D50-(SUM(D42:D44)+D19))</f>
        <v>33.156920211164568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28.3408415404968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>
        <v>6132</v>
      </c>
      <c r="E11" s="29">
        <f t="shared" si="1"/>
        <v>0.63024173655648741</v>
      </c>
      <c r="F11" s="28">
        <f t="shared" si="2"/>
        <v>29.434698582410714</v>
      </c>
      <c r="G11" s="27" t="str">
        <f t="shared" si="3"/>
        <v>-</v>
      </c>
      <c r="H11" s="34">
        <f t="shared" si="4"/>
        <v>181507.20000000001</v>
      </c>
      <c r="I11" s="34">
        <f t="shared" si="5"/>
        <v>180493.57170734249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>
        <v>2937.8</v>
      </c>
      <c r="E12" s="29">
        <f t="shared" si="1"/>
        <v>0.30194458148330866</v>
      </c>
      <c r="F12" s="28">
        <f t="shared" si="2"/>
        <v>26.948659850788186</v>
      </c>
      <c r="G12" s="27" t="str">
        <f t="shared" si="3"/>
        <v>-</v>
      </c>
      <c r="H12" s="34">
        <f t="shared" si="4"/>
        <v>79614.38</v>
      </c>
      <c r="I12" s="34">
        <f t="shared" si="5"/>
        <v>79169.772909645544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>
        <v>510.6</v>
      </c>
      <c r="E13" s="29">
        <f t="shared" si="1"/>
        <v>5.2479033053774049E-2</v>
      </c>
      <c r="F13" s="28">
        <f t="shared" si="2"/>
        <v>29.434698582410714</v>
      </c>
      <c r="G13" s="27" t="str">
        <f t="shared" si="3"/>
        <v>-</v>
      </c>
      <c r="H13" s="34">
        <f t="shared" si="4"/>
        <v>15113.760000000002</v>
      </c>
      <c r="I13" s="34">
        <f t="shared" si="5"/>
        <v>15029.357096178912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>
        <f t="shared" si="1"/>
        <v>0</v>
      </c>
      <c r="F14" s="28">
        <f t="shared" si="2"/>
        <v>32.915152806682251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>
        <v>149.19999999999999</v>
      </c>
      <c r="E15" s="29">
        <f t="shared" si="1"/>
        <v>1.5334648906429861E-2</v>
      </c>
      <c r="F15" s="28">
        <f t="shared" si="2"/>
        <v>27.147542949317987</v>
      </c>
      <c r="G15" s="27" t="str">
        <f t="shared" si="3"/>
        <v>-</v>
      </c>
      <c r="H15" s="34">
        <f t="shared" si="4"/>
        <v>4073.16</v>
      </c>
      <c r="I15" s="34">
        <f t="shared" si="5"/>
        <v>4050.4134080382432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37.4</v>
      </c>
      <c r="D16" s="30"/>
      <c r="E16" s="29">
        <f t="shared" si="1"/>
        <v>0</v>
      </c>
      <c r="F16" s="28">
        <f t="shared" si="2"/>
        <v>37.19113942507299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</v>
      </c>
      <c r="D17" s="30"/>
      <c r="E17" s="29">
        <f t="shared" si="1"/>
        <v>0</v>
      </c>
      <c r="F17" s="28">
        <f t="shared" si="2"/>
        <v>54.692852095695578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48.2</v>
      </c>
      <c r="D18" s="30"/>
      <c r="E18" s="29">
        <f t="shared" si="1"/>
        <v>0</v>
      </c>
      <c r="F18" s="28">
        <f t="shared" si="2"/>
        <v>47.93082674568231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28.80986885380694</v>
      </c>
      <c r="D19" s="49">
        <f>SUM(D10:D18)</f>
        <v>9729.6</v>
      </c>
      <c r="E19" s="48">
        <f t="shared" si="1"/>
        <v>1</v>
      </c>
      <c r="F19" s="47">
        <f>I19/D19</f>
        <v>28.648979929411816</v>
      </c>
      <c r="G19" s="46">
        <f>F19/C19-1</f>
        <v>-5.584507350989365E-3</v>
      </c>
      <c r="H19" s="9">
        <f>SUM(H10:H18)</f>
        <v>280308.5</v>
      </c>
      <c r="I19" s="9">
        <f>SUM(I10:I18)</f>
        <v>278743.11512120522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71.599999999999994</v>
      </c>
      <c r="D21" s="30">
        <v>75.900000000000006</v>
      </c>
      <c r="E21" s="29">
        <f>D21/$D$48</f>
        <v>6.5265058686959894E-3</v>
      </c>
      <c r="F21" s="28">
        <f>C21-(C21*$E$6)</f>
        <v>71.200149273669155</v>
      </c>
      <c r="G21" s="27" t="str">
        <f>IF(C21&gt;=F21,"-","+")</f>
        <v>-</v>
      </c>
      <c r="H21" s="26">
        <f>C21*D21</f>
        <v>5434.44</v>
      </c>
      <c r="I21" s="26">
        <f>F21*D21</f>
        <v>5404.0913298714895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492.7</v>
      </c>
      <c r="E22" s="29">
        <f>D22/$D$48</f>
        <v>4.2366395803774881E-2</v>
      </c>
      <c r="F22" s="28">
        <f>C22-(C22*$E$6)</f>
        <v>47.831385196417408</v>
      </c>
      <c r="G22" s="27" t="str">
        <f>IF(C22&gt;=F22,"-","+")</f>
        <v>-</v>
      </c>
      <c r="H22" s="26">
        <f>C22*D22</f>
        <v>23698.87</v>
      </c>
      <c r="I22" s="26">
        <f>F22*D22</f>
        <v>23566.523486274855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43.8</v>
      </c>
      <c r="D23" s="30">
        <v>151</v>
      </c>
      <c r="E23" s="29">
        <f>D23/$D$48</f>
        <v>1.2984221161700848E-2</v>
      </c>
      <c r="F23" s="28">
        <f>C23-(C23*$E$6)</f>
        <v>43.555398578026661</v>
      </c>
      <c r="G23" s="27" t="str">
        <f>IF(C23&gt;=F23,"-","+")</f>
        <v>-</v>
      </c>
      <c r="H23" s="26">
        <f>C23*D23</f>
        <v>6613.7999999999993</v>
      </c>
      <c r="I23" s="26">
        <f>F23*D23</f>
        <v>6576.8651852820258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49.67636186770428</v>
      </c>
      <c r="D24" s="22">
        <f>SUM(D21:D23)</f>
        <v>719.6</v>
      </c>
      <c r="E24" s="21">
        <f>D24/$D$48</f>
        <v>6.1877122834171717E-2</v>
      </c>
      <c r="F24" s="20">
        <f>I24/D24</f>
        <v>49.398943859683669</v>
      </c>
      <c r="G24" s="19">
        <f>F24/C24-1</f>
        <v>-5.5845073509895871E-3</v>
      </c>
      <c r="H24" s="18">
        <f>SUM(H21:H23)</f>
        <v>35747.11</v>
      </c>
      <c r="I24" s="18">
        <f>SUM(I21:I23)</f>
        <v>35547.480001428368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f>141.1+249.6+76.9+531.5</f>
        <v>999.1</v>
      </c>
      <c r="E26" s="29">
        <f t="shared" ref="E26:E32" si="7">D26/$D$48</f>
        <v>8.5910830216260378E-2</v>
      </c>
      <c r="F26" s="28">
        <f t="shared" ref="F26:F31" si="8">C26-(C26*$E$6)</f>
        <v>37.986671819192203</v>
      </c>
      <c r="G26" s="27" t="str">
        <f t="shared" ref="G26:G31" si="9">IF(C26&gt;=F26,"-","+")</f>
        <v>-</v>
      </c>
      <c r="H26" s="26">
        <f t="shared" ref="H26:H31" si="10">C26*D26</f>
        <v>38165.620000000003</v>
      </c>
      <c r="I26" s="26">
        <f t="shared" ref="I26:I31" si="11">F26*D26</f>
        <v>37952.483814554929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</v>
      </c>
      <c r="D27" s="30">
        <v>2098</v>
      </c>
      <c r="E27" s="29">
        <f t="shared" si="7"/>
        <v>0.18040328474998926</v>
      </c>
      <c r="F27" s="28">
        <f t="shared" si="8"/>
        <v>33.81012675006636</v>
      </c>
      <c r="G27" s="27" t="str">
        <f t="shared" si="9"/>
        <v>-</v>
      </c>
      <c r="H27" s="26">
        <f t="shared" si="10"/>
        <v>71332</v>
      </c>
      <c r="I27" s="26">
        <f t="shared" si="11"/>
        <v>70933.645921639225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</v>
      </c>
      <c r="D28" s="30">
        <v>1928.5</v>
      </c>
      <c r="E28" s="29">
        <f t="shared" si="7"/>
        <v>0.16582828152543103</v>
      </c>
      <c r="F28" s="28">
        <f t="shared" si="8"/>
        <v>33.81012675006636</v>
      </c>
      <c r="G28" s="27" t="str">
        <f t="shared" si="9"/>
        <v>-</v>
      </c>
      <c r="H28" s="26">
        <f t="shared" si="10"/>
        <v>65569</v>
      </c>
      <c r="I28" s="26">
        <f t="shared" si="11"/>
        <v>65202.829437502973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1538.6</v>
      </c>
      <c r="E29" s="29">
        <f t="shared" si="7"/>
        <v>0.13230147469796638</v>
      </c>
      <c r="F29" s="28">
        <f t="shared" si="8"/>
        <v>32.716269708152446</v>
      </c>
      <c r="G29" s="27" t="str">
        <f t="shared" si="9"/>
        <v>-</v>
      </c>
      <c r="H29" s="26">
        <f t="shared" si="10"/>
        <v>50619.939999999995</v>
      </c>
      <c r="I29" s="26">
        <f t="shared" si="11"/>
        <v>50337.252572963349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1106.7</v>
      </c>
      <c r="E30" s="29">
        <f t="shared" si="7"/>
        <v>9.5163162646717397E-2</v>
      </c>
      <c r="F30" s="28">
        <f t="shared" si="8"/>
        <v>32.716269708152446</v>
      </c>
      <c r="G30" s="27" t="str">
        <f t="shared" si="9"/>
        <v>-</v>
      </c>
      <c r="H30" s="26">
        <f t="shared" si="10"/>
        <v>36410.43</v>
      </c>
      <c r="I30" s="26">
        <f t="shared" si="11"/>
        <v>36207.095686012311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108.7</v>
      </c>
      <c r="E31" s="29">
        <f t="shared" si="7"/>
        <v>9.346919472032332E-3</v>
      </c>
      <c r="F31" s="28">
        <f t="shared" si="8"/>
        <v>33.213477454476951</v>
      </c>
      <c r="G31" s="27" t="str">
        <f t="shared" si="9"/>
        <v>-</v>
      </c>
      <c r="H31" s="26">
        <f t="shared" si="10"/>
        <v>3630.58</v>
      </c>
      <c r="I31" s="26">
        <f t="shared" si="11"/>
        <v>3610.3049993016448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34.156970795413642</v>
      </c>
      <c r="D32" s="22">
        <f>SUM(D26:D31)</f>
        <v>7779.6</v>
      </c>
      <c r="E32" s="21">
        <f t="shared" si="7"/>
        <v>0.6689539533083968</v>
      </c>
      <c r="F32" s="20">
        <f>I32/D32</f>
        <v>33.966220940919115</v>
      </c>
      <c r="G32" s="19">
        <f>F32/C32-1</f>
        <v>-5.5845073509896981E-3</v>
      </c>
      <c r="H32" s="18">
        <f>SUM(H26:H31)</f>
        <v>265727.57</v>
      </c>
      <c r="I32" s="18">
        <f>SUM(I26:I31)</f>
        <v>264243.61243197438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f>1115.4+300</f>
        <v>1415.4</v>
      </c>
      <c r="E34" s="29">
        <f t="shared" ref="E34:E40" si="13">D34/$D$48</f>
        <v>0.12170772604153232</v>
      </c>
      <c r="F34" s="28">
        <f t="shared" ref="F34:F39" si="14">C34-(C34*$E$6)</f>
        <v>19.987751402245113</v>
      </c>
      <c r="G34" s="27" t="str">
        <f t="shared" ref="G34:G39" si="15">IF(C34&gt;=F34,"-","+")</f>
        <v>-</v>
      </c>
      <c r="H34" s="26">
        <f t="shared" ref="H34:H39" si="16">C34*D34</f>
        <v>28449.540000000005</v>
      </c>
      <c r="I34" s="26">
        <f t="shared" ref="I34:I39" si="17">F34*D34</f>
        <v>28290.663334737736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15.413440136059663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12.330752108847731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32.716269708152446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32.716269708152446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</v>
      </c>
      <c r="D39" s="30"/>
      <c r="E39" s="29">
        <f t="shared" si="13"/>
        <v>0</v>
      </c>
      <c r="F39" s="28">
        <f t="shared" si="14"/>
        <v>33.81012675006636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1415.4</v>
      </c>
      <c r="E40" s="21">
        <f t="shared" si="13"/>
        <v>0.12170772604153232</v>
      </c>
      <c r="F40" s="20">
        <f>I40/D40</f>
        <v>19.987751402245113</v>
      </c>
      <c r="G40" s="19">
        <f>F40/C40-1</f>
        <v>-5.584507350989476E-3</v>
      </c>
      <c r="H40" s="18">
        <f>SUM(H34:H39)</f>
        <v>28449.540000000005</v>
      </c>
      <c r="I40" s="18">
        <f>SUM(I34:I39)</f>
        <v>28290.663334737736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1645</v>
      </c>
      <c r="E42" s="107">
        <f>D42/$D$48</f>
        <v>0.14145062126488672</v>
      </c>
      <c r="F42" s="28">
        <f>C42-(C42*$E$6)</f>
        <v>0.49720774632450526</v>
      </c>
      <c r="G42" s="27" t="str">
        <f>IF(C42&gt;=F42,"-","+")</f>
        <v>-</v>
      </c>
      <c r="H42" s="26">
        <f>C42*D42</f>
        <v>822.5</v>
      </c>
      <c r="I42" s="26">
        <f>F42*D42</f>
        <v>817.90674270381112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47.5</v>
      </c>
      <c r="E43" s="107">
        <f>D43/$D$48</f>
        <v>4.0844404316608624E-3</v>
      </c>
      <c r="F43" s="28">
        <f>C43-(C43*$E$6)</f>
        <v>0.49720774632450526</v>
      </c>
      <c r="G43" s="27" t="str">
        <f>IF(C43&gt;=F43,"-","+")</f>
        <v>-</v>
      </c>
      <c r="H43" s="26">
        <f>C43*D43</f>
        <v>23.75</v>
      </c>
      <c r="I43" s="26">
        <f>F43*D43</f>
        <v>23.617367950414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16.8</v>
      </c>
      <c r="E44" s="107">
        <f>D44/$D$48</f>
        <v>1.4446020895137366E-3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5.6</v>
      </c>
      <c r="E45" s="107">
        <f>D45/$D$48</f>
        <v>4.8153402983791219E-4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0.49346900693918017</v>
      </c>
      <c r="D46" s="22">
        <f>SUM(D41:D45)</f>
        <v>1714.8999999999999</v>
      </c>
      <c r="E46" s="113">
        <f>D46/$D$48</f>
        <v>0.1474611978158992</v>
      </c>
      <c r="F46" s="20">
        <f>I46/D46</f>
        <v>0.4907132256424428</v>
      </c>
      <c r="G46" s="19">
        <f>F46/C46-1</f>
        <v>-5.5845073509895871E-3</v>
      </c>
      <c r="H46" s="18">
        <f>SUM(H41:H44)</f>
        <v>846.25</v>
      </c>
      <c r="I46" s="18">
        <f>SUM(I41:I44)</f>
        <v>841.52411065422507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104.42680167005709</v>
      </c>
      <c r="D48" s="13">
        <f>D24+D32+D40+D46</f>
        <v>11629.5</v>
      </c>
      <c r="E48" s="12">
        <f>SUM(E20:E46)/2</f>
        <v>1</v>
      </c>
      <c r="F48" s="11">
        <f>I48/D48</f>
        <v>28.283527226346344</v>
      </c>
      <c r="G48" s="10"/>
      <c r="H48" s="9">
        <f>SUM(H20:H46)/2</f>
        <v>330770.47000000003</v>
      </c>
      <c r="I48" s="9">
        <f>SUM(I20:I46)/2</f>
        <v>328923.2798787948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21359.100000000002</v>
      </c>
      <c r="E50" s="12">
        <f>D50/G2</f>
        <v>1.0000000000000002</v>
      </c>
      <c r="F50" s="11">
        <f>I50/D50</f>
        <v>28.45</v>
      </c>
      <c r="G50" s="10"/>
      <c r="H50" s="9">
        <f>H48+H19</f>
        <v>611078.97</v>
      </c>
      <c r="I50" s="9">
        <f>I48+I19</f>
        <v>607666.39500000002</v>
      </c>
      <c r="J50" s="106">
        <f>D50-G2</f>
        <v>0</v>
      </c>
      <c r="K50" s="8"/>
    </row>
    <row r="51" spans="1:11" ht="23.25" x14ac:dyDescent="0.35">
      <c r="A51" s="174" t="s">
        <v>886</v>
      </c>
      <c r="B51" s="169"/>
      <c r="C51" s="170"/>
      <c r="G51" s="7"/>
      <c r="H51" s="6"/>
      <c r="I51" s="6">
        <f>+I50/D50</f>
        <v>28.45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882</v>
      </c>
      <c r="D1" s="100" t="s">
        <v>1</v>
      </c>
      <c r="E1" s="168" t="s">
        <v>821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885</v>
      </c>
      <c r="D2" s="96" t="s">
        <v>3</v>
      </c>
      <c r="E2" s="95" t="s">
        <v>112</v>
      </c>
      <c r="F2" s="94" t="s">
        <v>5</v>
      </c>
      <c r="G2" s="116">
        <v>7741.2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822</v>
      </c>
      <c r="D3" s="90" t="s">
        <v>7</v>
      </c>
      <c r="E3" s="89">
        <v>125</v>
      </c>
      <c r="F3" s="88" t="s">
        <v>8</v>
      </c>
      <c r="G3" s="120">
        <v>24.85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61.929600000000001</v>
      </c>
      <c r="F4" s="81" t="s">
        <v>12</v>
      </c>
      <c r="G4" s="80">
        <f>G2*G3</f>
        <v>192368.82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-8.5305771275920206E-2</v>
      </c>
      <c r="F6" s="69" t="s">
        <v>16</v>
      </c>
      <c r="G6" s="68">
        <f>(I50-I19)/(D50-(SUM(D42:D44)+D19))</f>
        <v>30.772399039768953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24.9</v>
      </c>
      <c r="D10" s="30"/>
      <c r="E10" s="29">
        <f t="shared" ref="E10:E19" si="1">D10/$D$19</f>
        <v>0</v>
      </c>
      <c r="F10" s="28">
        <f t="shared" ref="F10:F18" si="2">C10-(C10*$E$6)</f>
        <v>27.024113704770411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25.9</v>
      </c>
      <c r="D11" s="30"/>
      <c r="E11" s="29">
        <f t="shared" si="1"/>
        <v>0</v>
      </c>
      <c r="F11" s="28">
        <f t="shared" si="2"/>
        <v>28.10941947604633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23.6</v>
      </c>
      <c r="D12" s="30"/>
      <c r="E12" s="29">
        <f t="shared" si="1"/>
        <v>0</v>
      </c>
      <c r="F12" s="28">
        <f t="shared" si="2"/>
        <v>25.613216202111719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25.9</v>
      </c>
      <c r="D13" s="30"/>
      <c r="E13" s="29">
        <f t="shared" si="1"/>
        <v>0</v>
      </c>
      <c r="F13" s="28">
        <f t="shared" si="2"/>
        <v>28.10941947604633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28.9</v>
      </c>
      <c r="D14" s="30"/>
      <c r="E14" s="29">
        <f t="shared" si="1"/>
        <v>0</v>
      </c>
      <c r="F14" s="28">
        <f t="shared" si="2"/>
        <v>31.365336789874092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23.9</v>
      </c>
      <c r="D15" s="30"/>
      <c r="E15" s="29">
        <f t="shared" si="1"/>
        <v>0</v>
      </c>
      <c r="F15" s="28">
        <f t="shared" si="2"/>
        <v>25.938807933494491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32.700000000000003</v>
      </c>
      <c r="D16" s="30"/>
      <c r="E16" s="29">
        <f t="shared" si="1"/>
        <v>0</v>
      </c>
      <c r="F16" s="28">
        <f t="shared" si="2"/>
        <v>35.489498720722594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48.1</v>
      </c>
      <c r="D17" s="30">
        <v>100</v>
      </c>
      <c r="E17" s="29">
        <f t="shared" si="1"/>
        <v>1</v>
      </c>
      <c r="F17" s="28">
        <f t="shared" si="2"/>
        <v>52.203207598371762</v>
      </c>
      <c r="G17" s="27" t="str">
        <f t="shared" si="3"/>
        <v>+</v>
      </c>
      <c r="H17" s="34">
        <f t="shared" si="4"/>
        <v>4810</v>
      </c>
      <c r="I17" s="34">
        <f t="shared" si="5"/>
        <v>5220.3207598371764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42.1</v>
      </c>
      <c r="D18" s="30"/>
      <c r="E18" s="29">
        <f t="shared" si="1"/>
        <v>0</v>
      </c>
      <c r="F18" s="28">
        <f t="shared" si="2"/>
        <v>45.691372970716245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48.1</v>
      </c>
      <c r="D19" s="49">
        <f>SUM(D10:D18)</f>
        <v>100</v>
      </c>
      <c r="E19" s="48">
        <f t="shared" si="1"/>
        <v>1</v>
      </c>
      <c r="F19" s="47">
        <f>I19/D19</f>
        <v>52.203207598371762</v>
      </c>
      <c r="G19" s="46">
        <f>F19/C19-1</f>
        <v>8.5305771275920206E-2</v>
      </c>
      <c r="H19" s="9">
        <f>SUM(H10:H18)</f>
        <v>4810</v>
      </c>
      <c r="I19" s="9">
        <f>SUM(I10:I18)</f>
        <v>5220.3207598371764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62.5</v>
      </c>
      <c r="D21" s="30">
        <v>90.9</v>
      </c>
      <c r="E21" s="29">
        <f>D21/$D$48</f>
        <v>1.1896037271632728E-2</v>
      </c>
      <c r="F21" s="28">
        <f>C21-(C21*$E$6)</f>
        <v>67.831610704745017</v>
      </c>
      <c r="G21" s="27" t="str">
        <f>IF(C21&gt;=F21,"-","+")</f>
        <v>+</v>
      </c>
      <c r="H21" s="26">
        <f>C21*D21</f>
        <v>5681.25</v>
      </c>
      <c r="I21" s="26">
        <f>F21*D21</f>
        <v>6165.8934130613225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</v>
      </c>
      <c r="D22" s="30">
        <v>165.5</v>
      </c>
      <c r="E22" s="29">
        <f>D22/$D$48</f>
        <v>2.1658901743181701E-2</v>
      </c>
      <c r="F22" s="28">
        <f>C22-(C22*$E$6)</f>
        <v>45.582842393588649</v>
      </c>
      <c r="G22" s="27" t="str">
        <f>IF(C22&gt;=F22,"-","+")</f>
        <v>+</v>
      </c>
      <c r="H22" s="26">
        <f>C22*D22</f>
        <v>6951</v>
      </c>
      <c r="I22" s="26">
        <f>F22*D22</f>
        <v>7543.9604161389216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38.299999999999997</v>
      </c>
      <c r="D23" s="30">
        <v>118.8</v>
      </c>
      <c r="E23" s="29">
        <f>D23/$D$48</f>
        <v>1.5547296236193268E-2</v>
      </c>
      <c r="F23" s="28">
        <f>C23-(C23*$E$6)</f>
        <v>41.567211039867743</v>
      </c>
      <c r="G23" s="27" t="str">
        <f>IF(C23&gt;=F23,"-","+")</f>
        <v>+</v>
      </c>
      <c r="H23" s="26">
        <f>C23*D23</f>
        <v>4550.04</v>
      </c>
      <c r="I23" s="26">
        <f>F23*D23</f>
        <v>4938.1846715362881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45.795015991471217</v>
      </c>
      <c r="D24" s="22">
        <f>SUM(D21:D23)</f>
        <v>375.2</v>
      </c>
      <c r="E24" s="21">
        <f>D24/$D$48</f>
        <v>4.9102235251007695E-2</v>
      </c>
      <c r="F24" s="20">
        <f>I24/D24</f>
        <v>49.701595151216772</v>
      </c>
      <c r="G24" s="19">
        <f>F24/C24-1</f>
        <v>8.5305771275920206E-2</v>
      </c>
      <c r="H24" s="18">
        <f>SUM(H21:H23)</f>
        <v>17182.29</v>
      </c>
      <c r="I24" s="18">
        <f>SUM(I21:I23)</f>
        <v>18648.038500736533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33.299999999999997</v>
      </c>
      <c r="D26" s="30">
        <f>61.4+876.1+147.4+42.4+200</f>
        <v>1327.3000000000002</v>
      </c>
      <c r="E26" s="29">
        <f t="shared" ref="E26:E32" si="7">D26/$D$48</f>
        <v>0.17370308328534789</v>
      </c>
      <c r="F26" s="28">
        <f t="shared" ref="F26:F31" si="8">C26-(C26*$E$6)</f>
        <v>36.140682183488138</v>
      </c>
      <c r="G26" s="27" t="str">
        <f t="shared" ref="G26:G31" si="9">IF(C26&gt;=F26,"-","+")</f>
        <v>+</v>
      </c>
      <c r="H26" s="26">
        <f t="shared" ref="H26:H31" si="10">C26*D26</f>
        <v>44199.090000000004</v>
      </c>
      <c r="I26" s="26">
        <f t="shared" ref="I26:I31" si="11">F26*D26</f>
        <v>47969.527462143815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29.7</v>
      </c>
      <c r="D27" s="30">
        <v>1146.2</v>
      </c>
      <c r="E27" s="29">
        <f t="shared" si="7"/>
        <v>0.15000261738993875</v>
      </c>
      <c r="F27" s="28">
        <f t="shared" si="8"/>
        <v>32.233581406894828</v>
      </c>
      <c r="G27" s="27" t="str">
        <f t="shared" si="9"/>
        <v>+</v>
      </c>
      <c r="H27" s="26">
        <f t="shared" si="10"/>
        <v>34042.14</v>
      </c>
      <c r="I27" s="26">
        <f t="shared" si="11"/>
        <v>36946.131008582852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29.7</v>
      </c>
      <c r="D28" s="30">
        <v>696.6</v>
      </c>
      <c r="E28" s="29">
        <f t="shared" si="7"/>
        <v>9.1163691566769622E-2</v>
      </c>
      <c r="F28" s="28">
        <f t="shared" si="8"/>
        <v>32.233581406894828</v>
      </c>
      <c r="G28" s="27" t="str">
        <f t="shared" si="9"/>
        <v>+</v>
      </c>
      <c r="H28" s="26">
        <f t="shared" si="10"/>
        <v>20689.02</v>
      </c>
      <c r="I28" s="26">
        <f t="shared" si="11"/>
        <v>22453.912808042936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28.7</v>
      </c>
      <c r="D29" s="30">
        <v>534.4</v>
      </c>
      <c r="E29" s="29">
        <f t="shared" si="7"/>
        <v>6.993665916348217E-2</v>
      </c>
      <c r="F29" s="28">
        <f t="shared" si="8"/>
        <v>31.148275635618909</v>
      </c>
      <c r="G29" s="27" t="str">
        <f t="shared" si="9"/>
        <v>+</v>
      </c>
      <c r="H29" s="26">
        <f t="shared" si="10"/>
        <v>15337.279999999999</v>
      </c>
      <c r="I29" s="26">
        <f t="shared" si="11"/>
        <v>16645.638499674744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28.7</v>
      </c>
      <c r="D30" s="30">
        <v>395.5</v>
      </c>
      <c r="E30" s="29">
        <f t="shared" si="7"/>
        <v>5.1758886038842065E-2</v>
      </c>
      <c r="F30" s="28">
        <f t="shared" si="8"/>
        <v>31.148275635618909</v>
      </c>
      <c r="G30" s="27" t="str">
        <f t="shared" si="9"/>
        <v>+</v>
      </c>
      <c r="H30" s="26">
        <f t="shared" si="10"/>
        <v>11350.85</v>
      </c>
      <c r="I30" s="26">
        <f t="shared" si="11"/>
        <v>12319.143013887278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29.2</v>
      </c>
      <c r="D31" s="30">
        <v>107.7</v>
      </c>
      <c r="E31" s="29">
        <f t="shared" si="7"/>
        <v>1.4094644820185312E-2</v>
      </c>
      <c r="F31" s="28">
        <f t="shared" si="8"/>
        <v>31.690928521256868</v>
      </c>
      <c r="G31" s="27" t="str">
        <f t="shared" si="9"/>
        <v>+</v>
      </c>
      <c r="H31" s="26">
        <f t="shared" si="10"/>
        <v>3144.84</v>
      </c>
      <c r="I31" s="26">
        <f t="shared" si="11"/>
        <v>3413.1130017393648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30.601806212420094</v>
      </c>
      <c r="D32" s="22">
        <f>SUM(D26:D31)</f>
        <v>4207.7</v>
      </c>
      <c r="E32" s="21">
        <f t="shared" si="7"/>
        <v>0.55065958226456579</v>
      </c>
      <c r="F32" s="20">
        <f>I32/D32</f>
        <v>33.212316893806829</v>
      </c>
      <c r="G32" s="19">
        <f>F32/C32-1</f>
        <v>8.5305771275919984E-2</v>
      </c>
      <c r="H32" s="18">
        <f>SUM(H26:H31)</f>
        <v>128763.22000000002</v>
      </c>
      <c r="I32" s="18">
        <f>SUM(I26:I31)</f>
        <v>139747.465794071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30">
        <f>830.7+558.7</f>
        <v>1389.4</v>
      </c>
      <c r="E34" s="29">
        <f t="shared" ref="E34:E40" si="13">D34/$D$48</f>
        <v>0.18183007904517617</v>
      </c>
      <c r="F34" s="28">
        <f t="shared" ref="F34:F39" si="14">C34-(C34*$E$6)</f>
        <v>19.101381574456198</v>
      </c>
      <c r="G34" s="27" t="str">
        <f t="shared" ref="G34:G39" si="15">IF(C34&gt;=F34,"-","+")</f>
        <v>+</v>
      </c>
      <c r="H34" s="26">
        <f t="shared" ref="H34:H39" si="16">C34*D34</f>
        <v>24453.440000000002</v>
      </c>
      <c r="I34" s="26">
        <f t="shared" ref="I34:I39" si="17">F34*D34</f>
        <v>26539.459559549443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13.5</v>
      </c>
      <c r="D35" s="30">
        <v>104.9</v>
      </c>
      <c r="E35" s="29">
        <f t="shared" si="13"/>
        <v>1.3728210228759882E-2</v>
      </c>
      <c r="F35" s="28">
        <f t="shared" si="14"/>
        <v>14.651627912224923</v>
      </c>
      <c r="G35" s="27" t="str">
        <f t="shared" si="15"/>
        <v>+</v>
      </c>
      <c r="H35" s="26">
        <f t="shared" si="16"/>
        <v>1416.15</v>
      </c>
      <c r="I35" s="26">
        <f t="shared" si="17"/>
        <v>1536.9557679923944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11.82983290690753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28.7</v>
      </c>
      <c r="D37" s="30"/>
      <c r="E37" s="29">
        <f t="shared" si="13"/>
        <v>0</v>
      </c>
      <c r="F37" s="28">
        <f t="shared" si="14"/>
        <v>31.148275635618909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28.7</v>
      </c>
      <c r="D38" s="30"/>
      <c r="E38" s="29">
        <f t="shared" si="13"/>
        <v>0</v>
      </c>
      <c r="F38" s="28">
        <f t="shared" si="14"/>
        <v>31.148275635618909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29.7</v>
      </c>
      <c r="D39" s="30"/>
      <c r="E39" s="29">
        <f t="shared" si="13"/>
        <v>0</v>
      </c>
      <c r="F39" s="28">
        <f t="shared" si="14"/>
        <v>32.233581406894828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17.312179615873653</v>
      </c>
      <c r="D40" s="22">
        <f>SUM(D34:D39)</f>
        <v>1494.3000000000002</v>
      </c>
      <c r="E40" s="113">
        <f t="shared" si="13"/>
        <v>0.19555828927393606</v>
      </c>
      <c r="F40" s="20">
        <f>I40/D40</f>
        <v>18.78900845047302</v>
      </c>
      <c r="G40" s="19">
        <f>F40/C40-1</f>
        <v>8.5305771275920206E-2</v>
      </c>
      <c r="H40" s="18">
        <f>SUM(H34:H39)</f>
        <v>25869.590000000004</v>
      </c>
      <c r="I40" s="18">
        <f>SUM(I34:I39)</f>
        <v>28076.415327541836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723+111.8+685.7</f>
        <v>1520.5</v>
      </c>
      <c r="E42" s="107">
        <f>D42/$D$48</f>
        <v>0.19898707009370256</v>
      </c>
      <c r="F42" s="28">
        <f>C42-(C42*$E$6)</f>
        <v>0.43412230851036809</v>
      </c>
      <c r="G42" s="27" t="str">
        <f>IF(C42&gt;=F42,"-","+")</f>
        <v>+</v>
      </c>
      <c r="H42" s="26">
        <f>C42*D42</f>
        <v>608.20000000000005</v>
      </c>
      <c r="I42" s="26">
        <f>F42*D42</f>
        <v>660.08297009001467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38</v>
      </c>
      <c r="E43" s="107">
        <f>D43/$D$48</f>
        <v>4.9730408836308436E-3</v>
      </c>
      <c r="F43" s="28">
        <f>C43-(C43*$E$6)</f>
        <v>0.43412230851036809</v>
      </c>
      <c r="G43" s="27" t="str">
        <f>IF(C43&gt;=F43,"-","+")</f>
        <v>+</v>
      </c>
      <c r="H43" s="26">
        <f>C43*D43</f>
        <v>15.200000000000001</v>
      </c>
      <c r="I43" s="26">
        <f>F43*D43</f>
        <v>16.496647723393988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</v>
      </c>
      <c r="E44" s="107">
        <f>D44/$D$48</f>
        <v>1.3086949693765377E-4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</v>
      </c>
      <c r="E45" s="107">
        <f>D45/$D$48</f>
        <v>5.8891273621944199E-4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0.39859335038363175</v>
      </c>
      <c r="D46" s="22">
        <f>SUM(D41:D45)</f>
        <v>1564</v>
      </c>
      <c r="E46" s="113">
        <f>D46/$D$48</f>
        <v>0.20467989321049052</v>
      </c>
      <c r="F46" s="20">
        <f>I46/D46</f>
        <v>0.4325956635635605</v>
      </c>
      <c r="G46" s="19">
        <f>F46/C46-1</f>
        <v>8.5305771275919984E-2</v>
      </c>
      <c r="H46" s="18">
        <f>SUM(H41:H44)</f>
        <v>623.40000000000009</v>
      </c>
      <c r="I46" s="18">
        <f>SUM(I41:I44)</f>
        <v>676.57961781340862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94.107595170148585</v>
      </c>
      <c r="D48" s="13">
        <f>D24+D32+D40+D46</f>
        <v>7641.2</v>
      </c>
      <c r="E48" s="12">
        <f>SUM(E20:E46)/2</f>
        <v>1</v>
      </c>
      <c r="F48" s="11">
        <f>I48/D48</f>
        <v>24.492029948196986</v>
      </c>
      <c r="G48" s="10"/>
      <c r="H48" s="9">
        <f>SUM(H20:H46)/2</f>
        <v>172438.50000000006</v>
      </c>
      <c r="I48" s="9">
        <f>SUM(I20:I46)/2</f>
        <v>187148.49924016281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7741.1999999999989</v>
      </c>
      <c r="E50" s="12">
        <f>D50/G2</f>
        <v>0.99999999999999989</v>
      </c>
      <c r="F50" s="11">
        <f>I50/D50</f>
        <v>24.85</v>
      </c>
      <c r="G50" s="10"/>
      <c r="H50" s="9">
        <f>H48+H19</f>
        <v>177248.50000000006</v>
      </c>
      <c r="I50" s="9">
        <f>I48+I19</f>
        <v>192368.81999999998</v>
      </c>
      <c r="J50" s="106">
        <f>D50-G2</f>
        <v>0</v>
      </c>
      <c r="K50" s="8"/>
    </row>
    <row r="51" spans="1:11" ht="23.25" x14ac:dyDescent="0.35">
      <c r="A51" s="174" t="s">
        <v>887</v>
      </c>
      <c r="B51" s="169"/>
      <c r="C51" s="170"/>
      <c r="G51" s="7"/>
      <c r="H51" s="6"/>
      <c r="I51" s="6">
        <f>+I50/D50</f>
        <v>24.85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885</v>
      </c>
      <c r="D1" s="100" t="s">
        <v>1</v>
      </c>
      <c r="E1" s="168" t="s">
        <v>451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888</v>
      </c>
      <c r="D2" s="96" t="s">
        <v>3</v>
      </c>
      <c r="E2" s="95" t="s">
        <v>112</v>
      </c>
      <c r="F2" s="94" t="s">
        <v>5</v>
      </c>
      <c r="G2" s="116">
        <v>6802.2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889</v>
      </c>
      <c r="D3" s="90" t="s">
        <v>7</v>
      </c>
      <c r="E3" s="89">
        <v>100</v>
      </c>
      <c r="F3" s="88" t="s">
        <v>8</v>
      </c>
      <c r="G3" s="120">
        <v>25.25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12</v>
      </c>
      <c r="D4" s="83" t="s">
        <v>11</v>
      </c>
      <c r="E4" s="82">
        <f>G2/E3</f>
        <v>68.021999999999991</v>
      </c>
      <c r="F4" s="81" t="s">
        <v>12</v>
      </c>
      <c r="G4" s="80">
        <f>G2*G3</f>
        <v>171755.55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-8.6764127856784112E-2</v>
      </c>
      <c r="F6" s="69" t="s">
        <v>16</v>
      </c>
      <c r="G6" s="68">
        <f>(I50-I19)/(D50-(SUM(D42:D44)+D19))</f>
        <v>32.357865486058763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 t="e">
        <f t="shared" ref="E10:E19" si="1">D10/$D$19</f>
        <v>#DIV/0!</v>
      </c>
      <c r="F10" s="28">
        <f t="shared" ref="F10:F18" si="2">C10-(C10*$E$6)</f>
        <v>27.495132434776639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 t="e">
        <f t="shared" si="1"/>
        <v>#DIV/0!</v>
      </c>
      <c r="F11" s="28">
        <f t="shared" si="2"/>
        <v>28.581896562633425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 t="e">
        <f t="shared" si="1"/>
        <v>#DIV/0!</v>
      </c>
      <c r="F12" s="28">
        <f t="shared" si="2"/>
        <v>26.082339068562817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 t="e">
        <f t="shared" si="1"/>
        <v>#DIV/0!</v>
      </c>
      <c r="F13" s="28">
        <f t="shared" si="2"/>
        <v>28.581896562633425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 t="e">
        <f t="shared" si="1"/>
        <v>#DIV/0!</v>
      </c>
      <c r="F14" s="28">
        <f t="shared" si="2"/>
        <v>31.95086535898945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 t="e">
        <f t="shared" si="1"/>
        <v>#DIV/0!</v>
      </c>
      <c r="F15" s="28">
        <f t="shared" si="2"/>
        <v>26.299691894134174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 t="e">
        <f t="shared" si="1"/>
        <v>#DIV/0!</v>
      </c>
      <c r="F16" s="28">
        <f t="shared" si="2"/>
        <v>36.080569044845234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48.8</v>
      </c>
      <c r="D17" s="30"/>
      <c r="E17" s="29" t="e">
        <f t="shared" si="1"/>
        <v>#DIV/0!</v>
      </c>
      <c r="F17" s="28">
        <f t="shared" si="2"/>
        <v>53.034089439411062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 t="e">
        <f t="shared" si="1"/>
        <v>#DIV/0!</v>
      </c>
      <c r="F18" s="28">
        <f t="shared" si="2"/>
        <v>46.513504672270358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63.5</v>
      </c>
      <c r="D21" s="30">
        <v>84.2</v>
      </c>
      <c r="E21" s="29">
        <f>D21/$D$48</f>
        <v>1.2378348181470702E-2</v>
      </c>
      <c r="F21" s="28">
        <f>C21-(C21*$E$6)</f>
        <v>69.009522118905792</v>
      </c>
      <c r="G21" s="27" t="str">
        <f>IF(C21&gt;=F21,"-","+")</f>
        <v>+</v>
      </c>
      <c r="H21" s="26">
        <f>C21*D21</f>
        <v>5346.7</v>
      </c>
      <c r="I21" s="26">
        <f>F21*D21</f>
        <v>5810.6017624118676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42.6</v>
      </c>
      <c r="D22" s="30">
        <v>169</v>
      </c>
      <c r="E22" s="29">
        <f>D22/$D$48</f>
        <v>2.4844903119578959E-2</v>
      </c>
      <c r="F22" s="28">
        <f>C22-(C22*$E$6)</f>
        <v>46.296151846699004</v>
      </c>
      <c r="G22" s="27" t="str">
        <f>IF(C22&gt;=F22,"-","+")</f>
        <v>+</v>
      </c>
      <c r="H22" s="26">
        <f>C22*D22</f>
        <v>7199.4000000000005</v>
      </c>
      <c r="I22" s="26">
        <f>F22*D22</f>
        <v>7824.0496620921322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v>140.6</v>
      </c>
      <c r="E23" s="29">
        <f>D23/$D$48</f>
        <v>2.0669783305401195E-2</v>
      </c>
      <c r="F23" s="28">
        <f>C23-(C23*$E$6)</f>
        <v>42.275124573628901</v>
      </c>
      <c r="G23" s="27" t="str">
        <f>IF(C23&gt;=F23,"-","+")</f>
        <v>+</v>
      </c>
      <c r="H23" s="26">
        <f>C23*D23</f>
        <v>5469.3399999999992</v>
      </c>
      <c r="I23" s="26">
        <f>F23*D23</f>
        <v>5943.8825150522234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45.747689182326056</v>
      </c>
      <c r="D24" s="22">
        <f>SUM(D21:D23)</f>
        <v>393.79999999999995</v>
      </c>
      <c r="E24" s="21">
        <f>D24/$D$48</f>
        <v>5.7893034606450851E-2</v>
      </c>
      <c r="F24" s="20">
        <f>I24/D24</f>
        <v>49.716947535693812</v>
      </c>
      <c r="G24" s="19">
        <f>F24/C24-1</f>
        <v>8.6764127856784112E-2</v>
      </c>
      <c r="H24" s="18">
        <f>SUM(H21:H23)</f>
        <v>18015.439999999999</v>
      </c>
      <c r="I24" s="18">
        <f>SUM(I21:I23)</f>
        <v>19578.533939556222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f>330.4+268.1+39.1+627</f>
        <v>1264.5999999999999</v>
      </c>
      <c r="E26" s="29">
        <f t="shared" ref="E26:E32" si="7">D26/$D$48</f>
        <v>0.18591044073976065</v>
      </c>
      <c r="F26" s="28">
        <f t="shared" ref="F26:F31" si="8">C26-(C26*$E$6)</f>
        <v>36.841303934344978</v>
      </c>
      <c r="G26" s="27" t="str">
        <f t="shared" ref="G26:G31" si="9">IF(C26&gt;=F26,"-","+")</f>
        <v>+</v>
      </c>
      <c r="H26" s="26">
        <f t="shared" ref="H26:H31" si="10">C26*D26</f>
        <v>42869.939999999995</v>
      </c>
      <c r="I26" s="26">
        <f t="shared" ref="I26:I31" si="11">F26*D26</f>
        <v>46589.512955372658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983.6</v>
      </c>
      <c r="E27" s="29">
        <f t="shared" si="7"/>
        <v>0.14460027638117082</v>
      </c>
      <c r="F27" s="28">
        <f t="shared" si="8"/>
        <v>32.820276661274882</v>
      </c>
      <c r="G27" s="27" t="str">
        <f t="shared" si="9"/>
        <v>+</v>
      </c>
      <c r="H27" s="26">
        <f t="shared" si="10"/>
        <v>29704.720000000001</v>
      </c>
      <c r="I27" s="26">
        <f t="shared" si="11"/>
        <v>32282.024124029973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678.6</v>
      </c>
      <c r="E28" s="29">
        <f t="shared" si="7"/>
        <v>9.9761841757078598E-2</v>
      </c>
      <c r="F28" s="28">
        <f t="shared" si="8"/>
        <v>32.820276661274882</v>
      </c>
      <c r="G28" s="27" t="str">
        <f t="shared" si="9"/>
        <v>+</v>
      </c>
      <c r="H28" s="26">
        <f t="shared" si="10"/>
        <v>20493.72</v>
      </c>
      <c r="I28" s="26">
        <f t="shared" si="11"/>
        <v>22271.839742341137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448.6</v>
      </c>
      <c r="E29" s="29">
        <f t="shared" si="7"/>
        <v>6.5949251712681192E-2</v>
      </c>
      <c r="F29" s="28">
        <f t="shared" si="8"/>
        <v>31.733512533418097</v>
      </c>
      <c r="G29" s="27" t="str">
        <f t="shared" si="9"/>
        <v>+</v>
      </c>
      <c r="H29" s="26">
        <f t="shared" si="10"/>
        <v>13099.12</v>
      </c>
      <c r="I29" s="26">
        <f t="shared" si="11"/>
        <v>14235.653722491359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414.5</v>
      </c>
      <c r="E30" s="29">
        <f t="shared" si="7"/>
        <v>6.0936167710446625E-2</v>
      </c>
      <c r="F30" s="28">
        <f t="shared" si="8"/>
        <v>31.733512533418097</v>
      </c>
      <c r="G30" s="27" t="str">
        <f t="shared" si="9"/>
        <v>+</v>
      </c>
      <c r="H30" s="26">
        <f t="shared" si="10"/>
        <v>12103.4</v>
      </c>
      <c r="I30" s="26">
        <f t="shared" si="11"/>
        <v>13153.5409451018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133.19999999999999</v>
      </c>
      <c r="E31" s="29">
        <f t="shared" si="7"/>
        <v>1.9581899973537972E-2</v>
      </c>
      <c r="F31" s="28">
        <f t="shared" si="8"/>
        <v>32.276894597346484</v>
      </c>
      <c r="G31" s="27" t="str">
        <f t="shared" si="9"/>
        <v>+</v>
      </c>
      <c r="H31" s="26">
        <f t="shared" si="10"/>
        <v>3956.0399999999995</v>
      </c>
      <c r="I31" s="26">
        <f t="shared" si="11"/>
        <v>4299.2823603665511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31.155703397823153</v>
      </c>
      <c r="D32" s="22">
        <f>SUM(D26:D31)</f>
        <v>3923.0999999999995</v>
      </c>
      <c r="E32" s="21">
        <f t="shared" si="7"/>
        <v>0.57673987827467577</v>
      </c>
      <c r="F32" s="20">
        <f>I32/D32</f>
        <v>33.858900830899927</v>
      </c>
      <c r="G32" s="19">
        <f>F32/C32-1</f>
        <v>8.6764127856784112E-2</v>
      </c>
      <c r="H32" s="18">
        <f>SUM(H26:H31)</f>
        <v>122226.93999999999</v>
      </c>
      <c r="I32" s="18">
        <f>SUM(I26:I31)</f>
        <v>132831.85384970348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354+543.5</f>
        <v>897.5</v>
      </c>
      <c r="E34" s="29">
        <f t="shared" ref="E34:E40" si="13">D34/$D$48</f>
        <v>0.13194260680368117</v>
      </c>
      <c r="F34" s="28">
        <f t="shared" ref="F34:F39" si="14">C34-(C34*$E$6)</f>
        <v>19.344401475850759</v>
      </c>
      <c r="G34" s="27" t="str">
        <f t="shared" ref="G34:G39" si="15">IF(C34&gt;=F34,"-","+")</f>
        <v>+</v>
      </c>
      <c r="H34" s="26">
        <f t="shared" ref="H34:H39" si="16">C34*D34</f>
        <v>15975.5</v>
      </c>
      <c r="I34" s="26">
        <f t="shared" ref="I34:I39" si="17">F34*D34</f>
        <v>17361.600324576055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89.6</v>
      </c>
      <c r="E35" s="29">
        <f t="shared" si="13"/>
        <v>1.3172208991208726E-2</v>
      </c>
      <c r="F35" s="28">
        <f t="shared" si="14"/>
        <v>14.888668551637942</v>
      </c>
      <c r="G35" s="27" t="str">
        <f t="shared" si="15"/>
        <v>+</v>
      </c>
      <c r="H35" s="26">
        <f t="shared" si="16"/>
        <v>1227.5199999999998</v>
      </c>
      <c r="I35" s="26">
        <f t="shared" si="17"/>
        <v>1334.0247022267595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11.954405406424625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31.733512533418097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31.733512533418097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32.820276661274882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17.427839124708743</v>
      </c>
      <c r="D40" s="22">
        <f>SUM(D34:D39)</f>
        <v>987.1</v>
      </c>
      <c r="E40" s="113">
        <f t="shared" si="13"/>
        <v>0.14511481579488988</v>
      </c>
      <c r="F40" s="20">
        <f>I40/D40</f>
        <v>18.939950386792439</v>
      </c>
      <c r="G40" s="19">
        <f>F40/C40-1</f>
        <v>8.6764127856784334E-2</v>
      </c>
      <c r="H40" s="18">
        <f>SUM(H34:H39)</f>
        <v>17203.02</v>
      </c>
      <c r="I40" s="18">
        <f>SUM(I34:I39)</f>
        <v>18695.625026802816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565+91.9+801.9</f>
        <v>1458.8</v>
      </c>
      <c r="E42" s="107">
        <f>D42/$D$48</f>
        <v>0.21446002763811708</v>
      </c>
      <c r="F42" s="28">
        <f>C42-(C42*$E$6)</f>
        <v>0.43470565114271364</v>
      </c>
      <c r="G42" s="27" t="str">
        <f>IF(C42&gt;=F42,"-","+")</f>
        <v>+</v>
      </c>
      <c r="H42" s="26">
        <f>C42*D42</f>
        <v>583.52</v>
      </c>
      <c r="I42" s="26">
        <f>F42*D42</f>
        <v>634.1486038869906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35.4</v>
      </c>
      <c r="E43" s="107">
        <f>D43/$D$48</f>
        <v>5.204198641615948E-3</v>
      </c>
      <c r="F43" s="28">
        <f>C43-(C43*$E$6)</f>
        <v>0.43470565114271364</v>
      </c>
      <c r="G43" s="27" t="str">
        <f>IF(C43&gt;=F43,"-","+")</f>
        <v>+</v>
      </c>
      <c r="H43" s="26">
        <f>C43*D43</f>
        <v>14.16</v>
      </c>
      <c r="I43" s="26">
        <f>F43*D43</f>
        <v>15.388580050452063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</v>
      </c>
      <c r="E45" s="107">
        <f>D45/$D$48</f>
        <v>5.8804504425038963E-4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0.39893205179548785</v>
      </c>
      <c r="D46" s="22">
        <f>SUM(D41:D45)</f>
        <v>1498.2</v>
      </c>
      <c r="E46" s="113">
        <f>D46/$D$48</f>
        <v>0.22025227132398342</v>
      </c>
      <c r="F46" s="20">
        <f>I46/D46</f>
        <v>0.4335450433436408</v>
      </c>
      <c r="G46" s="19">
        <f>F46/C46-1</f>
        <v>8.6764127856784112E-2</v>
      </c>
      <c r="H46" s="18">
        <f>SUM(H41:H44)</f>
        <v>597.67999999999995</v>
      </c>
      <c r="I46" s="18">
        <f>SUM(I41:I44)</f>
        <v>649.53718393744271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94.73016375665344</v>
      </c>
      <c r="D48" s="13">
        <f>D24+D32+D40+D46</f>
        <v>6802.2</v>
      </c>
      <c r="E48" s="12">
        <f>SUM(E20:E46)/2</f>
        <v>0.99999999999999989</v>
      </c>
      <c r="F48" s="11">
        <f>I48/D48</f>
        <v>25.249999999999989</v>
      </c>
      <c r="G48" s="10"/>
      <c r="H48" s="9">
        <f>SUM(H20:H46)/2</f>
        <v>158043.08000000002</v>
      </c>
      <c r="I48" s="9">
        <f>SUM(I20:I46)/2</f>
        <v>171755.54999999993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6802.2</v>
      </c>
      <c r="E50" s="12">
        <f>D50/G2</f>
        <v>1</v>
      </c>
      <c r="F50" s="11">
        <f>I50/D50</f>
        <v>25.249999999999989</v>
      </c>
      <c r="G50" s="10"/>
      <c r="H50" s="9">
        <f>H48+H19</f>
        <v>158043.08000000002</v>
      </c>
      <c r="I50" s="9">
        <f>I48+I19</f>
        <v>171755.54999999993</v>
      </c>
      <c r="J50" s="106">
        <f>D50-G2</f>
        <v>0</v>
      </c>
      <c r="K50" s="8"/>
    </row>
    <row r="51" spans="1:11" ht="23.25" x14ac:dyDescent="0.35">
      <c r="A51" s="174" t="s">
        <v>890</v>
      </c>
      <c r="B51" s="169"/>
      <c r="C51" s="170"/>
      <c r="G51" s="7"/>
      <c r="H51" s="6"/>
      <c r="I51" s="6">
        <f>+I50/D50</f>
        <v>25.249999999999989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 bestFit="1" customWidth="1"/>
  </cols>
  <sheetData>
    <row r="1" spans="1:11" ht="15.75" x14ac:dyDescent="0.25">
      <c r="A1" s="103" t="s">
        <v>0</v>
      </c>
      <c r="B1" s="102"/>
      <c r="C1" s="101" t="s">
        <v>888</v>
      </c>
      <c r="D1" s="100" t="s">
        <v>1</v>
      </c>
      <c r="E1" s="168" t="s">
        <v>775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888</v>
      </c>
      <c r="D2" s="96" t="s">
        <v>3</v>
      </c>
      <c r="E2" s="95" t="s">
        <v>112</v>
      </c>
      <c r="F2" s="94" t="s">
        <v>5</v>
      </c>
      <c r="G2" s="116">
        <f>15183.3+226.9+734.3+359.5</f>
        <v>16504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114</v>
      </c>
      <c r="F3" s="88" t="s">
        <v>8</v>
      </c>
      <c r="G3" s="120">
        <v>25.27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144.7719298245614</v>
      </c>
      <c r="F4" s="81" t="s">
        <v>12</v>
      </c>
      <c r="G4" s="80">
        <f>G2*G3</f>
        <v>417056.08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-0.10121695836190514</v>
      </c>
      <c r="F6" s="69" t="s">
        <v>16</v>
      </c>
      <c r="G6" s="68">
        <f>(I50-I19)/(D50-(SUM(D42:D44)+D19))</f>
        <v>32.016973090423811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>
        <f t="shared" ref="E10:E19" si="1">D10/$D$19</f>
        <v>0</v>
      </c>
      <c r="F10" s="28">
        <f t="shared" ref="F10:F18" si="2">C10-(C10*$E$6)</f>
        <v>27.860789046556199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>
        <f t="shared" si="1"/>
        <v>0</v>
      </c>
      <c r="F11" s="28">
        <f t="shared" si="2"/>
        <v>28.962006004918106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>
        <f t="shared" si="1"/>
        <v>0</v>
      </c>
      <c r="F12" s="28">
        <f t="shared" si="2"/>
        <v>26.429207000685722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>
        <f t="shared" si="1"/>
        <v>0</v>
      </c>
      <c r="F13" s="28">
        <f t="shared" si="2"/>
        <v>28.962006004918106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>
        <f t="shared" si="1"/>
        <v>0</v>
      </c>
      <c r="F14" s="28">
        <f t="shared" si="2"/>
        <v>32.375778575840009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24.3</v>
      </c>
      <c r="D15" s="30"/>
      <c r="E15" s="29">
        <f t="shared" si="1"/>
        <v>0</v>
      </c>
      <c r="F15" s="28">
        <f t="shared" si="2"/>
        <v>26.759572088194297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>
        <f t="shared" si="1"/>
        <v>0</v>
      </c>
      <c r="F16" s="28">
        <f t="shared" si="2"/>
        <v>36.560403017615251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48.9</v>
      </c>
      <c r="D17" s="30">
        <v>28</v>
      </c>
      <c r="E17" s="29">
        <f t="shared" si="1"/>
        <v>1</v>
      </c>
      <c r="F17" s="28">
        <f t="shared" si="2"/>
        <v>53.849509263897161</v>
      </c>
      <c r="G17" s="27" t="str">
        <f t="shared" si="3"/>
        <v>+</v>
      </c>
      <c r="H17" s="34">
        <f t="shared" si="4"/>
        <v>1369.2</v>
      </c>
      <c r="I17" s="34">
        <f t="shared" si="5"/>
        <v>1507.7862593891205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>
        <f t="shared" si="1"/>
        <v>0</v>
      </c>
      <c r="F18" s="28">
        <f t="shared" si="2"/>
        <v>47.132085817889539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48.9</v>
      </c>
      <c r="D19" s="49">
        <f>SUM(D10:D18)</f>
        <v>28</v>
      </c>
      <c r="E19" s="48">
        <f t="shared" si="1"/>
        <v>1</v>
      </c>
      <c r="F19" s="47">
        <f>I19/D19</f>
        <v>53.849509263897161</v>
      </c>
      <c r="G19" s="46">
        <f>F19/C19-1</f>
        <v>0.10121695836190514</v>
      </c>
      <c r="H19" s="9">
        <f>SUM(H10:H18)</f>
        <v>1369.2</v>
      </c>
      <c r="I19" s="9">
        <f>SUM(I10:I18)</f>
        <v>1507.7862593891205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63.6</v>
      </c>
      <c r="D21" s="30">
        <v>215.4</v>
      </c>
      <c r="E21" s="29">
        <f>D21/$D$48</f>
        <v>1.3073561544064093E-2</v>
      </c>
      <c r="F21" s="28">
        <f>C21-(C21*$E$6)</f>
        <v>70.037398551817162</v>
      </c>
      <c r="G21" s="27" t="str">
        <f>IF(C21&gt;=F21,"-","+")</f>
        <v>+</v>
      </c>
      <c r="H21" s="26">
        <f>C21*D21</f>
        <v>13699.44</v>
      </c>
      <c r="I21" s="26">
        <f>F21*D21</f>
        <v>15086.055648061418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42.7</v>
      </c>
      <c r="D22" s="30">
        <v>414.3</v>
      </c>
      <c r="E22" s="29">
        <f>D22/$D$48</f>
        <v>2.5145666423889296E-2</v>
      </c>
      <c r="F22" s="28">
        <f>C22-(C22*$E$6)</f>
        <v>47.021964122053355</v>
      </c>
      <c r="G22" s="27" t="str">
        <f>IF(C22&gt;=F22,"-","+")</f>
        <v>+</v>
      </c>
      <c r="H22" s="26">
        <f>C22*D22</f>
        <v>17690.61</v>
      </c>
      <c r="I22" s="26">
        <f>F22*D22</f>
        <v>19481.199735766706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v>328.8</v>
      </c>
      <c r="E23" s="29">
        <f>D23/$D$48</f>
        <v>1.9956300072833211E-2</v>
      </c>
      <c r="F23" s="28">
        <f>C23-(C23*$E$6)</f>
        <v>42.837339680278106</v>
      </c>
      <c r="G23" s="27" t="str">
        <f>IF(C23&gt;=F23,"-","+")</f>
        <v>+</v>
      </c>
      <c r="H23" s="26">
        <f>C23*D23</f>
        <v>12790.32</v>
      </c>
      <c r="I23" s="26">
        <f>F23*D23</f>
        <v>14084.917286875441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46.093239436619719</v>
      </c>
      <c r="D24" s="22">
        <f>SUM(D21:D23)</f>
        <v>958.5</v>
      </c>
      <c r="E24" s="21">
        <f>D24/$D$48</f>
        <v>5.81755280407866E-2</v>
      </c>
      <c r="F24" s="20">
        <f>I24/D24</f>
        <v>50.75865693344138</v>
      </c>
      <c r="G24" s="19">
        <f>F24/C24-1</f>
        <v>0.10121695836190514</v>
      </c>
      <c r="H24" s="18">
        <f>SUM(H21:H23)</f>
        <v>44180.37</v>
      </c>
      <c r="I24" s="18">
        <f>SUM(I21:I23)</f>
        <v>48652.172670703563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f>308+959.6+247.5+1200</f>
        <v>2715.1</v>
      </c>
      <c r="E26" s="29">
        <f t="shared" ref="E26:E32" si="7">D26/$D$48</f>
        <v>0.16479121145909201</v>
      </c>
      <c r="F26" s="28">
        <f t="shared" ref="F26:F31" si="8">C26-(C26*$E$6)</f>
        <v>37.331254888468585</v>
      </c>
      <c r="G26" s="27" t="str">
        <f t="shared" ref="G26:G31" si="9">IF(C26&gt;=F26,"-","+")</f>
        <v>+</v>
      </c>
      <c r="H26" s="26">
        <f t="shared" ref="H26:H31" si="10">C26*D26</f>
        <v>92041.89</v>
      </c>
      <c r="I26" s="26">
        <f t="shared" ref="I26:I31" si="11">F26*D26</f>
        <v>101358.09014768105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2272.6</v>
      </c>
      <c r="E27" s="29">
        <f t="shared" si="7"/>
        <v>0.13793396455450352</v>
      </c>
      <c r="F27" s="28">
        <f t="shared" si="8"/>
        <v>33.256752142529535</v>
      </c>
      <c r="G27" s="27" t="str">
        <f t="shared" si="9"/>
        <v>+</v>
      </c>
      <c r="H27" s="26">
        <f t="shared" si="10"/>
        <v>68632.51999999999</v>
      </c>
      <c r="I27" s="26">
        <f t="shared" si="11"/>
        <v>75579.294919112624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1353.4</v>
      </c>
      <c r="E28" s="29">
        <f t="shared" si="7"/>
        <v>8.2143724204904109E-2</v>
      </c>
      <c r="F28" s="28">
        <f t="shared" si="8"/>
        <v>33.256752142529535</v>
      </c>
      <c r="G28" s="27" t="str">
        <f t="shared" si="9"/>
        <v>+</v>
      </c>
      <c r="H28" s="26">
        <f t="shared" si="10"/>
        <v>40872.68</v>
      </c>
      <c r="I28" s="26">
        <f t="shared" si="11"/>
        <v>45009.688349699478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1167.9000000000001</v>
      </c>
      <c r="E29" s="29">
        <f t="shared" si="7"/>
        <v>7.0884923525127458E-2</v>
      </c>
      <c r="F29" s="28">
        <f t="shared" si="8"/>
        <v>32.155535184167633</v>
      </c>
      <c r="G29" s="27" t="str">
        <f t="shared" si="9"/>
        <v>+</v>
      </c>
      <c r="H29" s="26">
        <f t="shared" si="10"/>
        <v>34102.68</v>
      </c>
      <c r="I29" s="26">
        <f t="shared" si="11"/>
        <v>37554.449541589383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975.7</v>
      </c>
      <c r="E30" s="29">
        <f t="shared" si="7"/>
        <v>5.921947074532654E-2</v>
      </c>
      <c r="F30" s="28">
        <f t="shared" si="8"/>
        <v>32.155535184167633</v>
      </c>
      <c r="G30" s="27" t="str">
        <f t="shared" si="9"/>
        <v>+</v>
      </c>
      <c r="H30" s="26">
        <f t="shared" si="10"/>
        <v>28490.440000000002</v>
      </c>
      <c r="I30" s="26">
        <f t="shared" si="11"/>
        <v>31374.155679192361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456.2</v>
      </c>
      <c r="E31" s="29">
        <f t="shared" si="7"/>
        <v>2.768875940762321E-2</v>
      </c>
      <c r="F31" s="28">
        <f t="shared" si="8"/>
        <v>32.706143663348584</v>
      </c>
      <c r="G31" s="27" t="str">
        <f t="shared" si="9"/>
        <v>+</v>
      </c>
      <c r="H31" s="26">
        <f t="shared" si="10"/>
        <v>13549.14</v>
      </c>
      <c r="I31" s="26">
        <f t="shared" si="11"/>
        <v>14920.542739219623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31.058321869163052</v>
      </c>
      <c r="D32" s="22">
        <f>SUM(D26:D31)</f>
        <v>8940.9000000000015</v>
      </c>
      <c r="E32" s="21">
        <f t="shared" si="7"/>
        <v>0.54266205389657696</v>
      </c>
      <c r="F32" s="20">
        <f>I32/D32</f>
        <v>34.201950740584778</v>
      </c>
      <c r="G32" s="19">
        <f>F32/C32-1</f>
        <v>0.10121695836190514</v>
      </c>
      <c r="H32" s="18">
        <f>SUM(H26:H31)</f>
        <v>277689.34999999998</v>
      </c>
      <c r="I32" s="18">
        <f>SUM(I26:I31)</f>
        <v>305796.2213764945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f>1479.2+1363.3</f>
        <v>2842.5</v>
      </c>
      <c r="E34" s="29">
        <f t="shared" ref="E34:E40" si="13">D34/$D$48</f>
        <v>0.17252367079388201</v>
      </c>
      <c r="F34" s="28">
        <f t="shared" ref="F34:F39" si="14">C34-(C34*$E$6)</f>
        <v>19.7117835546781</v>
      </c>
      <c r="G34" s="27" t="str">
        <f t="shared" ref="G34:G39" si="15">IF(C34&gt;=F34,"-","+")</f>
        <v>+</v>
      </c>
      <c r="H34" s="26">
        <f t="shared" ref="H34:H39" si="16">C34*D34</f>
        <v>50880.749999999993</v>
      </c>
      <c r="I34" s="26">
        <f t="shared" ref="I34:I39" si="17">F34*D34</f>
        <v>56030.744754172498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233.9</v>
      </c>
      <c r="E35" s="29">
        <f t="shared" si="13"/>
        <v>1.4196406894877398E-2</v>
      </c>
      <c r="F35" s="28">
        <f t="shared" si="14"/>
        <v>15.0866723295581</v>
      </c>
      <c r="G35" s="27" t="str">
        <f t="shared" si="15"/>
        <v>+</v>
      </c>
      <c r="H35" s="26">
        <f t="shared" si="16"/>
        <v>3204.43</v>
      </c>
      <c r="I35" s="26">
        <f t="shared" si="17"/>
        <v>3528.7726578836396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12.113386541980956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32.155535184167633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32.155535184167633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33.256752142529535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17.580672214276426</v>
      </c>
      <c r="D40" s="22">
        <f>SUM(D34:D39)</f>
        <v>3076.4</v>
      </c>
      <c r="E40" s="113">
        <f t="shared" si="13"/>
        <v>0.18672007768875942</v>
      </c>
      <c r="F40" s="20">
        <f>I40/D40</f>
        <v>19.360134381763142</v>
      </c>
      <c r="G40" s="19">
        <f>F40/C40-1</f>
        <v>0.10121695836190492</v>
      </c>
      <c r="H40" s="18">
        <f>SUM(H34:H39)</f>
        <v>54085.179999999993</v>
      </c>
      <c r="I40" s="18">
        <f>SUM(I34:I39)</f>
        <v>59559.517412056135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1404+203.4+1791.1</f>
        <v>3398.5</v>
      </c>
      <c r="E42" s="107">
        <f>D42/$D$48</f>
        <v>0.20626972566156834</v>
      </c>
      <c r="F42" s="28">
        <f>C42-(C42*$E$6)</f>
        <v>0.4404867833447621</v>
      </c>
      <c r="G42" s="27" t="str">
        <f>IF(C42&gt;=F42,"-","+")</f>
        <v>+</v>
      </c>
      <c r="H42" s="26">
        <f>C42*D42</f>
        <v>1359.4</v>
      </c>
      <c r="I42" s="26">
        <f>F42*D42</f>
        <v>1496.994333197174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98.5</v>
      </c>
      <c r="E43" s="107">
        <f>D43/$D$48</f>
        <v>5.9783928137897551E-3</v>
      </c>
      <c r="F43" s="28">
        <f>C43-(C43*$E$6)</f>
        <v>0.4404867833447621</v>
      </c>
      <c r="G43" s="27" t="str">
        <f>IF(C43&gt;=F43,"-","+")</f>
        <v>+</v>
      </c>
      <c r="H43" s="26">
        <f>C43*D43</f>
        <v>39.400000000000006</v>
      </c>
      <c r="I43" s="26">
        <f>F43*D43</f>
        <v>43.387948159459064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3.2</v>
      </c>
      <c r="E45" s="107">
        <f>D45/$D$48</f>
        <v>1.9422189851905802E-4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0.39963430661105087</v>
      </c>
      <c r="D46" s="22">
        <f>SUM(D41:D45)</f>
        <v>3500.2</v>
      </c>
      <c r="E46" s="113">
        <f>D46/$D$48</f>
        <v>0.21244234037387713</v>
      </c>
      <c r="F46" s="20">
        <f>I46/D46</f>
        <v>0.44008407558329043</v>
      </c>
      <c r="G46" s="19">
        <f>F46/C46-1</f>
        <v>0.10121695836190514</v>
      </c>
      <c r="H46" s="18">
        <f>SUM(H41:H44)</f>
        <v>1398.8000000000002</v>
      </c>
      <c r="I46" s="18">
        <f>SUM(I41:I44)</f>
        <v>1540.382281356633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95.131867826670245</v>
      </c>
      <c r="D48" s="13">
        <f>D24+D32+D40+D46</f>
        <v>16476</v>
      </c>
      <c r="E48" s="12">
        <f>SUM(E20:E46)/2</f>
        <v>1.0000000000000002</v>
      </c>
      <c r="F48" s="11">
        <f>I48/D48</f>
        <v>25.221430792705192</v>
      </c>
      <c r="G48" s="10"/>
      <c r="H48" s="9">
        <f>SUM(H20:H46)/2</f>
        <v>377353.70000000007</v>
      </c>
      <c r="I48" s="9">
        <f>SUM(I20:I46)/2</f>
        <v>415548.29374061077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16504.000000000004</v>
      </c>
      <c r="E50" s="12">
        <f>D50/G2</f>
        <v>1.0000000000000002</v>
      </c>
      <c r="F50" s="11">
        <f>I50/D50</f>
        <v>25.269999999999989</v>
      </c>
      <c r="G50" s="10"/>
      <c r="H50" s="9">
        <f>H48+H19</f>
        <v>378722.90000000008</v>
      </c>
      <c r="I50" s="9">
        <f>I48+I19</f>
        <v>417056.0799999999</v>
      </c>
      <c r="J50" s="106">
        <f>D50-G2</f>
        <v>0</v>
      </c>
      <c r="K50" s="8"/>
    </row>
    <row r="51" spans="1:11" ht="23.25" x14ac:dyDescent="0.35">
      <c r="A51" s="174" t="s">
        <v>891</v>
      </c>
      <c r="B51" s="169"/>
      <c r="C51" s="170"/>
      <c r="G51" s="7"/>
      <c r="H51" s="6"/>
      <c r="I51" s="6">
        <f>+I50/D50</f>
        <v>25.269999999999989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888</v>
      </c>
      <c r="D2" s="96" t="s">
        <v>3</v>
      </c>
      <c r="E2" s="95" t="s">
        <v>71</v>
      </c>
      <c r="F2" s="94" t="s">
        <v>5</v>
      </c>
      <c r="G2" s="116">
        <v>22607.5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252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89.712301587301582</v>
      </c>
      <c r="F4" s="81" t="s">
        <v>12</v>
      </c>
      <c r="G4" s="80">
        <f>G2*G3</f>
        <v>638661.875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-1.3013720771057002E-2</v>
      </c>
      <c r="F6" s="69" t="s">
        <v>16</v>
      </c>
      <c r="G6" s="68">
        <f>(I50-I19)/(D50-(SUM(D42:D44)+D19))</f>
        <v>33.455938287134821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>
        <f t="shared" ref="E10:E19" si="1">D10/$D$19</f>
        <v>0</v>
      </c>
      <c r="F10" s="28">
        <f t="shared" ref="F10:F18" si="2">C10-(C10*$E$6)</f>
        <v>28.668288297820915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>
        <v>1389.7</v>
      </c>
      <c r="E11" s="29">
        <f t="shared" si="1"/>
        <v>0.63961890735030158</v>
      </c>
      <c r="F11" s="28">
        <f t="shared" si="2"/>
        <v>29.782603390669074</v>
      </c>
      <c r="G11" s="27" t="str">
        <f t="shared" si="3"/>
        <v>+</v>
      </c>
      <c r="H11" s="34">
        <f t="shared" si="4"/>
        <v>40857.18</v>
      </c>
      <c r="I11" s="34">
        <f t="shared" si="5"/>
        <v>41388.88393201281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>
        <v>346.5</v>
      </c>
      <c r="E12" s="29">
        <f t="shared" si="1"/>
        <v>0.15947898927601603</v>
      </c>
      <c r="F12" s="28">
        <f t="shared" si="2"/>
        <v>27.250069088741434</v>
      </c>
      <c r="G12" s="27" t="str">
        <f t="shared" si="3"/>
        <v>+</v>
      </c>
      <c r="H12" s="34">
        <f t="shared" si="4"/>
        <v>9320.85</v>
      </c>
      <c r="I12" s="34">
        <f t="shared" si="5"/>
        <v>9442.1489392489075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>
        <v>310.5</v>
      </c>
      <c r="E13" s="29">
        <f t="shared" si="1"/>
        <v>0.14290974363694944</v>
      </c>
      <c r="F13" s="28">
        <f t="shared" si="2"/>
        <v>29.782603390669074</v>
      </c>
      <c r="G13" s="27" t="str">
        <f t="shared" si="3"/>
        <v>+</v>
      </c>
      <c r="H13" s="34">
        <f t="shared" si="4"/>
        <v>9128.6999999999989</v>
      </c>
      <c r="I13" s="34">
        <f t="shared" si="5"/>
        <v>9247.4983528027478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>
        <f t="shared" si="1"/>
        <v>0</v>
      </c>
      <c r="F14" s="28">
        <f t="shared" si="2"/>
        <v>33.328151413367777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>
        <v>126</v>
      </c>
      <c r="E15" s="29">
        <f t="shared" si="1"/>
        <v>5.7992359736733105E-2</v>
      </c>
      <c r="F15" s="28">
        <f t="shared" si="2"/>
        <v>27.452671832895646</v>
      </c>
      <c r="G15" s="27" t="str">
        <f t="shared" si="3"/>
        <v>+</v>
      </c>
      <c r="H15" s="34">
        <f t="shared" si="4"/>
        <v>3414.6000000000004</v>
      </c>
      <c r="I15" s="34">
        <f t="shared" si="5"/>
        <v>3459.0366509448513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37.582809040606215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>
        <f t="shared" si="1"/>
        <v>0</v>
      </c>
      <c r="F17" s="28">
        <f t="shared" si="2"/>
        <v>55.310549154099711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>
        <f t="shared" si="1"/>
        <v>0</v>
      </c>
      <c r="F18" s="28">
        <f t="shared" si="2"/>
        <v>48.523357224933626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28.867920099415475</v>
      </c>
      <c r="D19" s="49">
        <f>SUM(D10:D18)</f>
        <v>2172.6999999999998</v>
      </c>
      <c r="E19" s="48">
        <f t="shared" si="1"/>
        <v>1</v>
      </c>
      <c r="F19" s="47">
        <f>I19/D19</f>
        <v>29.243599150830452</v>
      </c>
      <c r="G19" s="46">
        <f>F19/C19-1</f>
        <v>1.3013720771057002E-2</v>
      </c>
      <c r="H19" s="9">
        <f>SUM(H10:H18)</f>
        <v>62721.329999999994</v>
      </c>
      <c r="I19" s="9">
        <f>SUM(I10:I18)</f>
        <v>63537.567875009321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208.3</v>
      </c>
      <c r="E21" s="29">
        <f>D21/$D$48</f>
        <v>1.0193395580088868E-2</v>
      </c>
      <c r="F21" s="28">
        <f>C21-(C21*$E$6)</f>
        <v>71.923974174745041</v>
      </c>
      <c r="G21" s="27" t="str">
        <f>IF(C21&gt;=F21,"-","+")</f>
        <v>+</v>
      </c>
      <c r="H21" s="26">
        <f>C21*D21</f>
        <v>14789.300000000001</v>
      </c>
      <c r="I21" s="26">
        <f>F21*D21</f>
        <v>14981.763820599394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614.5</v>
      </c>
      <c r="E22" s="29">
        <f>D22/$D$48</f>
        <v>3.0071251003190635E-2</v>
      </c>
      <c r="F22" s="28">
        <f>C22-(C22*$E$6)</f>
        <v>48.320754480779421</v>
      </c>
      <c r="G22" s="27" t="str">
        <f>IF(C22&gt;=F22,"-","+")</f>
        <v>+</v>
      </c>
      <c r="H22" s="26">
        <f>C22*D22</f>
        <v>29311.65</v>
      </c>
      <c r="I22" s="26">
        <f>F22*D22</f>
        <v>29693.103628438956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448.5</v>
      </c>
      <c r="E23" s="29">
        <f>D23/$D$48</f>
        <v>2.1947853661401139E-2</v>
      </c>
      <c r="F23" s="28">
        <f>C23-(C23*$E$6)</f>
        <v>44.066096853540976</v>
      </c>
      <c r="G23" s="27" t="str">
        <f>IF(C23&gt;=F23,"-","+")</f>
        <v>+</v>
      </c>
      <c r="H23" s="26">
        <f>C23*D23</f>
        <v>19509.75</v>
      </c>
      <c r="I23" s="26">
        <f>F23*D23</f>
        <v>19763.644438813128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50.035947455360663</v>
      </c>
      <c r="D24" s="22">
        <f>SUM(D21:D23)</f>
        <v>1271.3</v>
      </c>
      <c r="E24" s="21">
        <f>D24/$D$48</f>
        <v>6.2212500244680641E-2</v>
      </c>
      <c r="F24" s="20">
        <f>I24/D24</f>
        <v>50.68710130406</v>
      </c>
      <c r="G24" s="19">
        <f>F24/C24-1</f>
        <v>1.301372077105678E-2</v>
      </c>
      <c r="H24" s="18">
        <f>SUM(H21:H23)</f>
        <v>63610.700000000004</v>
      </c>
      <c r="I24" s="18">
        <f>SUM(I21:I23)</f>
        <v>64438.511887851477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f>342.2+1129.8+367.5+2359.6</f>
        <v>4199.1000000000004</v>
      </c>
      <c r="E26" s="29">
        <f t="shared" ref="E26:E32" si="7">D26/$D$48</f>
        <v>0.2054876974572788</v>
      </c>
      <c r="F26" s="28">
        <f t="shared" ref="F26:F31" si="8">C26-(C26*$E$6)</f>
        <v>38.393220017223058</v>
      </c>
      <c r="G26" s="27" t="str">
        <f t="shared" ref="G26:G31" si="9">IF(C26&gt;=F26,"-","+")</f>
        <v>+</v>
      </c>
      <c r="H26" s="26">
        <f t="shared" ref="H26:H31" si="10">C26*D26</f>
        <v>159145.89000000001</v>
      </c>
      <c r="I26" s="26">
        <f t="shared" ref="I26:I31" si="11">F26*D26</f>
        <v>161216.97017432135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3368.5</v>
      </c>
      <c r="E27" s="29">
        <f t="shared" si="7"/>
        <v>0.16484134907119227</v>
      </c>
      <c r="F27" s="28">
        <f t="shared" si="8"/>
        <v>34.239863762061724</v>
      </c>
      <c r="G27" s="27" t="str">
        <f t="shared" si="9"/>
        <v>+</v>
      </c>
      <c r="H27" s="26">
        <f t="shared" si="10"/>
        <v>113855.29999999999</v>
      </c>
      <c r="I27" s="26">
        <f t="shared" si="11"/>
        <v>115336.98108250492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1609.1</v>
      </c>
      <c r="E28" s="29">
        <f t="shared" si="7"/>
        <v>7.874312447393661E-2</v>
      </c>
      <c r="F28" s="28">
        <f t="shared" si="8"/>
        <v>34.239863762061724</v>
      </c>
      <c r="G28" s="27" t="str">
        <f t="shared" si="9"/>
        <v>+</v>
      </c>
      <c r="H28" s="26">
        <f t="shared" si="10"/>
        <v>54387.579999999994</v>
      </c>
      <c r="I28" s="26">
        <f t="shared" si="11"/>
        <v>55095.36477953352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1542.3</v>
      </c>
      <c r="E29" s="29">
        <f t="shared" si="7"/>
        <v>7.5474191085794826E-2</v>
      </c>
      <c r="F29" s="28">
        <f t="shared" si="8"/>
        <v>33.024247297136462</v>
      </c>
      <c r="G29" s="27" t="str">
        <f t="shared" si="9"/>
        <v>+</v>
      </c>
      <c r="H29" s="26">
        <f t="shared" si="10"/>
        <v>50278.98</v>
      </c>
      <c r="I29" s="26">
        <f t="shared" si="11"/>
        <v>50933.296606373566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1366.7</v>
      </c>
      <c r="E30" s="29">
        <f t="shared" si="7"/>
        <v>6.6881006909781354E-2</v>
      </c>
      <c r="F30" s="28">
        <f t="shared" si="8"/>
        <v>33.024247297136462</v>
      </c>
      <c r="G30" s="27" t="str">
        <f t="shared" si="9"/>
        <v>+</v>
      </c>
      <c r="H30" s="26">
        <f t="shared" si="10"/>
        <v>44554.420000000006</v>
      </c>
      <c r="I30" s="26">
        <f t="shared" si="11"/>
        <v>45134.238780996406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360</v>
      </c>
      <c r="E31" s="29">
        <f t="shared" si="7"/>
        <v>1.761700628339891E-2</v>
      </c>
      <c r="F31" s="28">
        <f t="shared" si="8"/>
        <v>33.632055529599093</v>
      </c>
      <c r="G31" s="27" t="str">
        <f t="shared" si="9"/>
        <v>+</v>
      </c>
      <c r="H31" s="26">
        <f t="shared" si="10"/>
        <v>11952.000000000002</v>
      </c>
      <c r="I31" s="26">
        <f t="shared" si="11"/>
        <v>12107.539990655674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34.885476108214078</v>
      </c>
      <c r="D32" s="22">
        <f>SUM(D26:D31)</f>
        <v>12445.7</v>
      </c>
      <c r="E32" s="21">
        <f t="shared" si="7"/>
        <v>0.60904437528138278</v>
      </c>
      <c r="F32" s="20">
        <f>I32/D32</f>
        <v>35.339465953251761</v>
      </c>
      <c r="G32" s="19">
        <f>F32/C32-1</f>
        <v>1.3013720771057224E-2</v>
      </c>
      <c r="H32" s="18">
        <f>SUM(H26:H31)</f>
        <v>434174.17</v>
      </c>
      <c r="I32" s="18">
        <f>SUM(I26:I31)</f>
        <v>439824.39141438546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f>1264.6+1990.8</f>
        <v>3255.3999999999996</v>
      </c>
      <c r="E34" s="29">
        <f t="shared" ref="E34:E40" si="13">D34/$D$48</f>
        <v>0.15930667293049111</v>
      </c>
      <c r="F34" s="28">
        <f t="shared" ref="F34:F39" si="14">C34-(C34*$E$6)</f>
        <v>20.26027441542114</v>
      </c>
      <c r="G34" s="27" t="str">
        <f t="shared" ref="G34:G39" si="15">IF(C34&gt;=F34,"-","+")</f>
        <v>+</v>
      </c>
      <c r="H34" s="26">
        <f t="shared" ref="H34:H39" si="16">C34*D34</f>
        <v>65107.999999999993</v>
      </c>
      <c r="I34" s="26">
        <f t="shared" ref="I34:I39" si="17">F34*D34</f>
        <v>65955.297331961978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>
        <v>209.2</v>
      </c>
      <c r="E35" s="29">
        <f t="shared" si="13"/>
        <v>1.0237438095797365E-2</v>
      </c>
      <c r="F35" s="28">
        <f t="shared" si="14"/>
        <v>15.600411299874278</v>
      </c>
      <c r="G35" s="27" t="str">
        <f t="shared" si="15"/>
        <v>+</v>
      </c>
      <c r="H35" s="26">
        <f t="shared" si="16"/>
        <v>3221.68</v>
      </c>
      <c r="I35" s="26">
        <f t="shared" si="17"/>
        <v>3263.6060439336989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12.460068765484001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33.024247297136462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33.024247297136462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34.239863762061724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19.722242105870809</v>
      </c>
      <c r="D40" s="22">
        <f>SUM(D34:D39)</f>
        <v>3464.5999999999995</v>
      </c>
      <c r="E40" s="113">
        <f t="shared" si="13"/>
        <v>0.16954411102628847</v>
      </c>
      <c r="F40" s="20">
        <f>I40/D40</f>
        <v>19.978901857615796</v>
      </c>
      <c r="G40" s="19">
        <f>F40/C40-1</f>
        <v>1.3013720771057002E-2</v>
      </c>
      <c r="H40" s="18">
        <f>SUM(H34:H39)</f>
        <v>68329.679999999993</v>
      </c>
      <c r="I40" s="18">
        <f>SUM(I34:I39)</f>
        <v>69218.903375895679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168.2+1572.4+1375</f>
        <v>3115.6000000000004</v>
      </c>
      <c r="E42" s="107">
        <f>D42/$D$48</f>
        <v>0.15246540215710458</v>
      </c>
      <c r="F42" s="28">
        <f>C42-(C42*$E$6)</f>
        <v>0.5065068603855285</v>
      </c>
      <c r="G42" s="27" t="str">
        <f>IF(C42&gt;=F42,"-","+")</f>
        <v>+</v>
      </c>
      <c r="H42" s="26">
        <f>C42*D42</f>
        <v>1557.8000000000002</v>
      </c>
      <c r="I42" s="26">
        <f>F42*D42</f>
        <v>1578.0727742171528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127.2</v>
      </c>
      <c r="E43" s="107">
        <f>D43/$D$48</f>
        <v>6.2246755534676144E-3</v>
      </c>
      <c r="F43" s="28">
        <f>C43-(C43*$E$6)</f>
        <v>0.5065068603855285</v>
      </c>
      <c r="G43" s="27" t="str">
        <f>IF(C43&gt;=F43,"-","+")</f>
        <v>+</v>
      </c>
      <c r="H43" s="26">
        <f>C43*D43</f>
        <v>63.6</v>
      </c>
      <c r="I43" s="26">
        <f>F43*D43</f>
        <v>64.427672641039223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1.5</v>
      </c>
      <c r="E44" s="107">
        <f>D44/$D$48</f>
        <v>7.340419284749545E-5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8.9</v>
      </c>
      <c r="E45" s="107">
        <f>D45/$D$48</f>
        <v>4.3553154422847301E-4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0.49840157383499323</v>
      </c>
      <c r="D46" s="22">
        <f>SUM(D41:D45)</f>
        <v>3253.2000000000003</v>
      </c>
      <c r="E46" s="113">
        <f>D46/$D$48</f>
        <v>0.15919901344764814</v>
      </c>
      <c r="F46" s="20">
        <f>I46/D46</f>
        <v>0.50488763274873716</v>
      </c>
      <c r="G46" s="19">
        <f>F46/C46-1</f>
        <v>1.3013720771057002E-2</v>
      </c>
      <c r="H46" s="18">
        <f>SUM(H41:H44)</f>
        <v>1621.4</v>
      </c>
      <c r="I46" s="18">
        <f>SUM(I41:I44)</f>
        <v>1642.5004468581919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105.14206724328054</v>
      </c>
      <c r="D48" s="13">
        <f>D24+D32+D40+D46</f>
        <v>20434.8</v>
      </c>
      <c r="E48" s="12">
        <f>SUM(E20:E46)/2</f>
        <v>1</v>
      </c>
      <c r="F48" s="11">
        <f>I48/D48</f>
        <v>28.144357034323352</v>
      </c>
      <c r="G48" s="10"/>
      <c r="H48" s="9">
        <f>SUM(H20:H46)/2</f>
        <v>567735.94999999995</v>
      </c>
      <c r="I48" s="9">
        <f>SUM(I20:I46)/2</f>
        <v>575124.30712499085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22607.499999999996</v>
      </c>
      <c r="E50" s="12">
        <f>D50/G2</f>
        <v>0.99999999999999989</v>
      </c>
      <c r="F50" s="11">
        <f>I50/D50</f>
        <v>28.250000000000014</v>
      </c>
      <c r="G50" s="10"/>
      <c r="H50" s="9">
        <f>H48+H19</f>
        <v>630457.27999999991</v>
      </c>
      <c r="I50" s="9">
        <f>I48+I19</f>
        <v>638661.87500000023</v>
      </c>
      <c r="J50" s="106">
        <f>D50-G2</f>
        <v>0</v>
      </c>
      <c r="K50" s="8"/>
    </row>
    <row r="51" spans="1:11" ht="23.25" x14ac:dyDescent="0.35">
      <c r="A51" s="174" t="s">
        <v>892</v>
      </c>
      <c r="B51" s="169"/>
      <c r="C51" s="170"/>
      <c r="G51" s="7"/>
      <c r="H51" s="6"/>
      <c r="I51" s="6">
        <f>+I50/D50</f>
        <v>28.250000000000014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885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888</v>
      </c>
      <c r="D2" s="96" t="s">
        <v>3</v>
      </c>
      <c r="E2" s="95" t="s">
        <v>112</v>
      </c>
      <c r="F2" s="94" t="s">
        <v>5</v>
      </c>
      <c r="G2" s="93">
        <v>3473.2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56</v>
      </c>
      <c r="F3" s="88" t="s">
        <v>8</v>
      </c>
      <c r="G3" s="87">
        <v>24.12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62.021428571428565</v>
      </c>
      <c r="F4" s="81" t="s">
        <v>12</v>
      </c>
      <c r="G4" s="80">
        <f>G2*G3</f>
        <v>83773.584000000003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-0.13285146271141657</v>
      </c>
      <c r="F6" s="69" t="s">
        <v>16</v>
      </c>
      <c r="G6" s="68">
        <f>(I50-I19)/(D50-(SUM(D42:D44)+D19))</f>
        <v>31.889449562238291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24.1</v>
      </c>
      <c r="D10" s="30"/>
      <c r="E10" s="29" t="e">
        <f t="shared" ref="E10:E19" si="1">D10/$D$19</f>
        <v>#DIV/0!</v>
      </c>
      <c r="F10" s="28">
        <f t="shared" ref="F10:F18" si="2">C10-(C10*$E$6)</f>
        <v>27.301720251345142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25.1</v>
      </c>
      <c r="D11" s="30"/>
      <c r="E11" s="29" t="e">
        <f t="shared" si="1"/>
        <v>#DIV/0!</v>
      </c>
      <c r="F11" s="28">
        <f t="shared" si="2"/>
        <v>28.434571714056556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22.9</v>
      </c>
      <c r="D12" s="30"/>
      <c r="E12" s="29" t="e">
        <f t="shared" si="1"/>
        <v>#DIV/0!</v>
      </c>
      <c r="F12" s="28">
        <f t="shared" si="2"/>
        <v>25.942298496091439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25.1</v>
      </c>
      <c r="D13" s="30"/>
      <c r="E13" s="29" t="e">
        <f t="shared" si="1"/>
        <v>#DIV/0!</v>
      </c>
      <c r="F13" s="28">
        <f t="shared" si="2"/>
        <v>28.434571714056556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28.1</v>
      </c>
      <c r="D14" s="30"/>
      <c r="E14" s="29" t="e">
        <f t="shared" si="1"/>
        <v>#DIV/0!</v>
      </c>
      <c r="F14" s="28">
        <f t="shared" si="2"/>
        <v>31.833126102190807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23.2</v>
      </c>
      <c r="D15" s="30"/>
      <c r="E15" s="29" t="e">
        <f t="shared" si="1"/>
        <v>#DIV/0!</v>
      </c>
      <c r="F15" s="28">
        <f t="shared" si="2"/>
        <v>26.282153934904862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31.7</v>
      </c>
      <c r="D16" s="30"/>
      <c r="E16" s="29" t="e">
        <f t="shared" si="1"/>
        <v>#DIV/0!</v>
      </c>
      <c r="F16" s="28">
        <f t="shared" si="2"/>
        <v>35.911391367951907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46.7</v>
      </c>
      <c r="D17" s="30"/>
      <c r="E17" s="29" t="e">
        <f t="shared" si="1"/>
        <v>#DIV/0!</v>
      </c>
      <c r="F17" s="28">
        <f t="shared" si="2"/>
        <v>52.904163308623154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40.9</v>
      </c>
      <c r="D18" s="30"/>
      <c r="E18" s="29" t="e">
        <f t="shared" si="1"/>
        <v>#DIV/0!</v>
      </c>
      <c r="F18" s="28">
        <f t="shared" si="2"/>
        <v>46.333624824896937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60.7</v>
      </c>
      <c r="D21" s="30">
        <v>46</v>
      </c>
      <c r="E21" s="29">
        <f>D21/$D$48</f>
        <v>1.3244270413451572E-2</v>
      </c>
      <c r="F21" s="28">
        <f>C21-(C21*$E$6)</f>
        <v>68.764083786582987</v>
      </c>
      <c r="G21" s="27" t="str">
        <f>IF(C21&gt;=F21,"-","+")</f>
        <v>+</v>
      </c>
      <c r="H21" s="26">
        <f>C21*D21</f>
        <v>2792.2000000000003</v>
      </c>
      <c r="I21" s="26">
        <f>F21*D21</f>
        <v>3163.1478541828174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40.700000000000003</v>
      </c>
      <c r="D22" s="30">
        <v>82.8</v>
      </c>
      <c r="E22" s="29">
        <f>D22/$D$48</f>
        <v>2.3839686744212829E-2</v>
      </c>
      <c r="F22" s="28">
        <f>C22-(C22*$E$6)</f>
        <v>46.10705453235466</v>
      </c>
      <c r="G22" s="27" t="str">
        <f>IF(C22&gt;=F22,"-","+")</f>
        <v>+</v>
      </c>
      <c r="H22" s="26">
        <f>C22*D22</f>
        <v>3369.96</v>
      </c>
      <c r="I22" s="26">
        <f>F22*D22</f>
        <v>3817.6641152789657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37.1</v>
      </c>
      <c r="D23" s="30">
        <v>60.5</v>
      </c>
      <c r="E23" s="29">
        <f>D23/$D$48</f>
        <v>1.7419094782909133E-2</v>
      </c>
      <c r="F23" s="28">
        <f>C23-(C23*$E$6)</f>
        <v>42.028789266593556</v>
      </c>
      <c r="G23" s="27" t="str">
        <f>IF(C23&gt;=F23,"-","+")</f>
        <v>+</v>
      </c>
      <c r="H23" s="26">
        <f>C23*D23</f>
        <v>2244.5500000000002</v>
      </c>
      <c r="I23" s="26">
        <f>F23*D23</f>
        <v>2542.7417506289103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44.409455890121492</v>
      </c>
      <c r="D24" s="22">
        <f>SUM(D21:D23)</f>
        <v>189.3</v>
      </c>
      <c r="E24" s="21">
        <f>D24/$D$48</f>
        <v>5.4503051940573539E-2</v>
      </c>
      <c r="F24" s="20">
        <f>I24/D24</f>
        <v>50.309317063342284</v>
      </c>
      <c r="G24" s="19">
        <f>F24/C24-1</f>
        <v>0.13285146271141701</v>
      </c>
      <c r="H24" s="18">
        <f>SUM(H21:H23)</f>
        <v>8406.7099999999991</v>
      </c>
      <c r="I24" s="18">
        <f>SUM(I21:I23)</f>
        <v>9523.5537200906947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32.4</v>
      </c>
      <c r="D26" s="30">
        <f>203.8+9.4+420</f>
        <v>633.20000000000005</v>
      </c>
      <c r="E26" s="29">
        <f t="shared" ref="E26:E32" si="7">D26/$D$48</f>
        <v>0.18231026143038123</v>
      </c>
      <c r="F26" s="28">
        <f t="shared" ref="F26:F31" si="8">C26-(C26*$E$6)</f>
        <v>36.704387391849892</v>
      </c>
      <c r="G26" s="27" t="str">
        <f t="shared" ref="G26:G31" si="9">IF(C26&gt;=F26,"-","+")</f>
        <v>+</v>
      </c>
      <c r="H26" s="26">
        <f t="shared" ref="H26:H31" si="10">C26*D26</f>
        <v>20515.68</v>
      </c>
      <c r="I26" s="26">
        <f t="shared" ref="I26:I31" si="11">F26*D26</f>
        <v>23241.218096519355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28.8</v>
      </c>
      <c r="D27" s="30">
        <v>500.3</v>
      </c>
      <c r="E27" s="29">
        <f t="shared" si="7"/>
        <v>0.14404583669238744</v>
      </c>
      <c r="F27" s="28">
        <f t="shared" si="8"/>
        <v>32.626122126088795</v>
      </c>
      <c r="G27" s="27" t="str">
        <f t="shared" si="9"/>
        <v>+</v>
      </c>
      <c r="H27" s="26">
        <f t="shared" si="10"/>
        <v>14408.640000000001</v>
      </c>
      <c r="I27" s="26">
        <f t="shared" si="11"/>
        <v>16322.848899682225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28.8</v>
      </c>
      <c r="D28" s="30">
        <v>232.1</v>
      </c>
      <c r="E28" s="29">
        <f t="shared" si="7"/>
        <v>6.6825981803524129E-2</v>
      </c>
      <c r="F28" s="28">
        <f t="shared" si="8"/>
        <v>32.626122126088795</v>
      </c>
      <c r="G28" s="27" t="str">
        <f t="shared" si="9"/>
        <v>+</v>
      </c>
      <c r="H28" s="26">
        <f t="shared" si="10"/>
        <v>6684.48</v>
      </c>
      <c r="I28" s="26">
        <f t="shared" si="11"/>
        <v>7572.522945465209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27.9</v>
      </c>
      <c r="D29" s="30">
        <v>208</v>
      </c>
      <c r="E29" s="29">
        <f t="shared" si="7"/>
        <v>5.9887135782563633E-2</v>
      </c>
      <c r="F29" s="28">
        <f t="shared" si="8"/>
        <v>31.606555809648519</v>
      </c>
      <c r="G29" s="27" t="str">
        <f t="shared" si="9"/>
        <v>+</v>
      </c>
      <c r="H29" s="26">
        <f t="shared" si="10"/>
        <v>5803.2</v>
      </c>
      <c r="I29" s="26">
        <f t="shared" si="11"/>
        <v>6574.1636084068923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27.9</v>
      </c>
      <c r="D30" s="30">
        <v>194.8</v>
      </c>
      <c r="E30" s="29">
        <f t="shared" si="7"/>
        <v>5.60866060117471E-2</v>
      </c>
      <c r="F30" s="28">
        <f t="shared" si="8"/>
        <v>31.606555809648519</v>
      </c>
      <c r="G30" s="27" t="str">
        <f t="shared" si="9"/>
        <v>+</v>
      </c>
      <c r="H30" s="26">
        <f t="shared" si="10"/>
        <v>5434.92</v>
      </c>
      <c r="I30" s="26">
        <f t="shared" si="11"/>
        <v>6156.957071719532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28.3</v>
      </c>
      <c r="D31" s="30">
        <v>108.1</v>
      </c>
      <c r="E31" s="29">
        <f t="shared" si="7"/>
        <v>3.1124035471611196E-2</v>
      </c>
      <c r="F31" s="28">
        <f t="shared" si="8"/>
        <v>32.059696394733088</v>
      </c>
      <c r="G31" s="27" t="str">
        <f t="shared" si="9"/>
        <v>+</v>
      </c>
      <c r="H31" s="26">
        <f t="shared" si="10"/>
        <v>3059.23</v>
      </c>
      <c r="I31" s="26">
        <f t="shared" si="11"/>
        <v>3465.6531802706468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29.792779110045302</v>
      </c>
      <c r="D32" s="22">
        <f>SUM(D26:D31)</f>
        <v>1876.4999999999998</v>
      </c>
      <c r="E32" s="21">
        <f t="shared" si="7"/>
        <v>0.54027985719221461</v>
      </c>
      <c r="F32" s="20">
        <f>I32/D32</f>
        <v>33.750793393052952</v>
      </c>
      <c r="G32" s="19">
        <f>F32/C32-1</f>
        <v>0.13285146271141635</v>
      </c>
      <c r="H32" s="18">
        <f>SUM(H26:H31)</f>
        <v>55906.15</v>
      </c>
      <c r="I32" s="18">
        <f>SUM(I26:I31)</f>
        <v>63333.363802063861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</v>
      </c>
      <c r="D34" s="30">
        <f>250+257.1</f>
        <v>507.1</v>
      </c>
      <c r="E34" s="29">
        <f t="shared" ref="E34:E40" si="13">D34/$D$48</f>
        <v>0.14600368536220201</v>
      </c>
      <c r="F34" s="28">
        <f t="shared" ref="F34:F39" si="14">C34-(C34*$E$6)</f>
        <v>19.258474866094083</v>
      </c>
      <c r="G34" s="27" t="str">
        <f t="shared" ref="G34:G39" si="15">IF(C34&gt;=F34,"-","+")</f>
        <v>+</v>
      </c>
      <c r="H34" s="26">
        <f t="shared" ref="H34:H39" si="16">C34*D34</f>
        <v>8620.7000000000007</v>
      </c>
      <c r="I34" s="26">
        <f t="shared" ref="I34:I39" si="17">F34*D34</f>
        <v>9765.9726045963107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13.1</v>
      </c>
      <c r="D35" s="30">
        <v>51.7</v>
      </c>
      <c r="E35" s="29">
        <f t="shared" si="13"/>
        <v>1.4885408269031442E-2</v>
      </c>
      <c r="F35" s="28">
        <f t="shared" si="14"/>
        <v>14.840354161519556</v>
      </c>
      <c r="G35" s="27" t="str">
        <f t="shared" si="15"/>
        <v>+</v>
      </c>
      <c r="H35" s="26">
        <f t="shared" si="16"/>
        <v>677.27</v>
      </c>
      <c r="I35" s="26">
        <f t="shared" si="17"/>
        <v>767.24631015056116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10.5</v>
      </c>
      <c r="D36" s="30"/>
      <c r="E36" s="29">
        <f t="shared" si="13"/>
        <v>0</v>
      </c>
      <c r="F36" s="28">
        <f t="shared" si="14"/>
        <v>11.894940358469874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27.9</v>
      </c>
      <c r="D37" s="30"/>
      <c r="E37" s="29">
        <f t="shared" si="13"/>
        <v>0</v>
      </c>
      <c r="F37" s="28">
        <f t="shared" si="14"/>
        <v>31.606555809648519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27.9</v>
      </c>
      <c r="D38" s="30"/>
      <c r="E38" s="29">
        <f t="shared" si="13"/>
        <v>0</v>
      </c>
      <c r="F38" s="28">
        <f t="shared" si="14"/>
        <v>31.606555809648519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28.8</v>
      </c>
      <c r="D39" s="30"/>
      <c r="E39" s="29">
        <f t="shared" si="13"/>
        <v>0</v>
      </c>
      <c r="F39" s="28">
        <f t="shared" si="14"/>
        <v>32.626122126088795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16.639173228346458</v>
      </c>
      <c r="D40" s="22">
        <f>SUM(D34:D39)</f>
        <v>558.80000000000007</v>
      </c>
      <c r="E40" s="113">
        <f t="shared" si="13"/>
        <v>0.16088909363123347</v>
      </c>
      <c r="F40" s="20">
        <f>I40/D40</f>
        <v>18.84971173004093</v>
      </c>
      <c r="G40" s="19">
        <f>F40/C40-1</f>
        <v>0.13285146271141679</v>
      </c>
      <c r="H40" s="18">
        <f>SUM(H34:H39)</f>
        <v>9297.9700000000012</v>
      </c>
      <c r="I40" s="18">
        <f>SUM(I34:I39)</f>
        <v>10533.218914746873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385+41.5+384.7</f>
        <v>811.2</v>
      </c>
      <c r="E42" s="107">
        <f>D42/$D$48</f>
        <v>0.23355982955199819</v>
      </c>
      <c r="F42" s="28">
        <f>C42-(C42*$E$6)</f>
        <v>0.45314058508456667</v>
      </c>
      <c r="G42" s="27" t="str">
        <f>IF(C42&gt;=F42,"-","+")</f>
        <v>+</v>
      </c>
      <c r="H42" s="26">
        <f>C42*D42</f>
        <v>324.48</v>
      </c>
      <c r="I42" s="26">
        <f>F42*D42</f>
        <v>367.58764262060049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35</v>
      </c>
      <c r="E43" s="107">
        <f>D43/$D$48</f>
        <v>1.0077162271104457E-2</v>
      </c>
      <c r="F43" s="28">
        <f>C43-(C43*$E$6)</f>
        <v>0.45314058508456667</v>
      </c>
      <c r="G43" s="27" t="str">
        <f>IF(C43&gt;=F43,"-","+")</f>
        <v>+</v>
      </c>
      <c r="H43" s="26">
        <f>C43*D43</f>
        <v>14</v>
      </c>
      <c r="I43" s="26">
        <f>F43*D43</f>
        <v>15.859920477959834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2.4</v>
      </c>
      <c r="E45" s="107">
        <f>D45/$D$48</f>
        <v>6.9100541287573421E-4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0.39886872495875558</v>
      </c>
      <c r="D46" s="22">
        <f>SUM(D41:D45)</f>
        <v>848.6</v>
      </c>
      <c r="E46" s="113">
        <f>D46/$D$48</f>
        <v>0.24432799723597837</v>
      </c>
      <c r="F46" s="20">
        <f>I46/D46</f>
        <v>0.45185901849936405</v>
      </c>
      <c r="G46" s="19">
        <f>F46/C46-1</f>
        <v>0.13285146271141679</v>
      </c>
      <c r="H46" s="18">
        <f>SUM(H41:H44)</f>
        <v>338.48</v>
      </c>
      <c r="I46" s="18">
        <f>SUM(I41:I44)</f>
        <v>383.44756309856035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91.240276953472005</v>
      </c>
      <c r="D48" s="13">
        <f>D24+D32+D40+D46</f>
        <v>3473.2</v>
      </c>
      <c r="E48" s="12">
        <f>SUM(E20:E46)/2</f>
        <v>1.0000000000000002</v>
      </c>
      <c r="F48" s="11">
        <f>I48/D48</f>
        <v>24.119999999999997</v>
      </c>
      <c r="G48" s="10"/>
      <c r="H48" s="9">
        <f>SUM(H20:H46)/2</f>
        <v>73949.310000000012</v>
      </c>
      <c r="I48" s="9">
        <f>SUM(I20:I46)/2</f>
        <v>83773.583999999988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3473.2</v>
      </c>
      <c r="E50" s="12">
        <f>D50/G2</f>
        <v>1</v>
      </c>
      <c r="F50" s="11">
        <f>I50/D50</f>
        <v>24.119999999999997</v>
      </c>
      <c r="G50" s="10"/>
      <c r="H50" s="9">
        <f>H48+H19</f>
        <v>73949.310000000012</v>
      </c>
      <c r="I50" s="9">
        <f>I48+I19</f>
        <v>83773.583999999988</v>
      </c>
      <c r="J50" s="106">
        <f>D50-G2</f>
        <v>0</v>
      </c>
      <c r="K50" s="8"/>
    </row>
    <row r="51" spans="1:11" ht="23.25" x14ac:dyDescent="0.35">
      <c r="A51" s="174" t="s">
        <v>893</v>
      </c>
      <c r="B51" s="169"/>
      <c r="C51" s="170"/>
      <c r="G51" s="7"/>
      <c r="H51" s="6"/>
      <c r="I51" s="6">
        <f>+I50/D50</f>
        <v>24.119999999999997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>
    <tabColor rgb="FF92D050"/>
  </sheetPr>
  <dimension ref="A1:K56"/>
  <sheetViews>
    <sheetView topLeftCell="A4"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882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888</v>
      </c>
      <c r="D2" s="96" t="s">
        <v>3</v>
      </c>
      <c r="E2" s="95" t="s">
        <v>71</v>
      </c>
      <c r="F2" s="94" t="s">
        <v>5</v>
      </c>
      <c r="G2" s="116">
        <v>1461.6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17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85.976470588235287</v>
      </c>
      <c r="F4" s="81" t="s">
        <v>12</v>
      </c>
      <c r="G4" s="80">
        <f>G2*G3</f>
        <v>41290.199999999997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5.4865372817903824E-3</v>
      </c>
      <c r="F6" s="69" t="s">
        <v>16</v>
      </c>
      <c r="G6" s="68">
        <f>(I50-I19)/(D50-(SUM(D42:D44)+D19))</f>
        <v>32.514099530589476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>
        <f t="shared" ref="E10:E19" si="1">D10/$D$19</f>
        <v>0</v>
      </c>
      <c r="F10" s="28">
        <f t="shared" ref="F10:F18" si="2">C10-(C10*$E$6)</f>
        <v>28.144730994925332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>
        <v>803.9</v>
      </c>
      <c r="E11" s="29">
        <f t="shared" si="1"/>
        <v>1</v>
      </c>
      <c r="F11" s="28">
        <f t="shared" si="2"/>
        <v>29.238695803915363</v>
      </c>
      <c r="G11" s="27" t="str">
        <f t="shared" si="3"/>
        <v>-</v>
      </c>
      <c r="H11" s="34">
        <f t="shared" si="4"/>
        <v>23634.66</v>
      </c>
      <c r="I11" s="34">
        <f t="shared" si="5"/>
        <v>23504.987556767559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>
        <f t="shared" si="1"/>
        <v>0</v>
      </c>
      <c r="F12" s="28">
        <f t="shared" si="2"/>
        <v>26.752412147119838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>
        <f t="shared" si="1"/>
        <v>0</v>
      </c>
      <c r="F13" s="28">
        <f t="shared" si="2"/>
        <v>29.238695803915363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>
        <f t="shared" si="1"/>
        <v>0</v>
      </c>
      <c r="F14" s="28">
        <f t="shared" si="2"/>
        <v>32.719492923429094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>
        <f t="shared" si="1"/>
        <v>0</v>
      </c>
      <c r="F15" s="28">
        <f t="shared" si="2"/>
        <v>26.951314839663482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36.896449466845581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>
        <f t="shared" si="1"/>
        <v>0</v>
      </c>
      <c r="F17" s="28">
        <f t="shared" si="2"/>
        <v>54.300435064414245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>
        <f t="shared" si="1"/>
        <v>0</v>
      </c>
      <c r="F18" s="28">
        <f t="shared" si="2"/>
        <v>47.637194864202236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29.400000000000002</v>
      </c>
      <c r="D19" s="49">
        <f>SUM(D10:D18)</f>
        <v>803.9</v>
      </c>
      <c r="E19" s="48">
        <f t="shared" si="1"/>
        <v>1</v>
      </c>
      <c r="F19" s="47">
        <f>I19/D19</f>
        <v>29.238695803915363</v>
      </c>
      <c r="G19" s="46">
        <f>F19/C19-1</f>
        <v>-5.4865372817904934E-3</v>
      </c>
      <c r="H19" s="9">
        <f>SUM(H10:H18)</f>
        <v>23634.66</v>
      </c>
      <c r="I19" s="9">
        <f>SUM(I10:I18)</f>
        <v>23504.987556767559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/>
      <c r="E21" s="29">
        <f>D21/$D$48</f>
        <v>0</v>
      </c>
      <c r="F21" s="28">
        <f>C21-(C21*$E$6)</f>
        <v>70.610455852992885</v>
      </c>
      <c r="G21" s="27" t="str">
        <f>IF(C21&gt;=F21,"-","+")</f>
        <v>-</v>
      </c>
      <c r="H21" s="26">
        <f>C21*D21</f>
        <v>0</v>
      </c>
      <c r="I21" s="26">
        <f>F21*D21</f>
        <v>0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38</v>
      </c>
      <c r="E22" s="29">
        <f>D22/$D$48</f>
        <v>5.7794676806083647E-2</v>
      </c>
      <c r="F22" s="28">
        <f>C22-(C22*$E$6)</f>
        <v>47.438292171658603</v>
      </c>
      <c r="G22" s="27" t="str">
        <f>IF(C22&gt;=F22,"-","+")</f>
        <v>-</v>
      </c>
      <c r="H22" s="26">
        <f>C22*D22</f>
        <v>1812.6000000000001</v>
      </c>
      <c r="I22" s="26">
        <f>F22*D22</f>
        <v>1802.6551025230269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/>
      <c r="E23" s="29">
        <f>D23/$D$48</f>
        <v>0</v>
      </c>
      <c r="F23" s="28">
        <f>C23-(C23*$E$6)</f>
        <v>43.261335628242115</v>
      </c>
      <c r="G23" s="27" t="str">
        <f>IF(C23&gt;=F23,"-","+")</f>
        <v>-</v>
      </c>
      <c r="H23" s="26">
        <f>C23*D23</f>
        <v>0</v>
      </c>
      <c r="I23" s="26">
        <f>F23*D23</f>
        <v>0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47.7</v>
      </c>
      <c r="D24" s="22">
        <f>SUM(D21:D23)</f>
        <v>38</v>
      </c>
      <c r="E24" s="21">
        <f>D24/$D$48</f>
        <v>5.7794676806083647E-2</v>
      </c>
      <c r="F24" s="20">
        <f>I24/D24</f>
        <v>47.438292171658603</v>
      </c>
      <c r="G24" s="19">
        <f>F24/C24-1</f>
        <v>-5.4865372817903824E-3</v>
      </c>
      <c r="H24" s="18">
        <f>SUM(H21:H23)</f>
        <v>1812.6000000000001</v>
      </c>
      <c r="I24" s="18">
        <f>SUM(I21:I23)</f>
        <v>1802.6551025230269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/>
      <c r="E26" s="29">
        <f t="shared" ref="E26:E32" si="7">D26/$D$48</f>
        <v>0</v>
      </c>
      <c r="F26" s="28">
        <f t="shared" ref="F26:F31" si="8">C26-(C26*$E$6)</f>
        <v>37.692060237020144</v>
      </c>
      <c r="G26" s="27" t="str">
        <f t="shared" ref="G26:G31" si="9">IF(C26&gt;=F26,"-","+")</f>
        <v>-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192</v>
      </c>
      <c r="E27" s="29">
        <f t="shared" si="7"/>
        <v>0.29201520912547529</v>
      </c>
      <c r="F27" s="28">
        <f t="shared" si="8"/>
        <v>33.614555039875484</v>
      </c>
      <c r="G27" s="27" t="str">
        <f t="shared" si="9"/>
        <v>-</v>
      </c>
      <c r="H27" s="26">
        <f t="shared" si="10"/>
        <v>6489.5999999999995</v>
      </c>
      <c r="I27" s="26">
        <f t="shared" si="11"/>
        <v>6453.9945676560928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122</v>
      </c>
      <c r="E28" s="29">
        <f t="shared" si="7"/>
        <v>0.18555133079847907</v>
      </c>
      <c r="F28" s="28">
        <f t="shared" si="8"/>
        <v>33.614555039875484</v>
      </c>
      <c r="G28" s="27" t="str">
        <f t="shared" si="9"/>
        <v>-</v>
      </c>
      <c r="H28" s="26">
        <f t="shared" si="10"/>
        <v>4123.5999999999995</v>
      </c>
      <c r="I28" s="26">
        <f t="shared" si="11"/>
        <v>4100.9757148648087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122.8</v>
      </c>
      <c r="E29" s="29">
        <f t="shared" si="7"/>
        <v>0.18676806083650191</v>
      </c>
      <c r="F29" s="28">
        <f t="shared" si="8"/>
        <v>32.421138884613633</v>
      </c>
      <c r="G29" s="27" t="str">
        <f t="shared" si="9"/>
        <v>-</v>
      </c>
      <c r="H29" s="26">
        <f t="shared" si="10"/>
        <v>4003.28</v>
      </c>
      <c r="I29" s="26">
        <f t="shared" si="11"/>
        <v>3981.3158550305538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/>
      <c r="E30" s="29">
        <f t="shared" si="7"/>
        <v>0</v>
      </c>
      <c r="F30" s="28">
        <f t="shared" si="8"/>
        <v>32.421138884613633</v>
      </c>
      <c r="G30" s="27" t="str">
        <f t="shared" si="9"/>
        <v>-</v>
      </c>
      <c r="H30" s="26">
        <f t="shared" si="10"/>
        <v>0</v>
      </c>
      <c r="I30" s="26">
        <f t="shared" si="11"/>
        <v>0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/>
      <c r="E31" s="29">
        <f t="shared" si="7"/>
        <v>0</v>
      </c>
      <c r="F31" s="28">
        <f t="shared" si="8"/>
        <v>33.017846962244562</v>
      </c>
      <c r="G31" s="27" t="str">
        <f t="shared" si="9"/>
        <v>-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33.462637362637359</v>
      </c>
      <c r="D32" s="22">
        <f>SUM(D26:D31)</f>
        <v>436.8</v>
      </c>
      <c r="E32" s="21">
        <f t="shared" si="7"/>
        <v>0.66433460076045625</v>
      </c>
      <c r="F32" s="20">
        <f>I32/D32</f>
        <v>33.279043355200223</v>
      </c>
      <c r="G32" s="19">
        <f>F32/C32-1</f>
        <v>-5.4865372817902713E-3</v>
      </c>
      <c r="H32" s="18">
        <f>SUM(H26:H31)</f>
        <v>14616.48</v>
      </c>
      <c r="I32" s="18">
        <f>SUM(I26:I31)</f>
        <v>14536.286137551457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70</v>
      </c>
      <c r="E34" s="29">
        <f t="shared" ref="E34:E40" si="13">D34/$D$48</f>
        <v>0.10646387832699619</v>
      </c>
      <c r="F34" s="28">
        <f t="shared" ref="F34:F39" si="14">C34-(C34*$E$6)</f>
        <v>19.890269254364192</v>
      </c>
      <c r="G34" s="27" t="str">
        <f t="shared" ref="G34:G39" si="15">IF(C34&gt;=F34,"-","+")</f>
        <v>-</v>
      </c>
      <c r="H34" s="26">
        <f t="shared" ref="H34:H39" si="16">C34*D34</f>
        <v>1400</v>
      </c>
      <c r="I34" s="26">
        <f t="shared" ref="I34:I39" si="17">F34*D34</f>
        <v>1392.3188478054935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15.315507325860429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12.232515591433978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32.421138884613633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32.421138884613633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33.614555039875484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70</v>
      </c>
      <c r="E40" s="113">
        <f t="shared" si="13"/>
        <v>0.10646387832699619</v>
      </c>
      <c r="F40" s="20">
        <f>I40/D40</f>
        <v>19.890269254364192</v>
      </c>
      <c r="G40" s="19">
        <f>F40/C40-1</f>
        <v>-5.4865372817903824E-3</v>
      </c>
      <c r="H40" s="18">
        <f>SUM(H34:H39)</f>
        <v>1400</v>
      </c>
      <c r="I40" s="18">
        <f>SUM(I34:I39)</f>
        <v>1392.3188478054935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106</v>
      </c>
      <c r="E42" s="107">
        <f>D42/$D$48</f>
        <v>0.16121673003802281</v>
      </c>
      <c r="F42" s="28">
        <f>C42-(C42*$E$6)</f>
        <v>0.49725673135910481</v>
      </c>
      <c r="G42" s="27" t="str">
        <f>IF(C42&gt;=F42,"-","+")</f>
        <v>-</v>
      </c>
      <c r="H42" s="26">
        <f>C42*D42</f>
        <v>53</v>
      </c>
      <c r="I42" s="26">
        <f>F42*D42</f>
        <v>52.709213524065113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2.5</v>
      </c>
      <c r="E43" s="107">
        <f>D43/$D$48</f>
        <v>3.8022813688212928E-3</v>
      </c>
      <c r="F43" s="28">
        <f>C43-(C43*$E$6)</f>
        <v>0.49725673135910481</v>
      </c>
      <c r="G43" s="27" t="str">
        <f>IF(C43&gt;=F43,"-","+")</f>
        <v>-</v>
      </c>
      <c r="H43" s="26">
        <f>C43*D43</f>
        <v>1.25</v>
      </c>
      <c r="I43" s="26">
        <f>F43*D43</f>
        <v>1.243141828397762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</v>
      </c>
      <c r="E44" s="107">
        <f>D44/$D$48</f>
        <v>3.041825095057034E-3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2.2000000000000002</v>
      </c>
      <c r="E45" s="107">
        <f>D45/$D$48</f>
        <v>3.3460076045627378E-3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0.48136645962732916</v>
      </c>
      <c r="D46" s="22">
        <f>SUM(D41:D45)</f>
        <v>112.7</v>
      </c>
      <c r="E46" s="113">
        <f>D46/$D$48</f>
        <v>0.1714068441064639</v>
      </c>
      <c r="F46" s="20">
        <f>I46/D46</f>
        <v>0.47872542460038042</v>
      </c>
      <c r="G46" s="19">
        <f>F46/C46-1</f>
        <v>-5.4865372817902713E-3</v>
      </c>
      <c r="H46" s="18">
        <f>SUM(H41:H44)</f>
        <v>54.25</v>
      </c>
      <c r="I46" s="18">
        <f>SUM(I41:I44)</f>
        <v>53.952355352462874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101.64400382226468</v>
      </c>
      <c r="D48" s="13">
        <f>D24+D32+D40+D46</f>
        <v>657.5</v>
      </c>
      <c r="E48" s="12">
        <f>SUM(E20:E46)/2</f>
        <v>1</v>
      </c>
      <c r="F48" s="11">
        <f>I48/D48</f>
        <v>27.049752765372535</v>
      </c>
      <c r="G48" s="10"/>
      <c r="H48" s="9">
        <f>SUM(H20:H46)/2</f>
        <v>17883.329999999998</v>
      </c>
      <c r="I48" s="9">
        <f>SUM(I20:I46)/2</f>
        <v>17785.212443232442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1461.3999999999999</v>
      </c>
      <c r="E50" s="12">
        <f>D50/G2</f>
        <v>0.99986316365626704</v>
      </c>
      <c r="F50" s="11">
        <f>I50/D50</f>
        <v>28.253866155741072</v>
      </c>
      <c r="G50" s="10"/>
      <c r="H50" s="9">
        <f>H48+H19</f>
        <v>41517.99</v>
      </c>
      <c r="I50" s="9">
        <f>I48+I19</f>
        <v>41290.199999999997</v>
      </c>
      <c r="J50" s="106">
        <f>D50-G2</f>
        <v>-0.20000000000004547</v>
      </c>
      <c r="K50" s="8"/>
    </row>
    <row r="51" spans="1:11" ht="23.25" x14ac:dyDescent="0.35">
      <c r="A51" s="174" t="s">
        <v>894</v>
      </c>
      <c r="B51" s="169"/>
      <c r="C51" s="170"/>
      <c r="G51" s="7"/>
      <c r="H51" s="6"/>
      <c r="I51" s="6">
        <f>+I50/D50</f>
        <v>28.253866155741072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885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888</v>
      </c>
      <c r="D2" s="96" t="s">
        <v>3</v>
      </c>
      <c r="E2" s="95" t="s">
        <v>107</v>
      </c>
      <c r="F2" s="94" t="s">
        <v>5</v>
      </c>
      <c r="G2" s="93">
        <v>570.70000000000005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8</v>
      </c>
      <c r="F3" s="88" t="s">
        <v>8</v>
      </c>
      <c r="G3" s="87">
        <v>26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71.337500000000006</v>
      </c>
      <c r="F4" s="81" t="s">
        <v>12</v>
      </c>
      <c r="G4" s="80">
        <f>G2*G3</f>
        <v>14838.2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-8.6171092816944572E-3</v>
      </c>
      <c r="F6" s="69" t="s">
        <v>16</v>
      </c>
      <c r="G6" s="68">
        <f>(I50-I19)/(D50-(SUM(D42:D44)+D19))</f>
        <v>31.061754239062161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</v>
      </c>
      <c r="D10" s="30"/>
      <c r="E10" s="29" t="e">
        <f t="shared" ref="E10:E19" si="1">D10/$D$19</f>
        <v>#DIV/0!</v>
      </c>
      <c r="F10" s="28">
        <f t="shared" ref="F10:F18" si="2">C10-(C10*$E$6)</f>
        <v>26.224044841324055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27.1</v>
      </c>
      <c r="D11" s="30"/>
      <c r="E11" s="29" t="e">
        <f t="shared" si="1"/>
        <v>#DIV/0!</v>
      </c>
      <c r="F11" s="28">
        <f t="shared" si="2"/>
        <v>27.333523661533921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24.7</v>
      </c>
      <c r="D12" s="30"/>
      <c r="E12" s="29" t="e">
        <f t="shared" si="1"/>
        <v>#DIV/0!</v>
      </c>
      <c r="F12" s="28">
        <f t="shared" si="2"/>
        <v>24.912842599257853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27.1</v>
      </c>
      <c r="D13" s="30"/>
      <c r="E13" s="29" t="e">
        <f t="shared" si="1"/>
        <v>#DIV/0!</v>
      </c>
      <c r="F13" s="28">
        <f t="shared" si="2"/>
        <v>27.333523661533921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30.3</v>
      </c>
      <c r="D14" s="30"/>
      <c r="E14" s="29" t="e">
        <f t="shared" si="1"/>
        <v>#DIV/0!</v>
      </c>
      <c r="F14" s="28">
        <f t="shared" si="2"/>
        <v>30.561098411235342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</v>
      </c>
      <c r="D15" s="30"/>
      <c r="E15" s="29" t="e">
        <f t="shared" si="1"/>
        <v>#DIV/0!</v>
      </c>
      <c r="F15" s="28">
        <f t="shared" si="2"/>
        <v>25.215427732042361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34.200000000000003</v>
      </c>
      <c r="D16" s="30"/>
      <c r="E16" s="29" t="e">
        <f t="shared" si="1"/>
        <v>#DIV/0!</v>
      </c>
      <c r="F16" s="28">
        <f t="shared" si="2"/>
        <v>34.494705137433954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50.3</v>
      </c>
      <c r="D17" s="30"/>
      <c r="E17" s="29" t="e">
        <f t="shared" si="1"/>
        <v>#DIV/0!</v>
      </c>
      <c r="F17" s="28">
        <f t="shared" si="2"/>
        <v>50.733440596869229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</v>
      </c>
      <c r="D18" s="30"/>
      <c r="E18" s="29" t="e">
        <f t="shared" si="1"/>
        <v>#DIV/0!</v>
      </c>
      <c r="F18" s="28">
        <f t="shared" si="2"/>
        <v>44.379152808394558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65.400000000000006</v>
      </c>
      <c r="D21" s="30">
        <v>8.3000000000000007</v>
      </c>
      <c r="E21" s="29">
        <f>D21/$D$48</f>
        <v>1.4543543017347118E-2</v>
      </c>
      <c r="F21" s="28">
        <f>C21-(C21*$E$6)</f>
        <v>65.963558947022818</v>
      </c>
      <c r="G21" s="27" t="str">
        <f>IF(C21&gt;=F21,"-","+")</f>
        <v>+</v>
      </c>
      <c r="H21" s="26">
        <f>C21*D21</f>
        <v>542.82000000000005</v>
      </c>
      <c r="I21" s="26">
        <f>F21*D21</f>
        <v>547.49753926028939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43.9</v>
      </c>
      <c r="D22" s="30">
        <v>14.4</v>
      </c>
      <c r="E22" s="29">
        <f>D22/$D$48</f>
        <v>2.5232171018048009E-2</v>
      </c>
      <c r="F22" s="28">
        <f>C22-(C22*$E$6)</f>
        <v>44.278291097466386</v>
      </c>
      <c r="G22" s="27" t="str">
        <f>IF(C22&gt;=F22,"-","+")</f>
        <v>+</v>
      </c>
      <c r="H22" s="26">
        <f>C22*D22</f>
        <v>632.16</v>
      </c>
      <c r="I22" s="26">
        <f>F22*D22</f>
        <v>637.60739180351595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</v>
      </c>
      <c r="D23" s="30">
        <v>12.7</v>
      </c>
      <c r="E23" s="29">
        <f>D23/$D$48</f>
        <v>2.2253373050639562E-2</v>
      </c>
      <c r="F23" s="28">
        <f>C23-(C23*$E$6)</f>
        <v>40.344684371267775</v>
      </c>
      <c r="G23" s="27" t="str">
        <f>IF(C23&gt;=F23,"-","+")</f>
        <v>+</v>
      </c>
      <c r="H23" s="26">
        <f>C23*D23</f>
        <v>508</v>
      </c>
      <c r="I23" s="26">
        <f>F23*D23</f>
        <v>512.3774915151007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47.541807909604515</v>
      </c>
      <c r="D24" s="22">
        <f>SUM(D21:D23)</f>
        <v>35.400000000000006</v>
      </c>
      <c r="E24" s="21">
        <f>D24/$D$48</f>
        <v>6.2029087086034697E-2</v>
      </c>
      <c r="F24" s="20">
        <f>I24/D24</f>
        <v>47.9514808638109</v>
      </c>
      <c r="G24" s="19">
        <f>F24/C24-1</f>
        <v>8.6171092816944572E-3</v>
      </c>
      <c r="H24" s="18">
        <f>SUM(H21:H23)</f>
        <v>1682.98</v>
      </c>
      <c r="I24" s="18">
        <f>SUM(I21:I23)</f>
        <v>1697.4824225789062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34.9</v>
      </c>
      <c r="D26" s="30">
        <v>107</v>
      </c>
      <c r="E26" s="29">
        <f t="shared" ref="E26:E32" si="7">D26/$D$48</f>
        <v>0.1874890485368845</v>
      </c>
      <c r="F26" s="28">
        <f t="shared" ref="F26:F31" si="8">C26-(C26*$E$6)</f>
        <v>35.200737113931133</v>
      </c>
      <c r="G26" s="27" t="str">
        <f t="shared" ref="G26:G31" si="9">IF(C26&gt;=F26,"-","+")</f>
        <v>+</v>
      </c>
      <c r="H26" s="26">
        <f t="shared" ref="H26:H31" si="10">C26*D26</f>
        <v>3734.2999999999997</v>
      </c>
      <c r="I26" s="26">
        <f t="shared" ref="I26:I31" si="11">F26*D26</f>
        <v>3766.4788711906313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31.1</v>
      </c>
      <c r="D27" s="30">
        <v>89.5</v>
      </c>
      <c r="E27" s="29">
        <f t="shared" si="7"/>
        <v>0.15682495181356229</v>
      </c>
      <c r="F27" s="28">
        <f t="shared" si="8"/>
        <v>31.3679920986607</v>
      </c>
      <c r="G27" s="27" t="str">
        <f t="shared" si="9"/>
        <v>+</v>
      </c>
      <c r="H27" s="26">
        <f t="shared" si="10"/>
        <v>2783.4500000000003</v>
      </c>
      <c r="I27" s="26">
        <f t="shared" si="11"/>
        <v>2807.4352928301328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31.1</v>
      </c>
      <c r="D28" s="30">
        <v>77</v>
      </c>
      <c r="E28" s="29">
        <f t="shared" si="7"/>
        <v>0.13492202558261782</v>
      </c>
      <c r="F28" s="28">
        <f t="shared" si="8"/>
        <v>31.3679920986607</v>
      </c>
      <c r="G28" s="27" t="str">
        <f t="shared" si="9"/>
        <v>+</v>
      </c>
      <c r="H28" s="26">
        <f t="shared" si="10"/>
        <v>2394.7000000000003</v>
      </c>
      <c r="I28" s="26">
        <f t="shared" si="11"/>
        <v>2415.3353915968737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</v>
      </c>
      <c r="D29" s="30">
        <v>45</v>
      </c>
      <c r="E29" s="29">
        <f t="shared" si="7"/>
        <v>7.8850534431400027E-2</v>
      </c>
      <c r="F29" s="28">
        <f t="shared" si="8"/>
        <v>30.258513278450835</v>
      </c>
      <c r="G29" s="27" t="str">
        <f t="shared" si="9"/>
        <v>+</v>
      </c>
      <c r="H29" s="26">
        <f t="shared" si="10"/>
        <v>1350</v>
      </c>
      <c r="I29" s="26">
        <f t="shared" si="11"/>
        <v>1361.6330975302876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</v>
      </c>
      <c r="D30" s="30">
        <v>36</v>
      </c>
      <c r="E30" s="29">
        <f t="shared" si="7"/>
        <v>6.3080427545120027E-2</v>
      </c>
      <c r="F30" s="28">
        <f t="shared" si="8"/>
        <v>30.258513278450835</v>
      </c>
      <c r="G30" s="27" t="str">
        <f t="shared" si="9"/>
        <v>+</v>
      </c>
      <c r="H30" s="26">
        <f t="shared" si="10"/>
        <v>1080</v>
      </c>
      <c r="I30" s="26">
        <f t="shared" si="11"/>
        <v>1089.30647802423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30.6</v>
      </c>
      <c r="D31" s="30">
        <v>6.8</v>
      </c>
      <c r="E31" s="29">
        <f t="shared" si="7"/>
        <v>1.1915191869633782E-2</v>
      </c>
      <c r="F31" s="28">
        <f t="shared" si="8"/>
        <v>30.863683544019853</v>
      </c>
      <c r="G31" s="27" t="str">
        <f t="shared" si="9"/>
        <v>+</v>
      </c>
      <c r="H31" s="26">
        <f t="shared" si="10"/>
        <v>208.08</v>
      </c>
      <c r="I31" s="26">
        <f t="shared" si="11"/>
        <v>209.87304809933499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31.969360642125658</v>
      </c>
      <c r="D32" s="22">
        <f>SUM(D26:D31)</f>
        <v>361.3</v>
      </c>
      <c r="E32" s="21">
        <f t="shared" si="7"/>
        <v>0.63308217977921843</v>
      </c>
      <c r="F32" s="20">
        <f>I32/D32</f>
        <v>32.244844116444746</v>
      </c>
      <c r="G32" s="19">
        <f>F32/C32-1</f>
        <v>8.6171092816942352E-3</v>
      </c>
      <c r="H32" s="18">
        <f>SUM(H26:H31)</f>
        <v>11550.53</v>
      </c>
      <c r="I32" s="18">
        <f>SUM(I26:I31)</f>
        <v>11650.062179271488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18.399999999999999</v>
      </c>
      <c r="D34" s="30">
        <v>78.3</v>
      </c>
      <c r="E34" s="29">
        <f t="shared" ref="E34:E40" si="13">D34/$D$48</f>
        <v>0.13719992991063604</v>
      </c>
      <c r="F34" s="28">
        <f t="shared" ref="F34:F39" si="14">C34-(C34*$E$6)</f>
        <v>18.558554810783178</v>
      </c>
      <c r="G34" s="27" t="str">
        <f t="shared" ref="G34:G39" si="15">IF(C34&gt;=F34,"-","+")</f>
        <v>+</v>
      </c>
      <c r="H34" s="26">
        <f t="shared" ref="H34:H39" si="16">C34*D34</f>
        <v>1440.7199999999998</v>
      </c>
      <c r="I34" s="26">
        <f t="shared" ref="I34:I39" si="17">F34*D34</f>
        <v>1453.1348416843227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14.1</v>
      </c>
      <c r="D35" s="30"/>
      <c r="E35" s="29">
        <f t="shared" si="13"/>
        <v>0</v>
      </c>
      <c r="F35" s="28">
        <f t="shared" si="14"/>
        <v>14.221501240871891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11.4</v>
      </c>
      <c r="D36" s="30"/>
      <c r="E36" s="29">
        <f t="shared" si="13"/>
        <v>0</v>
      </c>
      <c r="F36" s="28">
        <f t="shared" si="14"/>
        <v>11.498235045811317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</v>
      </c>
      <c r="D37" s="30"/>
      <c r="E37" s="29">
        <f t="shared" si="13"/>
        <v>0</v>
      </c>
      <c r="F37" s="28">
        <f t="shared" si="14"/>
        <v>30.258513278450835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</v>
      </c>
      <c r="D38" s="30"/>
      <c r="E38" s="29">
        <f t="shared" si="13"/>
        <v>0</v>
      </c>
      <c r="F38" s="28">
        <f t="shared" si="14"/>
        <v>30.258513278450835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31.1</v>
      </c>
      <c r="D39" s="30"/>
      <c r="E39" s="29">
        <f t="shared" si="13"/>
        <v>0</v>
      </c>
      <c r="F39" s="28">
        <f t="shared" si="14"/>
        <v>31.3679920986607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18.399999999999999</v>
      </c>
      <c r="D40" s="22">
        <f>SUM(D34:D39)</f>
        <v>78.3</v>
      </c>
      <c r="E40" s="113">
        <f t="shared" si="13"/>
        <v>0.13719992991063604</v>
      </c>
      <c r="F40" s="20">
        <f>I40/D40</f>
        <v>18.558554810783178</v>
      </c>
      <c r="G40" s="19">
        <f>F40/C40-1</f>
        <v>8.6171092816944572E-3</v>
      </c>
      <c r="H40" s="18">
        <f>SUM(H34:H39)</f>
        <v>1440.7199999999998</v>
      </c>
      <c r="I40" s="18">
        <f>SUM(I34:I39)</f>
        <v>1453.1348416843227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85</v>
      </c>
      <c r="E42" s="107">
        <f>D42/$D$48</f>
        <v>0.14893989837042226</v>
      </c>
      <c r="F42" s="28">
        <f>C42-(C42*$E$6)</f>
        <v>0.40344684371267781</v>
      </c>
      <c r="G42" s="27" t="str">
        <f>IF(C42&gt;=F42,"-","+")</f>
        <v>+</v>
      </c>
      <c r="H42" s="26">
        <f>C42*D42</f>
        <v>34</v>
      </c>
      <c r="I42" s="26">
        <f>F42*D42</f>
        <v>34.292981715577611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</v>
      </c>
      <c r="E43" s="107">
        <f>D43/$D$48</f>
        <v>1.4017872787804449E-2</v>
      </c>
      <c r="F43" s="28">
        <f>C43-(C43*$E$6)</f>
        <v>0.40344684371267781</v>
      </c>
      <c r="G43" s="27" t="str">
        <f>IF(C43&gt;=F43,"-","+")</f>
        <v>+</v>
      </c>
      <c r="H43" s="26">
        <f>C43*D43</f>
        <v>3.2</v>
      </c>
      <c r="I43" s="26">
        <f>F43*D43</f>
        <v>3.2275747497014224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2.7</v>
      </c>
      <c r="E45" s="107">
        <f>D45/$D$48</f>
        <v>4.7310320658840018E-3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0.38871473354231978</v>
      </c>
      <c r="D46" s="22">
        <f>SUM(D41:D45)</f>
        <v>95.7</v>
      </c>
      <c r="E46" s="113">
        <f>D46/$D$48</f>
        <v>0.16768880322411073</v>
      </c>
      <c r="F46" s="20">
        <f>I46/D46</f>
        <v>0.39206433088065867</v>
      </c>
      <c r="G46" s="19">
        <f>F46/C46-1</f>
        <v>8.6171092816944572E-3</v>
      </c>
      <c r="H46" s="18">
        <f>SUM(H41:H44)</f>
        <v>37.200000000000003</v>
      </c>
      <c r="I46" s="18">
        <f>SUM(I41:I44)</f>
        <v>37.520556465279036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98.2998832852725</v>
      </c>
      <c r="D48" s="13">
        <f>D24+D32+D40+D46</f>
        <v>570.70000000000005</v>
      </c>
      <c r="E48" s="12">
        <f>SUM(E20:E46)/2</f>
        <v>0.99999999999999978</v>
      </c>
      <c r="F48" s="11">
        <f>I48/D48</f>
        <v>25.999999999999989</v>
      </c>
      <c r="G48" s="10"/>
      <c r="H48" s="9">
        <f>SUM(H20:H46)/2</f>
        <v>14711.430000000004</v>
      </c>
      <c r="I48" s="9">
        <f>SUM(I20:I46)/2</f>
        <v>14838.199999999995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570.70000000000005</v>
      </c>
      <c r="E50" s="12">
        <f>D50/G2</f>
        <v>1</v>
      </c>
      <c r="F50" s="11">
        <f>I50/D50</f>
        <v>25.999999999999989</v>
      </c>
      <c r="G50" s="10"/>
      <c r="H50" s="9">
        <f>H48+H19</f>
        <v>14711.430000000004</v>
      </c>
      <c r="I50" s="9">
        <f>I48+I19</f>
        <v>14838.199999999995</v>
      </c>
      <c r="J50" s="106">
        <f>D50-G2</f>
        <v>0</v>
      </c>
      <c r="K50" s="8"/>
    </row>
    <row r="51" spans="1:11" ht="23.25" x14ac:dyDescent="0.35">
      <c r="A51" s="174" t="s">
        <v>895</v>
      </c>
      <c r="B51" s="169"/>
      <c r="C51" s="170"/>
      <c r="G51" s="7"/>
      <c r="H51" s="6"/>
      <c r="I51" s="6">
        <f>+I50/D50</f>
        <v>25.999999999999989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896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896</v>
      </c>
      <c r="D2" s="96" t="s">
        <v>3</v>
      </c>
      <c r="E2" s="95" t="s">
        <v>71</v>
      </c>
      <c r="F2" s="94" t="s">
        <v>5</v>
      </c>
      <c r="G2" s="116">
        <v>16204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185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87.589189189189185</v>
      </c>
      <c r="F4" s="81" t="s">
        <v>12</v>
      </c>
      <c r="G4" s="80">
        <f>G2*G3</f>
        <v>457763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1.9115005070755586E-3</v>
      </c>
      <c r="F6" s="69" t="s">
        <v>16</v>
      </c>
      <c r="G6" s="68">
        <f>(I50-I19)/(D50-(SUM(D42:D44)+D19))</f>
        <v>33.442161862041765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28.245904535649764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29.343801885091978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26.848580636359667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29.343801885091978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32.837111633317214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27.048198336258253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37.029083331187501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54.495632072313676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47.808439125711082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200.1</v>
      </c>
      <c r="E21" s="29">
        <f>D21/$D$48</f>
        <v>1.2348802764749445E-2</v>
      </c>
      <c r="F21" s="28">
        <f>C21-(C21*$E$6)</f>
        <v>70.864283463997637</v>
      </c>
      <c r="G21" s="27" t="str">
        <f>IF(C21&gt;=F21,"-","+")</f>
        <v>-</v>
      </c>
      <c r="H21" s="26">
        <f>C21*D21</f>
        <v>14207.1</v>
      </c>
      <c r="I21" s="26">
        <f>F21*D21</f>
        <v>14179.943121145927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506.3</v>
      </c>
      <c r="E22" s="29">
        <f>D22/$D$48</f>
        <v>3.1245371513206617E-2</v>
      </c>
      <c r="F22" s="28">
        <f>C22-(C22*$E$6)</f>
        <v>47.608821425812501</v>
      </c>
      <c r="G22" s="27" t="str">
        <f>IF(C22&gt;=F22,"-","+")</f>
        <v>-</v>
      </c>
      <c r="H22" s="26">
        <f>C22*D22</f>
        <v>24150.510000000002</v>
      </c>
      <c r="I22" s="26">
        <f>F22*D22</f>
        <v>24104.346287888871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397</v>
      </c>
      <c r="E23" s="29">
        <f>D23/$D$48</f>
        <v>2.4500123426314489E-2</v>
      </c>
      <c r="F23" s="28">
        <f>C23-(C23*$E$6)</f>
        <v>43.416849727942214</v>
      </c>
      <c r="G23" s="27" t="str">
        <f>IF(C23&gt;=F23,"-","+")</f>
        <v>-</v>
      </c>
      <c r="H23" s="26">
        <f>C23*D23</f>
        <v>17269.5</v>
      </c>
      <c r="I23" s="26">
        <f>F23*D23</f>
        <v>17236.489341993059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50.414274061990206</v>
      </c>
      <c r="D24" s="22">
        <f>SUM(D21:D23)</f>
        <v>1103.4000000000001</v>
      </c>
      <c r="E24" s="21">
        <f>D24/$D$48</f>
        <v>6.8094297704270557E-2</v>
      </c>
      <c r="F24" s="20">
        <f>I24/D24</f>
        <v>50.317907151556874</v>
      </c>
      <c r="G24" s="19">
        <f>F24/C24-1</f>
        <v>-1.9115005070753366E-3</v>
      </c>
      <c r="H24" s="18">
        <f>SUM(H21:H23)</f>
        <v>55627.11</v>
      </c>
      <c r="I24" s="18">
        <f>SUM(I21:I23)</f>
        <v>55520.778751027858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v>3070.6</v>
      </c>
      <c r="E26" s="29">
        <f t="shared" ref="E26:E32" si="7">D26/$D$48</f>
        <v>0.18949642063687977</v>
      </c>
      <c r="F26" s="28">
        <f t="shared" ref="F26:F31" si="8">C26-(C26*$E$6)</f>
        <v>37.827554130781834</v>
      </c>
      <c r="G26" s="27" t="str">
        <f t="shared" ref="G26:G31" si="9">IF(C26&gt;=F26,"-","+")</f>
        <v>-</v>
      </c>
      <c r="H26" s="26">
        <f t="shared" ref="H26:H31" si="10">C26*D26</f>
        <v>116375.73999999999</v>
      </c>
      <c r="I26" s="26">
        <f t="shared" ref="I26:I31" si="11">F26*D26</f>
        <v>116153.2877139787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2625</v>
      </c>
      <c r="E27" s="29">
        <f t="shared" si="7"/>
        <v>0.16199703776845223</v>
      </c>
      <c r="F27" s="28">
        <f t="shared" si="8"/>
        <v>33.735391282860846</v>
      </c>
      <c r="G27" s="27" t="str">
        <f t="shared" si="9"/>
        <v>-</v>
      </c>
      <c r="H27" s="26">
        <f t="shared" si="10"/>
        <v>88724.999999999985</v>
      </c>
      <c r="I27" s="26">
        <f t="shared" si="11"/>
        <v>88555.402117509715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1741.4</v>
      </c>
      <c r="E28" s="29">
        <f t="shared" si="7"/>
        <v>0.10746729202666008</v>
      </c>
      <c r="F28" s="28">
        <f t="shared" si="8"/>
        <v>33.735391282860846</v>
      </c>
      <c r="G28" s="27" t="str">
        <f t="shared" si="9"/>
        <v>-</v>
      </c>
      <c r="H28" s="26">
        <f t="shared" si="10"/>
        <v>58859.32</v>
      </c>
      <c r="I28" s="26">
        <f t="shared" si="11"/>
        <v>58746.810379973882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1286.2</v>
      </c>
      <c r="E29" s="29">
        <f t="shared" si="7"/>
        <v>7.9375462848679343E-2</v>
      </c>
      <c r="F29" s="28">
        <f t="shared" si="8"/>
        <v>32.537685083469341</v>
      </c>
      <c r="G29" s="27" t="str">
        <f t="shared" si="9"/>
        <v>-</v>
      </c>
      <c r="H29" s="26">
        <f t="shared" si="10"/>
        <v>41930.120000000003</v>
      </c>
      <c r="I29" s="26">
        <f t="shared" si="11"/>
        <v>41849.970554358268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1012.5</v>
      </c>
      <c r="E30" s="29">
        <f t="shared" si="7"/>
        <v>6.2484571710688719E-2</v>
      </c>
      <c r="F30" s="28">
        <f t="shared" si="8"/>
        <v>32.537685083469341</v>
      </c>
      <c r="G30" s="27" t="str">
        <f t="shared" si="9"/>
        <v>-</v>
      </c>
      <c r="H30" s="26">
        <f t="shared" si="10"/>
        <v>33007.5</v>
      </c>
      <c r="I30" s="26">
        <f t="shared" si="11"/>
        <v>32944.406147012705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452.5</v>
      </c>
      <c r="E31" s="29">
        <f t="shared" si="7"/>
        <v>2.7925203653418908E-2</v>
      </c>
      <c r="F31" s="28">
        <f t="shared" si="8"/>
        <v>33.136538183165094</v>
      </c>
      <c r="G31" s="27" t="str">
        <f t="shared" si="9"/>
        <v>-</v>
      </c>
      <c r="H31" s="26">
        <f t="shared" si="10"/>
        <v>15023.000000000002</v>
      </c>
      <c r="I31" s="26">
        <f t="shared" si="11"/>
        <v>14994.283527882204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34.738293319722814</v>
      </c>
      <c r="D32" s="22">
        <f>SUM(D26:D31)</f>
        <v>10188.200000000001</v>
      </c>
      <c r="E32" s="21">
        <f t="shared" si="7"/>
        <v>0.62874598864477915</v>
      </c>
      <c r="F32" s="20">
        <f>I32/D32</f>
        <v>34.671891054427228</v>
      </c>
      <c r="G32" s="19">
        <f>F32/C32-1</f>
        <v>-1.9115005070754476E-3</v>
      </c>
      <c r="H32" s="18">
        <f>SUM(H26:H31)</f>
        <v>353920.68</v>
      </c>
      <c r="I32" s="18">
        <f>SUM(I26:I31)</f>
        <v>353244.1604407155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f>2361.7+30</f>
        <v>2391.6999999999998</v>
      </c>
      <c r="E34" s="29">
        <f t="shared" ref="E34:E40" si="13">D34/$D$48</f>
        <v>0.14759935818316464</v>
      </c>
      <c r="F34" s="28">
        <f t="shared" ref="F34:F39" si="14">C34-(C34*$E$6)</f>
        <v>19.961769989858489</v>
      </c>
      <c r="G34" s="27" t="str">
        <f t="shared" ref="G34:G39" si="15">IF(C34&gt;=F34,"-","+")</f>
        <v>-</v>
      </c>
      <c r="H34" s="26">
        <f t="shared" ref="H34:H39" si="16">C34*D34</f>
        <v>47834</v>
      </c>
      <c r="I34" s="26">
        <f t="shared" ref="I34:I39" si="17">F34*D34</f>
        <v>47742.565284744545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15.370562892191037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12.276488543762971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32.537685083469341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32.537685083469341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33.735391282860846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2391.6999999999998</v>
      </c>
      <c r="E40" s="113">
        <f t="shared" si="13"/>
        <v>0.14759935818316464</v>
      </c>
      <c r="F40" s="20">
        <f>I40/D40</f>
        <v>19.961769989858489</v>
      </c>
      <c r="G40" s="19">
        <f>F40/C40-1</f>
        <v>-1.9115005070755586E-3</v>
      </c>
      <c r="H40" s="18">
        <f>SUM(H34:H39)</f>
        <v>47834</v>
      </c>
      <c r="I40" s="18">
        <f>SUM(I34:I39)</f>
        <v>47742.565284744545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2388</v>
      </c>
      <c r="E42" s="107">
        <f>D42/$D$48</f>
        <v>0.1473710195013577</v>
      </c>
      <c r="F42" s="28">
        <f>C42-(C42*$E$6)</f>
        <v>0.49904424974646222</v>
      </c>
      <c r="G42" s="27" t="str">
        <f>IF(C42&gt;=F42,"-","+")</f>
        <v>-</v>
      </c>
      <c r="H42" s="26">
        <f>C42*D42</f>
        <v>1194</v>
      </c>
      <c r="I42" s="26">
        <f>F42*D42</f>
        <v>1191.7176683945518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127.8</v>
      </c>
      <c r="E43" s="107">
        <f>D43/$D$48</f>
        <v>7.8869414959269312E-3</v>
      </c>
      <c r="F43" s="28">
        <f>C43-(C43*$E$6)</f>
        <v>0.49904424974646222</v>
      </c>
      <c r="G43" s="27" t="str">
        <f>IF(C43&gt;=F43,"-","+")</f>
        <v>-</v>
      </c>
      <c r="H43" s="26">
        <f>C43*D43</f>
        <v>63.9</v>
      </c>
      <c r="I43" s="26">
        <f>F43*D43</f>
        <v>63.777855117597873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4.9000000000000004</v>
      </c>
      <c r="E45" s="107">
        <f>D45/$D$48</f>
        <v>3.0239447050111088E-4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0.49902804776450982</v>
      </c>
      <c r="D46" s="22">
        <f>SUM(D41:D45)</f>
        <v>2520.7000000000003</v>
      </c>
      <c r="E46" s="113">
        <f>D46/$D$48</f>
        <v>0.15556035546778574</v>
      </c>
      <c r="F46" s="20">
        <f>I46/D46</f>
        <v>0.49807415539816302</v>
      </c>
      <c r="G46" s="19">
        <f>F46/C46-1</f>
        <v>-1.9115005070755586E-3</v>
      </c>
      <c r="H46" s="18">
        <f>SUM(H41:H44)</f>
        <v>1257.9000000000001</v>
      </c>
      <c r="I46" s="18">
        <f>SUM(I41:I44)</f>
        <v>1255.4955235121497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105.65159542947754</v>
      </c>
      <c r="D48" s="13">
        <f>D24+D32+D40+D46</f>
        <v>16204</v>
      </c>
      <c r="E48" s="12">
        <f>SUM(E20:E46)/2</f>
        <v>1</v>
      </c>
      <c r="F48" s="11">
        <f>I48/D48</f>
        <v>28.250000000000007</v>
      </c>
      <c r="G48" s="10"/>
      <c r="H48" s="9">
        <f>SUM(H20:H46)/2</f>
        <v>458639.69</v>
      </c>
      <c r="I48" s="9">
        <f>SUM(I20:I46)/2</f>
        <v>457763.00000000012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16204.000000000002</v>
      </c>
      <c r="E50" s="12">
        <f>D50/G2</f>
        <v>1.0000000000000002</v>
      </c>
      <c r="F50" s="11">
        <f>I50/D50</f>
        <v>28.250000000000004</v>
      </c>
      <c r="G50" s="10"/>
      <c r="H50" s="9">
        <f>H48+H19</f>
        <v>458639.69</v>
      </c>
      <c r="I50" s="9">
        <f>I48+I19</f>
        <v>457763.00000000012</v>
      </c>
      <c r="J50" s="106">
        <f>D50-G2</f>
        <v>0</v>
      </c>
      <c r="K50" s="8"/>
    </row>
    <row r="51" spans="1:11" ht="23.25" x14ac:dyDescent="0.35">
      <c r="A51" s="174" t="s">
        <v>897</v>
      </c>
      <c r="B51" s="169"/>
      <c r="C51" s="170"/>
      <c r="G51" s="7"/>
      <c r="H51" s="6"/>
      <c r="I51" s="6">
        <f>+I50/D50</f>
        <v>28.250000000000004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896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896</v>
      </c>
      <c r="D2" s="96" t="s">
        <v>3</v>
      </c>
      <c r="E2" s="95" t="s">
        <v>71</v>
      </c>
      <c r="F2" s="94" t="s">
        <v>5</v>
      </c>
      <c r="G2" s="116">
        <v>6723.3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79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85.105063291139246</v>
      </c>
      <c r="F4" s="81" t="s">
        <v>12</v>
      </c>
      <c r="G4" s="80">
        <f>G2*G3</f>
        <v>189933.22500000001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-7.4814023830855891E-3</v>
      </c>
      <c r="F6" s="69" t="s">
        <v>16</v>
      </c>
      <c r="G6" s="68">
        <f>(I50-I19)/(D50-(SUM(D42:D44)+D19))</f>
        <v>33.122368524802106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>
        <f t="shared" ref="E10:E19" si="1">D10/$D$19</f>
        <v>0</v>
      </c>
      <c r="F10" s="28">
        <f t="shared" ref="F10:F18" si="2">C10-(C10*$E$6)</f>
        <v>28.511723687441322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>
        <v>1592.1</v>
      </c>
      <c r="E11" s="29">
        <f t="shared" si="1"/>
        <v>0.96414945800278562</v>
      </c>
      <c r="F11" s="28">
        <f t="shared" si="2"/>
        <v>29.619953230062716</v>
      </c>
      <c r="G11" s="27" t="str">
        <f t="shared" si="3"/>
        <v>+</v>
      </c>
      <c r="H11" s="34">
        <f t="shared" si="4"/>
        <v>46807.74</v>
      </c>
      <c r="I11" s="34">
        <f t="shared" si="5"/>
        <v>47157.927537582851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>
        <f t="shared" si="1"/>
        <v>0</v>
      </c>
      <c r="F12" s="28">
        <f t="shared" si="2"/>
        <v>27.101249724104999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>
        <v>59.2</v>
      </c>
      <c r="E13" s="29">
        <f t="shared" si="1"/>
        <v>3.5850541997214318E-2</v>
      </c>
      <c r="F13" s="28">
        <f t="shared" si="2"/>
        <v>29.619953230062716</v>
      </c>
      <c r="G13" s="27" t="str">
        <f t="shared" si="3"/>
        <v>+</v>
      </c>
      <c r="H13" s="34">
        <f t="shared" si="4"/>
        <v>1740.48</v>
      </c>
      <c r="I13" s="34">
        <f t="shared" si="5"/>
        <v>1753.501231219713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>
        <f t="shared" si="1"/>
        <v>0</v>
      </c>
      <c r="F14" s="28">
        <f t="shared" si="2"/>
        <v>33.146138138403515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>
        <f t="shared" si="1"/>
        <v>0</v>
      </c>
      <c r="F15" s="28">
        <f t="shared" si="2"/>
        <v>27.302746004581621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37.377560028412475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>
        <f t="shared" si="1"/>
        <v>0</v>
      </c>
      <c r="F17" s="28">
        <f t="shared" si="2"/>
        <v>55.008484570116472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>
        <f t="shared" si="1"/>
        <v>0</v>
      </c>
      <c r="F18" s="28">
        <f t="shared" si="2"/>
        <v>48.258359174149795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29.400000000000002</v>
      </c>
      <c r="D19" s="49">
        <f>SUM(D10:D18)</f>
        <v>1651.3</v>
      </c>
      <c r="E19" s="48">
        <f t="shared" si="1"/>
        <v>1</v>
      </c>
      <c r="F19" s="47">
        <f>I19/D19</f>
        <v>29.61995323006272</v>
      </c>
      <c r="G19" s="46">
        <f>F19/C19-1</f>
        <v>7.4814023830855891E-3</v>
      </c>
      <c r="H19" s="9">
        <f>SUM(H10:H18)</f>
        <v>48548.22</v>
      </c>
      <c r="I19" s="9">
        <f>SUM(I10:I18)</f>
        <v>48911.428768802565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33</v>
      </c>
      <c r="E21" s="29">
        <f>D21/$D$48</f>
        <v>6.5063091482649845E-3</v>
      </c>
      <c r="F21" s="28">
        <f>C21-(C21*$E$6)</f>
        <v>71.531179569199082</v>
      </c>
      <c r="G21" s="27" t="str">
        <f>IF(C21&gt;=F21,"-","+")</f>
        <v>+</v>
      </c>
      <c r="H21" s="26">
        <f>C21*D21</f>
        <v>2343</v>
      </c>
      <c r="I21" s="26">
        <f>F21*D21</f>
        <v>2360.5289257835698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215.3</v>
      </c>
      <c r="E22" s="29">
        <f>D22/$D$48</f>
        <v>4.2448738170347007E-2</v>
      </c>
      <c r="F22" s="28">
        <f>C22-(C22*$E$6)</f>
        <v>48.056862893673184</v>
      </c>
      <c r="G22" s="27" t="str">
        <f>IF(C22&gt;=F22,"-","+")</f>
        <v>+</v>
      </c>
      <c r="H22" s="26">
        <f>C22*D22</f>
        <v>10269.810000000001</v>
      </c>
      <c r="I22" s="26">
        <f>F22*D22</f>
        <v>10346.642581007836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68.900000000000006</v>
      </c>
      <c r="E23" s="29">
        <f>D23/$D$48</f>
        <v>1.3584384858044165E-2</v>
      </c>
      <c r="F23" s="28">
        <f>C23-(C23*$E$6)</f>
        <v>43.825441003664224</v>
      </c>
      <c r="G23" s="27" t="str">
        <f>IF(C23&gt;=F23,"-","+")</f>
        <v>+</v>
      </c>
      <c r="H23" s="26">
        <f>C23*D23</f>
        <v>2997.15</v>
      </c>
      <c r="I23" s="26">
        <f>F23*D23</f>
        <v>3019.5728851524655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49.211727616645646</v>
      </c>
      <c r="D24" s="22">
        <f>SUM(D21:D23)</f>
        <v>317.20000000000005</v>
      </c>
      <c r="E24" s="21">
        <f>D24/$D$48</f>
        <v>6.2539432176656154E-2</v>
      </c>
      <c r="F24" s="20">
        <f>I24/D24</f>
        <v>49.579900352912581</v>
      </c>
      <c r="G24" s="19">
        <f>F24/C24-1</f>
        <v>7.4814023830855891E-3</v>
      </c>
      <c r="H24" s="18">
        <f>SUM(H21:H23)</f>
        <v>15609.960000000001</v>
      </c>
      <c r="I24" s="18">
        <f>SUM(I21:I23)</f>
        <v>15726.744391943872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f>260+44.4+340</f>
        <v>644.4</v>
      </c>
      <c r="E26" s="29">
        <f t="shared" ref="E26:E32" si="7">D26/$D$48</f>
        <v>0.12705047318611987</v>
      </c>
      <c r="F26" s="28">
        <f t="shared" ref="F26:F31" si="8">C26-(C26*$E$6)</f>
        <v>38.183545150318942</v>
      </c>
      <c r="G26" s="27" t="str">
        <f t="shared" ref="G26:G31" si="9">IF(C26&gt;=F26,"-","+")</f>
        <v>+</v>
      </c>
      <c r="H26" s="26">
        <f t="shared" ref="H26:H31" si="10">C26*D26</f>
        <v>24422.76</v>
      </c>
      <c r="I26" s="26">
        <f t="shared" ref="I26:I31" si="11">F26*D26</f>
        <v>24605.476494865525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1028.5</v>
      </c>
      <c r="E27" s="29">
        <f t="shared" si="7"/>
        <v>0.20277996845425866</v>
      </c>
      <c r="F27" s="28">
        <f t="shared" si="8"/>
        <v>34.052871400548291</v>
      </c>
      <c r="G27" s="27" t="str">
        <f t="shared" si="9"/>
        <v>+</v>
      </c>
      <c r="H27" s="26">
        <f t="shared" si="10"/>
        <v>34763.299999999996</v>
      </c>
      <c r="I27" s="26">
        <f t="shared" si="11"/>
        <v>35023.378235463919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668.8</v>
      </c>
      <c r="E28" s="29">
        <f t="shared" si="7"/>
        <v>0.13186119873817034</v>
      </c>
      <c r="F28" s="28">
        <f t="shared" si="8"/>
        <v>34.052871400548291</v>
      </c>
      <c r="G28" s="27" t="str">
        <f t="shared" si="9"/>
        <v>+</v>
      </c>
      <c r="H28" s="26">
        <f t="shared" si="10"/>
        <v>22605.439999999995</v>
      </c>
      <c r="I28" s="26">
        <f t="shared" si="11"/>
        <v>22774.560392686697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622.6</v>
      </c>
      <c r="E29" s="29">
        <f t="shared" si="7"/>
        <v>0.12275236593059938</v>
      </c>
      <c r="F29" s="28">
        <f t="shared" si="8"/>
        <v>32.843893717688594</v>
      </c>
      <c r="G29" s="27" t="str">
        <f t="shared" si="9"/>
        <v>+</v>
      </c>
      <c r="H29" s="26">
        <f t="shared" si="10"/>
        <v>20296.760000000002</v>
      </c>
      <c r="I29" s="26">
        <f t="shared" si="11"/>
        <v>20448.608228632918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158.19999999999999</v>
      </c>
      <c r="E30" s="29">
        <f t="shared" si="7"/>
        <v>3.1190851735015769E-2</v>
      </c>
      <c r="F30" s="28">
        <f t="shared" si="8"/>
        <v>32.843893717688594</v>
      </c>
      <c r="G30" s="27" t="str">
        <f t="shared" si="9"/>
        <v>+</v>
      </c>
      <c r="H30" s="26">
        <f t="shared" si="10"/>
        <v>5157.32</v>
      </c>
      <c r="I30" s="26">
        <f t="shared" si="11"/>
        <v>5195.9039861383353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39</v>
      </c>
      <c r="E31" s="29">
        <f t="shared" si="7"/>
        <v>7.6892744479495267E-3</v>
      </c>
      <c r="F31" s="28">
        <f t="shared" si="8"/>
        <v>33.448382559118443</v>
      </c>
      <c r="G31" s="27" t="str">
        <f t="shared" si="9"/>
        <v>+</v>
      </c>
      <c r="H31" s="26">
        <f t="shared" si="10"/>
        <v>1294.8000000000002</v>
      </c>
      <c r="I31" s="26">
        <f t="shared" si="11"/>
        <v>1304.4869198056192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34.331924719278831</v>
      </c>
      <c r="D32" s="22">
        <f>SUM(D26:D31)</f>
        <v>3161.4999999999995</v>
      </c>
      <c r="E32" s="21">
        <f t="shared" si="7"/>
        <v>0.62332413249211349</v>
      </c>
      <c r="F32" s="20">
        <f>I32/D32</f>
        <v>34.588775662689557</v>
      </c>
      <c r="G32" s="19">
        <f>F32/C32-1</f>
        <v>7.4814023830855891E-3</v>
      </c>
      <c r="H32" s="18">
        <f>SUM(H26:H31)</f>
        <v>108540.38000000002</v>
      </c>
      <c r="I32" s="18">
        <f>SUM(I26:I31)</f>
        <v>109352.41425759302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771</v>
      </c>
      <c r="E34" s="29">
        <f t="shared" ref="E34:E40" si="13">D34/$D$48</f>
        <v>0.15201104100946372</v>
      </c>
      <c r="F34" s="28">
        <f t="shared" ref="F34:F39" si="14">C34-(C34*$E$6)</f>
        <v>20.149628047661711</v>
      </c>
      <c r="G34" s="27" t="str">
        <f t="shared" ref="G34:G39" si="15">IF(C34&gt;=F34,"-","+")</f>
        <v>+</v>
      </c>
      <c r="H34" s="26">
        <f t="shared" ref="H34:H39" si="16">C34*D34</f>
        <v>15420</v>
      </c>
      <c r="I34" s="26">
        <f t="shared" ref="I34:I39" si="17">F34*D34</f>
        <v>15535.36322474718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15.515213596699519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12.392021249311954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32.843893717688594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32.843893717688594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34.052871400548291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771</v>
      </c>
      <c r="E40" s="113">
        <f t="shared" si="13"/>
        <v>0.15201104100946372</v>
      </c>
      <c r="F40" s="20">
        <f>I40/D40</f>
        <v>20.149628047661711</v>
      </c>
      <c r="G40" s="19">
        <f>F40/C40-1</f>
        <v>7.4814023830855891E-3</v>
      </c>
      <c r="H40" s="18">
        <f>SUM(H34:H39)</f>
        <v>15420</v>
      </c>
      <c r="I40" s="18">
        <f>SUM(I34:I39)</f>
        <v>15535.36322474718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769</v>
      </c>
      <c r="E42" s="107">
        <f>D42/$D$48</f>
        <v>0.15161671924290221</v>
      </c>
      <c r="F42" s="28">
        <f>C42-(C42*$E$6)</f>
        <v>0.50374070119154279</v>
      </c>
      <c r="G42" s="27" t="str">
        <f>IF(C42&gt;=F42,"-","+")</f>
        <v>+</v>
      </c>
      <c r="H42" s="26">
        <f>C42*D42</f>
        <v>384.5</v>
      </c>
      <c r="I42" s="26">
        <f>F42*D42</f>
        <v>387.37659921629643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39.5</v>
      </c>
      <c r="E43" s="107">
        <f>D43/$D$48</f>
        <v>7.7878548895899055E-3</v>
      </c>
      <c r="F43" s="28">
        <f>C43-(C43*$E$6)</f>
        <v>0.50374070119154279</v>
      </c>
      <c r="G43" s="27" t="str">
        <f>IF(C43&gt;=F43,"-","+")</f>
        <v>+</v>
      </c>
      <c r="H43" s="26">
        <f>C43*D43</f>
        <v>19.75</v>
      </c>
      <c r="I43" s="26">
        <f>F43*D43</f>
        <v>19.897757697065941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5.9</v>
      </c>
      <c r="E44" s="107">
        <f>D44/$D$48</f>
        <v>1.1632492113564669E-3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7.9</v>
      </c>
      <c r="E45" s="107">
        <f>D45/$D$48</f>
        <v>1.5575709779179811E-3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0.49160890186063483</v>
      </c>
      <c r="D46" s="22">
        <f>SUM(D41:D45)</f>
        <v>822.3</v>
      </c>
      <c r="E46" s="113">
        <f>D46/$D$48</f>
        <v>0.16212539432176656</v>
      </c>
      <c r="F46" s="20">
        <f>I46/D46</f>
        <v>0.49528682587056105</v>
      </c>
      <c r="G46" s="19">
        <f>F46/C46-1</f>
        <v>7.4814023830855891E-3</v>
      </c>
      <c r="H46" s="18">
        <f>SUM(H41:H44)</f>
        <v>404.25</v>
      </c>
      <c r="I46" s="18">
        <f>SUM(I41:I44)</f>
        <v>407.27435691336234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104.03526123778511</v>
      </c>
      <c r="D48" s="13">
        <f>D24+D32+D40+D46</f>
        <v>5072</v>
      </c>
      <c r="E48" s="12">
        <f>SUM(E20:E46)/2</f>
        <v>1</v>
      </c>
      <c r="F48" s="11">
        <f>I48/D48</f>
        <v>27.803981906781829</v>
      </c>
      <c r="G48" s="10"/>
      <c r="H48" s="9">
        <f>SUM(H20:H46)/2</f>
        <v>139974.59</v>
      </c>
      <c r="I48" s="9">
        <f>SUM(I20:I46)/2</f>
        <v>141021.79623119743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6723.2999999999993</v>
      </c>
      <c r="E50" s="12">
        <f>D50/G2</f>
        <v>0.99999999999999989</v>
      </c>
      <c r="F50" s="11">
        <f>I50/D50</f>
        <v>28.25</v>
      </c>
      <c r="G50" s="10"/>
      <c r="H50" s="9">
        <f>H48+H19</f>
        <v>188522.81</v>
      </c>
      <c r="I50" s="9">
        <f>I48+I19</f>
        <v>189933.22499999998</v>
      </c>
      <c r="J50" s="106">
        <f>D50-G2</f>
        <v>0</v>
      </c>
      <c r="K50" s="8"/>
    </row>
    <row r="51" spans="1:11" ht="23.25" x14ac:dyDescent="0.35">
      <c r="A51" s="174" t="s">
        <v>898</v>
      </c>
      <c r="B51" s="169"/>
      <c r="C51" s="170"/>
      <c r="G51" s="7"/>
      <c r="H51" s="6"/>
      <c r="I51" s="6">
        <f>+I50/D50</f>
        <v>28.25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896</v>
      </c>
      <c r="D1" s="100" t="s">
        <v>1</v>
      </c>
      <c r="E1" s="168" t="s">
        <v>196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896</v>
      </c>
      <c r="D2" s="96" t="s">
        <v>3</v>
      </c>
      <c r="E2" s="95" t="s">
        <v>112</v>
      </c>
      <c r="F2" s="94" t="s">
        <v>5</v>
      </c>
      <c r="G2" s="93">
        <v>4727.5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88</v>
      </c>
      <c r="F3" s="88" t="s">
        <v>8</v>
      </c>
      <c r="G3" s="87">
        <v>23.68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53.721590909090907</v>
      </c>
      <c r="F4" s="81" t="s">
        <v>12</v>
      </c>
      <c r="G4" s="80">
        <f>G2*G3</f>
        <v>111947.2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-0.14671473121235845</v>
      </c>
      <c r="F6" s="69" t="s">
        <v>16</v>
      </c>
      <c r="G6" s="68">
        <f>(I50-I19)/(D50-(SUM(D42:D44)+D19))</f>
        <v>31.753566869947534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23.7</v>
      </c>
      <c r="D10" s="30"/>
      <c r="E10" s="29" t="e">
        <f t="shared" ref="E10:E19" si="1">D10/$D$19</f>
        <v>#DIV/0!</v>
      </c>
      <c r="F10" s="28">
        <f t="shared" ref="F10:F18" si="2">C10-(C10*$E$6)</f>
        <v>27.177139129732893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 t="e">
        <f t="shared" si="1"/>
        <v>#DIV/0!</v>
      </c>
      <c r="F11" s="28">
        <f t="shared" si="2"/>
        <v>28.323853860945253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22.5</v>
      </c>
      <c r="D12" s="30"/>
      <c r="E12" s="29" t="e">
        <f t="shared" si="1"/>
        <v>#DIV/0!</v>
      </c>
      <c r="F12" s="28">
        <f t="shared" si="2"/>
        <v>25.801081452278066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/>
      <c r="E13" s="29" t="e">
        <f t="shared" si="1"/>
        <v>#DIV/0!</v>
      </c>
      <c r="F13" s="28">
        <f t="shared" si="2"/>
        <v>28.323853860945253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27.6</v>
      </c>
      <c r="D14" s="30"/>
      <c r="E14" s="29" t="e">
        <f t="shared" si="1"/>
        <v>#DIV/0!</v>
      </c>
      <c r="F14" s="28">
        <f t="shared" si="2"/>
        <v>31.649326581461096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22.7</v>
      </c>
      <c r="D15" s="30"/>
      <c r="E15" s="29" t="e">
        <f t="shared" si="1"/>
        <v>#DIV/0!</v>
      </c>
      <c r="F15" s="28">
        <f t="shared" si="2"/>
        <v>26.030424398520537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31.1</v>
      </c>
      <c r="D16" s="30"/>
      <c r="E16" s="29" t="e">
        <f t="shared" si="1"/>
        <v>#DIV/0!</v>
      </c>
      <c r="F16" s="28">
        <f t="shared" si="2"/>
        <v>35.662828140704349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45.8</v>
      </c>
      <c r="D17" s="30"/>
      <c r="E17" s="29" t="e">
        <f t="shared" si="1"/>
        <v>#DIV/0!</v>
      </c>
      <c r="F17" s="28">
        <f t="shared" si="2"/>
        <v>52.519534689526012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40.1</v>
      </c>
      <c r="D18" s="30"/>
      <c r="E18" s="29" t="e">
        <f t="shared" si="1"/>
        <v>#DIV/0!</v>
      </c>
      <c r="F18" s="28">
        <f t="shared" si="2"/>
        <v>45.983260721615579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59.6</v>
      </c>
      <c r="D21" s="30">
        <v>63</v>
      </c>
      <c r="E21" s="29">
        <f>D21/$D$48</f>
        <v>1.3326282390269699E-2</v>
      </c>
      <c r="F21" s="28">
        <f>C21-(C21*$E$6)</f>
        <v>68.344197980256567</v>
      </c>
      <c r="G21" s="27" t="str">
        <f>IF(C21&gt;=F21,"-","+")</f>
        <v>+</v>
      </c>
      <c r="H21" s="26">
        <f>C21*D21</f>
        <v>3754.8</v>
      </c>
      <c r="I21" s="26">
        <f>F21*D21</f>
        <v>4305.6844727561638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</v>
      </c>
      <c r="D22" s="30">
        <v>123</v>
      </c>
      <c r="E22" s="29">
        <f>D22/$D$48</f>
        <v>2.601797990481227E-2</v>
      </c>
      <c r="F22" s="28">
        <f>C22-(C22*$E$6)</f>
        <v>45.868589248494338</v>
      </c>
      <c r="G22" s="27" t="str">
        <f>IF(C22&gt;=F22,"-","+")</f>
        <v>+</v>
      </c>
      <c r="H22" s="26">
        <f>C22*D22</f>
        <v>4920</v>
      </c>
      <c r="I22" s="26">
        <f>F22*D22</f>
        <v>5641.8364775648033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36.5</v>
      </c>
      <c r="D23" s="30">
        <v>94.1</v>
      </c>
      <c r="E23" s="29">
        <f>D23/$D$48</f>
        <v>1.990481226864093E-2</v>
      </c>
      <c r="F23" s="28">
        <f>C23-(C23*$E$6)</f>
        <v>41.855087689251086</v>
      </c>
      <c r="G23" s="27" t="str">
        <f>IF(C23&gt;=F23,"-","+")</f>
        <v>+</v>
      </c>
      <c r="H23" s="26">
        <f>C23*D23</f>
        <v>3434.6499999999996</v>
      </c>
      <c r="I23" s="26">
        <f>F23*D23</f>
        <v>3938.5637515585267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43.232595501606561</v>
      </c>
      <c r="D24" s="22">
        <f>SUM(D21:D23)</f>
        <v>280.10000000000002</v>
      </c>
      <c r="E24" s="21">
        <f>D24/$D$48</f>
        <v>5.92490745637229E-2</v>
      </c>
      <c r="F24" s="20">
        <f>I24/D24</f>
        <v>49.575454130237382</v>
      </c>
      <c r="G24" s="19">
        <f>F24/C24-1</f>
        <v>0.14671473121235845</v>
      </c>
      <c r="H24" s="18">
        <f>SUM(H21:H23)</f>
        <v>12109.449999999999</v>
      </c>
      <c r="I24" s="18">
        <f>SUM(I21:I23)</f>
        <v>13886.084701879492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31.8</v>
      </c>
      <c r="D26" s="30">
        <f>817</f>
        <v>817</v>
      </c>
      <c r="E26" s="29">
        <f t="shared" ref="E26:E32" si="7">D26/$D$48</f>
        <v>0.17281861448968799</v>
      </c>
      <c r="F26" s="28">
        <f t="shared" ref="F26:F31" si="8">C26-(C26*$E$6)</f>
        <v>36.465528452553002</v>
      </c>
      <c r="G26" s="27" t="str">
        <f t="shared" ref="G26:G31" si="9">IF(C26&gt;=F26,"-","+")</f>
        <v>+</v>
      </c>
      <c r="H26" s="26">
        <f t="shared" ref="H26:H31" si="10">C26*D26</f>
        <v>25980.600000000002</v>
      </c>
      <c r="I26" s="26">
        <f t="shared" ref="I26:I31" si="11">F26*D26</f>
        <v>29792.336745735804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28.3</v>
      </c>
      <c r="D27" s="30">
        <v>711</v>
      </c>
      <c r="E27" s="29">
        <f t="shared" si="7"/>
        <v>0.15039661554732944</v>
      </c>
      <c r="F27" s="28">
        <f t="shared" si="8"/>
        <v>32.452026893309743</v>
      </c>
      <c r="G27" s="27" t="str">
        <f t="shared" si="9"/>
        <v>+</v>
      </c>
      <c r="H27" s="26">
        <f t="shared" si="10"/>
        <v>20121.3</v>
      </c>
      <c r="I27" s="26">
        <f t="shared" si="11"/>
        <v>23073.391121143228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28.3</v>
      </c>
      <c r="D28" s="30">
        <v>319.89999999999998</v>
      </c>
      <c r="E28" s="29">
        <f t="shared" si="7"/>
        <v>6.76679005817028E-2</v>
      </c>
      <c r="F28" s="28">
        <f t="shared" si="8"/>
        <v>32.452026893309743</v>
      </c>
      <c r="G28" s="27" t="str">
        <f t="shared" si="9"/>
        <v>+</v>
      </c>
      <c r="H28" s="26">
        <f t="shared" si="10"/>
        <v>9053.17</v>
      </c>
      <c r="I28" s="26">
        <f t="shared" si="11"/>
        <v>10381.403403169787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336</v>
      </c>
      <c r="E29" s="29">
        <f t="shared" si="7"/>
        <v>7.1073506081438392E-2</v>
      </c>
      <c r="F29" s="28">
        <f t="shared" si="8"/>
        <v>31.419983635218621</v>
      </c>
      <c r="G29" s="27" t="str">
        <f t="shared" si="9"/>
        <v>+</v>
      </c>
      <c r="H29" s="26">
        <f t="shared" si="10"/>
        <v>9206.4</v>
      </c>
      <c r="I29" s="26">
        <f t="shared" si="11"/>
        <v>10557.114501433456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218</v>
      </c>
      <c r="E30" s="29">
        <f t="shared" si="7"/>
        <v>4.6113167636171341E-2</v>
      </c>
      <c r="F30" s="28">
        <f t="shared" si="8"/>
        <v>31.419983635218621</v>
      </c>
      <c r="G30" s="27" t="str">
        <f t="shared" si="9"/>
        <v>+</v>
      </c>
      <c r="H30" s="26">
        <f t="shared" si="10"/>
        <v>5973.2</v>
      </c>
      <c r="I30" s="26">
        <f t="shared" si="11"/>
        <v>6849.5564324776597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27.8</v>
      </c>
      <c r="D31" s="30">
        <v>86</v>
      </c>
      <c r="E31" s="29">
        <f t="shared" si="7"/>
        <v>1.8191433104177684E-2</v>
      </c>
      <c r="F31" s="28">
        <f t="shared" si="8"/>
        <v>31.878669527703565</v>
      </c>
      <c r="G31" s="27" t="str">
        <f t="shared" si="9"/>
        <v>+</v>
      </c>
      <c r="H31" s="26">
        <f t="shared" si="10"/>
        <v>2390.8000000000002</v>
      </c>
      <c r="I31" s="26">
        <f t="shared" si="11"/>
        <v>2741.5655793825067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29.23166927931187</v>
      </c>
      <c r="D32" s="22">
        <f>SUM(D26:D31)</f>
        <v>2487.9</v>
      </c>
      <c r="E32" s="21">
        <f t="shared" si="7"/>
        <v>0.52626123744050768</v>
      </c>
      <c r="F32" s="20">
        <f>I32/D32</f>
        <v>33.520385780514673</v>
      </c>
      <c r="G32" s="19">
        <f>F32/C32-1</f>
        <v>0.14671473121235867</v>
      </c>
      <c r="H32" s="18">
        <f>SUM(H26:H31)</f>
        <v>72725.47</v>
      </c>
      <c r="I32" s="18">
        <f>SUM(I26:I31)</f>
        <v>83395.367783342459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16.7</v>
      </c>
      <c r="D34" s="30">
        <f>314+367.5</f>
        <v>681.5</v>
      </c>
      <c r="E34" s="29">
        <f t="shared" ref="E34:E40" si="13">D34/$D$48</f>
        <v>0.14415653093601269</v>
      </c>
      <c r="F34" s="28">
        <f t="shared" ref="F34:F39" si="14">C34-(C34*$E$6)</f>
        <v>19.150136011246385</v>
      </c>
      <c r="G34" s="27" t="str">
        <f t="shared" ref="G34:G39" si="15">IF(C34&gt;=F34,"-","+")</f>
        <v>+</v>
      </c>
      <c r="H34" s="26">
        <f t="shared" ref="H34:H39" si="16">C34*D34</f>
        <v>11381.05</v>
      </c>
      <c r="I34" s="26">
        <f t="shared" ref="I34:I39" si="17">F34*D34</f>
        <v>13050.817691664412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71.900000000000006</v>
      </c>
      <c r="E35" s="29">
        <f t="shared" si="13"/>
        <v>1.5208884188260181E-2</v>
      </c>
      <c r="F35" s="28">
        <f t="shared" si="14"/>
        <v>14.792620032639425</v>
      </c>
      <c r="G35" s="27" t="str">
        <f t="shared" si="15"/>
        <v>+</v>
      </c>
      <c r="H35" s="26">
        <f t="shared" si="16"/>
        <v>927.5100000000001</v>
      </c>
      <c r="I35" s="26">
        <f t="shared" si="17"/>
        <v>1063.5893803467748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10.3</v>
      </c>
      <c r="D36" s="30"/>
      <c r="E36" s="29">
        <f t="shared" si="13"/>
        <v>0</v>
      </c>
      <c r="F36" s="28">
        <f t="shared" si="14"/>
        <v>11.811161731487292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31.419983635218621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31.419983635218621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28.3</v>
      </c>
      <c r="D39" s="30"/>
      <c r="E39" s="29">
        <f t="shared" si="13"/>
        <v>0</v>
      </c>
      <c r="F39" s="28">
        <f t="shared" si="14"/>
        <v>32.452026893309743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16.337350676931244</v>
      </c>
      <c r="D40" s="22">
        <f>SUM(D34:D39)</f>
        <v>753.4</v>
      </c>
      <c r="E40" s="113">
        <f t="shared" si="13"/>
        <v>0.15936541512427288</v>
      </c>
      <c r="F40" s="20">
        <f>I40/D40</f>
        <v>18.734280690219254</v>
      </c>
      <c r="G40" s="19">
        <f>F40/C40-1</f>
        <v>0.14671473121235845</v>
      </c>
      <c r="H40" s="18">
        <f>SUM(H34:H39)</f>
        <v>12308.56</v>
      </c>
      <c r="I40" s="18">
        <f>SUM(I34:I39)</f>
        <v>14114.407072011187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582+71.7+511.2</f>
        <v>1164.9000000000001</v>
      </c>
      <c r="E42" s="107">
        <f>D42/$D$48</f>
        <v>0.24640930724484403</v>
      </c>
      <c r="F42" s="28">
        <f>C42-(C42*$E$6)</f>
        <v>0.4586858924849434</v>
      </c>
      <c r="G42" s="27" t="str">
        <f>IF(C42&gt;=F42,"-","+")</f>
        <v>+</v>
      </c>
      <c r="H42" s="26">
        <f>C42*D42</f>
        <v>465.96000000000004</v>
      </c>
      <c r="I42" s="26">
        <f>F42*D42</f>
        <v>534.32319615571066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37.1</v>
      </c>
      <c r="E43" s="107">
        <f>D43/$D$48</f>
        <v>7.84769962982549E-3</v>
      </c>
      <c r="F43" s="28">
        <f>C43-(C43*$E$6)</f>
        <v>0.4586858924849434</v>
      </c>
      <c r="G43" s="27" t="str">
        <f>IF(C43&gt;=F43,"-","+")</f>
        <v>+</v>
      </c>
      <c r="H43" s="26">
        <f>C43*D43</f>
        <v>14.840000000000002</v>
      </c>
      <c r="I43" s="26">
        <f>F43*D43</f>
        <v>17.0172466111914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8.6726599682707551E-4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0.39864024541911952</v>
      </c>
      <c r="D46" s="22">
        <f>SUM(D41:D45)</f>
        <v>1206.0999999999999</v>
      </c>
      <c r="E46" s="113">
        <f>D46/$D$48</f>
        <v>0.25512427287149653</v>
      </c>
      <c r="F46" s="20">
        <f>I46/D46</f>
        <v>0.45712664187621427</v>
      </c>
      <c r="G46" s="19">
        <f>F46/C46-1</f>
        <v>0.14671473121235845</v>
      </c>
      <c r="H46" s="18">
        <f>SUM(H41:H44)</f>
        <v>480.8</v>
      </c>
      <c r="I46" s="18">
        <f>SUM(I41:I44)</f>
        <v>551.34044276690202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89.20025570326878</v>
      </c>
      <c r="D48" s="13">
        <f>D24+D32+D40+D46</f>
        <v>4727.5</v>
      </c>
      <c r="E48" s="12">
        <f>SUM(E20:E46)/2</f>
        <v>1.0000000000000002</v>
      </c>
      <c r="F48" s="11">
        <f>I48/D48</f>
        <v>23.680000000000007</v>
      </c>
      <c r="G48" s="10"/>
      <c r="H48" s="9">
        <f>SUM(H20:H46)/2</f>
        <v>97624.279999999984</v>
      </c>
      <c r="I48" s="9">
        <f>SUM(I20:I46)/2</f>
        <v>111947.20000000003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4727.5</v>
      </c>
      <c r="E50" s="12">
        <f>D50/G2</f>
        <v>1</v>
      </c>
      <c r="F50" s="11">
        <f>I50/D50</f>
        <v>23.680000000000007</v>
      </c>
      <c r="G50" s="10"/>
      <c r="H50" s="9">
        <f>H48+H19</f>
        <v>97624.279999999984</v>
      </c>
      <c r="I50" s="9">
        <f>I48+I19</f>
        <v>111947.20000000003</v>
      </c>
      <c r="J50" s="106">
        <f>D50-G2</f>
        <v>0</v>
      </c>
      <c r="K50" s="8"/>
    </row>
    <row r="51" spans="1:11" ht="23.25" x14ac:dyDescent="0.35">
      <c r="A51" s="174" t="s">
        <v>899</v>
      </c>
      <c r="B51" s="169"/>
      <c r="C51" s="170"/>
      <c r="G51" s="7"/>
      <c r="H51" s="6"/>
      <c r="I51" s="6">
        <f>+I50/D50</f>
        <v>23.680000000000007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896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896</v>
      </c>
      <c r="D2" s="96" t="s">
        <v>3</v>
      </c>
      <c r="E2" s="95" t="s">
        <v>112</v>
      </c>
      <c r="F2" s="94" t="s">
        <v>5</v>
      </c>
      <c r="G2" s="93">
        <v>8502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116</v>
      </c>
      <c r="F3" s="88" t="s">
        <v>8</v>
      </c>
      <c r="G3" s="87">
        <v>25.16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73.293103448275858</v>
      </c>
      <c r="F4" s="81" t="s">
        <v>12</v>
      </c>
      <c r="G4" s="80">
        <f>G2*G3</f>
        <v>213910.32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-6.3624552182960592E-2</v>
      </c>
      <c r="F6" s="69" t="s">
        <v>16</v>
      </c>
      <c r="G6" s="68">
        <f>(I50-I19)/(D50-(SUM(D42:D44)+D19))</f>
        <v>31.551590778353024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25.2</v>
      </c>
      <c r="D10" s="30"/>
      <c r="E10" s="29" t="e">
        <f t="shared" ref="E10:E19" si="1">D10/$D$19</f>
        <v>#DIV/0!</v>
      </c>
      <c r="F10" s="28">
        <f t="shared" ref="F10:F18" si="2">C10-(C10*$E$6)</f>
        <v>26.803338715010607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26.2</v>
      </c>
      <c r="D11" s="30"/>
      <c r="E11" s="29" t="e">
        <f t="shared" si="1"/>
        <v>#DIV/0!</v>
      </c>
      <c r="F11" s="28">
        <f t="shared" si="2"/>
        <v>27.866963267193565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23.9</v>
      </c>
      <c r="D12" s="30"/>
      <c r="E12" s="29" t="e">
        <f t="shared" si="1"/>
        <v>#DIV/0!</v>
      </c>
      <c r="F12" s="28">
        <f t="shared" si="2"/>
        <v>25.420626797172758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26.2</v>
      </c>
      <c r="D13" s="30"/>
      <c r="E13" s="29" t="e">
        <f t="shared" si="1"/>
        <v>#DIV/0!</v>
      </c>
      <c r="F13" s="28">
        <f t="shared" si="2"/>
        <v>27.866963267193565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29.3</v>
      </c>
      <c r="D14" s="30"/>
      <c r="E14" s="29" t="e">
        <f t="shared" si="1"/>
        <v>#DIV/0!</v>
      </c>
      <c r="F14" s="28">
        <f t="shared" si="2"/>
        <v>31.164199378960745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 t="e">
        <f t="shared" si="1"/>
        <v>#DIV/0!</v>
      </c>
      <c r="F15" s="28">
        <f t="shared" si="2"/>
        <v>25.739714162827646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33.1</v>
      </c>
      <c r="D16" s="30"/>
      <c r="E16" s="29" t="e">
        <f t="shared" si="1"/>
        <v>#DIV/0!</v>
      </c>
      <c r="F16" s="28">
        <f t="shared" si="2"/>
        <v>35.205972677256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48.7</v>
      </c>
      <c r="D17" s="30"/>
      <c r="E17" s="29" t="e">
        <f t="shared" si="1"/>
        <v>#DIV/0!</v>
      </c>
      <c r="F17" s="28">
        <f t="shared" si="2"/>
        <v>51.798515691310186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42.6</v>
      </c>
      <c r="D18" s="30"/>
      <c r="E18" s="29" t="e">
        <f t="shared" si="1"/>
        <v>#DIV/0!</v>
      </c>
      <c r="F18" s="28">
        <f t="shared" si="2"/>
        <v>45.310405922994121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63.3</v>
      </c>
      <c r="D21" s="30">
        <v>117.7</v>
      </c>
      <c r="E21" s="29">
        <f>D21/$D$48</f>
        <v>1.3851621710681165E-2</v>
      </c>
      <c r="F21" s="28">
        <f>C21-(C21*$E$6)</f>
        <v>67.3274341531814</v>
      </c>
      <c r="G21" s="27" t="str">
        <f>IF(C21&gt;=F21,"-","+")</f>
        <v>+</v>
      </c>
      <c r="H21" s="26">
        <f>C21*D21</f>
        <v>7450.41</v>
      </c>
      <c r="I21" s="26">
        <f>F21*D21</f>
        <v>7924.4389998294509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42.5</v>
      </c>
      <c r="D22" s="30">
        <v>243</v>
      </c>
      <c r="E22" s="29">
        <f>D22/$D$48</f>
        <v>2.8597655698347688E-2</v>
      </c>
      <c r="F22" s="28">
        <f>C22-(C22*$E$6)</f>
        <v>45.204043467775826</v>
      </c>
      <c r="G22" s="27" t="str">
        <f>IF(C22&gt;=F22,"-","+")</f>
        <v>+</v>
      </c>
      <c r="H22" s="26">
        <f>C22*D22</f>
        <v>10327.5</v>
      </c>
      <c r="I22" s="26">
        <f>F22*D22</f>
        <v>10984.582562669526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38.700000000000003</v>
      </c>
      <c r="D23" s="30">
        <v>196</v>
      </c>
      <c r="E23" s="29">
        <f>D23/$D$48</f>
        <v>2.3066421880148753E-2</v>
      </c>
      <c r="F23" s="28">
        <f>C23-(C23*$E$6)</f>
        <v>41.162270169480578</v>
      </c>
      <c r="G23" s="27" t="str">
        <f>IF(C23&gt;=F23,"-","+")</f>
        <v>+</v>
      </c>
      <c r="H23" s="26">
        <f>C23*D23</f>
        <v>7585.2000000000007</v>
      </c>
      <c r="I23" s="26">
        <f>F23*D23</f>
        <v>8067.8049532181931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45.559744925453565</v>
      </c>
      <c r="D24" s="22">
        <f>SUM(D21:D23)</f>
        <v>556.70000000000005</v>
      </c>
      <c r="E24" s="21">
        <f>D24/$D$48</f>
        <v>6.5515699289177609E-2</v>
      </c>
      <c r="F24" s="20">
        <f>I24/D24</f>
        <v>48.45846329390546</v>
      </c>
      <c r="G24" s="19">
        <f>F24/C24-1</f>
        <v>6.3624552182960592E-2</v>
      </c>
      <c r="H24" s="18">
        <f>SUM(H21:H23)</f>
        <v>25363.11</v>
      </c>
      <c r="I24" s="18">
        <f>SUM(I21:I23)</f>
        <v>26976.82651571717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33.799999999999997</v>
      </c>
      <c r="D26" s="30">
        <f>1397.5+242.5</f>
        <v>1640</v>
      </c>
      <c r="E26" s="29">
        <f t="shared" ref="E26:E32" si="7">D26/$D$48</f>
        <v>0.19300475450736712</v>
      </c>
      <c r="F26" s="28">
        <f t="shared" ref="F26:F31" si="8">C26-(C26*$E$6)</f>
        <v>35.950509863784063</v>
      </c>
      <c r="G26" s="27" t="str">
        <f t="shared" ref="G26:G31" si="9">IF(C26&gt;=F26,"-","+")</f>
        <v>+</v>
      </c>
      <c r="H26" s="26">
        <f t="shared" ref="H26:H31" si="10">C26*D26</f>
        <v>55431.999999999993</v>
      </c>
      <c r="I26" s="26">
        <f t="shared" ref="I26:I31" si="11">F26*D26</f>
        <v>58958.836176605866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30.1</v>
      </c>
      <c r="D27" s="30">
        <v>1308.3</v>
      </c>
      <c r="E27" s="29">
        <f t="shared" si="7"/>
        <v>0.15396836604999292</v>
      </c>
      <c r="F27" s="28">
        <f t="shared" si="8"/>
        <v>32.015099020707112</v>
      </c>
      <c r="G27" s="27" t="str">
        <f t="shared" si="9"/>
        <v>+</v>
      </c>
      <c r="H27" s="26">
        <f t="shared" si="10"/>
        <v>39379.83</v>
      </c>
      <c r="I27" s="26">
        <f t="shared" si="11"/>
        <v>41885.354048791116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30.1</v>
      </c>
      <c r="D28" s="30">
        <v>642.29999999999995</v>
      </c>
      <c r="E28" s="29">
        <f t="shared" si="7"/>
        <v>7.5589605987854816E-2</v>
      </c>
      <c r="F28" s="28">
        <f t="shared" si="8"/>
        <v>32.015099020707112</v>
      </c>
      <c r="G28" s="27" t="str">
        <f t="shared" si="9"/>
        <v>+</v>
      </c>
      <c r="H28" s="26">
        <f t="shared" si="10"/>
        <v>19333.23</v>
      </c>
      <c r="I28" s="26">
        <f t="shared" si="11"/>
        <v>20563.298101000175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29.1</v>
      </c>
      <c r="D29" s="30">
        <v>599</v>
      </c>
      <c r="E29" s="29">
        <f t="shared" si="7"/>
        <v>7.0493809725556647E-2</v>
      </c>
      <c r="F29" s="28">
        <f t="shared" si="8"/>
        <v>30.951474468524154</v>
      </c>
      <c r="G29" s="27" t="str">
        <f t="shared" si="9"/>
        <v>+</v>
      </c>
      <c r="H29" s="26">
        <f t="shared" si="10"/>
        <v>17430.900000000001</v>
      </c>
      <c r="I29" s="26">
        <f t="shared" si="11"/>
        <v>18539.933206645968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29.1</v>
      </c>
      <c r="D30" s="30">
        <v>495.5</v>
      </c>
      <c r="E30" s="29">
        <f t="shared" si="7"/>
        <v>5.831332674292708E-2</v>
      </c>
      <c r="F30" s="28">
        <f t="shared" si="8"/>
        <v>30.951474468524154</v>
      </c>
      <c r="G30" s="27" t="str">
        <f t="shared" si="9"/>
        <v>+</v>
      </c>
      <c r="H30" s="26">
        <f t="shared" si="10"/>
        <v>14419.050000000001</v>
      </c>
      <c r="I30" s="26">
        <f t="shared" si="11"/>
        <v>15336.455599153718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29.6</v>
      </c>
      <c r="D31" s="30">
        <v>178.3</v>
      </c>
      <c r="E31" s="29">
        <f t="shared" si="7"/>
        <v>2.0983382761380218E-2</v>
      </c>
      <c r="F31" s="28">
        <f t="shared" si="8"/>
        <v>31.483286744615636</v>
      </c>
      <c r="G31" s="27" t="str">
        <f t="shared" si="9"/>
        <v>+</v>
      </c>
      <c r="H31" s="26">
        <f t="shared" si="10"/>
        <v>5277.68</v>
      </c>
      <c r="I31" s="26">
        <f t="shared" si="11"/>
        <v>5613.4700265649681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31.104307685980991</v>
      </c>
      <c r="D32" s="22">
        <f>SUM(D26:D31)</f>
        <v>4863.4000000000005</v>
      </c>
      <c r="E32" s="21">
        <f t="shared" si="7"/>
        <v>0.57235324577507884</v>
      </c>
      <c r="F32" s="20">
        <f>I32/D32</f>
        <v>33.083305333462548</v>
      </c>
      <c r="G32" s="19">
        <f>F32/C32-1</f>
        <v>6.362455218296037E-2</v>
      </c>
      <c r="H32" s="18">
        <f>SUM(H26:H31)</f>
        <v>151272.68999999997</v>
      </c>
      <c r="I32" s="18">
        <f>SUM(I26:I31)</f>
        <v>160897.34715876178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616+643.8</f>
        <v>1259.8</v>
      </c>
      <c r="E34" s="29">
        <f t="shared" ref="E34:E40" si="13">D34/$D$48</f>
        <v>0.14826060349291528</v>
      </c>
      <c r="F34" s="28">
        <f t="shared" ref="F34:F39" si="14">C34-(C34*$E$6)</f>
        <v>18.932517028856701</v>
      </c>
      <c r="G34" s="27" t="str">
        <f t="shared" ref="G34:G39" si="15">IF(C34&gt;=F34,"-","+")</f>
        <v>+</v>
      </c>
      <c r="H34" s="26">
        <f t="shared" ref="H34:H39" si="16">C34*D34</f>
        <v>22424.44</v>
      </c>
      <c r="I34" s="26">
        <f t="shared" ref="I34:I39" si="17">F34*D34</f>
        <v>23851.18495295367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99.8</v>
      </c>
      <c r="E35" s="29">
        <f t="shared" si="13"/>
        <v>1.1745045426728804E-2</v>
      </c>
      <c r="F35" s="28">
        <f t="shared" si="14"/>
        <v>14.571656364906559</v>
      </c>
      <c r="G35" s="27" t="str">
        <f t="shared" si="15"/>
        <v>+</v>
      </c>
      <c r="H35" s="26">
        <f t="shared" si="16"/>
        <v>1367.26</v>
      </c>
      <c r="I35" s="26">
        <f t="shared" si="17"/>
        <v>1454.2513052176746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11.699870074012566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29.1</v>
      </c>
      <c r="D37" s="30"/>
      <c r="E37" s="29">
        <f t="shared" si="13"/>
        <v>0</v>
      </c>
      <c r="F37" s="28">
        <f t="shared" si="14"/>
        <v>30.951474468524154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29.1</v>
      </c>
      <c r="D38" s="30"/>
      <c r="E38" s="29">
        <f t="shared" si="13"/>
        <v>0</v>
      </c>
      <c r="F38" s="28">
        <f t="shared" si="14"/>
        <v>30.951474468524154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30.1</v>
      </c>
      <c r="D39" s="30"/>
      <c r="E39" s="29">
        <f t="shared" si="13"/>
        <v>0</v>
      </c>
      <c r="F39" s="28">
        <f t="shared" si="14"/>
        <v>32.015099020707112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17.499043836422477</v>
      </c>
      <c r="D40" s="22">
        <f>SUM(D34:D39)</f>
        <v>1359.6</v>
      </c>
      <c r="E40" s="113">
        <f t="shared" si="13"/>
        <v>0.16000564891964408</v>
      </c>
      <c r="F40" s="20">
        <f>I40/D40</f>
        <v>18.612412664144856</v>
      </c>
      <c r="G40" s="19">
        <f>F40/C40-1</f>
        <v>6.3624552182960814E-2</v>
      </c>
      <c r="H40" s="18">
        <f>SUM(H34:H39)</f>
        <v>23791.699999999997</v>
      </c>
      <c r="I40" s="18">
        <f>SUM(I34:I39)</f>
        <v>25305.436258171343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763+101.3+801.5</f>
        <v>1665.8</v>
      </c>
      <c r="E42" s="107">
        <f>D42/$D$48</f>
        <v>0.19604104881608056</v>
      </c>
      <c r="F42" s="28">
        <f>C42-(C42*$E$6)</f>
        <v>0.42544982087318428</v>
      </c>
      <c r="G42" s="27" t="str">
        <f>IF(C42&gt;=F42,"-","+")</f>
        <v>+</v>
      </c>
      <c r="H42" s="26">
        <f>C42*D42</f>
        <v>666.32</v>
      </c>
      <c r="I42" s="26">
        <f>F42*D42</f>
        <v>708.71431161055034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51.7</v>
      </c>
      <c r="E43" s="107">
        <f>D43/$D$48</f>
        <v>6.0843572000188299E-3</v>
      </c>
      <c r="F43" s="28">
        <f>C43-(C43*$E$6)</f>
        <v>0.42544982087318428</v>
      </c>
      <c r="G43" s="27" t="str">
        <f>IF(C43&gt;=F43,"-","+")</f>
        <v>+</v>
      </c>
      <c r="H43" s="26">
        <f>C43*D43</f>
        <v>20.680000000000003</v>
      </c>
      <c r="I43" s="26">
        <f>F43*D43</f>
        <v>21.995755739143629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/>
      <c r="E45" s="107">
        <f>D45/$D$48</f>
        <v>0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</v>
      </c>
      <c r="D46" s="22">
        <f>SUM(D41:D45)</f>
        <v>1717.5</v>
      </c>
      <c r="E46" s="113">
        <f>D46/$D$48</f>
        <v>0.20212540601609941</v>
      </c>
      <c r="F46" s="20">
        <f>I46/D46</f>
        <v>0.42544982087318428</v>
      </c>
      <c r="G46" s="19">
        <f>F46/C46-1</f>
        <v>6.3624552182960592E-2</v>
      </c>
      <c r="H46" s="18">
        <f>SUM(H41:H44)</f>
        <v>687</v>
      </c>
      <c r="I46" s="18">
        <f>SUM(I41:I44)</f>
        <v>730.71006734969399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94.563096447857035</v>
      </c>
      <c r="D48" s="13">
        <f>D24+D32+D40+D46</f>
        <v>8497.2000000000007</v>
      </c>
      <c r="E48" s="12">
        <f>SUM(E20:E46)/2</f>
        <v>1</v>
      </c>
      <c r="F48" s="11">
        <f>I48/D48</f>
        <v>25.174212681824599</v>
      </c>
      <c r="G48" s="10"/>
      <c r="H48" s="9">
        <f>SUM(H20:H46)/2</f>
        <v>201114.5</v>
      </c>
      <c r="I48" s="9">
        <f>SUM(I20:I46)/2</f>
        <v>213910.32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8497.2000000000007</v>
      </c>
      <c r="E50" s="12">
        <f>D50/G2</f>
        <v>0.99943542695836285</v>
      </c>
      <c r="F50" s="11">
        <f>I50/D50</f>
        <v>25.174212681824599</v>
      </c>
      <c r="G50" s="10"/>
      <c r="H50" s="9">
        <f>H48+H19</f>
        <v>201114.5</v>
      </c>
      <c r="I50" s="9">
        <f>I48+I19</f>
        <v>213910.32</v>
      </c>
      <c r="J50" s="106">
        <f>D50-G2</f>
        <v>-4.7999999999992724</v>
      </c>
      <c r="K50" s="8"/>
    </row>
    <row r="51" spans="1:11" ht="23.25" x14ac:dyDescent="0.35">
      <c r="A51" s="174" t="s">
        <v>900</v>
      </c>
      <c r="B51" s="169"/>
      <c r="C51" s="170"/>
      <c r="G51" s="7"/>
      <c r="H51" s="6"/>
      <c r="I51" s="6">
        <f>+I50/D50</f>
        <v>25.174212681824599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896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901</v>
      </c>
      <c r="D2" s="96" t="s">
        <v>3</v>
      </c>
      <c r="E2" s="95" t="s">
        <v>71</v>
      </c>
      <c r="F2" s="94" t="s">
        <v>5</v>
      </c>
      <c r="G2" s="93">
        <v>5093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64</v>
      </c>
      <c r="F3" s="88" t="s">
        <v>8</v>
      </c>
      <c r="G3" s="87">
        <v>28.4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79.578125</v>
      </c>
      <c r="F4" s="81" t="s">
        <v>12</v>
      </c>
      <c r="G4" s="80">
        <f>G2*G3</f>
        <v>144641.19999999998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-3.7225204650206845E-2</v>
      </c>
      <c r="F6" s="69" t="s">
        <v>16</v>
      </c>
      <c r="G6" s="68">
        <f>(I50-I19)/(D50-(SUM(D42:D44)+D19))</f>
        <v>34.625951738900866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>
        <f t="shared" ref="E10:E19" si="1">D10/$D$19</f>
        <v>0</v>
      </c>
      <c r="F10" s="28">
        <f t="shared" ref="F10:F18" si="2">C10-(C10*$E$6)</f>
        <v>29.457195812065873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/>
      <c r="E11" s="29">
        <f t="shared" si="1"/>
        <v>0</v>
      </c>
      <c r="F11" s="28">
        <f t="shared" si="2"/>
        <v>30.701866057646125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/>
      <c r="E12" s="29">
        <f t="shared" si="1"/>
        <v>0</v>
      </c>
      <c r="F12" s="28">
        <f t="shared" si="2"/>
        <v>28.005080525555584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/>
      <c r="E13" s="29">
        <f t="shared" si="1"/>
        <v>0</v>
      </c>
      <c r="F13" s="28">
        <f t="shared" si="2"/>
        <v>30.701866057646125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>
        <v>159.30000000000001</v>
      </c>
      <c r="E14" s="29">
        <f t="shared" si="1"/>
        <v>1</v>
      </c>
      <c r="F14" s="28">
        <f t="shared" si="2"/>
        <v>34.332154273921844</v>
      </c>
      <c r="G14" s="27" t="str">
        <f t="shared" si="3"/>
        <v>+</v>
      </c>
      <c r="H14" s="34">
        <f t="shared" si="4"/>
        <v>5272.8300000000008</v>
      </c>
      <c r="I14" s="34">
        <f t="shared" si="5"/>
        <v>5469.1121758357503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/>
      <c r="E15" s="29">
        <f t="shared" si="1"/>
        <v>0</v>
      </c>
      <c r="F15" s="28">
        <f t="shared" si="2"/>
        <v>28.316248086950647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>
        <f t="shared" si="1"/>
        <v>0</v>
      </c>
      <c r="F16" s="28">
        <f t="shared" si="2"/>
        <v>38.688500133452713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54.9</v>
      </c>
      <c r="D17" s="30"/>
      <c r="E17" s="29">
        <f t="shared" si="1"/>
        <v>0</v>
      </c>
      <c r="F17" s="28">
        <f t="shared" si="2"/>
        <v>56.943663735296354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48.1</v>
      </c>
      <c r="D18" s="30"/>
      <c r="E18" s="29">
        <f t="shared" si="1"/>
        <v>0</v>
      </c>
      <c r="F18" s="28">
        <f t="shared" si="2"/>
        <v>49.890532343674948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33.1</v>
      </c>
      <c r="D19" s="49">
        <f>SUM(D10:D18)</f>
        <v>159.30000000000001</v>
      </c>
      <c r="E19" s="48">
        <f t="shared" si="1"/>
        <v>1</v>
      </c>
      <c r="F19" s="47">
        <f>I19/D19</f>
        <v>34.332154273921844</v>
      </c>
      <c r="G19" s="46">
        <f>F19/C19-1</f>
        <v>3.7225204650206845E-2</v>
      </c>
      <c r="H19" s="9">
        <f>SUM(H10:H18)</f>
        <v>5272.8300000000008</v>
      </c>
      <c r="I19" s="9">
        <f>SUM(I10:I18)</f>
        <v>5469.1121758357503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71.400000000000006</v>
      </c>
      <c r="D21" s="30">
        <v>65.3</v>
      </c>
      <c r="E21" s="29">
        <f>D21/$D$48</f>
        <v>1.3235502766686259E-2</v>
      </c>
      <c r="F21" s="28">
        <f>C21-(C21*$E$6)</f>
        <v>74.057879612024777</v>
      </c>
      <c r="G21" s="27" t="str">
        <f>IF(C21&gt;=F21,"-","+")</f>
        <v>+</v>
      </c>
      <c r="H21" s="26">
        <f>C21*D21</f>
        <v>4662.42</v>
      </c>
      <c r="I21" s="26">
        <f>F21*D21</f>
        <v>4835.9795386652177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</v>
      </c>
      <c r="D22" s="30">
        <v>160</v>
      </c>
      <c r="E22" s="29">
        <f>D22/$D$48</f>
        <v>3.2430022092952551E-2</v>
      </c>
      <c r="F22" s="28">
        <f>C22-(C22*$E$6)</f>
        <v>49.786809823209929</v>
      </c>
      <c r="G22" s="27" t="str">
        <f>IF(C22&gt;=F22,"-","+")</f>
        <v>+</v>
      </c>
      <c r="H22" s="26">
        <f>C22*D22</f>
        <v>7680</v>
      </c>
      <c r="I22" s="26">
        <f>F22*D22</f>
        <v>7965.8895717135883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112</v>
      </c>
      <c r="E23" s="29">
        <f>D23/$D$48</f>
        <v>2.2701015465066785E-2</v>
      </c>
      <c r="F23" s="28">
        <f>C23-(C23*$E$6)</f>
        <v>45.32674144321404</v>
      </c>
      <c r="G23" s="27" t="str">
        <f>IF(C23&gt;=F23,"-","+")</f>
        <v>+</v>
      </c>
      <c r="H23" s="26">
        <f>C23*D23</f>
        <v>4894.4000000000005</v>
      </c>
      <c r="I23" s="26">
        <f>F23*D23</f>
        <v>5076.5950416399728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51.102342128668838</v>
      </c>
      <c r="D24" s="22">
        <f>SUM(D21:D23)</f>
        <v>337.3</v>
      </c>
      <c r="E24" s="21">
        <f>D24/$D$48</f>
        <v>6.8366540324705599E-2</v>
      </c>
      <c r="F24" s="20">
        <f>I24/D24</f>
        <v>53.004637272513428</v>
      </c>
      <c r="G24" s="19">
        <f>F24/C24-1</f>
        <v>3.7225204650207067E-2</v>
      </c>
      <c r="H24" s="18">
        <f>SUM(H21:H23)</f>
        <v>17236.82</v>
      </c>
      <c r="I24" s="18">
        <f>SUM(I21:I23)</f>
        <v>17878.46415201878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38.1</v>
      </c>
      <c r="D26" s="30">
        <f>251+59+588</f>
        <v>898</v>
      </c>
      <c r="E26" s="29">
        <f t="shared" ref="E26:E32" si="7">D26/$D$48</f>
        <v>0.18201349899669619</v>
      </c>
      <c r="F26" s="28">
        <f t="shared" ref="F26:F31" si="8">C26-(C26*$E$6)</f>
        <v>39.518280297172879</v>
      </c>
      <c r="G26" s="27" t="str">
        <f t="shared" ref="G26:G31" si="9">IF(C26&gt;=F26,"-","+")</f>
        <v>+</v>
      </c>
      <c r="H26" s="26">
        <f t="shared" ref="H26:H31" si="10">C26*D26</f>
        <v>34213.800000000003</v>
      </c>
      <c r="I26" s="26">
        <f t="shared" ref="I26:I31" si="11">F26*D26</f>
        <v>35487.415706861248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796.3</v>
      </c>
      <c r="E27" s="29">
        <f t="shared" si="7"/>
        <v>0.16140016620386322</v>
      </c>
      <c r="F27" s="28">
        <f t="shared" si="8"/>
        <v>35.16193443764201</v>
      </c>
      <c r="G27" s="27" t="str">
        <f t="shared" si="9"/>
        <v>+</v>
      </c>
      <c r="H27" s="26">
        <f t="shared" si="10"/>
        <v>26994.569999999996</v>
      </c>
      <c r="I27" s="26">
        <f t="shared" si="11"/>
        <v>27999.448392694332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430.8</v>
      </c>
      <c r="E28" s="29">
        <f t="shared" si="7"/>
        <v>8.7317834485274748E-2</v>
      </c>
      <c r="F28" s="28">
        <f t="shared" si="8"/>
        <v>35.16193443764201</v>
      </c>
      <c r="G28" s="27" t="str">
        <f t="shared" si="9"/>
        <v>+</v>
      </c>
      <c r="H28" s="26">
        <f t="shared" si="10"/>
        <v>14604.119999999999</v>
      </c>
      <c r="I28" s="26">
        <f t="shared" si="11"/>
        <v>15147.761355736178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32.799999999999997</v>
      </c>
      <c r="D29" s="30">
        <v>406.3</v>
      </c>
      <c r="E29" s="29">
        <f t="shared" si="7"/>
        <v>8.2351987352291392E-2</v>
      </c>
      <c r="F29" s="28">
        <f t="shared" si="8"/>
        <v>34.020986712526785</v>
      </c>
      <c r="G29" s="27" t="str">
        <f t="shared" si="9"/>
        <v>+</v>
      </c>
      <c r="H29" s="26">
        <f t="shared" si="10"/>
        <v>13326.64</v>
      </c>
      <c r="I29" s="26">
        <f t="shared" si="11"/>
        <v>13822.726901299633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32.799999999999997</v>
      </c>
      <c r="D30" s="30">
        <v>290</v>
      </c>
      <c r="E30" s="29">
        <f t="shared" si="7"/>
        <v>5.8779415043476502E-2</v>
      </c>
      <c r="F30" s="28">
        <f t="shared" si="8"/>
        <v>34.020986712526785</v>
      </c>
      <c r="G30" s="27" t="str">
        <f t="shared" si="9"/>
        <v>+</v>
      </c>
      <c r="H30" s="26">
        <f t="shared" si="10"/>
        <v>9512</v>
      </c>
      <c r="I30" s="26">
        <f t="shared" si="11"/>
        <v>9866.0861466327678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50.6</v>
      </c>
      <c r="E31" s="29">
        <f t="shared" si="7"/>
        <v>1.0255994486896245E-2</v>
      </c>
      <c r="F31" s="28">
        <f t="shared" si="8"/>
        <v>34.643321835316904</v>
      </c>
      <c r="G31" s="27" t="str">
        <f t="shared" si="9"/>
        <v>+</v>
      </c>
      <c r="H31" s="26">
        <f t="shared" si="10"/>
        <v>1690.04</v>
      </c>
      <c r="I31" s="26">
        <f t="shared" si="11"/>
        <v>1752.9520848670354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34.93773328690807</v>
      </c>
      <c r="D32" s="22">
        <f>SUM(D26:D31)</f>
        <v>2872</v>
      </c>
      <c r="E32" s="21">
        <f t="shared" si="7"/>
        <v>0.58211889656849836</v>
      </c>
      <c r="F32" s="20">
        <f>I32/D32</f>
        <v>36.23829755852757</v>
      </c>
      <c r="G32" s="19">
        <f>F32/C32-1</f>
        <v>3.7225204650206845E-2</v>
      </c>
      <c r="H32" s="18">
        <f>SUM(H26:H31)</f>
        <v>100341.16999999998</v>
      </c>
      <c r="I32" s="18">
        <f>SUM(I26:I31)</f>
        <v>104076.39058809118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803.2</v>
      </c>
      <c r="E34" s="29">
        <f t="shared" ref="E34:E40" si="13">D34/$D$48</f>
        <v>0.16279871090662182</v>
      </c>
      <c r="F34" s="28">
        <f t="shared" ref="F34:F39" si="14">C34-(C34*$E$6)</f>
        <v>20.848226613469159</v>
      </c>
      <c r="G34" s="27" t="str">
        <f t="shared" ref="G34:G39" si="15">IF(C34&gt;=F34,"-","+")</f>
        <v>+</v>
      </c>
      <c r="H34" s="26">
        <f t="shared" ref="H34:H39" si="16">C34*D34</f>
        <v>16144.320000000002</v>
      </c>
      <c r="I34" s="26">
        <f t="shared" ref="I34:I39" si="17">F34*D34</f>
        <v>16745.29561593843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15.973268151613185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12.861592537662565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32.799999999999997</v>
      </c>
      <c r="D37" s="30"/>
      <c r="E37" s="29">
        <f t="shared" si="13"/>
        <v>0</v>
      </c>
      <c r="F37" s="28">
        <f t="shared" si="14"/>
        <v>34.020986712526785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32.799999999999997</v>
      </c>
      <c r="D38" s="30"/>
      <c r="E38" s="29">
        <f t="shared" si="13"/>
        <v>0</v>
      </c>
      <c r="F38" s="28">
        <f t="shared" si="14"/>
        <v>34.020986712526785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35.16193443764201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803.2</v>
      </c>
      <c r="E40" s="113">
        <f t="shared" si="13"/>
        <v>0.16279871090662182</v>
      </c>
      <c r="F40" s="20">
        <f>I40/D40</f>
        <v>20.848226613469159</v>
      </c>
      <c r="G40" s="19">
        <f>F40/C40-1</f>
        <v>3.7225204650206845E-2</v>
      </c>
      <c r="H40" s="18">
        <f>SUM(H34:H39)</f>
        <v>16144.320000000002</v>
      </c>
      <c r="I40" s="18">
        <f>SUM(I34:I39)</f>
        <v>16745.29561593843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895</v>
      </c>
      <c r="E42" s="107">
        <f>D42/$D$48</f>
        <v>0.18140543608245333</v>
      </c>
      <c r="F42" s="28">
        <f>C42-(C42*$E$6)</f>
        <v>0.51861260232510342</v>
      </c>
      <c r="G42" s="27" t="str">
        <f>IF(C42&gt;=F42,"-","+")</f>
        <v>+</v>
      </c>
      <c r="H42" s="26">
        <f>C42*D42</f>
        <v>447.5</v>
      </c>
      <c r="I42" s="26">
        <f>F42*D42</f>
        <v>464.15827908096759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15</v>
      </c>
      <c r="E43" s="107">
        <f>D43/$D$48</f>
        <v>3.0403145712143017E-3</v>
      </c>
      <c r="F43" s="28">
        <f>C43-(C43*$E$6)</f>
        <v>0.51861260232510342</v>
      </c>
      <c r="G43" s="27" t="str">
        <f>IF(C43&gt;=F43,"-","+")</f>
        <v>+</v>
      </c>
      <c r="H43" s="26">
        <f>C43*D43</f>
        <v>7.5</v>
      </c>
      <c r="I43" s="26">
        <f>F43*D43</f>
        <v>7.7791890348765511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4.4000000000000004</v>
      </c>
      <c r="E44" s="107">
        <f>D44/$D$48</f>
        <v>8.918256075561953E-4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6.8</v>
      </c>
      <c r="E45" s="107">
        <f>D45/$D$48</f>
        <v>1.3782759389504833E-3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0.49392097264437695</v>
      </c>
      <c r="D46" s="22">
        <f>SUM(D41:D45)</f>
        <v>921.19999999999993</v>
      </c>
      <c r="E46" s="113">
        <f>D46/$D$48</f>
        <v>0.18671585220017431</v>
      </c>
      <c r="F46" s="20">
        <f>I46/D46</f>
        <v>0.51230728193209307</v>
      </c>
      <c r="G46" s="19">
        <f>F46/C46-1</f>
        <v>3.7225204650206845E-2</v>
      </c>
      <c r="H46" s="18">
        <f>SUM(H41:H44)</f>
        <v>455</v>
      </c>
      <c r="I46" s="18">
        <f>SUM(I41:I44)</f>
        <v>471.93746811584413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106.63399638822129</v>
      </c>
      <c r="D48" s="13">
        <f>D24+D32+D40+D46</f>
        <v>4933.7</v>
      </c>
      <c r="E48" s="12">
        <f>SUM(E20:E46)/2</f>
        <v>1.0000000000000002</v>
      </c>
      <c r="F48" s="11">
        <f>I48/D48</f>
        <v>28.208461767874873</v>
      </c>
      <c r="G48" s="10"/>
      <c r="H48" s="9">
        <f>SUM(H20:H46)/2</f>
        <v>134177.31</v>
      </c>
      <c r="I48" s="9">
        <f>SUM(I20:I46)/2</f>
        <v>139172.08782416425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5093</v>
      </c>
      <c r="E50" s="12">
        <f>D50/G2</f>
        <v>1</v>
      </c>
      <c r="F50" s="11">
        <f>I50/D50</f>
        <v>28.400000000000002</v>
      </c>
      <c r="G50" s="10"/>
      <c r="H50" s="9">
        <f>H48+H19</f>
        <v>139450.13999999998</v>
      </c>
      <c r="I50" s="9">
        <f>I48+I19</f>
        <v>144641.20000000001</v>
      </c>
      <c r="J50" s="106">
        <f>D50-G2</f>
        <v>0</v>
      </c>
      <c r="K50" s="8"/>
    </row>
    <row r="51" spans="1:11" ht="23.25" x14ac:dyDescent="0.35">
      <c r="A51" s="174" t="s">
        <v>902</v>
      </c>
      <c r="B51" s="169"/>
      <c r="C51" s="170"/>
      <c r="G51" s="7"/>
      <c r="H51" s="6"/>
      <c r="I51" s="6">
        <f>+I50/D50</f>
        <v>28.400000000000002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>
    <tabColor rgb="FF92D050"/>
  </sheetPr>
  <dimension ref="A1:K56"/>
  <sheetViews>
    <sheetView topLeftCell="A3"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888</v>
      </c>
      <c r="D1" s="100" t="s">
        <v>1</v>
      </c>
      <c r="E1" s="168" t="s">
        <v>193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896</v>
      </c>
      <c r="D2" s="96" t="s">
        <v>3</v>
      </c>
      <c r="E2" s="95" t="s">
        <v>112</v>
      </c>
      <c r="F2" s="94" t="s">
        <v>5</v>
      </c>
      <c r="G2" s="116">
        <v>4032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903</v>
      </c>
      <c r="D3" s="90" t="s">
        <v>7</v>
      </c>
      <c r="E3" s="89">
        <v>60</v>
      </c>
      <c r="F3" s="88" t="s">
        <v>8</v>
      </c>
      <c r="G3" s="120">
        <v>25.58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67.2</v>
      </c>
      <c r="F4" s="81" t="s">
        <v>12</v>
      </c>
      <c r="G4" s="80">
        <f>G2*G3</f>
        <v>103138.56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-0.10934659605786012</v>
      </c>
      <c r="F6" s="69" t="s">
        <v>16</v>
      </c>
      <c r="G6" s="68">
        <f>(I50-I19)/(D50-(SUM(D42:D44)+D19))</f>
        <v>33.343644122591499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25.6</v>
      </c>
      <c r="D10" s="30"/>
      <c r="E10" s="29" t="e">
        <f t="shared" ref="E10:E19" si="1">D10/$D$19</f>
        <v>#DIV/0!</v>
      </c>
      <c r="F10" s="28">
        <f t="shared" ref="F10:F18" si="2">C10-(C10*$E$6)</f>
        <v>28.399272859081222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26.6</v>
      </c>
      <c r="D11" s="30"/>
      <c r="E11" s="29" t="e">
        <f t="shared" si="1"/>
        <v>#DIV/0!</v>
      </c>
      <c r="F11" s="28">
        <f t="shared" si="2"/>
        <v>29.50861945513908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24.3</v>
      </c>
      <c r="D12" s="30"/>
      <c r="E12" s="29" t="e">
        <f t="shared" si="1"/>
        <v>#DIV/0!</v>
      </c>
      <c r="F12" s="28">
        <f t="shared" si="2"/>
        <v>26.957122284206001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26.6</v>
      </c>
      <c r="D13" s="30"/>
      <c r="E13" s="29" t="e">
        <f t="shared" si="1"/>
        <v>#DIV/0!</v>
      </c>
      <c r="F13" s="28">
        <f t="shared" si="2"/>
        <v>29.50861945513908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29.8</v>
      </c>
      <c r="D14" s="30"/>
      <c r="E14" s="29" t="e">
        <f t="shared" si="1"/>
        <v>#DIV/0!</v>
      </c>
      <c r="F14" s="28">
        <f t="shared" si="2"/>
        <v>33.058528562524231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24.6</v>
      </c>
      <c r="D15" s="30"/>
      <c r="E15" s="29" t="e">
        <f t="shared" si="1"/>
        <v>#DIV/0!</v>
      </c>
      <c r="F15" s="28">
        <f t="shared" si="2"/>
        <v>27.289926263023361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33.6</v>
      </c>
      <c r="D16" s="30"/>
      <c r="E16" s="29" t="e">
        <f t="shared" si="1"/>
        <v>#DIV/0!</v>
      </c>
      <c r="F16" s="28">
        <f t="shared" si="2"/>
        <v>37.274045627544105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49.5</v>
      </c>
      <c r="D17" s="30"/>
      <c r="E17" s="29" t="e">
        <f t="shared" si="1"/>
        <v>#DIV/0!</v>
      </c>
      <c r="F17" s="28">
        <f t="shared" si="2"/>
        <v>54.912656504864074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43.3</v>
      </c>
      <c r="D18" s="30"/>
      <c r="E18" s="29" t="e">
        <f t="shared" si="1"/>
        <v>#DIV/0!</v>
      </c>
      <c r="F18" s="28">
        <f t="shared" si="2"/>
        <v>48.034707609305343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64.3</v>
      </c>
      <c r="D21" s="30">
        <v>51.2</v>
      </c>
      <c r="E21" s="29">
        <f>D21/$D$48</f>
        <v>1.2698412698412702E-2</v>
      </c>
      <c r="F21" s="28">
        <f>C21-(C21*$E$6)</f>
        <v>71.330986126520401</v>
      </c>
      <c r="G21" s="27" t="str">
        <f>IF(C21&gt;=F21,"-","+")</f>
        <v>+</v>
      </c>
      <c r="H21" s="26">
        <f>C21*D21</f>
        <v>3292.16</v>
      </c>
      <c r="I21" s="26">
        <f>F21*D21</f>
        <v>3652.1464896778448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43.2</v>
      </c>
      <c r="D22" s="30">
        <v>113.3</v>
      </c>
      <c r="E22" s="29">
        <f>D22/$D$48</f>
        <v>2.8100198412698417E-2</v>
      </c>
      <c r="F22" s="28">
        <f>C22-(C22*$E$6)</f>
        <v>47.923772949699561</v>
      </c>
      <c r="G22" s="27" t="str">
        <f>IF(C22&gt;=F22,"-","+")</f>
        <v>+</v>
      </c>
      <c r="H22" s="26">
        <f>C22*D22</f>
        <v>4894.5600000000004</v>
      </c>
      <c r="I22" s="26">
        <f>F22*D22</f>
        <v>5429.7634752009599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39.4</v>
      </c>
      <c r="D23" s="30">
        <v>84.2</v>
      </c>
      <c r="E23" s="29">
        <f>D23/$D$48</f>
        <v>2.0882936507936514E-2</v>
      </c>
      <c r="F23" s="28">
        <f>C23-(C23*$E$6)</f>
        <v>43.708255884679687</v>
      </c>
      <c r="G23" s="27" t="str">
        <f>IF(C23&gt;=F23,"-","+")</f>
        <v>+</v>
      </c>
      <c r="H23" s="26">
        <f>C23*D23</f>
        <v>3317.48</v>
      </c>
      <c r="I23" s="26">
        <f>F23*D23</f>
        <v>3680.2351454900299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46.257338158423806</v>
      </c>
      <c r="D24" s="22">
        <f>SUM(D21:D23)</f>
        <v>248.7</v>
      </c>
      <c r="E24" s="21">
        <f>D24/$D$48</f>
        <v>6.1681547619047629E-2</v>
      </c>
      <c r="F24" s="20">
        <f>I24/D24</f>
        <v>51.31542062874481</v>
      </c>
      <c r="G24" s="19">
        <f>F24/C24-1</f>
        <v>0.10934659605786012</v>
      </c>
      <c r="H24" s="18">
        <f>SUM(H21:H23)</f>
        <v>11504.2</v>
      </c>
      <c r="I24" s="18">
        <f>SUM(I21:I23)</f>
        <v>12762.145110368834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34.299999999999997</v>
      </c>
      <c r="D26" s="30">
        <f>559+130</f>
        <v>689</v>
      </c>
      <c r="E26" s="29">
        <f t="shared" ref="E26:E32" si="7">D26/$D$48</f>
        <v>0.17088293650793654</v>
      </c>
      <c r="F26" s="28">
        <f t="shared" ref="F26:F31" si="8">C26-(C26*$E$6)</f>
        <v>38.050588244784599</v>
      </c>
      <c r="G26" s="27" t="str">
        <f t="shared" ref="G26:G31" si="9">IF(C26&gt;=F26,"-","+")</f>
        <v>+</v>
      </c>
      <c r="H26" s="26">
        <f t="shared" ref="H26:H31" si="10">C26*D26</f>
        <v>23632.699999999997</v>
      </c>
      <c r="I26" s="26">
        <f t="shared" ref="I26:I31" si="11">F26*D26</f>
        <v>26216.855300656589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30.6</v>
      </c>
      <c r="D27" s="30">
        <v>599</v>
      </c>
      <c r="E27" s="29">
        <f t="shared" si="7"/>
        <v>0.14856150793650796</v>
      </c>
      <c r="F27" s="28">
        <f t="shared" si="8"/>
        <v>33.946005839370521</v>
      </c>
      <c r="G27" s="27" t="str">
        <f t="shared" si="9"/>
        <v>+</v>
      </c>
      <c r="H27" s="26">
        <f t="shared" si="10"/>
        <v>18329.400000000001</v>
      </c>
      <c r="I27" s="26">
        <f t="shared" si="11"/>
        <v>20333.65749778294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30.6</v>
      </c>
      <c r="D28" s="30">
        <v>325.60000000000002</v>
      </c>
      <c r="E28" s="29">
        <f t="shared" si="7"/>
        <v>8.0753968253968272E-2</v>
      </c>
      <c r="F28" s="28">
        <f t="shared" si="8"/>
        <v>33.946005839370521</v>
      </c>
      <c r="G28" s="27" t="str">
        <f t="shared" si="9"/>
        <v>+</v>
      </c>
      <c r="H28" s="26">
        <f t="shared" si="10"/>
        <v>9963.36</v>
      </c>
      <c r="I28" s="26">
        <f t="shared" si="11"/>
        <v>11052.819501299042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29.5</v>
      </c>
      <c r="D29" s="30">
        <v>332</v>
      </c>
      <c r="E29" s="29">
        <f t="shared" si="7"/>
        <v>8.2341269841269854E-2</v>
      </c>
      <c r="F29" s="28">
        <f t="shared" si="8"/>
        <v>32.725724583706871</v>
      </c>
      <c r="G29" s="27" t="str">
        <f t="shared" si="9"/>
        <v>+</v>
      </c>
      <c r="H29" s="26">
        <f t="shared" si="10"/>
        <v>9794</v>
      </c>
      <c r="I29" s="26">
        <f t="shared" si="11"/>
        <v>10864.940561790681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29.5</v>
      </c>
      <c r="D30" s="30">
        <v>188.1</v>
      </c>
      <c r="E30" s="29">
        <f t="shared" si="7"/>
        <v>4.6651785714285722E-2</v>
      </c>
      <c r="F30" s="28">
        <f t="shared" si="8"/>
        <v>32.725724583706871</v>
      </c>
      <c r="G30" s="27" t="str">
        <f t="shared" si="9"/>
        <v>+</v>
      </c>
      <c r="H30" s="26">
        <f t="shared" si="10"/>
        <v>5548.95</v>
      </c>
      <c r="I30" s="26">
        <f t="shared" si="11"/>
        <v>6155.7087941952623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30.1</v>
      </c>
      <c r="D31" s="30">
        <v>104.6</v>
      </c>
      <c r="E31" s="29">
        <f t="shared" si="7"/>
        <v>2.5942460317460322E-2</v>
      </c>
      <c r="F31" s="28">
        <f t="shared" si="8"/>
        <v>33.39133254134159</v>
      </c>
      <c r="G31" s="27" t="str">
        <f t="shared" si="9"/>
        <v>+</v>
      </c>
      <c r="H31" s="26">
        <f t="shared" si="10"/>
        <v>3148.46</v>
      </c>
      <c r="I31" s="26">
        <f t="shared" si="11"/>
        <v>3492.7333838243303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31.459978555153473</v>
      </c>
      <c r="D32" s="22">
        <f>SUM(D26:D31)</f>
        <v>2238.2999999999997</v>
      </c>
      <c r="E32" s="21">
        <f t="shared" si="7"/>
        <v>0.55513392857142863</v>
      </c>
      <c r="F32" s="20">
        <f>I32/D32</f>
        <v>34.90002012221278</v>
      </c>
      <c r="G32" s="19">
        <f>F32/C32-1</f>
        <v>0.10934659605786012</v>
      </c>
      <c r="H32" s="18">
        <f>SUM(H26:H31)</f>
        <v>70416.87000000001</v>
      </c>
      <c r="I32" s="18">
        <f>SUM(I26:I31)</f>
        <v>78116.715039548857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18.100000000000001</v>
      </c>
      <c r="D34" s="30">
        <f>293.8+252</f>
        <v>545.79999999999995</v>
      </c>
      <c r="E34" s="29">
        <f t="shared" ref="E34:E40" si="13">D34/$D$48</f>
        <v>0.13536706349206351</v>
      </c>
      <c r="F34" s="28">
        <f t="shared" ref="F34:F39" si="14">C34-(C34*$E$6)</f>
        <v>20.07917338864727</v>
      </c>
      <c r="G34" s="27" t="str">
        <f t="shared" ref="G34:G39" si="15">IF(C34&gt;=F34,"-","+")</f>
        <v>+</v>
      </c>
      <c r="H34" s="26">
        <f t="shared" ref="H34:H39" si="16">C34*D34</f>
        <v>9878.98</v>
      </c>
      <c r="I34" s="26">
        <f t="shared" ref="I34:I39" si="17">F34*D34</f>
        <v>10959.212835523678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>
        <v>57.4</v>
      </c>
      <c r="E35" s="29">
        <f t="shared" si="13"/>
        <v>1.4236111111111114E-2</v>
      </c>
      <c r="F35" s="28">
        <f t="shared" si="14"/>
        <v>15.419917685204256</v>
      </c>
      <c r="G35" s="27" t="str">
        <f t="shared" si="15"/>
        <v>+</v>
      </c>
      <c r="H35" s="26">
        <f t="shared" si="16"/>
        <v>797.86</v>
      </c>
      <c r="I35" s="26">
        <f t="shared" si="17"/>
        <v>885.10327513072423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12.424681875848032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29.5</v>
      </c>
      <c r="D37" s="30"/>
      <c r="E37" s="29">
        <f t="shared" si="13"/>
        <v>0</v>
      </c>
      <c r="F37" s="28">
        <f t="shared" si="14"/>
        <v>32.725724583706871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29.5</v>
      </c>
      <c r="D38" s="30"/>
      <c r="E38" s="29">
        <f t="shared" si="13"/>
        <v>0</v>
      </c>
      <c r="F38" s="28">
        <f t="shared" si="14"/>
        <v>32.725724583706871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30.6</v>
      </c>
      <c r="D39" s="30"/>
      <c r="E39" s="29">
        <f t="shared" si="13"/>
        <v>0</v>
      </c>
      <c r="F39" s="28">
        <f t="shared" si="14"/>
        <v>33.946005839370521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17.70033156498674</v>
      </c>
      <c r="D40" s="22">
        <f>SUM(D34:D39)</f>
        <v>603.19999999999993</v>
      </c>
      <c r="E40" s="113">
        <f t="shared" si="13"/>
        <v>0.14960317460317463</v>
      </c>
      <c r="F40" s="20">
        <f>I40/D40</f>
        <v>19.635802570713537</v>
      </c>
      <c r="G40" s="19">
        <f>F40/C40-1</f>
        <v>0.10934659605786012</v>
      </c>
      <c r="H40" s="18">
        <f>SUM(H34:H39)</f>
        <v>10676.84</v>
      </c>
      <c r="I40" s="18">
        <f>SUM(I34:I39)</f>
        <v>11844.316110654403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423+58.4+424.4</f>
        <v>905.8</v>
      </c>
      <c r="E42" s="107">
        <f>D42/$D$48</f>
        <v>0.22465277777777781</v>
      </c>
      <c r="F42" s="28">
        <f>C42-(C42*$E$6)</f>
        <v>0.44373863842314409</v>
      </c>
      <c r="G42" s="27" t="str">
        <f>IF(C42&gt;=F42,"-","+")</f>
        <v>+</v>
      </c>
      <c r="H42" s="26">
        <f>C42*D42</f>
        <v>362.32</v>
      </c>
      <c r="I42" s="26">
        <f>F42*D42</f>
        <v>401.9384586836839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30.3</v>
      </c>
      <c r="E43" s="107">
        <f>D43/$D$48</f>
        <v>7.5148809523809543E-3</v>
      </c>
      <c r="F43" s="28">
        <f>C43-(C43*$E$6)</f>
        <v>0.44373863842314409</v>
      </c>
      <c r="G43" s="27" t="str">
        <f>IF(C43&gt;=F43,"-","+")</f>
        <v>+</v>
      </c>
      <c r="H43" s="26">
        <f>C43*D43</f>
        <v>12.120000000000001</v>
      </c>
      <c r="I43" s="26">
        <f>F43*D43</f>
        <v>13.445280744221266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2.7</v>
      </c>
      <c r="E44" s="107">
        <f>D44/$D$48</f>
        <v>6.6964285714285737E-4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</v>
      </c>
      <c r="E45" s="107">
        <f>D45/$D$48</f>
        <v>7.4404761904761922E-4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0.39757910384370354</v>
      </c>
      <c r="D46" s="22">
        <f>SUM(D41:D45)</f>
        <v>941.8</v>
      </c>
      <c r="E46" s="113">
        <f>D46/$D$48</f>
        <v>0.23358134920634924</v>
      </c>
      <c r="F46" s="20">
        <f>I46/D46</f>
        <v>0.44105302551274711</v>
      </c>
      <c r="G46" s="19">
        <f>F46/C46-1</f>
        <v>0.10934659605786035</v>
      </c>
      <c r="H46" s="18">
        <f>SUM(H41:H44)</f>
        <v>374.44</v>
      </c>
      <c r="I46" s="18">
        <f>SUM(I41:I44)</f>
        <v>415.3837394279052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95.815227382407713</v>
      </c>
      <c r="D48" s="13">
        <f>D24+D32+D40+D46</f>
        <v>4031.9999999999991</v>
      </c>
      <c r="E48" s="12">
        <f>SUM(E20:E46)/2</f>
        <v>1.0000000000000004</v>
      </c>
      <c r="F48" s="11">
        <f>I48/D48</f>
        <v>25.580000000000009</v>
      </c>
      <c r="G48" s="10"/>
      <c r="H48" s="9">
        <f>SUM(H20:H46)/2</f>
        <v>92972.35</v>
      </c>
      <c r="I48" s="9">
        <f>SUM(I20:I46)/2</f>
        <v>103138.56000000001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4032</v>
      </c>
      <c r="E50" s="12">
        <f>D50/G2</f>
        <v>1</v>
      </c>
      <c r="F50" s="11">
        <f>I50/D50</f>
        <v>25.580000000000002</v>
      </c>
      <c r="G50" s="10"/>
      <c r="H50" s="9">
        <f>H48+H19</f>
        <v>92972.35</v>
      </c>
      <c r="I50" s="9">
        <f>I48+I19</f>
        <v>103138.56000000001</v>
      </c>
      <c r="J50" s="106">
        <f>D50-G2</f>
        <v>0</v>
      </c>
      <c r="K50" s="8"/>
    </row>
    <row r="51" spans="1:11" ht="23.25" x14ac:dyDescent="0.35">
      <c r="A51" s="174" t="s">
        <v>904</v>
      </c>
      <c r="B51" s="169"/>
      <c r="C51" s="170"/>
      <c r="G51" s="7"/>
      <c r="H51" s="6"/>
      <c r="I51" s="6">
        <f>+I50/D50</f>
        <v>25.580000000000002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888</v>
      </c>
      <c r="D1" s="100" t="s">
        <v>1</v>
      </c>
      <c r="E1" s="168" t="s">
        <v>348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888</v>
      </c>
      <c r="D2" s="96" t="s">
        <v>3</v>
      </c>
      <c r="E2" s="95" t="s">
        <v>112</v>
      </c>
      <c r="F2" s="94" t="s">
        <v>5</v>
      </c>
      <c r="G2" s="93">
        <v>2518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349</v>
      </c>
      <c r="D3" s="90" t="s">
        <v>7</v>
      </c>
      <c r="E3" s="89">
        <v>42</v>
      </c>
      <c r="F3" s="88" t="s">
        <v>8</v>
      </c>
      <c r="G3" s="87">
        <v>23.82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59.952380952380949</v>
      </c>
      <c r="F4" s="81" t="s">
        <v>12</v>
      </c>
      <c r="G4" s="80">
        <f>G2*G3</f>
        <v>59978.76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-9.661149549782122E-2</v>
      </c>
      <c r="F6" s="69" t="s">
        <v>16</v>
      </c>
      <c r="G6" s="68">
        <f>(I50-I19)/(D50-(SUM(D42:D44)+D19))</f>
        <v>30.65145134914146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23.8</v>
      </c>
      <c r="D10" s="30"/>
      <c r="E10" s="29" t="e">
        <f t="shared" ref="E10:E19" si="1">D10/$D$19</f>
        <v>#DIV/0!</v>
      </c>
      <c r="F10" s="28">
        <f t="shared" ref="F10:F18" si="2">C10-(C10*$E$6)</f>
        <v>26.099353592848146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24.8</v>
      </c>
      <c r="D11" s="30"/>
      <c r="E11" s="29" t="e">
        <f t="shared" si="1"/>
        <v>#DIV/0!</v>
      </c>
      <c r="F11" s="28">
        <f t="shared" si="2"/>
        <v>27.195965088345968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22.7</v>
      </c>
      <c r="D12" s="30"/>
      <c r="E12" s="29" t="e">
        <f t="shared" si="1"/>
        <v>#DIV/0!</v>
      </c>
      <c r="F12" s="28">
        <f t="shared" si="2"/>
        <v>24.893080947800541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24.8</v>
      </c>
      <c r="D13" s="30"/>
      <c r="E13" s="29" t="e">
        <f t="shared" si="1"/>
        <v>#DIV/0!</v>
      </c>
      <c r="F13" s="28">
        <f t="shared" si="2"/>
        <v>27.195965088345968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27.7</v>
      </c>
      <c r="D14" s="30"/>
      <c r="E14" s="29" t="e">
        <f t="shared" si="1"/>
        <v>#DIV/0!</v>
      </c>
      <c r="F14" s="28">
        <f t="shared" si="2"/>
        <v>30.376138425289646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22.9</v>
      </c>
      <c r="D15" s="30"/>
      <c r="E15" s="29" t="e">
        <f t="shared" si="1"/>
        <v>#DIV/0!</v>
      </c>
      <c r="F15" s="28">
        <f t="shared" si="2"/>
        <v>25.112403246900104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31.3</v>
      </c>
      <c r="D16" s="30"/>
      <c r="E16" s="29" t="e">
        <f t="shared" si="1"/>
        <v>#DIV/0!</v>
      </c>
      <c r="F16" s="28">
        <f t="shared" si="2"/>
        <v>34.323939809081807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46.1</v>
      </c>
      <c r="D17" s="30"/>
      <c r="E17" s="29" t="e">
        <f t="shared" si="1"/>
        <v>#DIV/0!</v>
      </c>
      <c r="F17" s="28">
        <f t="shared" si="2"/>
        <v>50.553789942449562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40.4</v>
      </c>
      <c r="D18" s="30"/>
      <c r="E18" s="29" t="e">
        <f t="shared" si="1"/>
        <v>#DIV/0!</v>
      </c>
      <c r="F18" s="28">
        <f t="shared" si="2"/>
        <v>44.303104418111978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59.9</v>
      </c>
      <c r="D21" s="30">
        <v>37</v>
      </c>
      <c r="E21" s="29">
        <f>D21/$D$48</f>
        <v>1.4694201747418586E-2</v>
      </c>
      <c r="F21" s="28">
        <f>C21-(C21*$E$6)</f>
        <v>65.687028580319492</v>
      </c>
      <c r="G21" s="27" t="str">
        <f>IF(C21&gt;=F21,"-","+")</f>
        <v>+</v>
      </c>
      <c r="H21" s="26">
        <f>C21*D21</f>
        <v>2216.2999999999997</v>
      </c>
      <c r="I21" s="26">
        <f>F21*D21</f>
        <v>2430.4200574718211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40.200000000000003</v>
      </c>
      <c r="D22" s="30">
        <v>68.599999999999994</v>
      </c>
      <c r="E22" s="29">
        <f>D22/$D$48</f>
        <v>2.7243844320889592E-2</v>
      </c>
      <c r="F22" s="28">
        <f>C22-(C22*$E$6)</f>
        <v>44.083782119012419</v>
      </c>
      <c r="G22" s="27" t="str">
        <f>IF(C22&gt;=F22,"-","+")</f>
        <v>+</v>
      </c>
      <c r="H22" s="26">
        <f>C22*D22</f>
        <v>2757.72</v>
      </c>
      <c r="I22" s="26">
        <f>F22*D22</f>
        <v>3024.1474533642518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36.700000000000003</v>
      </c>
      <c r="D23" s="30">
        <v>56.7</v>
      </c>
      <c r="E23" s="29">
        <f>D23/$D$48</f>
        <v>2.2517871326449564E-2</v>
      </c>
      <c r="F23" s="28">
        <f>C23-(C23*$E$6)</f>
        <v>40.245641884770045</v>
      </c>
      <c r="G23" s="27" t="str">
        <f>IF(C23&gt;=F23,"-","+")</f>
        <v>+</v>
      </c>
      <c r="H23" s="26">
        <f>C23*D23</f>
        <v>2080.8900000000003</v>
      </c>
      <c r="I23" s="26">
        <f>F23*D23</f>
        <v>2281.9278948664614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43.468330252618607</v>
      </c>
      <c r="D24" s="22">
        <f>SUM(D21:D23)</f>
        <v>162.30000000000001</v>
      </c>
      <c r="E24" s="21">
        <f>D24/$D$48</f>
        <v>6.4455917394757742E-2</v>
      </c>
      <c r="F24" s="20">
        <f>I24/D24</f>
        <v>47.667870645117276</v>
      </c>
      <c r="G24" s="19">
        <f>F24/C24-1</f>
        <v>9.661149549782122E-2</v>
      </c>
      <c r="H24" s="18">
        <f>SUM(H21:H23)</f>
        <v>7054.91</v>
      </c>
      <c r="I24" s="18">
        <f>SUM(I21:I23)</f>
        <v>7736.4954057025343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</v>
      </c>
      <c r="D26" s="30">
        <f>230+154.2+36.2</f>
        <v>420.4</v>
      </c>
      <c r="E26" s="29">
        <f t="shared" ref="E26:E32" si="7">D26/$D$48</f>
        <v>0.16695790309769656</v>
      </c>
      <c r="F26" s="28">
        <f t="shared" ref="F26:F31" si="8">C26-(C26*$E$6)</f>
        <v>35.091567855930279</v>
      </c>
      <c r="G26" s="27" t="str">
        <f t="shared" ref="G26:G31" si="9">IF(C26&gt;=F26,"-","+")</f>
        <v>+</v>
      </c>
      <c r="H26" s="26">
        <f t="shared" ref="H26:H31" si="10">C26*D26</f>
        <v>13452.8</v>
      </c>
      <c r="I26" s="26">
        <f t="shared" ref="I26:I31" si="11">F26*D26</f>
        <v>14752.495126633088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28.5</v>
      </c>
      <c r="D27" s="30">
        <v>343.6</v>
      </c>
      <c r="E27" s="29">
        <f t="shared" si="7"/>
        <v>0.13645750595710882</v>
      </c>
      <c r="F27" s="28">
        <f t="shared" si="8"/>
        <v>31.253427621687905</v>
      </c>
      <c r="G27" s="27" t="str">
        <f t="shared" si="9"/>
        <v>+</v>
      </c>
      <c r="H27" s="26">
        <f t="shared" si="10"/>
        <v>9792.6</v>
      </c>
      <c r="I27" s="26">
        <f t="shared" si="11"/>
        <v>10738.677730811965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28.5</v>
      </c>
      <c r="D28" s="30">
        <v>237.5</v>
      </c>
      <c r="E28" s="29">
        <f t="shared" si="7"/>
        <v>9.4320889594916607E-2</v>
      </c>
      <c r="F28" s="28">
        <f t="shared" si="8"/>
        <v>31.253427621687905</v>
      </c>
      <c r="G28" s="27" t="str">
        <f t="shared" si="9"/>
        <v>+</v>
      </c>
      <c r="H28" s="26">
        <f t="shared" si="10"/>
        <v>6768.75</v>
      </c>
      <c r="I28" s="26">
        <f t="shared" si="11"/>
        <v>7422.6890601508776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27.5</v>
      </c>
      <c r="D29" s="30">
        <v>180.1</v>
      </c>
      <c r="E29" s="29">
        <f t="shared" si="7"/>
        <v>7.1525019857029387E-2</v>
      </c>
      <c r="F29" s="28">
        <f t="shared" si="8"/>
        <v>30.156816126190083</v>
      </c>
      <c r="G29" s="27" t="str">
        <f t="shared" si="9"/>
        <v>+</v>
      </c>
      <c r="H29" s="26">
        <f t="shared" si="10"/>
        <v>4952.75</v>
      </c>
      <c r="I29" s="26">
        <f t="shared" si="11"/>
        <v>5431.2425843268338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27.5</v>
      </c>
      <c r="D30" s="30">
        <v>138.80000000000001</v>
      </c>
      <c r="E30" s="29">
        <f t="shared" si="7"/>
        <v>5.5123113582208109E-2</v>
      </c>
      <c r="F30" s="28">
        <f t="shared" si="8"/>
        <v>30.156816126190083</v>
      </c>
      <c r="G30" s="27" t="str">
        <f t="shared" si="9"/>
        <v>+</v>
      </c>
      <c r="H30" s="26">
        <f t="shared" si="10"/>
        <v>3817.0000000000005</v>
      </c>
      <c r="I30" s="26">
        <f t="shared" si="11"/>
        <v>4185.7660783151841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</v>
      </c>
      <c r="D31" s="30">
        <v>80.2</v>
      </c>
      <c r="E31" s="29">
        <f t="shared" si="7"/>
        <v>3.185067513899921E-2</v>
      </c>
      <c r="F31" s="28">
        <f t="shared" si="8"/>
        <v>30.705121873938992</v>
      </c>
      <c r="G31" s="27" t="str">
        <f t="shared" si="9"/>
        <v>+</v>
      </c>
      <c r="H31" s="26">
        <f t="shared" si="10"/>
        <v>2245.6</v>
      </c>
      <c r="I31" s="26">
        <f t="shared" si="11"/>
        <v>2462.5507742899072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29.294231043838359</v>
      </c>
      <c r="D32" s="22">
        <f>SUM(D26:D31)</f>
        <v>1400.6</v>
      </c>
      <c r="E32" s="21">
        <f t="shared" si="7"/>
        <v>0.55623510722795866</v>
      </c>
      <c r="F32" s="20">
        <f>I32/D32</f>
        <v>32.124390514442283</v>
      </c>
      <c r="G32" s="19">
        <f>F32/C32-1</f>
        <v>9.661149549782122E-2</v>
      </c>
      <c r="H32" s="18">
        <f>SUM(H26:H31)</f>
        <v>41029.5</v>
      </c>
      <c r="I32" s="18">
        <f>SUM(I26:I31)</f>
        <v>44993.421354527862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</v>
      </c>
      <c r="D34" s="30">
        <f>160+192</f>
        <v>352</v>
      </c>
      <c r="E34" s="29">
        <f t="shared" ref="E34:E40" si="13">D34/$D$48</f>
        <v>0.13979348689436061</v>
      </c>
      <c r="F34" s="28">
        <f t="shared" ref="F34:F39" si="14">C34-(C34*$E$6)</f>
        <v>18.423073124363398</v>
      </c>
      <c r="G34" s="27" t="str">
        <f t="shared" ref="G34:G39" si="15">IF(C34&gt;=F34,"-","+")</f>
        <v>+</v>
      </c>
      <c r="H34" s="26">
        <f t="shared" ref="H34:H39" si="16">C34*D34</f>
        <v>5913.6</v>
      </c>
      <c r="I34" s="26">
        <f t="shared" ref="I34:I39" si="17">F34*D34</f>
        <v>6484.9217397759166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36.6</v>
      </c>
      <c r="E35" s="29">
        <f t="shared" si="13"/>
        <v>1.4535345512311358E-2</v>
      </c>
      <c r="F35" s="28">
        <f t="shared" si="14"/>
        <v>14.146288291921895</v>
      </c>
      <c r="G35" s="27" t="str">
        <f t="shared" si="15"/>
        <v>+</v>
      </c>
      <c r="H35" s="26">
        <f t="shared" si="16"/>
        <v>472.14000000000004</v>
      </c>
      <c r="I35" s="26">
        <f t="shared" si="17"/>
        <v>517.75415148434138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11.404759553177341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27.5</v>
      </c>
      <c r="D37" s="30"/>
      <c r="E37" s="29">
        <f t="shared" si="13"/>
        <v>0</v>
      </c>
      <c r="F37" s="28">
        <f t="shared" si="14"/>
        <v>30.156816126190083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27.5</v>
      </c>
      <c r="D38" s="30"/>
      <c r="E38" s="29">
        <f t="shared" si="13"/>
        <v>0</v>
      </c>
      <c r="F38" s="28">
        <f t="shared" si="14"/>
        <v>30.156816126190083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28.5</v>
      </c>
      <c r="D39" s="30"/>
      <c r="E39" s="29">
        <f t="shared" si="13"/>
        <v>0</v>
      </c>
      <c r="F39" s="28">
        <f t="shared" si="14"/>
        <v>31.253427621687905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16.432681420483789</v>
      </c>
      <c r="D40" s="22">
        <f>SUM(D34:D39)</f>
        <v>388.6</v>
      </c>
      <c r="E40" s="113">
        <f t="shared" si="13"/>
        <v>0.15432883240667197</v>
      </c>
      <c r="F40" s="20">
        <f>I40/D40</f>
        <v>18.02026734755599</v>
      </c>
      <c r="G40" s="19">
        <f>F40/C40-1</f>
        <v>9.661149549782122E-2</v>
      </c>
      <c r="H40" s="18">
        <f>SUM(H34:H39)</f>
        <v>6385.7400000000007</v>
      </c>
      <c r="I40" s="18">
        <f>SUM(I34:I39)</f>
        <v>7002.6758912602581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253+30+255</f>
        <v>538</v>
      </c>
      <c r="E42" s="107">
        <f>D42/$D$48</f>
        <v>0.2136616362192216</v>
      </c>
      <c r="F42" s="28">
        <f>C42-(C42*$E$6)</f>
        <v>0.43864459819912849</v>
      </c>
      <c r="G42" s="27" t="str">
        <f>IF(C42&gt;=F42,"-","+")</f>
        <v>+</v>
      </c>
      <c r="H42" s="26">
        <f>C42*D42</f>
        <v>215.20000000000002</v>
      </c>
      <c r="I42" s="26">
        <f>F42*D42</f>
        <v>235.99079383113113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23.2</v>
      </c>
      <c r="E43" s="107">
        <f>D43/$D$48</f>
        <v>9.2136616362192211E-3</v>
      </c>
      <c r="F43" s="28">
        <f>C43-(C43*$E$6)</f>
        <v>0.43864459819912849</v>
      </c>
      <c r="G43" s="27" t="str">
        <f>IF(C43&gt;=F43,"-","+")</f>
        <v>+</v>
      </c>
      <c r="H43" s="26">
        <f>C43*D43</f>
        <v>9.2799999999999994</v>
      </c>
      <c r="I43" s="26">
        <f>F43*D43</f>
        <v>10.17655467821978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5.3</v>
      </c>
      <c r="E45" s="107">
        <f>D45/$D$48</f>
        <v>2.1048451151707702E-3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0.39625772285966465</v>
      </c>
      <c r="D46" s="22">
        <f>SUM(D41:D45)</f>
        <v>566.5</v>
      </c>
      <c r="E46" s="113">
        <f>D46/$D$48</f>
        <v>0.22498014297061159</v>
      </c>
      <c r="F46" s="20">
        <f>I46/D46</f>
        <v>0.43454077406769798</v>
      </c>
      <c r="G46" s="19">
        <f>F46/C46-1</f>
        <v>9.6611495497820998E-2</v>
      </c>
      <c r="H46" s="18">
        <f>SUM(H41:H44)</f>
        <v>224.48000000000002</v>
      </c>
      <c r="I46" s="18">
        <f>SUM(I41:I44)</f>
        <v>246.16734850935092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89.591500439800413</v>
      </c>
      <c r="D48" s="13">
        <f>D24+D32+D40+D46</f>
        <v>2518</v>
      </c>
      <c r="E48" s="12">
        <f>SUM(E20:E46)/2</f>
        <v>1.0000000000000002</v>
      </c>
      <c r="F48" s="11">
        <f>I48/D48</f>
        <v>23.820000000000004</v>
      </c>
      <c r="G48" s="10"/>
      <c r="H48" s="9">
        <f>SUM(H20:H46)/2</f>
        <v>54694.630000000005</v>
      </c>
      <c r="I48" s="9">
        <f>SUM(I20:I46)/2</f>
        <v>59978.760000000009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2518</v>
      </c>
      <c r="E50" s="12">
        <f>D50/G2</f>
        <v>1</v>
      </c>
      <c r="F50" s="11">
        <f>I50/D50</f>
        <v>23.820000000000004</v>
      </c>
      <c r="G50" s="10"/>
      <c r="H50" s="9">
        <f>H48+H19</f>
        <v>54694.630000000005</v>
      </c>
      <c r="I50" s="9">
        <f>I48+I19</f>
        <v>59978.760000000009</v>
      </c>
      <c r="J50" s="106">
        <f>D50-G2</f>
        <v>0</v>
      </c>
      <c r="K50" s="8"/>
    </row>
    <row r="51" spans="1:11" ht="23.25" x14ac:dyDescent="0.35">
      <c r="A51" s="174" t="s">
        <v>905</v>
      </c>
      <c r="B51" s="169"/>
      <c r="C51" s="170"/>
      <c r="G51" s="7"/>
      <c r="H51" s="6"/>
      <c r="I51" s="6">
        <f>+I50/D50</f>
        <v>23.820000000000004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>
    <tabColor rgb="FFFF000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906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/>
      <c r="F2" s="110" t="s">
        <v>5</v>
      </c>
      <c r="G2" s="108">
        <f>'EMR28-19082728-S'!G2+'FA29-19082728-S'!G2+'BA30-19082829'!G2+'BA29-19082829-S'!G2+'AYG29-19082829-S'!G2+'G29-19082829-1'!G2+'G29-19082829'!G2+'KAZ28-19082627-D'!G2+'G28-19082426-1'!G2+'KAZ28-19082627-S'!G2+'G28-19082728'!G2+'MEM28-19082728-S'!G2+'BAY28-19082627-S'!G2+'ÇEK27-19082426-S'!G2+'BO27-190824265'!G2+'G26-19082426'!G2+'AYG26-19082526-S'!G2+'G24-19082122'!G2+'BO24-19082122'!G2+'EMR23-19082122-S'!G2+'MEM23-19082021-S'!G2+'G22-19082022-1'!G2+'G22-19082022'!G2+'BA21-19081921'!G2+'BA21-19081921-S'!G2+'EB20-19081920-S'!G2+'G20-19081719'!G2+'ÇEK20-19081719-D'!G2+'ÇEK20-19081719-S'!G2+'KAZ20-19081719-S'!G2+'G19-19081819-1'!G2+'G19-19081819'!G2+'G16-19081315-1'!G2+'ÖB16-19081516-D'!G2+'ÖB15-19081115-D'!G2+'G15-19081315'!G2+'ÇEK08-19080708-S'!G2+'EMR09-19080607-S'!G2+'G09-19080608-1'!G2+'ÖB09-19080607-1'!G2+'ÖB08-19080607'!G2+'G08-19080608'!G2+'ALP07-19080506'!G2+'ALP08-19080506-1'!G2+'ALP07-19080506-D'!G2+'MEM07-19080607-S'!G2+'G06-19080305'!G2+'ALP06-19080506-2'!G2+'G06-19083001-1'!G2+'ÖB06-19080405-1'!G2+'ÖB05-19080405'!G2+'ALP05-19072930'!G2+'EMR02-19083102-S'!G2+'MİR02-19080102-S'!G2+'BA02-19083101-S'!G2+'G02-19073031'!G2+'KAZ01-19083001-S'!G2+'ÇEK01-19083101-S'!G2+'G01-19083001'!G2</f>
        <v>551974.49999999988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EMR28-19082728-S'!E3+'FA29-19082728-S'!E3+'BA30-19082829'!E3+'BA29-19082829-S'!E3+'AYG29-19082829-S'!E3+'G29-19082829-1'!E3+'G29-19082829'!E3+'KAZ28-19082627-D'!E3+'G28-19082426-1'!E3+'KAZ28-19082627-S'!E3+'G28-19082728'!E3+'MEM28-19082728-S'!E3+'BAY28-19082627-S'!E3+'ÇEK27-19082426-S'!E3+'BO27-190824265'!E3+'G26-19082426'!E3+'AYG26-19082526-S'!E3+'G24-19082122'!E3+'BO24-19082122'!E3+'EMR23-19082122-S'!E3+'MEM23-19082021-S'!E3+'G22-19082022-1'!E3+'G22-19082022'!E3+'BA21-19081921'!E3+'BA21-19081921-S'!E3+'EB20-19081920-S'!E3+'G20-19081719'!E3+'ÇEK20-19081719-D'!E3+'ÇEK20-19081719-S'!E3+'KAZ20-19081719-S'!E3+'G19-19081819-1'!E3+'G19-19081819'!E3+'G16-19081315-1'!E3+'ÖB16-19081516-D'!E3+'ÖB15-19081115-D'!E3+'G15-19081315'!E3+'ÇEK08-19080708-S'!E3+'EMR09-19080607-S'!E3+'G09-19080608-1'!E3+'ÖB09-19080607-1'!E3+'ÖB08-19080607'!E3+'G08-19080608'!E3+'ALP07-19080506'!E3+'ALP08-19080506-1'!E3+'ALP07-19080506-D'!E3+'MEM07-19080607-S'!E3+'G06-19080305'!E3+'ALP06-19080506-2'!E3+'G06-19083001-1'!E3+'ÖB06-19080405-1'!E3+'ÖB05-19080405'!E3+'ALP05-19072930'!E3+'EMR02-19083102-S'!E3+'MİR02-19080102-S'!E3+'BA02-19083101-S'!E3+'G02-19073031'!E3+'KAZ01-19083001-S'!E3+'ÇEK01-19083101-S'!E3+'G01-19083001'!E3</f>
        <v>7335</v>
      </c>
      <c r="F3" s="111" t="s">
        <v>8</v>
      </c>
      <c r="G3" s="114">
        <v>26.95</v>
      </c>
      <c r="H3" s="118" t="s">
        <v>523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75.252147239263792</v>
      </c>
      <c r="F4" s="81" t="s">
        <v>12</v>
      </c>
      <c r="G4" s="112">
        <f>G2*G3</f>
        <v>14875712.774999997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-3.0358884534646524E-2</v>
      </c>
      <c r="F6" s="69" t="s">
        <v>16</v>
      </c>
      <c r="G6" s="68">
        <f>(I50-I19)/(D50-(SUM(D42:D44)+D19))</f>
        <v>32.647112655706479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</v>
      </c>
      <c r="D10" s="117">
        <f>'EMR28-19082728-S'!D10+'FA29-19082728-S'!D10+'BA30-19082829'!D10+'BA29-19082829-S'!D10+'AYG29-19082829-S'!D10+'G29-19082829-1'!D10+'G29-19082829'!D10+'KAZ28-19082627-D'!D10+'G28-19082426-1'!D10+'KAZ28-19082627-S'!D10+'G28-19082728'!D10+'MEM28-19082728-S'!D10+'BAY28-19082627-S'!D10+'ÇEK27-19082426-S'!D10+'BO27-190824265'!D10+'G26-19082426'!D10+'AYG26-19082526-S'!D10+'G24-19082122'!D10+'BO24-19082122'!D10+'EMR23-19082122-S'!D10+'MEM23-19082021-S'!D10+'G22-19082022-1'!D10+'G22-19082022'!D10+'BA21-19081921'!D10+'BA21-19081921-S'!D10+'EB20-19081920-S'!D10+'G20-19081719'!D10+'ÇEK20-19081719-D'!D10+'ÇEK20-19081719-S'!D10+'KAZ20-19081719-S'!D10+'G19-19081819-1'!D10+'G19-19081819'!D10+'G16-19081315-1'!D10+'ÖB16-19081516-D'!D10+'ÖB15-19081115-D'!D10+'G15-19081315'!D10+'ÇEK08-19080708-S'!D10+'EMR09-19080607-S'!D10+'G09-19080608-1'!D10+'ÖB09-19080607-1'!D10+'ÖB08-19080607'!D10+'G08-19080608'!D10+'ALP07-19080506'!D10+'ALP08-19080506-1'!D10+'ALP07-19080506-D'!D10+'MEM07-19080607-S'!D10+'G06-19080305'!D10+'ALP06-19080506-2'!D10+'G06-19083001-1'!D10+'ÖB06-19080405-1'!D10+'ÖB05-19080405'!D10+'ALP05-19072930'!D10+'EMR02-19083102-S'!D10+'MİR02-19080102-S'!D10+'BA02-19083101-S'!D10+'G02-19073031'!D10+'KAZ01-19083001-S'!D10+'ÇEK01-19083101-S'!D10+'G01-19083001'!D10</f>
        <v>0</v>
      </c>
      <c r="E10" s="29">
        <f t="shared" ref="E10:E19" si="1">D10/$D$19</f>
        <v>0</v>
      </c>
      <c r="F10" s="28">
        <f t="shared" ref="F10:F18" si="2">C10-(C10*$E$6)</f>
        <v>27.819689882435455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28.1</v>
      </c>
      <c r="D11" s="117">
        <f>'EMR28-19082728-S'!D11+'FA29-19082728-S'!D11+'BA30-19082829'!D11+'BA29-19082829-S'!D11+'AYG29-19082829-S'!D11+'G29-19082829-1'!D11+'G29-19082829'!D11+'KAZ28-19082627-D'!D11+'G28-19082426-1'!D11+'KAZ28-19082627-S'!D11+'G28-19082728'!D11+'MEM28-19082728-S'!D11+'BAY28-19082627-S'!D11+'ÇEK27-19082426-S'!D11+'BO27-190824265'!D11+'G26-19082426'!D11+'AYG26-19082526-S'!D11+'G24-19082122'!D11+'BO24-19082122'!D11+'EMR23-19082122-S'!D11+'MEM23-19082021-S'!D11+'G22-19082022-1'!D11+'G22-19082022'!D11+'BA21-19081921'!D11+'BA21-19081921-S'!D11+'EB20-19081920-S'!D11+'G20-19081719'!D11+'ÇEK20-19081719-D'!D11+'ÇEK20-19081719-S'!D11+'KAZ20-19081719-S'!D11+'G19-19081819-1'!D11+'G19-19081819'!D11+'G16-19081315-1'!D11+'ÖB16-19081516-D'!D11+'ÖB15-19081115-D'!D11+'G15-19081315'!D11+'ÇEK08-19080708-S'!D11+'EMR09-19080607-S'!D11+'G09-19080608-1'!D11+'ÖB09-19080607-1'!D11+'ÖB08-19080607'!D11+'G08-19080608'!D11+'ALP07-19080506'!D11+'ALP08-19080506-1'!D11+'ALP07-19080506-D'!D11+'MEM07-19080607-S'!D11+'G06-19080305'!D11+'ALP06-19080506-2'!D11+'G06-19083001-1'!D11+'ÖB06-19080405-1'!D11+'ÖB05-19080405'!D11+'ALP05-19072930'!D11+'EMR02-19083102-S'!D11+'MİR02-19080102-S'!D11+'BA02-19083101-S'!D11+'G02-19073031'!D11+'KAZ01-19083001-S'!D11+'ÇEK01-19083101-S'!D11+'G01-19083001'!D11</f>
        <v>39603.799999999996</v>
      </c>
      <c r="E11" s="29">
        <f t="shared" si="1"/>
        <v>0.49310024712410688</v>
      </c>
      <c r="F11" s="28">
        <f t="shared" si="2"/>
        <v>28.95308465542357</v>
      </c>
      <c r="G11" s="27" t="str">
        <f t="shared" si="3"/>
        <v>+</v>
      </c>
      <c r="H11" s="34">
        <f t="shared" si="4"/>
        <v>1112866.78</v>
      </c>
      <c r="I11" s="34">
        <f t="shared" si="5"/>
        <v>1146652.1740764638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25.6</v>
      </c>
      <c r="D12" s="117">
        <f>'EMR28-19082728-S'!D12+'FA29-19082728-S'!D12+'BA30-19082829'!D12+'BA29-19082829-S'!D12+'AYG29-19082829-S'!D12+'G29-19082829-1'!D12+'G29-19082829'!D12+'KAZ28-19082627-D'!D12+'G28-19082426-1'!D12+'KAZ28-19082627-S'!D12+'G28-19082728'!D12+'MEM28-19082728-S'!D12+'BAY28-19082627-S'!D12+'ÇEK27-19082426-S'!D12+'BO27-190824265'!D12+'G26-19082426'!D12+'AYG26-19082526-S'!D12+'G24-19082122'!D12+'BO24-19082122'!D12+'EMR23-19082122-S'!D12+'MEM23-19082021-S'!D12+'G22-19082022-1'!D12+'G22-19082022'!D12+'BA21-19081921'!D12+'BA21-19081921-S'!D12+'EB20-19081920-S'!D12+'G20-19081719'!D12+'ÇEK20-19081719-D'!D12+'ÇEK20-19081719-S'!D12+'KAZ20-19081719-S'!D12+'G19-19081819-1'!D12+'G19-19081819'!D12+'G16-19081315-1'!D12+'ÖB16-19081516-D'!D12+'ÖB15-19081115-D'!D12+'G15-19081315'!D12+'ÇEK08-19080708-S'!D12+'EMR09-19080607-S'!D12+'G09-19080608-1'!D12+'ÖB09-19080607-1'!D12+'ÖB08-19080607'!D12+'G08-19080608'!D12+'ALP07-19080506'!D12+'ALP08-19080506-1'!D12+'ALP07-19080506-D'!D12+'MEM07-19080607-S'!D12+'G06-19080305'!D12+'ALP06-19080506-2'!D12+'G06-19083001-1'!D12+'ÖB06-19080405-1'!D12+'ÖB05-19080405'!D12+'ALP05-19072930'!D12+'EMR02-19083102-S'!D12+'MİR02-19080102-S'!D12+'BA02-19083101-S'!D12+'G02-19073031'!D12+'KAZ01-19083001-S'!D12+'ÇEK01-19083101-S'!D12+'G01-19083001'!D12</f>
        <v>21682.199999999997</v>
      </c>
      <c r="E12" s="29">
        <f t="shared" si="1"/>
        <v>0.26996142234316678</v>
      </c>
      <c r="F12" s="28">
        <f t="shared" si="2"/>
        <v>26.377187444086953</v>
      </c>
      <c r="G12" s="27" t="str">
        <f>IF(C12&gt;=F12,"-","+")</f>
        <v>+</v>
      </c>
      <c r="H12" s="34">
        <f t="shared" si="4"/>
        <v>555064.31999999995</v>
      </c>
      <c r="I12" s="34">
        <f t="shared" si="5"/>
        <v>571915.45360018208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28.1</v>
      </c>
      <c r="D13" s="117">
        <f>'EMR28-19082728-S'!D13+'FA29-19082728-S'!D13+'BA30-19082829'!D13+'BA29-19082829-S'!D13+'AYG29-19082829-S'!D13+'G29-19082829-1'!D13+'G29-19082829'!D13+'KAZ28-19082627-D'!D13+'G28-19082426-1'!D13+'KAZ28-19082627-S'!D13+'G28-19082728'!D13+'MEM28-19082728-S'!D13+'BAY28-19082627-S'!D13+'ÇEK27-19082426-S'!D13+'BO27-190824265'!D13+'G26-19082426'!D13+'AYG26-19082526-S'!D13+'G24-19082122'!D13+'BO24-19082122'!D13+'EMR23-19082122-S'!D13+'MEM23-19082021-S'!D13+'G22-19082022-1'!D13+'G22-19082022'!D13+'BA21-19081921'!D13+'BA21-19081921-S'!D13+'EB20-19081920-S'!D13+'G20-19081719'!D13+'ÇEK20-19081719-D'!D13+'ÇEK20-19081719-S'!D13+'KAZ20-19081719-S'!D13+'G19-19081819-1'!D13+'G19-19081819'!D13+'G16-19081315-1'!D13+'ÖB16-19081516-D'!D13+'ÖB15-19081115-D'!D13+'G15-19081315'!D13+'ÇEK08-19080708-S'!D13+'EMR09-19080607-S'!D13+'G09-19080608-1'!D13+'ÖB09-19080607-1'!D13+'ÖB08-19080607'!D13+'G08-19080608'!D13+'ALP07-19080506'!D13+'ALP08-19080506-1'!D13+'ALP07-19080506-D'!D13+'MEM07-19080607-S'!D13+'G06-19080305'!D13+'ALP06-19080506-2'!D13+'G06-19083001-1'!D13+'ÖB06-19080405-1'!D13+'ÖB05-19080405'!D13+'ALP05-19072930'!D13+'EMR02-19083102-S'!D13+'MİR02-19080102-S'!D13+'BA02-19083101-S'!D13+'G02-19073031'!D13+'KAZ01-19083001-S'!D13+'ÇEK01-19083101-S'!D13+'G01-19083001'!D13</f>
        <v>13777.400000000001</v>
      </c>
      <c r="E13" s="29">
        <f t="shared" si="1"/>
        <v>0.17154008819173089</v>
      </c>
      <c r="F13" s="28">
        <f t="shared" si="2"/>
        <v>28.95308465542357</v>
      </c>
      <c r="G13" s="27" t="str">
        <f t="shared" si="3"/>
        <v>+</v>
      </c>
      <c r="H13" s="34">
        <f t="shared" si="4"/>
        <v>387144.94000000006</v>
      </c>
      <c r="I13" s="34">
        <f t="shared" si="5"/>
        <v>398898.22853163275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31.4</v>
      </c>
      <c r="D14" s="117">
        <f>'EMR28-19082728-S'!D14+'FA29-19082728-S'!D14+'BA30-19082829'!D14+'BA29-19082829-S'!D14+'AYG29-19082829-S'!D14+'G29-19082829-1'!D14+'G29-19082829'!D14+'KAZ28-19082627-D'!D14+'G28-19082426-1'!D14+'KAZ28-19082627-S'!D14+'G28-19082728'!D14+'MEM28-19082728-S'!D14+'BAY28-19082627-S'!D14+'ÇEK27-19082426-S'!D14+'BO27-190824265'!D14+'G26-19082426'!D14+'AYG26-19082526-S'!D14+'G24-19082122'!D14+'BO24-19082122'!D14+'EMR23-19082122-S'!D14+'MEM23-19082021-S'!D14+'G22-19082022-1'!D14+'G22-19082022'!D14+'BA21-19081921'!D14+'BA21-19081921-S'!D14+'EB20-19081920-S'!D14+'G20-19081719'!D14+'ÇEK20-19081719-D'!D14+'ÇEK20-19081719-S'!D14+'KAZ20-19081719-S'!D14+'G19-19081819-1'!D14+'G19-19081819'!D14+'G16-19081315-1'!D14+'ÖB16-19081516-D'!D14+'ÖB15-19081115-D'!D14+'G15-19081315'!D14+'ÇEK08-19080708-S'!D14+'EMR09-19080607-S'!D14+'G09-19080608-1'!D14+'ÖB09-19080607-1'!D14+'ÖB08-19080607'!D14+'G08-19080608'!D14+'ALP07-19080506'!D14+'ALP08-19080506-1'!D14+'ALP07-19080506-D'!D14+'MEM07-19080607-S'!D14+'G06-19080305'!D14+'ALP06-19080506-2'!D14+'G06-19083001-1'!D14+'ÖB06-19080405-1'!D14+'ÖB05-19080405'!D14+'ALP05-19072930'!D14+'EMR02-19083102-S'!D14+'MİR02-19080102-S'!D14+'BA02-19083101-S'!D14+'G02-19073031'!D14+'KAZ01-19083001-S'!D14+'ÇEK01-19083101-S'!D14+'G01-19083001'!D14</f>
        <v>2854.7199999999993</v>
      </c>
      <c r="E14" s="29">
        <f t="shared" si="1"/>
        <v>3.5543638172855385E-2</v>
      </c>
      <c r="F14" s="28">
        <f t="shared" si="2"/>
        <v>32.353268974387902</v>
      </c>
      <c r="G14" s="27" t="str">
        <f t="shared" si="3"/>
        <v>+</v>
      </c>
      <c r="H14" s="34">
        <f t="shared" si="4"/>
        <v>89638.20799999997</v>
      </c>
      <c r="I14" s="34">
        <f t="shared" si="5"/>
        <v>92359.524006564607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25.9</v>
      </c>
      <c r="D15" s="117">
        <f>'EMR28-19082728-S'!D15+'FA29-19082728-S'!D15+'BA30-19082829'!D15+'BA29-19082829-S'!D15+'AYG29-19082829-S'!D15+'G29-19082829-1'!D15+'G29-19082829'!D15+'KAZ28-19082627-D'!D15+'G28-19082426-1'!D15+'KAZ28-19082627-S'!D15+'G28-19082728'!D15+'MEM28-19082728-S'!D15+'BAY28-19082627-S'!D15+'ÇEK27-19082426-S'!D15+'BO27-190824265'!D15+'G26-19082426'!D15+'AYG26-19082526-S'!D15+'G24-19082122'!D15+'BO24-19082122'!D15+'EMR23-19082122-S'!D15+'MEM23-19082021-S'!D15+'G22-19082022-1'!D15+'G22-19082022'!D15+'BA21-19081921'!D15+'BA21-19081921-S'!D15+'EB20-19081920-S'!D15+'G20-19081719'!D15+'ÇEK20-19081719-D'!D15+'ÇEK20-19081719-S'!D15+'KAZ20-19081719-S'!D15+'G19-19081819-1'!D15+'G19-19081819'!D15+'G16-19081315-1'!D15+'ÖB16-19081516-D'!D15+'ÖB15-19081115-D'!D15+'G15-19081315'!D15+'ÇEK08-19080708-S'!D15+'EMR09-19080607-S'!D15+'G09-19080608-1'!D15+'ÖB09-19080607-1'!D15+'ÖB08-19080607'!D15+'G08-19080608'!D15+'ALP07-19080506'!D15+'ALP08-19080506-1'!D15+'ALP07-19080506-D'!D15+'MEM07-19080607-S'!D15+'G06-19080305'!D15+'ALP06-19080506-2'!D15+'G06-19083001-1'!D15+'ÖB06-19080405-1'!D15+'ÖB05-19080405'!D15+'ALP05-19072930'!D15+'EMR02-19083102-S'!D15+'MİR02-19080102-S'!D15+'BA02-19083101-S'!D15+'G02-19073031'!D15+'KAZ01-19083001-S'!D15+'ÇEK01-19083101-S'!D15+'G01-19083001'!D15</f>
        <v>1415.8</v>
      </c>
      <c r="E15" s="29">
        <f t="shared" si="1"/>
        <v>1.7627887472371605E-2</v>
      </c>
      <c r="F15" s="28">
        <f t="shared" si="2"/>
        <v>26.686295109447343</v>
      </c>
      <c r="G15" s="27" t="str">
        <f t="shared" si="3"/>
        <v>+</v>
      </c>
      <c r="H15" s="34">
        <f t="shared" si="4"/>
        <v>36669.219999999994</v>
      </c>
      <c r="I15" s="34">
        <f t="shared" si="5"/>
        <v>37782.456615955547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35.4</v>
      </c>
      <c r="D16" s="117">
        <f>'EMR28-19082728-S'!D16+'FA29-19082728-S'!D16+'BA30-19082829'!D16+'BA29-19082829-S'!D16+'AYG29-19082829-S'!D16+'G29-19082829-1'!D16+'G29-19082829'!D16+'KAZ28-19082627-D'!D16+'G28-19082426-1'!D16+'KAZ28-19082627-S'!D16+'G28-19082728'!D16+'MEM28-19082728-S'!D16+'BAY28-19082627-S'!D16+'ÇEK27-19082426-S'!D16+'BO27-190824265'!D16+'G26-19082426'!D16+'AYG26-19082526-S'!D16+'G24-19082122'!D16+'BO24-19082122'!D16+'EMR23-19082122-S'!D16+'MEM23-19082021-S'!D16+'G22-19082022-1'!D16+'G22-19082022'!D16+'BA21-19081921'!D16+'BA21-19081921-S'!D16+'EB20-19081920-S'!D16+'G20-19081719'!D16+'ÇEK20-19081719-D'!D16+'ÇEK20-19081719-S'!D16+'KAZ20-19081719-S'!D16+'G19-19081819-1'!D16+'G19-19081819'!D16+'G16-19081315-1'!D16+'ÖB16-19081516-D'!D16+'ÖB15-19081115-D'!D16+'G15-19081315'!D16+'ÇEK08-19080708-S'!D16+'EMR09-19080607-S'!D16+'G09-19080608-1'!D16+'ÖB09-19080607-1'!D16+'ÖB08-19080607'!D16+'G08-19080608'!D16+'ALP07-19080506'!D16+'ALP08-19080506-1'!D16+'ALP07-19080506-D'!D16+'MEM07-19080607-S'!D16+'G06-19080305'!D16+'ALP06-19080506-2'!D16+'G06-19083001-1'!D16+'ÖB06-19080405-1'!D16+'ÖB05-19080405'!D16+'ALP05-19072930'!D16+'EMR02-19083102-S'!D16+'MİR02-19080102-S'!D16+'BA02-19083101-S'!D16+'G02-19073031'!D16+'KAZ01-19083001-S'!D16+'ÇEK01-19083101-S'!D16+'G01-19083001'!D16</f>
        <v>520.1</v>
      </c>
      <c r="E16" s="29">
        <f t="shared" si="1"/>
        <v>6.4756775493575872E-3</v>
      </c>
      <c r="F16" s="28">
        <f t="shared" si="2"/>
        <v>36.474704512526486</v>
      </c>
      <c r="G16" s="27" t="str">
        <f t="shared" si="3"/>
        <v>+</v>
      </c>
      <c r="H16" s="34">
        <f t="shared" si="4"/>
        <v>18411.54</v>
      </c>
      <c r="I16" s="34">
        <f t="shared" si="5"/>
        <v>18970.493816965027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52.1</v>
      </c>
      <c r="D17" s="117">
        <f>'EMR28-19082728-S'!D17+'FA29-19082728-S'!D17+'BA30-19082829'!D17+'BA29-19082829-S'!D17+'AYG29-19082829-S'!D17+'G29-19082829-1'!D17+'G29-19082829'!D17+'KAZ28-19082627-D'!D17+'G28-19082426-1'!D17+'KAZ28-19082627-S'!D17+'G28-19082728'!D17+'MEM28-19082728-S'!D17+'BAY28-19082627-S'!D17+'ÇEK27-19082426-S'!D17+'BO27-190824265'!D17+'G26-19082426'!D17+'AYG26-19082526-S'!D17+'G24-19082122'!D17+'BO24-19082122'!D17+'EMR23-19082122-S'!D17+'MEM23-19082021-S'!D17+'G22-19082022-1'!D17+'G22-19082022'!D17+'BA21-19081921'!D17+'BA21-19081921-S'!D17+'EB20-19081920-S'!D17+'G20-19081719'!D17+'ÇEK20-19081719-D'!D17+'ÇEK20-19081719-S'!D17+'KAZ20-19081719-S'!D17+'G19-19081819-1'!D17+'G19-19081819'!D17+'G16-19081315-1'!D17+'ÖB16-19081516-D'!D17+'ÖB15-19081115-D'!D17+'G15-19081315'!D17+'ÇEK08-19080708-S'!D17+'EMR09-19080607-S'!D17+'G09-19080608-1'!D17+'ÖB09-19080607-1'!D17+'ÖB08-19080607'!D17+'G08-19080608'!D17+'ALP07-19080506'!D17+'ALP08-19080506-1'!D17+'ALP07-19080506-D'!D17+'MEM07-19080607-S'!D17+'G06-19080305'!D17+'ALP06-19080506-2'!D17+'G06-19083001-1'!D17+'ÖB06-19080405-1'!D17+'ÖB05-19080405'!D17+'ALP05-19072930'!D17+'EMR02-19083102-S'!D17+'MİR02-19080102-S'!D17+'BA02-19083101-S'!D17+'G02-19073031'!D17+'KAZ01-19083001-S'!D17+'ÇEK01-19083101-S'!D17+'G01-19083001'!D17</f>
        <v>461.9</v>
      </c>
      <c r="E17" s="29">
        <f t="shared" si="1"/>
        <v>5.7510391464108239E-3</v>
      </c>
      <c r="F17" s="28">
        <f t="shared" si="2"/>
        <v>53.681697884255087</v>
      </c>
      <c r="G17" s="27" t="str">
        <f t="shared" si="3"/>
        <v>+</v>
      </c>
      <c r="H17" s="34">
        <f t="shared" si="4"/>
        <v>24064.989999999998</v>
      </c>
      <c r="I17" s="34">
        <f t="shared" si="5"/>
        <v>24795.576252737425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45.7</v>
      </c>
      <c r="D18" s="117">
        <f>'EMR28-19082728-S'!D18+'FA29-19082728-S'!D18+'BA30-19082829'!D18+'BA29-19082829-S'!D18+'AYG29-19082829-S'!D18+'G29-19082829-1'!D18+'G29-19082829'!D18+'KAZ28-19082627-D'!D18+'G28-19082426-1'!D18+'KAZ28-19082627-S'!D18+'G28-19082728'!D18+'MEM28-19082728-S'!D18+'BAY28-19082627-S'!D18+'ÇEK27-19082426-S'!D18+'BO27-190824265'!D18+'G26-19082426'!D18+'AYG26-19082526-S'!D18+'G24-19082122'!D18+'BO24-19082122'!D18+'EMR23-19082122-S'!D18+'MEM23-19082021-S'!D18+'G22-19082022-1'!D18+'G22-19082022'!D18+'BA21-19081921'!D18+'BA21-19081921-S'!D18+'EB20-19081920-S'!D18+'G20-19081719'!D18+'ÇEK20-19081719-D'!D18+'ÇEK20-19081719-S'!D18+'KAZ20-19081719-S'!D18+'G19-19081819-1'!D18+'G19-19081819'!D18+'G16-19081315-1'!D18+'ÖB16-19081516-D'!D18+'ÖB15-19081115-D'!D18+'G15-19081315'!D18+'ÇEK08-19080708-S'!D18+'EMR09-19080607-S'!D18+'G09-19080608-1'!D18+'ÖB09-19080607-1'!D18+'ÖB08-19080607'!D18+'G08-19080608'!D18+'ALP07-19080506'!D18+'ALP08-19080506-1'!D18+'ALP07-19080506-D'!D18+'MEM07-19080607-S'!D18+'G06-19080305'!D18+'ALP06-19080506-2'!D18+'G06-19083001-1'!D18+'ÖB06-19080405-1'!D18+'ÖB05-19080405'!D18+'ALP05-19072930'!D18+'EMR02-19083102-S'!D18+'MİR02-19080102-S'!D18+'BA02-19083101-S'!D18+'G02-19073031'!D18+'KAZ01-19083001-S'!D18+'ÇEK01-19083101-S'!D18+'G01-19083001'!D18</f>
        <v>0</v>
      </c>
      <c r="E18" s="29">
        <f t="shared" si="1"/>
        <v>0</v>
      </c>
      <c r="F18" s="28">
        <f t="shared" si="2"/>
        <v>47.087401023233348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27.688906483297465</v>
      </c>
      <c r="D19" s="49">
        <f>SUM(D10:D18)</f>
        <v>80315.92</v>
      </c>
      <c r="E19" s="48">
        <f t="shared" si="1"/>
        <v>1</v>
      </c>
      <c r="F19" s="47">
        <f>I19/D19</f>
        <v>28.529510798114512</v>
      </c>
      <c r="G19" s="46">
        <f>F19/C19-1</f>
        <v>3.0358884534646302E-2</v>
      </c>
      <c r="H19" s="9">
        <f>SUM(H10:H18)</f>
        <v>2223859.9980000006</v>
      </c>
      <c r="I19" s="9">
        <f>SUM(I10:I18)</f>
        <v>2291373.9069005013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67.8</v>
      </c>
      <c r="D21" s="117">
        <f>'EMR28-19082728-S'!D21+'FA29-19082728-S'!D21+'BA30-19082829'!D21+'BA29-19082829-S'!D21+'AYG29-19082829-S'!D21+'G29-19082829-1'!D21+'G29-19082829'!D21+'KAZ28-19082627-D'!D21+'G28-19082426-1'!D21+'KAZ28-19082627-S'!D21+'G28-19082728'!D21+'MEM28-19082728-S'!D21+'BAY28-19082627-S'!D21+'ÇEK27-19082426-S'!D21+'BO27-190824265'!D21+'G26-19082426'!D21+'AYG26-19082526-S'!D21+'G24-19082122'!D21+'BO24-19082122'!D21+'EMR23-19082122-S'!D21+'MEM23-19082021-S'!D21+'G22-19082022-1'!D21+'G22-19082022'!D21+'BA21-19081921'!D21+'BA21-19081921-S'!D21+'EB20-19081920-S'!D21+'G20-19081719'!D21+'ÇEK20-19081719-D'!D21+'ÇEK20-19081719-S'!D21+'KAZ20-19081719-S'!D21+'G19-19081819-1'!D21+'G19-19081819'!D21+'G16-19081315-1'!D21+'ÖB16-19081516-D'!D21+'ÖB15-19081115-D'!D21+'G15-19081315'!D21+'ÇEK08-19080708-S'!D21+'EMR09-19080607-S'!D21+'G09-19080608-1'!D21+'ÖB09-19080607-1'!D21+'ÖB08-19080607'!D21+'G08-19080608'!D21+'ALP07-19080506'!D21+'ALP08-19080506-1'!D21+'ALP07-19080506-D'!D21+'MEM07-19080607-S'!D21+'G06-19080305'!D21+'ALP06-19080506-2'!D21+'G06-19083001-1'!D21+'ÖB06-19080405-1'!D21+'ÖB05-19080405'!D21+'ALP05-19072930'!D21+'EMR02-19083102-S'!D21+'MİR02-19080102-S'!D21+'BA02-19083101-S'!D21+'G02-19073031'!D21+'KAZ01-19083001-S'!D21+'ÇEK01-19083101-S'!D21+'G01-19083001'!D21</f>
        <v>5626.199999999998</v>
      </c>
      <c r="E21" s="29">
        <f>D21/$D$48</f>
        <v>1.1928657039131001E-2</v>
      </c>
      <c r="F21" s="28">
        <f>C21-(C21*$E$6)</f>
        <v>69.858332371449038</v>
      </c>
      <c r="G21" s="27" t="str">
        <f>IF(C21&gt;=F21,"-","+")</f>
        <v>+</v>
      </c>
      <c r="H21" s="26">
        <f>C21*D21</f>
        <v>381456.35999999987</v>
      </c>
      <c r="I21" s="26">
        <f>F21*D21</f>
        <v>393036.94958824641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45.5</v>
      </c>
      <c r="D22" s="117">
        <f>'EMR28-19082728-S'!D22+'FA29-19082728-S'!D22+'BA30-19082829'!D22+'BA29-19082829-S'!D22+'AYG29-19082829-S'!D22+'G29-19082829-1'!D22+'G29-19082829'!D22+'KAZ28-19082627-D'!D22+'G28-19082426-1'!D22+'KAZ28-19082627-S'!D22+'G28-19082728'!D22+'MEM28-19082728-S'!D22+'BAY28-19082627-S'!D22+'ÇEK27-19082426-S'!D22+'BO27-190824265'!D22+'G26-19082426'!D22+'AYG26-19082526-S'!D22+'G24-19082122'!D22+'BO24-19082122'!D22+'EMR23-19082122-S'!D22+'MEM23-19082021-S'!D22+'G22-19082022-1'!D22+'G22-19082022'!D22+'BA21-19081921'!D22+'BA21-19081921-S'!D22+'EB20-19081920-S'!D22+'G20-19081719'!D22+'ÇEK20-19081719-D'!D22+'ÇEK20-19081719-S'!D22+'KAZ20-19081719-S'!D22+'G19-19081819-1'!D22+'G19-19081819'!D22+'G16-19081315-1'!D22+'ÖB16-19081516-D'!D22+'ÖB15-19081115-D'!D22+'G15-19081315'!D22+'ÇEK08-19080708-S'!D22+'EMR09-19080607-S'!D22+'G09-19080608-1'!D22+'ÖB09-19080607-1'!D22+'ÖB08-19080607'!D22+'G08-19080608'!D22+'ALP07-19080506'!D22+'ALP08-19080506-1'!D22+'ALP07-19080506-D'!D22+'MEM07-19080607-S'!D22+'G06-19080305'!D22+'ALP06-19080506-2'!D22+'G06-19083001-1'!D22+'ÖB06-19080405-1'!D22+'ÖB05-19080405'!D22+'ALP05-19072930'!D22+'EMR02-19083102-S'!D22+'MİR02-19080102-S'!D22+'BA02-19083101-S'!D22+'G02-19073031'!D22+'KAZ01-19083001-S'!D22+'ÇEK01-19083101-S'!D22+'G01-19083001'!D22</f>
        <v>15098.699999999993</v>
      </c>
      <c r="E22" s="29">
        <f>D22/$D$48</f>
        <v>3.2012230997249869E-2</v>
      </c>
      <c r="F22" s="28">
        <f>C22-(C22*$E$6)</f>
        <v>46.881329246326416</v>
      </c>
      <c r="G22" s="27" t="str">
        <f>IF(C22&gt;=F22,"-","+")</f>
        <v>+</v>
      </c>
      <c r="H22" s="26">
        <f>C22*D22</f>
        <v>686990.84999999974</v>
      </c>
      <c r="I22" s="26">
        <f>F22*D22</f>
        <v>707847.1258915083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41.5</v>
      </c>
      <c r="D23" s="117">
        <f>'EMR28-19082728-S'!D23+'FA29-19082728-S'!D23+'BA30-19082829'!D23+'BA29-19082829-S'!D23+'AYG29-19082829-S'!D23+'G29-19082829-1'!D23+'G29-19082829'!D23+'KAZ28-19082627-D'!D23+'G28-19082426-1'!D23+'KAZ28-19082627-S'!D23+'G28-19082728'!D23+'MEM28-19082728-S'!D23+'BAY28-19082627-S'!D23+'ÇEK27-19082426-S'!D23+'BO27-190824265'!D23+'G26-19082426'!D23+'AYG26-19082526-S'!D23+'G24-19082122'!D23+'BO24-19082122'!D23+'EMR23-19082122-S'!D23+'MEM23-19082021-S'!D23+'G22-19082022-1'!D23+'G22-19082022'!D23+'BA21-19081921'!D23+'BA21-19081921-S'!D23+'EB20-19081920-S'!D23+'G20-19081719'!D23+'ÇEK20-19081719-D'!D23+'ÇEK20-19081719-S'!D23+'KAZ20-19081719-S'!D23+'G19-19081819-1'!D23+'G19-19081819'!D23+'G16-19081315-1'!D23+'ÖB16-19081516-D'!D23+'ÖB15-19081115-D'!D23+'G15-19081315'!D23+'ÇEK08-19080708-S'!D23+'EMR09-19080607-S'!D23+'G09-19080608-1'!D23+'ÖB09-19080607-1'!D23+'ÖB08-19080607'!D23+'G08-19080608'!D23+'ALP07-19080506'!D23+'ALP08-19080506-1'!D23+'ALP07-19080506-D'!D23+'MEM07-19080607-S'!D23+'G06-19080305'!D23+'ALP06-19080506-2'!D23+'G06-19083001-1'!D23+'ÖB06-19080405-1'!D23+'ÖB05-19080405'!D23+'ALP05-19072930'!D23+'EMR02-19083102-S'!D23+'MİR02-19080102-S'!D23+'BA02-19083101-S'!D23+'G02-19073031'!D23+'KAZ01-19083001-S'!D23+'ÇEK01-19083101-S'!D23+'G01-19083001'!D23</f>
        <v>10173.299999999997</v>
      </c>
      <c r="E23" s="29">
        <f>D23/$D$48</f>
        <v>2.1569408598377488E-2</v>
      </c>
      <c r="F23" s="28">
        <f>C23-(C23*$E$6)</f>
        <v>42.759893708187832</v>
      </c>
      <c r="G23" s="27" t="str">
        <f>IF(C23&gt;=F23,"-","+")</f>
        <v>+</v>
      </c>
      <c r="H23" s="26">
        <f>C23*D23</f>
        <v>422191.9499999999</v>
      </c>
      <c r="I23" s="26">
        <f>F23*D23</f>
        <v>435009.22666150716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48.243559819018579</v>
      </c>
      <c r="D24" s="22">
        <f>SUM(D21:D23)</f>
        <v>30898.19999999999</v>
      </c>
      <c r="E24" s="21">
        <f>D24/$D$48</f>
        <v>6.5510296634758367E-2</v>
      </c>
      <c r="F24" s="20">
        <f>I24/D24</f>
        <v>49.708180481104471</v>
      </c>
      <c r="G24" s="19">
        <f>F24/C24-1</f>
        <v>3.0358884534646302E-2</v>
      </c>
      <c r="H24" s="18">
        <f>SUM(H21:H23)</f>
        <v>1490639.1599999995</v>
      </c>
      <c r="I24" s="18">
        <f>SUM(I21:I23)</f>
        <v>1535893.3021412618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36.200000000000003</v>
      </c>
      <c r="D26" s="117">
        <f>'EMR28-19082728-S'!D26+'FA29-19082728-S'!D26+'BA30-19082829'!D26+'BA29-19082829-S'!D26+'AYG29-19082829-S'!D26+'G29-19082829-1'!D26+'G29-19082829'!D26+'KAZ28-19082627-D'!D26+'G28-19082426-1'!D26+'KAZ28-19082627-S'!D26+'G28-19082728'!D26+'MEM28-19082728-S'!D26+'BAY28-19082627-S'!D26+'ÇEK27-19082426-S'!D26+'BO27-190824265'!D26+'G26-19082426'!D26+'AYG26-19082526-S'!D26+'G24-19082122'!D26+'BO24-19082122'!D26+'EMR23-19082122-S'!D26+'MEM23-19082021-S'!D26+'G22-19082022-1'!D26+'G22-19082022'!D26+'BA21-19081921'!D26+'BA21-19081921-S'!D26+'EB20-19081920-S'!D26+'G20-19081719'!D26+'ÇEK20-19081719-D'!D26+'ÇEK20-19081719-S'!D26+'KAZ20-19081719-S'!D26+'G19-19081819-1'!D26+'G19-19081819'!D26+'G16-19081315-1'!D26+'ÖB16-19081516-D'!D26+'ÖB15-19081115-D'!D26+'G15-19081315'!D26+'ÇEK08-19080708-S'!D26+'EMR09-19080607-S'!D26+'G09-19080608-1'!D26+'ÖB09-19080607-1'!D26+'ÖB08-19080607'!D26+'G08-19080608'!D26+'ALP07-19080506'!D26+'ALP08-19080506-1'!D26+'ALP07-19080506-D'!D26+'MEM07-19080607-S'!D26+'G06-19080305'!D26+'ALP06-19080506-2'!D26+'G06-19083001-1'!D26+'ÖB06-19080405-1'!D26+'ÖB05-19080405'!D26+'ALP05-19072930'!D26+'EMR02-19083102-S'!D26+'MİR02-19080102-S'!D26+'BA02-19083101-S'!D26+'G02-19073031'!D26+'KAZ01-19083001-S'!D26+'ÇEK01-19083101-S'!D26+'G01-19083001'!D26</f>
        <v>81007.099999999991</v>
      </c>
      <c r="E26" s="29">
        <f t="shared" ref="E26:E32" si="7">D26/$D$48</f>
        <v>0.17175107774956261</v>
      </c>
      <c r="F26" s="28">
        <f t="shared" ref="F26:F31" si="8">C26-(C26*$E$6)</f>
        <v>37.298991620154204</v>
      </c>
      <c r="G26" s="27" t="str">
        <f t="shared" ref="G26:G31" si="9">IF(C26&gt;=F26,"-","+")</f>
        <v>+</v>
      </c>
      <c r="H26" s="26">
        <f t="shared" ref="H26:H31" si="10">C26*D26</f>
        <v>2932457.02</v>
      </c>
      <c r="I26" s="26">
        <f t="shared" ref="I26:I31" si="11">F26*D26</f>
        <v>3021483.1440729932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32.200000000000003</v>
      </c>
      <c r="D27" s="117">
        <f>'EMR28-19082728-S'!D27+'FA29-19082728-S'!D27+'BA30-19082829'!D27+'BA29-19082829-S'!D27+'AYG29-19082829-S'!D27+'G29-19082829-1'!D27+'G29-19082829'!D27+'KAZ28-19082627-D'!D27+'G28-19082426-1'!D27+'KAZ28-19082627-S'!D27+'G28-19082728'!D27+'MEM28-19082728-S'!D27+'BAY28-19082627-S'!D27+'ÇEK27-19082426-S'!D27+'BO27-190824265'!D27+'G26-19082426'!D27+'AYG26-19082526-S'!D27+'G24-19082122'!D27+'BO24-19082122'!D27+'EMR23-19082122-S'!D27+'MEM23-19082021-S'!D27+'G22-19082022-1'!D27+'G22-19082022'!D27+'BA21-19081921'!D27+'BA21-19081921-S'!D27+'EB20-19081920-S'!D27+'G20-19081719'!D27+'ÇEK20-19081719-D'!D27+'ÇEK20-19081719-S'!D27+'KAZ20-19081719-S'!D27+'G19-19081819-1'!D27+'G19-19081819'!D27+'G16-19081315-1'!D27+'ÖB16-19081516-D'!D27+'ÖB15-19081115-D'!D27+'G15-19081315'!D27+'ÇEK08-19080708-S'!D27+'EMR09-19080607-S'!D27+'G09-19080608-1'!D27+'ÖB09-19080607-1'!D27+'ÖB08-19080607'!D27+'G08-19080608'!D27+'ALP07-19080506'!D27+'ALP08-19080506-1'!D27+'ALP07-19080506-D'!D27+'MEM07-19080607-S'!D27+'G06-19080305'!D27+'ALP06-19080506-2'!D27+'G06-19083001-1'!D27+'ÖB06-19080405-1'!D27+'ÖB05-19080405'!D27+'ALP05-19072930'!D27+'EMR02-19083102-S'!D27+'MİR02-19080102-S'!D27+'BA02-19083101-S'!D27+'G02-19073031'!D27+'KAZ01-19083001-S'!D27+'ÇEK01-19083101-S'!D27+'G01-19083001'!D27</f>
        <v>75129.500000000015</v>
      </c>
      <c r="E27" s="29">
        <f t="shared" si="7"/>
        <v>0.15928940297561284</v>
      </c>
      <c r="F27" s="28">
        <f t="shared" si="8"/>
        <v>33.17755608201562</v>
      </c>
      <c r="G27" s="27" t="str">
        <f t="shared" si="9"/>
        <v>+</v>
      </c>
      <c r="H27" s="26">
        <f t="shared" si="10"/>
        <v>2419169.9000000008</v>
      </c>
      <c r="I27" s="26">
        <f t="shared" si="11"/>
        <v>2492613.1996637932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32.200000000000003</v>
      </c>
      <c r="D28" s="117">
        <f>'EMR28-19082728-S'!D28+'FA29-19082728-S'!D28+'BA30-19082829'!D28+'BA29-19082829-S'!D28+'AYG29-19082829-S'!D28+'G29-19082829-1'!D28+'G29-19082829'!D28+'KAZ28-19082627-D'!D28+'G28-19082426-1'!D28+'KAZ28-19082627-S'!D28+'G28-19082728'!D28+'MEM28-19082728-S'!D28+'BAY28-19082627-S'!D28+'ÇEK27-19082426-S'!D28+'BO27-190824265'!D28+'G26-19082426'!D28+'AYG26-19082526-S'!D28+'G24-19082122'!D28+'BO24-19082122'!D28+'EMR23-19082122-S'!D28+'MEM23-19082021-S'!D28+'G22-19082022-1'!D28+'G22-19082022'!D28+'BA21-19081921'!D28+'BA21-19081921-S'!D28+'EB20-19081920-S'!D28+'G20-19081719'!D28+'ÇEK20-19081719-D'!D28+'ÇEK20-19081719-S'!D28+'KAZ20-19081719-S'!D28+'G19-19081819-1'!D28+'G19-19081819'!D28+'G16-19081315-1'!D28+'ÖB16-19081516-D'!D28+'ÖB15-19081115-D'!D28+'G15-19081315'!D28+'ÇEK08-19080708-S'!D28+'EMR09-19080607-S'!D28+'G09-19080608-1'!D28+'ÖB09-19080607-1'!D28+'ÖB08-19080607'!D28+'G08-19080608'!D28+'ALP07-19080506'!D28+'ALP08-19080506-1'!D28+'ALP07-19080506-D'!D28+'MEM07-19080607-S'!D28+'G06-19080305'!D28+'ALP06-19080506-2'!D28+'G06-19083001-1'!D28+'ÖB06-19080405-1'!D28+'ÖB05-19080405'!D28+'ALP05-19072930'!D28+'EMR02-19083102-S'!D28+'MİR02-19080102-S'!D28+'BA02-19083101-S'!D28+'G02-19073031'!D28+'KAZ01-19083001-S'!D28+'ÇEK01-19083101-S'!D28+'G01-19083001'!D28</f>
        <v>46168.099999999991</v>
      </c>
      <c r="E28" s="29">
        <f t="shared" si="7"/>
        <v>9.7885505500747219E-2</v>
      </c>
      <c r="F28" s="28">
        <f t="shared" si="8"/>
        <v>33.17755608201562</v>
      </c>
      <c r="G28" s="27" t="str">
        <f t="shared" si="9"/>
        <v>+</v>
      </c>
      <c r="H28" s="26">
        <f t="shared" si="10"/>
        <v>1486612.8199999998</v>
      </c>
      <c r="I28" s="26">
        <f t="shared" si="11"/>
        <v>1531744.726950105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31.1</v>
      </c>
      <c r="D29" s="117">
        <f>'EMR28-19082728-S'!D29+'FA29-19082728-S'!D29+'BA30-19082829'!D29+'BA29-19082829-S'!D29+'AYG29-19082829-S'!D29+'G29-19082829-1'!D29+'G29-19082829'!D29+'KAZ28-19082627-D'!D29+'G28-19082426-1'!D29+'KAZ28-19082627-S'!D29+'G28-19082728'!D29+'MEM28-19082728-S'!D29+'BAY28-19082627-S'!D29+'ÇEK27-19082426-S'!D29+'BO27-190824265'!D29+'G26-19082426'!D29+'AYG26-19082526-S'!D29+'G24-19082122'!D29+'BO24-19082122'!D29+'EMR23-19082122-S'!D29+'MEM23-19082021-S'!D29+'G22-19082022-1'!D29+'G22-19082022'!D29+'BA21-19081921'!D29+'BA21-19081921-S'!D29+'EB20-19081920-S'!D29+'G20-19081719'!D29+'ÇEK20-19081719-D'!D29+'ÇEK20-19081719-S'!D29+'KAZ20-19081719-S'!D29+'G19-19081819-1'!D29+'G19-19081819'!D29+'G16-19081315-1'!D29+'ÖB16-19081516-D'!D29+'ÖB15-19081115-D'!D29+'G15-19081315'!D29+'ÇEK08-19080708-S'!D29+'EMR09-19080607-S'!D29+'G09-19080608-1'!D29+'ÖB09-19080607-1'!D29+'ÖB08-19080607'!D29+'G08-19080608'!D29+'ALP07-19080506'!D29+'ALP08-19080506-1'!D29+'ALP07-19080506-D'!D29+'MEM07-19080607-S'!D29+'G06-19080305'!D29+'ALP06-19080506-2'!D29+'G06-19083001-1'!D29+'ÖB06-19080405-1'!D29+'ÖB05-19080405'!D29+'ALP05-19072930'!D29+'EMR02-19083102-S'!D29+'MİR02-19080102-S'!D29+'BA02-19083101-S'!D29+'G02-19073031'!D29+'KAZ01-19083001-S'!D29+'ÇEK01-19083101-S'!D29+'G01-19083001'!D29</f>
        <v>40634.6</v>
      </c>
      <c r="E29" s="29">
        <f t="shared" si="7"/>
        <v>8.61533908005888E-2</v>
      </c>
      <c r="F29" s="28">
        <f t="shared" si="8"/>
        <v>32.044161309027508</v>
      </c>
      <c r="G29" s="27" t="str">
        <f t="shared" si="9"/>
        <v>+</v>
      </c>
      <c r="H29" s="26">
        <f t="shared" si="10"/>
        <v>1263736.06</v>
      </c>
      <c r="I29" s="26">
        <f t="shared" si="11"/>
        <v>1302101.677127809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31.1</v>
      </c>
      <c r="D30" s="117">
        <f>'EMR28-19082728-S'!D30+'FA29-19082728-S'!D30+'BA30-19082829'!D30+'BA29-19082829-S'!D30+'AYG29-19082829-S'!D30+'G29-19082829-1'!D30+'G29-19082829'!D30+'KAZ28-19082627-D'!D30+'G28-19082426-1'!D30+'KAZ28-19082627-S'!D30+'G28-19082728'!D30+'MEM28-19082728-S'!D30+'BAY28-19082627-S'!D30+'ÇEK27-19082426-S'!D30+'BO27-190824265'!D30+'G26-19082426'!D30+'AYG26-19082526-S'!D30+'G24-19082122'!D30+'BO24-19082122'!D30+'EMR23-19082122-S'!D30+'MEM23-19082021-S'!D30+'G22-19082022-1'!D30+'G22-19082022'!D30+'BA21-19081921'!D30+'BA21-19081921-S'!D30+'EB20-19081920-S'!D30+'G20-19081719'!D30+'ÇEK20-19081719-D'!D30+'ÇEK20-19081719-S'!D30+'KAZ20-19081719-S'!D30+'G19-19081819-1'!D30+'G19-19081819'!D30+'G16-19081315-1'!D30+'ÖB16-19081516-D'!D30+'ÖB15-19081115-D'!D30+'G15-19081315'!D30+'ÇEK08-19080708-S'!D30+'EMR09-19080607-S'!D30+'G09-19080608-1'!D30+'ÖB09-19080607-1'!D30+'ÖB08-19080607'!D30+'G08-19080608'!D30+'ALP07-19080506'!D30+'ALP08-19080506-1'!D30+'ALP07-19080506-D'!D30+'MEM07-19080607-S'!D30+'G06-19080305'!D30+'ALP06-19080506-2'!D30+'G06-19083001-1'!D30+'ÖB06-19080405-1'!D30+'ÖB05-19080405'!D30+'ALP05-19072930'!D30+'EMR02-19083102-S'!D30+'MİR02-19080102-S'!D30+'BA02-19083101-S'!D30+'G02-19073031'!D30+'KAZ01-19083001-S'!D30+'ÇEK01-19083101-S'!D30+'G01-19083001'!D30</f>
        <v>30566.599999999995</v>
      </c>
      <c r="E30" s="29">
        <f t="shared" si="7"/>
        <v>6.4807239033859751E-2</v>
      </c>
      <c r="F30" s="28">
        <f t="shared" si="8"/>
        <v>32.044161309027508</v>
      </c>
      <c r="G30" s="27" t="str">
        <f t="shared" si="9"/>
        <v>+</v>
      </c>
      <c r="H30" s="26">
        <f t="shared" si="10"/>
        <v>950621.25999999989</v>
      </c>
      <c r="I30" s="26">
        <f t="shared" si="11"/>
        <v>979481.06106852007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31.7</v>
      </c>
      <c r="D31" s="117">
        <f>'EMR28-19082728-S'!D31+'FA29-19082728-S'!D31+'BA30-19082829'!D31+'BA29-19082829-S'!D31+'AYG29-19082829-S'!D31+'G29-19082829-1'!D31+'G29-19082829'!D31+'KAZ28-19082627-D'!D31+'G28-19082426-1'!D31+'KAZ28-19082627-S'!D31+'G28-19082728'!D31+'MEM28-19082728-S'!D31+'BAY28-19082627-S'!D31+'ÇEK27-19082426-S'!D31+'BO27-190824265'!D31+'G26-19082426'!D31+'AYG26-19082526-S'!D31+'G24-19082122'!D31+'BO24-19082122'!D31+'EMR23-19082122-S'!D31+'MEM23-19082021-S'!D31+'G22-19082022-1'!D31+'G22-19082022'!D31+'BA21-19081921'!D31+'BA21-19081921-S'!D31+'EB20-19081920-S'!D31+'G20-19081719'!D31+'ÇEK20-19081719-D'!D31+'ÇEK20-19081719-S'!D31+'KAZ20-19081719-S'!D31+'G19-19081819-1'!D31+'G19-19081819'!D31+'G16-19081315-1'!D31+'ÖB16-19081516-D'!D31+'ÖB15-19081115-D'!D31+'G15-19081315'!D31+'ÇEK08-19080708-S'!D31+'EMR09-19080607-S'!D31+'G09-19080608-1'!D31+'ÖB09-19080607-1'!D31+'ÖB08-19080607'!D31+'G08-19080608'!D31+'ALP07-19080506'!D31+'ALP08-19080506-1'!D31+'ALP07-19080506-D'!D31+'MEM07-19080607-S'!D31+'G06-19080305'!D31+'ALP06-19080506-2'!D31+'G06-19083001-1'!D31+'ÖB06-19080405-1'!D31+'ÖB05-19080405'!D31+'ALP05-19072930'!D31+'EMR02-19083102-S'!D31+'MİR02-19080102-S'!D31+'BA02-19083101-S'!D31+'G02-19073031'!D31+'KAZ01-19083001-S'!D31+'ÇEK01-19083101-S'!D31+'G01-19083001'!D31</f>
        <v>9109.3999999999978</v>
      </c>
      <c r="E31" s="29">
        <f t="shared" si="7"/>
        <v>1.9313730125530545E-2</v>
      </c>
      <c r="F31" s="28">
        <f t="shared" si="8"/>
        <v>32.662376639748295</v>
      </c>
      <c r="G31" s="27" t="str">
        <f t="shared" si="9"/>
        <v>+</v>
      </c>
      <c r="H31" s="26">
        <f t="shared" si="10"/>
        <v>288767.97999999992</v>
      </c>
      <c r="I31" s="26">
        <f t="shared" si="11"/>
        <v>297534.65376212302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33.053288480843037</v>
      </c>
      <c r="D32" s="22">
        <f>SUM(D26:D31)</f>
        <v>282615.30000000005</v>
      </c>
      <c r="E32" s="21">
        <f t="shared" si="7"/>
        <v>0.5992003461859019</v>
      </c>
      <c r="F32" s="20">
        <f>I32/D32</f>
        <v>34.056749449323313</v>
      </c>
      <c r="G32" s="19">
        <f>F32/C32-1</f>
        <v>3.0358884534646524E-2</v>
      </c>
      <c r="H32" s="18">
        <f>SUM(H26:H31)</f>
        <v>9341365.040000001</v>
      </c>
      <c r="I32" s="18">
        <f>SUM(I26:I31)</f>
        <v>9624958.4626453444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</v>
      </c>
      <c r="D34" s="117">
        <f>'EMR28-19082728-S'!D34+'FA29-19082728-S'!D34+'BA30-19082829'!D34+'BA29-19082829-S'!D34+'AYG29-19082829-S'!D34+'G29-19082829-1'!D34+'G29-19082829'!D34+'KAZ28-19082627-D'!D34+'G28-19082426-1'!D34+'KAZ28-19082627-S'!D34+'G28-19082728'!D34+'MEM28-19082728-S'!D34+'BAY28-19082627-S'!D34+'ÇEK27-19082426-S'!D34+'BO27-190824265'!D34+'G26-19082426'!D34+'AYG26-19082526-S'!D34+'G24-19082122'!D34+'BO24-19082122'!D34+'EMR23-19082122-S'!D34+'MEM23-19082021-S'!D34+'G22-19082022-1'!D34+'G22-19082022'!D34+'BA21-19081921'!D34+'BA21-19081921-S'!D34+'EB20-19081920-S'!D34+'G20-19081719'!D34+'ÇEK20-19081719-D'!D34+'ÇEK20-19081719-S'!D34+'KAZ20-19081719-S'!D34+'G19-19081819-1'!D34+'G19-19081819'!D34+'G16-19081315-1'!D34+'ÖB16-19081516-D'!D34+'ÖB15-19081115-D'!D34+'G15-19081315'!D34+'ÇEK08-19080708-S'!D34+'EMR09-19080607-S'!D34+'G09-19080608-1'!D34+'ÖB09-19080607-1'!D34+'ÖB08-19080607'!D34+'G08-19080608'!D34+'ALP07-19080506'!D34+'ALP08-19080506-1'!D34+'ALP07-19080506-D'!D34+'MEM07-19080607-S'!D34+'G06-19080305'!D34+'ALP06-19080506-2'!D34+'G06-19083001-1'!D34+'ÖB06-19080405-1'!D34+'ÖB05-19080405'!D34+'ALP05-19072930'!D34+'EMR02-19083102-S'!D34+'MİR02-19080102-S'!D34+'BA02-19083101-S'!D34+'G02-19073031'!D34+'KAZ01-19083001-S'!D34+'ÇEK01-19083101-S'!D34+'G01-19083001'!D34</f>
        <v>68359.200000000012</v>
      </c>
      <c r="E34" s="29">
        <f t="shared" ref="E34:E40" si="13">D34/$D$48</f>
        <v>0.14493502759755506</v>
      </c>
      <c r="F34" s="28">
        <f t="shared" ref="F34:F39" si="14">C34-(C34*$E$6)</f>
        <v>19.576818806158283</v>
      </c>
      <c r="G34" s="27" t="str">
        <f t="shared" ref="G34:G39" si="15">IF(C34&gt;=F34,"-","+")</f>
        <v>+</v>
      </c>
      <c r="H34" s="26">
        <f t="shared" ref="H34:H39" si="16">C34*D34</f>
        <v>1298824.8000000003</v>
      </c>
      <c r="I34" s="26">
        <f t="shared" ref="I34:I39" si="17">F34*D34</f>
        <v>1338255.6721339356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14.6</v>
      </c>
      <c r="D35" s="117">
        <f>'EMR28-19082728-S'!D35+'FA29-19082728-S'!D35+'BA30-19082829'!D35+'BA29-19082829-S'!D35+'AYG29-19082829-S'!D35+'G29-19082829-1'!D35+'G29-19082829'!D35+'KAZ28-19082627-D'!D35+'G28-19082426-1'!D35+'KAZ28-19082627-S'!D35+'G28-19082728'!D35+'MEM28-19082728-S'!D35+'BAY28-19082627-S'!D35+'ÇEK27-19082426-S'!D35+'BO27-190824265'!D35+'G26-19082426'!D35+'AYG26-19082526-S'!D35+'G24-19082122'!D35+'BO24-19082122'!D35+'EMR23-19082122-S'!D35+'MEM23-19082021-S'!D35+'G22-19082022-1'!D35+'G22-19082022'!D35+'BA21-19081921'!D35+'BA21-19081921-S'!D35+'EB20-19081920-S'!D35+'G20-19081719'!D35+'ÇEK20-19081719-D'!D35+'ÇEK20-19081719-S'!D35+'KAZ20-19081719-S'!D35+'G19-19081819-1'!D35+'G19-19081819'!D35+'G16-19081315-1'!D35+'ÖB16-19081516-D'!D35+'ÖB15-19081115-D'!D35+'G15-19081315'!D35+'ÇEK08-19080708-S'!D35+'EMR09-19080607-S'!D35+'G09-19080608-1'!D35+'ÖB09-19080607-1'!D35+'ÖB08-19080607'!D35+'G08-19080608'!D35+'ALP07-19080506'!D35+'ALP08-19080506-1'!D35+'ALP07-19080506-D'!D35+'MEM07-19080607-S'!D35+'G06-19080305'!D35+'ALP06-19080506-2'!D35+'G06-19083001-1'!D35+'ÖB06-19080405-1'!D35+'ÖB05-19080405'!D35+'ALP05-19072930'!D35+'EMR02-19083102-S'!D35+'MİR02-19080102-S'!D35+'BA02-19083101-S'!D35+'G02-19073031'!D35+'KAZ01-19083001-S'!D35+'ÇEK01-19083101-S'!D35+'G01-19083001'!D35</f>
        <v>3313.7000000000003</v>
      </c>
      <c r="E35" s="29">
        <f t="shared" si="13"/>
        <v>7.0256995539739811E-3</v>
      </c>
      <c r="F35" s="28">
        <f t="shared" si="14"/>
        <v>15.043239714205839</v>
      </c>
      <c r="G35" s="27" t="str">
        <f t="shared" si="15"/>
        <v>+</v>
      </c>
      <c r="H35" s="26">
        <f t="shared" si="16"/>
        <v>48380.020000000004</v>
      </c>
      <c r="I35" s="26">
        <f t="shared" si="17"/>
        <v>49848.783440963896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117">
        <f>'EMR28-19082728-S'!D36+'FA29-19082728-S'!D36+'BA30-19082829'!D36+'BA29-19082829-S'!D36+'AYG29-19082829-S'!D36+'G29-19082829-1'!D36+'G29-19082829'!D36+'KAZ28-19082627-D'!D36+'G28-19082426-1'!D36+'KAZ28-19082627-S'!D36+'G28-19082728'!D36+'MEM28-19082728-S'!D36+'BAY28-19082627-S'!D36+'ÇEK27-19082426-S'!D36+'BO27-190824265'!D36+'G26-19082426'!D36+'AYG26-19082526-S'!D36+'G24-19082122'!D36+'BO24-19082122'!D36+'EMR23-19082122-S'!D36+'MEM23-19082021-S'!D36+'G22-19082022-1'!D36+'G22-19082022'!D36+'BA21-19081921'!D36+'BA21-19081921-S'!D36+'EB20-19081920-S'!D36+'G20-19081719'!D36+'ÇEK20-19081719-D'!D36+'ÇEK20-19081719-S'!D36+'KAZ20-19081719-S'!D36+'G19-19081819-1'!D36+'G19-19081819'!D36+'G16-19081315-1'!D36+'ÖB16-19081516-D'!D36+'ÖB15-19081115-D'!D36+'G15-19081315'!D36+'ÇEK08-19080708-S'!D36+'EMR09-19080607-S'!D36+'G09-19080608-1'!D36+'ÖB09-19080607-1'!D36+'ÖB08-19080607'!D36+'G08-19080608'!D36+'ALP07-19080506'!D36+'ALP08-19080506-1'!D36+'ALP07-19080506-D'!D36+'MEM07-19080607-S'!D36+'G06-19080305'!D36+'ALP06-19080506-2'!D36+'G06-19083001-1'!D36+'ÖB06-19080405-1'!D36+'ÖB05-19080405'!D36+'ALP05-19072930'!D36+'EMR02-19083102-S'!D36+'MİR02-19080102-S'!D36+'BA02-19083101-S'!D36+'G02-19073031'!D36+'KAZ01-19083001-S'!D36+'ÇEK01-19083101-S'!D36+'G01-19083001'!D36</f>
        <v>0</v>
      </c>
      <c r="E36" s="29">
        <f t="shared" si="13"/>
        <v>0</v>
      </c>
      <c r="F36" s="28">
        <f t="shared" si="14"/>
        <v>12.15823483750883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31.1</v>
      </c>
      <c r="D37" s="117">
        <f>'EMR28-19082728-S'!D37+'FA29-19082728-S'!D37+'BA30-19082829'!D37+'BA29-19082829-S'!D37+'AYG29-19082829-S'!D37+'G29-19082829-1'!D37+'G29-19082829'!D37+'KAZ28-19082627-D'!D37+'G28-19082426-1'!D37+'KAZ28-19082627-S'!D37+'G28-19082728'!D37+'MEM28-19082728-S'!D37+'BAY28-19082627-S'!D37+'ÇEK27-19082426-S'!D37+'BO27-190824265'!D37+'G26-19082426'!D37+'AYG26-19082526-S'!D37+'G24-19082122'!D37+'BO24-19082122'!D37+'EMR23-19082122-S'!D37+'MEM23-19082021-S'!D37+'G22-19082022-1'!D37+'G22-19082022'!D37+'BA21-19081921'!D37+'BA21-19081921-S'!D37+'EB20-19081920-S'!D37+'G20-19081719'!D37+'ÇEK20-19081719-D'!D37+'ÇEK20-19081719-S'!D37+'KAZ20-19081719-S'!D37+'G19-19081819-1'!D37+'G19-19081819'!D37+'G16-19081315-1'!D37+'ÖB16-19081516-D'!D37+'ÖB15-19081115-D'!D37+'G15-19081315'!D37+'ÇEK08-19080708-S'!D37+'EMR09-19080607-S'!D37+'G09-19080608-1'!D37+'ÖB09-19080607-1'!D37+'ÖB08-19080607'!D37+'G08-19080608'!D37+'ALP07-19080506'!D37+'ALP08-19080506-1'!D37+'ALP07-19080506-D'!D37+'MEM07-19080607-S'!D37+'G06-19080305'!D37+'ALP06-19080506-2'!D37+'G06-19083001-1'!D37+'ÖB06-19080405-1'!D37+'ÖB05-19080405'!D37+'ALP05-19072930'!D37+'EMR02-19083102-S'!D37+'MİR02-19080102-S'!D37+'BA02-19083101-S'!D37+'G02-19073031'!D37+'KAZ01-19083001-S'!D37+'ÇEK01-19083101-S'!D37+'G01-19083001'!D37</f>
        <v>0</v>
      </c>
      <c r="E37" s="29">
        <f t="shared" si="13"/>
        <v>0</v>
      </c>
      <c r="F37" s="28">
        <f t="shared" si="14"/>
        <v>32.044161309027508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31.1</v>
      </c>
      <c r="D38" s="117">
        <f>'EMR28-19082728-S'!D38+'FA29-19082728-S'!D38+'BA30-19082829'!D38+'BA29-19082829-S'!D38+'AYG29-19082829-S'!D38+'G29-19082829-1'!D38+'G29-19082829'!D38+'KAZ28-19082627-D'!D38+'G28-19082426-1'!D38+'KAZ28-19082627-S'!D38+'G28-19082728'!D38+'MEM28-19082728-S'!D38+'BAY28-19082627-S'!D38+'ÇEK27-19082426-S'!D38+'BO27-190824265'!D38+'G26-19082426'!D38+'AYG26-19082526-S'!D38+'G24-19082122'!D38+'BO24-19082122'!D38+'EMR23-19082122-S'!D38+'MEM23-19082021-S'!D38+'G22-19082022-1'!D38+'G22-19082022'!D38+'BA21-19081921'!D38+'BA21-19081921-S'!D38+'EB20-19081920-S'!D38+'G20-19081719'!D38+'ÇEK20-19081719-D'!D38+'ÇEK20-19081719-S'!D38+'KAZ20-19081719-S'!D38+'G19-19081819-1'!D38+'G19-19081819'!D38+'G16-19081315-1'!D38+'ÖB16-19081516-D'!D38+'ÖB15-19081115-D'!D38+'G15-19081315'!D38+'ÇEK08-19080708-S'!D38+'EMR09-19080607-S'!D38+'G09-19080608-1'!D38+'ÖB09-19080607-1'!D38+'ÖB08-19080607'!D38+'G08-19080608'!D38+'ALP07-19080506'!D38+'ALP08-19080506-1'!D38+'ALP07-19080506-D'!D38+'MEM07-19080607-S'!D38+'G06-19080305'!D38+'ALP06-19080506-2'!D38+'G06-19083001-1'!D38+'ÖB06-19080405-1'!D38+'ÖB05-19080405'!D38+'ALP05-19072930'!D38+'EMR02-19083102-S'!D38+'MİR02-19080102-S'!D38+'BA02-19083101-S'!D38+'G02-19073031'!D38+'KAZ01-19083001-S'!D38+'ÇEK01-19083101-S'!D38+'G01-19083001'!D38</f>
        <v>0</v>
      </c>
      <c r="E38" s="29">
        <f t="shared" si="13"/>
        <v>0</v>
      </c>
      <c r="F38" s="28">
        <f t="shared" si="14"/>
        <v>32.044161309027508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32.200000000000003</v>
      </c>
      <c r="D39" s="117">
        <f>'EMR28-19082728-S'!D39+'FA29-19082728-S'!D39+'BA30-19082829'!D39+'BA29-19082829-S'!D39+'AYG29-19082829-S'!D39+'G29-19082829-1'!D39+'G29-19082829'!D39+'KAZ28-19082627-D'!D39+'G28-19082426-1'!D39+'KAZ28-19082627-S'!D39+'G28-19082728'!D39+'MEM28-19082728-S'!D39+'BAY28-19082627-S'!D39+'ÇEK27-19082426-S'!D39+'BO27-190824265'!D39+'G26-19082426'!D39+'AYG26-19082526-S'!D39+'G24-19082122'!D39+'BO24-19082122'!D39+'EMR23-19082122-S'!D39+'MEM23-19082021-S'!D39+'G22-19082022-1'!D39+'G22-19082022'!D39+'BA21-19081921'!D39+'BA21-19081921-S'!D39+'EB20-19081920-S'!D39+'G20-19081719'!D39+'ÇEK20-19081719-D'!D39+'ÇEK20-19081719-S'!D39+'KAZ20-19081719-S'!D39+'G19-19081819-1'!D39+'G19-19081819'!D39+'G16-19081315-1'!D39+'ÖB16-19081516-D'!D39+'ÖB15-19081115-D'!D39+'G15-19081315'!D39+'ÇEK08-19080708-S'!D39+'EMR09-19080607-S'!D39+'G09-19080608-1'!D39+'ÖB09-19080607-1'!D39+'ÖB08-19080607'!D39+'G08-19080608'!D39+'ALP07-19080506'!D39+'ALP08-19080506-1'!D39+'ALP07-19080506-D'!D39+'MEM07-19080607-S'!D39+'G06-19080305'!D39+'ALP06-19080506-2'!D39+'G06-19083001-1'!D39+'ÖB06-19080405-1'!D39+'ÖB05-19080405'!D39+'ALP05-19072930'!D39+'EMR02-19083102-S'!D39+'MİR02-19080102-S'!D39+'BA02-19083101-S'!D39+'G02-19073031'!D39+'KAZ01-19083001-S'!D39+'ÇEK01-19083101-S'!D39+'G01-19083001'!D39</f>
        <v>0</v>
      </c>
      <c r="E39" s="29">
        <f t="shared" si="13"/>
        <v>0</v>
      </c>
      <c r="F39" s="28">
        <f t="shared" si="14"/>
        <v>33.17755608201562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18.796571926069689</v>
      </c>
      <c r="D40" s="22">
        <f>SUM(D34:D39)</f>
        <v>71672.900000000009</v>
      </c>
      <c r="E40" s="21">
        <f t="shared" si="13"/>
        <v>0.15196072715152906</v>
      </c>
      <c r="F40" s="20">
        <f>I40/D40</f>
        <v>19.367214882820413</v>
      </c>
      <c r="G40" s="19">
        <f>F40/C40-1</f>
        <v>3.0358884534646302E-2</v>
      </c>
      <c r="H40" s="18">
        <f>SUM(H34:H39)</f>
        <v>1347204.8200000003</v>
      </c>
      <c r="I40" s="18">
        <f>SUM(I34:I39)</f>
        <v>1388104.4555748994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117">
        <f>'EMR28-19082728-S'!D42+'FA29-19082728-S'!D42+'BA30-19082829'!D42+'BA29-19082829-S'!D42+'AYG29-19082829-S'!D42+'G29-19082829-1'!D42+'G29-19082829'!D42+'KAZ28-19082627-D'!D42+'G28-19082426-1'!D42+'KAZ28-19082627-S'!D42+'G28-19082728'!D42+'MEM28-19082728-S'!D42+'BAY28-19082627-S'!D42+'ÇEK27-19082426-S'!D42+'BO27-190824265'!D42+'G26-19082426'!D42+'AYG26-19082526-S'!D42+'G24-19082122'!D42+'BO24-19082122'!D42+'EMR23-19082122-S'!D42+'MEM23-19082021-S'!D42+'G22-19082022-1'!D42+'G22-19082022'!D42+'BA21-19081921'!D42+'BA21-19081921-S'!D42+'EB20-19081920-S'!D42+'G20-19081719'!D42+'ÇEK20-19081719-D'!D42+'ÇEK20-19081719-S'!D42+'KAZ20-19081719-S'!D42+'G19-19081819-1'!D42+'G19-19081819'!D42+'G16-19081315-1'!D42+'ÖB16-19081516-D'!D42+'ÖB15-19081115-D'!D42+'G15-19081315'!D42+'ÇEK08-19080708-S'!D42+'EMR09-19080607-S'!D42+'G09-19080608-1'!D42+'ÖB09-19080607-1'!D42+'ÖB08-19080607'!D42+'G08-19080608'!D42+'ALP07-19080506'!D42+'ALP08-19080506-1'!D42+'ALP07-19080506-D'!D42+'MEM07-19080607-S'!D42+'G06-19080305'!D42+'ALP06-19080506-2'!D42+'G06-19083001-1'!D42+'ÖB06-19080405-1'!D42+'ÖB05-19080405'!D42+'ALP05-19072930'!D42+'EMR02-19083102-S'!D42+'MİR02-19080102-S'!D42+'BA02-19083101-S'!D42+'G02-19073031'!D42+'KAZ01-19083001-S'!D42+'ÇEK01-19083101-S'!D42+'G01-19083001'!D42</f>
        <v>82567.300000000017</v>
      </c>
      <c r="E42" s="107">
        <f>D42/$D$48</f>
        <v>0.17505901040614297</v>
      </c>
      <c r="F42" s="28">
        <f>C42-(C42*$E$6)</f>
        <v>0.41214355381385864</v>
      </c>
      <c r="G42" s="27" t="str">
        <f>IF(C42&gt;=F42,"-","+")</f>
        <v>+</v>
      </c>
      <c r="H42" s="26">
        <f>C42*D42</f>
        <v>33026.920000000006</v>
      </c>
      <c r="I42" s="26">
        <f>F42*D42</f>
        <v>34029.580450815018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117">
        <f>'EMR28-19082728-S'!D43+'FA29-19082728-S'!D43+'BA30-19082829'!D43+'BA29-19082829-S'!D43+'AYG29-19082829-S'!D43+'G29-19082829-1'!D43+'G29-19082829'!D43+'KAZ28-19082627-D'!D43+'G28-19082426-1'!D43+'KAZ28-19082627-S'!D43+'G28-19082728'!D43+'MEM28-19082728-S'!D43+'BAY28-19082627-S'!D43+'ÇEK27-19082426-S'!D43+'BO27-190824265'!D43+'G26-19082426'!D43+'AYG26-19082526-S'!D43+'G24-19082122'!D43+'BO24-19082122'!D43+'EMR23-19082122-S'!D43+'MEM23-19082021-S'!D43+'G22-19082022-1'!D43+'G22-19082022'!D43+'BA21-19081921'!D43+'BA21-19081921-S'!D43+'EB20-19081920-S'!D43+'G20-19081719'!D43+'ÇEK20-19081719-D'!D43+'ÇEK20-19081719-S'!D43+'KAZ20-19081719-S'!D43+'G19-19081819-1'!D43+'G19-19081819'!D43+'G16-19081315-1'!D43+'ÖB16-19081516-D'!D43+'ÖB15-19081115-D'!D43+'G15-19081315'!D43+'ÇEK08-19080708-S'!D43+'EMR09-19080607-S'!D43+'G09-19080608-1'!D43+'ÖB09-19080607-1'!D43+'ÖB08-19080607'!D43+'G08-19080608'!D43+'ALP07-19080506'!D43+'ALP08-19080506-1'!D43+'ALP07-19080506-D'!D43+'MEM07-19080607-S'!D43+'G06-19080305'!D43+'ALP06-19080506-2'!D43+'G06-19083001-1'!D43+'ÖB06-19080405-1'!D43+'ÖB05-19080405'!D43+'ALP05-19072930'!D43+'EMR02-19083102-S'!D43+'MİR02-19080102-S'!D43+'BA02-19083101-S'!D43+'G02-19073031'!D43+'KAZ01-19083001-S'!D43+'ÇEK01-19083101-S'!D43+'G01-19083001'!D43</f>
        <v>3283</v>
      </c>
      <c r="E43" s="107">
        <f>D43/$D$48</f>
        <v>6.9606094805494097E-3</v>
      </c>
      <c r="F43" s="28">
        <f>C43-(C43*$E$6)</f>
        <v>0.41214355381385864</v>
      </c>
      <c r="G43" s="27" t="str">
        <f>IF(C43&gt;=F43,"-","+")</f>
        <v>+</v>
      </c>
      <c r="H43" s="26">
        <f>C43*D43</f>
        <v>1313.2</v>
      </c>
      <c r="I43" s="26">
        <f>F43*D43</f>
        <v>1353.067287170898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EMR28-19082728-S'!D44+'FA29-19082728-S'!D44+'BA30-19082829'!D44+'BA29-19082829-S'!D44+'AYG29-19082829-S'!D44+'G29-19082829-1'!D44+'G29-19082829'!D44+'KAZ28-19082627-D'!D44+'G28-19082426-1'!D44+'KAZ28-19082627-S'!D44+'G28-19082728'!D44+'MEM28-19082728-S'!D44+'BAY28-19082627-S'!D44+'ÇEK27-19082426-S'!D44+'BO27-190824265'!D44+'G26-19082426'!D44+'AYG26-19082526-S'!D44+'G24-19082122'!D44+'BO24-19082122'!D44+'EMR23-19082122-S'!D44+'MEM23-19082021-S'!D44+'G22-19082022-1'!D44+'G22-19082022'!D44+'BA21-19081921'!D44+'BA21-19081921-S'!D44+'EB20-19081920-S'!D44+'G20-19081719'!D44+'ÇEK20-19081719-D'!D44+'ÇEK20-19081719-S'!D44+'KAZ20-19081719-S'!D44+'G19-19081819-1'!D44+'G19-19081819'!D44+'G16-19081315-1'!D44+'ÖB16-19081516-D'!D44+'ÖB15-19081115-D'!D44+'G15-19081315'!D44+'ÇEK08-19080708-S'!D44+'EMR09-19080607-S'!D44+'G09-19080608-1'!D44+'ÖB09-19080607-1'!D44+'ÖB08-19080607'!D44+'G08-19080608'!D44+'ALP07-19080506'!D44+'ALP08-19080506-1'!D44+'ALP07-19080506-D'!D44+'MEM07-19080607-S'!D44+'G06-19080305'!D44+'ALP06-19080506-2'!D44+'G06-19083001-1'!D44+'ÖB06-19080405-1'!D44+'ÖB05-19080405'!D44+'ALP05-19072930'!D44+'EMR02-19083102-S'!D44+'MİR02-19080102-S'!D44+'BA02-19083101-S'!D44+'G02-19073031'!D44+'KAZ01-19083001-S'!D44+'ÇEK01-19083101-S'!D44+'G01-19083001'!D44</f>
        <v>338.2000000000001</v>
      </c>
      <c r="E44" s="107">
        <f>D44/$D$48</f>
        <v>7.1705090658599183E-4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EMR28-19082728-S'!D45+'FA29-19082728-S'!D45+'BA30-19082829'!D45+'BA29-19082829-S'!D45+'AYG29-19082829-S'!D45+'G29-19082829-1'!D45+'G29-19082829'!D45+'KAZ28-19082627-D'!D45+'G28-19082426-1'!D45+'KAZ28-19082627-S'!D45+'G28-19082728'!D45+'MEM28-19082728-S'!D45+'BAY28-19082627-S'!D45+'ÇEK27-19082426-S'!D45+'BO27-190824265'!D45+'G26-19082426'!D45+'AYG26-19082526-S'!D45+'G24-19082122'!D45+'BO24-19082122'!D45+'EMR23-19082122-S'!D45+'MEM23-19082021-S'!D45+'G22-19082022-1'!D45+'G22-19082022'!D45+'BA21-19081921'!D45+'BA21-19081921-S'!D45+'EB20-19081920-S'!D45+'G20-19081719'!D45+'ÇEK20-19081719-D'!D45+'ÇEK20-19081719-S'!D45+'KAZ20-19081719-S'!D45+'G19-19081819-1'!D45+'G19-19081819'!D45+'G16-19081315-1'!D45+'ÖB16-19081516-D'!D45+'ÖB15-19081115-D'!D45+'G15-19081315'!D45+'ÇEK08-19080708-S'!D45+'EMR09-19080607-S'!D45+'G09-19080608-1'!D45+'ÖB09-19080607-1'!D45+'ÖB08-19080607'!D45+'G08-19080608'!D45+'ALP07-19080506'!D45+'ALP08-19080506-1'!D45+'ALP07-19080506-D'!D45+'MEM07-19080607-S'!D45+'G06-19080305'!D45+'ALP06-19080506-2'!D45+'G06-19083001-1'!D45+'ÖB06-19080405-1'!D45+'ÖB05-19080405'!D45+'ALP05-19072930'!D45+'EMR02-19083102-S'!D45+'MİR02-19080102-S'!D45+'BA02-19083101-S'!D45+'G02-19073031'!D45+'KAZ01-19083001-S'!D45+'ÇEK01-19083101-S'!D45+'G01-19083001'!D45</f>
        <v>279.20000000000005</v>
      </c>
      <c r="E45" s="107">
        <f>D45/$D$48</f>
        <v>5.9195923453225568E-4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0.39714390460252785</v>
      </c>
      <c r="D46" s="22">
        <f>SUM(D41:D45)</f>
        <v>86467.700000000012</v>
      </c>
      <c r="E46" s="21">
        <f>D46/$D$48</f>
        <v>0.18332863002781064</v>
      </c>
      <c r="F46" s="20">
        <f>I46/D46</f>
        <v>0.40920075054599475</v>
      </c>
      <c r="G46" s="19">
        <f>F46/C46-1</f>
        <v>3.0358884534646746E-2</v>
      </c>
      <c r="H46" s="18">
        <f>SUM(H41:H44)</f>
        <v>34340.120000000003</v>
      </c>
      <c r="I46" s="18">
        <f>SUM(I41:I44)</f>
        <v>35382.647737985913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100.49056413053383</v>
      </c>
      <c r="D48" s="13">
        <f>D24+D32+D40+D46</f>
        <v>471654.10000000009</v>
      </c>
      <c r="E48" s="12">
        <f>SUM(E20:E46)/2</f>
        <v>0.99999999999999978</v>
      </c>
      <c r="F48" s="11">
        <f>I48/D48</f>
        <v>26.681287977989562</v>
      </c>
      <c r="G48" s="10"/>
      <c r="H48" s="9">
        <f>SUM(H20:H46)/2</f>
        <v>12213549.140000002</v>
      </c>
      <c r="I48" s="9">
        <f>SUM(I20:I46)/2</f>
        <v>12584338.86809949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551970.02</v>
      </c>
      <c r="E50" s="12">
        <f>D50/G2</f>
        <v>0.99999188368303271</v>
      </c>
      <c r="F50" s="11">
        <f>I50/D50</f>
        <v>26.950218736517591</v>
      </c>
      <c r="G50" s="10"/>
      <c r="H50" s="9">
        <f>H48+H19</f>
        <v>14437409.138000004</v>
      </c>
      <c r="I50" s="9">
        <f>I48+I19</f>
        <v>14875712.774999991</v>
      </c>
      <c r="J50" s="106">
        <f>D50-G2</f>
        <v>-4.4799999998649582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26.950218736517591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>
    <tabColor rgb="FFFF000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906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112</v>
      </c>
      <c r="F2" s="110" t="s">
        <v>5</v>
      </c>
      <c r="G2" s="108">
        <f>'EMR28-19082728-S'!G2+'FA29-19082728-S'!G2+'BA29-19082829-S'!G2+'AYG29-19082829-S'!G2+'KAZ28-19082627-S'!G2+'MEM28-19082728-S'!G2+'BAY28-19082627-S'!G2+'ÇEK27-19082426-S'!G2+'AYG26-19082526-S'!G2+'EMR23-19082122-S'!G2+'MEM23-19082021-S'!G2+'BA21-19081921-S'!G2+'EB20-19081920-S'!G2+'ÇEK20-19081719-S'!G2+'KAZ20-19081719-S'!G2+'ÇEK08-19080708-S'!G2+'EMR09-19080607-S'!G2+'MEM07-19080607-S'!G2+'EMR02-19083102-S'!G2+'MİR02-19080102-S'!G2+'BA02-19083101-S'!G2+'KAZ01-19083001-S'!G2+'ÇEK01-19083101-S'!G2</f>
        <v>155722.9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EMR28-19082728-S'!E3+'FA29-19082728-S'!E3+'BA29-19082829-S'!E3+'AYG29-19082829-S'!E3+'KAZ28-19082627-S'!E3+'MEM28-19082728-S'!E3+'BAY28-19082627-S'!E3+'ÇEK27-19082426-S'!E3+'AYG26-19082526-S'!E3+'EMR23-19082122-S'!E3+'MEM23-19082021-S'!E3+'BA21-19081921-S'!E3+'EB20-19081920-S'!E3+'ÇEK20-19081719-S'!E3+'KAZ20-19081719-S'!E3+'ÇEK08-19080708-S'!E3+'EMR09-19080607-S'!E3+'MEM07-19080607-S'!E3+'EMR02-19083102-S'!E3+'MİR02-19080102-S'!E3+'BA02-19083101-S'!E3+'KAZ01-19083001-S'!E3+'ÇEK01-19083101-S'!E3</f>
        <v>2305</v>
      </c>
      <c r="F3" s="111" t="s">
        <v>8</v>
      </c>
      <c r="G3" s="114">
        <v>24.89</v>
      </c>
      <c r="H3" s="118" t="s">
        <v>814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67.558741865509759</v>
      </c>
      <c r="F4" s="81" t="s">
        <v>12</v>
      </c>
      <c r="G4" s="112">
        <f>G2*G3</f>
        <v>3875942.9810000001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-8.988834854732719E-2</v>
      </c>
      <c r="F6" s="69" t="s">
        <v>16</v>
      </c>
      <c r="G6" s="68">
        <f>(I50-I19)/(D50-(SUM(D42:D44)+D19))</f>
        <v>31.643499097876195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24.9</v>
      </c>
      <c r="D10" s="117">
        <f>'EMR28-19082728-S'!D10+'FA29-19082728-S'!D10+'BA29-19082829-S'!D10+'AYG29-19082829-S'!D10+'KAZ28-19082627-S'!D10+'MEM28-19082728-S'!D10+'BAY28-19082627-S'!D10+'ÇEK27-19082426-S'!D10+'AYG26-19082526-S'!D10+'EMR23-19082122-S'!D10+'MEM23-19082021-S'!D10+'BA21-19081921-S'!D10+'EB20-19081920-S'!D10+'ÇEK20-19081719-S'!D10+'KAZ20-19081719-S'!D10+'ÇEK08-19080708-S'!D10+'EMR09-19080607-S'!D10+'MEM07-19080607-S'!D10+'EMR02-19083102-S'!D10+'MİR02-19080102-S'!D10+'BA02-19083101-S'!D10+'KAZ01-19083001-S'!D10+'ÇEK01-19083101-S'!D10</f>
        <v>0</v>
      </c>
      <c r="E10" s="29">
        <f t="shared" ref="E10:E19" si="1">D10/$D$19</f>
        <v>0</v>
      </c>
      <c r="F10" s="28">
        <f t="shared" ref="F10:F18" si="2">C10-(C10*$E$6)</f>
        <v>27.138219878828444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25.9</v>
      </c>
      <c r="D11" s="117">
        <f>'EMR28-19082728-S'!D11+'FA29-19082728-S'!D11+'BA29-19082829-S'!D11+'AYG29-19082829-S'!D11+'KAZ28-19082627-S'!D11+'MEM28-19082728-S'!D11+'BAY28-19082627-S'!D11+'ÇEK27-19082426-S'!D11+'AYG26-19082526-S'!D11+'EMR23-19082122-S'!D11+'MEM23-19082021-S'!D11+'BA21-19081921-S'!D11+'EB20-19081920-S'!D11+'ÇEK20-19081719-S'!D11+'KAZ20-19081719-S'!D11+'ÇEK08-19080708-S'!D11+'EMR09-19080607-S'!D11+'MEM07-19080607-S'!D11+'EMR02-19083102-S'!D11+'MİR02-19080102-S'!D11+'BA02-19083101-S'!D11+'KAZ01-19083001-S'!D11+'ÇEK01-19083101-S'!D11</f>
        <v>0</v>
      </c>
      <c r="E11" s="29">
        <f t="shared" si="1"/>
        <v>0</v>
      </c>
      <c r="F11" s="28">
        <f t="shared" si="2"/>
        <v>28.228108227375774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23.7</v>
      </c>
      <c r="D12" s="117">
        <f>'EMR28-19082728-S'!D12+'FA29-19082728-S'!D12+'BA29-19082829-S'!D12+'AYG29-19082829-S'!D12+'KAZ28-19082627-S'!D12+'MEM28-19082728-S'!D12+'BAY28-19082627-S'!D12+'ÇEK27-19082426-S'!D12+'AYG26-19082526-S'!D12+'EMR23-19082122-S'!D12+'MEM23-19082021-S'!D12+'BA21-19081921-S'!D12+'EB20-19081920-S'!D12+'ÇEK20-19081719-S'!D12+'KAZ20-19081719-S'!D12+'ÇEK08-19080708-S'!D12+'EMR09-19080607-S'!D12+'MEM07-19080607-S'!D12+'EMR02-19083102-S'!D12+'MİR02-19080102-S'!D12+'BA02-19083101-S'!D12+'KAZ01-19083001-S'!D12+'ÇEK01-19083101-S'!D12</f>
        <v>0</v>
      </c>
      <c r="E12" s="29">
        <f t="shared" si="1"/>
        <v>0</v>
      </c>
      <c r="F12" s="28">
        <f t="shared" si="2"/>
        <v>25.830353860571655</v>
      </c>
      <c r="G12" s="27" t="str">
        <f>IF(C12&gt;=F12,"-","+")</f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25.9</v>
      </c>
      <c r="D13" s="117">
        <f>'EMR28-19082728-S'!D13+'FA29-19082728-S'!D13+'BA29-19082829-S'!D13+'AYG29-19082829-S'!D13+'KAZ28-19082627-S'!D13+'MEM28-19082728-S'!D13+'BAY28-19082627-S'!D13+'ÇEK27-19082426-S'!D13+'AYG26-19082526-S'!D13+'EMR23-19082122-S'!D13+'MEM23-19082021-S'!D13+'BA21-19081921-S'!D13+'EB20-19081920-S'!D13+'ÇEK20-19081719-S'!D13+'KAZ20-19081719-S'!D13+'ÇEK08-19080708-S'!D13+'EMR09-19080607-S'!D13+'MEM07-19080607-S'!D13+'EMR02-19083102-S'!D13+'MİR02-19080102-S'!D13+'BA02-19083101-S'!D13+'KAZ01-19083001-S'!D13+'ÇEK01-19083101-S'!D13</f>
        <v>0</v>
      </c>
      <c r="E13" s="29">
        <f t="shared" si="1"/>
        <v>0</v>
      </c>
      <c r="F13" s="28">
        <f t="shared" si="2"/>
        <v>28.228108227375774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</v>
      </c>
      <c r="D14" s="117">
        <f>'EMR28-19082728-S'!D14+'FA29-19082728-S'!D14+'BA29-19082829-S'!D14+'AYG29-19082829-S'!D14+'KAZ28-19082627-S'!D14+'MEM28-19082728-S'!D14+'BAY28-19082627-S'!D14+'ÇEK27-19082426-S'!D14+'AYG26-19082526-S'!D14+'EMR23-19082122-S'!D14+'MEM23-19082021-S'!D14+'BA21-19081921-S'!D14+'EB20-19081920-S'!D14+'ÇEK20-19081719-S'!D14+'KAZ20-19081719-S'!D14+'ÇEK08-19080708-S'!D14+'EMR09-19080607-S'!D14+'MEM07-19080607-S'!D14+'EMR02-19083102-S'!D14+'MİR02-19080102-S'!D14+'BA02-19083101-S'!D14+'KAZ01-19083001-S'!D14+'ÇEK01-19083101-S'!D14</f>
        <v>0</v>
      </c>
      <c r="E14" s="29">
        <f t="shared" si="1"/>
        <v>0</v>
      </c>
      <c r="F14" s="28">
        <f t="shared" si="2"/>
        <v>31.606762107872488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23.9</v>
      </c>
      <c r="D15" s="117">
        <f>'EMR28-19082728-S'!D15+'FA29-19082728-S'!D15+'BA29-19082829-S'!D15+'AYG29-19082829-S'!D15+'KAZ28-19082627-S'!D15+'MEM28-19082728-S'!D15+'BAY28-19082627-S'!D15+'ÇEK27-19082426-S'!D15+'AYG26-19082526-S'!D15+'EMR23-19082122-S'!D15+'MEM23-19082021-S'!D15+'BA21-19081921-S'!D15+'EB20-19081920-S'!D15+'ÇEK20-19081719-S'!D15+'KAZ20-19081719-S'!D15+'ÇEK08-19080708-S'!D15+'EMR09-19080607-S'!D15+'MEM07-19080607-S'!D15+'EMR02-19083102-S'!D15+'MİR02-19080102-S'!D15+'BA02-19083101-S'!D15+'KAZ01-19083001-S'!D15+'ÇEK01-19083101-S'!D15</f>
        <v>0</v>
      </c>
      <c r="E15" s="29">
        <f t="shared" si="1"/>
        <v>0</v>
      </c>
      <c r="F15" s="28">
        <f t="shared" si="2"/>
        <v>26.048331530281118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32.700000000000003</v>
      </c>
      <c r="D16" s="117">
        <f>'EMR28-19082728-S'!D16+'FA29-19082728-S'!D16+'BA29-19082829-S'!D16+'AYG29-19082829-S'!D16+'KAZ28-19082627-S'!D16+'MEM28-19082728-S'!D16+'BAY28-19082627-S'!D16+'ÇEK27-19082426-S'!D16+'AYG26-19082526-S'!D16+'EMR23-19082122-S'!D16+'MEM23-19082021-S'!D16+'BA21-19081921-S'!D16+'EB20-19081920-S'!D16+'ÇEK20-19081719-S'!D16+'KAZ20-19081719-S'!D16+'ÇEK08-19080708-S'!D16+'EMR09-19080607-S'!D16+'MEM07-19080607-S'!D16+'EMR02-19083102-S'!D16+'MİR02-19080102-S'!D16+'BA02-19083101-S'!D16+'KAZ01-19083001-S'!D16+'ÇEK01-19083101-S'!D16</f>
        <v>11</v>
      </c>
      <c r="E16" s="29">
        <f t="shared" si="1"/>
        <v>4.4715447154471545E-2</v>
      </c>
      <c r="F16" s="28">
        <f t="shared" si="2"/>
        <v>35.639348997497599</v>
      </c>
      <c r="G16" s="27" t="str">
        <f t="shared" si="3"/>
        <v>+</v>
      </c>
      <c r="H16" s="34">
        <f t="shared" si="4"/>
        <v>359.70000000000005</v>
      </c>
      <c r="I16" s="34">
        <f t="shared" si="5"/>
        <v>392.0328389724736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48.1</v>
      </c>
      <c r="D17" s="117">
        <f>'EMR28-19082728-S'!D17+'FA29-19082728-S'!D17+'BA29-19082829-S'!D17+'AYG29-19082829-S'!D17+'KAZ28-19082627-S'!D17+'MEM28-19082728-S'!D17+'BAY28-19082627-S'!D17+'ÇEK27-19082426-S'!D17+'AYG26-19082526-S'!D17+'EMR23-19082122-S'!D17+'MEM23-19082021-S'!D17+'BA21-19081921-S'!D17+'EB20-19081920-S'!D17+'ÇEK20-19081719-S'!D17+'KAZ20-19081719-S'!D17+'ÇEK08-19080708-S'!D17+'EMR09-19080607-S'!D17+'MEM07-19080607-S'!D17+'EMR02-19083102-S'!D17+'MİR02-19080102-S'!D17+'BA02-19083101-S'!D17+'KAZ01-19083001-S'!D17+'ÇEK01-19083101-S'!D17</f>
        <v>235</v>
      </c>
      <c r="E17" s="29">
        <f t="shared" si="1"/>
        <v>0.95528455284552849</v>
      </c>
      <c r="F17" s="28">
        <f t="shared" si="2"/>
        <v>52.42362956512644</v>
      </c>
      <c r="G17" s="27" t="str">
        <f t="shared" si="3"/>
        <v>+</v>
      </c>
      <c r="H17" s="34">
        <f t="shared" si="4"/>
        <v>11303.5</v>
      </c>
      <c r="I17" s="34">
        <f t="shared" si="5"/>
        <v>12319.552947804714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42.2</v>
      </c>
      <c r="D18" s="117">
        <f>'EMR28-19082728-S'!D18+'FA29-19082728-S'!D18+'BA29-19082829-S'!D18+'AYG29-19082829-S'!D18+'KAZ28-19082627-S'!D18+'MEM28-19082728-S'!D18+'BAY28-19082627-S'!D18+'ÇEK27-19082426-S'!D18+'AYG26-19082526-S'!D18+'EMR23-19082122-S'!D18+'MEM23-19082021-S'!D18+'BA21-19081921-S'!D18+'EB20-19081920-S'!D18+'ÇEK20-19081719-S'!D18+'KAZ20-19081719-S'!D18+'ÇEK08-19080708-S'!D18+'EMR09-19080607-S'!D18+'MEM07-19080607-S'!D18+'EMR02-19083102-S'!D18+'MİR02-19080102-S'!D18+'BA02-19083101-S'!D18+'KAZ01-19083001-S'!D18+'ÇEK01-19083101-S'!D18</f>
        <v>0</v>
      </c>
      <c r="E18" s="29">
        <f t="shared" si="1"/>
        <v>0</v>
      </c>
      <c r="F18" s="28">
        <f t="shared" si="2"/>
        <v>45.99328830869721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47.411382113821141</v>
      </c>
      <c r="D19" s="49">
        <f>SUM(D10:D18)</f>
        <v>246</v>
      </c>
      <c r="E19" s="48">
        <f t="shared" si="1"/>
        <v>1</v>
      </c>
      <c r="F19" s="47">
        <f>I19/D19</f>
        <v>51.673112954378809</v>
      </c>
      <c r="G19" s="46">
        <f>F19/C19-1</f>
        <v>8.988834854732719E-2</v>
      </c>
      <c r="H19" s="9">
        <f>SUM(H10:H18)</f>
        <v>11663.2</v>
      </c>
      <c r="I19" s="9">
        <f>SUM(I10:I18)</f>
        <v>12711.585786777187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62.6</v>
      </c>
      <c r="D21" s="117">
        <f>'EMR28-19082728-S'!D21+'FA29-19082728-S'!D21+'BA29-19082829-S'!D21+'AYG29-19082829-S'!D21+'KAZ28-19082627-S'!D21+'MEM28-19082728-S'!D21+'BAY28-19082627-S'!D21+'ÇEK27-19082426-S'!D21+'AYG26-19082526-S'!D21+'EMR23-19082122-S'!D21+'MEM23-19082021-S'!D21+'BA21-19081921-S'!D21+'EB20-19081920-S'!D21+'ÇEK20-19081719-S'!D21+'KAZ20-19081719-S'!D21+'ÇEK08-19080708-S'!D21+'EMR09-19080607-S'!D21+'MEM07-19080607-S'!D21+'EMR02-19083102-S'!D21+'MİR02-19080102-S'!D21+'BA02-19083101-S'!D21+'KAZ01-19083001-S'!D21+'ÇEK01-19083101-S'!D21</f>
        <v>2038.6999999999998</v>
      </c>
      <c r="E21" s="29">
        <f>D21/$D$48</f>
        <v>1.3112955242159049E-2</v>
      </c>
      <c r="F21" s="28">
        <f>C21-(C21*$E$6)</f>
        <v>68.227010619062682</v>
      </c>
      <c r="G21" s="27" t="str">
        <f>IF(C21&gt;=F21,"-","+")</f>
        <v>+</v>
      </c>
      <c r="H21" s="26">
        <f>C21*D21</f>
        <v>127622.62</v>
      </c>
      <c r="I21" s="26">
        <f>F21*D21</f>
        <v>139094.40654908307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</v>
      </c>
      <c r="D22" s="117">
        <f>'EMR28-19082728-S'!D22+'FA29-19082728-S'!D22+'BA29-19082829-S'!D22+'AYG29-19082829-S'!D22+'KAZ28-19082627-S'!D22+'MEM28-19082728-S'!D22+'BAY28-19082627-S'!D22+'ÇEK27-19082426-S'!D22+'AYG26-19082526-S'!D22+'EMR23-19082122-S'!D22+'MEM23-19082021-S'!D22+'BA21-19081921-S'!D22+'EB20-19081920-S'!D22+'ÇEK20-19081719-S'!D22+'KAZ20-19081719-S'!D22+'ÇEK08-19080708-S'!D22+'EMR09-19080607-S'!D22+'MEM07-19080607-S'!D22+'EMR02-19083102-S'!D22+'MİR02-19080102-S'!D22+'BA02-19083101-S'!D22+'KAZ01-19083001-S'!D22+'ÇEK01-19083101-S'!D22</f>
        <v>4053.1000000000008</v>
      </c>
      <c r="E22" s="29">
        <f>D22/$D$48</f>
        <v>2.6069612445183136E-2</v>
      </c>
      <c r="F22" s="28">
        <f>C22-(C22*$E$6)</f>
        <v>45.77531063898774</v>
      </c>
      <c r="G22" s="27" t="str">
        <f>IF(C22&gt;=F22,"-","+")</f>
        <v>+</v>
      </c>
      <c r="H22" s="26">
        <f>C22*D22</f>
        <v>170230.20000000004</v>
      </c>
      <c r="I22" s="26">
        <f>F22*D22</f>
        <v>185531.91155088125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38.299999999999997</v>
      </c>
      <c r="D23" s="117">
        <f>'EMR28-19082728-S'!D23+'FA29-19082728-S'!D23+'BA29-19082829-S'!D23+'AYG29-19082829-S'!D23+'KAZ28-19082627-S'!D23+'MEM28-19082728-S'!D23+'BAY28-19082627-S'!D23+'ÇEK27-19082426-S'!D23+'AYG26-19082526-S'!D23+'EMR23-19082122-S'!D23+'MEM23-19082021-S'!D23+'BA21-19081921-S'!D23+'EB20-19081920-S'!D23+'ÇEK20-19081719-S'!D23+'KAZ20-19081719-S'!D23+'ÇEK08-19080708-S'!D23+'EMR09-19080607-S'!D23+'MEM07-19080607-S'!D23+'EMR02-19083102-S'!D23+'MİR02-19080102-S'!D23+'BA02-19083101-S'!D23+'KAZ01-19083001-S'!D23+'ÇEK01-19083101-S'!D23</f>
        <v>3161.1000000000008</v>
      </c>
      <c r="E23" s="29">
        <f>D23/$D$48</f>
        <v>2.0332252325496143E-2</v>
      </c>
      <c r="F23" s="28">
        <f>C23-(C23*$E$6)</f>
        <v>41.742723749362625</v>
      </c>
      <c r="G23" s="27" t="str">
        <f>IF(C23&gt;=F23,"-","+")</f>
        <v>+</v>
      </c>
      <c r="H23" s="26">
        <f>C23*D23</f>
        <v>121070.13000000002</v>
      </c>
      <c r="I23" s="26">
        <f>F23*D23</f>
        <v>131952.92404411023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45.27477331431227</v>
      </c>
      <c r="D24" s="22">
        <f>SUM(D21:D23)</f>
        <v>9252.9000000000015</v>
      </c>
      <c r="E24" s="21">
        <f>D24/$D$48</f>
        <v>5.9514820012838324E-2</v>
      </c>
      <c r="F24" s="20">
        <f>I24/D24</f>
        <v>49.344447918390394</v>
      </c>
      <c r="G24" s="19">
        <f>F24/C24-1</f>
        <v>8.9888348547326968E-2</v>
      </c>
      <c r="H24" s="18">
        <f>SUM(H21:H23)</f>
        <v>418922.95000000007</v>
      </c>
      <c r="I24" s="18">
        <f>SUM(I21:I23)</f>
        <v>456579.24214407452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33.4</v>
      </c>
      <c r="D26" s="117">
        <f>'EMR28-19082728-S'!D26+'FA29-19082728-S'!D26+'BA29-19082829-S'!D26+'AYG29-19082829-S'!D26+'KAZ28-19082627-S'!D26+'MEM28-19082728-S'!D26+'BAY28-19082627-S'!D26+'ÇEK27-19082426-S'!D26+'AYG26-19082526-S'!D26+'EMR23-19082122-S'!D26+'MEM23-19082021-S'!D26+'BA21-19081921-S'!D26+'EB20-19081920-S'!D26+'ÇEK20-19081719-S'!D26+'KAZ20-19081719-S'!D26+'ÇEK08-19080708-S'!D26+'EMR09-19080607-S'!D26+'MEM07-19080607-S'!D26+'EMR02-19083102-S'!D26+'MİR02-19080102-S'!D26+'BA02-19083101-S'!D26+'KAZ01-19083001-S'!D26+'ÇEK01-19083101-S'!D26</f>
        <v>28248.799999999999</v>
      </c>
      <c r="E26" s="29">
        <f t="shared" ref="E26:E32" si="7">D26/$D$48</f>
        <v>0.18169679209530709</v>
      </c>
      <c r="F26" s="28">
        <f t="shared" ref="F26:F31" si="8">C26-(C26*$E$6)</f>
        <v>36.402270841480728</v>
      </c>
      <c r="G26" s="27" t="str">
        <f t="shared" ref="G26:G31" si="9">IF(C26&gt;=F26,"-","+")</f>
        <v>+</v>
      </c>
      <c r="H26" s="26">
        <f t="shared" ref="H26:H31" si="10">C26*D26</f>
        <v>943509.91999999993</v>
      </c>
      <c r="I26" s="26">
        <f t="shared" ref="I26:I31" si="11">F26*D26</f>
        <v>1028320.4685468208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29.7</v>
      </c>
      <c r="D27" s="117">
        <f>'EMR28-19082728-S'!D27+'FA29-19082728-S'!D27+'BA29-19082829-S'!D27+'AYG29-19082829-S'!D27+'KAZ28-19082627-S'!D27+'MEM28-19082728-S'!D27+'BAY28-19082627-S'!D27+'ÇEK27-19082426-S'!D27+'AYG26-19082526-S'!D27+'EMR23-19082122-S'!D27+'MEM23-19082021-S'!D27+'BA21-19081921-S'!D27+'EB20-19081920-S'!D27+'ÇEK20-19081719-S'!D27+'KAZ20-19081719-S'!D27+'ÇEK08-19080708-S'!D27+'EMR09-19080607-S'!D27+'MEM07-19080607-S'!D27+'EMR02-19083102-S'!D27+'MİR02-19080102-S'!D27+'BA02-19083101-S'!D27+'KAZ01-19083001-S'!D27+'ÇEK01-19083101-S'!D27</f>
        <v>22654.5</v>
      </c>
      <c r="E27" s="29">
        <f t="shared" si="7"/>
        <v>0.1457141533984854</v>
      </c>
      <c r="F27" s="28">
        <f t="shared" si="8"/>
        <v>32.36968395185562</v>
      </c>
      <c r="G27" s="27" t="str">
        <f t="shared" si="9"/>
        <v>+</v>
      </c>
      <c r="H27" s="26">
        <f t="shared" si="10"/>
        <v>672838.65</v>
      </c>
      <c r="I27" s="26">
        <f t="shared" si="11"/>
        <v>733319.00508731313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29.7</v>
      </c>
      <c r="D28" s="117">
        <f>'EMR28-19082728-S'!D28+'FA29-19082728-S'!D28+'BA29-19082829-S'!D28+'AYG29-19082829-S'!D28+'KAZ28-19082627-S'!D28+'MEM28-19082728-S'!D28+'BAY28-19082627-S'!D28+'ÇEK27-19082426-S'!D28+'AYG26-19082526-S'!D28+'EMR23-19082122-S'!D28+'MEM23-19082021-S'!D28+'BA21-19081921-S'!D28+'EB20-19081920-S'!D28+'ÇEK20-19081719-S'!D28+'KAZ20-19081719-S'!D28+'ÇEK08-19080708-S'!D28+'EMR09-19080607-S'!D28+'MEM07-19080607-S'!D28+'EMR02-19083102-S'!D28+'MİR02-19080102-S'!D28+'BA02-19083101-S'!D28+'KAZ01-19083001-S'!D28+'ÇEK01-19083101-S'!D28</f>
        <v>12716.900000000001</v>
      </c>
      <c r="E28" s="29">
        <f t="shared" si="7"/>
        <v>8.1795330612160905E-2</v>
      </c>
      <c r="F28" s="28">
        <f t="shared" si="8"/>
        <v>32.36968395185562</v>
      </c>
      <c r="G28" s="27" t="str">
        <f t="shared" si="9"/>
        <v>+</v>
      </c>
      <c r="H28" s="26">
        <f t="shared" si="10"/>
        <v>377691.93000000005</v>
      </c>
      <c r="I28" s="26">
        <f t="shared" si="11"/>
        <v>411642.03384735278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28.7</v>
      </c>
      <c r="D29" s="117">
        <f>'EMR28-19082728-S'!D29+'FA29-19082728-S'!D29+'BA29-19082829-S'!D29+'AYG29-19082829-S'!D29+'KAZ28-19082627-S'!D29+'MEM28-19082728-S'!D29+'BAY28-19082627-S'!D29+'ÇEK27-19082426-S'!D29+'AYG26-19082526-S'!D29+'EMR23-19082122-S'!D29+'MEM23-19082021-S'!D29+'BA21-19081921-S'!D29+'EB20-19081920-S'!D29+'ÇEK20-19081719-S'!D29+'KAZ20-19081719-S'!D29+'ÇEK08-19080708-S'!D29+'EMR09-19080607-S'!D29+'MEM07-19080607-S'!D29+'EMR02-19083102-S'!D29+'MİR02-19080102-S'!D29+'BA02-19083101-S'!D29+'KAZ01-19083001-S'!D29+'ÇEK01-19083101-S'!D29</f>
        <v>11188.500000000002</v>
      </c>
      <c r="E29" s="29">
        <f t="shared" si="7"/>
        <v>7.1964634191836241E-2</v>
      </c>
      <c r="F29" s="28">
        <f t="shared" si="8"/>
        <v>31.27979560330829</v>
      </c>
      <c r="G29" s="27" t="str">
        <f t="shared" si="9"/>
        <v>+</v>
      </c>
      <c r="H29" s="26">
        <f t="shared" si="10"/>
        <v>321109.95000000007</v>
      </c>
      <c r="I29" s="26">
        <f t="shared" si="11"/>
        <v>349973.99310761486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28.7</v>
      </c>
      <c r="D30" s="117">
        <f>'EMR28-19082728-S'!D30+'FA29-19082728-S'!D30+'BA29-19082829-S'!D30+'AYG29-19082829-S'!D30+'KAZ28-19082627-S'!D30+'MEM28-19082728-S'!D30+'BAY28-19082627-S'!D30+'ÇEK27-19082426-S'!D30+'AYG26-19082526-S'!D30+'EMR23-19082122-S'!D30+'MEM23-19082021-S'!D30+'BA21-19081921-S'!D30+'EB20-19081920-S'!D30+'ÇEK20-19081719-S'!D30+'KAZ20-19081719-S'!D30+'ÇEK08-19080708-S'!D30+'EMR09-19080607-S'!D30+'MEM07-19080607-S'!D30+'EMR02-19083102-S'!D30+'MİR02-19080102-S'!D30+'BA02-19083101-S'!D30+'KAZ01-19083001-S'!D30+'ÇEK01-19083101-S'!D30</f>
        <v>8876.2999999999993</v>
      </c>
      <c r="E30" s="29">
        <f t="shared" si="7"/>
        <v>5.7092522007149836E-2</v>
      </c>
      <c r="F30" s="28">
        <f t="shared" si="8"/>
        <v>31.27979560330829</v>
      </c>
      <c r="G30" s="27" t="str">
        <f t="shared" si="9"/>
        <v>+</v>
      </c>
      <c r="H30" s="26">
        <f t="shared" si="10"/>
        <v>254749.80999999997</v>
      </c>
      <c r="I30" s="26">
        <f t="shared" si="11"/>
        <v>277648.84971364535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29.2</v>
      </c>
      <c r="D31" s="117">
        <f>'EMR28-19082728-S'!D31+'FA29-19082728-S'!D31+'BA29-19082829-S'!D31+'AYG29-19082829-S'!D31+'KAZ28-19082627-S'!D31+'MEM28-19082728-S'!D31+'BAY28-19082627-S'!D31+'ÇEK27-19082426-S'!D31+'AYG26-19082526-S'!D31+'EMR23-19082122-S'!D31+'MEM23-19082021-S'!D31+'BA21-19081921-S'!D31+'EB20-19081920-S'!D31+'ÇEK20-19081719-S'!D31+'KAZ20-19081719-S'!D31+'ÇEK08-19080708-S'!D31+'EMR09-19080607-S'!D31+'MEM07-19080607-S'!D31+'EMR02-19083102-S'!D31+'MİR02-19080102-S'!D31+'BA02-19083101-S'!D31+'KAZ01-19083001-S'!D31+'ÇEK01-19083101-S'!D31</f>
        <v>3442.7000000000003</v>
      </c>
      <c r="E31" s="29">
        <f t="shared" si="7"/>
        <v>2.2143508614401806E-2</v>
      </c>
      <c r="F31" s="28">
        <f t="shared" si="8"/>
        <v>31.824739777581954</v>
      </c>
      <c r="G31" s="27" t="str">
        <f t="shared" si="9"/>
        <v>+</v>
      </c>
      <c r="H31" s="26">
        <f t="shared" si="10"/>
        <v>100526.84000000001</v>
      </c>
      <c r="I31" s="26">
        <f t="shared" si="11"/>
        <v>109563.0316322814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30.649576426325954</v>
      </c>
      <c r="D32" s="22">
        <f>SUM(D26:D31)</f>
        <v>87127.700000000012</v>
      </c>
      <c r="E32" s="21">
        <f t="shared" si="7"/>
        <v>0.56040694091934129</v>
      </c>
      <c r="F32" s="20">
        <f>I32/D32</f>
        <v>33.404616234963491</v>
      </c>
      <c r="G32" s="19">
        <f>F32/C32-1</f>
        <v>8.9888348547327412E-2</v>
      </c>
      <c r="H32" s="18">
        <f>SUM(H26:H31)</f>
        <v>2670427.1</v>
      </c>
      <c r="I32" s="18">
        <f>SUM(I26:I31)</f>
        <v>2910467.3819350288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17.600000000000001</v>
      </c>
      <c r="D34" s="117">
        <f>'EMR28-19082728-S'!D34+'FA29-19082728-S'!D34+'BA29-19082829-S'!D34+'AYG29-19082829-S'!D34+'KAZ28-19082627-S'!D34+'MEM28-19082728-S'!D34+'BAY28-19082627-S'!D34+'ÇEK27-19082426-S'!D34+'AYG26-19082526-S'!D34+'EMR23-19082122-S'!D34+'MEM23-19082021-S'!D34+'BA21-19081921-S'!D34+'EB20-19081920-S'!D34+'ÇEK20-19081719-S'!D34+'KAZ20-19081719-S'!D34+'ÇEK08-19080708-S'!D34+'EMR09-19080607-S'!D34+'MEM07-19080607-S'!D34+'EMR02-19083102-S'!D34+'MİR02-19080102-S'!D34+'BA02-19083101-S'!D34+'KAZ01-19083001-S'!D34+'ÇEK01-19083101-S'!D34</f>
        <v>23496.599999999995</v>
      </c>
      <c r="E34" s="29">
        <f t="shared" ref="E34:E40" si="13">D34/$D$48</f>
        <v>0.15113055581640961</v>
      </c>
      <c r="F34" s="28">
        <f t="shared" ref="F34:F39" si="14">C34-(C34*$E$6)</f>
        <v>19.182034934432959</v>
      </c>
      <c r="G34" s="27" t="str">
        <f t="shared" ref="G34:G39" si="15">IF(C34&gt;=F34,"-","+")</f>
        <v>+</v>
      </c>
      <c r="H34" s="26">
        <f t="shared" ref="H34:H39" si="16">C34*D34</f>
        <v>413540.15999999992</v>
      </c>
      <c r="I34" s="26">
        <f t="shared" ref="I34:I39" si="17">F34*D34</f>
        <v>450712.60204039735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13.5</v>
      </c>
      <c r="D35" s="117">
        <f>'EMR28-19082728-S'!D35+'FA29-19082728-S'!D35+'BA29-19082829-S'!D35+'AYG29-19082829-S'!D35+'KAZ28-19082627-S'!D35+'MEM28-19082728-S'!D35+'BAY28-19082627-S'!D35+'ÇEK27-19082426-S'!D35+'AYG26-19082526-S'!D35+'EMR23-19082122-S'!D35+'MEM23-19082021-S'!D35+'BA21-19081921-S'!D35+'EB20-19081920-S'!D35+'ÇEK20-19081719-S'!D35+'KAZ20-19081719-S'!D35+'ÇEK08-19080708-S'!D35+'EMR09-19080607-S'!D35+'MEM07-19080607-S'!D35+'EMR02-19083102-S'!D35+'MİR02-19080102-S'!D35+'BA02-19083101-S'!D35+'KAZ01-19083001-S'!D35+'ÇEK01-19083101-S'!D35</f>
        <v>2101.8000000000002</v>
      </c>
      <c r="E35" s="29">
        <f t="shared" si="13"/>
        <v>1.3518815582464263E-2</v>
      </c>
      <c r="F35" s="28">
        <f t="shared" si="14"/>
        <v>14.713492705388918</v>
      </c>
      <c r="G35" s="27" t="str">
        <f t="shared" si="15"/>
        <v>+</v>
      </c>
      <c r="H35" s="26">
        <f t="shared" si="16"/>
        <v>28374.300000000003</v>
      </c>
      <c r="I35" s="26">
        <f t="shared" si="17"/>
        <v>30924.818968186428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117">
        <f>'EMR28-19082728-S'!D36+'FA29-19082728-S'!D36+'BA29-19082829-S'!D36+'AYG29-19082829-S'!D36+'KAZ28-19082627-S'!D36+'MEM28-19082728-S'!D36+'BAY28-19082627-S'!D36+'ÇEK27-19082426-S'!D36+'AYG26-19082526-S'!D36+'EMR23-19082122-S'!D36+'MEM23-19082021-S'!D36+'BA21-19081921-S'!D36+'EB20-19081920-S'!D36+'ÇEK20-19081719-S'!D36+'KAZ20-19081719-S'!D36+'ÇEK08-19080708-S'!D36+'EMR09-19080607-S'!D36+'MEM07-19080607-S'!D36+'EMR02-19083102-S'!D36+'MİR02-19080102-S'!D36+'BA02-19083101-S'!D36+'KAZ01-19083001-S'!D36+'ÇEK01-19083101-S'!D36</f>
        <v>0</v>
      </c>
      <c r="E36" s="29">
        <f t="shared" si="13"/>
        <v>0</v>
      </c>
      <c r="F36" s="28">
        <f t="shared" si="14"/>
        <v>11.879782999165867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28.7</v>
      </c>
      <c r="D37" s="117">
        <f>'EMR28-19082728-S'!D37+'FA29-19082728-S'!D37+'BA29-19082829-S'!D37+'AYG29-19082829-S'!D37+'KAZ28-19082627-S'!D37+'MEM28-19082728-S'!D37+'BAY28-19082627-S'!D37+'ÇEK27-19082426-S'!D37+'AYG26-19082526-S'!D37+'EMR23-19082122-S'!D37+'MEM23-19082021-S'!D37+'BA21-19081921-S'!D37+'EB20-19081920-S'!D37+'ÇEK20-19081719-S'!D37+'KAZ20-19081719-S'!D37+'ÇEK08-19080708-S'!D37+'EMR09-19080607-S'!D37+'MEM07-19080607-S'!D37+'EMR02-19083102-S'!D37+'MİR02-19080102-S'!D37+'BA02-19083101-S'!D37+'KAZ01-19083001-S'!D37+'ÇEK01-19083101-S'!D37</f>
        <v>0</v>
      </c>
      <c r="E37" s="29">
        <f t="shared" si="13"/>
        <v>0</v>
      </c>
      <c r="F37" s="28">
        <f t="shared" si="14"/>
        <v>31.27979560330829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28.7</v>
      </c>
      <c r="D38" s="117">
        <f>'EMR28-19082728-S'!D38+'FA29-19082728-S'!D38+'BA29-19082829-S'!D38+'AYG29-19082829-S'!D38+'KAZ28-19082627-S'!D38+'MEM28-19082728-S'!D38+'BAY28-19082627-S'!D38+'ÇEK27-19082426-S'!D38+'AYG26-19082526-S'!D38+'EMR23-19082122-S'!D38+'MEM23-19082021-S'!D38+'BA21-19081921-S'!D38+'EB20-19081920-S'!D38+'ÇEK20-19081719-S'!D38+'KAZ20-19081719-S'!D38+'ÇEK08-19080708-S'!D38+'EMR09-19080607-S'!D38+'MEM07-19080607-S'!D38+'EMR02-19083102-S'!D38+'MİR02-19080102-S'!D38+'BA02-19083101-S'!D38+'KAZ01-19083001-S'!D38+'ÇEK01-19083101-S'!D38</f>
        <v>0</v>
      </c>
      <c r="E38" s="29">
        <f t="shared" si="13"/>
        <v>0</v>
      </c>
      <c r="F38" s="28">
        <f t="shared" si="14"/>
        <v>31.27979560330829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29.7</v>
      </c>
      <c r="D39" s="117">
        <f>'EMR28-19082728-S'!D39+'FA29-19082728-S'!D39+'BA29-19082829-S'!D39+'AYG29-19082829-S'!D39+'KAZ28-19082627-S'!D39+'MEM28-19082728-S'!D39+'BAY28-19082627-S'!D39+'ÇEK27-19082426-S'!D39+'AYG26-19082526-S'!D39+'EMR23-19082122-S'!D39+'MEM23-19082021-S'!D39+'BA21-19081921-S'!D39+'EB20-19081920-S'!D39+'ÇEK20-19081719-S'!D39+'KAZ20-19081719-S'!D39+'ÇEK08-19080708-S'!D39+'EMR09-19080607-S'!D39+'MEM07-19080607-S'!D39+'EMR02-19083102-S'!D39+'MİR02-19080102-S'!D39+'BA02-19083101-S'!D39+'KAZ01-19083001-S'!D39+'ÇEK01-19083101-S'!D39</f>
        <v>0</v>
      </c>
      <c r="E39" s="29">
        <f t="shared" si="13"/>
        <v>0</v>
      </c>
      <c r="F39" s="28">
        <f t="shared" si="14"/>
        <v>32.36968395185562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17.263362553909619</v>
      </c>
      <c r="D40" s="22">
        <f>SUM(D34:D39)</f>
        <v>25598.399999999994</v>
      </c>
      <c r="E40" s="21">
        <f t="shared" si="13"/>
        <v>0.16464937139887387</v>
      </c>
      <c r="F40" s="20">
        <f>I40/D40</f>
        <v>18.815137704254326</v>
      </c>
      <c r="G40" s="19">
        <f>F40/C40-1</f>
        <v>8.9888348547327412E-2</v>
      </c>
      <c r="H40" s="18">
        <f>SUM(H34:H39)</f>
        <v>441914.4599999999</v>
      </c>
      <c r="I40" s="18">
        <f>SUM(I34:I39)</f>
        <v>481637.4210085838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117">
        <f>'EMR28-19082728-S'!D42+'FA29-19082728-S'!D42+'BA29-19082829-S'!D42+'AYG29-19082829-S'!D42+'KAZ28-19082627-S'!D42+'MEM28-19082728-S'!D42+'BAY28-19082627-S'!D42+'ÇEK27-19082426-S'!D42+'AYG26-19082526-S'!D42+'EMR23-19082122-S'!D42+'MEM23-19082021-S'!D42+'BA21-19081921-S'!D42+'EB20-19081920-S'!D42+'ÇEK20-19081719-S'!D42+'KAZ20-19081719-S'!D42+'ÇEK08-19080708-S'!D42+'EMR09-19080607-S'!D42+'MEM07-19080607-S'!D42+'EMR02-19083102-S'!D42+'MİR02-19080102-S'!D42+'BA02-19083101-S'!D42+'KAZ01-19083001-S'!D42+'ÇEK01-19083101-S'!D42</f>
        <v>32422.399999999994</v>
      </c>
      <c r="E42" s="107">
        <f>D42/$D$48</f>
        <v>0.20854146271809365</v>
      </c>
      <c r="F42" s="28">
        <f>C42-(C42*$E$6)</f>
        <v>0.43595533941893089</v>
      </c>
      <c r="G42" s="27" t="str">
        <f>IF(C42&gt;=F42,"-","+")</f>
        <v>+</v>
      </c>
      <c r="H42" s="26">
        <f>C42*D42</f>
        <v>12968.96</v>
      </c>
      <c r="I42" s="26">
        <f>F42*D42</f>
        <v>14134.718396776343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117">
        <f>'EMR28-19082728-S'!D43+'FA29-19082728-S'!D43+'BA29-19082829-S'!D43+'AYG29-19082829-S'!D43+'KAZ28-19082627-S'!D43+'MEM28-19082728-S'!D43+'BAY28-19082627-S'!D43+'ÇEK27-19082426-S'!D43+'AYG26-19082526-S'!D43+'EMR23-19082122-S'!D43+'MEM23-19082021-S'!D43+'BA21-19081921-S'!D43+'EB20-19081920-S'!D43+'ÇEK20-19081719-S'!D43+'KAZ20-19081719-S'!D43+'ÇEK08-19080708-S'!D43+'EMR09-19080607-S'!D43+'MEM07-19080607-S'!D43+'EMR02-19083102-S'!D43+'MİR02-19080102-S'!D43+'BA02-19083101-S'!D43+'KAZ01-19083001-S'!D43+'ÇEK01-19083101-S'!D43</f>
        <v>946.50000000000011</v>
      </c>
      <c r="E43" s="107">
        <f>D43/$D$48</f>
        <v>6.0879051045781831E-3</v>
      </c>
      <c r="F43" s="28">
        <f>C43-(C43*$E$6)</f>
        <v>0.43595533941893089</v>
      </c>
      <c r="G43" s="27" t="str">
        <f>IF(C43&gt;=F43,"-","+")</f>
        <v>+</v>
      </c>
      <c r="H43" s="26">
        <f>C43*D43</f>
        <v>378.60000000000008</v>
      </c>
      <c r="I43" s="26">
        <f>F43*D43</f>
        <v>412.63172876001812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EMR28-19082728-S'!D44+'FA29-19082728-S'!D44+'BA29-19082829-S'!D44+'AYG29-19082829-S'!D44+'KAZ28-19082627-S'!D44+'MEM28-19082728-S'!D44+'BAY28-19082627-S'!D44+'ÇEK27-19082426-S'!D44+'AYG26-19082526-S'!D44+'EMR23-19082122-S'!D44+'MEM23-19082021-S'!D44+'BA21-19081921-S'!D44+'EB20-19081920-S'!D44+'ÇEK20-19081719-S'!D44+'KAZ20-19081719-S'!D44+'ÇEK08-19080708-S'!D44+'EMR09-19080607-S'!D44+'MEM07-19080607-S'!D44+'EMR02-19083102-S'!D44+'MİR02-19080102-S'!D44+'BA02-19083101-S'!D44+'KAZ01-19083001-S'!D44+'ÇEK01-19083101-S'!D44</f>
        <v>17.2</v>
      </c>
      <c r="E44" s="107">
        <f>D44/$D$48</f>
        <v>1.1063071082804515E-4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EMR28-19082728-S'!D45+'FA29-19082728-S'!D45+'BA29-19082829-S'!D45+'AYG29-19082829-S'!D45+'KAZ28-19082627-S'!D45+'MEM28-19082728-S'!D45+'BAY28-19082627-S'!D45+'ÇEK27-19082426-S'!D45+'AYG26-19082526-S'!D45+'EMR23-19082122-S'!D45+'MEM23-19082021-S'!D45+'BA21-19081921-S'!D45+'EB20-19081920-S'!D45+'ÇEK20-19081719-S'!D45+'KAZ20-19081719-S'!D45+'ÇEK08-19080708-S'!D45+'EMR09-19080607-S'!D45+'MEM07-19080607-S'!D45+'EMR02-19083102-S'!D45+'MİR02-19080102-S'!D45+'BA02-19083101-S'!D45+'KAZ01-19083001-S'!D45+'ÇEK01-19083101-S'!D45</f>
        <v>107.1</v>
      </c>
      <c r="E45" s="107">
        <f>D45/$D$48</f>
        <v>6.88869135446723E-4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0.39851551956815123</v>
      </c>
      <c r="D46" s="22">
        <f>SUM(D41:D45)</f>
        <v>33493.19999999999</v>
      </c>
      <c r="E46" s="21">
        <f>D46/$D$48</f>
        <v>0.21542886766894656</v>
      </c>
      <c r="F46" s="20">
        <f>I46/D46</f>
        <v>0.4343374214926124</v>
      </c>
      <c r="G46" s="19">
        <f>F46/C46-1</f>
        <v>8.988834854732719E-2</v>
      </c>
      <c r="H46" s="18">
        <f>SUM(H41:H44)</f>
        <v>13347.56</v>
      </c>
      <c r="I46" s="18">
        <f>SUM(I41:I44)</f>
        <v>14547.350125536361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93.586227814115986</v>
      </c>
      <c r="D48" s="13">
        <f>D24+D32+D40+D46</f>
        <v>155472.19999999998</v>
      </c>
      <c r="E48" s="12">
        <f>SUM(E20:E46)/2</f>
        <v>1.0000000000000002</v>
      </c>
      <c r="F48" s="11">
        <f>I48/D48</f>
        <v>24.848374148003462</v>
      </c>
      <c r="G48" s="10"/>
      <c r="H48" s="9">
        <f>SUM(H20:H46)/2</f>
        <v>3544612.07</v>
      </c>
      <c r="I48" s="9">
        <f>SUM(I20:I46)/2</f>
        <v>3863231.3952132235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155718.20000000001</v>
      </c>
      <c r="E50" s="12">
        <f>D50/G2</f>
        <v>0.99996981818345287</v>
      </c>
      <c r="F50" s="11">
        <f>I50/D50</f>
        <v>24.890751248087895</v>
      </c>
      <c r="G50" s="10"/>
      <c r="H50" s="9">
        <f>H48+H19</f>
        <v>3556275.27</v>
      </c>
      <c r="I50" s="9">
        <f>I48+I19</f>
        <v>3875942.9810000006</v>
      </c>
      <c r="J50" s="106">
        <f>D50-G2</f>
        <v>-4.6999999999825377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24.890751248087895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>
    <tabColor rgb="FFFF000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906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BA30-19082829'!G2+'G29-19082829-1'!G2+'G29-19082829'!G2+'G28-19082426-1'!G2+'G28-19082728'!G2+'BO27-190824265'!G2+'G26-19082426'!G2+'G24-19082122'!G2+'BO24-19082122'!G2+'G22-19082022-1'!G2+'G22-19082022'!G2+'BA21-19081921'!G2+'G20-19081719'!G2+'G19-19081819-1'!G2+'G19-19081819'!G2+'G16-19081315-1'!G2+'G15-19081315'!G2+'G09-19080608-1'!G2+'ÖB09-19080607-1'!G2+'ÖB08-19080607'!G2+'G08-19080608'!G2+'ALP07-19080506'!G2+'ALP08-19080506-1'!G2+'G06-19080305'!G2+'ALP06-19080506-2'!G2+'G06-19083001-1'!G2+'ÖB06-19080405-1'!G2+'ÖB05-19080405'!G2+'ALP05-19072930'!G2+'G02-19073031'!G2+'G01-19083001'!G2</f>
        <v>361308.1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BA30-19082829'!E3+'G29-19082829-1'!E3+'G29-19082829'!E3+'G28-19082426-1'!E3+'G28-19082728'!E3+'BO27-190824265'!E3+'G26-19082426'!E3+'G24-19082122'!E3+'BO24-19082122'!E3+'G22-19082022-1'!E3+'G22-19082022'!E3+'BA21-19081921'!E3+'G20-19081719'!E3+'G19-19081819-1'!E3+'G19-19081819'!E3+'G16-19081315-1'!E3+'G15-19081315'!E3+'G09-19080608-1'!E3+'ÖB09-19080607-1'!E3+'ÖB08-19080607'!E3+'G08-19080608'!E3+'ALP07-19080506'!E3+'ALP08-19080506-1'!E3+'G06-19080305'!E3+'ALP06-19080506-2'!E3+'G06-19083001-1'!E3+'ÖB06-19080405-1'!E3+'ÖB05-19080405'!E3+'ALP05-19072930'!E3+'G02-19073031'!E3+'G01-19083001'!E3</f>
        <v>4512</v>
      </c>
      <c r="F3" s="111" t="s">
        <v>8</v>
      </c>
      <c r="G3" s="114">
        <v>28.07</v>
      </c>
      <c r="H3" s="118" t="s">
        <v>907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80.077149822695034</v>
      </c>
      <c r="F4" s="81" t="s">
        <v>12</v>
      </c>
      <c r="G4" s="112">
        <f>G2*G3</f>
        <v>10141918.366999999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-8.7515604483794363E-3</v>
      </c>
      <c r="F6" s="69" t="s">
        <v>16</v>
      </c>
      <c r="G6" s="68">
        <f>(I50-I19)/(D50-(SUM(D42:D44)+D19))</f>
        <v>33.431424767817127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28.1</v>
      </c>
      <c r="D10" s="117">
        <f>'BA30-19082829'!D10+'G29-19082829-1'!D10+'G29-19082829'!D10+'G28-19082426-1'!D10+'G28-19082728'!D10+'BO27-190824265'!D10+'G26-19082426'!D10+'G24-19082122'!D10+'BO24-19082122'!D10+'G22-19082022-1'!D10+'G22-19082022'!D10+'BA21-19081921'!D10+'G20-19081719'!D10+'G19-19081819-1'!D10+'G19-19081819'!D10+'G16-19081315-1'!D10+'G15-19081315'!D10+'G09-19080608-1'!D10+'ÖB09-19080607-1'!D10+'ÖB08-19080607'!D10+'G08-19080608'!D10+'ALP07-19080506'!D10+'ALP08-19080506-1'!D10+'G06-19080305'!D10+'ALP06-19080506-2'!D10+'G06-19083001-1'!D10+'ÖB06-19080405-1'!D10+'ÖB05-19080405'!D10+'ALP05-19072930'!D10+'G02-19073031'!D10+'G01-19083001'!D10</f>
        <v>0</v>
      </c>
      <c r="E10" s="29">
        <f t="shared" ref="E10:E19" si="1">D10/$D$19</f>
        <v>0</v>
      </c>
      <c r="F10" s="28">
        <f t="shared" ref="F10:F18" si="2">C10-(C10*$E$6)</f>
        <v>28.345918848599464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29.2</v>
      </c>
      <c r="D11" s="117">
        <f>'BA30-19082829'!D11+'G29-19082829-1'!D11+'G29-19082829'!D11+'G28-19082426-1'!D11+'G28-19082728'!D11+'BO27-190824265'!D11+'G26-19082426'!D11+'G24-19082122'!D11+'BO24-19082122'!D11+'G22-19082022-1'!D11+'G22-19082022'!D11+'BA21-19081921'!D11+'G20-19081719'!D11+'G19-19081819-1'!D11+'G19-19081819'!D11+'G16-19081315-1'!D11+'G15-19081315'!D11+'G09-19080608-1'!D11+'ÖB09-19080607-1'!D11+'ÖB08-19080607'!D11+'G08-19080608'!D11+'ALP07-19080506'!D11+'ALP08-19080506-1'!D11+'G06-19080305'!D11+'ALP06-19080506-2'!D11+'G06-19083001-1'!D11+'ÖB06-19080405-1'!D11+'ÖB05-19080405'!D11+'ALP05-19072930'!D11+'G02-19073031'!D11+'G01-19083001'!D11</f>
        <v>37501.599999999999</v>
      </c>
      <c r="E11" s="29">
        <f t="shared" si="1"/>
        <v>0.53648116559365477</v>
      </c>
      <c r="F11" s="28">
        <f t="shared" si="2"/>
        <v>29.455545565092677</v>
      </c>
      <c r="G11" s="27" t="str">
        <f t="shared" si="3"/>
        <v>+</v>
      </c>
      <c r="H11" s="34">
        <f t="shared" si="4"/>
        <v>1095046.72</v>
      </c>
      <c r="I11" s="34">
        <f t="shared" si="5"/>
        <v>1104630.0875638796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26.7</v>
      </c>
      <c r="D12" s="117">
        <f>'BA30-19082829'!D12+'G29-19082829-1'!D12+'G29-19082829'!D12+'G28-19082426-1'!D12+'G28-19082728'!D12+'BO27-190824265'!D12+'G26-19082426'!D12+'G24-19082122'!D12+'BO24-19082122'!D12+'G22-19082022-1'!D12+'G22-19082022'!D12+'BA21-19081921'!D12+'G20-19081719'!D12+'G19-19081819-1'!D12+'G19-19081819'!D12+'G16-19081315-1'!D12+'G15-19081315'!D12+'G09-19080608-1'!D12+'ÖB09-19080607-1'!D12+'ÖB08-19080607'!D12+'G08-19080608'!D12+'ALP07-19080506'!D12+'ALP08-19080506-1'!D12+'G06-19080305'!D12+'ALP06-19080506-2'!D12+'G06-19083001-1'!D12+'ÖB06-19080405-1'!D12+'ÖB05-19080405'!D12+'ALP05-19072930'!D12+'G02-19073031'!D12+'G01-19083001'!D12</f>
        <v>17312.900000000001</v>
      </c>
      <c r="E12" s="29">
        <f t="shared" si="1"/>
        <v>0.24767062663476722</v>
      </c>
      <c r="F12" s="28">
        <f t="shared" si="2"/>
        <v>26.933666663971731</v>
      </c>
      <c r="G12" s="27" t="str">
        <f>IF(C12&gt;=F12,"-","+")</f>
        <v>+</v>
      </c>
      <c r="H12" s="34">
        <f t="shared" si="4"/>
        <v>462254.43000000005</v>
      </c>
      <c r="I12" s="34">
        <f t="shared" si="5"/>
        <v>466299.87758667622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29.2</v>
      </c>
      <c r="D13" s="117">
        <f>'BA30-19082829'!D13+'G29-19082829-1'!D13+'G29-19082829'!D13+'G28-19082426-1'!D13+'G28-19082728'!D13+'BO27-190824265'!D13+'G26-19082426'!D13+'G24-19082122'!D13+'BO24-19082122'!D13+'G22-19082022-1'!D13+'G22-19082022'!D13+'BA21-19081921'!D13+'G20-19081719'!D13+'G19-19081819-1'!D13+'G19-19081819'!D13+'G16-19081315-1'!D13+'G15-19081315'!D13+'G09-19080608-1'!D13+'ÖB09-19080607-1'!D13+'ÖB08-19080607'!D13+'G08-19080608'!D13+'ALP07-19080506'!D13+'ALP08-19080506-1'!D13+'G06-19080305'!D13+'ALP06-19080506-2'!D13+'G06-19083001-1'!D13+'ÖB06-19080405-1'!D13+'ÖB05-19080405'!D13+'ALP05-19072930'!D13+'G02-19073031'!D13+'G01-19083001'!D13</f>
        <v>10825.000000000002</v>
      </c>
      <c r="E13" s="29">
        <f t="shared" si="1"/>
        <v>0.15485762254280655</v>
      </c>
      <c r="F13" s="28">
        <f t="shared" si="2"/>
        <v>29.455545565092677</v>
      </c>
      <c r="G13" s="27" t="str">
        <f t="shared" si="3"/>
        <v>+</v>
      </c>
      <c r="H13" s="34">
        <f t="shared" si="4"/>
        <v>316090.00000000006</v>
      </c>
      <c r="I13" s="34">
        <f t="shared" si="5"/>
        <v>318856.28074212826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32.700000000000003</v>
      </c>
      <c r="D14" s="117">
        <f>'BA30-19082829'!D14+'G29-19082829-1'!D14+'G29-19082829'!D14+'G28-19082426-1'!D14+'G28-19082728'!D14+'BO27-190824265'!D14+'G26-19082426'!D14+'G24-19082122'!D14+'BO24-19082122'!D14+'G22-19082022-1'!D14+'G22-19082022'!D14+'BA21-19081921'!D14+'G20-19081719'!D14+'G19-19081819-1'!D14+'G19-19081819'!D14+'G16-19081315-1'!D14+'G15-19081315'!D14+'G09-19080608-1'!D14+'ÖB09-19080607-1'!D14+'ÖB08-19080607'!D14+'G08-19080608'!D14+'ALP07-19080506'!D14+'ALP08-19080506-1'!D14+'G06-19080305'!D14+'ALP06-19080506-2'!D14+'G06-19083001-1'!D14+'ÖB06-19080405-1'!D14+'ÖB05-19080405'!D14+'ALP05-19072930'!D14+'G02-19073031'!D14+'G01-19083001'!D14</f>
        <v>2854.7199999999993</v>
      </c>
      <c r="E14" s="29">
        <f t="shared" si="1"/>
        <v>4.0838351244840691E-2</v>
      </c>
      <c r="F14" s="28">
        <f t="shared" si="2"/>
        <v>32.986176026662008</v>
      </c>
      <c r="G14" s="27" t="str">
        <f t="shared" si="3"/>
        <v>+</v>
      </c>
      <c r="H14" s="34">
        <f t="shared" si="4"/>
        <v>93349.343999999983</v>
      </c>
      <c r="I14" s="34">
        <f t="shared" si="5"/>
        <v>94166.296426832545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26.9</v>
      </c>
      <c r="D15" s="117">
        <f>'BA30-19082829'!D15+'G29-19082829-1'!D15+'G29-19082829'!D15+'G28-19082426-1'!D15+'G28-19082728'!D15+'BO27-190824265'!D15+'G26-19082426'!D15+'G24-19082122'!D15+'BO24-19082122'!D15+'G22-19082022-1'!D15+'G22-19082022'!D15+'BA21-19081921'!D15+'G20-19081719'!D15+'G19-19081819-1'!D15+'G19-19081819'!D15+'G16-19081315-1'!D15+'G15-19081315'!D15+'G09-19080608-1'!D15+'ÖB09-19080607-1'!D15+'ÖB08-19080607'!D15+'G08-19080608'!D15+'ALP07-19080506'!D15+'ALP08-19080506-1'!D15+'G06-19080305'!D15+'ALP06-19080506-2'!D15+'G06-19083001-1'!D15+'ÖB06-19080405-1'!D15+'ÖB05-19080405'!D15+'ALP05-19072930'!D15+'G02-19073031'!D15+'G01-19083001'!D15</f>
        <v>1245.8</v>
      </c>
      <c r="E15" s="29">
        <f t="shared" si="1"/>
        <v>1.782185922991486E-2</v>
      </c>
      <c r="F15" s="28">
        <f t="shared" si="2"/>
        <v>27.135416976061407</v>
      </c>
      <c r="G15" s="27" t="str">
        <f t="shared" si="3"/>
        <v>+</v>
      </c>
      <c r="H15" s="34">
        <f t="shared" si="4"/>
        <v>33512.019999999997</v>
      </c>
      <c r="I15" s="34">
        <f t="shared" si="5"/>
        <v>33805.3024687773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36.9</v>
      </c>
      <c r="D16" s="117">
        <f>'BA30-19082829'!D16+'G29-19082829-1'!D16+'G29-19082829'!D16+'G28-19082426-1'!D16+'G28-19082728'!D16+'BO27-190824265'!D16+'G26-19082426'!D16+'G24-19082122'!D16+'BO24-19082122'!D16+'G22-19082022-1'!D16+'G22-19082022'!D16+'BA21-19081921'!D16+'G20-19081719'!D16+'G19-19081819-1'!D16+'G19-19081819'!D16+'G16-19081315-1'!D16+'G15-19081315'!D16+'G09-19080608-1'!D16+'ÖB09-19080607-1'!D16+'ÖB08-19080607'!D16+'G08-19080608'!D16+'ALP07-19080506'!D16+'ALP08-19080506-1'!D16+'G06-19080305'!D16+'ALP06-19080506-2'!D16+'G06-19083001-1'!D16+'ÖB06-19080405-1'!D16+'ÖB05-19080405'!D16+'ALP05-19072930'!D16+'G02-19073031'!D16+'G01-19083001'!D16</f>
        <v>20</v>
      </c>
      <c r="E16" s="29">
        <f t="shared" si="1"/>
        <v>2.8611108091049702E-4</v>
      </c>
      <c r="F16" s="28">
        <f t="shared" si="2"/>
        <v>37.222932580545198</v>
      </c>
      <c r="G16" s="27" t="str">
        <f t="shared" si="3"/>
        <v>+</v>
      </c>
      <c r="H16" s="34">
        <f t="shared" si="4"/>
        <v>738</v>
      </c>
      <c r="I16" s="34">
        <f t="shared" si="5"/>
        <v>744.45865161090398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54.3</v>
      </c>
      <c r="D17" s="117">
        <f>'BA30-19082829'!D17+'G29-19082829-1'!D17+'G29-19082829'!D17+'G28-19082426-1'!D17+'G28-19082728'!D17+'BO27-190824265'!D17+'G26-19082426'!D17+'G24-19082122'!D17+'BO24-19082122'!D17+'G22-19082022-1'!D17+'G22-19082022'!D17+'BA21-19081921'!D17+'G20-19081719'!D17+'G19-19081819-1'!D17+'G19-19081819'!D17+'G16-19081315-1'!D17+'G15-19081315'!D17+'G09-19080608-1'!D17+'ÖB09-19080607-1'!D17+'ÖB08-19080607'!D17+'G08-19080608'!D17+'ALP07-19080506'!D17+'ALP08-19080506-1'!D17+'G06-19080305'!D17+'ALP06-19080506-2'!D17+'G06-19083001-1'!D17+'ÖB06-19080405-1'!D17+'ÖB05-19080405'!D17+'ALP05-19072930'!D17+'G02-19073031'!D17+'G01-19083001'!D17</f>
        <v>142.9</v>
      </c>
      <c r="E17" s="29">
        <f t="shared" si="1"/>
        <v>2.0442636731055012E-3</v>
      </c>
      <c r="F17" s="28">
        <f t="shared" si="2"/>
        <v>54.775209732347001</v>
      </c>
      <c r="G17" s="27" t="str">
        <f t="shared" si="3"/>
        <v>+</v>
      </c>
      <c r="H17" s="34">
        <f t="shared" si="4"/>
        <v>7759.47</v>
      </c>
      <c r="I17" s="34">
        <f t="shared" si="5"/>
        <v>7827.3774707523871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47.6</v>
      </c>
      <c r="D18" s="117">
        <f>'BA30-19082829'!D18+'G29-19082829-1'!D18+'G29-19082829'!D18+'G28-19082426-1'!D18+'G28-19082728'!D18+'BO27-190824265'!D18+'G26-19082426'!D18+'G24-19082122'!D18+'BO24-19082122'!D18+'G22-19082022-1'!D18+'G22-19082022'!D18+'BA21-19081921'!D18+'G20-19081719'!D18+'G19-19081819-1'!D18+'G19-19081819'!D18+'G16-19081315-1'!D18+'G15-19081315'!D18+'G09-19080608-1'!D18+'ÖB09-19080607-1'!D18+'ÖB08-19080607'!D18+'G08-19080608'!D18+'ALP07-19080506'!D18+'ALP08-19080506-1'!D18+'G06-19080305'!D18+'ALP06-19080506-2'!D18+'G06-19083001-1'!D18+'ÖB06-19080405-1'!D18+'ÖB05-19080405'!D18+'ALP05-19072930'!D18+'G02-19073031'!D18+'G01-19083001'!D18</f>
        <v>0</v>
      </c>
      <c r="E18" s="29">
        <f t="shared" si="1"/>
        <v>0</v>
      </c>
      <c r="F18" s="28">
        <f t="shared" si="2"/>
        <v>48.016574277342862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28.736281460059178</v>
      </c>
      <c r="D19" s="49">
        <f>SUM(D10:D18)</f>
        <v>69902.92</v>
      </c>
      <c r="E19" s="48">
        <f t="shared" si="1"/>
        <v>1</v>
      </c>
      <c r="F19" s="47">
        <f>I19/D19</f>
        <v>28.987768764318531</v>
      </c>
      <c r="G19" s="46">
        <f>F19/C19-1</f>
        <v>8.7515604483794363E-3</v>
      </c>
      <c r="H19" s="9">
        <f>SUM(H10:H18)</f>
        <v>2008749.9839999999</v>
      </c>
      <c r="I19" s="9">
        <f>SUM(I10:I18)</f>
        <v>2026329.6809106572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70.599999999999994</v>
      </c>
      <c r="D21" s="117">
        <f>'BA30-19082829'!D21+'G29-19082829-1'!D21+'G29-19082829'!D21+'G28-19082426-1'!D21+'G28-19082728'!D21+'BO27-190824265'!D21+'G26-19082426'!D21+'G24-19082122'!D21+'BO24-19082122'!D21+'G22-19082022-1'!D21+'G22-19082022'!D21+'BA21-19081921'!D21+'G20-19081719'!D21+'G19-19081819-1'!D21+'G19-19081819'!D21+'G16-19081315-1'!D21+'G15-19081315'!D21+'G09-19080608-1'!D21+'ÖB09-19080607-1'!D21+'ÖB08-19080607'!D21+'G08-19080608'!D21+'ALP07-19080506'!D21+'ALP08-19080506-1'!D21+'G06-19080305'!D21+'ALP06-19080506-2'!D21+'G06-19083001-1'!D21+'ÖB06-19080405-1'!D21+'ÖB05-19080405'!D21+'ALP05-19072930'!D21+'G02-19073031'!D21+'G01-19083001'!D21</f>
        <v>3309.5000000000005</v>
      </c>
      <c r="E21" s="29">
        <f>D21/$D$48</f>
        <v>1.135706941967932E-2</v>
      </c>
      <c r="F21" s="28">
        <f>C21-(C21*$E$6)</f>
        <v>71.217860167655587</v>
      </c>
      <c r="G21" s="27" t="str">
        <f>IF(C21&gt;=F21,"-","+")</f>
        <v>+</v>
      </c>
      <c r="H21" s="26">
        <f>C21*D21</f>
        <v>233650.7</v>
      </c>
      <c r="I21" s="26">
        <f>F21*D21</f>
        <v>235695.5082248562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47.4</v>
      </c>
      <c r="D22" s="117">
        <f>'BA30-19082829'!D22+'G29-19082829-1'!D22+'G29-19082829'!D22+'G28-19082426-1'!D22+'G28-19082728'!D22+'BO27-190824265'!D22+'G26-19082426'!D22+'G24-19082122'!D22+'BO24-19082122'!D22+'G22-19082022-1'!D22+'G22-19082022'!D22+'BA21-19081921'!D22+'G20-19081719'!D22+'G19-19081819-1'!D22+'G19-19081819'!D22+'G16-19081315-1'!D22+'G15-19081315'!D22+'G09-19080608-1'!D22+'ÖB09-19080607-1'!D22+'ÖB08-19080607'!D22+'G08-19080608'!D22+'ALP07-19080506'!D22+'ALP08-19080506-1'!D22+'G06-19080305'!D22+'ALP06-19080506-2'!D22+'G06-19083001-1'!D22+'ÖB06-19080405-1'!D22+'ÖB05-19080405'!D22+'ALP05-19072930'!D22+'G02-19073031'!D22+'G01-19083001'!D22</f>
        <v>10114.199999999999</v>
      </c>
      <c r="E22" s="29">
        <f>D22/$D$48</f>
        <v>3.4708466996380284E-2</v>
      </c>
      <c r="F22" s="28">
        <f>C22-(C22*$E$6)</f>
        <v>47.814823965253183</v>
      </c>
      <c r="G22" s="27" t="str">
        <f>IF(C22&gt;=F22,"-","+")</f>
        <v>+</v>
      </c>
      <c r="H22" s="26">
        <f>C22*D22</f>
        <v>479413.07999999996</v>
      </c>
      <c r="I22" s="26">
        <f>F22*D22</f>
        <v>483608.69254936371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43.2</v>
      </c>
      <c r="D23" s="117">
        <f>'BA30-19082829'!D23+'G29-19082829-1'!D23+'G29-19082829'!D23+'G28-19082426-1'!D23+'G28-19082728'!D23+'BO27-190824265'!D23+'G26-19082426'!D23+'G24-19082122'!D23+'BO24-19082122'!D23+'G22-19082022-1'!D23+'G22-19082022'!D23+'BA21-19081921'!D23+'G20-19081719'!D23+'G19-19081819-1'!D23+'G19-19081819'!D23+'G16-19081315-1'!D23+'G15-19081315'!D23+'G09-19080608-1'!D23+'ÖB09-19080607-1'!D23+'ÖB08-19080607'!D23+'G08-19080608'!D23+'ALP07-19080506'!D23+'ALP08-19080506-1'!D23+'G06-19080305'!D23+'ALP06-19080506-2'!D23+'G06-19083001-1'!D23+'ÖB06-19080405-1'!D23+'ÖB05-19080405'!D23+'ALP05-19072930'!D23+'G02-19073031'!D23+'G01-19083001'!D23</f>
        <v>6484.7000000000016</v>
      </c>
      <c r="E23" s="29">
        <f>D23/$D$48</f>
        <v>2.2253267280796039E-2</v>
      </c>
      <c r="F23" s="28">
        <f>C23-(C23*$E$6)</f>
        <v>43.578067411369993</v>
      </c>
      <c r="G23" s="27" t="str">
        <f>IF(C23&gt;=F23,"-","+")</f>
        <v>+</v>
      </c>
      <c r="H23" s="26">
        <f>C23*D23</f>
        <v>280139.0400000001</v>
      </c>
      <c r="I23" s="26">
        <f>F23*D23</f>
        <v>282590.69374251104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49.888630929657829</v>
      </c>
      <c r="D24" s="22">
        <f>SUM(D21:D23)</f>
        <v>19908.400000000001</v>
      </c>
      <c r="E24" s="21">
        <f>D24/$D$48</f>
        <v>6.831880369685564E-2</v>
      </c>
      <c r="F24" s="20">
        <f>I24/D24</f>
        <v>50.325234298925622</v>
      </c>
      <c r="G24" s="19">
        <f>F24/C24-1</f>
        <v>8.7515604483794363E-3</v>
      </c>
      <c r="H24" s="18">
        <f>SUM(H21:H23)</f>
        <v>993202.82000000007</v>
      </c>
      <c r="I24" s="18">
        <f>SUM(I21:I23)</f>
        <v>1001894.8945167309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37.700000000000003</v>
      </c>
      <c r="D26" s="117">
        <f>'BA30-19082829'!D26+'G29-19082829-1'!D26+'G29-19082829'!D26+'G28-19082426-1'!D26+'G28-19082728'!D26+'BO27-190824265'!D26+'G26-19082426'!D26+'G24-19082122'!D26+'BO24-19082122'!D26+'G22-19082022-1'!D26+'G22-19082022'!D26+'BA21-19081921'!D26+'G20-19081719'!D26+'G19-19081819-1'!D26+'G19-19081819'!D26+'G16-19081315-1'!D26+'G15-19081315'!D26+'G09-19080608-1'!D26+'ÖB09-19080607-1'!D26+'ÖB08-19080607'!D26+'G08-19080608'!D26+'ALP07-19080506'!D26+'ALP08-19080506-1'!D26+'G06-19080305'!D26+'ALP06-19080506-2'!D26+'G06-19083001-1'!D26+'ÖB06-19080405-1'!D26+'ÖB05-19080405'!D26+'ALP05-19072930'!D26+'G02-19073031'!D26+'G01-19083001'!D26</f>
        <v>48274.799999999996</v>
      </c>
      <c r="E26" s="29">
        <f t="shared" ref="E26:E32" si="7">D26/$D$48</f>
        <v>0.16566256377734856</v>
      </c>
      <c r="F26" s="28">
        <f t="shared" ref="F26:F31" si="8">C26-(C26*$E$6)</f>
        <v>38.029933828903907</v>
      </c>
      <c r="G26" s="27" t="str">
        <f t="shared" ref="G26:G31" si="9">IF(C26&gt;=F26,"-","+")</f>
        <v>+</v>
      </c>
      <c r="H26" s="26">
        <f t="shared" ref="H26:H31" si="10">C26*D26</f>
        <v>1819959.96</v>
      </c>
      <c r="I26" s="26">
        <f t="shared" ref="I26:I31" si="11">F26*D26</f>
        <v>1835887.4496035702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33.5</v>
      </c>
      <c r="D27" s="117">
        <f>'BA30-19082829'!D27+'G29-19082829-1'!D27+'G29-19082829'!D27+'G28-19082426-1'!D27+'G28-19082728'!D27+'BO27-190824265'!D27+'G26-19082426'!D27+'G24-19082122'!D27+'BO24-19082122'!D27+'G22-19082022-1'!D27+'G22-19082022'!D27+'BA21-19081921'!D27+'G20-19081719'!D27+'G19-19081819-1'!D27+'G19-19081819'!D27+'G16-19081315-1'!D27+'G15-19081315'!D27+'G09-19080608-1'!D27+'ÖB09-19080607-1'!D27+'ÖB08-19080607'!D27+'G08-19080608'!D27+'ALP07-19080506'!D27+'ALP08-19080506-1'!D27+'G06-19080305'!D27+'ALP06-19080506-2'!D27+'G06-19083001-1'!D27+'ÖB06-19080405-1'!D27+'ÖB05-19080405'!D27+'ALP05-19072930'!D27+'G02-19073031'!D27+'G01-19083001'!D27</f>
        <v>48611.500000000007</v>
      </c>
      <c r="E27" s="29">
        <f t="shared" si="7"/>
        <v>0.16681800274807107</v>
      </c>
      <c r="F27" s="28">
        <f t="shared" si="8"/>
        <v>33.79317727502071</v>
      </c>
      <c r="G27" s="27" t="str">
        <f t="shared" si="9"/>
        <v>+</v>
      </c>
      <c r="H27" s="26">
        <f t="shared" si="10"/>
        <v>1628485.2500000002</v>
      </c>
      <c r="I27" s="26">
        <f t="shared" si="11"/>
        <v>1642737.0371046695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33.5</v>
      </c>
      <c r="D28" s="117">
        <f>'BA30-19082829'!D28+'G29-19082829-1'!D28+'G29-19082829'!D28+'G28-19082426-1'!D28+'G28-19082728'!D28+'BO27-190824265'!D28+'G26-19082426'!D28+'G24-19082122'!D28+'BO24-19082122'!D28+'G22-19082022-1'!D28+'G22-19082022'!D28+'BA21-19081921'!D28+'G20-19081719'!D28+'G19-19081819-1'!D28+'G19-19081819'!D28+'G16-19081315-1'!D28+'G15-19081315'!D28+'G09-19080608-1'!D28+'ÖB09-19080607-1'!D28+'ÖB08-19080607'!D28+'G08-19080608'!D28+'ALP07-19080506'!D28+'ALP08-19080506-1'!D28+'G06-19080305'!D28+'ALP06-19080506-2'!D28+'G06-19083001-1'!D28+'ÖB06-19080405-1'!D28+'ÖB05-19080405'!D28+'ALP05-19072930'!D28+'G02-19073031'!D28+'G01-19083001'!D28</f>
        <v>31347.200000000001</v>
      </c>
      <c r="E28" s="29">
        <f t="shared" si="7"/>
        <v>0.10757284378684741</v>
      </c>
      <c r="F28" s="28">
        <f t="shared" si="8"/>
        <v>33.79317727502071</v>
      </c>
      <c r="G28" s="27" t="str">
        <f t="shared" si="9"/>
        <v>+</v>
      </c>
      <c r="H28" s="26">
        <f t="shared" si="10"/>
        <v>1050131.2</v>
      </c>
      <c r="I28" s="26">
        <f t="shared" si="11"/>
        <v>1059321.4866755293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32.4</v>
      </c>
      <c r="D29" s="117">
        <f>'BA30-19082829'!D29+'G29-19082829-1'!D29+'G29-19082829'!D29+'G28-19082426-1'!D29+'G28-19082728'!D29+'BO27-190824265'!D29+'G26-19082426'!D29+'G24-19082122'!D29+'BO24-19082122'!D29+'G22-19082022-1'!D29+'G22-19082022'!D29+'BA21-19081921'!D29+'G20-19081719'!D29+'G19-19081819-1'!D29+'G19-19081819'!D29+'G16-19081315-1'!D29+'G15-19081315'!D29+'G09-19080608-1'!D29+'ÖB09-19080607-1'!D29+'ÖB08-19080607'!D29+'G08-19080608'!D29+'ALP07-19080506'!D29+'ALP08-19080506-1'!D29+'G06-19080305'!D29+'ALP06-19080506-2'!D29+'G06-19083001-1'!D29+'ÖB06-19080405-1'!D29+'ÖB05-19080405'!D29+'ALP05-19072930'!D29+'G02-19073031'!D29+'G01-19083001'!D29</f>
        <v>27273</v>
      </c>
      <c r="E29" s="29">
        <f t="shared" si="7"/>
        <v>9.3591586125672768E-2</v>
      </c>
      <c r="F29" s="28">
        <f t="shared" si="8"/>
        <v>32.683550558527493</v>
      </c>
      <c r="G29" s="27" t="str">
        <f t="shared" si="9"/>
        <v>+</v>
      </c>
      <c r="H29" s="26">
        <f t="shared" si="10"/>
        <v>883645.2</v>
      </c>
      <c r="I29" s="26">
        <f t="shared" si="11"/>
        <v>891378.47438272031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32.4</v>
      </c>
      <c r="D30" s="117">
        <f>'BA30-19082829'!D30+'G29-19082829-1'!D30+'G29-19082829'!D30+'G28-19082426-1'!D30+'G28-19082728'!D30+'BO27-190824265'!D30+'G26-19082426'!D30+'G24-19082122'!D30+'BO24-19082122'!D30+'G22-19082022-1'!D30+'G22-19082022'!D30+'BA21-19081921'!D30+'G20-19081719'!D30+'G19-19081819-1'!D30+'G19-19081819'!D30+'G16-19081315-1'!D30+'G15-19081315'!D30+'G09-19080608-1'!D30+'ÖB09-19080607-1'!D30+'ÖB08-19080607'!D30+'G08-19080608'!D30+'ALP07-19080506'!D30+'ALP08-19080506-1'!D30+'G06-19080305'!D30+'ALP06-19080506-2'!D30+'G06-19083001-1'!D30+'ÖB06-19080405-1'!D30+'ÖB05-19080405'!D30+'ALP05-19072930'!D30+'G02-19073031'!D30+'G01-19083001'!D30</f>
        <v>19827.5</v>
      </c>
      <c r="E30" s="29">
        <f t="shared" si="7"/>
        <v>6.804118263142217E-2</v>
      </c>
      <c r="F30" s="28">
        <f t="shared" si="8"/>
        <v>32.683550558527493</v>
      </c>
      <c r="G30" s="27" t="str">
        <f t="shared" si="9"/>
        <v>+</v>
      </c>
      <c r="H30" s="26">
        <f t="shared" si="10"/>
        <v>642411</v>
      </c>
      <c r="I30" s="26">
        <f t="shared" si="11"/>
        <v>648033.09869920393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</v>
      </c>
      <c r="D31" s="117">
        <f>'BA30-19082829'!D31+'G29-19082829-1'!D31+'G29-19082829'!D31+'G28-19082426-1'!D31+'G28-19082728'!D31+'BO27-190824265'!D31+'G26-19082426'!D31+'G24-19082122'!D31+'BO24-19082122'!D31+'G22-19082022-1'!D31+'G22-19082022'!D31+'BA21-19081921'!D31+'G20-19081719'!D31+'G19-19081819-1'!D31+'G19-19081819'!D31+'G16-19081315-1'!D31+'G15-19081315'!D31+'G09-19080608-1'!D31+'ÖB09-19080607-1'!D31+'ÖB08-19080607'!D31+'G08-19080608'!D31+'ALP07-19080506'!D31+'ALP08-19080506-1'!D31+'G06-19080305'!D31+'ALP06-19080506-2'!D31+'G06-19083001-1'!D31+'ÖB06-19080405-1'!D31+'ÖB05-19080405'!D31+'ALP05-19072930'!D31+'G02-19073031'!D31+'G01-19083001'!D31</f>
        <v>5312.0999999999995</v>
      </c>
      <c r="E31" s="29">
        <f t="shared" si="7"/>
        <v>1.8229306077739385E-2</v>
      </c>
      <c r="F31" s="28">
        <f t="shared" si="8"/>
        <v>33.288801494796523</v>
      </c>
      <c r="G31" s="27" t="str">
        <f t="shared" si="9"/>
        <v>+</v>
      </c>
      <c r="H31" s="26">
        <f t="shared" si="10"/>
        <v>175299.3</v>
      </c>
      <c r="I31" s="26">
        <f t="shared" si="11"/>
        <v>176833.4424205086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34.320873298676254</v>
      </c>
      <c r="D32" s="22">
        <f>SUM(D26:D31)</f>
        <v>180646.1</v>
      </c>
      <c r="E32" s="21">
        <f t="shared" si="7"/>
        <v>0.61991548514710137</v>
      </c>
      <c r="F32" s="20">
        <f>I32/D32</f>
        <v>34.621234495990791</v>
      </c>
      <c r="G32" s="19">
        <f>F32/C32-1</f>
        <v>8.7515604483794363E-3</v>
      </c>
      <c r="H32" s="18">
        <f>SUM(H26:H31)</f>
        <v>6199931.9100000001</v>
      </c>
      <c r="I32" s="18">
        <f>SUM(I26:I31)</f>
        <v>6254190.9888862018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</v>
      </c>
      <c r="D34" s="117">
        <f>'BA30-19082829'!D34+'G29-19082829-1'!D34+'G29-19082829'!D34+'G28-19082426-1'!D34+'G28-19082728'!D34+'BO27-190824265'!D34+'G26-19082426'!D34+'G24-19082122'!D34+'BO24-19082122'!D34+'G22-19082022-1'!D34+'G22-19082022'!D34+'BA21-19081921'!D34+'G20-19081719'!D34+'G19-19081819-1'!D34+'G19-19081819'!D34+'G16-19081315-1'!D34+'G15-19081315'!D34+'G09-19080608-1'!D34+'ÖB09-19080607-1'!D34+'ÖB08-19080607'!D34+'G08-19080608'!D34+'ALP07-19080506'!D34+'ALP08-19080506-1'!D34+'G06-19080305'!D34+'ALP06-19080506-2'!D34+'G06-19083001-1'!D34+'ÖB06-19080405-1'!D34+'ÖB05-19080405'!D34+'ALP05-19072930'!D34+'G02-19073031'!D34+'G01-19083001'!D34</f>
        <v>41022.600000000006</v>
      </c>
      <c r="E34" s="29">
        <f t="shared" ref="E34:E40" si="13">D34/$D$48</f>
        <v>0.14077549961496807</v>
      </c>
      <c r="F34" s="28">
        <f t="shared" ref="F34:F39" si="14">C34-(C34*$E$6)</f>
        <v>19.973280896877913</v>
      </c>
      <c r="G34" s="27" t="str">
        <f t="shared" ref="G34:G39" si="15">IF(C34&gt;=F34,"-","+")</f>
        <v>+</v>
      </c>
      <c r="H34" s="26">
        <f t="shared" ref="H34:H39" si="16">C34*D34</f>
        <v>812247.4800000001</v>
      </c>
      <c r="I34" s="26">
        <f t="shared" ref="I34:I39" si="17">F34*D34</f>
        <v>819355.91292026395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117">
        <f>'BA30-19082829'!D35+'G29-19082829-1'!D35+'G29-19082829'!D35+'G28-19082426-1'!D35+'G28-19082728'!D35+'BO27-190824265'!D35+'G26-19082426'!D35+'G24-19082122'!D35+'BO24-19082122'!D35+'G22-19082022-1'!D35+'G22-19082022'!D35+'BA21-19081921'!D35+'G20-19081719'!D35+'G19-19081819-1'!D35+'G19-19081819'!D35+'G16-19081315-1'!D35+'G15-19081315'!D35+'G09-19080608-1'!D35+'ÖB09-19080607-1'!D35+'ÖB08-19080607'!D35+'G08-19080608'!D35+'ALP07-19080506'!D35+'ALP08-19080506-1'!D35+'G06-19080305'!D35+'ALP06-19080506-2'!D35+'G06-19083001-1'!D35+'ÖB06-19080405-1'!D35+'ÖB05-19080405'!D35+'ALP05-19072930'!D35+'G02-19073031'!D35+'G01-19083001'!D35</f>
        <v>1021.8</v>
      </c>
      <c r="E35" s="29">
        <f t="shared" si="13"/>
        <v>3.5064673011114449E-3</v>
      </c>
      <c r="F35" s="28">
        <f t="shared" si="14"/>
        <v>15.433898874860207</v>
      </c>
      <c r="G35" s="27" t="str">
        <f t="shared" si="15"/>
        <v>+</v>
      </c>
      <c r="H35" s="26">
        <f t="shared" si="16"/>
        <v>15633.54</v>
      </c>
      <c r="I35" s="26">
        <f t="shared" si="17"/>
        <v>15770.357870332158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117">
        <f>'BA30-19082829'!D36+'G29-19082829-1'!D36+'G29-19082829'!D36+'G28-19082426-1'!D36+'G28-19082728'!D36+'BO27-190824265'!D36+'G26-19082426'!D36+'G24-19082122'!D36+'BO24-19082122'!D36+'G22-19082022-1'!D36+'G22-19082022'!D36+'BA21-19081921'!D36+'G20-19081719'!D36+'G19-19081819-1'!D36+'G19-19081819'!D36+'G16-19081315-1'!D36+'G15-19081315'!D36+'G09-19080608-1'!D36+'ÖB09-19080607-1'!D36+'ÖB08-19080607'!D36+'G08-19080608'!D36+'ALP07-19080506'!D36+'ALP08-19080506-1'!D36+'G06-19080305'!D36+'ALP06-19080506-2'!D36+'G06-19083001-1'!D36+'ÖB06-19080405-1'!D36+'ÖB05-19080405'!D36+'ALP05-19072930'!D36+'G02-19073031'!D36+'G01-19083001'!D36</f>
        <v>0</v>
      </c>
      <c r="E36" s="29">
        <f t="shared" si="13"/>
        <v>0</v>
      </c>
      <c r="F36" s="28">
        <f t="shared" si="14"/>
        <v>12.407644193515068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32.4</v>
      </c>
      <c r="D37" s="117">
        <f>'BA30-19082829'!D37+'G29-19082829-1'!D37+'G29-19082829'!D37+'G28-19082426-1'!D37+'G28-19082728'!D37+'BO27-190824265'!D37+'G26-19082426'!D37+'G24-19082122'!D37+'BO24-19082122'!D37+'G22-19082022-1'!D37+'G22-19082022'!D37+'BA21-19081921'!D37+'G20-19081719'!D37+'G19-19081819-1'!D37+'G19-19081819'!D37+'G16-19081315-1'!D37+'G15-19081315'!D37+'G09-19080608-1'!D37+'ÖB09-19080607-1'!D37+'ÖB08-19080607'!D37+'G08-19080608'!D37+'ALP07-19080506'!D37+'ALP08-19080506-1'!D37+'G06-19080305'!D37+'ALP06-19080506-2'!D37+'G06-19083001-1'!D37+'ÖB06-19080405-1'!D37+'ÖB05-19080405'!D37+'ALP05-19072930'!D37+'G02-19073031'!D37+'G01-19083001'!D37</f>
        <v>0</v>
      </c>
      <c r="E37" s="29">
        <f t="shared" si="13"/>
        <v>0</v>
      </c>
      <c r="F37" s="28">
        <f t="shared" si="14"/>
        <v>32.683550558527493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32.4</v>
      </c>
      <c r="D38" s="117">
        <f>'BA30-19082829'!D38+'G29-19082829-1'!D38+'G29-19082829'!D38+'G28-19082426-1'!D38+'G28-19082728'!D38+'BO27-190824265'!D38+'G26-19082426'!D38+'G24-19082122'!D38+'BO24-19082122'!D38+'G22-19082022-1'!D38+'G22-19082022'!D38+'BA21-19081921'!D38+'G20-19081719'!D38+'G19-19081819-1'!D38+'G19-19081819'!D38+'G16-19081315-1'!D38+'G15-19081315'!D38+'G09-19080608-1'!D38+'ÖB09-19080607-1'!D38+'ÖB08-19080607'!D38+'G08-19080608'!D38+'ALP07-19080506'!D38+'ALP08-19080506-1'!D38+'G06-19080305'!D38+'ALP06-19080506-2'!D38+'G06-19083001-1'!D38+'ÖB06-19080405-1'!D38+'ÖB05-19080405'!D38+'ALP05-19072930'!D38+'G02-19073031'!D38+'G01-19083001'!D38</f>
        <v>0</v>
      </c>
      <c r="E38" s="29">
        <f t="shared" si="13"/>
        <v>0</v>
      </c>
      <c r="F38" s="28">
        <f t="shared" si="14"/>
        <v>32.683550558527493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33.5</v>
      </c>
      <c r="D39" s="117">
        <f>'BA30-19082829'!D39+'G29-19082829-1'!D39+'G29-19082829'!D39+'G28-19082426-1'!D39+'G28-19082728'!D39+'BO27-190824265'!D39+'G26-19082426'!D39+'G24-19082122'!D39+'BO24-19082122'!D39+'G22-19082022-1'!D39+'G22-19082022'!D39+'BA21-19081921'!D39+'G20-19081719'!D39+'G19-19081819-1'!D39+'G19-19081819'!D39+'G16-19081315-1'!D39+'G15-19081315'!D39+'G09-19080608-1'!D39+'ÖB09-19080607-1'!D39+'ÖB08-19080607'!D39+'G08-19080608'!D39+'ALP07-19080506'!D39+'ALP08-19080506-1'!D39+'G06-19080305'!D39+'ALP06-19080506-2'!D39+'G06-19083001-1'!D39+'ÖB06-19080405-1'!D39+'ÖB05-19080405'!D39+'ALP05-19072930'!D39+'G02-19073031'!D39+'G01-19083001'!D39</f>
        <v>0</v>
      </c>
      <c r="E39" s="29">
        <f t="shared" si="13"/>
        <v>0</v>
      </c>
      <c r="F39" s="28">
        <f t="shared" si="14"/>
        <v>33.79317727502071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19.690637040842535</v>
      </c>
      <c r="D40" s="22">
        <f>SUM(D34:D39)</f>
        <v>42044.400000000009</v>
      </c>
      <c r="E40" s="21">
        <f t="shared" si="13"/>
        <v>0.14428196691607953</v>
      </c>
      <c r="F40" s="20">
        <f>I40/D40</f>
        <v>19.862960841172569</v>
      </c>
      <c r="G40" s="19">
        <f>F40/C40-1</f>
        <v>8.7515604483794363E-3</v>
      </c>
      <c r="H40" s="18">
        <f>SUM(H34:H39)</f>
        <v>827881.02000000014</v>
      </c>
      <c r="I40" s="18">
        <f>SUM(I34:I39)</f>
        <v>835126.27079059614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117">
        <f>'BA30-19082829'!D42+'G29-19082829-1'!D42+'G29-19082829'!D42+'G28-19082426-1'!D42+'G28-19082728'!D42+'BO27-190824265'!D42+'G26-19082426'!D42+'G24-19082122'!D42+'BO24-19082122'!D42+'G22-19082022-1'!D42+'G22-19082022'!D42+'BA21-19081921'!D42+'G20-19081719'!D42+'G19-19081819-1'!D42+'G19-19081819'!D42+'G16-19081315-1'!D42+'G15-19081315'!D42+'G09-19080608-1'!D42+'ÖB09-19080607-1'!D42+'ÖB08-19080607'!D42+'G08-19080608'!D42+'ALP07-19080506'!D42+'ALP08-19080506-1'!D42+'G06-19080305'!D42+'ALP06-19080506-2'!D42+'G06-19083001-1'!D42+'ÖB06-19080405-1'!D42+'ÖB05-19080405'!D42+'ALP05-19072930'!D42+'G02-19073031'!D42+'G01-19083001'!D42</f>
        <v>46168.7</v>
      </c>
      <c r="E42" s="107">
        <f>D42/$D$48</f>
        <v>0.15843515060170674</v>
      </c>
      <c r="F42" s="28">
        <f>C42-(C42*$E$6)</f>
        <v>0.50437578022418972</v>
      </c>
      <c r="G42" s="27" t="str">
        <f>IF(C42&gt;=F42,"-","+")</f>
        <v>+</v>
      </c>
      <c r="H42" s="26">
        <f>C42*D42</f>
        <v>23084.35</v>
      </c>
      <c r="I42" s="26">
        <f>F42*D42</f>
        <v>23286.374084436546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117">
        <f>'BA30-19082829'!D43+'G29-19082829-1'!D43+'G29-19082829'!D43+'G28-19082426-1'!D43+'G28-19082728'!D43+'BO27-190824265'!D43+'G26-19082426'!D43+'G24-19082122'!D43+'BO24-19082122'!D43+'G22-19082022-1'!D43+'G22-19082022'!D43+'BA21-19081921'!D43+'G20-19081719'!D43+'G19-19081819-1'!D43+'G19-19081819'!D43+'G16-19081315-1'!D43+'G15-19081315'!D43+'G09-19080608-1'!D43+'ÖB09-19080607-1'!D43+'ÖB08-19080607'!D43+'G08-19080608'!D43+'ALP07-19080506'!D43+'ALP08-19080506-1'!D43+'G06-19080305'!D43+'ALP06-19080506-2'!D43+'G06-19083001-1'!D43+'ÖB06-19080405-1'!D43+'ÖB05-19080405'!D43+'ALP05-19072930'!D43+'G02-19073031'!D43+'G01-19083001'!D43</f>
        <v>2161.3999999999996</v>
      </c>
      <c r="E43" s="107">
        <f>D43/$D$48</f>
        <v>7.4171838174028927E-3</v>
      </c>
      <c r="F43" s="28">
        <f>C43-(C43*$E$6)</f>
        <v>0.50437578022418972</v>
      </c>
      <c r="G43" s="27" t="str">
        <f>IF(C43&gt;=F43,"-","+")</f>
        <v>+</v>
      </c>
      <c r="H43" s="26">
        <f>C43*D43</f>
        <v>1080.6999999999998</v>
      </c>
      <c r="I43" s="26">
        <f>F43*D43</f>
        <v>1090.1578113765636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BA30-19082829'!D44+'G29-19082829-1'!D44+'G29-19082829'!D44+'G28-19082426-1'!D44+'G28-19082728'!D44+'BO27-190824265'!D44+'G26-19082426'!D44+'G24-19082122'!D44+'BO24-19082122'!D44+'G22-19082022-1'!D44+'G22-19082022'!D44+'BA21-19081921'!D44+'G20-19081719'!D44+'G19-19081819-1'!D44+'G19-19081819'!D44+'G16-19081315-1'!D44+'G15-19081315'!D44+'G09-19080608-1'!D44+'ÖB09-19080607-1'!D44+'ÖB08-19080607'!D44+'G08-19080608'!D44+'ALP07-19080506'!D44+'ALP08-19080506-1'!D44+'G06-19080305'!D44+'ALP06-19080506-2'!D44+'G06-19083001-1'!D44+'ÖB06-19080405-1'!D44+'ÖB05-19080405'!D44+'ALP05-19072930'!D44+'G02-19073031'!D44+'G01-19083001'!D44</f>
        <v>321.00000000000006</v>
      </c>
      <c r="E44" s="107">
        <f>D44/$D$48</f>
        <v>1.1015619530796378E-3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BA30-19082829'!D45+'G29-19082829-1'!D45+'G29-19082829'!D45+'G28-19082426-1'!D45+'G28-19082728'!D45+'BO27-190824265'!D45+'G26-19082426'!D45+'G24-19082122'!D45+'BO24-19082122'!D45+'G22-19082022-1'!D45+'G22-19082022'!D45+'BA21-19081921'!D45+'G20-19081719'!D45+'G19-19081819-1'!D45+'G19-19081819'!D45+'G16-19081315-1'!D45+'G15-19081315'!D45+'G09-19080608-1'!D45+'ÖB09-19080607-1'!D45+'ÖB08-19080607'!D45+'G08-19080608'!D45+'ALP07-19080506'!D45+'ALP08-19080506-1'!D45+'G06-19080305'!D45+'ALP06-19080506-2'!D45+'G06-19083001-1'!D45+'ÖB06-19080405-1'!D45+'ÖB05-19080405'!D45+'ALP05-19072930'!D45+'G02-19073031'!D45+'G01-19083001'!D45</f>
        <v>154.4</v>
      </c>
      <c r="E45" s="107">
        <f>D45/$D$48</f>
        <v>5.2984786777413105E-4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0.49512964727336056</v>
      </c>
      <c r="D46" s="22">
        <f>SUM(D41:D45)</f>
        <v>48805.5</v>
      </c>
      <c r="E46" s="21">
        <f>D46/$D$48</f>
        <v>0.16748374423996343</v>
      </c>
      <c r="F46" s="20">
        <f>I46/D46</f>
        <v>0.49946280431125817</v>
      </c>
      <c r="G46" s="19">
        <f>F46/C46-1</f>
        <v>8.7515604483794363E-3</v>
      </c>
      <c r="H46" s="18">
        <f>SUM(H41:H44)</f>
        <v>24165.05</v>
      </c>
      <c r="I46" s="18">
        <f>SUM(I41:I44)</f>
        <v>24376.53189581311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104.39527091644997</v>
      </c>
      <c r="D48" s="13">
        <f>D24+D32+D40+D46</f>
        <v>291404.40000000002</v>
      </c>
      <c r="E48" s="12">
        <f>SUM(E20:E46)/2</f>
        <v>1</v>
      </c>
      <c r="F48" s="11">
        <f>I48/D48</f>
        <v>27.849918141556344</v>
      </c>
      <c r="G48" s="10"/>
      <c r="H48" s="9">
        <f>SUM(H20:H46)/2</f>
        <v>8045180.7999999998</v>
      </c>
      <c r="I48" s="9">
        <f>SUM(I20:I46)/2</f>
        <v>8115588.6860893425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361307.32</v>
      </c>
      <c r="E50" s="12">
        <f>D50/G2</f>
        <v>0.99999784117765433</v>
      </c>
      <c r="F50" s="11">
        <f>I50/D50</f>
        <v>28.070060598274065</v>
      </c>
      <c r="G50" s="10"/>
      <c r="H50" s="9">
        <f>H48+H19</f>
        <v>10053930.784</v>
      </c>
      <c r="I50" s="9">
        <f>I48+I19</f>
        <v>10141918.366999999</v>
      </c>
      <c r="J50" s="106">
        <f>D50-G2</f>
        <v>-0.77999999996973202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28.070060598274065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>
    <tabColor rgb="FFFF000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7.85546875" style="2" customWidth="1"/>
    <col min="10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906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107</v>
      </c>
      <c r="F2" s="110" t="s">
        <v>5</v>
      </c>
      <c r="G2" s="108">
        <f>'KAZ28-19082627-D'!G2+'ÇEK20-19081719-D'!G2+'ÖB16-19081516-D'!G2+'ÖB15-19081115-D'!G2+'ALP07-19080506-D'!G2</f>
        <v>34943.5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'KAZ28-19082627-D'!E3+'ÇEK20-19081719-D'!E3+'ÖB16-19081516-D'!E3+'ÖB15-19081115-D'!E3+'ALP07-19080506-D'!E3</f>
        <v>518</v>
      </c>
      <c r="F3" s="111" t="s">
        <v>8</v>
      </c>
      <c r="G3" s="114">
        <v>25.43</v>
      </c>
      <c r="H3" s="118" t="s">
        <v>816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67.458494208494201</v>
      </c>
      <c r="F4" s="81" t="s">
        <v>12</v>
      </c>
      <c r="G4" s="112">
        <f>G2*G3</f>
        <v>888613.20499999996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-1.0037774692291723E-2</v>
      </c>
      <c r="F6" s="69" t="s">
        <v>16</v>
      </c>
      <c r="G6" s="68">
        <f>(I50-I19)/(D50-(SUM(D42:D44)+D19))</f>
        <v>30.139313791313224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117">
        <f>'KAZ28-19082627-D'!D10+'ÇEK20-19081719-D'!D10+'ÖB16-19081516-D'!D10+'ÖB15-19081115-D'!D10+'ALP07-19080506-D'!D10</f>
        <v>0</v>
      </c>
      <c r="E10" s="29">
        <f t="shared" ref="E10:E19" si="1">D10/$D$19</f>
        <v>0</v>
      </c>
      <c r="F10" s="28">
        <f t="shared" ref="F10:F18" si="2">C10-(C10*$E$6)</f>
        <v>25.654959477184207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26.5</v>
      </c>
      <c r="D11" s="117">
        <f>'KAZ28-19082627-D'!D11+'ÇEK20-19081719-D'!D11+'ÖB16-19081516-D'!D11+'ÖB15-19081115-D'!D11+'ALP07-19080506-D'!D11</f>
        <v>2102.1999999999998</v>
      </c>
      <c r="E11" s="29">
        <f t="shared" si="1"/>
        <v>0.20676699124618864</v>
      </c>
      <c r="F11" s="28">
        <f t="shared" si="2"/>
        <v>26.76600102934573</v>
      </c>
      <c r="G11" s="27" t="str">
        <f t="shared" si="3"/>
        <v>+</v>
      </c>
      <c r="H11" s="34">
        <f t="shared" si="4"/>
        <v>55708.299999999996</v>
      </c>
      <c r="I11" s="34">
        <f t="shared" si="5"/>
        <v>56267.487363890592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117">
        <f>'KAZ28-19082627-D'!D12+'ÇEK20-19081719-D'!D12+'ÖB16-19081516-D'!D12+'ÖB15-19081115-D'!D12+'ALP07-19080506-D'!D12</f>
        <v>4369.3</v>
      </c>
      <c r="E12" s="29">
        <f t="shared" si="1"/>
        <v>0.4297531228484312</v>
      </c>
      <c r="F12" s="28">
        <f t="shared" si="2"/>
        <v>24.442914147553459</v>
      </c>
      <c r="G12" s="27" t="str">
        <f>IF(C12&gt;=F12,"-","+")</f>
        <v>+</v>
      </c>
      <c r="H12" s="34">
        <f t="shared" si="4"/>
        <v>105737.06</v>
      </c>
      <c r="I12" s="34">
        <f t="shared" si="5"/>
        <v>106798.42478490534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26.5</v>
      </c>
      <c r="D13" s="117">
        <f>'KAZ28-19082627-D'!D13+'ÇEK20-19081719-D'!D13+'ÖB16-19081516-D'!D13+'ÖB15-19081115-D'!D13+'ALP07-19080506-D'!D13</f>
        <v>2952.4</v>
      </c>
      <c r="E13" s="29">
        <f t="shared" si="1"/>
        <v>0.29039047900068848</v>
      </c>
      <c r="F13" s="28">
        <f t="shared" si="2"/>
        <v>26.76600102934573</v>
      </c>
      <c r="G13" s="27" t="str">
        <f t="shared" si="3"/>
        <v>+</v>
      </c>
      <c r="H13" s="34">
        <f t="shared" si="4"/>
        <v>78238.600000000006</v>
      </c>
      <c r="I13" s="34">
        <f t="shared" si="5"/>
        <v>79023.94143904034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29.6</v>
      </c>
      <c r="D14" s="117">
        <f>'KAZ28-19082627-D'!D14+'ÇEK20-19081719-D'!D14+'ÖB16-19081516-D'!D14+'ÖB15-19081115-D'!D14+'ALP07-19080506-D'!D14</f>
        <v>0</v>
      </c>
      <c r="E14" s="29">
        <f t="shared" si="1"/>
        <v>0</v>
      </c>
      <c r="F14" s="28">
        <f t="shared" si="2"/>
        <v>29.897118130891837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117">
        <f>'KAZ28-19082627-D'!D15+'ÇEK20-19081719-D'!D15+'ÖB16-19081516-D'!D15+'ÖB15-19081115-D'!D15+'ALP07-19080506-D'!D15</f>
        <v>170</v>
      </c>
      <c r="E15" s="29">
        <f t="shared" si="1"/>
        <v>1.6720763253663815E-2</v>
      </c>
      <c r="F15" s="28">
        <f t="shared" si="2"/>
        <v>24.644921702491917</v>
      </c>
      <c r="G15" s="27" t="str">
        <f t="shared" si="3"/>
        <v>+</v>
      </c>
      <c r="H15" s="34">
        <f t="shared" si="4"/>
        <v>4148</v>
      </c>
      <c r="I15" s="34">
        <f t="shared" si="5"/>
        <v>4189.6366894236262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117">
        <f>'KAZ28-19082627-D'!D16+'ÇEK20-19081719-D'!D16+'ÖB16-19081516-D'!D16+'ÖB15-19081115-D'!D16+'ALP07-19080506-D'!D16</f>
        <v>489.1</v>
      </c>
      <c r="E16" s="29">
        <f t="shared" si="1"/>
        <v>4.8106619455099836E-2</v>
      </c>
      <c r="F16" s="28">
        <f t="shared" si="2"/>
        <v>33.735261674722544</v>
      </c>
      <c r="G16" s="27" t="str">
        <f t="shared" si="3"/>
        <v>+</v>
      </c>
      <c r="H16" s="34">
        <f t="shared" si="4"/>
        <v>16335.94</v>
      </c>
      <c r="I16" s="34">
        <f t="shared" si="5"/>
        <v>16499.916485106798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49.2</v>
      </c>
      <c r="D17" s="117">
        <f>'KAZ28-19082627-D'!D17+'ÇEK20-19081719-D'!D17+'ÖB16-19081516-D'!D17+'ÖB15-19081115-D'!D17+'ALP07-19080506-D'!D17</f>
        <v>84</v>
      </c>
      <c r="E17" s="29">
        <f t="shared" si="1"/>
        <v>8.2620241959280027E-3</v>
      </c>
      <c r="F17" s="28">
        <f t="shared" si="2"/>
        <v>49.693858514860757</v>
      </c>
      <c r="G17" s="27" t="str">
        <f t="shared" si="3"/>
        <v>+</v>
      </c>
      <c r="H17" s="34">
        <f t="shared" si="4"/>
        <v>4132.8</v>
      </c>
      <c r="I17" s="34">
        <f t="shared" si="5"/>
        <v>4174.2841152483034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43.1</v>
      </c>
      <c r="D18" s="117">
        <f>'KAZ28-19082627-D'!D18+'ÇEK20-19081719-D'!D18+'ÖB16-19081516-D'!D18+'ÖB15-19081115-D'!D18+'ALP07-19080506-D'!D18</f>
        <v>0</v>
      </c>
      <c r="E18" s="29">
        <f t="shared" si="1"/>
        <v>0</v>
      </c>
      <c r="F18" s="28">
        <f t="shared" si="2"/>
        <v>43.532628089237775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25.995937838103671</v>
      </c>
      <c r="D19" s="49">
        <f>SUM(D10:D18)</f>
        <v>10167</v>
      </c>
      <c r="E19" s="48">
        <f t="shared" si="1"/>
        <v>1</v>
      </c>
      <c r="F19" s="47">
        <f>I19/D19</f>
        <v>26.256879205037372</v>
      </c>
      <c r="G19" s="46">
        <f>F19/C19-1</f>
        <v>1.0037774692291501E-2</v>
      </c>
      <c r="H19" s="9">
        <f>SUM(H10:H18)</f>
        <v>264300.7</v>
      </c>
      <c r="I19" s="9">
        <f>SUM(I10:I18)</f>
        <v>266953.69087761495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</v>
      </c>
      <c r="D21" s="117">
        <f>'KAZ28-19082627-D'!D21+'ÇEK20-19081719-D'!D21+'ÖB16-19081516-D'!D21+'ÖB15-19081115-D'!D21+'ALP07-19080506-D'!D21</f>
        <v>278</v>
      </c>
      <c r="E21" s="29">
        <f>D21/$D$48</f>
        <v>1.1219856724851176E-2</v>
      </c>
      <c r="F21" s="28">
        <f>C21-(C21*$E$6)</f>
        <v>64.64241758030667</v>
      </c>
      <c r="G21" s="27" t="str">
        <f>IF(C21&gt;=F21,"-","+")</f>
        <v>+</v>
      </c>
      <c r="H21" s="26">
        <f>C21*D21</f>
        <v>17792</v>
      </c>
      <c r="I21" s="26">
        <f>F21*D21</f>
        <v>17970.592087325254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</v>
      </c>
      <c r="D22" s="117">
        <f>'KAZ28-19082627-D'!D22+'ÇEK20-19081719-D'!D22+'ÖB16-19081516-D'!D22+'ÖB15-19081115-D'!D22+'ALP07-19080506-D'!D22</f>
        <v>931.4</v>
      </c>
      <c r="E22" s="29">
        <f>D22/$D$48</f>
        <v>3.7590555947936637E-2</v>
      </c>
      <c r="F22" s="28">
        <f>C22-(C22*$E$6)</f>
        <v>43.431624311768545</v>
      </c>
      <c r="G22" s="27" t="str">
        <f>IF(C22&gt;=F22,"-","+")</f>
        <v>+</v>
      </c>
      <c r="H22" s="26">
        <f>C22*D22</f>
        <v>40050.199999999997</v>
      </c>
      <c r="I22" s="26">
        <f>F22*D22</f>
        <v>40452.214883981222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39.200000000000003</v>
      </c>
      <c r="D23" s="117">
        <f>'KAZ28-19082627-D'!D23+'ÇEK20-19081719-D'!D23+'ÖB16-19081516-D'!D23+'ÖB15-19081115-D'!D23+'ALP07-19080506-D'!D23</f>
        <v>527.5</v>
      </c>
      <c r="E23" s="29">
        <f>D23/$D$48</f>
        <v>2.1289476339420847E-2</v>
      </c>
      <c r="F23" s="28">
        <f>C23-(C23*$E$6)</f>
        <v>39.593480767937841</v>
      </c>
      <c r="G23" s="27" t="str">
        <f>IF(C23&gt;=F23,"-","+")</f>
        <v>+</v>
      </c>
      <c r="H23" s="26">
        <f>C23*D23</f>
        <v>20678</v>
      </c>
      <c r="I23" s="26">
        <f>F23*D23</f>
        <v>20885.56110508721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45.207093096896763</v>
      </c>
      <c r="D24" s="22">
        <f>SUM(D21:D23)</f>
        <v>1736.9</v>
      </c>
      <c r="E24" s="21">
        <f>D24/$D$48</f>
        <v>7.0099889012208663E-2</v>
      </c>
      <c r="F24" s="20">
        <f>I24/D24</f>
        <v>45.660871711896874</v>
      </c>
      <c r="G24" s="19">
        <f>F24/C24-1</f>
        <v>1.0037774692291723E-2</v>
      </c>
      <c r="H24" s="18">
        <f>SUM(H21:H23)</f>
        <v>78520.2</v>
      </c>
      <c r="I24" s="18">
        <f>SUM(I21:I23)</f>
        <v>79308.368076393686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117">
        <f>'KAZ28-19082627-D'!D26+'ÇEK20-19081719-D'!D26+'ÖB16-19081516-D'!D26+'ÖB15-19081115-D'!D26+'ALP07-19080506-D'!D26</f>
        <v>4483.5</v>
      </c>
      <c r="E26" s="29">
        <f t="shared" ref="E26:E32" si="7">D26/$D$48</f>
        <v>0.18095045908586418</v>
      </c>
      <c r="F26" s="28">
        <f t="shared" ref="F26:F31" si="8">C26-(C26*$E$6)</f>
        <v>34.442288117007152</v>
      </c>
      <c r="G26" s="27" t="str">
        <f t="shared" ref="G26:G31" si="9">IF(C26&gt;=F26,"-","+")</f>
        <v>+</v>
      </c>
      <c r="H26" s="26">
        <f t="shared" ref="H26:H31" si="10">C26*D26</f>
        <v>152887.35</v>
      </c>
      <c r="I26" s="26">
        <f t="shared" ref="I26:I31" si="11">F26*D26</f>
        <v>154421.99877260157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117">
        <f>'KAZ28-19082627-D'!D27+'ÇEK20-19081719-D'!D27+'ÖB16-19081516-D'!D27+'ÖB15-19081115-D'!D27+'ALP07-19080506-D'!D27</f>
        <v>3863.5</v>
      </c>
      <c r="E27" s="29">
        <f t="shared" si="7"/>
        <v>0.15592775703763495</v>
      </c>
      <c r="F27" s="28">
        <f t="shared" si="8"/>
        <v>30.705148350645668</v>
      </c>
      <c r="G27" s="27" t="str">
        <f t="shared" si="9"/>
        <v>+</v>
      </c>
      <c r="H27" s="26">
        <f t="shared" si="10"/>
        <v>117450.4</v>
      </c>
      <c r="I27" s="26">
        <f t="shared" si="11"/>
        <v>118629.34065271953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117">
        <f>'KAZ28-19082627-D'!D28+'ÇEK20-19081719-D'!D28+'ÖB16-19081516-D'!D28+'ÖB15-19081115-D'!D28+'ALP07-19080506-D'!D28</f>
        <v>2104</v>
      </c>
      <c r="E28" s="29">
        <f t="shared" si="7"/>
        <v>8.4915750176571492E-2</v>
      </c>
      <c r="F28" s="28">
        <f t="shared" si="8"/>
        <v>30.705148350645668</v>
      </c>
      <c r="G28" s="27" t="str">
        <f t="shared" si="9"/>
        <v>+</v>
      </c>
      <c r="H28" s="26">
        <f t="shared" si="10"/>
        <v>63961.599999999999</v>
      </c>
      <c r="I28" s="26">
        <f t="shared" si="11"/>
        <v>64603.632129758487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29.4</v>
      </c>
      <c r="D29" s="117">
        <f>'KAZ28-19082627-D'!D29+'ÇEK20-19081719-D'!D29+'ÖB16-19081516-D'!D29+'ÖB15-19081115-D'!D29+'ALP07-19080506-D'!D29</f>
        <v>2173.1</v>
      </c>
      <c r="E29" s="29">
        <f t="shared" si="7"/>
        <v>8.7704570679043484E-2</v>
      </c>
      <c r="F29" s="28">
        <f t="shared" si="8"/>
        <v>29.695110575953375</v>
      </c>
      <c r="G29" s="27" t="str">
        <f t="shared" si="9"/>
        <v>+</v>
      </c>
      <c r="H29" s="26">
        <f t="shared" si="10"/>
        <v>63889.139999999992</v>
      </c>
      <c r="I29" s="26">
        <f t="shared" si="11"/>
        <v>64530.444792604278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29.4</v>
      </c>
      <c r="D30" s="117">
        <f>'KAZ28-19082627-D'!D30+'ÇEK20-19081719-D'!D30+'ÖB16-19081516-D'!D30+'ÖB15-19081115-D'!D30+'ALP07-19080506-D'!D30</f>
        <v>1862.8000000000002</v>
      </c>
      <c r="E30" s="29">
        <f t="shared" si="7"/>
        <v>7.5181111895873273E-2</v>
      </c>
      <c r="F30" s="28">
        <f t="shared" si="8"/>
        <v>29.695110575953375</v>
      </c>
      <c r="G30" s="27" t="str">
        <f t="shared" si="9"/>
        <v>+</v>
      </c>
      <c r="H30" s="26">
        <f t="shared" si="10"/>
        <v>54766.32</v>
      </c>
      <c r="I30" s="26">
        <f t="shared" si="11"/>
        <v>55316.051980885954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29.9</v>
      </c>
      <c r="D31" s="117">
        <f>'KAZ28-19082627-D'!D31+'ÇEK20-19081719-D'!D31+'ÖB16-19081516-D'!D31+'ÖB15-19081115-D'!D31+'ALP07-19080506-D'!D31</f>
        <v>354.6</v>
      </c>
      <c r="E31" s="29">
        <f t="shared" si="7"/>
        <v>1.4311371203713046E-2</v>
      </c>
      <c r="F31" s="28">
        <f t="shared" si="8"/>
        <v>30.200129463299522</v>
      </c>
      <c r="G31" s="27" t="str">
        <f t="shared" si="9"/>
        <v>+</v>
      </c>
      <c r="H31" s="26">
        <f t="shared" si="10"/>
        <v>10602.54</v>
      </c>
      <c r="I31" s="26">
        <f t="shared" si="11"/>
        <v>10708.965907686012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31.233861132634836</v>
      </c>
      <c r="D32" s="22">
        <f>SUM(D26:D31)</f>
        <v>14841.500000000002</v>
      </c>
      <c r="E32" s="21">
        <f t="shared" si="7"/>
        <v>0.59899102007870053</v>
      </c>
      <c r="F32" s="20">
        <f>I32/D32</f>
        <v>31.547379593454554</v>
      </c>
      <c r="G32" s="19">
        <f>F32/C32-1</f>
        <v>1.0037774692291723E-2</v>
      </c>
      <c r="H32" s="18">
        <f>SUM(H26:H31)</f>
        <v>463557.35</v>
      </c>
      <c r="I32" s="18">
        <f>SUM(I26:I31)</f>
        <v>468210.43423625582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</v>
      </c>
      <c r="D34" s="117">
        <f>'KAZ28-19082627-D'!D34+'ÇEK20-19081719-D'!D34+'ÖB16-19081516-D'!D34+'ÖB15-19081115-D'!D34+'ALP07-19080506-D'!D34</f>
        <v>3839.9999999999995</v>
      </c>
      <c r="E34" s="29">
        <f t="shared" ref="E34:E40" si="13">D34/$D$48</f>
        <v>0.15497931591161335</v>
      </c>
      <c r="F34" s="28">
        <f t="shared" ref="F34:F39" si="14">C34-(C34*$E$6)</f>
        <v>18.18067994446125</v>
      </c>
      <c r="G34" s="27" t="str">
        <f t="shared" ref="G34:G39" si="15">IF(C34&gt;=F34,"-","+")</f>
        <v>+</v>
      </c>
      <c r="H34" s="26">
        <f t="shared" ref="H34:H39" si="16">C34*D34</f>
        <v>69119.999999999985</v>
      </c>
      <c r="I34" s="26">
        <f t="shared" ref="I34:I39" si="17">F34*D34</f>
        <v>69813.810986731187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117">
        <f>'KAZ28-19082627-D'!D35+'ÇEK20-19081719-D'!D35+'ÖB16-19081516-D'!D35+'ÖB15-19081115-D'!D35+'ALP07-19080506-D'!D35</f>
        <v>190.10000000000002</v>
      </c>
      <c r="E35" s="29">
        <f t="shared" si="13"/>
        <v>7.6722833215619015E-3</v>
      </c>
      <c r="F35" s="28">
        <f t="shared" si="14"/>
        <v>13.938521290753627</v>
      </c>
      <c r="G35" s="27" t="str">
        <f t="shared" si="15"/>
        <v>+</v>
      </c>
      <c r="H35" s="26">
        <f t="shared" si="16"/>
        <v>2623.3800000000006</v>
      </c>
      <c r="I35" s="26">
        <f t="shared" si="17"/>
        <v>2649.7128973722647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117">
        <f>'KAZ28-19082627-D'!D36+'ÇEK20-19081719-D'!D36+'ÖB16-19081516-D'!D36+'ÖB15-19081115-D'!D36+'ALP07-19080506-D'!D36</f>
        <v>0</v>
      </c>
      <c r="E36" s="29">
        <f t="shared" si="13"/>
        <v>0</v>
      </c>
      <c r="F36" s="28">
        <f t="shared" si="14"/>
        <v>11.211419299084438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29.4</v>
      </c>
      <c r="D37" s="117">
        <f>'KAZ28-19082627-D'!D37+'ÇEK20-19081719-D'!D37+'ÖB16-19081516-D'!D37+'ÖB15-19081115-D'!D37+'ALP07-19080506-D'!D37</f>
        <v>0</v>
      </c>
      <c r="E37" s="29">
        <f t="shared" si="13"/>
        <v>0</v>
      </c>
      <c r="F37" s="28">
        <f t="shared" si="14"/>
        <v>29.695110575953375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29.4</v>
      </c>
      <c r="D38" s="117">
        <f>'KAZ28-19082627-D'!D38+'ÇEK20-19081719-D'!D38+'ÖB16-19081516-D'!D38+'ÖB15-19081115-D'!D38+'ALP07-19080506-D'!D38</f>
        <v>0</v>
      </c>
      <c r="E38" s="29">
        <f t="shared" si="13"/>
        <v>0</v>
      </c>
      <c r="F38" s="28">
        <f t="shared" si="14"/>
        <v>29.695110575953375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117">
        <f>'KAZ28-19082627-D'!D39+'ÇEK20-19081719-D'!D39+'ÖB16-19081516-D'!D39+'ÖB15-19081115-D'!D39+'ALP07-19080506-D'!D39</f>
        <v>0</v>
      </c>
      <c r="E39" s="29">
        <f t="shared" si="13"/>
        <v>0</v>
      </c>
      <c r="F39" s="28">
        <f t="shared" si="14"/>
        <v>30.705148350645668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17.801885809285128</v>
      </c>
      <c r="D40" s="22">
        <f>SUM(D34:D39)</f>
        <v>4030.0999999999995</v>
      </c>
      <c r="E40" s="21">
        <f t="shared" si="13"/>
        <v>0.16265159923317524</v>
      </c>
      <c r="F40" s="20">
        <f>I40/D40</f>
        <v>17.980577128136638</v>
      </c>
      <c r="G40" s="19">
        <f>F40/C40-1</f>
        <v>1.0037774692291723E-2</v>
      </c>
      <c r="H40" s="18">
        <f>SUM(H34:H39)</f>
        <v>71743.37999999999</v>
      </c>
      <c r="I40" s="18">
        <f>SUM(I34:I39)</f>
        <v>72463.523884103459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117">
        <f>'KAZ28-19082627-D'!D42+'ÇEK20-19081719-D'!D42+'ÖB16-19081516-D'!D42+'ÖB15-19081115-D'!D42+'ALP07-19080506-D'!D42</f>
        <v>3976.2</v>
      </c>
      <c r="E42" s="107">
        <f>D42/$D$48</f>
        <v>0.16047623852285339</v>
      </c>
      <c r="F42" s="28">
        <f>C42-(C42*$E$6)</f>
        <v>0.40401510987691669</v>
      </c>
      <c r="G42" s="27" t="str">
        <f>IF(C42&gt;=F42,"-","+")</f>
        <v>+</v>
      </c>
      <c r="H42" s="26">
        <f>C42*D42</f>
        <v>1590.48</v>
      </c>
      <c r="I42" s="26">
        <f>F42*D42</f>
        <v>1606.444879892596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117">
        <f>'KAZ28-19082627-D'!D43+'ÇEK20-19081719-D'!D43+'ÖB16-19081516-D'!D43+'ÖB15-19081115-D'!D43+'ALP07-19080506-D'!D43</f>
        <v>175.10000000000002</v>
      </c>
      <c r="E43" s="107">
        <f>D43/$D$48</f>
        <v>7.066895368782162E-3</v>
      </c>
      <c r="F43" s="28">
        <f>C43-(C43*$E$6)</f>
        <v>0.40401510987691669</v>
      </c>
      <c r="G43" s="27" t="str">
        <f>IF(C43&gt;=F43,"-","+")</f>
        <v>+</v>
      </c>
      <c r="H43" s="26">
        <f>C43*D43</f>
        <v>70.040000000000006</v>
      </c>
      <c r="I43" s="26">
        <f>F43*D43</f>
        <v>70.743045739448121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'KAZ28-19082627-D'!D44+'ÇEK20-19081719-D'!D44+'ÖB16-19081516-D'!D44+'ÖB15-19081115-D'!D44+'ALP07-19080506-D'!D44</f>
        <v>0</v>
      </c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'KAZ28-19082627-D'!D45+'ÇEK20-19081719-D'!D45+'ÖB16-19081516-D'!D45+'ÖB15-19081115-D'!D45+'ALP07-19080506-D'!D45</f>
        <v>17.7</v>
      </c>
      <c r="E45" s="107">
        <f>D45/$D$48</f>
        <v>7.1435778428009279E-4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0.39830175101942911</v>
      </c>
      <c r="D46" s="22">
        <f>SUM(D41:D45)</f>
        <v>4169</v>
      </c>
      <c r="E46" s="21">
        <f>D46/$D$48</f>
        <v>0.16825749167591564</v>
      </c>
      <c r="F46" s="20">
        <f>I46/D46</f>
        <v>0.40229981425570738</v>
      </c>
      <c r="G46" s="19">
        <f>F46/C46-1</f>
        <v>1.0037774692291723E-2</v>
      </c>
      <c r="H46" s="18">
        <f>SUM(H41:H44)</f>
        <v>1660.52</v>
      </c>
      <c r="I46" s="18">
        <f>SUM(I41:I44)</f>
        <v>1677.187925632044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94.641141789836155</v>
      </c>
      <c r="D48" s="13">
        <f>D24+D32+D40+D46</f>
        <v>24777.5</v>
      </c>
      <c r="E48" s="12">
        <f>SUM(E20:E46)/2</f>
        <v>1</v>
      </c>
      <c r="F48" s="11">
        <f>I48/D48</f>
        <v>25.08967870537322</v>
      </c>
      <c r="G48" s="10"/>
      <c r="H48" s="9">
        <f>SUM(H20:H46)/2</f>
        <v>615481.44999999995</v>
      </c>
      <c r="I48" s="9">
        <f>SUM(I20:I46)/2</f>
        <v>621659.51412238495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34944.5</v>
      </c>
      <c r="E50" s="12">
        <f>D50/G2</f>
        <v>1.0000286176255957</v>
      </c>
      <c r="F50" s="11">
        <f>I50/D50</f>
        <v>25.429272274606873</v>
      </c>
      <c r="G50" s="10"/>
      <c r="H50" s="9">
        <f>H48+H19</f>
        <v>879782.14999999991</v>
      </c>
      <c r="I50" s="9">
        <f>I48+I19</f>
        <v>888613.20499999984</v>
      </c>
      <c r="J50" s="106">
        <f>D50-G2</f>
        <v>1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25.429272274606873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>
    <tabColor rgb="FF92D050"/>
  </sheetPr>
  <dimension ref="A1:K56"/>
  <sheetViews>
    <sheetView workbookViewId="0">
      <selection activeCell="M10" sqref="M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896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908</v>
      </c>
      <c r="D2" s="96" t="s">
        <v>3</v>
      </c>
      <c r="E2" s="95" t="s">
        <v>71</v>
      </c>
      <c r="F2" s="94" t="s">
        <v>5</v>
      </c>
      <c r="G2" s="93">
        <v>6491.8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88</v>
      </c>
      <c r="F3" s="88" t="s">
        <v>8</v>
      </c>
      <c r="G3" s="87">
        <v>28.45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73.770454545454541</v>
      </c>
      <c r="F4" s="81" t="s">
        <v>12</v>
      </c>
      <c r="G4" s="80">
        <f>G2*G3</f>
        <v>184691.71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-1.5498961801112543E-3</v>
      </c>
      <c r="F6" s="69" t="s">
        <v>16</v>
      </c>
      <c r="G6" s="68">
        <f>(I50-I19)/(D50-(SUM(D42:D44)+D19))</f>
        <v>32.640388500114625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28.544172041133169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>
        <v>2751.2</v>
      </c>
      <c r="E11" s="29">
        <f t="shared" si="1"/>
        <v>0.91529709228824274</v>
      </c>
      <c r="F11" s="28">
        <f t="shared" si="2"/>
        <v>29.645876926931294</v>
      </c>
      <c r="G11" s="27" t="str">
        <f t="shared" si="3"/>
        <v>+</v>
      </c>
      <c r="H11" s="34">
        <f t="shared" si="4"/>
        <v>81435.520000000004</v>
      </c>
      <c r="I11" s="34">
        <f t="shared" si="5"/>
        <v>81561.73660137337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/>
      <c r="E12" s="29">
        <f t="shared" si="1"/>
        <v>0</v>
      </c>
      <c r="F12" s="28">
        <f t="shared" si="2"/>
        <v>27.142002186481015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>
        <v>132.6</v>
      </c>
      <c r="E13" s="29">
        <f t="shared" si="1"/>
        <v>4.4114711557655201E-2</v>
      </c>
      <c r="F13" s="28">
        <f t="shared" si="2"/>
        <v>29.645876926931294</v>
      </c>
      <c r="G13" s="27" t="str">
        <f t="shared" si="3"/>
        <v>+</v>
      </c>
      <c r="H13" s="34">
        <f t="shared" si="4"/>
        <v>3924.96</v>
      </c>
      <c r="I13" s="34">
        <f t="shared" si="5"/>
        <v>3931.0432805110895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>
        <f t="shared" si="1"/>
        <v>0</v>
      </c>
      <c r="F14" s="28">
        <f t="shared" si="2"/>
        <v>33.151301563561681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>
        <v>107</v>
      </c>
      <c r="E15" s="29">
        <f t="shared" si="1"/>
        <v>3.5597844167941983E-2</v>
      </c>
      <c r="F15" s="28">
        <f t="shared" si="2"/>
        <v>27.342312165717036</v>
      </c>
      <c r="G15" s="27" t="str">
        <f t="shared" si="3"/>
        <v>+</v>
      </c>
      <c r="H15" s="34">
        <f t="shared" si="4"/>
        <v>2921.1</v>
      </c>
      <c r="I15" s="34">
        <f t="shared" si="5"/>
        <v>2925.6274017317228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37.4</v>
      </c>
      <c r="D16" s="30"/>
      <c r="E16" s="29">
        <f t="shared" si="1"/>
        <v>0</v>
      </c>
      <c r="F16" s="28">
        <f t="shared" si="2"/>
        <v>37.457966117136159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</v>
      </c>
      <c r="D17" s="30">
        <v>15</v>
      </c>
      <c r="E17" s="29">
        <f t="shared" si="1"/>
        <v>4.9903519861600907E-3</v>
      </c>
      <c r="F17" s="28">
        <f t="shared" si="2"/>
        <v>55.085244289906122</v>
      </c>
      <c r="G17" s="27" t="str">
        <f t="shared" si="3"/>
        <v>+</v>
      </c>
      <c r="H17" s="34">
        <f t="shared" si="4"/>
        <v>825</v>
      </c>
      <c r="I17" s="34">
        <f t="shared" si="5"/>
        <v>826.27866434859186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48.2</v>
      </c>
      <c r="D18" s="30"/>
      <c r="E18" s="29">
        <f t="shared" si="1"/>
        <v>0</v>
      </c>
      <c r="F18" s="28">
        <f t="shared" si="2"/>
        <v>48.274704995881365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29.644879898862207</v>
      </c>
      <c r="D19" s="49">
        <f>SUM(D10:D18)</f>
        <v>3005.7999999999997</v>
      </c>
      <c r="E19" s="48">
        <f t="shared" si="1"/>
        <v>1</v>
      </c>
      <c r="F19" s="47">
        <f>I19/D19</f>
        <v>29.690826384977303</v>
      </c>
      <c r="G19" s="46">
        <f>F19/C19-1</f>
        <v>1.5498961801110323E-3</v>
      </c>
      <c r="H19" s="9">
        <f>SUM(H10:H18)</f>
        <v>89106.580000000016</v>
      </c>
      <c r="I19" s="9">
        <f>SUM(I10:I18)</f>
        <v>89244.685947964768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71.599999999999994</v>
      </c>
      <c r="D21" s="30">
        <v>5.4</v>
      </c>
      <c r="E21" s="29">
        <f>D21/$D$48</f>
        <v>1.5490533562822718E-3</v>
      </c>
      <c r="F21" s="28">
        <f>C21-(C21*$E$6)</f>
        <v>71.710972566495954</v>
      </c>
      <c r="G21" s="27" t="str">
        <f>IF(C21&gt;=F21,"-","+")</f>
        <v>+</v>
      </c>
      <c r="H21" s="26">
        <f>C21*D21</f>
        <v>386.64</v>
      </c>
      <c r="I21" s="26">
        <f>F21*D21</f>
        <v>387.23925185907819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191.1</v>
      </c>
      <c r="E22" s="29">
        <f>D22/$D$48</f>
        <v>5.4819277108433727E-2</v>
      </c>
      <c r="F22" s="28">
        <f>C22-(C22*$E$6)</f>
        <v>48.174550006263352</v>
      </c>
      <c r="G22" s="27" t="str">
        <f>IF(C22&gt;=F22,"-","+")</f>
        <v>+</v>
      </c>
      <c r="H22" s="26">
        <f>C22*D22</f>
        <v>9191.91</v>
      </c>
      <c r="I22" s="26">
        <f>F22*D22</f>
        <v>9206.1565061969268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43.8</v>
      </c>
      <c r="D23" s="30">
        <v>10.8</v>
      </c>
      <c r="E23" s="29">
        <f>D23/$D$48</f>
        <v>3.0981067125645436E-3</v>
      </c>
      <c r="F23" s="28">
        <f>C23-(C23*$E$6)</f>
        <v>43.867885452688867</v>
      </c>
      <c r="G23" s="27" t="str">
        <f>IF(C23&gt;=F23,"-","+")</f>
        <v>+</v>
      </c>
      <c r="H23" s="26">
        <f>C23*D23</f>
        <v>473.04</v>
      </c>
      <c r="I23" s="26">
        <f>F23*D23</f>
        <v>473.77316288903978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48.488133140376263</v>
      </c>
      <c r="D24" s="22">
        <f>SUM(D21:D23)</f>
        <v>207.3</v>
      </c>
      <c r="E24" s="21">
        <f>D24/$D$48</f>
        <v>5.9466437177280548E-2</v>
      </c>
      <c r="F24" s="20">
        <f>I24/D24</f>
        <v>48.563284712711258</v>
      </c>
      <c r="G24" s="19">
        <f>F24/C24-1</f>
        <v>1.5498961801112543E-3</v>
      </c>
      <c r="H24" s="18">
        <f>SUM(H21:H23)</f>
        <v>10051.59</v>
      </c>
      <c r="I24" s="18">
        <f>SUM(I21:I23)</f>
        <v>10067.168920945045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v>105</v>
      </c>
      <c r="E26" s="29">
        <f t="shared" ref="E26:E32" si="7">D26/$D$48</f>
        <v>3.012048192771084E-2</v>
      </c>
      <c r="F26" s="28">
        <f t="shared" ref="F26:F31" si="8">C26-(C26*$E$6)</f>
        <v>38.25920603408025</v>
      </c>
      <c r="G26" s="27" t="str">
        <f t="shared" ref="G26:G31" si="9">IF(C26&gt;=F26,"-","+")</f>
        <v>+</v>
      </c>
      <c r="H26" s="26">
        <f t="shared" ref="H26:H31" si="10">C26*D26</f>
        <v>4011.0000000000005</v>
      </c>
      <c r="I26" s="26">
        <f t="shared" ref="I26:I31" si="11">F26*D26</f>
        <v>4017.2166335784264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</v>
      </c>
      <c r="D27" s="30">
        <v>796</v>
      </c>
      <c r="E27" s="29">
        <f t="shared" si="7"/>
        <v>0.22834193918531265</v>
      </c>
      <c r="F27" s="28">
        <f t="shared" si="8"/>
        <v>34.052696470123784</v>
      </c>
      <c r="G27" s="27" t="str">
        <f t="shared" si="9"/>
        <v>+</v>
      </c>
      <c r="H27" s="26">
        <f t="shared" si="10"/>
        <v>27064</v>
      </c>
      <c r="I27" s="26">
        <f t="shared" si="11"/>
        <v>27105.946390218531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</v>
      </c>
      <c r="D28" s="30">
        <v>640</v>
      </c>
      <c r="E28" s="29">
        <f t="shared" si="7"/>
        <v>0.1835915088927137</v>
      </c>
      <c r="F28" s="28">
        <f t="shared" si="8"/>
        <v>34.052696470123784</v>
      </c>
      <c r="G28" s="27" t="str">
        <f t="shared" si="9"/>
        <v>+</v>
      </c>
      <c r="H28" s="26">
        <f t="shared" si="10"/>
        <v>21760</v>
      </c>
      <c r="I28" s="26">
        <f t="shared" si="11"/>
        <v>21793.725740879221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632.29999999999995</v>
      </c>
      <c r="E29" s="29">
        <f t="shared" si="7"/>
        <v>0.18138267355134821</v>
      </c>
      <c r="F29" s="28">
        <f t="shared" si="8"/>
        <v>32.950991584325656</v>
      </c>
      <c r="G29" s="27" t="str">
        <f t="shared" si="9"/>
        <v>+</v>
      </c>
      <c r="H29" s="26">
        <f t="shared" si="10"/>
        <v>20802.669999999998</v>
      </c>
      <c r="I29" s="26">
        <f t="shared" si="11"/>
        <v>20834.911978769112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30.4</v>
      </c>
      <c r="E30" s="29">
        <f t="shared" si="7"/>
        <v>8.7205966724039005E-3</v>
      </c>
      <c r="F30" s="28">
        <f t="shared" si="8"/>
        <v>32.950991584325656</v>
      </c>
      <c r="G30" s="27" t="str">
        <f t="shared" si="9"/>
        <v>+</v>
      </c>
      <c r="H30" s="26">
        <f t="shared" si="10"/>
        <v>1000.1599999999999</v>
      </c>
      <c r="I30" s="26">
        <f t="shared" si="11"/>
        <v>1001.7101441634999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6</v>
      </c>
      <c r="E31" s="29">
        <f t="shared" si="7"/>
        <v>1.7211703958691909E-3</v>
      </c>
      <c r="F31" s="28">
        <f t="shared" si="8"/>
        <v>33.451766532415718</v>
      </c>
      <c r="G31" s="27" t="str">
        <f t="shared" si="9"/>
        <v>+</v>
      </c>
      <c r="H31" s="26">
        <f t="shared" si="10"/>
        <v>200.39999999999998</v>
      </c>
      <c r="I31" s="26">
        <f t="shared" si="11"/>
        <v>200.71059919449431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33.868049961533231</v>
      </c>
      <c r="D32" s="22">
        <f>SUM(D26:D31)</f>
        <v>2209.7000000000003</v>
      </c>
      <c r="E32" s="21">
        <f t="shared" si="7"/>
        <v>0.63387837062535857</v>
      </c>
      <c r="F32" s="20">
        <f>I32/D32</f>
        <v>33.920541922796431</v>
      </c>
      <c r="G32" s="19">
        <f>F32/C32-1</f>
        <v>1.5498961801112543E-3</v>
      </c>
      <c r="H32" s="18">
        <f>SUM(H26:H31)</f>
        <v>74838.23</v>
      </c>
      <c r="I32" s="18">
        <f>SUM(I26:I31)</f>
        <v>74954.22148680329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504</v>
      </c>
      <c r="E34" s="29">
        <f t="shared" ref="E34:E40" si="13">D34/$D$48</f>
        <v>0.14457831325301204</v>
      </c>
      <c r="F34" s="28">
        <f t="shared" ref="F34:F39" si="14">C34-(C34*$E$6)</f>
        <v>20.131152913220237</v>
      </c>
      <c r="G34" s="27" t="str">
        <f t="shared" ref="G34:G39" si="15">IF(C34&gt;=F34,"-","+")</f>
        <v>+</v>
      </c>
      <c r="H34" s="26">
        <f t="shared" ref="H34:H39" si="16">C34*D34</f>
        <v>10130.400000000001</v>
      </c>
      <c r="I34" s="26">
        <f t="shared" ref="I34:I39" si="17">F34*D34</f>
        <v>10146.101068263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15.524023390791724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12.419218712633381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32.950991584325656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32.950991584325656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</v>
      </c>
      <c r="D39" s="30"/>
      <c r="E39" s="29">
        <f t="shared" si="13"/>
        <v>0</v>
      </c>
      <c r="F39" s="28">
        <f t="shared" si="14"/>
        <v>34.052696470123784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504</v>
      </c>
      <c r="E40" s="21">
        <f t="shared" si="13"/>
        <v>0.14457831325301204</v>
      </c>
      <c r="F40" s="20">
        <f>I40/D40</f>
        <v>20.131152913220237</v>
      </c>
      <c r="G40" s="19">
        <f>F40/C40-1</f>
        <v>1.5498961801112543E-3</v>
      </c>
      <c r="H40" s="18">
        <f>SUM(H34:H39)</f>
        <v>10130.400000000001</v>
      </c>
      <c r="I40" s="18">
        <f>SUM(I34:I39)</f>
        <v>10146.101068263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537</v>
      </c>
      <c r="E42" s="107">
        <f>D42/$D$48</f>
        <v>0.15404475043029259</v>
      </c>
      <c r="F42" s="28">
        <f>C42-(C42*$E$6)</f>
        <v>0.50077494809005563</v>
      </c>
      <c r="G42" s="27" t="str">
        <f>IF(C42&gt;=F42,"-","+")</f>
        <v>+</v>
      </c>
      <c r="H42" s="26">
        <f>C42*D42</f>
        <v>268.5</v>
      </c>
      <c r="I42" s="26">
        <f>F42*D42</f>
        <v>268.9161471243599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21.2</v>
      </c>
      <c r="E43" s="107">
        <f>D43/$D$48</f>
        <v>6.0814687320711403E-3</v>
      </c>
      <c r="F43" s="28">
        <f>C43-(C43*$E$6)</f>
        <v>0.50077494809005563</v>
      </c>
      <c r="G43" s="27" t="str">
        <f>IF(C43&gt;=F43,"-","+")</f>
        <v>+</v>
      </c>
      <c r="H43" s="26">
        <f>C43*D43</f>
        <v>10.6</v>
      </c>
      <c r="I43" s="26">
        <f>F43*D43</f>
        <v>10.616428899509179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3.6</v>
      </c>
      <c r="E44" s="107">
        <f>D44/$D$48</f>
        <v>1.0327022375215145E-3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3.2</v>
      </c>
      <c r="E45" s="107">
        <f>D45/$D$48</f>
        <v>9.1795754446356848E-4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0.49398230088495571</v>
      </c>
      <c r="D46" s="22">
        <f>SUM(D41:D45)</f>
        <v>565.00000000000011</v>
      </c>
      <c r="E46" s="113">
        <f>D46/$D$48</f>
        <v>0.16207687894434883</v>
      </c>
      <c r="F46" s="20">
        <f>I46/D46</f>
        <v>0.49474792216613983</v>
      </c>
      <c r="G46" s="19">
        <f>F46/C46-1</f>
        <v>1.5498961801112543E-3</v>
      </c>
      <c r="H46" s="18">
        <f>SUM(H41:H44)</f>
        <v>279.10000000000002</v>
      </c>
      <c r="I46" s="18">
        <f>SUM(I41:I44)</f>
        <v>279.53257602386907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102.95016540279444</v>
      </c>
      <c r="D48" s="13">
        <f>D24+D32+D40+D46</f>
        <v>3486.0000000000005</v>
      </c>
      <c r="E48" s="12">
        <f>SUM(E20:E46)/2</f>
        <v>0.99999999999999989</v>
      </c>
      <c r="F48" s="11">
        <f>I48/D48</f>
        <v>27.380098695362939</v>
      </c>
      <c r="G48" s="10"/>
      <c r="H48" s="9">
        <f>SUM(H20:H46)/2</f>
        <v>95299.319999999992</v>
      </c>
      <c r="I48" s="9">
        <f>SUM(I20:I46)/2</f>
        <v>95447.024052035224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6491.8000000000011</v>
      </c>
      <c r="E50" s="12">
        <f>D50/G2</f>
        <v>1.0000000000000002</v>
      </c>
      <c r="F50" s="11">
        <f>I50/D50</f>
        <v>28.449999999999996</v>
      </c>
      <c r="G50" s="10"/>
      <c r="H50" s="9">
        <f>H48+H19</f>
        <v>184405.90000000002</v>
      </c>
      <c r="I50" s="9">
        <f>I48+I19</f>
        <v>184691.71</v>
      </c>
      <c r="J50" s="106">
        <f>D50-G2</f>
        <v>0</v>
      </c>
      <c r="K50" s="8"/>
    </row>
    <row r="51" spans="1:11" ht="23.25" x14ac:dyDescent="0.35">
      <c r="A51" s="174" t="s">
        <v>909</v>
      </c>
      <c r="B51" s="169"/>
      <c r="C51" s="170"/>
      <c r="G51" s="7"/>
      <c r="H51" s="6"/>
      <c r="I51" s="6">
        <f>+I50/D50</f>
        <v>28.449999999999996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>
    <tabColor rgb="FF92D050"/>
  </sheetPr>
  <dimension ref="A1:K56"/>
  <sheetViews>
    <sheetView topLeftCell="A36" workbookViewId="0"/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896</v>
      </c>
      <c r="D1" s="100" t="s">
        <v>1</v>
      </c>
      <c r="E1" s="168" t="s">
        <v>690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908</v>
      </c>
      <c r="D2" s="96" t="s">
        <v>3</v>
      </c>
      <c r="E2" s="95" t="s">
        <v>112</v>
      </c>
      <c r="F2" s="94" t="s">
        <v>5</v>
      </c>
      <c r="G2" s="93">
        <v>913.6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16</v>
      </c>
      <c r="F3" s="88" t="s">
        <v>8</v>
      </c>
      <c r="G3" s="87">
        <v>24.63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57.1</v>
      </c>
      <c r="F4" s="81" t="s">
        <v>12</v>
      </c>
      <c r="G4" s="80">
        <f>G2*G3</f>
        <v>22501.968000000001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-8.6003364868113108E-2</v>
      </c>
      <c r="F6" s="69" t="s">
        <v>16</v>
      </c>
      <c r="G6" s="68">
        <f>(I50-I19)/(D50-(SUM(D42:D44)+D19))</f>
        <v>32.358308886971543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24.6</v>
      </c>
      <c r="D10" s="30"/>
      <c r="E10" s="29" t="e">
        <f t="shared" ref="E10:E19" si="1">D10/$D$19</f>
        <v>#DIV/0!</v>
      </c>
      <c r="F10" s="28">
        <f t="shared" ref="F10:F18" si="2">C10-(C10*$E$6)</f>
        <v>26.715682775755585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25.6</v>
      </c>
      <c r="D11" s="30"/>
      <c r="E11" s="29" t="e">
        <f t="shared" si="1"/>
        <v>#DIV/0!</v>
      </c>
      <c r="F11" s="28">
        <f t="shared" si="2"/>
        <v>27.801686140623698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23.4</v>
      </c>
      <c r="D12" s="30"/>
      <c r="E12" s="29" t="e">
        <f t="shared" si="1"/>
        <v>#DIV/0!</v>
      </c>
      <c r="F12" s="28">
        <f t="shared" si="2"/>
        <v>25.412478737913844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25.6</v>
      </c>
      <c r="D13" s="30"/>
      <c r="E13" s="29" t="e">
        <f t="shared" si="1"/>
        <v>#DIV/0!</v>
      </c>
      <c r="F13" s="28">
        <f t="shared" si="2"/>
        <v>27.801686140623698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28.7</v>
      </c>
      <c r="D14" s="30"/>
      <c r="E14" s="29" t="e">
        <f t="shared" si="1"/>
        <v>#DIV/0!</v>
      </c>
      <c r="F14" s="28">
        <f t="shared" si="2"/>
        <v>31.168296571714844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23.6</v>
      </c>
      <c r="D15" s="30"/>
      <c r="E15" s="29" t="e">
        <f t="shared" si="1"/>
        <v>#DIV/0!</v>
      </c>
      <c r="F15" s="28">
        <f t="shared" si="2"/>
        <v>25.629679410887469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32.4</v>
      </c>
      <c r="D16" s="30"/>
      <c r="E16" s="29" t="e">
        <f t="shared" si="1"/>
        <v>#DIV/0!</v>
      </c>
      <c r="F16" s="28">
        <f t="shared" si="2"/>
        <v>35.186509021726863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47.6</v>
      </c>
      <c r="D17" s="30"/>
      <c r="E17" s="29" t="e">
        <f t="shared" si="1"/>
        <v>#DIV/0!</v>
      </c>
      <c r="F17" s="28">
        <f t="shared" si="2"/>
        <v>51.693760167722189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41.7</v>
      </c>
      <c r="D18" s="30"/>
      <c r="E18" s="29" t="e">
        <f t="shared" si="1"/>
        <v>#DIV/0!</v>
      </c>
      <c r="F18" s="28">
        <f t="shared" si="2"/>
        <v>45.286340315000317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61.9</v>
      </c>
      <c r="D21" s="30">
        <v>11.6</v>
      </c>
      <c r="E21" s="29">
        <f>D21/$D$48</f>
        <v>1.2697022767075307E-2</v>
      </c>
      <c r="F21" s="28">
        <f>C21-(C21*$E$6)</f>
        <v>67.223608285336198</v>
      </c>
      <c r="G21" s="27" t="str">
        <f>IF(C21&gt;=F21,"-","+")</f>
        <v>+</v>
      </c>
      <c r="H21" s="26">
        <f>C21*D21</f>
        <v>718.04</v>
      </c>
      <c r="I21" s="26">
        <f>F21*D21</f>
        <v>779.79385610989982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41.6</v>
      </c>
      <c r="D22" s="30">
        <v>25.4</v>
      </c>
      <c r="E22" s="29">
        <f>D22/$D$48</f>
        <v>2.7802101576182136E-2</v>
      </c>
      <c r="F22" s="28">
        <f>C22-(C22*$E$6)</f>
        <v>45.177739978513507</v>
      </c>
      <c r="G22" s="27" t="str">
        <f>IF(C22&gt;=F22,"-","+")</f>
        <v>+</v>
      </c>
      <c r="H22" s="26">
        <f>C22*D22</f>
        <v>1056.6399999999999</v>
      </c>
      <c r="I22" s="26">
        <f>F22*D22</f>
        <v>1147.5145954542431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37.9</v>
      </c>
      <c r="D23" s="30">
        <v>23.7</v>
      </c>
      <c r="E23" s="29">
        <f>D23/$D$48</f>
        <v>2.5941330998248684E-2</v>
      </c>
      <c r="F23" s="28">
        <f>C23-(C23*$E$6)</f>
        <v>41.159527528501485</v>
      </c>
      <c r="G23" s="27" t="str">
        <f>IF(C23&gt;=F23,"-","+")</f>
        <v>+</v>
      </c>
      <c r="H23" s="26">
        <f>C23*D23</f>
        <v>898.2299999999999</v>
      </c>
      <c r="I23" s="26">
        <f>F23*D23</f>
        <v>975.48080242548519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44.034761120263589</v>
      </c>
      <c r="D24" s="22">
        <f>SUM(D21:D23)</f>
        <v>60.7</v>
      </c>
      <c r="E24" s="21">
        <f>D24/$D$48</f>
        <v>6.6440455341506124E-2</v>
      </c>
      <c r="F24" s="20">
        <f>I24/D24</f>
        <v>47.821898747769822</v>
      </c>
      <c r="G24" s="19">
        <f>F24/C24-1</f>
        <v>8.6003364868113108E-2</v>
      </c>
      <c r="H24" s="18">
        <f>SUM(H21:H23)</f>
        <v>2672.91</v>
      </c>
      <c r="I24" s="18">
        <f>SUM(I21:I23)</f>
        <v>2902.7892539896284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33.1</v>
      </c>
      <c r="D26" s="30">
        <f>54+135</f>
        <v>189</v>
      </c>
      <c r="E26" s="29">
        <f t="shared" ref="E26:E32" si="7">D26/$D$48</f>
        <v>0.2068739054290718</v>
      </c>
      <c r="F26" s="28">
        <f t="shared" ref="F26:F31" si="8">C26-(C26*$E$6)</f>
        <v>35.946711377134548</v>
      </c>
      <c r="G26" s="27" t="str">
        <f t="shared" ref="G26:G31" si="9">IF(C26&gt;=F26,"-","+")</f>
        <v>+</v>
      </c>
      <c r="H26" s="26">
        <f t="shared" ref="H26:H31" si="10">C26*D26</f>
        <v>6255.9000000000005</v>
      </c>
      <c r="I26" s="26">
        <f t="shared" ref="I26:I31" si="11">F26*D26</f>
        <v>6793.9284502784294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29.4</v>
      </c>
      <c r="D27" s="30">
        <v>131.19999999999999</v>
      </c>
      <c r="E27" s="29">
        <f t="shared" si="7"/>
        <v>0.14360770577933449</v>
      </c>
      <c r="F27" s="28">
        <f t="shared" si="8"/>
        <v>31.928498927122526</v>
      </c>
      <c r="G27" s="27" t="str">
        <f t="shared" si="9"/>
        <v>+</v>
      </c>
      <c r="H27" s="26">
        <f t="shared" si="10"/>
        <v>3857.2799999999993</v>
      </c>
      <c r="I27" s="26">
        <f t="shared" si="11"/>
        <v>4189.0190592384752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29.4</v>
      </c>
      <c r="D28" s="30">
        <v>77.8</v>
      </c>
      <c r="E28" s="29">
        <f t="shared" si="7"/>
        <v>8.5157618213660247E-2</v>
      </c>
      <c r="F28" s="28">
        <f t="shared" si="8"/>
        <v>31.928498927122526</v>
      </c>
      <c r="G28" s="27" t="str">
        <f t="shared" si="9"/>
        <v>+</v>
      </c>
      <c r="H28" s="26">
        <f t="shared" si="10"/>
        <v>2287.3199999999997</v>
      </c>
      <c r="I28" s="26">
        <f t="shared" si="11"/>
        <v>2484.0372165301324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28.4</v>
      </c>
      <c r="D29" s="30">
        <v>76.099999999999994</v>
      </c>
      <c r="E29" s="29">
        <f t="shared" si="7"/>
        <v>8.3296847635726784E-2</v>
      </c>
      <c r="F29" s="28">
        <f t="shared" si="8"/>
        <v>30.84249556225441</v>
      </c>
      <c r="G29" s="27" t="str">
        <f t="shared" si="9"/>
        <v>+</v>
      </c>
      <c r="H29" s="26">
        <f t="shared" si="10"/>
        <v>2161.2399999999998</v>
      </c>
      <c r="I29" s="26">
        <f t="shared" si="11"/>
        <v>2347.1139122875602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28.4</v>
      </c>
      <c r="D30" s="30">
        <v>44.4</v>
      </c>
      <c r="E30" s="29">
        <f t="shared" si="7"/>
        <v>4.859894921190893E-2</v>
      </c>
      <c r="F30" s="28">
        <f t="shared" si="8"/>
        <v>30.84249556225441</v>
      </c>
      <c r="G30" s="27" t="str">
        <f t="shared" si="9"/>
        <v>+</v>
      </c>
      <c r="H30" s="26">
        <f t="shared" si="10"/>
        <v>1260.9599999999998</v>
      </c>
      <c r="I30" s="26">
        <f t="shared" si="11"/>
        <v>1369.4068029640957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28.9</v>
      </c>
      <c r="D31" s="30">
        <v>15.5</v>
      </c>
      <c r="E31" s="29">
        <f t="shared" si="7"/>
        <v>1.696584938704028E-2</v>
      </c>
      <c r="F31" s="28">
        <f t="shared" si="8"/>
        <v>31.385497244688466</v>
      </c>
      <c r="G31" s="27" t="str">
        <f t="shared" si="9"/>
        <v>+</v>
      </c>
      <c r="H31" s="26">
        <f t="shared" si="10"/>
        <v>447.95</v>
      </c>
      <c r="I31" s="26">
        <f t="shared" si="11"/>
        <v>486.4752072926712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30.469382022471908</v>
      </c>
      <c r="D32" s="22">
        <f>SUM(D26:D31)</f>
        <v>534</v>
      </c>
      <c r="E32" s="21">
        <f t="shared" si="7"/>
        <v>0.58450087565674258</v>
      </c>
      <c r="F32" s="20">
        <f>I32/D32</f>
        <v>33.089851401856485</v>
      </c>
      <c r="G32" s="19">
        <f>F32/C32-1</f>
        <v>8.6003364868113108E-2</v>
      </c>
      <c r="H32" s="18">
        <f>SUM(H26:H31)</f>
        <v>16270.65</v>
      </c>
      <c r="I32" s="18">
        <f>SUM(I26:I31)</f>
        <v>17669.980648591361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17.399999999999999</v>
      </c>
      <c r="D34" s="30">
        <v>97.1</v>
      </c>
      <c r="E34" s="29">
        <f t="shared" ref="E34:E40" si="13">D34/$D$48</f>
        <v>0.10628283712784588</v>
      </c>
      <c r="F34" s="28">
        <f t="shared" ref="F34:F39" si="14">C34-(C34*$E$6)</f>
        <v>18.896458548705166</v>
      </c>
      <c r="G34" s="27" t="str">
        <f t="shared" ref="G34:G39" si="15">IF(C34&gt;=F34,"-","+")</f>
        <v>+</v>
      </c>
      <c r="H34" s="26">
        <f t="shared" ref="H34:H39" si="16">C34*D34</f>
        <v>1689.5399999999997</v>
      </c>
      <c r="I34" s="26">
        <f t="shared" ref="I34:I39" si="17">F34*D34</f>
        <v>1834.8461250792716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/>
      <c r="E35" s="29">
        <f t="shared" si="13"/>
        <v>0</v>
      </c>
      <c r="F35" s="28">
        <f t="shared" si="14"/>
        <v>14.552445089232716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11.728836340575622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28.4</v>
      </c>
      <c r="D37" s="30"/>
      <c r="E37" s="29">
        <f t="shared" si="13"/>
        <v>0</v>
      </c>
      <c r="F37" s="28">
        <f t="shared" si="14"/>
        <v>30.84249556225441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28.4</v>
      </c>
      <c r="D38" s="30"/>
      <c r="E38" s="29">
        <f t="shared" si="13"/>
        <v>0</v>
      </c>
      <c r="F38" s="28">
        <f t="shared" si="14"/>
        <v>30.84249556225441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29.4</v>
      </c>
      <c r="D39" s="30"/>
      <c r="E39" s="29">
        <f t="shared" si="13"/>
        <v>0</v>
      </c>
      <c r="F39" s="28">
        <f t="shared" si="14"/>
        <v>31.928498927122526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17.399999999999999</v>
      </c>
      <c r="D40" s="22">
        <f>SUM(D34:D39)</f>
        <v>97.1</v>
      </c>
      <c r="E40" s="21">
        <f t="shared" si="13"/>
        <v>0.10628283712784588</v>
      </c>
      <c r="F40" s="20">
        <f>I40/D40</f>
        <v>18.896458548705166</v>
      </c>
      <c r="G40" s="19">
        <f>F40/C40-1</f>
        <v>8.6003364868113108E-2</v>
      </c>
      <c r="H40" s="18">
        <f>SUM(H34:H39)</f>
        <v>1689.5399999999997</v>
      </c>
      <c r="I40" s="18">
        <f>SUM(I34:I39)</f>
        <v>1834.8461250792716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213</v>
      </c>
      <c r="E42" s="107">
        <f>D42/$D$48</f>
        <v>0.23314360770577933</v>
      </c>
      <c r="F42" s="28">
        <f>C42-(C42*$E$6)</f>
        <v>0.43440134594724528</v>
      </c>
      <c r="G42" s="27" t="str">
        <f>IF(C42&gt;=F42,"-","+")</f>
        <v>+</v>
      </c>
      <c r="H42" s="26">
        <f>C42*D42</f>
        <v>85.2</v>
      </c>
      <c r="I42" s="26">
        <f>F42*D42</f>
        <v>92.52748668676324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4.2</v>
      </c>
      <c r="E43" s="107">
        <f>D43/$D$48</f>
        <v>4.5971978984238179E-3</v>
      </c>
      <c r="F43" s="28">
        <f>C43-(C43*$E$6)</f>
        <v>0.43440134594724528</v>
      </c>
      <c r="G43" s="27" t="str">
        <f>IF(C43&gt;=F43,"-","+")</f>
        <v>+</v>
      </c>
      <c r="H43" s="26">
        <f>C43*D43</f>
        <v>1.6800000000000002</v>
      </c>
      <c r="I43" s="26">
        <f>F43*D43</f>
        <v>1.8244856529784301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</v>
      </c>
      <c r="E44" s="107">
        <f>D44/$D$48</f>
        <v>1.0945709281961471E-3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3.6</v>
      </c>
      <c r="E45" s="107">
        <f>D45/$D$48</f>
        <v>3.9404553415061296E-3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0.39170423805229942</v>
      </c>
      <c r="D46" s="22">
        <f>SUM(D41:D45)</f>
        <v>221.79999999999998</v>
      </c>
      <c r="E46" s="113">
        <f>D46/$D$48</f>
        <v>0.24277583187390542</v>
      </c>
      <c r="F46" s="20">
        <f>I46/D46</f>
        <v>0.42539212055789755</v>
      </c>
      <c r="G46" s="19">
        <f>F46/C46-1</f>
        <v>8.6003364868113108E-2</v>
      </c>
      <c r="H46" s="18">
        <f>SUM(H41:H44)</f>
        <v>86.88000000000001</v>
      </c>
      <c r="I46" s="18">
        <f>SUM(I41:I44)</f>
        <v>94.351972339741664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92.295847380787805</v>
      </c>
      <c r="D48" s="13">
        <f>D24+D32+D40+D46</f>
        <v>913.6</v>
      </c>
      <c r="E48" s="12">
        <f>SUM(E20:E46)/2</f>
        <v>1</v>
      </c>
      <c r="F48" s="11">
        <f>I48/D48</f>
        <v>24.63000000000001</v>
      </c>
      <c r="G48" s="10"/>
      <c r="H48" s="9">
        <f>SUM(H20:H46)/2</f>
        <v>20719.979999999996</v>
      </c>
      <c r="I48" s="9">
        <f>SUM(I20:I46)/2</f>
        <v>22501.968000000008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913.59999999999991</v>
      </c>
      <c r="E50" s="12">
        <f>D50/G2</f>
        <v>0.99999999999999989</v>
      </c>
      <c r="F50" s="11">
        <f>I50/D50</f>
        <v>24.63000000000001</v>
      </c>
      <c r="G50" s="10"/>
      <c r="H50" s="9">
        <f>H48+H19</f>
        <v>20719.979999999996</v>
      </c>
      <c r="I50" s="9">
        <f>I48+I19</f>
        <v>22501.968000000008</v>
      </c>
      <c r="J50" s="106">
        <f>D50-G2</f>
        <v>0</v>
      </c>
      <c r="K50" s="8"/>
    </row>
    <row r="51" spans="1:11" ht="23.25" x14ac:dyDescent="0.35">
      <c r="A51" s="174" t="s">
        <v>910</v>
      </c>
      <c r="B51" s="169"/>
      <c r="C51" s="170"/>
      <c r="G51" s="7"/>
      <c r="H51" s="6"/>
      <c r="I51" s="6">
        <f>+I50/D50</f>
        <v>24.63000000000001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>
    <tabColor rgb="FF92D050"/>
  </sheetPr>
  <dimension ref="A1:K56"/>
  <sheetViews>
    <sheetView workbookViewId="0">
      <selection activeCell="M8" sqref="M8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896</v>
      </c>
      <c r="D1" s="100" t="s">
        <v>1</v>
      </c>
      <c r="E1" s="168" t="s">
        <v>690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908</v>
      </c>
      <c r="D2" s="96" t="s">
        <v>3</v>
      </c>
      <c r="E2" s="95" t="s">
        <v>112</v>
      </c>
      <c r="F2" s="94" t="s">
        <v>5</v>
      </c>
      <c r="G2" s="93">
        <v>1289.9000000000001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241</v>
      </c>
      <c r="D3" s="90" t="s">
        <v>7</v>
      </c>
      <c r="E3" s="89">
        <v>12</v>
      </c>
      <c r="F3" s="88" t="s">
        <v>8</v>
      </c>
      <c r="G3" s="87">
        <v>25.6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107.49166666666667</v>
      </c>
      <c r="F4" s="81" t="s">
        <v>12</v>
      </c>
      <c r="G4" s="80">
        <f>G2*G3</f>
        <v>33021.440000000002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-4.0055093235875638E-3</v>
      </c>
      <c r="F6" s="69" t="s">
        <v>16</v>
      </c>
      <c r="G6" s="68">
        <f>(I50-I19)/(D50-(SUM(D42:D44)+D19))</f>
        <v>30.29767868611799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25.6</v>
      </c>
      <c r="D10" s="30"/>
      <c r="E10" s="29" t="e">
        <f t="shared" ref="E10:E19" si="1">D10/$D$19</f>
        <v>#DIV/0!</v>
      </c>
      <c r="F10" s="28">
        <f t="shared" ref="F10:F18" si="2">C10-(C10*$E$6)</f>
        <v>25.702541038683844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26.7</v>
      </c>
      <c r="D11" s="30"/>
      <c r="E11" s="29" t="e">
        <f t="shared" si="1"/>
        <v>#DIV/0!</v>
      </c>
      <c r="F11" s="28">
        <f t="shared" si="2"/>
        <v>26.806947098939787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24.4</v>
      </c>
      <c r="D12" s="30"/>
      <c r="E12" s="29" t="e">
        <f t="shared" si="1"/>
        <v>#DIV/0!</v>
      </c>
      <c r="F12" s="28">
        <f t="shared" si="2"/>
        <v>24.497734427495534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26.7</v>
      </c>
      <c r="D13" s="30"/>
      <c r="E13" s="29" t="e">
        <f t="shared" si="1"/>
        <v>#DIV/0!</v>
      </c>
      <c r="F13" s="28">
        <f t="shared" si="2"/>
        <v>26.806947098939787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29.8</v>
      </c>
      <c r="D14" s="30"/>
      <c r="E14" s="29" t="e">
        <f t="shared" si="1"/>
        <v>#DIV/0!</v>
      </c>
      <c r="F14" s="28">
        <f t="shared" si="2"/>
        <v>29.919364177842912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24.6</v>
      </c>
      <c r="D15" s="30"/>
      <c r="E15" s="29" t="e">
        <f t="shared" si="1"/>
        <v>#DIV/0!</v>
      </c>
      <c r="F15" s="28">
        <f t="shared" si="2"/>
        <v>24.698535529360257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33.6</v>
      </c>
      <c r="D16" s="30"/>
      <c r="E16" s="29" t="e">
        <f t="shared" si="1"/>
        <v>#DIV/0!</v>
      </c>
      <c r="F16" s="28">
        <f t="shared" si="2"/>
        <v>33.734585113272544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49.5</v>
      </c>
      <c r="D17" s="30"/>
      <c r="E17" s="29" t="e">
        <f t="shared" si="1"/>
        <v>#DIV/0!</v>
      </c>
      <c r="F17" s="28">
        <f t="shared" si="2"/>
        <v>49.698272711517582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43.4</v>
      </c>
      <c r="D18" s="30"/>
      <c r="E18" s="29" t="e">
        <f t="shared" si="1"/>
        <v>#DIV/0!</v>
      </c>
      <c r="F18" s="28">
        <f t="shared" si="2"/>
        <v>43.573839104643696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64.400000000000006</v>
      </c>
      <c r="D21" s="30">
        <v>15.4</v>
      </c>
      <c r="E21" s="29">
        <f>D21/$D$48</f>
        <v>1.1938909993022714E-2</v>
      </c>
      <c r="F21" s="28">
        <f>C21-(C21*$E$6)</f>
        <v>64.657954800439043</v>
      </c>
      <c r="G21" s="27" t="str">
        <f>IF(C21&gt;=F21,"-","+")</f>
        <v>+</v>
      </c>
      <c r="H21" s="26">
        <f>C21*D21</f>
        <v>991.7600000000001</v>
      </c>
      <c r="I21" s="26">
        <f>F21*D21</f>
        <v>995.7325039267613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43.2</v>
      </c>
      <c r="D22" s="30">
        <v>38.9</v>
      </c>
      <c r="E22" s="29">
        <f>D22/$D$48</f>
        <v>3.0157376540817113E-2</v>
      </c>
      <c r="F22" s="28">
        <f>C22-(C22*$E$6)</f>
        <v>43.373038002778983</v>
      </c>
      <c r="G22" s="27" t="str">
        <f>IF(C22&gt;=F22,"-","+")</f>
        <v>+</v>
      </c>
      <c r="H22" s="26">
        <f>C22*D22</f>
        <v>1680.48</v>
      </c>
      <c r="I22" s="26">
        <f>F22*D22</f>
        <v>1687.2111783081025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39.4</v>
      </c>
      <c r="D23" s="30">
        <v>27.4</v>
      </c>
      <c r="E23" s="29">
        <f>D23/$D$48</f>
        <v>2.124195674083262E-2</v>
      </c>
      <c r="F23" s="28">
        <f>C23-(C23*$E$6)</f>
        <v>39.557817067349347</v>
      </c>
      <c r="G23" s="27" t="str">
        <f>IF(C23&gt;=F23,"-","+")</f>
        <v>+</v>
      </c>
      <c r="H23" s="26">
        <f>C23*D23</f>
        <v>1079.56</v>
      </c>
      <c r="I23" s="26">
        <f>F23*D23</f>
        <v>1083.8841876453721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45.921664626682997</v>
      </c>
      <c r="D24" s="22">
        <f>SUM(D21:D23)</f>
        <v>81.699999999999989</v>
      </c>
      <c r="E24" s="21">
        <f>D24/$D$48</f>
        <v>6.333824327467244E-2</v>
      </c>
      <c r="F24" s="20">
        <f>I24/D24</f>
        <v>46.105604282499833</v>
      </c>
      <c r="G24" s="19">
        <f>F24/C24-1</f>
        <v>4.0055093235875638E-3</v>
      </c>
      <c r="H24" s="18">
        <f>SUM(H21:H23)</f>
        <v>3751.8</v>
      </c>
      <c r="I24" s="18">
        <f>SUM(I21:I23)</f>
        <v>3766.827869880236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34.4</v>
      </c>
      <c r="D26" s="30">
        <v>261</v>
      </c>
      <c r="E26" s="29">
        <f t="shared" ref="E26:E32" si="7">D26/$D$48</f>
        <v>0.20234126676486547</v>
      </c>
      <c r="F26" s="28">
        <f t="shared" ref="F26:F31" si="8">C26-(C26*$E$6)</f>
        <v>34.537789520731408</v>
      </c>
      <c r="G26" s="27" t="str">
        <f t="shared" ref="G26:G31" si="9">IF(C26&gt;=F26,"-","+")</f>
        <v>+</v>
      </c>
      <c r="H26" s="26">
        <f t="shared" ref="H26:H31" si="10">C26*D26</f>
        <v>8978.4</v>
      </c>
      <c r="I26" s="26">
        <f t="shared" ref="I26:I31" si="11">F26*D26</f>
        <v>9014.3630649108982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30.6</v>
      </c>
      <c r="D27" s="30">
        <v>179.9</v>
      </c>
      <c r="E27" s="29">
        <f t="shared" si="7"/>
        <v>0.13946817582758353</v>
      </c>
      <c r="F27" s="28">
        <f t="shared" si="8"/>
        <v>30.722568585301779</v>
      </c>
      <c r="G27" s="27" t="str">
        <f t="shared" si="9"/>
        <v>+</v>
      </c>
      <c r="H27" s="26">
        <f t="shared" si="10"/>
        <v>5504.9400000000005</v>
      </c>
      <c r="I27" s="26">
        <f t="shared" si="11"/>
        <v>5526.9900884957906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30.6</v>
      </c>
      <c r="D28" s="30">
        <v>122.5</v>
      </c>
      <c r="E28" s="29">
        <f t="shared" si="7"/>
        <v>9.4968602217226139E-2</v>
      </c>
      <c r="F28" s="28">
        <f t="shared" si="8"/>
        <v>30.722568585301779</v>
      </c>
      <c r="G28" s="27" t="str">
        <f t="shared" si="9"/>
        <v>+</v>
      </c>
      <c r="H28" s="26">
        <f t="shared" si="10"/>
        <v>3748.5</v>
      </c>
      <c r="I28" s="26">
        <f t="shared" si="11"/>
        <v>3763.5146516994678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29.6</v>
      </c>
      <c r="D29" s="30">
        <v>126.6</v>
      </c>
      <c r="E29" s="29">
        <f t="shared" si="7"/>
        <v>9.814714318939452E-2</v>
      </c>
      <c r="F29" s="28">
        <f t="shared" si="8"/>
        <v>29.718563075978192</v>
      </c>
      <c r="G29" s="27" t="str">
        <f t="shared" si="9"/>
        <v>+</v>
      </c>
      <c r="H29" s="26">
        <f t="shared" si="10"/>
        <v>3747.36</v>
      </c>
      <c r="I29" s="26">
        <f t="shared" si="11"/>
        <v>3762.3700854188392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29.6</v>
      </c>
      <c r="D30" s="30">
        <v>97.5</v>
      </c>
      <c r="E30" s="29">
        <f t="shared" si="7"/>
        <v>7.5587254825955491E-2</v>
      </c>
      <c r="F30" s="28">
        <f t="shared" si="8"/>
        <v>29.718563075978192</v>
      </c>
      <c r="G30" s="27" t="str">
        <f t="shared" si="9"/>
        <v>+</v>
      </c>
      <c r="H30" s="26">
        <f t="shared" si="10"/>
        <v>2886</v>
      </c>
      <c r="I30" s="26">
        <f t="shared" si="11"/>
        <v>2897.5598999078738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30.1</v>
      </c>
      <c r="D31" s="30">
        <v>19.7</v>
      </c>
      <c r="E31" s="29">
        <f t="shared" si="7"/>
        <v>1.5272501744321263E-2</v>
      </c>
      <c r="F31" s="28">
        <f t="shared" si="8"/>
        <v>30.220565830639988</v>
      </c>
      <c r="G31" s="27" t="str">
        <f t="shared" si="9"/>
        <v>+</v>
      </c>
      <c r="H31" s="26">
        <f t="shared" si="10"/>
        <v>592.97</v>
      </c>
      <c r="I31" s="26">
        <f t="shared" si="11"/>
        <v>595.34514686360774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31.538862735381567</v>
      </c>
      <c r="D32" s="22">
        <f>SUM(D26:D31)</f>
        <v>807.2</v>
      </c>
      <c r="E32" s="21">
        <f t="shared" si="7"/>
        <v>0.62578494456934641</v>
      </c>
      <c r="F32" s="20">
        <f>I32/D32</f>
        <v>31.665191944123489</v>
      </c>
      <c r="G32" s="19">
        <f>F32/C32-1</f>
        <v>4.0055093235875638E-3</v>
      </c>
      <c r="H32" s="18">
        <f>SUM(H26:H31)</f>
        <v>25458.170000000002</v>
      </c>
      <c r="I32" s="18">
        <f>SUM(I26:I31)</f>
        <v>25560.142937296481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18.100000000000001</v>
      </c>
      <c r="D34" s="30">
        <v>198.9</v>
      </c>
      <c r="E34" s="29">
        <f t="shared" ref="E34:E40" si="13">D34/$D$48</f>
        <v>0.15419799984494922</v>
      </c>
      <c r="F34" s="28">
        <f t="shared" ref="F34:F39" si="14">C34-(C34*$E$6)</f>
        <v>18.172499718756935</v>
      </c>
      <c r="G34" s="27" t="str">
        <f t="shared" ref="G34:G39" si="15">IF(C34&gt;=F34,"-","+")</f>
        <v>+</v>
      </c>
      <c r="H34" s="26">
        <f t="shared" ref="H34:H39" si="16">C34*D34</f>
        <v>3600.0900000000006</v>
      </c>
      <c r="I34" s="26">
        <f t="shared" ref="I34:I39" si="17">F34*D34</f>
        <v>3614.5101940607547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13.9</v>
      </c>
      <c r="D35" s="30"/>
      <c r="E35" s="29">
        <f t="shared" si="13"/>
        <v>0</v>
      </c>
      <c r="F35" s="28">
        <f t="shared" si="14"/>
        <v>13.955676579597867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11.2</v>
      </c>
      <c r="D36" s="30"/>
      <c r="E36" s="29">
        <f t="shared" si="13"/>
        <v>0</v>
      </c>
      <c r="F36" s="28">
        <f t="shared" si="14"/>
        <v>11.24486170442418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29.6</v>
      </c>
      <c r="D37" s="30"/>
      <c r="E37" s="29">
        <f t="shared" si="13"/>
        <v>0</v>
      </c>
      <c r="F37" s="28">
        <f t="shared" si="14"/>
        <v>29.718563075978192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29.6</v>
      </c>
      <c r="D38" s="30"/>
      <c r="E38" s="29">
        <f t="shared" si="13"/>
        <v>0</v>
      </c>
      <c r="F38" s="28">
        <f t="shared" si="14"/>
        <v>29.718563075978192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30.6</v>
      </c>
      <c r="D39" s="30"/>
      <c r="E39" s="29">
        <f t="shared" si="13"/>
        <v>0</v>
      </c>
      <c r="F39" s="28">
        <f t="shared" si="14"/>
        <v>30.722568585301779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18.100000000000001</v>
      </c>
      <c r="D40" s="22">
        <f>SUM(D34:D39)</f>
        <v>198.9</v>
      </c>
      <c r="E40" s="21">
        <f t="shared" si="13"/>
        <v>0.15419799984494922</v>
      </c>
      <c r="F40" s="20">
        <f>I40/D40</f>
        <v>18.172499718756935</v>
      </c>
      <c r="G40" s="19">
        <f>F40/C40-1</f>
        <v>4.0055093235875638E-3</v>
      </c>
      <c r="H40" s="18">
        <f>SUM(H34:H39)</f>
        <v>3600.0900000000006</v>
      </c>
      <c r="I40" s="18">
        <f>SUM(I34:I39)</f>
        <v>3614.5101940607547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193</v>
      </c>
      <c r="E42" s="107">
        <f>D42/$D$48</f>
        <v>0.14962400186060934</v>
      </c>
      <c r="F42" s="28">
        <f>C42-(C42*$E$6)</f>
        <v>0.40160220372943506</v>
      </c>
      <c r="G42" s="27" t="str">
        <f>IF(C42&gt;=F42,"-","+")</f>
        <v>+</v>
      </c>
      <c r="H42" s="26">
        <f>C42*D42</f>
        <v>77.2</v>
      </c>
      <c r="I42" s="26">
        <f>F42*D42</f>
        <v>77.509225319780967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6.1</v>
      </c>
      <c r="E43" s="107">
        <f>D43/$D$48</f>
        <v>4.7290487634700359E-3</v>
      </c>
      <c r="F43" s="28">
        <f>C43-(C43*$E$6)</f>
        <v>0.40160220372943506</v>
      </c>
      <c r="G43" s="27" t="str">
        <f>IF(C43&gt;=F43,"-","+")</f>
        <v>+</v>
      </c>
      <c r="H43" s="26">
        <f>C43*D43</f>
        <v>2.44</v>
      </c>
      <c r="I43" s="26">
        <f>F43*D43</f>
        <v>2.4497734427495539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0.9</v>
      </c>
      <c r="E44" s="107">
        <f>D44/$D$48</f>
        <v>6.9772850608574308E-4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2.1</v>
      </c>
      <c r="E45" s="107">
        <f>D45/$D$48</f>
        <v>1.6280331808667338E-3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0.39406234537357743</v>
      </c>
      <c r="D46" s="22">
        <f>SUM(D41:D45)</f>
        <v>202.1</v>
      </c>
      <c r="E46" s="113">
        <f>D46/$D$48</f>
        <v>0.15667881231103184</v>
      </c>
      <c r="F46" s="20">
        <f>I46/D46</f>
        <v>0.39564076577204615</v>
      </c>
      <c r="G46" s="19">
        <f>F46/C46-1</f>
        <v>4.0055093235877859E-3</v>
      </c>
      <c r="H46" s="18">
        <f>SUM(H41:H44)</f>
        <v>79.64</v>
      </c>
      <c r="I46" s="18">
        <f>SUM(I41:I44)</f>
        <v>79.958998762530527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95.954589707438146</v>
      </c>
      <c r="D48" s="13">
        <f>D24+D32+D40+D46</f>
        <v>1289.9000000000001</v>
      </c>
      <c r="E48" s="12">
        <f>SUM(E20:E46)/2</f>
        <v>1</v>
      </c>
      <c r="F48" s="11">
        <f>I48/D48</f>
        <v>25.6</v>
      </c>
      <c r="G48" s="10"/>
      <c r="H48" s="9">
        <f>SUM(H20:H46)/2</f>
        <v>32889.700000000004</v>
      </c>
      <c r="I48" s="9">
        <f>SUM(I20:I46)/2</f>
        <v>33021.440000000002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1289.9000000000001</v>
      </c>
      <c r="E50" s="12">
        <f>D50/G2</f>
        <v>1</v>
      </c>
      <c r="F50" s="11">
        <f>I50/D50</f>
        <v>25.6</v>
      </c>
      <c r="G50" s="10"/>
      <c r="H50" s="9">
        <f>H48+H19</f>
        <v>32889.700000000004</v>
      </c>
      <c r="I50" s="9">
        <f>I48+I19</f>
        <v>33021.440000000002</v>
      </c>
      <c r="J50" s="106">
        <f>D50-G2</f>
        <v>0</v>
      </c>
      <c r="K50" s="8"/>
    </row>
    <row r="51" spans="1:11" ht="23.25" x14ac:dyDescent="0.35">
      <c r="A51" s="174" t="s">
        <v>911</v>
      </c>
      <c r="B51" s="169"/>
      <c r="C51" s="170"/>
      <c r="G51" s="7"/>
      <c r="H51" s="6"/>
      <c r="I51" s="6">
        <f>+I50/D50</f>
        <v>25.6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>
    <tabColor rgb="FF92D050"/>
  </sheetPr>
  <dimension ref="A1:K56"/>
  <sheetViews>
    <sheetView workbookViewId="0"/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908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908</v>
      </c>
      <c r="D2" s="96" t="s">
        <v>3</v>
      </c>
      <c r="E2" s="95" t="s">
        <v>71</v>
      </c>
      <c r="F2" s="94" t="s">
        <v>5</v>
      </c>
      <c r="G2" s="116">
        <v>10549.36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124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85.075483870967744</v>
      </c>
      <c r="F4" s="81" t="s">
        <v>12</v>
      </c>
      <c r="G4" s="80">
        <f>G2*G3</f>
        <v>298019.42000000004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8.7544560734875709E-3</v>
      </c>
      <c r="F6" s="69" t="s">
        <v>16</v>
      </c>
      <c r="G6" s="68">
        <f>(I50-I19)/(D50-(SUM(D42:D44)+D19))</f>
        <v>33.408001703921272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28.052248893120304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29.142618991439463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26.664505131623184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29.142618991439463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32.611978395182255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26.862754240408488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36.775209679673615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54.12200669838758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47.480661554079944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143.69999999999999</v>
      </c>
      <c r="E21" s="29">
        <f>D21/$D$48</f>
        <v>1.3621756893822336E-2</v>
      </c>
      <c r="F21" s="28">
        <f>C21-(C21*$E$6)</f>
        <v>70.378433618782381</v>
      </c>
      <c r="G21" s="27" t="str">
        <f>IF(C21&gt;=F21,"-","+")</f>
        <v>-</v>
      </c>
      <c r="H21" s="26">
        <f>C21*D21</f>
        <v>10202.699999999999</v>
      </c>
      <c r="I21" s="26">
        <f>F21*D21</f>
        <v>10113.380911019027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297.2</v>
      </c>
      <c r="E22" s="29">
        <f>D22/$D$48</f>
        <v>2.8172485378176747E-2</v>
      </c>
      <c r="F22" s="28">
        <f>C22-(C22*$E$6)</f>
        <v>47.282412445294646</v>
      </c>
      <c r="G22" s="27" t="str">
        <f>IF(C22&gt;=F22,"-","+")</f>
        <v>-</v>
      </c>
      <c r="H22" s="26">
        <f>C22*D22</f>
        <v>14176.44</v>
      </c>
      <c r="I22" s="26">
        <f>F22*D22</f>
        <v>14052.332978741568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282.89999999999998</v>
      </c>
      <c r="E23" s="29">
        <f>D23/$D$48</f>
        <v>2.6816945200155456E-2</v>
      </c>
      <c r="F23" s="28">
        <f>C23-(C23*$E$6)</f>
        <v>43.119181160803294</v>
      </c>
      <c r="G23" s="27" t="str">
        <f>IF(C23&gt;=F23,"-","+")</f>
        <v>-</v>
      </c>
      <c r="H23" s="26">
        <f>C23*D23</f>
        <v>12306.15</v>
      </c>
      <c r="I23" s="26">
        <f>F23*D23</f>
        <v>12198.416350391251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50.684291240674227</v>
      </c>
      <c r="D24" s="22">
        <f>SUM(D21:D23)</f>
        <v>723.8</v>
      </c>
      <c r="E24" s="21">
        <f>D24/$D$48</f>
        <v>6.8611187472154542E-2</v>
      </c>
      <c r="F24" s="20">
        <f>I24/D24</f>
        <v>50.240577839391889</v>
      </c>
      <c r="G24" s="19">
        <f>F24/C24-1</f>
        <v>-8.754456073487682E-3</v>
      </c>
      <c r="H24" s="18">
        <f>SUM(H21:H23)</f>
        <v>36685.29</v>
      </c>
      <c r="I24" s="18">
        <f>SUM(I21:I23)</f>
        <v>36364.130240151848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v>2213.8000000000002</v>
      </c>
      <c r="E26" s="29">
        <f t="shared" ref="E26:E32" si="7">D26/$D$48</f>
        <v>0.20985278644080649</v>
      </c>
      <c r="F26" s="28">
        <f t="shared" ref="F26:F31" si="8">C26-(C26*$E$6)</f>
        <v>37.568206114814821</v>
      </c>
      <c r="G26" s="27" t="str">
        <f t="shared" ref="G26:G31" si="9">IF(C26&gt;=F26,"-","+")</f>
        <v>-</v>
      </c>
      <c r="H26" s="26">
        <f t="shared" ref="H26:H31" si="10">C26*D26</f>
        <v>83903.02</v>
      </c>
      <c r="I26" s="26">
        <f t="shared" ref="I26:I31" si="11">F26*D26</f>
        <v>83168.494696977054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1533.7</v>
      </c>
      <c r="E27" s="29">
        <f t="shared" si="7"/>
        <v>0.14538405391826945</v>
      </c>
      <c r="F27" s="28">
        <f t="shared" si="8"/>
        <v>33.50409938471612</v>
      </c>
      <c r="G27" s="27" t="str">
        <f t="shared" si="9"/>
        <v>-</v>
      </c>
      <c r="H27" s="26">
        <f t="shared" si="10"/>
        <v>51839.06</v>
      </c>
      <c r="I27" s="26">
        <f t="shared" si="11"/>
        <v>51385.237226339115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1030.5</v>
      </c>
      <c r="E28" s="29">
        <f t="shared" si="7"/>
        <v>9.7684206535030751E-2</v>
      </c>
      <c r="F28" s="28">
        <f t="shared" si="8"/>
        <v>33.50409938471612</v>
      </c>
      <c r="G28" s="27" t="str">
        <f t="shared" si="9"/>
        <v>-</v>
      </c>
      <c r="H28" s="26">
        <f t="shared" si="10"/>
        <v>34830.899999999994</v>
      </c>
      <c r="I28" s="26">
        <f t="shared" si="11"/>
        <v>34525.974415949961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799.3</v>
      </c>
      <c r="E29" s="29">
        <f t="shared" si="7"/>
        <v>7.5768060440029178E-2</v>
      </c>
      <c r="F29" s="28">
        <f t="shared" si="8"/>
        <v>32.314604732004305</v>
      </c>
      <c r="G29" s="27" t="str">
        <f t="shared" si="9"/>
        <v>-</v>
      </c>
      <c r="H29" s="26">
        <f t="shared" si="10"/>
        <v>26057.18</v>
      </c>
      <c r="I29" s="26">
        <f t="shared" si="11"/>
        <v>25829.063562291041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791.3</v>
      </c>
      <c r="E30" s="29">
        <f t="shared" si="7"/>
        <v>7.5009716284492794E-2</v>
      </c>
      <c r="F30" s="28">
        <f t="shared" si="8"/>
        <v>32.314604732004305</v>
      </c>
      <c r="G30" s="27" t="str">
        <f t="shared" si="9"/>
        <v>-</v>
      </c>
      <c r="H30" s="26">
        <f t="shared" si="10"/>
        <v>25796.38</v>
      </c>
      <c r="I30" s="26">
        <f t="shared" si="11"/>
        <v>25570.546724435004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320.39999999999998</v>
      </c>
      <c r="E31" s="29">
        <f t="shared" si="7"/>
        <v>3.0371683429232264E-2</v>
      </c>
      <c r="F31" s="28">
        <f t="shared" si="8"/>
        <v>32.909352058360213</v>
      </c>
      <c r="G31" s="27" t="str">
        <f t="shared" si="9"/>
        <v>-</v>
      </c>
      <c r="H31" s="26">
        <f t="shared" si="10"/>
        <v>10637.28</v>
      </c>
      <c r="I31" s="26">
        <f t="shared" si="11"/>
        <v>10544.156399498612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34.842849454328004</v>
      </c>
      <c r="D32" s="22">
        <f>SUM(D26:D31)</f>
        <v>6689</v>
      </c>
      <c r="E32" s="21">
        <f t="shared" si="7"/>
        <v>0.63407050704786094</v>
      </c>
      <c r="F32" s="20">
        <f>I32/D32</f>
        <v>34.537819259304946</v>
      </c>
      <c r="G32" s="19">
        <f>F32/C32-1</f>
        <v>-8.754456073487682E-3</v>
      </c>
      <c r="H32" s="18">
        <f>SUM(H26:H31)</f>
        <v>233063.82</v>
      </c>
      <c r="I32" s="18">
        <f>SUM(I26:I31)</f>
        <v>231023.47302549076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1504.4</v>
      </c>
      <c r="E34" s="29">
        <f t="shared" ref="E34:E40" si="13">D34/$D$48</f>
        <v>0.14260661844861744</v>
      </c>
      <c r="F34" s="28">
        <f t="shared" ref="F34:F39" si="14">C34-(C34*$E$6)</f>
        <v>19.824910878530247</v>
      </c>
      <c r="G34" s="27" t="str">
        <f t="shared" ref="G34:G39" si="15">IF(C34&gt;=F34,"-","+")</f>
        <v>-</v>
      </c>
      <c r="H34" s="26">
        <f t="shared" ref="H34:H39" si="16">C34*D34</f>
        <v>30088</v>
      </c>
      <c r="I34" s="26">
        <f t="shared" ref="I34:I39" si="17">F34*D34</f>
        <v>29824.595925660906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15.265181376468291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12.192320190296103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32.314604732004305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32.314604732004305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33.50409938471612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1504.4</v>
      </c>
      <c r="E40" s="113">
        <f t="shared" si="13"/>
        <v>0.14260661844861744</v>
      </c>
      <c r="F40" s="20">
        <f>I40/D40</f>
        <v>19.824910878530247</v>
      </c>
      <c r="G40" s="19">
        <f>F40/C40-1</f>
        <v>-8.754456073487682E-3</v>
      </c>
      <c r="H40" s="18">
        <f>SUM(H34:H39)</f>
        <v>30088</v>
      </c>
      <c r="I40" s="18">
        <f>SUM(I34:I39)</f>
        <v>29824.595925660906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1560</v>
      </c>
      <c r="E42" s="107">
        <f>D42/$D$48</f>
        <v>0.1478771103295953</v>
      </c>
      <c r="F42" s="28">
        <f>C42-(C42*$E$6)</f>
        <v>0.49562277196325621</v>
      </c>
      <c r="G42" s="27" t="str">
        <f>IF(C42&gt;=F42,"-","+")</f>
        <v>-</v>
      </c>
      <c r="H42" s="26">
        <f>C42*D42</f>
        <v>780</v>
      </c>
      <c r="I42" s="26">
        <f>F42*D42</f>
        <v>773.17152426267967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68.7</v>
      </c>
      <c r="E43" s="107">
        <f>D43/$D$48</f>
        <v>6.5122804356687169E-3</v>
      </c>
      <c r="F43" s="28">
        <f>C43-(C43*$E$6)</f>
        <v>0.49562277196325621</v>
      </c>
      <c r="G43" s="27" t="str">
        <f>IF(C43&gt;=F43,"-","+")</f>
        <v>-</v>
      </c>
      <c r="H43" s="26">
        <f>C43*D43</f>
        <v>34.35</v>
      </c>
      <c r="I43" s="26">
        <f>F43*D43</f>
        <v>34.049284433875705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3.4</v>
      </c>
      <c r="E45" s="107">
        <f>D45/$D$48</f>
        <v>3.2229626610296412E-4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0.49895839715703694</v>
      </c>
      <c r="D46" s="22">
        <f>SUM(D41:D45)</f>
        <v>1632.1000000000001</v>
      </c>
      <c r="E46" s="113">
        <f>D46/$D$48</f>
        <v>0.15471168703136701</v>
      </c>
      <c r="F46" s="20">
        <f>I46/D46</f>
        <v>0.49459028778662789</v>
      </c>
      <c r="G46" s="19">
        <f>F46/C46-1</f>
        <v>-8.7544560734875709E-3</v>
      </c>
      <c r="H46" s="18">
        <f>SUM(H41:H44)</f>
        <v>814.35</v>
      </c>
      <c r="I46" s="18">
        <f>SUM(I41:I44)</f>
        <v>807.22080869655542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106.02609909215927</v>
      </c>
      <c r="D48" s="13">
        <f>D24+D32+D40+D46</f>
        <v>10549.300000000001</v>
      </c>
      <c r="E48" s="12">
        <f>SUM(E20:E46)/2</f>
        <v>0.99999999999999978</v>
      </c>
      <c r="F48" s="11">
        <f>I48/D48</f>
        <v>28.250160674167962</v>
      </c>
      <c r="G48" s="10"/>
      <c r="H48" s="9">
        <f>SUM(H20:H46)/2</f>
        <v>300651.45999999996</v>
      </c>
      <c r="I48" s="9">
        <f>SUM(I20:I46)/2</f>
        <v>298019.4200000001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10549.300000000001</v>
      </c>
      <c r="E50" s="12">
        <f>D50/G2</f>
        <v>0.99999431245118187</v>
      </c>
      <c r="F50" s="11">
        <f>I50/D50</f>
        <v>28.250160674167962</v>
      </c>
      <c r="G50" s="10"/>
      <c r="H50" s="9">
        <f>H48+H19</f>
        <v>300651.45999999996</v>
      </c>
      <c r="I50" s="9">
        <f>I48+I19</f>
        <v>298019.4200000001</v>
      </c>
      <c r="J50" s="106">
        <f>D50-G2</f>
        <v>-5.9999999999490683E-2</v>
      </c>
      <c r="K50" s="8"/>
    </row>
    <row r="51" spans="1:11" ht="23.25" x14ac:dyDescent="0.35">
      <c r="A51" s="174" t="s">
        <v>912</v>
      </c>
      <c r="B51" s="169"/>
      <c r="C51" s="170"/>
      <c r="G51" s="7"/>
      <c r="H51" s="6"/>
      <c r="I51" s="6">
        <f>+I50/D50</f>
        <v>28.250160674167962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>
    <tabColor rgb="FF92D050"/>
  </sheetPr>
  <dimension ref="A1:K56"/>
  <sheetViews>
    <sheetView workbookViewId="0">
      <selection activeCell="M6" sqref="M6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908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908</v>
      </c>
      <c r="D2" s="96" t="s">
        <v>3</v>
      </c>
      <c r="E2" s="95" t="s">
        <v>71</v>
      </c>
      <c r="F2" s="94" t="s">
        <v>5</v>
      </c>
      <c r="G2" s="116">
        <v>8892.6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112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79.398214285714289</v>
      </c>
      <c r="F4" s="81" t="s">
        <v>12</v>
      </c>
      <c r="G4" s="80">
        <f>G2*G3</f>
        <v>251215.95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9.2680793743575851E-3</v>
      </c>
      <c r="F6" s="69" t="s">
        <v>16</v>
      </c>
      <c r="G6" s="68">
        <f>(I50-I19)/(D50-(SUM(D42:D44)+D19))</f>
        <v>33.658471513773605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>
        <f t="shared" ref="E10:E19" si="1">D10/$D$19</f>
        <v>0</v>
      </c>
      <c r="F10" s="28">
        <f t="shared" ref="F10:F18" si="2">C10-(C10*$E$6)</f>
        <v>28.03771335370568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>
        <f t="shared" si="1"/>
        <v>0</v>
      </c>
      <c r="F11" s="28">
        <f t="shared" si="2"/>
        <v>29.127518466393887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>
        <v>435.4</v>
      </c>
      <c r="E12" s="29">
        <f t="shared" si="1"/>
        <v>0.82728481854455638</v>
      </c>
      <c r="F12" s="28">
        <f t="shared" si="2"/>
        <v>26.650688664829779</v>
      </c>
      <c r="G12" s="27" t="str">
        <f t="shared" si="3"/>
        <v>-</v>
      </c>
      <c r="H12" s="34">
        <f t="shared" si="4"/>
        <v>11712.259999999998</v>
      </c>
      <c r="I12" s="34">
        <f t="shared" si="5"/>
        <v>11603.709844666886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>
        <f t="shared" si="1"/>
        <v>0</v>
      </c>
      <c r="F13" s="28">
        <f t="shared" si="2"/>
        <v>29.127518466393887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>
        <v>90.9</v>
      </c>
      <c r="E14" s="29">
        <f t="shared" si="1"/>
        <v>0.17271518145544368</v>
      </c>
      <c r="F14" s="28">
        <f t="shared" si="2"/>
        <v>32.595080188583637</v>
      </c>
      <c r="G14" s="27" t="str">
        <f t="shared" si="3"/>
        <v>-</v>
      </c>
      <c r="H14" s="34">
        <f t="shared" si="4"/>
        <v>2990.61</v>
      </c>
      <c r="I14" s="34">
        <f t="shared" si="5"/>
        <v>2962.8927891422527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>
        <f t="shared" si="1"/>
        <v>0</v>
      </c>
      <c r="F15" s="28">
        <f t="shared" si="2"/>
        <v>26.848835048954911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36.756154255211335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>
        <f t="shared" si="1"/>
        <v>0</v>
      </c>
      <c r="F17" s="28">
        <f t="shared" si="2"/>
        <v>54.093962866160076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>
        <f t="shared" si="1"/>
        <v>0</v>
      </c>
      <c r="F18" s="28">
        <f t="shared" si="2"/>
        <v>47.45605899796827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27.936291088732663</v>
      </c>
      <c r="D19" s="49">
        <f>SUM(D10:D18)</f>
        <v>526.29999999999995</v>
      </c>
      <c r="E19" s="48">
        <f t="shared" si="1"/>
        <v>1</v>
      </c>
      <c r="F19" s="47">
        <f>I19/D19</f>
        <v>27.677375325497131</v>
      </c>
      <c r="G19" s="46">
        <f>F19/C19-1</f>
        <v>-9.2680793743575851E-3</v>
      </c>
      <c r="H19" s="9">
        <f>SUM(H10:H18)</f>
        <v>14702.869999999999</v>
      </c>
      <c r="I19" s="9">
        <f>SUM(I10:I18)</f>
        <v>14566.60263380914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102.5</v>
      </c>
      <c r="E21" s="29">
        <f>D21/$D$48</f>
        <v>1.2251240064543119E-2</v>
      </c>
      <c r="F21" s="28">
        <f>C21-(C21*$E$6)</f>
        <v>70.341966364420614</v>
      </c>
      <c r="G21" s="27" t="str">
        <f>IF(C21&gt;=F21,"-","+")</f>
        <v>-</v>
      </c>
      <c r="H21" s="26">
        <f>C21*D21</f>
        <v>7277.5</v>
      </c>
      <c r="I21" s="26">
        <f>F21*D21</f>
        <v>7210.051552353113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266.5</v>
      </c>
      <c r="E22" s="29">
        <f>D22/$D$48</f>
        <v>3.1853224167812111E-2</v>
      </c>
      <c r="F22" s="28">
        <f>C22-(C22*$E$6)</f>
        <v>47.257912613843146</v>
      </c>
      <c r="G22" s="27" t="str">
        <f>IF(C22&gt;=F22,"-","+")</f>
        <v>-</v>
      </c>
      <c r="H22" s="26">
        <f>C22*D22</f>
        <v>12712.050000000001</v>
      </c>
      <c r="I22" s="26">
        <f>F22*D22</f>
        <v>12594.233711589199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188.4</v>
      </c>
      <c r="E23" s="29">
        <f>D23/$D$48</f>
        <v>2.2518376860096816E-2</v>
      </c>
      <c r="F23" s="28">
        <f>C23-(C23*$E$6)</f>
        <v>43.096838547215448</v>
      </c>
      <c r="G23" s="27" t="str">
        <f>IF(C23&gt;=F23,"-","+")</f>
        <v>-</v>
      </c>
      <c r="H23" s="26">
        <f>C23*D23</f>
        <v>8195.4</v>
      </c>
      <c r="I23" s="26">
        <f>F23*D23</f>
        <v>8119.4443822953908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50.56503408683173</v>
      </c>
      <c r="D24" s="22">
        <f>SUM(D21:D23)</f>
        <v>557.4</v>
      </c>
      <c r="E24" s="21">
        <f>D24/$D$48</f>
        <v>6.6622841092452034E-2</v>
      </c>
      <c r="F24" s="20">
        <f>I24/D24</f>
        <v>50.09639333734787</v>
      </c>
      <c r="G24" s="19">
        <f>F24/C24-1</f>
        <v>-9.2680793743576961E-3</v>
      </c>
      <c r="H24" s="18">
        <f>SUM(H21:H23)</f>
        <v>28184.950000000004</v>
      </c>
      <c r="I24" s="18">
        <f>SUM(I21:I23)</f>
        <v>27923.729646237702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f>347.9+109.2+1207.8</f>
        <v>1664.8999999999999</v>
      </c>
      <c r="E26" s="29">
        <f t="shared" ref="E26:E32" si="7">D26/$D$48</f>
        <v>0.19899599593617401</v>
      </c>
      <c r="F26" s="28">
        <f t="shared" ref="F26:F31" si="8">C26-(C26*$E$6)</f>
        <v>37.548739791711846</v>
      </c>
      <c r="G26" s="27" t="str">
        <f t="shared" ref="G26:G31" si="9">IF(C26&gt;=F26,"-","+")</f>
        <v>-</v>
      </c>
      <c r="H26" s="26">
        <f t="shared" ref="H26:H31" si="10">C26*D26</f>
        <v>63099.709999999992</v>
      </c>
      <c r="I26" s="26">
        <f t="shared" ref="I26:I31" si="11">F26*D26</f>
        <v>62514.896879221043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1328.6</v>
      </c>
      <c r="E27" s="29">
        <f t="shared" si="7"/>
        <v>0.15879997609514132</v>
      </c>
      <c r="F27" s="28">
        <f t="shared" si="8"/>
        <v>33.48673891714671</v>
      </c>
      <c r="G27" s="27" t="str">
        <f t="shared" si="9"/>
        <v>-</v>
      </c>
      <c r="H27" s="26">
        <f t="shared" si="10"/>
        <v>44906.679999999993</v>
      </c>
      <c r="I27" s="26">
        <f t="shared" si="11"/>
        <v>44490.481325321118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860.9</v>
      </c>
      <c r="E28" s="29">
        <f t="shared" si="7"/>
        <v>0.10289846411283093</v>
      </c>
      <c r="F28" s="28">
        <f t="shared" si="8"/>
        <v>33.48673891714671</v>
      </c>
      <c r="G28" s="27" t="str">
        <f t="shared" si="9"/>
        <v>-</v>
      </c>
      <c r="H28" s="26">
        <f t="shared" si="10"/>
        <v>29098.42</v>
      </c>
      <c r="I28" s="26">
        <f t="shared" si="11"/>
        <v>28828.733533771603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878.2</v>
      </c>
      <c r="E29" s="29">
        <f t="shared" si="7"/>
        <v>0.10496623438713919</v>
      </c>
      <c r="F29" s="28">
        <f t="shared" si="8"/>
        <v>32.297860612395944</v>
      </c>
      <c r="G29" s="27" t="str">
        <f t="shared" si="9"/>
        <v>-</v>
      </c>
      <c r="H29" s="26">
        <f t="shared" si="10"/>
        <v>28629.320000000003</v>
      </c>
      <c r="I29" s="26">
        <f t="shared" si="11"/>
        <v>28363.98118980612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604.6</v>
      </c>
      <c r="E30" s="29">
        <f t="shared" si="7"/>
        <v>7.2264387736807503E-2</v>
      </c>
      <c r="F30" s="28">
        <f t="shared" si="8"/>
        <v>32.297860612395944</v>
      </c>
      <c r="G30" s="27" t="str">
        <f t="shared" si="9"/>
        <v>-</v>
      </c>
      <c r="H30" s="26">
        <f t="shared" si="10"/>
        <v>19709.960000000003</v>
      </c>
      <c r="I30" s="26">
        <f t="shared" si="11"/>
        <v>19527.286526254589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148.30000000000001</v>
      </c>
      <c r="E31" s="29">
        <f t="shared" si="7"/>
        <v>1.7725452698260924E-2</v>
      </c>
      <c r="F31" s="28">
        <f t="shared" si="8"/>
        <v>32.89229976477133</v>
      </c>
      <c r="G31" s="27" t="str">
        <f t="shared" si="9"/>
        <v>-</v>
      </c>
      <c r="H31" s="26">
        <f t="shared" si="10"/>
        <v>4923.5600000000004</v>
      </c>
      <c r="I31" s="26">
        <f t="shared" si="11"/>
        <v>4877.9280551155889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34.703791814784424</v>
      </c>
      <c r="D32" s="22">
        <f>SUM(D26:D31)</f>
        <v>5485.5000000000009</v>
      </c>
      <c r="E32" s="21">
        <f t="shared" si="7"/>
        <v>0.65565051096635407</v>
      </c>
      <c r="F32" s="20">
        <f>I32/D32</f>
        <v>34.382154317653821</v>
      </c>
      <c r="G32" s="19">
        <f>F32/C32-1</f>
        <v>-9.2680793743575851E-3</v>
      </c>
      <c r="H32" s="18">
        <f>SUM(H26:H31)</f>
        <v>190367.65</v>
      </c>
      <c r="I32" s="18">
        <f>SUM(I26:I31)</f>
        <v>188603.30750949006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982.2</v>
      </c>
      <c r="E34" s="29">
        <f t="shared" ref="E34:E40" si="13">D34/$D$48</f>
        <v>0.11739676089165123</v>
      </c>
      <c r="F34" s="28">
        <f t="shared" ref="F34:F39" si="14">C34-(C34*$E$6)</f>
        <v>19.814638412512849</v>
      </c>
      <c r="G34" s="27" t="str">
        <f t="shared" ref="G34:G39" si="15">IF(C34&gt;=F34,"-","+")</f>
        <v>-</v>
      </c>
      <c r="H34" s="26">
        <f t="shared" ref="H34:H39" si="16">C34*D34</f>
        <v>19644</v>
      </c>
      <c r="I34" s="26">
        <f t="shared" ref="I34:I39" si="17">F34*D34</f>
        <v>19461.937848770121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15.257271577634894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12.186002623695403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32.297860612395944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32.297860612395944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33.48673891714671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982.2</v>
      </c>
      <c r="E40" s="113">
        <f t="shared" si="13"/>
        <v>0.11739676089165123</v>
      </c>
      <c r="F40" s="20">
        <f>I40/D40</f>
        <v>19.814638412512849</v>
      </c>
      <c r="G40" s="19">
        <f>F40/C40-1</f>
        <v>-9.2680793743575851E-3</v>
      </c>
      <c r="H40" s="18">
        <f>SUM(H34:H39)</f>
        <v>19644</v>
      </c>
      <c r="I40" s="18">
        <f>SUM(I34:I39)</f>
        <v>19461.937848770121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1276</v>
      </c>
      <c r="E42" s="107">
        <f>D42/$D$48</f>
        <v>0.15251299826689774</v>
      </c>
      <c r="F42" s="28">
        <f>C42-(C42*$E$6)</f>
        <v>0.49536596031282121</v>
      </c>
      <c r="G42" s="27" t="str">
        <f>IF(C42&gt;=F42,"-","+")</f>
        <v>-</v>
      </c>
      <c r="H42" s="26">
        <f>C42*D42</f>
        <v>638</v>
      </c>
      <c r="I42" s="26">
        <f>F42*D42</f>
        <v>632.08696535915988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57.1</v>
      </c>
      <c r="E43" s="107">
        <f>D43/$D$48</f>
        <v>6.824837148150362E-3</v>
      </c>
      <c r="F43" s="28">
        <f>C43-(C43*$E$6)</f>
        <v>0.49536596031282121</v>
      </c>
      <c r="G43" s="27" t="str">
        <f>IF(C43&gt;=F43,"-","+")</f>
        <v>-</v>
      </c>
      <c r="H43" s="26">
        <f>C43*D43</f>
        <v>28.55</v>
      </c>
      <c r="I43" s="26">
        <f>F43*D43</f>
        <v>28.285396333862092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2.5</v>
      </c>
      <c r="E44" s="107">
        <f>D44/$D$48</f>
        <v>2.9881073328153949E-4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5.8</v>
      </c>
      <c r="E45" s="107">
        <f>D45/$D$48</f>
        <v>6.932409012131716E-4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0.49690621738482182</v>
      </c>
      <c r="D46" s="22">
        <f>SUM(D41:D45)</f>
        <v>1341.3999999999999</v>
      </c>
      <c r="E46" s="113">
        <f>D46/$D$48</f>
        <v>0.16032988704954279</v>
      </c>
      <c r="F46" s="20">
        <f>I46/D46</f>
        <v>0.49230085112048755</v>
      </c>
      <c r="G46" s="19">
        <f>F46/C46-1</f>
        <v>-9.2680793743574741E-3</v>
      </c>
      <c r="H46" s="18">
        <f>SUM(H41:H44)</f>
        <v>666.55</v>
      </c>
      <c r="I46" s="18">
        <f>SUM(I41:I44)</f>
        <v>660.37236169302196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105.76573211900097</v>
      </c>
      <c r="D48" s="13">
        <f>D24+D32+D40+D46</f>
        <v>8366.5</v>
      </c>
      <c r="E48" s="12">
        <f>SUM(E20:E46)/2</f>
        <v>1.0000000000000002</v>
      </c>
      <c r="F48" s="11">
        <f>I48/D48</f>
        <v>28.285346006835702</v>
      </c>
      <c r="G48" s="10"/>
      <c r="H48" s="9">
        <f>SUM(H20:H46)/2</f>
        <v>238863.14999999997</v>
      </c>
      <c r="I48" s="9">
        <f>SUM(I20:I46)/2</f>
        <v>236649.34736619089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8892.8000000000011</v>
      </c>
      <c r="E50" s="12">
        <f>D50/G2</f>
        <v>1.0000224906101702</v>
      </c>
      <c r="F50" s="11">
        <f>I50/D50</f>
        <v>28.249364654551997</v>
      </c>
      <c r="G50" s="10"/>
      <c r="H50" s="9">
        <f>H48+H19</f>
        <v>253566.01999999996</v>
      </c>
      <c r="I50" s="9">
        <f>I48+I19</f>
        <v>251215.95000000004</v>
      </c>
      <c r="J50" s="106">
        <f>D50-G2</f>
        <v>0.2000000000007276</v>
      </c>
      <c r="K50" s="8"/>
    </row>
    <row r="51" spans="1:11" ht="23.25" x14ac:dyDescent="0.35">
      <c r="A51" s="174" t="s">
        <v>913</v>
      </c>
      <c r="B51" s="169"/>
      <c r="C51" s="170"/>
      <c r="G51" s="7"/>
      <c r="H51" s="6"/>
      <c r="I51" s="6">
        <f>+I50/D50</f>
        <v>28.249364654551997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>
    <tabColor rgb="FF92D050"/>
  </sheetPr>
  <dimension ref="A1:K56"/>
  <sheetViews>
    <sheetView workbookViewId="0">
      <selection activeCell="L15" sqref="L15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908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914</v>
      </c>
      <c r="D2" s="96" t="s">
        <v>3</v>
      </c>
      <c r="E2" s="95" t="s">
        <v>112</v>
      </c>
      <c r="F2" s="94" t="s">
        <v>5</v>
      </c>
      <c r="G2" s="93">
        <v>3617.4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52</v>
      </c>
      <c r="F3" s="88" t="s">
        <v>8</v>
      </c>
      <c r="G3" s="87">
        <v>25.25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69.565384615384616</v>
      </c>
      <c r="F4" s="81" t="s">
        <v>12</v>
      </c>
      <c r="G4" s="80">
        <f>G2*G3</f>
        <v>91339.35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-6.9722161875388267E-2</v>
      </c>
      <c r="F6" s="69" t="s">
        <v>16</v>
      </c>
      <c r="G6" s="68">
        <f>(I50-I19)/(D50-(SUM(D42:D44)+D19))</f>
        <v>31.792351189918051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25.3</v>
      </c>
      <c r="D10" s="30"/>
      <c r="E10" s="29">
        <f t="shared" ref="E10:E19" si="1">D10/$D$19</f>
        <v>0</v>
      </c>
      <c r="F10" s="28">
        <f t="shared" ref="F10:F18" si="2">C10-(C10*$E$6)</f>
        <v>27.063970695447324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26.3</v>
      </c>
      <c r="D11" s="30"/>
      <c r="E11" s="29">
        <f t="shared" si="1"/>
        <v>0</v>
      </c>
      <c r="F11" s="28">
        <f t="shared" si="2"/>
        <v>28.133692857322711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</v>
      </c>
      <c r="D12" s="30"/>
      <c r="E12" s="29">
        <f t="shared" si="1"/>
        <v>0</v>
      </c>
      <c r="F12" s="28">
        <f t="shared" si="2"/>
        <v>25.673331885009318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26.3</v>
      </c>
      <c r="D13" s="30"/>
      <c r="E13" s="29">
        <f t="shared" si="1"/>
        <v>0</v>
      </c>
      <c r="F13" s="28">
        <f t="shared" si="2"/>
        <v>28.133692857322711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29.4</v>
      </c>
      <c r="D14" s="30"/>
      <c r="E14" s="29">
        <f t="shared" si="1"/>
        <v>0</v>
      </c>
      <c r="F14" s="28">
        <f t="shared" si="2"/>
        <v>31.449831559136413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24.2</v>
      </c>
      <c r="D15" s="30"/>
      <c r="E15" s="29">
        <f t="shared" si="1"/>
        <v>0</v>
      </c>
      <c r="F15" s="28">
        <f t="shared" si="2"/>
        <v>25.887276317384394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33.200000000000003</v>
      </c>
      <c r="D16" s="30"/>
      <c r="E16" s="29">
        <f t="shared" si="1"/>
        <v>0</v>
      </c>
      <c r="F16" s="28">
        <f t="shared" si="2"/>
        <v>35.514775774262894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48.8</v>
      </c>
      <c r="D17" s="30">
        <v>19</v>
      </c>
      <c r="E17" s="29">
        <f t="shared" si="1"/>
        <v>1</v>
      </c>
      <c r="F17" s="28">
        <f t="shared" si="2"/>
        <v>52.202441499518947</v>
      </c>
      <c r="G17" s="27" t="str">
        <f t="shared" si="3"/>
        <v>+</v>
      </c>
      <c r="H17" s="34">
        <f t="shared" si="4"/>
        <v>927.19999999999993</v>
      </c>
      <c r="I17" s="34">
        <f t="shared" si="5"/>
        <v>991.84638849086002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42.8</v>
      </c>
      <c r="D18" s="30"/>
      <c r="E18" s="29">
        <f t="shared" si="1"/>
        <v>0</v>
      </c>
      <c r="F18" s="28">
        <f t="shared" si="2"/>
        <v>45.784108528266614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48.8</v>
      </c>
      <c r="D19" s="49">
        <f>SUM(D10:D18)</f>
        <v>19</v>
      </c>
      <c r="E19" s="48">
        <f t="shared" si="1"/>
        <v>1</v>
      </c>
      <c r="F19" s="47">
        <f>I19/D19</f>
        <v>52.202441499518947</v>
      </c>
      <c r="G19" s="46">
        <f>F19/C19-1</f>
        <v>6.9722161875388267E-2</v>
      </c>
      <c r="H19" s="9">
        <f>SUM(H10:H18)</f>
        <v>927.19999999999993</v>
      </c>
      <c r="I19" s="9">
        <f>SUM(I10:I18)</f>
        <v>991.84638849086002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63.5</v>
      </c>
      <c r="D21" s="30">
        <v>46.2</v>
      </c>
      <c r="E21" s="29">
        <f>D21/$D$48</f>
        <v>1.2839039573143618E-2</v>
      </c>
      <c r="F21" s="28">
        <f>C21-(C21*$E$6)</f>
        <v>67.927357279087161</v>
      </c>
      <c r="G21" s="27" t="str">
        <f>IF(C21&gt;=F21,"-","+")</f>
        <v>+</v>
      </c>
      <c r="H21" s="26">
        <f>C21*D21</f>
        <v>2933.7000000000003</v>
      </c>
      <c r="I21" s="26">
        <f>F21*D21</f>
        <v>3138.243906293827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42.6</v>
      </c>
      <c r="D22" s="30">
        <v>88.2</v>
      </c>
      <c r="E22" s="29">
        <f>D22/$D$48</f>
        <v>2.4510893730546907E-2</v>
      </c>
      <c r="F22" s="28">
        <f>C22-(C22*$E$6)</f>
        <v>45.570164095891542</v>
      </c>
      <c r="G22" s="27" t="str">
        <f>IF(C22&gt;=F22,"-","+")</f>
        <v>+</v>
      </c>
      <c r="H22" s="26">
        <f>C22*D22</f>
        <v>3757.32</v>
      </c>
      <c r="I22" s="26">
        <f>F22*D22</f>
        <v>4019.288473257634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38.9</v>
      </c>
      <c r="D23" s="30">
        <v>78.900000000000006</v>
      </c>
      <c r="E23" s="29">
        <f>D23/$D$48</f>
        <v>2.1926411738550464E-2</v>
      </c>
      <c r="F23" s="28">
        <f>C23-(C23*$E$6)</f>
        <v>41.612192096952604</v>
      </c>
      <c r="G23" s="27" t="str">
        <f>IF(C23&gt;=F23,"-","+")</f>
        <v>+</v>
      </c>
      <c r="H23" s="26">
        <f>C23*D23</f>
        <v>3069.21</v>
      </c>
      <c r="I23" s="26">
        <f>F23*D23</f>
        <v>3283.2019564495608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45.758227848101264</v>
      </c>
      <c r="D24" s="22">
        <f>SUM(D21:D23)</f>
        <v>213.3</v>
      </c>
      <c r="E24" s="21">
        <f>D24/$D$48</f>
        <v>5.927634504224099E-2</v>
      </c>
      <c r="F24" s="20">
        <f>I24/D24</f>
        <v>48.948590417257485</v>
      </c>
      <c r="G24" s="19">
        <f>F24/C24-1</f>
        <v>6.9722161875388489E-2</v>
      </c>
      <c r="H24" s="18">
        <f>SUM(H21:H23)</f>
        <v>9760.23</v>
      </c>
      <c r="I24" s="18">
        <f>SUM(I21:I23)</f>
        <v>10440.734336001022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33.9</v>
      </c>
      <c r="D26" s="30">
        <f>18.8+671.7</f>
        <v>690.5</v>
      </c>
      <c r="E26" s="29">
        <f t="shared" ref="E26:E32" si="7">D26/$D$48</f>
        <v>0.19189084037349929</v>
      </c>
      <c r="F26" s="28">
        <f t="shared" ref="F26:F31" si="8">C26-(C26*$E$6)</f>
        <v>36.263581287575661</v>
      </c>
      <c r="G26" s="27" t="str">
        <f t="shared" ref="G26:G31" si="9">IF(C26&gt;=F26,"-","+")</f>
        <v>+</v>
      </c>
      <c r="H26" s="26">
        <f t="shared" ref="H26:H31" si="10">C26*D26</f>
        <v>23407.95</v>
      </c>
      <c r="I26" s="26">
        <f t="shared" ref="I26:I31" si="11">F26*D26</f>
        <v>25040.002879070995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30.2</v>
      </c>
      <c r="D27" s="30">
        <v>516</v>
      </c>
      <c r="E27" s="29">
        <f t="shared" si="7"/>
        <v>0.14339706536238325</v>
      </c>
      <c r="F27" s="28">
        <f t="shared" si="8"/>
        <v>32.305609288636724</v>
      </c>
      <c r="G27" s="27" t="str">
        <f t="shared" si="9"/>
        <v>+</v>
      </c>
      <c r="H27" s="26">
        <f t="shared" si="10"/>
        <v>15583.199999999999</v>
      </c>
      <c r="I27" s="26">
        <f t="shared" si="11"/>
        <v>16669.694392936548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30.2</v>
      </c>
      <c r="D28" s="30">
        <v>321.8</v>
      </c>
      <c r="E28" s="29">
        <f t="shared" si="7"/>
        <v>8.9428634948866159E-2</v>
      </c>
      <c r="F28" s="28">
        <f t="shared" si="8"/>
        <v>32.305609288636724</v>
      </c>
      <c r="G28" s="27" t="str">
        <f t="shared" si="9"/>
        <v>+</v>
      </c>
      <c r="H28" s="26">
        <f t="shared" si="10"/>
        <v>9718.36</v>
      </c>
      <c r="I28" s="26">
        <f t="shared" si="11"/>
        <v>10395.945069083298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29.2</v>
      </c>
      <c r="D29" s="30">
        <v>290.10000000000002</v>
      </c>
      <c r="E29" s="29">
        <f t="shared" si="7"/>
        <v>8.0619164072921287E-2</v>
      </c>
      <c r="F29" s="28">
        <f t="shared" si="8"/>
        <v>31.235887126761337</v>
      </c>
      <c r="G29" s="27" t="str">
        <f t="shared" si="9"/>
        <v>+</v>
      </c>
      <c r="H29" s="26">
        <f t="shared" si="10"/>
        <v>8470.92</v>
      </c>
      <c r="I29" s="26">
        <f t="shared" si="11"/>
        <v>9061.5308554734638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29.2</v>
      </c>
      <c r="D30" s="30">
        <v>219.7</v>
      </c>
      <c r="E30" s="29">
        <f t="shared" si="7"/>
        <v>6.1054913294797675E-2</v>
      </c>
      <c r="F30" s="28">
        <f t="shared" si="8"/>
        <v>31.235887126761337</v>
      </c>
      <c r="G30" s="27" t="str">
        <f t="shared" si="9"/>
        <v>+</v>
      </c>
      <c r="H30" s="26">
        <f t="shared" si="10"/>
        <v>6415.24</v>
      </c>
      <c r="I30" s="26">
        <f t="shared" si="11"/>
        <v>6862.5244017494651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29.7</v>
      </c>
      <c r="D31" s="30">
        <v>30.7</v>
      </c>
      <c r="E31" s="29">
        <f t="shared" si="7"/>
        <v>8.5315695864828806E-3</v>
      </c>
      <c r="F31" s="28">
        <f t="shared" si="8"/>
        <v>31.770748207699029</v>
      </c>
      <c r="G31" s="27" t="str">
        <f t="shared" si="9"/>
        <v>+</v>
      </c>
      <c r="H31" s="26">
        <f t="shared" si="10"/>
        <v>911.79</v>
      </c>
      <c r="I31" s="26">
        <f t="shared" si="11"/>
        <v>975.36196997636011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31.181100154679037</v>
      </c>
      <c r="D32" s="22">
        <f>SUM(D26:D31)</f>
        <v>2068.8000000000002</v>
      </c>
      <c r="E32" s="21">
        <f t="shared" si="7"/>
        <v>0.57492218763895064</v>
      </c>
      <c r="F32" s="20">
        <f>I32/D32</f>
        <v>33.355113867116266</v>
      </c>
      <c r="G32" s="19">
        <f>F32/C32-1</f>
        <v>6.9722161875388489E-2</v>
      </c>
      <c r="H32" s="18">
        <f>SUM(H26:H31)</f>
        <v>64507.46</v>
      </c>
      <c r="I32" s="18">
        <f>SUM(I26:I31)</f>
        <v>69005.059568290133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v>555.6</v>
      </c>
      <c r="E34" s="29">
        <f t="shared" ref="E34:E40" si="13">D34/$D$48</f>
        <v>0.15440195642507779</v>
      </c>
      <c r="F34" s="28">
        <f t="shared" ref="F34:F39" si="14">C34-(C34*$E$6)</f>
        <v>19.041054481381913</v>
      </c>
      <c r="G34" s="27" t="str">
        <f t="shared" ref="G34:G39" si="15">IF(C34&gt;=F34,"-","+")</f>
        <v>+</v>
      </c>
      <c r="H34" s="26">
        <f t="shared" ref="H34:H39" si="16">C34*D34</f>
        <v>9889.68</v>
      </c>
      <c r="I34" s="26">
        <f t="shared" ref="I34:I39" si="17">F34*D34</f>
        <v>10579.209869855791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/>
      <c r="E35" s="29">
        <f t="shared" si="13"/>
        <v>0</v>
      </c>
      <c r="F35" s="28">
        <f t="shared" si="14"/>
        <v>14.655193617692818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11.766943780629271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29.2</v>
      </c>
      <c r="D37" s="30"/>
      <c r="E37" s="29">
        <f t="shared" si="13"/>
        <v>0</v>
      </c>
      <c r="F37" s="28">
        <f t="shared" si="14"/>
        <v>31.235887126761337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29.2</v>
      </c>
      <c r="D38" s="30"/>
      <c r="E38" s="29">
        <f t="shared" si="13"/>
        <v>0</v>
      </c>
      <c r="F38" s="28">
        <f t="shared" si="14"/>
        <v>31.235887126761337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30.2</v>
      </c>
      <c r="D39" s="30"/>
      <c r="E39" s="29">
        <f t="shared" si="13"/>
        <v>0</v>
      </c>
      <c r="F39" s="28">
        <f t="shared" si="14"/>
        <v>32.305609288636724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</v>
      </c>
      <c r="D40" s="22">
        <f>SUM(D34:D39)</f>
        <v>555.6</v>
      </c>
      <c r="E40" s="113">
        <f t="shared" si="13"/>
        <v>0.15440195642507779</v>
      </c>
      <c r="F40" s="20">
        <f>I40/D40</f>
        <v>19.041054481381913</v>
      </c>
      <c r="G40" s="19">
        <f>F40/C40-1</f>
        <v>6.9722161875388267E-2</v>
      </c>
      <c r="H40" s="18">
        <f>SUM(H34:H39)</f>
        <v>9889.68</v>
      </c>
      <c r="I40" s="18">
        <f>SUM(I34:I39)</f>
        <v>10579.209869855791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713</v>
      </c>
      <c r="E42" s="107">
        <f>D42/$D$48</f>
        <v>0.19814361938639391</v>
      </c>
      <c r="F42" s="28">
        <f>C42-(C42*$E$6)</f>
        <v>0.42788886475015531</v>
      </c>
      <c r="G42" s="27" t="str">
        <f>IF(C42&gt;=F42,"-","+")</f>
        <v>+</v>
      </c>
      <c r="H42" s="26">
        <f>C42*D42</f>
        <v>285.2</v>
      </c>
      <c r="I42" s="26">
        <f>F42*D42</f>
        <v>305.08476056686072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40.700000000000003</v>
      </c>
      <c r="E43" s="107">
        <f>D43/$D$48</f>
        <v>1.1310582481102711E-2</v>
      </c>
      <c r="F43" s="28">
        <f>C43-(C43*$E$6)</f>
        <v>0.42788886475015531</v>
      </c>
      <c r="G43" s="27" t="str">
        <f>IF(C43&gt;=F43,"-","+")</f>
        <v>+</v>
      </c>
      <c r="H43" s="26">
        <f>C43*D43</f>
        <v>16.28</v>
      </c>
      <c r="I43" s="26">
        <f>F43*D43</f>
        <v>17.415076795331323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2.9</v>
      </c>
      <c r="E44" s="107">
        <f>D44/$D$48</f>
        <v>8.0591373943975086E-4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1.1393952867941304E-3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0.3963191797029052</v>
      </c>
      <c r="D46" s="22">
        <f>SUM(D41:D45)</f>
        <v>760.7</v>
      </c>
      <c r="E46" s="113">
        <f>D46/$D$48</f>
        <v>0.21139951089373052</v>
      </c>
      <c r="F46" s="20">
        <f>I46/D46</f>
        <v>0.42395140970447226</v>
      </c>
      <c r="G46" s="19">
        <f>F46/C46-1</f>
        <v>6.9722161875388267E-2</v>
      </c>
      <c r="H46" s="18">
        <f>SUM(H41:H44)</f>
        <v>301.48</v>
      </c>
      <c r="I46" s="18">
        <f>SUM(I41:I44)</f>
        <v>322.49983736219207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95.135647182483197</v>
      </c>
      <c r="D48" s="13">
        <f>D24+D32+D40+D46</f>
        <v>3598.4000000000005</v>
      </c>
      <c r="E48" s="12">
        <f>SUM(E20:E46)/2</f>
        <v>1</v>
      </c>
      <c r="F48" s="11">
        <f>I48/D48</f>
        <v>25.107687753309555</v>
      </c>
      <c r="G48" s="10"/>
      <c r="H48" s="9">
        <f>SUM(H20:H46)/2</f>
        <v>84458.85</v>
      </c>
      <c r="I48" s="9">
        <f>SUM(I20:I46)/2</f>
        <v>90347.503611509121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3617.4</v>
      </c>
      <c r="E50" s="12">
        <f>D50/G2</f>
        <v>1</v>
      </c>
      <c r="F50" s="11">
        <f>I50/D50</f>
        <v>25.249999999999993</v>
      </c>
      <c r="G50" s="10"/>
      <c r="H50" s="9">
        <f>H48+H19</f>
        <v>85386.05</v>
      </c>
      <c r="I50" s="9">
        <f>I48+I19</f>
        <v>91339.349999999977</v>
      </c>
      <c r="J50" s="106">
        <f>D50-G2</f>
        <v>0</v>
      </c>
      <c r="K50" s="8"/>
    </row>
    <row r="51" spans="1:11" ht="23.25" x14ac:dyDescent="0.35">
      <c r="A51" s="174" t="s">
        <v>915</v>
      </c>
      <c r="B51" s="169"/>
      <c r="C51" s="170"/>
      <c r="G51" s="7"/>
      <c r="H51" s="6"/>
      <c r="I51" s="6">
        <f>+I50/D50</f>
        <v>25.249999999999993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914</v>
      </c>
      <c r="D1" s="100" t="s">
        <v>1</v>
      </c>
      <c r="E1" s="168" t="s">
        <v>821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914</v>
      </c>
      <c r="D2" s="96" t="s">
        <v>3</v>
      </c>
      <c r="E2" s="95" t="s">
        <v>112</v>
      </c>
      <c r="F2" s="94" t="s">
        <v>5</v>
      </c>
      <c r="G2" s="116">
        <v>6787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822</v>
      </c>
      <c r="D3" s="90" t="s">
        <v>7</v>
      </c>
      <c r="E3" s="89">
        <v>108</v>
      </c>
      <c r="F3" s="88" t="s">
        <v>8</v>
      </c>
      <c r="G3" s="87">
        <v>24.74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62.842592592592595</v>
      </c>
      <c r="F4" s="81" t="s">
        <v>12</v>
      </c>
      <c r="G4" s="80">
        <f>G2*G3</f>
        <v>167910.37999999998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-8.809245531320431E-2</v>
      </c>
      <c r="F6" s="69" t="s">
        <v>16</v>
      </c>
      <c r="G6" s="68">
        <f>(I50-I19)/(D50-(SUM(D42:D44)+D19))</f>
        <v>31.541350615196752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24.7</v>
      </c>
      <c r="D10" s="30"/>
      <c r="E10" s="29" t="e">
        <f t="shared" ref="E10:E19" si="1">D10/$D$19</f>
        <v>#DIV/0!</v>
      </c>
      <c r="F10" s="28">
        <f t="shared" ref="F10:F18" si="2">C10-(C10*$E$6)</f>
        <v>26.875883646236147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25.8</v>
      </c>
      <c r="D11" s="30"/>
      <c r="E11" s="29" t="e">
        <f t="shared" si="1"/>
        <v>#DIV/0!</v>
      </c>
      <c r="F11" s="28">
        <f t="shared" si="2"/>
        <v>28.072785347080671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23.5</v>
      </c>
      <c r="D12" s="30"/>
      <c r="E12" s="29" t="e">
        <f t="shared" si="1"/>
        <v>#DIV/0!</v>
      </c>
      <c r="F12" s="28">
        <f t="shared" si="2"/>
        <v>25.570172699860301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25.8</v>
      </c>
      <c r="D13" s="30"/>
      <c r="E13" s="29" t="e">
        <f t="shared" si="1"/>
        <v>#DIV/0!</v>
      </c>
      <c r="F13" s="28">
        <f t="shared" si="2"/>
        <v>28.072785347080671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28.8</v>
      </c>
      <c r="D14" s="30"/>
      <c r="E14" s="29" t="e">
        <f t="shared" si="1"/>
        <v>#DIV/0!</v>
      </c>
      <c r="F14" s="28">
        <f t="shared" si="2"/>
        <v>31.337062713020284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23.8</v>
      </c>
      <c r="D15" s="30"/>
      <c r="E15" s="29" t="e">
        <f t="shared" si="1"/>
        <v>#DIV/0!</v>
      </c>
      <c r="F15" s="28">
        <f t="shared" si="2"/>
        <v>25.896600436454264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32.5</v>
      </c>
      <c r="D16" s="30"/>
      <c r="E16" s="29" t="e">
        <f t="shared" si="1"/>
        <v>#DIV/0!</v>
      </c>
      <c r="F16" s="28">
        <f t="shared" si="2"/>
        <v>35.363004797679139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47.9</v>
      </c>
      <c r="D17" s="30"/>
      <c r="E17" s="29" t="e">
        <f t="shared" si="1"/>
        <v>#DIV/0!</v>
      </c>
      <c r="F17" s="28">
        <f t="shared" si="2"/>
        <v>52.119628609502485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41.9</v>
      </c>
      <c r="D18" s="30"/>
      <c r="E18" s="29" t="e">
        <f t="shared" si="1"/>
        <v>#DIV/0!</v>
      </c>
      <c r="F18" s="28">
        <f t="shared" si="2"/>
        <v>45.591073877623259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62.2</v>
      </c>
      <c r="D21" s="30">
        <v>95</v>
      </c>
      <c r="E21" s="29">
        <f>D21/$D$48</f>
        <v>1.3997347870929721E-2</v>
      </c>
      <c r="F21" s="28">
        <f>C21-(C21*$E$6)</f>
        <v>67.67935072048131</v>
      </c>
      <c r="G21" s="27" t="str">
        <f>IF(C21&gt;=F21,"-","+")</f>
        <v>+</v>
      </c>
      <c r="H21" s="26">
        <f>C21*D21</f>
        <v>5909</v>
      </c>
      <c r="I21" s="26">
        <f>F21*D21</f>
        <v>6429.5383184457241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41.8</v>
      </c>
      <c r="D22" s="30">
        <v>148.4</v>
      </c>
      <c r="E22" s="29">
        <f>D22/$D$48</f>
        <v>2.1865330779431268E-2</v>
      </c>
      <c r="F22" s="28">
        <f>C22-(C22*$E$6)</f>
        <v>45.48226463209194</v>
      </c>
      <c r="G22" s="27" t="str">
        <f>IF(C22&gt;=F22,"-","+")</f>
        <v>+</v>
      </c>
      <c r="H22" s="26">
        <f>C22*D22</f>
        <v>6203.12</v>
      </c>
      <c r="I22" s="26">
        <f>F22*D22</f>
        <v>6749.5680714024438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38.1</v>
      </c>
      <c r="D23" s="30">
        <v>137.19999999999999</v>
      </c>
      <c r="E23" s="29">
        <f>D23/$D$48</f>
        <v>2.0215117135700605E-2</v>
      </c>
      <c r="F23" s="28">
        <f>C23-(C23*$E$6)</f>
        <v>41.456322547433089</v>
      </c>
      <c r="G23" s="27" t="str">
        <f>IF(C23&gt;=F23,"-","+")</f>
        <v>+</v>
      </c>
      <c r="H23" s="26">
        <f>C23*D23</f>
        <v>5227.32</v>
      </c>
      <c r="I23" s="26">
        <f>F23*D23</f>
        <v>5687.8074535078194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45.558171308460317</v>
      </c>
      <c r="D24" s="22">
        <f>SUM(D21:D23)</f>
        <v>380.6</v>
      </c>
      <c r="E24" s="21">
        <f>D24/$D$48</f>
        <v>5.6077795786061597E-2</v>
      </c>
      <c r="F24" s="20">
        <f>I24/D24</f>
        <v>49.571502478602163</v>
      </c>
      <c r="G24" s="19">
        <f>F24/C24-1</f>
        <v>8.809245531320431E-2</v>
      </c>
      <c r="H24" s="18">
        <f>SUM(H21:H23)</f>
        <v>17339.439999999999</v>
      </c>
      <c r="I24" s="18">
        <f>SUM(I21:I23)</f>
        <v>18866.913843355986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33.200000000000003</v>
      </c>
      <c r="D26" s="30">
        <f>229.5+32.3+1081.1</f>
        <v>1342.8999999999999</v>
      </c>
      <c r="E26" s="29">
        <f t="shared" ref="E26:E32" si="7">D26/$D$48</f>
        <v>0.19786356269338443</v>
      </c>
      <c r="F26" s="28">
        <f t="shared" ref="F26:F31" si="8">C26-(C26*$E$6)</f>
        <v>36.124669516398384</v>
      </c>
      <c r="G26" s="27" t="str">
        <f t="shared" ref="G26:G31" si="9">IF(C26&gt;=F26,"-","+")</f>
        <v>+</v>
      </c>
      <c r="H26" s="26">
        <f t="shared" ref="H26:H31" si="10">C26*D26</f>
        <v>44584.28</v>
      </c>
      <c r="I26" s="26">
        <f t="shared" ref="I26:I31" si="11">F26*D26</f>
        <v>48511.818693571382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29.6</v>
      </c>
      <c r="D27" s="30">
        <v>1015.3</v>
      </c>
      <c r="E27" s="29">
        <f t="shared" si="7"/>
        <v>0.14959481361426258</v>
      </c>
      <c r="F27" s="28">
        <f t="shared" si="8"/>
        <v>32.207536677270852</v>
      </c>
      <c r="G27" s="27" t="str">
        <f t="shared" si="9"/>
        <v>+</v>
      </c>
      <c r="H27" s="26">
        <f t="shared" si="10"/>
        <v>30052.880000000001</v>
      </c>
      <c r="I27" s="26">
        <f t="shared" si="11"/>
        <v>32700.311988433095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29.6</v>
      </c>
      <c r="D28" s="30">
        <v>506.7</v>
      </c>
      <c r="E28" s="29">
        <f t="shared" si="7"/>
        <v>7.4657433328421993E-2</v>
      </c>
      <c r="F28" s="28">
        <f t="shared" si="8"/>
        <v>32.207536677270852</v>
      </c>
      <c r="G28" s="27" t="str">
        <f t="shared" si="9"/>
        <v>+</v>
      </c>
      <c r="H28" s="26">
        <f t="shared" si="10"/>
        <v>14998.32</v>
      </c>
      <c r="I28" s="26">
        <f t="shared" si="11"/>
        <v>16319.55883437314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28.6</v>
      </c>
      <c r="D29" s="30">
        <v>492.6</v>
      </c>
      <c r="E29" s="29">
        <f t="shared" si="7"/>
        <v>7.2579932223368213E-2</v>
      </c>
      <c r="F29" s="28">
        <f t="shared" si="8"/>
        <v>31.119444221957643</v>
      </c>
      <c r="G29" s="27" t="str">
        <f t="shared" si="9"/>
        <v>+</v>
      </c>
      <c r="H29" s="26">
        <f t="shared" si="10"/>
        <v>14088.36</v>
      </c>
      <c r="I29" s="26">
        <f t="shared" si="11"/>
        <v>15329.438223736335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28.6</v>
      </c>
      <c r="D30" s="30">
        <v>374.7</v>
      </c>
      <c r="E30" s="29">
        <f t="shared" si="7"/>
        <v>5.5208486813024905E-2</v>
      </c>
      <c r="F30" s="28">
        <f t="shared" si="8"/>
        <v>31.119444221957643</v>
      </c>
      <c r="G30" s="27" t="str">
        <f t="shared" si="9"/>
        <v>+</v>
      </c>
      <c r="H30" s="26">
        <f t="shared" si="10"/>
        <v>10716.42</v>
      </c>
      <c r="I30" s="26">
        <f t="shared" si="11"/>
        <v>11660.455749967528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29.1</v>
      </c>
      <c r="D31" s="30">
        <v>110.8</v>
      </c>
      <c r="E31" s="29">
        <f t="shared" si="7"/>
        <v>1.6325327832621188E-2</v>
      </c>
      <c r="F31" s="28">
        <f t="shared" si="8"/>
        <v>31.663490449614248</v>
      </c>
      <c r="G31" s="27" t="str">
        <f t="shared" si="9"/>
        <v>+</v>
      </c>
      <c r="H31" s="26">
        <f t="shared" si="10"/>
        <v>3224.28</v>
      </c>
      <c r="I31" s="26">
        <f t="shared" si="11"/>
        <v>3508.3147418172584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30.617887067395269</v>
      </c>
      <c r="D32" s="22">
        <f>SUM(D26:D31)</f>
        <v>3842.9999999999995</v>
      </c>
      <c r="E32" s="21">
        <f t="shared" si="7"/>
        <v>0.56622955650508322</v>
      </c>
      <c r="F32" s="20">
        <f>I32/D32</f>
        <v>33.315091915664517</v>
      </c>
      <c r="G32" s="19">
        <f>F32/C32-1</f>
        <v>8.8092455313204088E-2</v>
      </c>
      <c r="H32" s="18">
        <f>SUM(H26:H31)</f>
        <v>117664.54000000001</v>
      </c>
      <c r="I32" s="18">
        <f>SUM(I26:I31)</f>
        <v>128029.89823189873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17.5</v>
      </c>
      <c r="D34" s="30">
        <f>501.2+495.4</f>
        <v>996.59999999999991</v>
      </c>
      <c r="E34" s="29">
        <f t="shared" ref="E34:E40" si="13">D34/$D$48</f>
        <v>0.14683954619124798</v>
      </c>
      <c r="F34" s="28">
        <f t="shared" ref="F34:F39" si="14">C34-(C34*$E$6)</f>
        <v>19.041617967981075</v>
      </c>
      <c r="G34" s="27" t="str">
        <f t="shared" ref="G34:G39" si="15">IF(C34&gt;=F34,"-","+")</f>
        <v>+</v>
      </c>
      <c r="H34" s="26">
        <f t="shared" ref="H34:H39" si="16">C34*D34</f>
        <v>17440.5</v>
      </c>
      <c r="I34" s="26">
        <f t="shared" ref="I34:I39" si="17">F34*D34</f>
        <v>18976.876466889938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13.4</v>
      </c>
      <c r="D35" s="30">
        <v>96</v>
      </c>
      <c r="E35" s="29">
        <f t="shared" si="13"/>
        <v>1.4144688374834244E-2</v>
      </c>
      <c r="F35" s="28">
        <f t="shared" si="14"/>
        <v>14.580438901196938</v>
      </c>
      <c r="G35" s="27" t="str">
        <f t="shared" si="15"/>
        <v>+</v>
      </c>
      <c r="H35" s="26">
        <f t="shared" si="16"/>
        <v>1286.4000000000001</v>
      </c>
      <c r="I35" s="26">
        <f t="shared" si="17"/>
        <v>1399.722134514906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10.8</v>
      </c>
      <c r="D36" s="30"/>
      <c r="E36" s="29">
        <f t="shared" si="13"/>
        <v>0</v>
      </c>
      <c r="F36" s="28">
        <f t="shared" si="14"/>
        <v>11.751398517382608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28.6</v>
      </c>
      <c r="D37" s="30"/>
      <c r="E37" s="29">
        <f t="shared" si="13"/>
        <v>0</v>
      </c>
      <c r="F37" s="28">
        <f t="shared" si="14"/>
        <v>31.119444221957643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28.6</v>
      </c>
      <c r="D38" s="30"/>
      <c r="E38" s="29">
        <f t="shared" si="13"/>
        <v>0</v>
      </c>
      <c r="F38" s="28">
        <f t="shared" si="14"/>
        <v>31.119444221957643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29.6</v>
      </c>
      <c r="D39" s="30"/>
      <c r="E39" s="29">
        <f t="shared" si="13"/>
        <v>0</v>
      </c>
      <c r="F39" s="28">
        <f t="shared" si="14"/>
        <v>32.207536677270852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17.139758374519499</v>
      </c>
      <c r="D40" s="22">
        <f>SUM(D34:D39)</f>
        <v>1092.5999999999999</v>
      </c>
      <c r="E40" s="113">
        <f t="shared" si="13"/>
        <v>0.16098423456608221</v>
      </c>
      <c r="F40" s="20">
        <f>I40/D40</f>
        <v>18.649641773205971</v>
      </c>
      <c r="G40" s="19">
        <f>F40/C40-1</f>
        <v>8.8092455313204088E-2</v>
      </c>
      <c r="H40" s="18">
        <f>SUM(H34:H39)</f>
        <v>18726.900000000001</v>
      </c>
      <c r="I40" s="18">
        <f>SUM(I34:I39)</f>
        <v>20376.598601404843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635+91.7+667</f>
        <v>1393.7</v>
      </c>
      <c r="E42" s="107">
        <f>D42/$D$48</f>
        <v>0.20534846029173423</v>
      </c>
      <c r="F42" s="28">
        <f>C42-(C42*$E$6)</f>
        <v>0.43523698212528172</v>
      </c>
      <c r="G42" s="27" t="str">
        <f>IF(C42&gt;=F42,"-","+")</f>
        <v>+</v>
      </c>
      <c r="H42" s="26">
        <f>C42*D42</f>
        <v>557.48</v>
      </c>
      <c r="I42" s="26">
        <f>F42*D42</f>
        <v>606.58978198800514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69.8</v>
      </c>
      <c r="E43" s="107">
        <f>D43/$D$48</f>
        <v>1.0284367172535731E-2</v>
      </c>
      <c r="F43" s="28">
        <f>C43-(C43*$E$6)</f>
        <v>0.43523698212528172</v>
      </c>
      <c r="G43" s="27" t="str">
        <f>IF(C43&gt;=F43,"-","+")</f>
        <v>+</v>
      </c>
      <c r="H43" s="26">
        <f>C43*D43</f>
        <v>27.92</v>
      </c>
      <c r="I43" s="26">
        <f>F43*D43</f>
        <v>30.379541352344663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7.3</v>
      </c>
      <c r="E45" s="107">
        <f>D45/$D$48</f>
        <v>1.0755856785030207E-3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0.39801468588523253</v>
      </c>
      <c r="D46" s="22">
        <f>SUM(D41:D45)</f>
        <v>1470.8</v>
      </c>
      <c r="E46" s="113">
        <f>D46/$D$48</f>
        <v>0.21670841314277298</v>
      </c>
      <c r="F46" s="20">
        <f>I46/D46</f>
        <v>0.43307677681557644</v>
      </c>
      <c r="G46" s="19">
        <f>F46/C46-1</f>
        <v>8.809245531320431E-2</v>
      </c>
      <c r="H46" s="18">
        <f>SUM(H41:H44)</f>
        <v>585.4</v>
      </c>
      <c r="I46" s="18">
        <f>SUM(I41:I44)</f>
        <v>636.96932334034977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93.713831436260321</v>
      </c>
      <c r="D48" s="13">
        <f>D24+D32+D40+D46</f>
        <v>6786.9999999999991</v>
      </c>
      <c r="E48" s="12">
        <f>SUM(E20:E46)/2</f>
        <v>0.99999999999999989</v>
      </c>
      <c r="F48" s="11">
        <f>I48/D48</f>
        <v>24.739999999999988</v>
      </c>
      <c r="G48" s="10"/>
      <c r="H48" s="9">
        <f>SUM(H20:H46)/2</f>
        <v>154316.28000000006</v>
      </c>
      <c r="I48" s="9">
        <f>SUM(I20:I46)/2</f>
        <v>167910.37999999989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6786.9999999999991</v>
      </c>
      <c r="E50" s="12">
        <f>D50/G2</f>
        <v>0.99999999999999989</v>
      </c>
      <c r="F50" s="11">
        <f>I50/D50</f>
        <v>24.739999999999988</v>
      </c>
      <c r="G50" s="10"/>
      <c r="H50" s="9">
        <f>H48+H19</f>
        <v>154316.28000000006</v>
      </c>
      <c r="I50" s="9">
        <f>I48+I19</f>
        <v>167910.37999999989</v>
      </c>
      <c r="J50" s="106">
        <f>D50-G2</f>
        <v>0</v>
      </c>
      <c r="K50" s="8"/>
    </row>
    <row r="51" spans="1:11" ht="23.25" x14ac:dyDescent="0.35">
      <c r="A51" s="174" t="s">
        <v>916</v>
      </c>
      <c r="B51" s="169"/>
      <c r="C51" s="170"/>
      <c r="G51" s="7"/>
      <c r="H51" s="6"/>
      <c r="I51" s="6">
        <f>+I50/D50</f>
        <v>24.739999999999988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914</v>
      </c>
      <c r="D1" s="100" t="s">
        <v>1</v>
      </c>
      <c r="E1" s="168" t="s">
        <v>674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914</v>
      </c>
      <c r="D2" s="96" t="s">
        <v>3</v>
      </c>
      <c r="E2" s="95" t="s">
        <v>112</v>
      </c>
      <c r="F2" s="94" t="s">
        <v>5</v>
      </c>
      <c r="G2" s="116">
        <v>4204.8999999999996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104</v>
      </c>
      <c r="D3" s="90" t="s">
        <v>7</v>
      </c>
      <c r="E3" s="89">
        <v>71</v>
      </c>
      <c r="F3" s="88" t="s">
        <v>8</v>
      </c>
      <c r="G3" s="120">
        <v>24.44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59.223943661971823</v>
      </c>
      <c r="F4" s="81" t="s">
        <v>12</v>
      </c>
      <c r="G4" s="80">
        <f>G2*G3</f>
        <v>102767.75599999999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-0.1329466582911083</v>
      </c>
      <c r="F6" s="69" t="s">
        <v>16</v>
      </c>
      <c r="G6" s="68">
        <f>(I50-I19)/(D50-(SUM(D42:D44)+D19))</f>
        <v>32.136013008536857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24.4</v>
      </c>
      <c r="D10" s="30"/>
      <c r="E10" s="29" t="e">
        <f t="shared" ref="E10:E19" si="1">D10/$D$19</f>
        <v>#DIV/0!</v>
      </c>
      <c r="F10" s="28">
        <f t="shared" ref="F10:F18" si="2">C10-(C10*$E$6)</f>
        <v>27.643898462303042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25.5</v>
      </c>
      <c r="D11" s="30"/>
      <c r="E11" s="29" t="e">
        <f t="shared" si="1"/>
        <v>#DIV/0!</v>
      </c>
      <c r="F11" s="28">
        <f t="shared" si="2"/>
        <v>28.890139786423262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23.3</v>
      </c>
      <c r="D12" s="30"/>
      <c r="E12" s="29" t="e">
        <f t="shared" si="1"/>
        <v>#DIV/0!</v>
      </c>
      <c r="F12" s="28">
        <f t="shared" si="2"/>
        <v>26.397657138182822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25.5</v>
      </c>
      <c r="D13" s="30"/>
      <c r="E13" s="29" t="e">
        <f t="shared" si="1"/>
        <v>#DIV/0!</v>
      </c>
      <c r="F13" s="28">
        <f t="shared" si="2"/>
        <v>28.890139786423262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28.5</v>
      </c>
      <c r="D14" s="30"/>
      <c r="E14" s="29" t="e">
        <f t="shared" si="1"/>
        <v>#DIV/0!</v>
      </c>
      <c r="F14" s="28">
        <f t="shared" si="2"/>
        <v>32.288979761296588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23.5</v>
      </c>
      <c r="D15" s="30"/>
      <c r="E15" s="29" t="e">
        <f t="shared" si="1"/>
        <v>#DIV/0!</v>
      </c>
      <c r="F15" s="28">
        <f t="shared" si="2"/>
        <v>26.624246469841044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32.1</v>
      </c>
      <c r="D16" s="30"/>
      <c r="E16" s="29" t="e">
        <f t="shared" si="1"/>
        <v>#DIV/0!</v>
      </c>
      <c r="F16" s="28">
        <f t="shared" si="2"/>
        <v>36.367587731144582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47.3</v>
      </c>
      <c r="D17" s="30"/>
      <c r="E17" s="29" t="e">
        <f t="shared" si="1"/>
        <v>#DIV/0!</v>
      </c>
      <c r="F17" s="28">
        <f t="shared" si="2"/>
        <v>53.588376937169421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41.4</v>
      </c>
      <c r="D18" s="30"/>
      <c r="E18" s="29" t="e">
        <f t="shared" si="1"/>
        <v>#DIV/0!</v>
      </c>
      <c r="F18" s="28">
        <f t="shared" si="2"/>
        <v>46.903991653251879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61.5</v>
      </c>
      <c r="D21" s="30">
        <v>56.4</v>
      </c>
      <c r="E21" s="29">
        <f>D21/$D$48</f>
        <v>1.3412923018383312E-2</v>
      </c>
      <c r="F21" s="28">
        <f>C21-(C21*$E$6)</f>
        <v>69.676219484903157</v>
      </c>
      <c r="G21" s="27" t="str">
        <f>IF(C21&gt;=F21,"-","+")</f>
        <v>+</v>
      </c>
      <c r="H21" s="26">
        <f>C21*D21</f>
        <v>3468.6</v>
      </c>
      <c r="I21" s="26">
        <f>F21*D21</f>
        <v>3929.7387789485379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41.3</v>
      </c>
      <c r="D22" s="30">
        <v>114.4</v>
      </c>
      <c r="E22" s="29">
        <f>D22/$D$48</f>
        <v>2.7206354491188849E-2</v>
      </c>
      <c r="F22" s="28">
        <f>C22-(C22*$E$6)</f>
        <v>46.79069698742277</v>
      </c>
      <c r="G22" s="27" t="str">
        <f>IF(C22&gt;=F22,"-","+")</f>
        <v>+</v>
      </c>
      <c r="H22" s="26">
        <f>C22*D22</f>
        <v>4724.72</v>
      </c>
      <c r="I22" s="26">
        <f>F22*D22</f>
        <v>5352.855735361165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37.6</v>
      </c>
      <c r="D23" s="30">
        <v>84.6</v>
      </c>
      <c r="E23" s="29">
        <f>D23/$D$48</f>
        <v>2.0119384527574967E-2</v>
      </c>
      <c r="F23" s="28">
        <f>C23-(C23*$E$6)</f>
        <v>42.598794351745674</v>
      </c>
      <c r="G23" s="27" t="str">
        <f>IF(C23&gt;=F23,"-","+")</f>
        <v>+</v>
      </c>
      <c r="H23" s="26">
        <f>C23*D23</f>
        <v>3180.96</v>
      </c>
      <c r="I23" s="26">
        <f>F23*D23</f>
        <v>3603.8580021576836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44.53516053249804</v>
      </c>
      <c r="D24" s="22">
        <f>SUM(D21:D23)</f>
        <v>255.4</v>
      </c>
      <c r="E24" s="21">
        <f>D24/$D$48</f>
        <v>6.0738662037147131E-2</v>
      </c>
      <c r="F24" s="20">
        <f>I24/D24</f>
        <v>50.455961301751707</v>
      </c>
      <c r="G24" s="19">
        <f>F24/C24-1</f>
        <v>0.1329466582911083</v>
      </c>
      <c r="H24" s="18">
        <f>SUM(H21:H23)</f>
        <v>11374.279999999999</v>
      </c>
      <c r="I24" s="18">
        <f>SUM(I21:I23)</f>
        <v>12886.452516467387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32.799999999999997</v>
      </c>
      <c r="D26" s="30">
        <v>737.7</v>
      </c>
      <c r="E26" s="29">
        <f t="shared" ref="E26:E32" si="7">D26/$D$48</f>
        <v>0.17543817926704558</v>
      </c>
      <c r="F26" s="28">
        <f t="shared" ref="F26:F31" si="8">C26-(C26*$E$6)</f>
        <v>37.160650391948352</v>
      </c>
      <c r="G26" s="27" t="str">
        <f t="shared" ref="G26:G31" si="9">IF(C26&gt;=F26,"-","+")</f>
        <v>+</v>
      </c>
      <c r="H26" s="26">
        <f t="shared" ref="H26:H31" si="10">C26*D26</f>
        <v>24196.559999999998</v>
      </c>
      <c r="I26" s="26">
        <f t="shared" ref="I26:I31" si="11">F26*D26</f>
        <v>27413.411794140302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29.2</v>
      </c>
      <c r="D27" s="30">
        <v>597</v>
      </c>
      <c r="E27" s="29">
        <f t="shared" si="7"/>
        <v>0.14197721705629146</v>
      </c>
      <c r="F27" s="28">
        <f t="shared" si="8"/>
        <v>33.082042422100365</v>
      </c>
      <c r="G27" s="27" t="str">
        <f t="shared" si="9"/>
        <v>+</v>
      </c>
      <c r="H27" s="26">
        <f t="shared" si="10"/>
        <v>17432.399999999998</v>
      </c>
      <c r="I27" s="26">
        <f t="shared" si="11"/>
        <v>19749.979325993918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29.2</v>
      </c>
      <c r="D28" s="30">
        <v>274</v>
      </c>
      <c r="E28" s="29">
        <f t="shared" si="7"/>
        <v>6.5162072819805461E-2</v>
      </c>
      <c r="F28" s="28">
        <f t="shared" si="8"/>
        <v>33.082042422100365</v>
      </c>
      <c r="G28" s="27" t="str">
        <f t="shared" si="9"/>
        <v>+</v>
      </c>
      <c r="H28" s="26">
        <f t="shared" si="10"/>
        <v>8000.8</v>
      </c>
      <c r="I28" s="26">
        <f t="shared" si="11"/>
        <v>9064.4796236554994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28.2</v>
      </c>
      <c r="D29" s="30">
        <v>292</v>
      </c>
      <c r="E29" s="29">
        <f t="shared" si="7"/>
        <v>6.944279293205545E-2</v>
      </c>
      <c r="F29" s="28">
        <f t="shared" si="8"/>
        <v>31.949095763809254</v>
      </c>
      <c r="G29" s="27" t="str">
        <f t="shared" si="9"/>
        <v>+</v>
      </c>
      <c r="H29" s="26">
        <f t="shared" si="10"/>
        <v>8234.4</v>
      </c>
      <c r="I29" s="26">
        <f t="shared" si="11"/>
        <v>9329.1359630323022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28.2</v>
      </c>
      <c r="D30" s="30">
        <v>231.1</v>
      </c>
      <c r="E30" s="29">
        <f t="shared" si="7"/>
        <v>5.495968988560964E-2</v>
      </c>
      <c r="F30" s="28">
        <f t="shared" si="8"/>
        <v>31.949095763809254</v>
      </c>
      <c r="G30" s="27" t="str">
        <f t="shared" si="9"/>
        <v>+</v>
      </c>
      <c r="H30" s="26">
        <f t="shared" si="10"/>
        <v>6517.0199999999995</v>
      </c>
      <c r="I30" s="26">
        <f t="shared" si="11"/>
        <v>7383.4360310163183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28.7</v>
      </c>
      <c r="D31" s="30">
        <v>75</v>
      </c>
      <c r="E31" s="29">
        <f t="shared" si="7"/>
        <v>1.7836333801041639E-2</v>
      </c>
      <c r="F31" s="28">
        <f t="shared" si="8"/>
        <v>32.515569092954806</v>
      </c>
      <c r="G31" s="27" t="str">
        <f t="shared" si="9"/>
        <v>+</v>
      </c>
      <c r="H31" s="26">
        <f t="shared" si="10"/>
        <v>2152.5</v>
      </c>
      <c r="I31" s="26">
        <f t="shared" si="11"/>
        <v>2438.6676819716104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30.149392785934378</v>
      </c>
      <c r="D32" s="22">
        <f>SUM(D26:D31)</f>
        <v>2206.8000000000002</v>
      </c>
      <c r="E32" s="21">
        <f t="shared" si="7"/>
        <v>0.52481628576184924</v>
      </c>
      <c r="F32" s="20">
        <f>I32/D32</f>
        <v>34.157653806330408</v>
      </c>
      <c r="G32" s="19">
        <f>F32/C32-1</f>
        <v>0.13294665829110852</v>
      </c>
      <c r="H32" s="18">
        <f>SUM(H26:H31)</f>
        <v>66533.679999999993</v>
      </c>
      <c r="I32" s="18">
        <f>SUM(I26:I31)</f>
        <v>75379.110419809949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</v>
      </c>
      <c r="D34" s="30">
        <f>338.6+328.9</f>
        <v>667.5</v>
      </c>
      <c r="E34" s="29">
        <f t="shared" ref="E34:E40" si="13">D34/$D$48</f>
        <v>0.15874337082927059</v>
      </c>
      <c r="F34" s="28">
        <f t="shared" ref="F34:F39" si="14">C34-(C34*$E$6)</f>
        <v>19.599977188436174</v>
      </c>
      <c r="G34" s="27" t="str">
        <f t="shared" ref="G34:G39" si="15">IF(C34&gt;=F34,"-","+")</f>
        <v>+</v>
      </c>
      <c r="H34" s="26">
        <f t="shared" ref="H34:H39" si="16">C34*D34</f>
        <v>11547.75</v>
      </c>
      <c r="I34" s="26">
        <f t="shared" ref="I34:I39" si="17">F34*D34</f>
        <v>13082.984773281147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>
        <v>63.9</v>
      </c>
      <c r="E35" s="29">
        <f t="shared" si="13"/>
        <v>1.5196556398487477E-2</v>
      </c>
      <c r="F35" s="28">
        <f t="shared" si="14"/>
        <v>15.068190555271741</v>
      </c>
      <c r="G35" s="27" t="str">
        <f t="shared" si="15"/>
        <v>+</v>
      </c>
      <c r="H35" s="26">
        <f t="shared" si="16"/>
        <v>849.87</v>
      </c>
      <c r="I35" s="26">
        <f t="shared" si="17"/>
        <v>962.85737648186421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12.122529243714858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28.2</v>
      </c>
      <c r="D37" s="30"/>
      <c r="E37" s="29">
        <f t="shared" si="13"/>
        <v>0</v>
      </c>
      <c r="F37" s="28">
        <f t="shared" si="14"/>
        <v>31.949095763809254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28.2</v>
      </c>
      <c r="D38" s="30"/>
      <c r="E38" s="29">
        <f t="shared" si="13"/>
        <v>0</v>
      </c>
      <c r="F38" s="28">
        <f t="shared" si="14"/>
        <v>31.949095763809254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29.2</v>
      </c>
      <c r="D39" s="30"/>
      <c r="E39" s="29">
        <f t="shared" si="13"/>
        <v>0</v>
      </c>
      <c r="F39" s="28">
        <f t="shared" si="14"/>
        <v>33.082042422100365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16.950533223954061</v>
      </c>
      <c r="D40" s="22">
        <f>SUM(D34:D39)</f>
        <v>731.4</v>
      </c>
      <c r="E40" s="113">
        <f t="shared" si="13"/>
        <v>0.17393992722775806</v>
      </c>
      <c r="F40" s="20">
        <f>I40/D40</f>
        <v>19.204049972331163</v>
      </c>
      <c r="G40" s="19">
        <f>F40/C40-1</f>
        <v>0.13294665829110852</v>
      </c>
      <c r="H40" s="18">
        <f>SUM(H34:H39)</f>
        <v>12397.62</v>
      </c>
      <c r="I40" s="18">
        <f>SUM(I34:I39)</f>
        <v>14045.842149763012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460+59.3+457.9</f>
        <v>977.19999999999993</v>
      </c>
      <c r="E42" s="107">
        <f>D42/$D$48</f>
        <v>0.23239553853837186</v>
      </c>
      <c r="F42" s="28">
        <f>C42-(C42*$E$6)</f>
        <v>0.45317866331644335</v>
      </c>
      <c r="G42" s="27" t="str">
        <f>IF(C42&gt;=F42,"-","+")</f>
        <v>+</v>
      </c>
      <c r="H42" s="26">
        <f>C42*D42</f>
        <v>390.88</v>
      </c>
      <c r="I42" s="26">
        <f>F42*D42</f>
        <v>442.8461897928284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29.8</v>
      </c>
      <c r="E43" s="107">
        <f>D43/$D$48</f>
        <v>7.0869699636138782E-3</v>
      </c>
      <c r="F43" s="28">
        <f>C43-(C43*$E$6)</f>
        <v>0.45317866331644335</v>
      </c>
      <c r="G43" s="27" t="str">
        <f>IF(C43&gt;=F43,"-","+")</f>
        <v>+</v>
      </c>
      <c r="H43" s="26">
        <f>C43*D43</f>
        <v>11.920000000000002</v>
      </c>
      <c r="I43" s="26">
        <f>F43*D43</f>
        <v>13.504724166830012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4.3</v>
      </c>
      <c r="E45" s="107">
        <f>D45/$D$48</f>
        <v>1.0226164712597205E-3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0.39829921882725211</v>
      </c>
      <c r="D46" s="22">
        <f>SUM(D41:D45)</f>
        <v>1011.2999999999998</v>
      </c>
      <c r="E46" s="113">
        <f>D46/$D$48</f>
        <v>0.24050512497324544</v>
      </c>
      <c r="F46" s="20">
        <f>I46/D46</f>
        <v>0.45125176897029412</v>
      </c>
      <c r="G46" s="19">
        <f>F46/C46-1</f>
        <v>0.13294665829110808</v>
      </c>
      <c r="H46" s="18">
        <f>SUM(H41:H44)</f>
        <v>402.8</v>
      </c>
      <c r="I46" s="18">
        <f>SUM(I41:I44)</f>
        <v>456.35091395965839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92.033385761213736</v>
      </c>
      <c r="D48" s="13">
        <f>D24+D32+D40+D46</f>
        <v>4204.9000000000005</v>
      </c>
      <c r="E48" s="12">
        <f>SUM(E20:E46)/2</f>
        <v>0.99999999999999978</v>
      </c>
      <c r="F48" s="11">
        <f>I48/D48</f>
        <v>24.439999999999998</v>
      </c>
      <c r="G48" s="10"/>
      <c r="H48" s="9">
        <f>SUM(H20:H46)/2</f>
        <v>90708.37999999999</v>
      </c>
      <c r="I48" s="9">
        <f>SUM(I20:I46)/2</f>
        <v>102767.75600000001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4204.8999999999996</v>
      </c>
      <c r="E50" s="12">
        <f>D50/G2</f>
        <v>1</v>
      </c>
      <c r="F50" s="11">
        <f>I50/D50</f>
        <v>24.440000000000005</v>
      </c>
      <c r="G50" s="10"/>
      <c r="H50" s="9">
        <f>H48+H19</f>
        <v>90708.37999999999</v>
      </c>
      <c r="I50" s="9">
        <f>I48+I19</f>
        <v>102767.75600000001</v>
      </c>
      <c r="J50" s="106">
        <f>D50-G2</f>
        <v>0</v>
      </c>
      <c r="K50" s="8"/>
    </row>
    <row r="51" spans="1:11" ht="23.25" x14ac:dyDescent="0.35">
      <c r="A51" s="174" t="s">
        <v>917</v>
      </c>
      <c r="B51" s="169"/>
      <c r="C51" s="170"/>
      <c r="G51" s="7"/>
      <c r="H51" s="6"/>
      <c r="I51" s="6">
        <f>+I50/D50</f>
        <v>24.440000000000005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914</v>
      </c>
      <c r="D1" s="100" t="s">
        <v>1</v>
      </c>
      <c r="E1" s="168" t="s">
        <v>451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918</v>
      </c>
      <c r="D2" s="96" t="s">
        <v>3</v>
      </c>
      <c r="E2" s="95" t="s">
        <v>112</v>
      </c>
      <c r="F2" s="94" t="s">
        <v>5</v>
      </c>
      <c r="G2" s="116">
        <v>7254.9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889</v>
      </c>
      <c r="D3" s="90" t="s">
        <v>7</v>
      </c>
      <c r="E3" s="89">
        <v>108</v>
      </c>
      <c r="F3" s="88" t="s">
        <v>8</v>
      </c>
      <c r="G3" s="120">
        <v>25.4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12</v>
      </c>
      <c r="D4" s="83" t="s">
        <v>11</v>
      </c>
      <c r="E4" s="82">
        <f>G2/E3</f>
        <v>67.174999999999997</v>
      </c>
      <c r="F4" s="81" t="s">
        <v>12</v>
      </c>
      <c r="G4" s="80">
        <f>G2*G3</f>
        <v>184274.46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-8.0736074474736741E-2</v>
      </c>
      <c r="F6" s="69" t="s">
        <v>16</v>
      </c>
      <c r="G6" s="68">
        <f>(I50-I19)/(D50-(SUM(D42:D44)+D19))</f>
        <v>32.583806627294273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25.4</v>
      </c>
      <c r="D10" s="30"/>
      <c r="E10" s="29" t="e">
        <f t="shared" ref="E10:E19" si="1">D10/$D$19</f>
        <v>#DIV/0!</v>
      </c>
      <c r="F10" s="28">
        <f t="shared" ref="F10:F18" si="2">C10-(C10*$E$6)</f>
        <v>27.450696291658311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26.5</v>
      </c>
      <c r="D11" s="30"/>
      <c r="E11" s="29" t="e">
        <f t="shared" si="1"/>
        <v>#DIV/0!</v>
      </c>
      <c r="F11" s="28">
        <f t="shared" si="2"/>
        <v>28.639505973580523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24.2</v>
      </c>
      <c r="D12" s="30"/>
      <c r="E12" s="29" t="e">
        <f t="shared" si="1"/>
        <v>#DIV/0!</v>
      </c>
      <c r="F12" s="28">
        <f t="shared" si="2"/>
        <v>26.153813002288629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26.5</v>
      </c>
      <c r="D13" s="30"/>
      <c r="E13" s="29" t="e">
        <f t="shared" si="1"/>
        <v>#DIV/0!</v>
      </c>
      <c r="F13" s="28">
        <f t="shared" si="2"/>
        <v>28.639505973580523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29.6</v>
      </c>
      <c r="D14" s="30"/>
      <c r="E14" s="29" t="e">
        <f t="shared" si="1"/>
        <v>#DIV/0!</v>
      </c>
      <c r="F14" s="28">
        <f t="shared" si="2"/>
        <v>31.989787804452209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24.4</v>
      </c>
      <c r="D15" s="30"/>
      <c r="E15" s="29" t="e">
        <f t="shared" si="1"/>
        <v>#DIV/0!</v>
      </c>
      <c r="F15" s="28">
        <f t="shared" si="2"/>
        <v>26.369960217183575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33.4</v>
      </c>
      <c r="D16" s="30"/>
      <c r="E16" s="29" t="e">
        <f t="shared" si="1"/>
        <v>#DIV/0!</v>
      </c>
      <c r="F16" s="28">
        <f t="shared" si="2"/>
        <v>36.096584887456203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49.1</v>
      </c>
      <c r="D17" s="30"/>
      <c r="E17" s="29" t="e">
        <f t="shared" si="1"/>
        <v>#DIV/0!</v>
      </c>
      <c r="F17" s="28">
        <f t="shared" si="2"/>
        <v>53.064141256709576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43</v>
      </c>
      <c r="D18" s="30"/>
      <c r="E18" s="29" t="e">
        <f t="shared" si="1"/>
        <v>#DIV/0!</v>
      </c>
      <c r="F18" s="28">
        <f t="shared" si="2"/>
        <v>46.471651202413682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63.9</v>
      </c>
      <c r="D21" s="30">
        <v>96.9</v>
      </c>
      <c r="E21" s="29">
        <f>D21/$D$48</f>
        <v>1.3356490096348676E-2</v>
      </c>
      <c r="F21" s="28">
        <f>C21-(C21*$E$6)</f>
        <v>69.059035158935671</v>
      </c>
      <c r="G21" s="27" t="str">
        <f>IF(C21&gt;=F21,"-","+")</f>
        <v>+</v>
      </c>
      <c r="H21" s="26">
        <f>C21*D21</f>
        <v>6191.91</v>
      </c>
      <c r="I21" s="26">
        <f>F21*D21</f>
        <v>6691.8205069008673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42.9</v>
      </c>
      <c r="D22" s="30">
        <v>187.6</v>
      </c>
      <c r="E22" s="29">
        <f>D22/$D$48</f>
        <v>2.5858385367131181E-2</v>
      </c>
      <c r="F22" s="28">
        <f>C22-(C22*$E$6)</f>
        <v>46.363577594966202</v>
      </c>
      <c r="G22" s="27" t="str">
        <f>IF(C22&gt;=F22,"-","+")</f>
        <v>+</v>
      </c>
      <c r="H22" s="26">
        <f>C22*D22</f>
        <v>8048.0399999999991</v>
      </c>
      <c r="I22" s="26">
        <f>F22*D22</f>
        <v>8697.8071568156593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39.1</v>
      </c>
      <c r="D23" s="30">
        <v>140.30000000000001</v>
      </c>
      <c r="E23" s="29">
        <f>D23/$D$48</f>
        <v>1.9338653875311862E-2</v>
      </c>
      <c r="F23" s="28">
        <f>C23-(C23*$E$6)</f>
        <v>42.256780511962205</v>
      </c>
      <c r="G23" s="27" t="str">
        <f>IF(C23&gt;=F23,"-","+")</f>
        <v>+</v>
      </c>
      <c r="H23" s="26">
        <f>C23*D23</f>
        <v>5485.7300000000005</v>
      </c>
      <c r="I23" s="26">
        <f>F23*D23</f>
        <v>5928.6263058282975</v>
      </c>
      <c r="J23" s="25"/>
      <c r="K23" s="25"/>
    </row>
    <row r="24" spans="1:11" x14ac:dyDescent="0.25">
      <c r="A24" s="24" t="s">
        <v>34</v>
      </c>
      <c r="B24" s="23"/>
      <c r="C24" s="20">
        <f>H24/D24</f>
        <v>46.435216572504707</v>
      </c>
      <c r="D24" s="22">
        <f>SUM(D21:D23)</f>
        <v>424.8</v>
      </c>
      <c r="E24" s="21">
        <f>D24/$D$48</f>
        <v>5.8553529338791717E-2</v>
      </c>
      <c r="F24" s="20">
        <f>I24/D24</f>
        <v>50.184213675952975</v>
      </c>
      <c r="G24" s="19">
        <f>F24/C24-1</f>
        <v>8.0736074474736741E-2</v>
      </c>
      <c r="H24" s="18">
        <f>SUM(H21:H23)</f>
        <v>19725.68</v>
      </c>
      <c r="I24" s="18">
        <f>SUM(I21:I23)</f>
        <v>21318.253969544825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34.1</v>
      </c>
      <c r="D26" s="30">
        <v>1366.7</v>
      </c>
      <c r="E26" s="29">
        <f t="shared" ref="E26:E32" si="7">D26/$D$48</f>
        <v>0.18838302388730377</v>
      </c>
      <c r="F26" s="28">
        <f t="shared" ref="F26:F31" si="8">C26-(C26*$E$6)</f>
        <v>36.853100139588527</v>
      </c>
      <c r="G26" s="27" t="str">
        <f t="shared" ref="G26:G31" si="9">IF(C26&gt;=F26,"-","+")</f>
        <v>+</v>
      </c>
      <c r="H26" s="26">
        <f t="shared" ref="H26:H31" si="10">C26*D26</f>
        <v>46604.47</v>
      </c>
      <c r="I26" s="26">
        <f t="shared" ref="I26:I31" si="11">F26*D26</f>
        <v>50367.131960775645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30.4</v>
      </c>
      <c r="D27" s="30">
        <v>1000.8</v>
      </c>
      <c r="E27" s="29">
        <f t="shared" si="7"/>
        <v>0.13794814539139064</v>
      </c>
      <c r="F27" s="28">
        <f t="shared" si="8"/>
        <v>32.854376664031996</v>
      </c>
      <c r="G27" s="27" t="str">
        <f t="shared" si="9"/>
        <v>+</v>
      </c>
      <c r="H27" s="26">
        <f t="shared" si="10"/>
        <v>30424.319999999996</v>
      </c>
      <c r="I27" s="26">
        <f t="shared" si="11"/>
        <v>32880.660165363217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30.4</v>
      </c>
      <c r="D28" s="30">
        <v>620.1</v>
      </c>
      <c r="E28" s="29">
        <f t="shared" si="7"/>
        <v>8.5473266344126053E-2</v>
      </c>
      <c r="F28" s="28">
        <f t="shared" si="8"/>
        <v>32.854376664031996</v>
      </c>
      <c r="G28" s="27" t="str">
        <f t="shared" si="9"/>
        <v>+</v>
      </c>
      <c r="H28" s="26">
        <f t="shared" si="10"/>
        <v>18851.04</v>
      </c>
      <c r="I28" s="26">
        <f t="shared" si="11"/>
        <v>20372.998969366243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29.3</v>
      </c>
      <c r="D29" s="30">
        <v>594.5</v>
      </c>
      <c r="E29" s="29">
        <f t="shared" si="7"/>
        <v>8.1944616741788309E-2</v>
      </c>
      <c r="F29" s="28">
        <f t="shared" si="8"/>
        <v>31.665566982109787</v>
      </c>
      <c r="G29" s="27" t="str">
        <f t="shared" si="9"/>
        <v>+</v>
      </c>
      <c r="H29" s="26">
        <f t="shared" si="10"/>
        <v>17418.850000000002</v>
      </c>
      <c r="I29" s="26">
        <f t="shared" si="11"/>
        <v>18825.179570864268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29.3</v>
      </c>
      <c r="D30" s="30">
        <v>438.8</v>
      </c>
      <c r="E30" s="29">
        <f t="shared" si="7"/>
        <v>6.0483259590070164E-2</v>
      </c>
      <c r="F30" s="28">
        <f t="shared" si="8"/>
        <v>31.665566982109787</v>
      </c>
      <c r="G30" s="27" t="str">
        <f t="shared" si="9"/>
        <v>+</v>
      </c>
      <c r="H30" s="26">
        <f t="shared" si="10"/>
        <v>12856.84</v>
      </c>
      <c r="I30" s="26">
        <f t="shared" si="11"/>
        <v>13894.850791749775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29.8</v>
      </c>
      <c r="D31" s="30">
        <v>202.1</v>
      </c>
      <c r="E31" s="29">
        <f t="shared" si="7"/>
        <v>2.7857034555955285E-2</v>
      </c>
      <c r="F31" s="28">
        <f t="shared" si="8"/>
        <v>32.205935019347159</v>
      </c>
      <c r="G31" s="27" t="str">
        <f t="shared" si="9"/>
        <v>+</v>
      </c>
      <c r="H31" s="26">
        <f t="shared" si="10"/>
        <v>6022.58</v>
      </c>
      <c r="I31" s="26">
        <f t="shared" si="11"/>
        <v>6508.8194674100605</v>
      </c>
      <c r="J31" s="25"/>
      <c r="K31" s="25"/>
    </row>
    <row r="32" spans="1:11" x14ac:dyDescent="0.25">
      <c r="A32" s="24" t="s">
        <v>34</v>
      </c>
      <c r="B32" s="23"/>
      <c r="C32" s="20">
        <f>H32/D32</f>
        <v>31.299573762727913</v>
      </c>
      <c r="D32" s="22">
        <f>SUM(D26:D31)</f>
        <v>4223</v>
      </c>
      <c r="E32" s="21">
        <f t="shared" si="7"/>
        <v>0.58208934651063426</v>
      </c>
      <c r="F32" s="20">
        <f>I32/D32</f>
        <v>33.826578481063045</v>
      </c>
      <c r="G32" s="19">
        <f>F32/C32-1</f>
        <v>8.0736074474737185E-2</v>
      </c>
      <c r="H32" s="18">
        <f>SUM(H26:H31)</f>
        <v>132178.09999999998</v>
      </c>
      <c r="I32" s="18">
        <f>SUM(I26:I31)</f>
        <v>142849.64092552924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17.899999999999999</v>
      </c>
      <c r="D34" s="30">
        <v>1003.7</v>
      </c>
      <c r="E34" s="29">
        <f t="shared" ref="E34:E40" si="13">D34/$D$48</f>
        <v>0.13834787522915548</v>
      </c>
      <c r="F34" s="28">
        <f t="shared" ref="F34:F39" si="14">C34-(C34*$E$6)</f>
        <v>19.345175733097786</v>
      </c>
      <c r="G34" s="27" t="str">
        <f t="shared" ref="G34:G39" si="15">IF(C34&gt;=F34,"-","+")</f>
        <v>+</v>
      </c>
      <c r="H34" s="26">
        <f t="shared" ref="H34:H39" si="16">C34*D34</f>
        <v>17966.23</v>
      </c>
      <c r="I34" s="26">
        <f t="shared" ref="I34:I39" si="17">F34*D34</f>
        <v>19416.752883310248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13.8</v>
      </c>
      <c r="D35" s="30"/>
      <c r="E35" s="29">
        <f t="shared" si="13"/>
        <v>0</v>
      </c>
      <c r="F35" s="28">
        <f t="shared" si="14"/>
        <v>14.914157827751367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11.1</v>
      </c>
      <c r="D36" s="30"/>
      <c r="E36" s="29">
        <f t="shared" si="13"/>
        <v>0</v>
      </c>
      <c r="F36" s="28">
        <f t="shared" si="14"/>
        <v>11.996170426669577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29.3</v>
      </c>
      <c r="D37" s="30"/>
      <c r="E37" s="29">
        <f t="shared" si="13"/>
        <v>0</v>
      </c>
      <c r="F37" s="28">
        <f t="shared" si="14"/>
        <v>31.665566982109787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29.3</v>
      </c>
      <c r="D38" s="30"/>
      <c r="E38" s="29">
        <f t="shared" si="13"/>
        <v>0</v>
      </c>
      <c r="F38" s="28">
        <f t="shared" si="14"/>
        <v>31.665566982109787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30.4</v>
      </c>
      <c r="D39" s="30"/>
      <c r="E39" s="29">
        <f t="shared" si="13"/>
        <v>0</v>
      </c>
      <c r="F39" s="28">
        <f t="shared" si="14"/>
        <v>32.854376664031996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17.899999999999999</v>
      </c>
      <c r="D40" s="22">
        <f>SUM(D34:D39)</f>
        <v>1003.7</v>
      </c>
      <c r="E40" s="113">
        <f t="shared" si="13"/>
        <v>0.13834787522915548</v>
      </c>
      <c r="F40" s="20">
        <f>I40/D40</f>
        <v>19.345175733097786</v>
      </c>
      <c r="G40" s="19">
        <f>F40/C40-1</f>
        <v>8.0736074474736741E-2</v>
      </c>
      <c r="H40" s="18">
        <f>SUM(H34:H39)</f>
        <v>17966.23</v>
      </c>
      <c r="I40" s="18">
        <f>SUM(I34:I39)</f>
        <v>19416.752883310248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1515</v>
      </c>
      <c r="E42" s="107">
        <f>D42/$D$48</f>
        <v>0.20882438076334617</v>
      </c>
      <c r="F42" s="28">
        <f>C42-(C42*$E$6)</f>
        <v>0.43229442978989474</v>
      </c>
      <c r="G42" s="27" t="str">
        <f>IF(C42&gt;=F42,"-","+")</f>
        <v>+</v>
      </c>
      <c r="H42" s="26">
        <f>C42*D42</f>
        <v>606</v>
      </c>
      <c r="I42" s="26">
        <f>F42*D42</f>
        <v>654.92606113169052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80.7</v>
      </c>
      <c r="E43" s="107">
        <f>D43/$D$48</f>
        <v>1.112351651986933E-2</v>
      </c>
      <c r="F43" s="28">
        <f>C43-(C43*$E$6)</f>
        <v>0.43229442978989474</v>
      </c>
      <c r="G43" s="27" t="str">
        <f>IF(C43&gt;=F43,"-","+")</f>
        <v>+</v>
      </c>
      <c r="H43" s="26">
        <f>C43*D43</f>
        <v>32.28</v>
      </c>
      <c r="I43" s="26">
        <f>F43*D43</f>
        <v>34.88616048404451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3.8</v>
      </c>
      <c r="E44" s="107">
        <f>D44/$D$48</f>
        <v>5.2378392534700681E-4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3.9</v>
      </c>
      <c r="E45" s="107">
        <f>D45/$D$48</f>
        <v>5.3756771285613867E-4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0.3980790819508544</v>
      </c>
      <c r="D46" s="22">
        <f>SUM(D41:D45)</f>
        <v>1603.4</v>
      </c>
      <c r="E46" s="113">
        <f>D46/$D$48</f>
        <v>0.22100924892141866</v>
      </c>
      <c r="F46" s="20">
        <f>I46/D46</f>
        <v>0.43021842435807345</v>
      </c>
      <c r="G46" s="19">
        <f>F46/C46-1</f>
        <v>8.0736074474736741E-2</v>
      </c>
      <c r="H46" s="18">
        <f>SUM(H41:H44)</f>
        <v>638.28</v>
      </c>
      <c r="I46" s="18">
        <f>SUM(I41:I44)</f>
        <v>689.81222161573498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96.032869417183477</v>
      </c>
      <c r="D48" s="13">
        <f>D24+D32+D40+D46</f>
        <v>7254.9</v>
      </c>
      <c r="E48" s="12">
        <f>SUM(E20:E46)/2</f>
        <v>0.99999999999999989</v>
      </c>
      <c r="F48" s="11">
        <f>I48/D48</f>
        <v>25.400000000000013</v>
      </c>
      <c r="G48" s="10"/>
      <c r="H48" s="9">
        <f>SUM(H20:H46)/2</f>
        <v>170508.28999999998</v>
      </c>
      <c r="I48" s="9">
        <f>SUM(I20:I46)/2</f>
        <v>184274.46000000008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7254.9000000000015</v>
      </c>
      <c r="E50" s="12">
        <f>D50/G2</f>
        <v>1.0000000000000002</v>
      </c>
      <c r="F50" s="11">
        <f>I50/D50</f>
        <v>25.400000000000006</v>
      </c>
      <c r="G50" s="10"/>
      <c r="H50" s="9">
        <f>H48+H19</f>
        <v>170508.28999999998</v>
      </c>
      <c r="I50" s="9">
        <f>I48+I19</f>
        <v>184274.46000000008</v>
      </c>
      <c r="J50" s="106">
        <f>D50-G2</f>
        <v>0</v>
      </c>
      <c r="K50" s="8"/>
    </row>
    <row r="51" spans="1:11" ht="23.25" x14ac:dyDescent="0.35">
      <c r="A51" s="174" t="s">
        <v>919</v>
      </c>
      <c r="B51" s="169"/>
      <c r="C51" s="170"/>
      <c r="G51" s="7"/>
      <c r="H51" s="6"/>
      <c r="I51" s="6">
        <f>+I50/D50</f>
        <v>25.400000000000006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914</v>
      </c>
      <c r="D1" s="100" t="s">
        <v>1</v>
      </c>
      <c r="E1" s="168" t="s">
        <v>920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918</v>
      </c>
      <c r="D2" s="96" t="s">
        <v>3</v>
      </c>
      <c r="E2" s="95" t="s">
        <v>112</v>
      </c>
      <c r="F2" s="94" t="s">
        <v>5</v>
      </c>
      <c r="G2" s="116">
        <v>1136.3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221</v>
      </c>
      <c r="D3" s="90" t="s">
        <v>7</v>
      </c>
      <c r="E3" s="89">
        <v>20</v>
      </c>
      <c r="F3" s="88" t="s">
        <v>8</v>
      </c>
      <c r="G3" s="120">
        <v>24.47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56.814999999999998</v>
      </c>
      <c r="F4" s="81" t="s">
        <v>12</v>
      </c>
      <c r="G4" s="80">
        <f>G2*G3</f>
        <v>27805.260999999999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-0.15492511436994971</v>
      </c>
      <c r="F6" s="69" t="s">
        <v>16</v>
      </c>
      <c r="G6" s="68">
        <f>(I50-I19)/(D50-(SUM(D42:D44)+D19))</f>
        <v>32.804696790939126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24.5</v>
      </c>
      <c r="D10" s="30"/>
      <c r="E10" s="29" t="e">
        <f t="shared" ref="E10:E19" si="1">D10/$D$19</f>
        <v>#DIV/0!</v>
      </c>
      <c r="F10" s="28">
        <f t="shared" ref="F10:F18" si="2">C10-(C10*$E$6)</f>
        <v>28.295665302063767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25.5</v>
      </c>
      <c r="D11" s="30"/>
      <c r="E11" s="29" t="e">
        <f t="shared" si="1"/>
        <v>#DIV/0!</v>
      </c>
      <c r="F11" s="28">
        <f t="shared" si="2"/>
        <v>29.45059041643372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23.3</v>
      </c>
      <c r="D12" s="30"/>
      <c r="E12" s="29" t="e">
        <f t="shared" si="1"/>
        <v>#DIV/0!</v>
      </c>
      <c r="F12" s="28">
        <f t="shared" si="2"/>
        <v>26.909755164819828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25.5</v>
      </c>
      <c r="D13" s="30"/>
      <c r="E13" s="29" t="e">
        <f t="shared" si="1"/>
        <v>#DIV/0!</v>
      </c>
      <c r="F13" s="28">
        <f t="shared" si="2"/>
        <v>29.45059041643372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28.5</v>
      </c>
      <c r="D14" s="30"/>
      <c r="E14" s="29" t="e">
        <f t="shared" si="1"/>
        <v>#DIV/0!</v>
      </c>
      <c r="F14" s="28">
        <f t="shared" si="2"/>
        <v>32.915365759543569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23.5</v>
      </c>
      <c r="D15" s="30"/>
      <c r="E15" s="29" t="e">
        <f t="shared" si="1"/>
        <v>#DIV/0!</v>
      </c>
      <c r="F15" s="28">
        <f t="shared" si="2"/>
        <v>27.140740187693819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32.200000000000003</v>
      </c>
      <c r="D16" s="30"/>
      <c r="E16" s="29" t="e">
        <f t="shared" si="1"/>
        <v>#DIV/0!</v>
      </c>
      <c r="F16" s="28">
        <f t="shared" si="2"/>
        <v>37.188588682712385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47.3</v>
      </c>
      <c r="D17" s="30"/>
      <c r="E17" s="29" t="e">
        <f t="shared" si="1"/>
        <v>#DIV/0!</v>
      </c>
      <c r="F17" s="28">
        <f t="shared" si="2"/>
        <v>54.627957909698615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41.5</v>
      </c>
      <c r="D18" s="30"/>
      <c r="E18" s="29" t="e">
        <f t="shared" si="1"/>
        <v>#DIV/0!</v>
      </c>
      <c r="F18" s="28">
        <f t="shared" si="2"/>
        <v>47.929392246352911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61.5</v>
      </c>
      <c r="D21" s="30">
        <v>15.7</v>
      </c>
      <c r="E21" s="29">
        <f>D21/$D$48</f>
        <v>1.3816773739329402E-2</v>
      </c>
      <c r="F21" s="28">
        <f>C21-(C21*$E$6)</f>
        <v>71.027894533751905</v>
      </c>
      <c r="G21" s="27" t="str">
        <f>IF(C21&gt;=F21,"-","+")</f>
        <v>+</v>
      </c>
      <c r="H21" s="26">
        <f>C21*D21</f>
        <v>965.55</v>
      </c>
      <c r="I21" s="26">
        <f>F21*D21</f>
        <v>1115.1379441799049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41.3</v>
      </c>
      <c r="D22" s="30">
        <v>29.1</v>
      </c>
      <c r="E22" s="29">
        <f>D22/$D$48</f>
        <v>2.5609434128311188E-2</v>
      </c>
      <c r="F22" s="28">
        <f>C22-(C22*$E$6)</f>
        <v>47.698407223478924</v>
      </c>
      <c r="G22" s="27" t="str">
        <f>IF(C22&gt;=F22,"-","+")</f>
        <v>+</v>
      </c>
      <c r="H22" s="26">
        <f>C22*D22</f>
        <v>1201.83</v>
      </c>
      <c r="I22" s="26">
        <f>F22*D22</f>
        <v>1388.0236502032367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37.700000000000003</v>
      </c>
      <c r="D23" s="30">
        <v>22.2</v>
      </c>
      <c r="E23" s="29">
        <f>D23/$D$48</f>
        <v>1.9537094077268329E-2</v>
      </c>
      <c r="F23" s="28">
        <f>C23-(C23*$E$6)</f>
        <v>43.540676811747105</v>
      </c>
      <c r="G23" s="27" t="str">
        <f>IF(C23&gt;=F23,"-","+")</f>
        <v>+</v>
      </c>
      <c r="H23" s="26">
        <f>C23*D23</f>
        <v>836.94</v>
      </c>
      <c r="I23" s="26">
        <f>F23*D23</f>
        <v>966.60302522078564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44.840597014925379</v>
      </c>
      <c r="D24" s="22">
        <f>SUM(D21:D23)</f>
        <v>67</v>
      </c>
      <c r="E24" s="21">
        <f>D24/$D$48</f>
        <v>5.8963301944908918E-2</v>
      </c>
      <c r="F24" s="20">
        <f>I24/D24</f>
        <v>51.78753163587951</v>
      </c>
      <c r="G24" s="19">
        <f>F24/C24-1</f>
        <v>0.15492511436994949</v>
      </c>
      <c r="H24" s="18">
        <f>SUM(H21:H23)</f>
        <v>3004.32</v>
      </c>
      <c r="I24" s="18">
        <f>SUM(I21:I23)</f>
        <v>3469.7646196039273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32.799999999999997</v>
      </c>
      <c r="D26" s="30">
        <v>198.4</v>
      </c>
      <c r="E26" s="29">
        <f t="shared" ref="E26:E32" si="7">D26/$D$48</f>
        <v>0.17460177769955118</v>
      </c>
      <c r="F26" s="28">
        <f t="shared" ref="F26:F31" si="8">C26-(C26*$E$6)</f>
        <v>37.881543751334348</v>
      </c>
      <c r="G26" s="27" t="str">
        <f t="shared" ref="G26:G31" si="9">IF(C26&gt;=F26,"-","+")</f>
        <v>+</v>
      </c>
      <c r="H26" s="26">
        <f t="shared" ref="H26:H31" si="10">C26*D26</f>
        <v>6507.5199999999995</v>
      </c>
      <c r="I26" s="26">
        <f t="shared" ref="I26:I31" si="11">F26*D26</f>
        <v>7515.6982802647353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29.2</v>
      </c>
      <c r="D27" s="30">
        <v>162</v>
      </c>
      <c r="E27" s="29">
        <f t="shared" si="7"/>
        <v>0.14256798380709321</v>
      </c>
      <c r="F27" s="28">
        <f t="shared" si="8"/>
        <v>33.723813339602529</v>
      </c>
      <c r="G27" s="27" t="str">
        <f t="shared" si="9"/>
        <v>+</v>
      </c>
      <c r="H27" s="26">
        <f t="shared" si="10"/>
        <v>4730.3999999999996</v>
      </c>
      <c r="I27" s="26">
        <f t="shared" si="11"/>
        <v>5463.2577610156095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29.2</v>
      </c>
      <c r="D28" s="30">
        <v>71.400000000000006</v>
      </c>
      <c r="E28" s="29">
        <f t="shared" si="7"/>
        <v>6.2835518789052192E-2</v>
      </c>
      <c r="F28" s="28">
        <f t="shared" si="8"/>
        <v>33.723813339602529</v>
      </c>
      <c r="G28" s="27" t="str">
        <f t="shared" si="9"/>
        <v>+</v>
      </c>
      <c r="H28" s="26">
        <f t="shared" si="10"/>
        <v>2084.88</v>
      </c>
      <c r="I28" s="26">
        <f t="shared" si="11"/>
        <v>2407.8802724476209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28.3</v>
      </c>
      <c r="D29" s="30">
        <v>80.3</v>
      </c>
      <c r="E29" s="29">
        <f t="shared" si="7"/>
        <v>7.0667957405614712E-2</v>
      </c>
      <c r="F29" s="28">
        <f t="shared" si="8"/>
        <v>32.684380736669581</v>
      </c>
      <c r="G29" s="27" t="str">
        <f t="shared" si="9"/>
        <v>+</v>
      </c>
      <c r="H29" s="26">
        <f t="shared" si="10"/>
        <v>2272.4899999999998</v>
      </c>
      <c r="I29" s="26">
        <f t="shared" si="11"/>
        <v>2624.5557731545673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28.3</v>
      </c>
      <c r="D30" s="30">
        <v>58.7</v>
      </c>
      <c r="E30" s="29">
        <f t="shared" si="7"/>
        <v>5.1658892898002295E-2</v>
      </c>
      <c r="F30" s="28">
        <f t="shared" si="8"/>
        <v>32.684380736669581</v>
      </c>
      <c r="G30" s="27" t="str">
        <f t="shared" si="9"/>
        <v>+</v>
      </c>
      <c r="H30" s="26">
        <f t="shared" si="10"/>
        <v>1661.21</v>
      </c>
      <c r="I30" s="26">
        <f t="shared" si="11"/>
        <v>1918.5731492425045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28.8</v>
      </c>
      <c r="D31" s="30">
        <v>19.100000000000001</v>
      </c>
      <c r="E31" s="29">
        <f t="shared" si="7"/>
        <v>1.6808941300712841E-2</v>
      </c>
      <c r="F31" s="28">
        <f t="shared" si="8"/>
        <v>33.261843293854554</v>
      </c>
      <c r="G31" s="27" t="str">
        <f t="shared" si="9"/>
        <v>+</v>
      </c>
      <c r="H31" s="26">
        <f t="shared" si="10"/>
        <v>550.08000000000004</v>
      </c>
      <c r="I31" s="26">
        <f t="shared" si="11"/>
        <v>635.30120691262198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30.185760298355657</v>
      </c>
      <c r="D32" s="22">
        <f>SUM(D26:D31)</f>
        <v>589.9</v>
      </c>
      <c r="E32" s="21">
        <f t="shared" si="7"/>
        <v>0.51914107190002645</v>
      </c>
      <c r="F32" s="20">
        <f>I32/D32</f>
        <v>34.862292664922293</v>
      </c>
      <c r="G32" s="19">
        <f>F32/C32-1</f>
        <v>0.15492511436994971</v>
      </c>
      <c r="H32" s="18">
        <f>SUM(H26:H31)</f>
        <v>17806.580000000002</v>
      </c>
      <c r="I32" s="18">
        <f>SUM(I26:I31)</f>
        <v>20565.266443037661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</v>
      </c>
      <c r="D34" s="30">
        <f>86.6+82.2</f>
        <v>168.8</v>
      </c>
      <c r="E34" s="29">
        <f t="shared" ref="E34:E40" si="13">D34/$D$48</f>
        <v>0.14855231892986009</v>
      </c>
      <c r="F34" s="28">
        <f t="shared" ref="F34:F39" si="14">C34-(C34*$E$6)</f>
        <v>19.980204478600129</v>
      </c>
      <c r="G34" s="27" t="str">
        <f t="shared" ref="G34:G39" si="15">IF(C34&gt;=F34,"-","+")</f>
        <v>+</v>
      </c>
      <c r="H34" s="26">
        <f t="shared" ref="H34:H39" si="16">C34*D34</f>
        <v>2920.2400000000002</v>
      </c>
      <c r="I34" s="26">
        <f t="shared" ref="I34:I39" si="17">F34*D34</f>
        <v>3372.6585159877018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>
        <v>17.2</v>
      </c>
      <c r="E35" s="29">
        <f t="shared" si="13"/>
        <v>1.5136847663469155E-2</v>
      </c>
      <c r="F35" s="28">
        <f t="shared" si="14"/>
        <v>15.360504021120331</v>
      </c>
      <c r="G35" s="27" t="str">
        <f t="shared" si="15"/>
        <v>+</v>
      </c>
      <c r="H35" s="26">
        <f t="shared" si="16"/>
        <v>228.76</v>
      </c>
      <c r="I35" s="26">
        <f t="shared" si="17"/>
        <v>264.20066916326971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12.35769872375846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28.3</v>
      </c>
      <c r="D37" s="30"/>
      <c r="E37" s="29">
        <f t="shared" si="13"/>
        <v>0</v>
      </c>
      <c r="F37" s="28">
        <f t="shared" si="14"/>
        <v>32.684380736669581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28.3</v>
      </c>
      <c r="D38" s="30"/>
      <c r="E38" s="29">
        <f t="shared" si="13"/>
        <v>0</v>
      </c>
      <c r="F38" s="28">
        <f t="shared" si="14"/>
        <v>32.684380736669581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29.2</v>
      </c>
      <c r="D39" s="30"/>
      <c r="E39" s="29">
        <f t="shared" si="13"/>
        <v>0</v>
      </c>
      <c r="F39" s="28">
        <f t="shared" si="14"/>
        <v>33.723813339602529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16.93010752688172</v>
      </c>
      <c r="D40" s="22">
        <f>SUM(D34:D39)</f>
        <v>186</v>
      </c>
      <c r="E40" s="113">
        <f t="shared" si="13"/>
        <v>0.16368916659332924</v>
      </c>
      <c r="F40" s="20">
        <f>I40/D40</f>
        <v>19.553006371779414</v>
      </c>
      <c r="G40" s="19">
        <f>F40/C40-1</f>
        <v>0.15492511436994949</v>
      </c>
      <c r="H40" s="18">
        <f>SUM(H34:H39)</f>
        <v>3149</v>
      </c>
      <c r="I40" s="18">
        <f>SUM(I34:I39)</f>
        <v>3636.8591851509714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129+17.5+133.1</f>
        <v>279.60000000000002</v>
      </c>
      <c r="E42" s="107">
        <f>D42/$D$48</f>
        <v>0.24606177945964977</v>
      </c>
      <c r="F42" s="28">
        <f>C42-(C42*$E$6)</f>
        <v>0.4619700457479799</v>
      </c>
      <c r="G42" s="27" t="str">
        <f>IF(C42&gt;=F42,"-","+")</f>
        <v>+</v>
      </c>
      <c r="H42" s="26">
        <f>C42*D42</f>
        <v>111.84000000000002</v>
      </c>
      <c r="I42" s="26">
        <f>F42*D42</f>
        <v>129.16682479113518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9.1</v>
      </c>
      <c r="E43" s="107">
        <f>D43/$D$48</f>
        <v>8.0084484731144951E-3</v>
      </c>
      <c r="F43" s="28">
        <f>C43-(C43*$E$6)</f>
        <v>0.4619700457479799</v>
      </c>
      <c r="G43" s="27" t="str">
        <f>IF(C43&gt;=F43,"-","+")</f>
        <v>+</v>
      </c>
      <c r="H43" s="26">
        <f>C43*D43</f>
        <v>3.64</v>
      </c>
      <c r="I43" s="26">
        <f>F43*D43</f>
        <v>4.2039274163066169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4.136231628971223E-3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0.39359236537150649</v>
      </c>
      <c r="D46" s="22">
        <f>SUM(D41:D45)</f>
        <v>293.40000000000003</v>
      </c>
      <c r="E46" s="113">
        <f>D46/$D$48</f>
        <v>0.25820645956173549</v>
      </c>
      <c r="F46" s="20">
        <f>I46/D46</f>
        <v>0.45456970759182613</v>
      </c>
      <c r="G46" s="19">
        <f>F46/C46-1</f>
        <v>0.15492511436994971</v>
      </c>
      <c r="H46" s="18">
        <f>SUM(H41:H44)</f>
        <v>115.48000000000002</v>
      </c>
      <c r="I46" s="18">
        <f>SUM(I41:I44)</f>
        <v>133.3707522074418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92.35005720553427</v>
      </c>
      <c r="D48" s="13">
        <f>D24+D32+D40+D46</f>
        <v>1136.3</v>
      </c>
      <c r="E48" s="12">
        <f>SUM(E20:E46)/2</f>
        <v>1.0000000000000002</v>
      </c>
      <c r="F48" s="11">
        <f>I48/D48</f>
        <v>24.47</v>
      </c>
      <c r="G48" s="10"/>
      <c r="H48" s="9">
        <f>SUM(H20:H46)/2</f>
        <v>24075.38</v>
      </c>
      <c r="I48" s="9">
        <f>SUM(I20:I46)/2</f>
        <v>27805.260999999999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1136.3</v>
      </c>
      <c r="E50" s="12">
        <f>D50/G2</f>
        <v>1</v>
      </c>
      <c r="F50" s="11">
        <f>I50/D50</f>
        <v>24.47</v>
      </c>
      <c r="G50" s="10"/>
      <c r="H50" s="9">
        <f>H48+H19</f>
        <v>24075.38</v>
      </c>
      <c r="I50" s="9">
        <f>I48+I19</f>
        <v>27805.260999999999</v>
      </c>
      <c r="J50" s="106">
        <f>D50-G2</f>
        <v>0</v>
      </c>
      <c r="K50" s="8"/>
    </row>
    <row r="51" spans="1:11" ht="23.25" x14ac:dyDescent="0.35">
      <c r="A51" s="174" t="s">
        <v>921</v>
      </c>
      <c r="B51" s="169"/>
      <c r="C51" s="170"/>
      <c r="G51" s="7"/>
      <c r="H51" s="6"/>
      <c r="I51" s="6">
        <f>+I50/D50</f>
        <v>24.47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908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918</v>
      </c>
      <c r="D2" s="96" t="s">
        <v>3</v>
      </c>
      <c r="E2" s="95" t="s">
        <v>71</v>
      </c>
      <c r="F2" s="94" t="s">
        <v>5</v>
      </c>
      <c r="G2" s="93">
        <v>20731.8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264</v>
      </c>
      <c r="F3" s="88" t="s">
        <v>8</v>
      </c>
      <c r="G3" s="87">
        <v>28.45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78.529545454545456</v>
      </c>
      <c r="F4" s="81" t="s">
        <v>12</v>
      </c>
      <c r="G4" s="80">
        <f>G2*G3</f>
        <v>589819.71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-1.1084639822782627E-3</v>
      </c>
      <c r="F6" s="69" t="s">
        <v>16</v>
      </c>
      <c r="G6" s="68">
        <f>(I50-I19)/(D50-(SUM(D42:D44)+D19))</f>
        <v>33.489452914806634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28.531591223494932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>
        <v>6043.8</v>
      </c>
      <c r="E11" s="29">
        <f t="shared" si="1"/>
        <v>0.61441961653416832</v>
      </c>
      <c r="F11" s="28">
        <f t="shared" si="2"/>
        <v>29.632810533875439</v>
      </c>
      <c r="G11" s="27" t="str">
        <f t="shared" si="3"/>
        <v>+</v>
      </c>
      <c r="H11" s="34">
        <f t="shared" si="4"/>
        <v>178896.48</v>
      </c>
      <c r="I11" s="34">
        <f t="shared" si="5"/>
        <v>179094.78030463637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>
        <v>3181.4</v>
      </c>
      <c r="E12" s="29">
        <f t="shared" si="1"/>
        <v>0.32342476058800806</v>
      </c>
      <c r="F12" s="28">
        <f t="shared" si="2"/>
        <v>27.130039373919743</v>
      </c>
      <c r="G12" s="27" t="str">
        <f t="shared" si="3"/>
        <v>+</v>
      </c>
      <c r="H12" s="34">
        <f t="shared" si="4"/>
        <v>86215.94</v>
      </c>
      <c r="I12" s="34">
        <f t="shared" si="5"/>
        <v>86311.507264188273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>
        <v>176.8</v>
      </c>
      <c r="E13" s="29">
        <f t="shared" si="1"/>
        <v>1.7973690096171443E-2</v>
      </c>
      <c r="F13" s="28">
        <f t="shared" si="2"/>
        <v>29.632810533875439</v>
      </c>
      <c r="G13" s="27" t="str">
        <f t="shared" si="3"/>
        <v>+</v>
      </c>
      <c r="H13" s="34">
        <f t="shared" si="4"/>
        <v>5233.2800000000007</v>
      </c>
      <c r="I13" s="34">
        <f t="shared" si="5"/>
        <v>5239.0809023891779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>
        <f t="shared" si="1"/>
        <v>0</v>
      </c>
      <c r="F14" s="28">
        <f t="shared" si="2"/>
        <v>33.136690157813412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>
        <f>21+386.6</f>
        <v>407.6</v>
      </c>
      <c r="E15" s="29">
        <f t="shared" si="1"/>
        <v>4.1437081918549092E-2</v>
      </c>
      <c r="F15" s="28">
        <f t="shared" si="2"/>
        <v>27.330261066716197</v>
      </c>
      <c r="G15" s="27" t="str">
        <f t="shared" si="3"/>
        <v>+</v>
      </c>
      <c r="H15" s="34">
        <f t="shared" si="4"/>
        <v>11127.480000000001</v>
      </c>
      <c r="I15" s="34">
        <f t="shared" si="5"/>
        <v>11139.814410793522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37.4</v>
      </c>
      <c r="D16" s="30">
        <v>9</v>
      </c>
      <c r="E16" s="29">
        <f t="shared" si="1"/>
        <v>9.1495028770103486E-4</v>
      </c>
      <c r="F16" s="28">
        <f t="shared" si="2"/>
        <v>37.441456552937204</v>
      </c>
      <c r="G16" s="27" t="str">
        <f t="shared" si="3"/>
        <v>+</v>
      </c>
      <c r="H16" s="34">
        <f t="shared" si="4"/>
        <v>336.59999999999997</v>
      </c>
      <c r="I16" s="34">
        <f t="shared" si="5"/>
        <v>336.97310897643484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</v>
      </c>
      <c r="D17" s="30">
        <v>18</v>
      </c>
      <c r="E17" s="29">
        <f t="shared" si="1"/>
        <v>1.8299005754020697E-3</v>
      </c>
      <c r="F17" s="28">
        <f t="shared" si="2"/>
        <v>55.060965519025302</v>
      </c>
      <c r="G17" s="27" t="str">
        <f t="shared" si="3"/>
        <v>+</v>
      </c>
      <c r="H17" s="34">
        <f t="shared" si="4"/>
        <v>990</v>
      </c>
      <c r="I17" s="34">
        <f t="shared" si="5"/>
        <v>991.0973793424555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48.2</v>
      </c>
      <c r="D18" s="30"/>
      <c r="E18" s="29">
        <f t="shared" si="1"/>
        <v>0</v>
      </c>
      <c r="F18" s="28">
        <f t="shared" si="2"/>
        <v>48.253427963945818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28.749748896976598</v>
      </c>
      <c r="D19" s="49">
        <f>SUM(D10:D18)</f>
        <v>9836.6</v>
      </c>
      <c r="E19" s="48">
        <f t="shared" si="1"/>
        <v>1</v>
      </c>
      <c r="F19" s="47">
        <f>I19/D19</f>
        <v>28.781616958128449</v>
      </c>
      <c r="G19" s="46">
        <f>F19/C19-1</f>
        <v>1.1084639822784847E-3</v>
      </c>
      <c r="H19" s="9">
        <f>SUM(H10:H18)</f>
        <v>282799.78000000003</v>
      </c>
      <c r="I19" s="9">
        <f>SUM(I10:I18)</f>
        <v>283113.2533703263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71.599999999999994</v>
      </c>
      <c r="D21" s="30">
        <v>77.7</v>
      </c>
      <c r="E21" s="29">
        <f>D21/$D$48</f>
        <v>7.1315154240819446E-3</v>
      </c>
      <c r="F21" s="28">
        <f>C21-(C21*$E$6)</f>
        <v>71.679366021131116</v>
      </c>
      <c r="G21" s="27" t="str">
        <f>IF(C21&gt;=F21,"-","+")</f>
        <v>+</v>
      </c>
      <c r="H21" s="26">
        <f>C21*D21</f>
        <v>5563.32</v>
      </c>
      <c r="I21" s="26">
        <f>F21*D21</f>
        <v>5569.4867398418883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448.8</v>
      </c>
      <c r="E22" s="29">
        <f>D22/$D$48</f>
        <v>4.1192073646434707E-2</v>
      </c>
      <c r="F22" s="28">
        <f>C22-(C22*$E$6)</f>
        <v>48.153317117547587</v>
      </c>
      <c r="G22" s="27" t="str">
        <f>IF(C22&gt;=F22,"-","+")</f>
        <v>+</v>
      </c>
      <c r="H22" s="26">
        <f>C22*D22</f>
        <v>21587.280000000002</v>
      </c>
      <c r="I22" s="26">
        <f>F22*D22</f>
        <v>21611.208722355357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43.8</v>
      </c>
      <c r="D23" s="30">
        <v>160.6</v>
      </c>
      <c r="E23" s="29">
        <f>D23/$D$48</f>
        <v>1.4740300863675164E-2</v>
      </c>
      <c r="F23" s="28">
        <f>C23-(C23*$E$6)</f>
        <v>43.848550722423788</v>
      </c>
      <c r="G23" s="27" t="str">
        <f>IF(C23&gt;=F23,"-","+")</f>
        <v>+</v>
      </c>
      <c r="H23" s="26">
        <f>C23*D23</f>
        <v>7034.28</v>
      </c>
      <c r="I23" s="26">
        <f>F23*D23</f>
        <v>7042.0772460212602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49.752408674137683</v>
      </c>
      <c r="D24" s="22">
        <f>SUM(D21:D23)</f>
        <v>687.1</v>
      </c>
      <c r="E24" s="21">
        <f>D24/$D$48</f>
        <v>6.3063889934191819E-2</v>
      </c>
      <c r="F24" s="20">
        <f>I24/D24</f>
        <v>49.807557427184555</v>
      </c>
      <c r="G24" s="19">
        <f>F24/C24-1</f>
        <v>1.1084639822782627E-3</v>
      </c>
      <c r="H24" s="18">
        <f>SUM(H21:H23)</f>
        <v>34184.880000000005</v>
      </c>
      <c r="I24" s="18">
        <f>SUM(I21:I23)</f>
        <v>34222.772708218508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f>1188.1+1029.6</f>
        <v>2217.6999999999998</v>
      </c>
      <c r="E26" s="29">
        <f t="shared" ref="E26:E32" si="7">D26/$D$48</f>
        <v>0.20354648334602993</v>
      </c>
      <c r="F26" s="28">
        <f t="shared" ref="F26:F31" si="8">C26-(C26*$E$6)</f>
        <v>38.242343324123034</v>
      </c>
      <c r="G26" s="27" t="str">
        <f t="shared" ref="G26:G31" si="9">IF(C26&gt;=F26,"-","+")</f>
        <v>+</v>
      </c>
      <c r="H26" s="26">
        <f t="shared" ref="H26:H31" si="10">C26*D26</f>
        <v>84716.14</v>
      </c>
      <c r="I26" s="26">
        <f t="shared" ref="I26:I31" si="11">F26*D26</f>
        <v>84810.044789907639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</v>
      </c>
      <c r="D27" s="30">
        <v>1847.1</v>
      </c>
      <c r="E27" s="29">
        <f t="shared" si="7"/>
        <v>0.16953181647132251</v>
      </c>
      <c r="F27" s="28">
        <f t="shared" si="8"/>
        <v>34.037687775397458</v>
      </c>
      <c r="G27" s="27" t="str">
        <f t="shared" si="9"/>
        <v>+</v>
      </c>
      <c r="H27" s="26">
        <f t="shared" si="10"/>
        <v>62801.399999999994</v>
      </c>
      <c r="I27" s="26">
        <f t="shared" si="11"/>
        <v>62871.013089936641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</v>
      </c>
      <c r="D28" s="30">
        <v>1275.8</v>
      </c>
      <c r="E28" s="29">
        <f t="shared" si="7"/>
        <v>0.11709636265178563</v>
      </c>
      <c r="F28" s="28">
        <f t="shared" si="8"/>
        <v>34.037687775397458</v>
      </c>
      <c r="G28" s="27" t="str">
        <f t="shared" si="9"/>
        <v>+</v>
      </c>
      <c r="H28" s="26">
        <f t="shared" si="10"/>
        <v>43377.2</v>
      </c>
      <c r="I28" s="26">
        <f t="shared" si="11"/>
        <v>43425.282063852079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816.2</v>
      </c>
      <c r="E29" s="29">
        <f t="shared" si="7"/>
        <v>7.4913035896212135E-2</v>
      </c>
      <c r="F29" s="28">
        <f t="shared" si="8"/>
        <v>32.936468465016951</v>
      </c>
      <c r="G29" s="27" t="str">
        <f t="shared" si="9"/>
        <v>+</v>
      </c>
      <c r="H29" s="26">
        <f t="shared" si="10"/>
        <v>26852.98</v>
      </c>
      <c r="I29" s="26">
        <f t="shared" si="11"/>
        <v>26882.745561146836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440.3</v>
      </c>
      <c r="E30" s="29">
        <f t="shared" si="7"/>
        <v>4.0411920736464352E-2</v>
      </c>
      <c r="F30" s="28">
        <f t="shared" si="8"/>
        <v>32.936468465016951</v>
      </c>
      <c r="G30" s="27" t="str">
        <f t="shared" si="9"/>
        <v>+</v>
      </c>
      <c r="H30" s="26">
        <f t="shared" si="10"/>
        <v>14485.869999999999</v>
      </c>
      <c r="I30" s="26">
        <f t="shared" si="11"/>
        <v>14501.927065146963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120.4</v>
      </c>
      <c r="E31" s="29">
        <f t="shared" si="7"/>
        <v>1.1050636512991843E-2</v>
      </c>
      <c r="F31" s="28">
        <f t="shared" si="8"/>
        <v>33.437022697008089</v>
      </c>
      <c r="G31" s="27" t="str">
        <f t="shared" si="9"/>
        <v>+</v>
      </c>
      <c r="H31" s="26">
        <f t="shared" si="10"/>
        <v>4021.36</v>
      </c>
      <c r="I31" s="26">
        <f t="shared" si="11"/>
        <v>4025.8175327197741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35.170070710829926</v>
      </c>
      <c r="D32" s="22">
        <f>SUM(D26:D31)</f>
        <v>6717.4999999999991</v>
      </c>
      <c r="E32" s="21">
        <f t="shared" si="7"/>
        <v>0.61655025561480636</v>
      </c>
      <c r="F32" s="20">
        <f>I32/D32</f>
        <v>35.20905546746706</v>
      </c>
      <c r="G32" s="19">
        <f>F32/C32-1</f>
        <v>1.1084639822782627E-3</v>
      </c>
      <c r="H32" s="18">
        <f>SUM(H26:H31)</f>
        <v>236254.94999999998</v>
      </c>
      <c r="I32" s="18">
        <f>SUM(I26:I31)</f>
        <v>236516.83010270994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1744.8</v>
      </c>
      <c r="E34" s="29">
        <f t="shared" ref="E34:E40" si="13">D34/$D$48</f>
        <v>0.16014244674309105</v>
      </c>
      <c r="F34" s="28">
        <f t="shared" ref="F34:F39" si="14">C34-(C34*$E$6)</f>
        <v>20.122280126043794</v>
      </c>
      <c r="G34" s="27" t="str">
        <f t="shared" ref="G34:G39" si="15">IF(C34&gt;=F34,"-","+")</f>
        <v>+</v>
      </c>
      <c r="H34" s="26">
        <f t="shared" ref="H34:H39" si="16">C34*D34</f>
        <v>35070.480000000003</v>
      </c>
      <c r="I34" s="26">
        <f t="shared" ref="I34:I39" si="17">F34*D34</f>
        <v>35109.354363921208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15.517181191725314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12.413744953380251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32.936468465016951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32.936468465016951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</v>
      </c>
      <c r="D39" s="30"/>
      <c r="E39" s="29">
        <f t="shared" si="13"/>
        <v>0</v>
      </c>
      <c r="F39" s="28">
        <f t="shared" si="14"/>
        <v>34.037687775397458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1744.8</v>
      </c>
      <c r="E40" s="21">
        <f t="shared" si="13"/>
        <v>0.16014244674309105</v>
      </c>
      <c r="F40" s="20">
        <f>I40/D40</f>
        <v>20.12228012604379</v>
      </c>
      <c r="G40" s="19">
        <f>F40/C40-1</f>
        <v>1.1084639822780407E-3</v>
      </c>
      <c r="H40" s="18">
        <f>SUM(H34:H39)</f>
        <v>35070.480000000003</v>
      </c>
      <c r="I40" s="18">
        <f>SUM(I34:I39)</f>
        <v>35109.354363921208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1643</v>
      </c>
      <c r="E42" s="107">
        <f>D42/$D$48</f>
        <v>0.15079896836250495</v>
      </c>
      <c r="F42" s="28">
        <f>C42-(C42*$E$6)</f>
        <v>0.50055423199113913</v>
      </c>
      <c r="G42" s="27" t="str">
        <f>IF(C42&gt;=F42,"-","+")</f>
        <v>+</v>
      </c>
      <c r="H42" s="26">
        <f>C42*D42</f>
        <v>821.5</v>
      </c>
      <c r="I42" s="26">
        <f>F42*D42</f>
        <v>822.4106031614416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70.099999999999994</v>
      </c>
      <c r="E43" s="107">
        <f>D43/$D$48</f>
        <v>6.433966939873156E-3</v>
      </c>
      <c r="F43" s="28">
        <f>C43-(C43*$E$6)</f>
        <v>0.50055423199113913</v>
      </c>
      <c r="G43" s="27" t="str">
        <f>IF(C43&gt;=F43,"-","+")</f>
        <v>+</v>
      </c>
      <c r="H43" s="26">
        <f>C43*D43</f>
        <v>35.049999999999997</v>
      </c>
      <c r="I43" s="26">
        <f>F43*D43</f>
        <v>35.088851662578847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23.9</v>
      </c>
      <c r="E44" s="107">
        <f>D44/$D$48</f>
        <v>2.1936064174460546E-3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8.9</v>
      </c>
      <c r="E45" s="107">
        <f>D45/$D$48</f>
        <v>8.1686598808660619E-4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0.49060656394982527</v>
      </c>
      <c r="D46" s="22">
        <f>SUM(D41:D45)</f>
        <v>1745.9</v>
      </c>
      <c r="E46" s="113">
        <f>D46/$D$48</f>
        <v>0.16024340770791076</v>
      </c>
      <c r="F46" s="20">
        <f>I46/D46</f>
        <v>0.49115038365543295</v>
      </c>
      <c r="G46" s="19">
        <f>F46/C46-1</f>
        <v>1.1084639822782627E-3</v>
      </c>
      <c r="H46" s="18">
        <f>SUM(H41:H44)</f>
        <v>856.55</v>
      </c>
      <c r="I46" s="18">
        <f>SUM(I41:I44)</f>
        <v>857.4994548240204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105.51308594891742</v>
      </c>
      <c r="D48" s="13">
        <f>D24+D32+D40+D46</f>
        <v>10895.3</v>
      </c>
      <c r="E48" s="12">
        <f>SUM(E20:E46)/2</f>
        <v>0.99999999999999978</v>
      </c>
      <c r="F48" s="11">
        <f>I48/D48</f>
        <v>28.150345252510135</v>
      </c>
      <c r="G48" s="10"/>
      <c r="H48" s="9">
        <f>SUM(H20:H46)/2</f>
        <v>306366.86</v>
      </c>
      <c r="I48" s="9">
        <f>SUM(I20:I46)/2</f>
        <v>306706.45662967366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20731.900000000001</v>
      </c>
      <c r="E50" s="12">
        <f>D50/G2</f>
        <v>1.000004823507848</v>
      </c>
      <c r="F50" s="11">
        <f>I50/D50</f>
        <v>28.449862771863646</v>
      </c>
      <c r="G50" s="10"/>
      <c r="H50" s="9">
        <f>H48+H19</f>
        <v>589166.64</v>
      </c>
      <c r="I50" s="9">
        <f>I48+I19</f>
        <v>589819.71</v>
      </c>
      <c r="J50" s="106">
        <f>D50-G2</f>
        <v>0.10000000000218279</v>
      </c>
      <c r="K50" s="8"/>
    </row>
    <row r="51" spans="1:11" ht="23.25" x14ac:dyDescent="0.35">
      <c r="A51" s="174" t="s">
        <v>922</v>
      </c>
      <c r="B51" s="169"/>
      <c r="C51" s="170"/>
      <c r="G51" s="7"/>
      <c r="H51" s="6"/>
      <c r="I51" s="6">
        <f>+I50/D50</f>
        <v>28.449862771863646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 bestFit="1" customWidth="1"/>
  </cols>
  <sheetData>
    <row r="1" spans="1:11" ht="15.75" x14ac:dyDescent="0.25">
      <c r="A1" s="103" t="s">
        <v>0</v>
      </c>
      <c r="B1" s="102"/>
      <c r="C1" s="101" t="s">
        <v>918</v>
      </c>
      <c r="D1" s="100" t="s">
        <v>1</v>
      </c>
      <c r="E1" s="168" t="s">
        <v>775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923</v>
      </c>
      <c r="D2" s="96" t="s">
        <v>3</v>
      </c>
      <c r="E2" s="95" t="s">
        <v>112</v>
      </c>
      <c r="F2" s="94" t="s">
        <v>5</v>
      </c>
      <c r="G2" s="116">
        <v>13908.5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208</v>
      </c>
      <c r="F3" s="88" t="s">
        <v>8</v>
      </c>
      <c r="G3" s="120">
        <v>25.14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66.867788461538467</v>
      </c>
      <c r="F4" s="81" t="s">
        <v>12</v>
      </c>
      <c r="G4" s="80">
        <f>G2*G3</f>
        <v>349659.69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-9.1726323831742285E-2</v>
      </c>
      <c r="F6" s="69" t="s">
        <v>16</v>
      </c>
      <c r="G6" s="68">
        <f>(I50-I19)/(D50-(SUM(D42:D44)+D19))</f>
        <v>32.019648480484179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25.1</v>
      </c>
      <c r="D10" s="30"/>
      <c r="E10" s="29">
        <f t="shared" ref="E10:E19" si="1">D10/$D$19</f>
        <v>0</v>
      </c>
      <c r="F10" s="28">
        <f t="shared" ref="F10:F18" si="2">C10-(C10*$E$6)</f>
        <v>27.402330728176732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26.2</v>
      </c>
      <c r="D11" s="30"/>
      <c r="E11" s="29">
        <f t="shared" si="1"/>
        <v>0</v>
      </c>
      <c r="F11" s="28">
        <f t="shared" si="2"/>
        <v>28.603229684391646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23.9</v>
      </c>
      <c r="D12" s="30"/>
      <c r="E12" s="29">
        <f t="shared" si="1"/>
        <v>0</v>
      </c>
      <c r="F12" s="28">
        <f t="shared" si="2"/>
        <v>26.092259139578641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26.2</v>
      </c>
      <c r="D13" s="30"/>
      <c r="E13" s="29">
        <f t="shared" si="1"/>
        <v>0</v>
      </c>
      <c r="F13" s="28">
        <f t="shared" si="2"/>
        <v>28.603229684391646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29.3</v>
      </c>
      <c r="D14" s="30"/>
      <c r="E14" s="29">
        <f t="shared" si="1"/>
        <v>0</v>
      </c>
      <c r="F14" s="28">
        <f t="shared" si="2"/>
        <v>31.98758128827005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24.1</v>
      </c>
      <c r="D15" s="30"/>
      <c r="E15" s="29">
        <f t="shared" si="1"/>
        <v>0</v>
      </c>
      <c r="F15" s="28">
        <f t="shared" si="2"/>
        <v>26.310604404344989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</v>
      </c>
      <c r="D16" s="30">
        <v>23</v>
      </c>
      <c r="E16" s="29">
        <f t="shared" si="1"/>
        <v>0.36507936507936506</v>
      </c>
      <c r="F16" s="28">
        <f t="shared" si="2"/>
        <v>36.026968686447496</v>
      </c>
      <c r="G16" s="27" t="str">
        <f t="shared" si="3"/>
        <v>+</v>
      </c>
      <c r="H16" s="34">
        <f t="shared" si="4"/>
        <v>759</v>
      </c>
      <c r="I16" s="34">
        <f t="shared" si="5"/>
        <v>828.62027978829246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48.6</v>
      </c>
      <c r="D17" s="30">
        <v>40</v>
      </c>
      <c r="E17" s="29">
        <f t="shared" si="1"/>
        <v>0.63492063492063489</v>
      </c>
      <c r="F17" s="28">
        <f t="shared" si="2"/>
        <v>53.057899338222676</v>
      </c>
      <c r="G17" s="27" t="str">
        <f t="shared" si="3"/>
        <v>+</v>
      </c>
      <c r="H17" s="34">
        <f t="shared" si="4"/>
        <v>1944</v>
      </c>
      <c r="I17" s="34">
        <f t="shared" si="5"/>
        <v>2122.3159735289069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42.6</v>
      </c>
      <c r="D18" s="30"/>
      <c r="E18" s="29">
        <f t="shared" si="1"/>
        <v>0</v>
      </c>
      <c r="F18" s="28">
        <f t="shared" si="2"/>
        <v>46.507541395232224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42.904761904761905</v>
      </c>
      <c r="D19" s="49">
        <f>SUM(D10:D18)</f>
        <v>63</v>
      </c>
      <c r="E19" s="48">
        <f t="shared" si="1"/>
        <v>1</v>
      </c>
      <c r="F19" s="47">
        <f>I19/D19</f>
        <v>46.840257989161891</v>
      </c>
      <c r="G19" s="46">
        <f>F19/C19-1</f>
        <v>9.1726323831742285E-2</v>
      </c>
      <c r="H19" s="9">
        <f>SUM(H10:H18)</f>
        <v>2703</v>
      </c>
      <c r="I19" s="9">
        <f>SUM(I10:I18)</f>
        <v>2950.9362533171993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63.2</v>
      </c>
      <c r="D21" s="30">
        <v>189.5</v>
      </c>
      <c r="E21" s="29">
        <f>D21/$D$48</f>
        <v>1.3686757430211985E-2</v>
      </c>
      <c r="F21" s="28">
        <f>C21-(C21*$E$6)</f>
        <v>68.997103666166112</v>
      </c>
      <c r="G21" s="27" t="str">
        <f>IF(C21&gt;=F21,"-","+")</f>
        <v>+</v>
      </c>
      <c r="H21" s="26">
        <f>C21*D21</f>
        <v>11976.4</v>
      </c>
      <c r="I21" s="26">
        <f>F21*D21</f>
        <v>13074.951144738478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42.5</v>
      </c>
      <c r="D22" s="30">
        <v>366.8</v>
      </c>
      <c r="E22" s="29">
        <f>D22/$D$48</f>
        <v>2.6492362139323249E-2</v>
      </c>
      <c r="F22" s="28">
        <f>C22-(C22*$E$6)</f>
        <v>46.398368762849046</v>
      </c>
      <c r="G22" s="27" t="str">
        <f>IF(C22&gt;=F22,"-","+")</f>
        <v>+</v>
      </c>
      <c r="H22" s="26">
        <f>C22*D22</f>
        <v>15589</v>
      </c>
      <c r="I22" s="26">
        <f>F22*D22</f>
        <v>17018.92166221303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38.700000000000003</v>
      </c>
      <c r="D23" s="30">
        <v>306</v>
      </c>
      <c r="E23" s="29">
        <f>D23/$D$48</f>
        <v>2.2101043660395076E-2</v>
      </c>
      <c r="F23" s="28">
        <f>C23-(C23*$E$6)</f>
        <v>42.249808732288429</v>
      </c>
      <c r="G23" s="27" t="str">
        <f>IF(C23&gt;=F23,"-","+")</f>
        <v>+</v>
      </c>
      <c r="H23" s="26">
        <f>C23*D23</f>
        <v>11842.2</v>
      </c>
      <c r="I23" s="26">
        <f>F23*D23</f>
        <v>12928.44147208026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45.700568247709626</v>
      </c>
      <c r="D24" s="22">
        <f>SUM(D21:D23)</f>
        <v>862.3</v>
      </c>
      <c r="E24" s="21">
        <f>D24/$D$48</f>
        <v>6.228016322993031E-2</v>
      </c>
      <c r="F24" s="20">
        <f>I24/D24</f>
        <v>49.892513370093667</v>
      </c>
      <c r="G24" s="19">
        <f>F24/C24-1</f>
        <v>9.1726323831742063E-2</v>
      </c>
      <c r="H24" s="18">
        <f>SUM(H21:H23)</f>
        <v>39407.600000000006</v>
      </c>
      <c r="I24" s="18">
        <f>SUM(I21:I23)</f>
        <v>43022.314279031765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33.700000000000003</v>
      </c>
      <c r="D26" s="30">
        <f>269.2+323.5+154.7+1771.4</f>
        <v>2518.8000000000002</v>
      </c>
      <c r="E26" s="29">
        <f t="shared" ref="E26:E32" si="7">D26/$D$48</f>
        <v>0.18192192409085989</v>
      </c>
      <c r="F26" s="28">
        <f t="shared" ref="F26:F31" si="8">C26-(C26*$E$6)</f>
        <v>36.79117711312972</v>
      </c>
      <c r="G26" s="27" t="str">
        <f t="shared" ref="G26:G31" si="9">IF(C26&gt;=F26,"-","+")</f>
        <v>+</v>
      </c>
      <c r="H26" s="26">
        <f t="shared" ref="H26:H31" si="10">C26*D26</f>
        <v>84883.560000000012</v>
      </c>
      <c r="I26" s="26">
        <f t="shared" ref="I26:I31" si="11">F26*D26</f>
        <v>92669.616912551151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</v>
      </c>
      <c r="D27" s="30">
        <v>2024.3</v>
      </c>
      <c r="E27" s="29">
        <f t="shared" si="7"/>
        <v>0.14620634863312992</v>
      </c>
      <c r="F27" s="28">
        <f t="shared" si="8"/>
        <v>32.751789714952267</v>
      </c>
      <c r="G27" s="27" t="str">
        <f t="shared" si="9"/>
        <v>+</v>
      </c>
      <c r="H27" s="26">
        <f t="shared" si="10"/>
        <v>60729</v>
      </c>
      <c r="I27" s="26">
        <f t="shared" si="11"/>
        <v>66299.447919977873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</v>
      </c>
      <c r="D28" s="30">
        <v>1050.8</v>
      </c>
      <c r="E28" s="29">
        <f t="shared" si="7"/>
        <v>7.5894695027265188E-2</v>
      </c>
      <c r="F28" s="28">
        <f t="shared" si="8"/>
        <v>32.751789714952267</v>
      </c>
      <c r="G28" s="27" t="str">
        <f t="shared" si="9"/>
        <v>+</v>
      </c>
      <c r="H28" s="26">
        <f t="shared" si="10"/>
        <v>31524</v>
      </c>
      <c r="I28" s="26">
        <f t="shared" si="11"/>
        <v>34415.580632471843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</v>
      </c>
      <c r="D29" s="30">
        <v>958.6</v>
      </c>
      <c r="E29" s="29">
        <f t="shared" si="7"/>
        <v>6.9235491675995825E-2</v>
      </c>
      <c r="F29" s="28">
        <f t="shared" si="8"/>
        <v>31.660063391120527</v>
      </c>
      <c r="G29" s="27" t="str">
        <f t="shared" si="9"/>
        <v>+</v>
      </c>
      <c r="H29" s="26">
        <f t="shared" si="10"/>
        <v>27799.4</v>
      </c>
      <c r="I29" s="26">
        <f t="shared" si="11"/>
        <v>30349.336766728138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</v>
      </c>
      <c r="D30" s="30">
        <v>831.4</v>
      </c>
      <c r="E30" s="29">
        <f t="shared" si="7"/>
        <v>6.0048391174027667E-2</v>
      </c>
      <c r="F30" s="28">
        <f t="shared" si="8"/>
        <v>31.660063391120527</v>
      </c>
      <c r="G30" s="27" t="str">
        <f t="shared" si="9"/>
        <v>+</v>
      </c>
      <c r="H30" s="26">
        <f t="shared" si="10"/>
        <v>24110.6</v>
      </c>
      <c r="I30" s="26">
        <f t="shared" si="11"/>
        <v>26322.176703377605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29.5</v>
      </c>
      <c r="D31" s="30">
        <v>243.2</v>
      </c>
      <c r="E31" s="29">
        <f t="shared" si="7"/>
        <v>1.7565273915712689E-2</v>
      </c>
      <c r="F31" s="28">
        <f t="shared" si="8"/>
        <v>32.205926553036399</v>
      </c>
      <c r="G31" s="27" t="str">
        <f t="shared" si="9"/>
        <v>+</v>
      </c>
      <c r="H31" s="26">
        <f t="shared" si="10"/>
        <v>7174.4</v>
      </c>
      <c r="I31" s="26">
        <f t="shared" si="11"/>
        <v>7832.4813376984521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30.971268240877919</v>
      </c>
      <c r="D32" s="22">
        <f>SUM(D26:D31)</f>
        <v>7627.1</v>
      </c>
      <c r="E32" s="21">
        <f t="shared" si="7"/>
        <v>0.55087212451699119</v>
      </c>
      <c r="F32" s="20">
        <f>I32/D32</f>
        <v>33.812148821020443</v>
      </c>
      <c r="G32" s="19">
        <f>F32/C32-1</f>
        <v>9.1726323831742285E-2</v>
      </c>
      <c r="H32" s="18">
        <f>SUM(H26:H31)</f>
        <v>236220.96</v>
      </c>
      <c r="I32" s="18">
        <f>SUM(I26:I31)</f>
        <v>257888.64027280506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17.8</v>
      </c>
      <c r="D34" s="30">
        <f>1027.5+1118.5</f>
        <v>2146</v>
      </c>
      <c r="E34" s="29">
        <f t="shared" ref="E34:E40" si="13">D34/$D$48</f>
        <v>0.15499620815427398</v>
      </c>
      <c r="F34" s="28">
        <f t="shared" ref="F34:F39" si="14">C34-(C34*$E$6)</f>
        <v>19.432728564205014</v>
      </c>
      <c r="G34" s="27" t="str">
        <f t="shared" ref="G34:G39" si="15">IF(C34&gt;=F34,"-","+")</f>
        <v>+</v>
      </c>
      <c r="H34" s="26">
        <f t="shared" ref="H34:H39" si="16">C34*D34</f>
        <v>38198.800000000003</v>
      </c>
      <c r="I34" s="26">
        <f t="shared" ref="I34:I39" si="17">F34*D34</f>
        <v>41702.635498783959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13.7</v>
      </c>
      <c r="D35" s="30">
        <v>185.7</v>
      </c>
      <c r="E35" s="29">
        <f t="shared" si="13"/>
        <v>1.3412300025278972E-2</v>
      </c>
      <c r="F35" s="28">
        <f t="shared" si="14"/>
        <v>14.956650636494869</v>
      </c>
      <c r="G35" s="27" t="str">
        <f t="shared" si="15"/>
        <v>+</v>
      </c>
      <c r="H35" s="26">
        <f t="shared" si="16"/>
        <v>2544.0899999999997</v>
      </c>
      <c r="I35" s="26">
        <f t="shared" si="17"/>
        <v>2777.4500231970969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12.008989562149164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</v>
      </c>
      <c r="D37" s="30"/>
      <c r="E37" s="29">
        <f t="shared" si="13"/>
        <v>0</v>
      </c>
      <c r="F37" s="28">
        <f t="shared" si="14"/>
        <v>31.660063391120527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</v>
      </c>
      <c r="D38" s="30"/>
      <c r="E38" s="29">
        <f t="shared" si="13"/>
        <v>0</v>
      </c>
      <c r="F38" s="28">
        <f t="shared" si="14"/>
        <v>31.660063391120527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</v>
      </c>
      <c r="D39" s="30"/>
      <c r="E39" s="29">
        <f t="shared" si="13"/>
        <v>0</v>
      </c>
      <c r="F39" s="28">
        <f t="shared" si="14"/>
        <v>32.751789714952267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17.473470000428872</v>
      </c>
      <c r="D40" s="22">
        <f>SUM(D34:D39)</f>
        <v>2331.6999999999998</v>
      </c>
      <c r="E40" s="113">
        <f t="shared" si="13"/>
        <v>0.16840850817955294</v>
      </c>
      <c r="F40" s="20">
        <f>I40/D40</f>
        <v>19.076247168152445</v>
      </c>
      <c r="G40" s="19">
        <f>F40/C40-1</f>
        <v>9.1726323831742285E-2</v>
      </c>
      <c r="H40" s="18">
        <f>SUM(H34:H39)</f>
        <v>40742.89</v>
      </c>
      <c r="I40" s="18">
        <f>SUM(I34:I39)</f>
        <v>44480.085521981055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1150+185.2+1579.7</f>
        <v>2914.9</v>
      </c>
      <c r="E42" s="107">
        <f>D42/$D$48</f>
        <v>0.21053049727348239</v>
      </c>
      <c r="F42" s="28">
        <f>C42-(C42*$E$6)</f>
        <v>0.43669052953269694</v>
      </c>
      <c r="G42" s="27" t="str">
        <f>IF(C42&gt;=F42,"-","+")</f>
        <v>+</v>
      </c>
      <c r="H42" s="26">
        <f>C42*D42</f>
        <v>1165.96</v>
      </c>
      <c r="I42" s="26">
        <f>F42*D42</f>
        <v>1272.9092245348584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102.6</v>
      </c>
      <c r="E43" s="107">
        <f>D43/$D$48</f>
        <v>7.41034993319129E-3</v>
      </c>
      <c r="F43" s="28">
        <f>C43-(C43*$E$6)</f>
        <v>0.43669052953269694</v>
      </c>
      <c r="G43" s="27" t="str">
        <f>IF(C43&gt;=F43,"-","+")</f>
        <v>+</v>
      </c>
      <c r="H43" s="26">
        <f>C43*D43</f>
        <v>41.04</v>
      </c>
      <c r="I43" s="26">
        <f>F43*D43</f>
        <v>44.804448330054704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6.9</v>
      </c>
      <c r="E45" s="107">
        <f>D45/$D$48</f>
        <v>4.9835686685204591E-4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0.39908742229863775</v>
      </c>
      <c r="D46" s="22">
        <f>SUM(D41:D45)</f>
        <v>3024.4</v>
      </c>
      <c r="E46" s="113">
        <f>D46/$D$48</f>
        <v>0.21843920407352574</v>
      </c>
      <c r="F46" s="20">
        <f>I46/D46</f>
        <v>0.43569424443357796</v>
      </c>
      <c r="G46" s="19">
        <f>F46/C46-1</f>
        <v>9.1726323831742507E-2</v>
      </c>
      <c r="H46" s="18">
        <f>SUM(H41:H44)</f>
        <v>1207</v>
      </c>
      <c r="I46" s="18">
        <f>SUM(I41:I44)</f>
        <v>1317.7136728649132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94.544393911315055</v>
      </c>
      <c r="D48" s="13">
        <f>D24+D32+D40+D46</f>
        <v>13845.499999999998</v>
      </c>
      <c r="E48" s="12">
        <f>SUM(E20:E46)/2</f>
        <v>1.0000000000000002</v>
      </c>
      <c r="F48" s="11">
        <f>I48/D48</f>
        <v>25.04125916338759</v>
      </c>
      <c r="G48" s="10"/>
      <c r="H48" s="9">
        <f>SUM(H20:H46)/2</f>
        <v>317578.45</v>
      </c>
      <c r="I48" s="9">
        <f>SUM(I20:I46)/2</f>
        <v>346708.75374668284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13908.500000000004</v>
      </c>
      <c r="E50" s="12">
        <f>D50/G2</f>
        <v>1.0000000000000002</v>
      </c>
      <c r="F50" s="11">
        <f>I50/D50</f>
        <v>25.139999999999997</v>
      </c>
      <c r="G50" s="10"/>
      <c r="H50" s="9">
        <f>H48+H19</f>
        <v>320281.45</v>
      </c>
      <c r="I50" s="9">
        <f>I48+I19</f>
        <v>349659.69000000006</v>
      </c>
      <c r="J50" s="106">
        <f>D50-G2</f>
        <v>0</v>
      </c>
      <c r="K50" s="8"/>
    </row>
    <row r="51" spans="1:11" ht="23.25" x14ac:dyDescent="0.35">
      <c r="A51" s="174" t="s">
        <v>924</v>
      </c>
      <c r="B51" s="169"/>
      <c r="C51" s="170"/>
      <c r="G51" s="7"/>
      <c r="H51" s="6"/>
      <c r="I51" s="6">
        <f>+I50/D50</f>
        <v>25.139999999999997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923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923</v>
      </c>
      <c r="D2" s="96" t="s">
        <v>3</v>
      </c>
      <c r="E2" s="95" t="s">
        <v>71</v>
      </c>
      <c r="F2" s="94" t="s">
        <v>5</v>
      </c>
      <c r="G2" s="116">
        <v>16427.7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202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81.325247524752484</v>
      </c>
      <c r="F4" s="81" t="s">
        <v>12</v>
      </c>
      <c r="G4" s="80">
        <f>G2*G3</f>
        <v>464082.52500000002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3.8345286123046551E-2</v>
      </c>
      <c r="F6" s="69" t="s">
        <v>16</v>
      </c>
      <c r="G6" s="68">
        <f>(I50-I19)/(D50-(SUM(D42:D44)+D19))</f>
        <v>33.542395758797895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27.214828402717785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28.272648587982431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25.868511803290048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28.272648587982431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31.638440086551768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26.06084274606544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35.677389884834973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52.506347377681656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46.063260794706068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183.8</v>
      </c>
      <c r="E21" s="29">
        <f>D21/$D$48</f>
        <v>1.1188419559646204E-2</v>
      </c>
      <c r="F21" s="28">
        <f>C21-(C21*$E$6)</f>
        <v>68.277484685263701</v>
      </c>
      <c r="G21" s="27" t="str">
        <f>IF(C21&gt;=F21,"-","+")</f>
        <v>-</v>
      </c>
      <c r="H21" s="26">
        <f>C21*D21</f>
        <v>13049.800000000001</v>
      </c>
      <c r="I21" s="26">
        <f>F21*D21</f>
        <v>12549.40168515147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605.79999999999995</v>
      </c>
      <c r="E22" s="29">
        <f>D22/$D$48</f>
        <v>3.6876738679182099E-2</v>
      </c>
      <c r="F22" s="28">
        <f>C22-(C22*$E$6)</f>
        <v>45.870929851930683</v>
      </c>
      <c r="G22" s="27" t="str">
        <f>IF(C22&gt;=F22,"-","+")</f>
        <v>-</v>
      </c>
      <c r="H22" s="26">
        <f>C22*D22</f>
        <v>28896.66</v>
      </c>
      <c r="I22" s="26">
        <f>F22*D22</f>
        <v>27788.609304299607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355.5</v>
      </c>
      <c r="E23" s="29">
        <f>D23/$D$48</f>
        <v>2.1640278310414721E-2</v>
      </c>
      <c r="F23" s="28">
        <f>C23-(C23*$E$6)</f>
        <v>41.831980053647477</v>
      </c>
      <c r="G23" s="27" t="str">
        <f>IF(C23&gt;=F23,"-","+")</f>
        <v>-</v>
      </c>
      <c r="H23" s="26">
        <f>C23*D23</f>
        <v>15464.25</v>
      </c>
      <c r="I23" s="26">
        <f>F23*D23</f>
        <v>14871.268909071678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50.135979390446252</v>
      </c>
      <c r="D24" s="22">
        <f>SUM(D21:D23)</f>
        <v>1145.0999999999999</v>
      </c>
      <c r="E24" s="21">
        <f>D24/$D$48</f>
        <v>6.9705436549243022E-2</v>
      </c>
      <c r="F24" s="20">
        <f>I24/D24</f>
        <v>48.213500915660433</v>
      </c>
      <c r="G24" s="19">
        <f>F24/C24-1</f>
        <v>-3.834528612304644E-2</v>
      </c>
      <c r="H24" s="18">
        <f>SUM(H21:H23)</f>
        <v>57410.71</v>
      </c>
      <c r="I24" s="18">
        <f>SUM(I21:I23)</f>
        <v>55209.279898522756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v>2886.3</v>
      </c>
      <c r="E26" s="29">
        <f t="shared" ref="E26:E32" si="7">D26/$D$48</f>
        <v>0.17569714567468359</v>
      </c>
      <c r="F26" s="28">
        <f t="shared" ref="F26:F31" si="8">C26-(C26*$E$6)</f>
        <v>36.446713655936534</v>
      </c>
      <c r="G26" s="27" t="str">
        <f t="shared" ref="G26:G31" si="9">IF(C26&gt;=F26,"-","+")</f>
        <v>-</v>
      </c>
      <c r="H26" s="26">
        <f t="shared" ref="H26:H31" si="10">C26*D26</f>
        <v>109390.77</v>
      </c>
      <c r="I26" s="26">
        <f t="shared" ref="I26:I31" si="11">F26*D26</f>
        <v>105196.14962512962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3050.8</v>
      </c>
      <c r="E27" s="29">
        <f t="shared" si="7"/>
        <v>0.1857107203077728</v>
      </c>
      <c r="F27" s="28">
        <f t="shared" si="8"/>
        <v>32.503929329041021</v>
      </c>
      <c r="G27" s="27" t="str">
        <f t="shared" si="9"/>
        <v>-</v>
      </c>
      <c r="H27" s="26">
        <f t="shared" si="10"/>
        <v>103117.04</v>
      </c>
      <c r="I27" s="26">
        <f t="shared" si="11"/>
        <v>99162.987597038358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2449.3000000000002</v>
      </c>
      <c r="E28" s="29">
        <f t="shared" si="7"/>
        <v>0.14909573464331582</v>
      </c>
      <c r="F28" s="28">
        <f t="shared" si="8"/>
        <v>32.503929329041021</v>
      </c>
      <c r="G28" s="27" t="str">
        <f t="shared" si="9"/>
        <v>-</v>
      </c>
      <c r="H28" s="26">
        <f t="shared" si="10"/>
        <v>82786.34</v>
      </c>
      <c r="I28" s="26">
        <f t="shared" si="11"/>
        <v>79611.874105620183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1966.5</v>
      </c>
      <c r="E29" s="29">
        <f t="shared" si="7"/>
        <v>0.11970634964115484</v>
      </c>
      <c r="F29" s="28">
        <f t="shared" si="8"/>
        <v>31.349943672388683</v>
      </c>
      <c r="G29" s="27" t="str">
        <f t="shared" si="9"/>
        <v>-</v>
      </c>
      <c r="H29" s="26">
        <f t="shared" si="10"/>
        <v>64107.9</v>
      </c>
      <c r="I29" s="26">
        <f t="shared" si="11"/>
        <v>61649.664231752344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977</v>
      </c>
      <c r="E30" s="29">
        <f t="shared" si="7"/>
        <v>5.9472719857314157E-2</v>
      </c>
      <c r="F30" s="28">
        <f t="shared" si="8"/>
        <v>31.349943672388683</v>
      </c>
      <c r="G30" s="27" t="str">
        <f t="shared" si="9"/>
        <v>-</v>
      </c>
      <c r="H30" s="26">
        <f t="shared" si="10"/>
        <v>31850.2</v>
      </c>
      <c r="I30" s="26">
        <f t="shared" si="11"/>
        <v>30628.894967923745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416.1</v>
      </c>
      <c r="E31" s="29">
        <f t="shared" si="7"/>
        <v>2.5329169634215373E-2</v>
      </c>
      <c r="F31" s="28">
        <f t="shared" si="8"/>
        <v>31.926936500714856</v>
      </c>
      <c r="G31" s="27" t="str">
        <f t="shared" si="9"/>
        <v>-</v>
      </c>
      <c r="H31" s="26">
        <f t="shared" si="10"/>
        <v>13814.520000000002</v>
      </c>
      <c r="I31" s="26">
        <f t="shared" si="11"/>
        <v>13284.798277947451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34.485507406776776</v>
      </c>
      <c r="D32" s="22">
        <f>SUM(D26:D31)</f>
        <v>11746.000000000002</v>
      </c>
      <c r="E32" s="21">
        <f t="shared" si="7"/>
        <v>0.71501183975845672</v>
      </c>
      <c r="F32" s="20">
        <f>I32/D32</f>
        <v>33.163150758165479</v>
      </c>
      <c r="G32" s="19">
        <f>F32/C32-1</f>
        <v>-3.8345286123046551E-2</v>
      </c>
      <c r="H32" s="18">
        <f>SUM(H26:H31)</f>
        <v>405066.77000000008</v>
      </c>
      <c r="I32" s="18">
        <f>SUM(I26:I31)</f>
        <v>389534.36880541174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940.7</v>
      </c>
      <c r="E34" s="29">
        <f t="shared" ref="E34:E40" si="13">D34/$D$48</f>
        <v>5.7263037430681091E-2</v>
      </c>
      <c r="F34" s="28">
        <f t="shared" ref="F34:F39" si="14">C34-(C34*$E$6)</f>
        <v>19.23309427753907</v>
      </c>
      <c r="G34" s="27" t="str">
        <f t="shared" ref="G34:G39" si="15">IF(C34&gt;=F34,"-","+")</f>
        <v>-</v>
      </c>
      <c r="H34" s="26">
        <f t="shared" ref="H34:H39" si="16">C34*D34</f>
        <v>18814</v>
      </c>
      <c r="I34" s="26">
        <f t="shared" ref="I34:I39" si="17">F34*D34</f>
        <v>18092.571786881006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14.809482593705084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11.828352980686528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31.349943672388683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31.349943672388683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32.503929329041021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940.7</v>
      </c>
      <c r="E40" s="113">
        <f t="shared" si="13"/>
        <v>5.7263037430681091E-2</v>
      </c>
      <c r="F40" s="20">
        <f>I40/D40</f>
        <v>19.233094277539074</v>
      </c>
      <c r="G40" s="19">
        <f>F40/C40-1</f>
        <v>-3.8345286123046329E-2</v>
      </c>
      <c r="H40" s="18">
        <f>SUM(H34:H39)</f>
        <v>18814</v>
      </c>
      <c r="I40" s="18">
        <f>SUM(I34:I39)</f>
        <v>18092.571786881006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2476</v>
      </c>
      <c r="E42" s="107">
        <f>D42/$D$48</f>
        <v>0.1507210382463765</v>
      </c>
      <c r="F42" s="28">
        <f>C42-(C42*$E$6)</f>
        <v>0.48082735693847672</v>
      </c>
      <c r="G42" s="27" t="str">
        <f>IF(C42&gt;=F42,"-","+")</f>
        <v>-</v>
      </c>
      <c r="H42" s="26">
        <f>C42*D42</f>
        <v>1238</v>
      </c>
      <c r="I42" s="26">
        <f>F42*D42</f>
        <v>1190.5285357796683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116</v>
      </c>
      <c r="E43" s="107">
        <f>D43/$D$48</f>
        <v>7.0612441181662662E-3</v>
      </c>
      <c r="F43" s="28">
        <f>C43-(C43*$E$6)</f>
        <v>0.48082735693847672</v>
      </c>
      <c r="G43" s="27" t="str">
        <f>IF(C43&gt;=F43,"-","+")</f>
        <v>-</v>
      </c>
      <c r="H43" s="26">
        <f>C43*D43</f>
        <v>58</v>
      </c>
      <c r="I43" s="26">
        <f>F43*D43</f>
        <v>55.775973404863301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3.9</v>
      </c>
      <c r="E45" s="107">
        <f>D45/$D$48</f>
        <v>2.3740389707627962E-4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0.49924881543973187</v>
      </c>
      <c r="D46" s="22">
        <f>SUM(D41:D45)</f>
        <v>2595.9</v>
      </c>
      <c r="E46" s="113">
        <f>D46/$D$48</f>
        <v>0.15801968626161905</v>
      </c>
      <c r="F46" s="20">
        <f>I46/D46</f>
        <v>0.48010497676510333</v>
      </c>
      <c r="G46" s="19">
        <f>F46/C46-1</f>
        <v>-3.834528612304644E-2</v>
      </c>
      <c r="H46" s="18">
        <f>SUM(H41:H44)</f>
        <v>1296</v>
      </c>
      <c r="I46" s="18">
        <f>SUM(I41:I44)</f>
        <v>1246.3045091845318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105.12073561266276</v>
      </c>
      <c r="D48" s="13">
        <f>D24+D32+D40+D46</f>
        <v>16427.700000000004</v>
      </c>
      <c r="E48" s="12">
        <f>SUM(E20:E46)/2</f>
        <v>0.99999999999999989</v>
      </c>
      <c r="F48" s="11">
        <f>I48/D48</f>
        <v>28.249999999999993</v>
      </c>
      <c r="G48" s="10"/>
      <c r="H48" s="9">
        <f>SUM(H20:H46)/2</f>
        <v>482587.48000000004</v>
      </c>
      <c r="I48" s="9">
        <f>SUM(I20:I46)/2</f>
        <v>464082.52500000002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16427.7</v>
      </c>
      <c r="E50" s="12">
        <f>D50/G2</f>
        <v>1</v>
      </c>
      <c r="F50" s="11">
        <f>I50/D50</f>
        <v>28.25</v>
      </c>
      <c r="G50" s="10"/>
      <c r="H50" s="9">
        <f>H48+H19</f>
        <v>482587.48000000004</v>
      </c>
      <c r="I50" s="9">
        <f>I48+I19</f>
        <v>464082.52500000002</v>
      </c>
      <c r="J50" s="106">
        <f>D50-G2</f>
        <v>0</v>
      </c>
      <c r="K50" s="8"/>
    </row>
    <row r="51" spans="1:11" ht="23.25" x14ac:dyDescent="0.35">
      <c r="A51" s="174" t="s">
        <v>925</v>
      </c>
      <c r="B51" s="169"/>
      <c r="C51" s="170"/>
      <c r="G51" s="7"/>
      <c r="H51" s="6"/>
      <c r="I51" s="6">
        <f>+I50/D50</f>
        <v>28.25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908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926</v>
      </c>
      <c r="D2" s="96" t="s">
        <v>3</v>
      </c>
      <c r="E2" s="95" t="s">
        <v>71</v>
      </c>
      <c r="F2" s="94" t="s">
        <v>5</v>
      </c>
      <c r="G2" s="93">
        <v>1648.8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16</v>
      </c>
      <c r="F3" s="88" t="s">
        <v>8</v>
      </c>
      <c r="G3" s="87">
        <v>31.7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103.05</v>
      </c>
      <c r="F4" s="81" t="s">
        <v>12</v>
      </c>
      <c r="G4" s="80">
        <f>G2*G3</f>
        <v>52266.96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7.7213150327288815E-3</v>
      </c>
      <c r="F6" s="69" t="s">
        <v>16</v>
      </c>
      <c r="G6" s="68">
        <f>(I50-I19)/(D50-(SUM(D42:D44)+D19))</f>
        <v>37.187449306296685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31.7</v>
      </c>
      <c r="D10" s="30"/>
      <c r="E10" s="29" t="e">
        <f t="shared" ref="E10:E19" si="1">D10/$D$19</f>
        <v>#DIV/0!</v>
      </c>
      <c r="F10" s="28">
        <f t="shared" ref="F10:F18" si="2">C10-(C10*$E$6)</f>
        <v>31.455234313462494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33</v>
      </c>
      <c r="D11" s="30"/>
      <c r="E11" s="29" t="e">
        <f t="shared" si="1"/>
        <v>#DIV/0!</v>
      </c>
      <c r="F11" s="28">
        <f t="shared" si="2"/>
        <v>32.74519660391995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30.2</v>
      </c>
      <c r="D12" s="30"/>
      <c r="E12" s="29" t="e">
        <f t="shared" si="1"/>
        <v>#DIV/0!</v>
      </c>
      <c r="F12" s="28">
        <f t="shared" si="2"/>
        <v>29.966816286011586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33</v>
      </c>
      <c r="D13" s="30"/>
      <c r="E13" s="29" t="e">
        <f t="shared" si="1"/>
        <v>#DIV/0!</v>
      </c>
      <c r="F13" s="28">
        <f t="shared" si="2"/>
        <v>32.74519660391995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36.9</v>
      </c>
      <c r="D14" s="30"/>
      <c r="E14" s="29" t="e">
        <f t="shared" si="1"/>
        <v>#DIV/0!</v>
      </c>
      <c r="F14" s="28">
        <f t="shared" si="2"/>
        <v>36.615083475292302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30.4</v>
      </c>
      <c r="D15" s="30"/>
      <c r="E15" s="29" t="e">
        <f t="shared" si="1"/>
        <v>#DIV/0!</v>
      </c>
      <c r="F15" s="28">
        <f t="shared" si="2"/>
        <v>30.165272023005041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41.7</v>
      </c>
      <c r="D16" s="30"/>
      <c r="E16" s="29" t="e">
        <f t="shared" si="1"/>
        <v>#DIV/0!</v>
      </c>
      <c r="F16" s="28">
        <f t="shared" si="2"/>
        <v>41.378021163135209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61.3</v>
      </c>
      <c r="D17" s="30"/>
      <c r="E17" s="29" t="e">
        <f t="shared" si="1"/>
        <v>#DIV/0!</v>
      </c>
      <c r="F17" s="28">
        <f t="shared" si="2"/>
        <v>60.82668338849372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53.7</v>
      </c>
      <c r="D18" s="30"/>
      <c r="E18" s="29" t="e">
        <f t="shared" si="1"/>
        <v>#DIV/0!</v>
      </c>
      <c r="F18" s="28">
        <f t="shared" si="2"/>
        <v>53.285365382742462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79.7</v>
      </c>
      <c r="D21" s="30">
        <v>18.3</v>
      </c>
      <c r="E21" s="29">
        <f>D21/$D$48</f>
        <v>1.1098981077147015E-2</v>
      </c>
      <c r="F21" s="28">
        <f>C21-(C21*$E$6)</f>
        <v>79.084611191891511</v>
      </c>
      <c r="G21" s="27" t="str">
        <f>IF(C21&gt;=F21,"-","+")</f>
        <v>-</v>
      </c>
      <c r="H21" s="26">
        <f>C21*D21</f>
        <v>1458.5100000000002</v>
      </c>
      <c r="I21" s="26">
        <f>F21*D21</f>
        <v>1447.2483848116146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53.5</v>
      </c>
      <c r="D22" s="30">
        <v>54.9</v>
      </c>
      <c r="E22" s="29">
        <f>D22/$D$48</f>
        <v>3.3296943231441042E-2</v>
      </c>
      <c r="F22" s="28">
        <f>C22-(C22*$E$6)</f>
        <v>53.086909645749003</v>
      </c>
      <c r="G22" s="27" t="str">
        <f>IF(C22&gt;=F22,"-","+")</f>
        <v>-</v>
      </c>
      <c r="H22" s="26">
        <f>C22*D22</f>
        <v>2937.15</v>
      </c>
      <c r="I22" s="26">
        <f>F22*D22</f>
        <v>2914.4713395516201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48.8</v>
      </c>
      <c r="D23" s="30">
        <v>32.200000000000003</v>
      </c>
      <c r="E23" s="29">
        <f>D23/$D$48</f>
        <v>1.952935468219311E-2</v>
      </c>
      <c r="F23" s="28">
        <f>C23-(C23*$E$6)</f>
        <v>48.423199826402829</v>
      </c>
      <c r="G23" s="27" t="str">
        <f>IF(C23&gt;=F23,"-","+")</f>
        <v>-</v>
      </c>
      <c r="H23" s="26">
        <f>C23*D23</f>
        <v>1571.3600000000001</v>
      </c>
      <c r="I23" s="26">
        <f>F23*D23</f>
        <v>1559.2270344101712</v>
      </c>
      <c r="J23" s="25"/>
      <c r="K23" s="25"/>
    </row>
    <row r="24" spans="1:11" x14ac:dyDescent="0.25">
      <c r="A24" s="24" t="s">
        <v>34</v>
      </c>
      <c r="B24" s="23"/>
      <c r="C24" s="20">
        <f>H24/D24</f>
        <v>56.613092979127138</v>
      </c>
      <c r="D24" s="22">
        <f>SUM(D21:D23)</f>
        <v>105.4</v>
      </c>
      <c r="E24" s="21">
        <f>D24/$D$48</f>
        <v>6.3925278990781167E-2</v>
      </c>
      <c r="F24" s="20">
        <f>I24/D24</f>
        <v>56.175965453258108</v>
      </c>
      <c r="G24" s="19">
        <f>F24/C24-1</f>
        <v>-7.7213150327292146E-3</v>
      </c>
      <c r="H24" s="18">
        <f>SUM(H21:H23)</f>
        <v>5967.02</v>
      </c>
      <c r="I24" s="18">
        <f>SUM(I21:I23)</f>
        <v>5920.9467587734052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42.5</v>
      </c>
      <c r="D26" s="30">
        <f>30.2+310.9</f>
        <v>341.09999999999997</v>
      </c>
      <c r="E26" s="29">
        <f t="shared" ref="E26:E32" si="7">D26/$D$48</f>
        <v>0.20687772925764189</v>
      </c>
      <c r="F26" s="28">
        <f t="shared" ref="F26:F31" si="8">C26-(C26*$E$6)</f>
        <v>42.171844111109024</v>
      </c>
      <c r="G26" s="27" t="str">
        <f t="shared" ref="G26:G31" si="9">IF(C26&gt;=F26,"-","+")</f>
        <v>-</v>
      </c>
      <c r="H26" s="26">
        <f t="shared" ref="H26:H31" si="10">C26*D26</f>
        <v>14496.749999999998</v>
      </c>
      <c r="I26" s="26">
        <f t="shared" ref="I26:I31" si="11">F26*D26</f>
        <v>14384.816026299286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37.9</v>
      </c>
      <c r="D27" s="30">
        <v>259.60000000000002</v>
      </c>
      <c r="E27" s="29">
        <f t="shared" si="7"/>
        <v>0.15744784085395438</v>
      </c>
      <c r="F27" s="28">
        <f t="shared" si="8"/>
        <v>37.607362160259576</v>
      </c>
      <c r="G27" s="27" t="str">
        <f t="shared" si="9"/>
        <v>-</v>
      </c>
      <c r="H27" s="26">
        <f t="shared" si="10"/>
        <v>9838.84</v>
      </c>
      <c r="I27" s="26">
        <f t="shared" si="11"/>
        <v>9762.8712168033871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37.9</v>
      </c>
      <c r="D28" s="30">
        <v>158.6</v>
      </c>
      <c r="E28" s="29">
        <f t="shared" si="7"/>
        <v>9.6191169335274121E-2</v>
      </c>
      <c r="F28" s="28">
        <f t="shared" si="8"/>
        <v>37.607362160259576</v>
      </c>
      <c r="G28" s="27" t="str">
        <f t="shared" si="9"/>
        <v>-</v>
      </c>
      <c r="H28" s="26">
        <f t="shared" si="10"/>
        <v>6010.94</v>
      </c>
      <c r="I28" s="26">
        <f t="shared" si="11"/>
        <v>5964.527638617169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36.6</v>
      </c>
      <c r="D29" s="30">
        <v>153.1</v>
      </c>
      <c r="E29" s="29">
        <f t="shared" si="7"/>
        <v>9.2855409995147978E-2</v>
      </c>
      <c r="F29" s="28">
        <f t="shared" si="8"/>
        <v>36.317399869802124</v>
      </c>
      <c r="G29" s="27" t="str">
        <f t="shared" si="9"/>
        <v>-</v>
      </c>
      <c r="H29" s="26">
        <f t="shared" si="10"/>
        <v>5603.46</v>
      </c>
      <c r="I29" s="26">
        <f t="shared" si="11"/>
        <v>5560.1939200667048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36.6</v>
      </c>
      <c r="D30" s="30">
        <v>115.3</v>
      </c>
      <c r="E30" s="29">
        <f t="shared" si="7"/>
        <v>6.9929645803008242E-2</v>
      </c>
      <c r="F30" s="28">
        <f t="shared" si="8"/>
        <v>36.317399869802124</v>
      </c>
      <c r="G30" s="27" t="str">
        <f t="shared" si="9"/>
        <v>-</v>
      </c>
      <c r="H30" s="26">
        <f t="shared" si="10"/>
        <v>4219.9800000000005</v>
      </c>
      <c r="I30" s="26">
        <f t="shared" si="11"/>
        <v>4187.3962049881848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37.200000000000003</v>
      </c>
      <c r="D31" s="30">
        <v>21.4</v>
      </c>
      <c r="E31" s="29">
        <f t="shared" si="7"/>
        <v>1.2979136341581755E-2</v>
      </c>
      <c r="F31" s="28">
        <f t="shared" si="8"/>
        <v>36.912767080782487</v>
      </c>
      <c r="G31" s="27" t="str">
        <f t="shared" si="9"/>
        <v>-</v>
      </c>
      <c r="H31" s="26">
        <f t="shared" si="10"/>
        <v>796.08</v>
      </c>
      <c r="I31" s="26">
        <f t="shared" si="11"/>
        <v>789.93321552874522</v>
      </c>
      <c r="J31" s="25"/>
      <c r="K31" s="25"/>
    </row>
    <row r="32" spans="1:11" x14ac:dyDescent="0.25">
      <c r="A32" s="24" t="s">
        <v>34</v>
      </c>
      <c r="B32" s="23"/>
      <c r="C32" s="20">
        <f>H32/D32</f>
        <v>39.048756076637112</v>
      </c>
      <c r="D32" s="22">
        <f>SUM(D26:D31)</f>
        <v>1049.1000000000001</v>
      </c>
      <c r="E32" s="21">
        <f t="shared" si="7"/>
        <v>0.63628093158660848</v>
      </c>
      <c r="F32" s="20">
        <f>I32/D32</f>
        <v>38.74724832933321</v>
      </c>
      <c r="G32" s="19">
        <f>F32/C32-1</f>
        <v>-7.7213150327288815E-3</v>
      </c>
      <c r="H32" s="18">
        <f>SUM(H26:H31)</f>
        <v>40966.050000000003</v>
      </c>
      <c r="I32" s="18">
        <f>SUM(I26:I31)</f>
        <v>40649.738222303473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22.4</v>
      </c>
      <c r="D34" s="30">
        <v>251</v>
      </c>
      <c r="E34" s="29">
        <f t="shared" ref="E34:E40" si="13">D34/$D$48</f>
        <v>0.15223192624939347</v>
      </c>
      <c r="F34" s="28">
        <f t="shared" ref="F34:F39" si="14">C34-(C34*$E$6)</f>
        <v>22.227042543266872</v>
      </c>
      <c r="G34" s="27" t="str">
        <f t="shared" ref="G34:G39" si="15">IF(C34&gt;=F34,"-","+")</f>
        <v>-</v>
      </c>
      <c r="H34" s="26">
        <f t="shared" ref="H34:H39" si="16">C34*D34</f>
        <v>5622.4</v>
      </c>
      <c r="I34" s="26">
        <f t="shared" ref="I34:I39" si="17">F34*D34</f>
        <v>5578.9876783599848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17.2</v>
      </c>
      <c r="D35" s="30"/>
      <c r="E35" s="29">
        <f t="shared" si="13"/>
        <v>0</v>
      </c>
      <c r="F35" s="28">
        <f t="shared" si="14"/>
        <v>17.067193381437061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13.8</v>
      </c>
      <c r="D36" s="30"/>
      <c r="E36" s="29">
        <f t="shared" si="13"/>
        <v>0</v>
      </c>
      <c r="F36" s="28">
        <f t="shared" si="14"/>
        <v>13.693445852548342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36.6</v>
      </c>
      <c r="D37" s="30"/>
      <c r="E37" s="29">
        <f t="shared" si="13"/>
        <v>0</v>
      </c>
      <c r="F37" s="28">
        <f t="shared" si="14"/>
        <v>36.317399869802124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36.6</v>
      </c>
      <c r="D38" s="30"/>
      <c r="E38" s="29">
        <f t="shared" si="13"/>
        <v>0</v>
      </c>
      <c r="F38" s="28">
        <f t="shared" si="14"/>
        <v>36.317399869802124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37.9</v>
      </c>
      <c r="D39" s="30"/>
      <c r="E39" s="29">
        <f t="shared" si="13"/>
        <v>0</v>
      </c>
      <c r="F39" s="28">
        <f t="shared" si="14"/>
        <v>37.607362160259576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22.4</v>
      </c>
      <c r="D40" s="22">
        <f>SUM(D34:D39)</f>
        <v>251</v>
      </c>
      <c r="E40" s="21">
        <f t="shared" si="13"/>
        <v>0.15223192624939347</v>
      </c>
      <c r="F40" s="20">
        <f>I40/D40</f>
        <v>22.227042543266872</v>
      </c>
      <c r="G40" s="19">
        <f>F40/C40-1</f>
        <v>-7.7213150327288815E-3</v>
      </c>
      <c r="H40" s="18">
        <f>SUM(H34:H39)</f>
        <v>5622.4</v>
      </c>
      <c r="I40" s="18">
        <f>SUM(I34:I39)</f>
        <v>5578.9876783599848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225</v>
      </c>
      <c r="E42" s="107">
        <f>D42/$D$48</f>
        <v>0.13646288209606985</v>
      </c>
      <c r="F42" s="28">
        <f>C42-(C42*$E$6)</f>
        <v>0.49613934248363556</v>
      </c>
      <c r="G42" s="27" t="str">
        <f>IF(C42&gt;=F42,"-","+")</f>
        <v>-</v>
      </c>
      <c r="H42" s="26">
        <f>C42*D42</f>
        <v>112.5</v>
      </c>
      <c r="I42" s="26">
        <f>F42*D42</f>
        <v>111.631352058818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11.4</v>
      </c>
      <c r="E43" s="107">
        <f>D43/$D$48</f>
        <v>6.914119359534206E-3</v>
      </c>
      <c r="F43" s="28">
        <f>C43-(C43*$E$6)</f>
        <v>0.49613934248363556</v>
      </c>
      <c r="G43" s="27" t="str">
        <f>IF(C43&gt;=F43,"-","+")</f>
        <v>-</v>
      </c>
      <c r="H43" s="26">
        <f>C43*D43</f>
        <v>5.7</v>
      </c>
      <c r="I43" s="26">
        <f>F43*D43</f>
        <v>5.6559885043134459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6.9</v>
      </c>
      <c r="E44" s="107">
        <f>D44/$D$48</f>
        <v>4.1848617176128092E-3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/>
      <c r="E45" s="107">
        <f>D45/$D$48</f>
        <v>0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0.48581997533908755</v>
      </c>
      <c r="D46" s="22">
        <f>SUM(D41:D45)</f>
        <v>243.3</v>
      </c>
      <c r="E46" s="113">
        <f>D46/$D$48</f>
        <v>0.14756186317321687</v>
      </c>
      <c r="F46" s="20">
        <f>I46/D46</f>
        <v>0.4820688062603018</v>
      </c>
      <c r="G46" s="19">
        <f>F46/C46-1</f>
        <v>-7.7213150327291036E-3</v>
      </c>
      <c r="H46" s="18">
        <f>SUM(H41:H44)</f>
        <v>118.2</v>
      </c>
      <c r="I46" s="18">
        <f>SUM(I41:I44)</f>
        <v>117.28734056313144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118.54766903110333</v>
      </c>
      <c r="D48" s="13">
        <f>D24+D32+D40+D46</f>
        <v>1648.8000000000002</v>
      </c>
      <c r="E48" s="12">
        <f>SUM(E20:E46)/2</f>
        <v>0.99999999999999989</v>
      </c>
      <c r="F48" s="11">
        <f>I48/D48</f>
        <v>31.699999999999996</v>
      </c>
      <c r="G48" s="10"/>
      <c r="H48" s="9">
        <f>SUM(H20:H46)/2</f>
        <v>52673.67</v>
      </c>
      <c r="I48" s="9">
        <f>SUM(I20:I46)/2</f>
        <v>52266.96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1648.8000000000002</v>
      </c>
      <c r="E50" s="12">
        <f>D50/G2</f>
        <v>1.0000000000000002</v>
      </c>
      <c r="F50" s="11">
        <f>I50/D50</f>
        <v>31.699999999999996</v>
      </c>
      <c r="G50" s="10"/>
      <c r="H50" s="9">
        <f>H48+H19</f>
        <v>52673.67</v>
      </c>
      <c r="I50" s="9">
        <f>I48+I19</f>
        <v>52266.96</v>
      </c>
      <c r="J50" s="106">
        <f>D50-G2</f>
        <v>0</v>
      </c>
      <c r="K50" s="8"/>
    </row>
    <row r="51" spans="1:11" ht="23.25" x14ac:dyDescent="0.35">
      <c r="A51" s="174" t="s">
        <v>927</v>
      </c>
      <c r="B51" s="169"/>
      <c r="C51" s="170"/>
      <c r="G51" s="7"/>
      <c r="H51" s="6"/>
      <c r="I51" s="6">
        <f>+I50/D50</f>
        <v>31.699999999999996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923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926</v>
      </c>
      <c r="D2" s="96" t="s">
        <v>3</v>
      </c>
      <c r="E2" s="95" t="s">
        <v>71</v>
      </c>
      <c r="F2" s="94" t="s">
        <v>5</v>
      </c>
      <c r="G2" s="116">
        <v>2540.9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34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74.732352941176472</v>
      </c>
      <c r="F4" s="81" t="s">
        <v>12</v>
      </c>
      <c r="G4" s="80">
        <f>G2*G3</f>
        <v>71780.425000000003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7.3977688644966899E-2</v>
      </c>
      <c r="F6" s="69" t="s">
        <v>16</v>
      </c>
      <c r="G6" s="68">
        <f>(I50-I19)/(D50-(SUM(D42:D44)+D19))</f>
        <v>33.464067599067597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26.206431411347438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27.225055953837973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24.910000175450389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27.225055953837973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30.466134043580588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25.095204637721398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34.355427751271726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50.560818199984809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44.356468713906082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64.8</v>
      </c>
      <c r="E21" s="29">
        <f>D21/$D$48</f>
        <v>2.5502774607422566E-2</v>
      </c>
      <c r="F21" s="28">
        <f>C21-(C21*$E$6)</f>
        <v>65.747584106207356</v>
      </c>
      <c r="G21" s="27" t="str">
        <f>IF(C21&gt;=F21,"-","+")</f>
        <v>-</v>
      </c>
      <c r="H21" s="26">
        <f>C21*D21</f>
        <v>4600.8</v>
      </c>
      <c r="I21" s="26">
        <f>F21*D21</f>
        <v>4260.4434500822363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9.1</v>
      </c>
      <c r="E22" s="29">
        <f>D22/$D$48</f>
        <v>3.5814081624621196E-3</v>
      </c>
      <c r="F22" s="28">
        <f>C22-(C22*$E$6)</f>
        <v>44.17126425163508</v>
      </c>
      <c r="G22" s="27" t="str">
        <f>IF(C22&gt;=F22,"-","+")</f>
        <v>-</v>
      </c>
      <c r="H22" s="26">
        <f>C22*D22</f>
        <v>434.07</v>
      </c>
      <c r="I22" s="26">
        <f>F22*D22</f>
        <v>401.95850468987919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132.5</v>
      </c>
      <c r="E23" s="29">
        <f>D23/$D$48</f>
        <v>5.2146877090794595E-2</v>
      </c>
      <c r="F23" s="28">
        <f>C23-(C23*$E$6)</f>
        <v>40.281970543943942</v>
      </c>
      <c r="G23" s="27" t="str">
        <f>IF(C23&gt;=F23,"-","+")</f>
        <v>-</v>
      </c>
      <c r="H23" s="26">
        <f>C23*D23</f>
        <v>5763.75</v>
      </c>
      <c r="I23" s="26">
        <f>F23*D23</f>
        <v>5337.3610970725722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52.318895348837209</v>
      </c>
      <c r="D24" s="22">
        <f>SUM(D21:D23)</f>
        <v>206.39999999999998</v>
      </c>
      <c r="E24" s="21">
        <f>D24/$D$48</f>
        <v>8.1231059860679272E-2</v>
      </c>
      <c r="F24" s="20">
        <f>I24/D24</f>
        <v>48.448464398472332</v>
      </c>
      <c r="G24" s="19">
        <f>F24/C24-1</f>
        <v>-7.3977688644966788E-2</v>
      </c>
      <c r="H24" s="18">
        <f>SUM(H21:H23)</f>
        <v>10798.619999999999</v>
      </c>
      <c r="I24" s="18">
        <f>SUM(I21:I23)</f>
        <v>9999.7630518446877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f>106.5+19.9+1063.9</f>
        <v>1190.3000000000002</v>
      </c>
      <c r="E26" s="29">
        <f t="shared" ref="E26:E32" si="7">D26/$D$48</f>
        <v>0.46845605887677599</v>
      </c>
      <c r="F26" s="28">
        <f t="shared" ref="F26:F31" si="8">C26-(C26*$E$6)</f>
        <v>35.096245600355751</v>
      </c>
      <c r="G26" s="27" t="str">
        <f t="shared" ref="G26:G31" si="9">IF(C26&gt;=F26,"-","+")</f>
        <v>-</v>
      </c>
      <c r="H26" s="26">
        <f t="shared" ref="H26:H31" si="10">C26*D26</f>
        <v>45112.37</v>
      </c>
      <c r="I26" s="26">
        <f t="shared" ref="I26:I31" si="11">F26*D26</f>
        <v>41775.061138103454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49.1</v>
      </c>
      <c r="E27" s="29">
        <f t="shared" si="7"/>
        <v>1.9323861623834076E-2</v>
      </c>
      <c r="F27" s="28">
        <f t="shared" si="8"/>
        <v>31.299554123800117</v>
      </c>
      <c r="G27" s="27" t="str">
        <f t="shared" si="9"/>
        <v>-</v>
      </c>
      <c r="H27" s="26">
        <f t="shared" si="10"/>
        <v>1659.58</v>
      </c>
      <c r="I27" s="26">
        <f t="shared" si="11"/>
        <v>1536.8081074785857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37.799999999999997</v>
      </c>
      <c r="E28" s="29">
        <f t="shared" si="7"/>
        <v>1.4876618520996495E-2</v>
      </c>
      <c r="F28" s="28">
        <f t="shared" si="8"/>
        <v>31.299554123800117</v>
      </c>
      <c r="G28" s="27" t="str">
        <f t="shared" si="9"/>
        <v>-</v>
      </c>
      <c r="H28" s="26">
        <f t="shared" si="10"/>
        <v>1277.6399999999999</v>
      </c>
      <c r="I28" s="26">
        <f t="shared" si="11"/>
        <v>1183.1231458796444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34.1</v>
      </c>
      <c r="E29" s="29">
        <f t="shared" si="7"/>
        <v>1.3420441575819592E-2</v>
      </c>
      <c r="F29" s="28">
        <f t="shared" si="8"/>
        <v>30.188327350174081</v>
      </c>
      <c r="G29" s="27" t="str">
        <f t="shared" si="9"/>
        <v>-</v>
      </c>
      <c r="H29" s="26">
        <f t="shared" si="10"/>
        <v>1111.6600000000001</v>
      </c>
      <c r="I29" s="26">
        <f t="shared" si="11"/>
        <v>1029.4219626409363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320.39999999999998</v>
      </c>
      <c r="E30" s="29">
        <f t="shared" si="7"/>
        <v>0.12609705222558934</v>
      </c>
      <c r="F30" s="28">
        <f t="shared" si="8"/>
        <v>30.188327350174081</v>
      </c>
      <c r="G30" s="27" t="str">
        <f t="shared" si="9"/>
        <v>-</v>
      </c>
      <c r="H30" s="26">
        <f t="shared" si="10"/>
        <v>10445.039999999999</v>
      </c>
      <c r="I30" s="26">
        <f t="shared" si="11"/>
        <v>9672.3400829957754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66.400000000000006</v>
      </c>
      <c r="E31" s="29">
        <f t="shared" si="7"/>
        <v>2.6132472745877447E-2</v>
      </c>
      <c r="F31" s="28">
        <f t="shared" si="8"/>
        <v>30.743940736987103</v>
      </c>
      <c r="G31" s="27" t="str">
        <f t="shared" si="9"/>
        <v>-</v>
      </c>
      <c r="H31" s="26">
        <f t="shared" si="10"/>
        <v>2204.4800000000005</v>
      </c>
      <c r="I31" s="26">
        <f t="shared" si="11"/>
        <v>2041.3976649359438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36.399958777457165</v>
      </c>
      <c r="D32" s="22">
        <f>SUM(D26:D31)</f>
        <v>1698.1</v>
      </c>
      <c r="E32" s="21">
        <f t="shared" si="7"/>
        <v>0.66830650556889282</v>
      </c>
      <c r="F32" s="20">
        <f>I32/D32</f>
        <v>33.707173960328809</v>
      </c>
      <c r="G32" s="19">
        <f>F32/C32-1</f>
        <v>-7.3977688644966899E-2</v>
      </c>
      <c r="H32" s="18">
        <f>SUM(H26:H31)</f>
        <v>61810.770000000011</v>
      </c>
      <c r="I32" s="18">
        <f>SUM(I26:I31)</f>
        <v>57238.15210203435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235.4</v>
      </c>
      <c r="E34" s="29">
        <f t="shared" ref="E34:E40" si="13">D34/$D$48</f>
        <v>9.2644338620173947E-2</v>
      </c>
      <c r="F34" s="28">
        <f t="shared" ref="F34:F39" si="14">C34-(C34*$E$6)</f>
        <v>18.520446227100663</v>
      </c>
      <c r="G34" s="27" t="str">
        <f t="shared" ref="G34:G39" si="15">IF(C34&gt;=F34,"-","+")</f>
        <v>-</v>
      </c>
      <c r="H34" s="26">
        <f t="shared" ref="H34:H39" si="16">C34*D34</f>
        <v>4708</v>
      </c>
      <c r="I34" s="26">
        <f t="shared" ref="I34:I39" si="17">F34*D34</f>
        <v>4359.7130418594961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14.26074359486751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11.390074429666909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30.188327350174081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30.188327350174081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31.299554123800117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235.4</v>
      </c>
      <c r="E40" s="113">
        <f t="shared" si="13"/>
        <v>9.2644338620173947E-2</v>
      </c>
      <c r="F40" s="20">
        <f>I40/D40</f>
        <v>18.520446227100663</v>
      </c>
      <c r="G40" s="19">
        <f>F40/C40-1</f>
        <v>-7.3977688644966788E-2</v>
      </c>
      <c r="H40" s="18">
        <f>SUM(H34:H39)</f>
        <v>4708</v>
      </c>
      <c r="I40" s="18">
        <f>SUM(I34:I39)</f>
        <v>4359.7130418594961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378</v>
      </c>
      <c r="E42" s="107">
        <f>D42/$D$48</f>
        <v>0.14876618520996496</v>
      </c>
      <c r="F42" s="28">
        <f>C42-(C42*$E$6)</f>
        <v>0.46301115567751655</v>
      </c>
      <c r="G42" s="27" t="str">
        <f>IF(C42&gt;=F42,"-","+")</f>
        <v>-</v>
      </c>
      <c r="H42" s="26">
        <f>C42*D42</f>
        <v>189</v>
      </c>
      <c r="I42" s="26">
        <f>F42*D42</f>
        <v>175.01821684610127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16.8</v>
      </c>
      <c r="E43" s="107">
        <f>D43/$D$48</f>
        <v>6.6118304537762214E-3</v>
      </c>
      <c r="F43" s="28">
        <f>C43-(C43*$E$6)</f>
        <v>0.46301115567751655</v>
      </c>
      <c r="G43" s="27" t="str">
        <f>IF(C43&gt;=F43,"-","+")</f>
        <v>-</v>
      </c>
      <c r="H43" s="26">
        <f>C43*D43</f>
        <v>8.4</v>
      </c>
      <c r="I43" s="26">
        <f>F43*D43</f>
        <v>7.7785874153822787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1.1000000000000001</v>
      </c>
      <c r="E44" s="107">
        <f>D44/$D$48</f>
        <v>4.3291747018772876E-4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2.0071628163249242E-3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0.49226932668329171</v>
      </c>
      <c r="D46" s="22">
        <f>SUM(D41:D45)</f>
        <v>401.00000000000006</v>
      </c>
      <c r="E46" s="113">
        <f>D46/$D$48</f>
        <v>0.15781809595025387</v>
      </c>
      <c r="F46" s="20">
        <f>I46/D46</f>
        <v>0.4558523797044477</v>
      </c>
      <c r="G46" s="19">
        <f>F46/C46-1</f>
        <v>-7.3977688644966788E-2</v>
      </c>
      <c r="H46" s="18">
        <f>SUM(H41:H44)</f>
        <v>197.4</v>
      </c>
      <c r="I46" s="18">
        <f>SUM(I41:I44)</f>
        <v>182.79680426148354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109.21112345297766</v>
      </c>
      <c r="D48" s="13">
        <f>D24+D32+D40+D46</f>
        <v>2540.9</v>
      </c>
      <c r="E48" s="12">
        <f>SUM(E20:E46)/2</f>
        <v>0.99999999999999978</v>
      </c>
      <c r="F48" s="11">
        <f>I48/D48</f>
        <v>28.250000000000007</v>
      </c>
      <c r="G48" s="10"/>
      <c r="H48" s="9">
        <f>SUM(H20:H46)/2</f>
        <v>77514.789999999994</v>
      </c>
      <c r="I48" s="9">
        <f>SUM(I20:I46)/2</f>
        <v>71780.425000000017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2540.9000000000005</v>
      </c>
      <c r="E50" s="12">
        <f>D50/G2</f>
        <v>1.0000000000000002</v>
      </c>
      <c r="F50" s="11">
        <f>I50/D50</f>
        <v>28.25</v>
      </c>
      <c r="G50" s="10"/>
      <c r="H50" s="9">
        <f>H48+H19</f>
        <v>77514.789999999994</v>
      </c>
      <c r="I50" s="9">
        <f>I48+I19</f>
        <v>71780.425000000017</v>
      </c>
      <c r="J50" s="106">
        <f>D50-G2</f>
        <v>0</v>
      </c>
      <c r="K50" s="8"/>
    </row>
    <row r="51" spans="1:11" ht="23.25" x14ac:dyDescent="0.35">
      <c r="A51" s="174" t="s">
        <v>928</v>
      </c>
      <c r="B51" s="169"/>
      <c r="C51" s="170"/>
      <c r="G51" s="7"/>
      <c r="H51" s="6"/>
      <c r="I51" s="6">
        <f>+I50/D50</f>
        <v>28.25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923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926</v>
      </c>
      <c r="D2" s="96" t="s">
        <v>3</v>
      </c>
      <c r="E2" s="95" t="s">
        <v>71</v>
      </c>
      <c r="F2" s="94" t="s">
        <v>5</v>
      </c>
      <c r="G2" s="93">
        <v>7246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100</v>
      </c>
      <c r="F3" s="88" t="s">
        <v>8</v>
      </c>
      <c r="G3" s="87">
        <v>28.45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72.459999999999994</v>
      </c>
      <c r="F4" s="81" t="s">
        <v>12</v>
      </c>
      <c r="G4" s="80">
        <f>G2*G3</f>
        <v>206148.69999999998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-7.2495552121103479E-3</v>
      </c>
      <c r="F6" s="69" t="s">
        <v>16</v>
      </c>
      <c r="G6" s="68">
        <f>(I50-I19)/(D50-(SUM(D42:D44)+D19))</f>
        <v>33.472659864180144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28.706612323545144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>
        <v>531.29999999999995</v>
      </c>
      <c r="E11" s="29">
        <f t="shared" si="1"/>
        <v>0.28535367098125569</v>
      </c>
      <c r="F11" s="28">
        <f t="shared" si="2"/>
        <v>29.814586834278469</v>
      </c>
      <c r="G11" s="27" t="str">
        <f t="shared" si="3"/>
        <v>+</v>
      </c>
      <c r="H11" s="34">
        <f t="shared" si="4"/>
        <v>15726.48</v>
      </c>
      <c r="I11" s="34">
        <f t="shared" si="5"/>
        <v>15840.489985052149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>
        <v>961.5</v>
      </c>
      <c r="E12" s="29">
        <f t="shared" si="1"/>
        <v>0.51640797035286534</v>
      </c>
      <c r="F12" s="28">
        <f t="shared" si="2"/>
        <v>27.296462946248191</v>
      </c>
      <c r="G12" s="27" t="str">
        <f t="shared" si="3"/>
        <v>+</v>
      </c>
      <c r="H12" s="34">
        <f t="shared" si="4"/>
        <v>26056.65</v>
      </c>
      <c r="I12" s="34">
        <f t="shared" si="5"/>
        <v>26245.549122817636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>
        <v>192.8</v>
      </c>
      <c r="E13" s="29">
        <f t="shared" si="1"/>
        <v>0.10355013695687203</v>
      </c>
      <c r="F13" s="28">
        <f t="shared" si="2"/>
        <v>29.814586834278469</v>
      </c>
      <c r="G13" s="27" t="str">
        <f t="shared" si="3"/>
        <v>+</v>
      </c>
      <c r="H13" s="34">
        <f t="shared" si="4"/>
        <v>5706.880000000001</v>
      </c>
      <c r="I13" s="34">
        <f t="shared" si="5"/>
        <v>5748.2523416488893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>
        <v>165</v>
      </c>
      <c r="E14" s="29">
        <f t="shared" si="1"/>
        <v>8.8619152478650848E-2</v>
      </c>
      <c r="F14" s="28">
        <f t="shared" si="2"/>
        <v>33.339960277520852</v>
      </c>
      <c r="G14" s="27" t="str">
        <f t="shared" si="3"/>
        <v>+</v>
      </c>
      <c r="H14" s="34">
        <f t="shared" si="4"/>
        <v>5461.5</v>
      </c>
      <c r="I14" s="34">
        <f t="shared" si="5"/>
        <v>5501.0934457909407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/>
      <c r="E15" s="29">
        <f t="shared" si="1"/>
        <v>0</v>
      </c>
      <c r="F15" s="28">
        <f t="shared" si="2"/>
        <v>27.497912857290615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37.4</v>
      </c>
      <c r="D16" s="30">
        <v>11.3</v>
      </c>
      <c r="E16" s="29">
        <f t="shared" si="1"/>
        <v>6.0690692303560891E-3</v>
      </c>
      <c r="F16" s="28">
        <f t="shared" si="2"/>
        <v>37.671133364932928</v>
      </c>
      <c r="G16" s="27" t="str">
        <f t="shared" si="3"/>
        <v>+</v>
      </c>
      <c r="H16" s="34">
        <f t="shared" si="4"/>
        <v>422.62</v>
      </c>
      <c r="I16" s="34">
        <f t="shared" si="5"/>
        <v>425.68380702374213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</v>
      </c>
      <c r="D17" s="30"/>
      <c r="E17" s="29">
        <f t="shared" si="1"/>
        <v>0</v>
      </c>
      <c r="F17" s="28">
        <f t="shared" si="2"/>
        <v>55.39872553666607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48.2</v>
      </c>
      <c r="D18" s="30"/>
      <c r="E18" s="29">
        <f t="shared" si="1"/>
        <v>0</v>
      </c>
      <c r="F18" s="28">
        <f t="shared" si="2"/>
        <v>48.549428561223721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28.6664858477899</v>
      </c>
      <c r="D19" s="49">
        <f>SUM(D10:D18)</f>
        <v>1861.8999999999999</v>
      </c>
      <c r="E19" s="48">
        <f t="shared" si="1"/>
        <v>1</v>
      </c>
      <c r="F19" s="47">
        <f>I19/D19</f>
        <v>28.874305119680628</v>
      </c>
      <c r="G19" s="46">
        <f>F19/C19-1</f>
        <v>7.2495552121101259E-3</v>
      </c>
      <c r="H19" s="9">
        <f>SUM(H10:H18)</f>
        <v>53374.130000000012</v>
      </c>
      <c r="I19" s="9">
        <f>SUM(I10:I18)</f>
        <v>53761.068702333359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71.599999999999994</v>
      </c>
      <c r="D21" s="30">
        <v>73.400000000000006</v>
      </c>
      <c r="E21" s="29">
        <f>D21/$D$48</f>
        <v>1.3632733418770084E-2</v>
      </c>
      <c r="F21" s="28">
        <f>C21-(C21*$E$6)</f>
        <v>72.119068153187101</v>
      </c>
      <c r="G21" s="27" t="str">
        <f>IF(C21&gt;=F21,"-","+")</f>
        <v>+</v>
      </c>
      <c r="H21" s="26">
        <f>C21*D21</f>
        <v>5255.44</v>
      </c>
      <c r="I21" s="26">
        <f>F21*D21</f>
        <v>5293.5396024439333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152.6</v>
      </c>
      <c r="E22" s="29">
        <f>D22/$D$48</f>
        <v>2.8342712802511098E-2</v>
      </c>
      <c r="F22" s="28">
        <f>C22-(C22*$E$6)</f>
        <v>48.448703605702512</v>
      </c>
      <c r="G22" s="27" t="str">
        <f>IF(C22&gt;=F22,"-","+")</f>
        <v>+</v>
      </c>
      <c r="H22" s="26">
        <f>C22*D22</f>
        <v>7340.0599999999995</v>
      </c>
      <c r="I22" s="26">
        <f>F22*D22</f>
        <v>7393.2721702302033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43.8</v>
      </c>
      <c r="D23" s="30">
        <v>138.1</v>
      </c>
      <c r="E23" s="29">
        <f>D23/$D$48</f>
        <v>2.5649597890083767E-2</v>
      </c>
      <c r="F23" s="28">
        <f>C23-(C23*$E$6)</f>
        <v>44.11753051829043</v>
      </c>
      <c r="G23" s="27" t="str">
        <f>IF(C23&gt;=F23,"-","+")</f>
        <v>+</v>
      </c>
      <c r="H23" s="26">
        <f>C23*D23</f>
        <v>6048.78</v>
      </c>
      <c r="I23" s="26">
        <f>F23*D23</f>
        <v>6092.6309645759084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51.206481735786866</v>
      </c>
      <c r="D24" s="22">
        <f>SUM(D21:D23)</f>
        <v>364.1</v>
      </c>
      <c r="E24" s="21">
        <f>D24/$D$48</f>
        <v>6.7625044111364954E-2</v>
      </c>
      <c r="F24" s="20">
        <f>I24/D24</f>
        <v>51.577705952348374</v>
      </c>
      <c r="G24" s="19">
        <f>F24/C24-1</f>
        <v>7.2495552121103479E-3</v>
      </c>
      <c r="H24" s="18">
        <f>SUM(H21:H23)</f>
        <v>18644.28</v>
      </c>
      <c r="I24" s="18">
        <f>SUM(I21:I23)</f>
        <v>18779.442737250043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f>313.1+98.1+545.9</f>
        <v>957.1</v>
      </c>
      <c r="E26" s="29">
        <f t="shared" ref="E26:E32" si="7">D26/$D$48</f>
        <v>0.17776415742649657</v>
      </c>
      <c r="F26" s="28">
        <f t="shared" ref="F26:F31" si="8">C26-(C26*$E$6)</f>
        <v>38.476933009102616</v>
      </c>
      <c r="G26" s="27" t="str">
        <f t="shared" ref="G26:G31" si="9">IF(C26&gt;=F26,"-","+")</f>
        <v>+</v>
      </c>
      <c r="H26" s="26">
        <f t="shared" ref="H26:H31" si="10">C26*D26</f>
        <v>36561.22</v>
      </c>
      <c r="I26" s="26">
        <f t="shared" ref="I26:I31" si="11">F26*D26</f>
        <v>36826.272583012113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</v>
      </c>
      <c r="D27" s="30">
        <v>862.2</v>
      </c>
      <c r="E27" s="29">
        <f t="shared" si="7"/>
        <v>0.160138184654817</v>
      </c>
      <c r="F27" s="28">
        <f t="shared" si="8"/>
        <v>34.246484877211749</v>
      </c>
      <c r="G27" s="27" t="str">
        <f t="shared" si="9"/>
        <v>+</v>
      </c>
      <c r="H27" s="26">
        <f t="shared" si="10"/>
        <v>29314.800000000003</v>
      </c>
      <c r="I27" s="26">
        <f t="shared" si="11"/>
        <v>29527.319261131972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</v>
      </c>
      <c r="D28" s="30">
        <v>480.6</v>
      </c>
      <c r="E28" s="29">
        <f t="shared" si="7"/>
        <v>8.926282944224663E-2</v>
      </c>
      <c r="F28" s="28">
        <f t="shared" si="8"/>
        <v>34.246484877211749</v>
      </c>
      <c r="G28" s="27" t="str">
        <f t="shared" si="9"/>
        <v>+</v>
      </c>
      <c r="H28" s="26">
        <f t="shared" si="10"/>
        <v>16340.400000000001</v>
      </c>
      <c r="I28" s="26">
        <f t="shared" si="11"/>
        <v>16458.860631987969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461.2</v>
      </c>
      <c r="E29" s="29">
        <f t="shared" si="7"/>
        <v>8.5659627421481782E-2</v>
      </c>
      <c r="F29" s="28">
        <f t="shared" si="8"/>
        <v>33.138510366478428</v>
      </c>
      <c r="G29" s="27" t="str">
        <f t="shared" si="9"/>
        <v>+</v>
      </c>
      <c r="H29" s="26">
        <f t="shared" si="10"/>
        <v>15173.48</v>
      </c>
      <c r="I29" s="26">
        <f t="shared" si="11"/>
        <v>15283.480981019851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411.2</v>
      </c>
      <c r="E30" s="29">
        <f t="shared" si="7"/>
        <v>7.6373024275180626E-2</v>
      </c>
      <c r="F30" s="28">
        <f t="shared" si="8"/>
        <v>33.138510366478428</v>
      </c>
      <c r="G30" s="27" t="str">
        <f t="shared" si="9"/>
        <v>+</v>
      </c>
      <c r="H30" s="26">
        <f t="shared" si="10"/>
        <v>13528.48</v>
      </c>
      <c r="I30" s="26">
        <f t="shared" si="11"/>
        <v>13626.555462695929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78</v>
      </c>
      <c r="E31" s="29">
        <f t="shared" si="7"/>
        <v>1.4487100908229789E-2</v>
      </c>
      <c r="F31" s="28">
        <f t="shared" si="8"/>
        <v>33.642135144084484</v>
      </c>
      <c r="G31" s="27" t="str">
        <f t="shared" si="9"/>
        <v>+</v>
      </c>
      <c r="H31" s="26">
        <f t="shared" si="10"/>
        <v>2605.1999999999998</v>
      </c>
      <c r="I31" s="26">
        <f t="shared" si="11"/>
        <v>2624.0865412385897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34.92710826692921</v>
      </c>
      <c r="D32" s="22">
        <f>SUM(D26:D31)</f>
        <v>3250.2999999999997</v>
      </c>
      <c r="E32" s="21">
        <f t="shared" si="7"/>
        <v>0.60368492412845232</v>
      </c>
      <c r="F32" s="20">
        <f>I32/D32</f>
        <v>35.180314266709665</v>
      </c>
      <c r="G32" s="19">
        <f>F32/C32-1</f>
        <v>7.2495552121103479E-3</v>
      </c>
      <c r="H32" s="18">
        <f>SUM(H26:H31)</f>
        <v>113523.58</v>
      </c>
      <c r="I32" s="18">
        <f>SUM(I26:I31)</f>
        <v>114346.57546108642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930.8</v>
      </c>
      <c r="E34" s="29">
        <f t="shared" ref="E34:E40" si="13">D34/$D$48</f>
        <v>0.17287940417154216</v>
      </c>
      <c r="F34" s="28">
        <f t="shared" ref="F34:F39" si="14">C34-(C34*$E$6)</f>
        <v>20.245716059763421</v>
      </c>
      <c r="G34" s="27" t="str">
        <f t="shared" ref="G34:G39" si="15">IF(C34&gt;=F34,"-","+")</f>
        <v>+</v>
      </c>
      <c r="H34" s="26">
        <f t="shared" ref="H34:H39" si="16">C34*D34</f>
        <v>18709.080000000002</v>
      </c>
      <c r="I34" s="26">
        <f t="shared" ref="I34:I39" si="17">F34*D34</f>
        <v>18844.71250842779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15.612368105787711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12.489894484630168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33.138510366478428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33.138510366478428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</v>
      </c>
      <c r="D39" s="30"/>
      <c r="E39" s="29">
        <f t="shared" si="13"/>
        <v>0</v>
      </c>
      <c r="F39" s="28">
        <f t="shared" si="14"/>
        <v>34.246484877211749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930.8</v>
      </c>
      <c r="E40" s="21">
        <f t="shared" si="13"/>
        <v>0.17287940417154216</v>
      </c>
      <c r="F40" s="20">
        <f>I40/D40</f>
        <v>20.245716059763421</v>
      </c>
      <c r="G40" s="19">
        <f>F40/C40-1</f>
        <v>7.2495552121103479E-3</v>
      </c>
      <c r="H40" s="18">
        <f>SUM(H34:H39)</f>
        <v>18709.080000000002</v>
      </c>
      <c r="I40" s="18">
        <f>SUM(I34:I39)</f>
        <v>18844.71250842779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784</v>
      </c>
      <c r="E42" s="107">
        <f>D42/$D$48</f>
        <v>0.14561393733400199</v>
      </c>
      <c r="F42" s="28">
        <f>C42-(C42*$E$6)</f>
        <v>0.50362477760605517</v>
      </c>
      <c r="G42" s="27" t="str">
        <f>IF(C42&gt;=F42,"-","+")</f>
        <v>+</v>
      </c>
      <c r="H42" s="26">
        <f>C42*D42</f>
        <v>392</v>
      </c>
      <c r="I42" s="26">
        <f>F42*D42</f>
        <v>394.84182564314727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43.8</v>
      </c>
      <c r="E43" s="107">
        <f>D43/$D$48</f>
        <v>8.1350643561598039E-3</v>
      </c>
      <c r="F43" s="28">
        <f>C43-(C43*$E$6)</f>
        <v>0.50362477760605517</v>
      </c>
      <c r="G43" s="27" t="str">
        <f>IF(C43&gt;=F43,"-","+")</f>
        <v>+</v>
      </c>
      <c r="H43" s="26">
        <f>C43*D43</f>
        <v>21.9</v>
      </c>
      <c r="I43" s="26">
        <f>F43*D43</f>
        <v>22.058765259145215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3.7</v>
      </c>
      <c r="E44" s="107">
        <f>D44/$D$48</f>
        <v>6.8720863282628489E-4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7.4</v>
      </c>
      <c r="E45" s="107">
        <f>D45/$D$48</f>
        <v>1.3744172656525698E-3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0.49338419358683988</v>
      </c>
      <c r="D46" s="22">
        <f>SUM(D41:D45)</f>
        <v>838.9</v>
      </c>
      <c r="E46" s="113">
        <f>D46/$D$48</f>
        <v>0.15581062758864064</v>
      </c>
      <c r="F46" s="20">
        <f>I46/D46</f>
        <v>0.49696100953903027</v>
      </c>
      <c r="G46" s="19">
        <f>F46/C46-1</f>
        <v>7.24955521211057E-3</v>
      </c>
      <c r="H46" s="18">
        <f>SUM(H41:H44)</f>
        <v>413.9</v>
      </c>
      <c r="I46" s="18">
        <f>SUM(I41:I44)</f>
        <v>416.90059090229249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106.72697419630292</v>
      </c>
      <c r="D48" s="13">
        <f>D24+D32+D40+D46</f>
        <v>5384.0999999999995</v>
      </c>
      <c r="E48" s="12">
        <f>SUM(E20:E46)/2</f>
        <v>1.0000000000000002</v>
      </c>
      <c r="F48" s="11">
        <f>I48/D48</f>
        <v>28.303269125325787</v>
      </c>
      <c r="G48" s="10"/>
      <c r="H48" s="9">
        <f>SUM(H20:H46)/2</f>
        <v>151290.84000000005</v>
      </c>
      <c r="I48" s="9">
        <f>SUM(I20:I46)/2</f>
        <v>152387.63129766655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7245.9999999999991</v>
      </c>
      <c r="E50" s="12">
        <f>D50/G2</f>
        <v>0.99999999999999989</v>
      </c>
      <c r="F50" s="11">
        <f>I50/D50</f>
        <v>28.449999999999989</v>
      </c>
      <c r="G50" s="10"/>
      <c r="H50" s="9">
        <f>H48+H19</f>
        <v>204664.97000000006</v>
      </c>
      <c r="I50" s="9">
        <f>I48+I19</f>
        <v>206148.6999999999</v>
      </c>
      <c r="J50" s="106">
        <f>D50-G2</f>
        <v>0</v>
      </c>
      <c r="K50" s="8"/>
    </row>
    <row r="51" spans="1:11" ht="23.25" x14ac:dyDescent="0.35">
      <c r="A51" s="174" t="s">
        <v>929</v>
      </c>
      <c r="B51" s="169"/>
      <c r="C51" s="170"/>
      <c r="G51" s="7"/>
      <c r="H51" s="6"/>
      <c r="I51" s="6">
        <f>+I50/D50</f>
        <v>28.449999999999989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930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930</v>
      </c>
      <c r="D2" s="96" t="s">
        <v>3</v>
      </c>
      <c r="E2" s="95" t="s">
        <v>71</v>
      </c>
      <c r="F2" s="94" t="s">
        <v>5</v>
      </c>
      <c r="G2" s="116">
        <v>15869.1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193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82.223316062176167</v>
      </c>
      <c r="F4" s="81" t="s">
        <v>12</v>
      </c>
      <c r="G4" s="80">
        <f>G2*G3</f>
        <v>448302.07500000001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1.9730623309587081E-2</v>
      </c>
      <c r="F6" s="69" t="s">
        <v>16</v>
      </c>
      <c r="G6" s="68">
        <f>(I50-I19)/(D50-(SUM(D42:D44)+D19))</f>
        <v>33.219126288411516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27.741623360338686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28.819919674698138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26.369246232972106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28.819919674698138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32.250862493114582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26.56530010831019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36.367993875214317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53.522707967296547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46.95490314347078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188</v>
      </c>
      <c r="E21" s="29">
        <f>D21/$D$48</f>
        <v>1.1846922635814253E-2</v>
      </c>
      <c r="F21" s="28">
        <f>C21-(C21*$E$6)</f>
        <v>69.599125745019322</v>
      </c>
      <c r="G21" s="27" t="str">
        <f>IF(C21&gt;=F21,"-","+")</f>
        <v>-</v>
      </c>
      <c r="H21" s="26">
        <f>C21*D21</f>
        <v>13348</v>
      </c>
      <c r="I21" s="26">
        <f>F21*D21</f>
        <v>13084.635640063632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492.2</v>
      </c>
      <c r="E22" s="29">
        <f>D22/$D$48</f>
        <v>3.1016251709296679E-2</v>
      </c>
      <c r="F22" s="28">
        <f>C22-(C22*$E$6)</f>
        <v>46.7588492681327</v>
      </c>
      <c r="G22" s="27" t="str">
        <f>IF(C22&gt;=F22,"-","+")</f>
        <v>-</v>
      </c>
      <c r="H22" s="26">
        <f>C22*D22</f>
        <v>23477.940000000002</v>
      </c>
      <c r="I22" s="26">
        <f>F22*D22</f>
        <v>23014.705609774916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388.6</v>
      </c>
      <c r="E23" s="29">
        <f>D23/$D$48</f>
        <v>2.4487841150411804E-2</v>
      </c>
      <c r="F23" s="28">
        <f>C23-(C23*$E$6)</f>
        <v>42.641717886032964</v>
      </c>
      <c r="G23" s="27" t="str">
        <f>IF(C23&gt;=F23,"-","+")</f>
        <v>-</v>
      </c>
      <c r="H23" s="26">
        <f>C23*D23</f>
        <v>16904.100000000002</v>
      </c>
      <c r="I23" s="26">
        <f>F23*D23</f>
        <v>16570.571570512409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50.27136976047904</v>
      </c>
      <c r="D24" s="22">
        <f>SUM(D21:D23)</f>
        <v>1068.8000000000002</v>
      </c>
      <c r="E24" s="21">
        <f>D24/$D$48</f>
        <v>6.7351015495522748E-2</v>
      </c>
      <c r="F24" s="20">
        <f>I24/D24</f>
        <v>49.279484300478053</v>
      </c>
      <c r="G24" s="19">
        <f>F24/C24-1</f>
        <v>-1.9730623309587192E-2</v>
      </c>
      <c r="H24" s="18">
        <f>SUM(H21:H23)</f>
        <v>53730.040000000008</v>
      </c>
      <c r="I24" s="18">
        <f>SUM(I21:I23)</f>
        <v>52669.912820350954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v>3163.1</v>
      </c>
      <c r="E26" s="29">
        <f t="shared" ref="E26:E32" si="7">D26/$D$48</f>
        <v>0.1993244733475748</v>
      </c>
      <c r="F26" s="28">
        <f t="shared" ref="F26:F31" si="8">C26-(C26*$E$6)</f>
        <v>37.152209376566645</v>
      </c>
      <c r="G26" s="27" t="str">
        <f t="shared" ref="G26:G31" si="9">IF(C26&gt;=F26,"-","+")</f>
        <v>-</v>
      </c>
      <c r="H26" s="26">
        <f t="shared" ref="H26:H31" si="10">C26*D26</f>
        <v>119881.48999999999</v>
      </c>
      <c r="I26" s="26">
        <f t="shared" ref="I26:I31" si="11">F26*D26</f>
        <v>117516.15347901796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2567.3000000000002</v>
      </c>
      <c r="E27" s="29">
        <f t="shared" si="7"/>
        <v>0.16177981107939327</v>
      </c>
      <c r="F27" s="28">
        <f t="shared" si="8"/>
        <v>33.133104932135957</v>
      </c>
      <c r="G27" s="27" t="str">
        <f t="shared" si="9"/>
        <v>-</v>
      </c>
      <c r="H27" s="26">
        <f t="shared" si="10"/>
        <v>86774.74</v>
      </c>
      <c r="I27" s="26">
        <f t="shared" si="11"/>
        <v>85062.620292272652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1666.8</v>
      </c>
      <c r="E28" s="29">
        <f t="shared" si="7"/>
        <v>0.10503431196476169</v>
      </c>
      <c r="F28" s="28">
        <f t="shared" si="8"/>
        <v>33.133104932135957</v>
      </c>
      <c r="G28" s="27" t="str">
        <f t="shared" si="9"/>
        <v>-</v>
      </c>
      <c r="H28" s="26">
        <f t="shared" si="10"/>
        <v>56337.84</v>
      </c>
      <c r="I28" s="26">
        <f t="shared" si="11"/>
        <v>55226.259300884209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1422</v>
      </c>
      <c r="E29" s="29">
        <f t="shared" si="7"/>
        <v>8.9608106319829087E-2</v>
      </c>
      <c r="F29" s="28">
        <f t="shared" si="8"/>
        <v>31.956781680107461</v>
      </c>
      <c r="G29" s="27" t="str">
        <f t="shared" si="9"/>
        <v>-</v>
      </c>
      <c r="H29" s="26">
        <f t="shared" si="10"/>
        <v>46357.200000000004</v>
      </c>
      <c r="I29" s="26">
        <f t="shared" si="11"/>
        <v>45442.543549112808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1184.0999999999999</v>
      </c>
      <c r="E30" s="29">
        <f t="shared" si="7"/>
        <v>7.4616707941849242E-2</v>
      </c>
      <c r="F30" s="28">
        <f t="shared" si="8"/>
        <v>31.956781680107461</v>
      </c>
      <c r="G30" s="27" t="str">
        <f t="shared" si="9"/>
        <v>-</v>
      </c>
      <c r="H30" s="26">
        <f t="shared" si="10"/>
        <v>38601.659999999996</v>
      </c>
      <c r="I30" s="26">
        <f t="shared" si="11"/>
        <v>37840.025187415245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463.6</v>
      </c>
      <c r="E31" s="29">
        <f t="shared" si="7"/>
        <v>2.921400709555047E-2</v>
      </c>
      <c r="F31" s="28">
        <f t="shared" si="8"/>
        <v>32.544943306121709</v>
      </c>
      <c r="G31" s="27" t="str">
        <f t="shared" si="9"/>
        <v>-</v>
      </c>
      <c r="H31" s="26">
        <f t="shared" si="10"/>
        <v>15391.520000000002</v>
      </c>
      <c r="I31" s="26">
        <f t="shared" si="11"/>
        <v>15087.835716718026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34.713664026598124</v>
      </c>
      <c r="D32" s="22">
        <f>SUM(D26:D31)</f>
        <v>10466.900000000001</v>
      </c>
      <c r="E32" s="21">
        <f t="shared" si="7"/>
        <v>0.65957741774895862</v>
      </c>
      <c r="F32" s="20">
        <f>I32/D32</f>
        <v>34.02874179799376</v>
      </c>
      <c r="G32" s="19">
        <f>F32/C32-1</f>
        <v>-1.9730623309586859E-2</v>
      </c>
      <c r="H32" s="18">
        <f>SUM(H26:H31)</f>
        <v>363344.44999999995</v>
      </c>
      <c r="I32" s="18">
        <f>SUM(I26:I31)</f>
        <v>356175.43752542092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1953.2</v>
      </c>
      <c r="E34" s="29">
        <f t="shared" ref="E34:E40" si="13">D34/$D$48</f>
        <v>0.12308196432059788</v>
      </c>
      <c r="F34" s="28">
        <f t="shared" ref="F34:F39" si="14">C34-(C34*$E$6)</f>
        <v>19.605387533808258</v>
      </c>
      <c r="G34" s="27" t="str">
        <f t="shared" ref="G34:G39" si="15">IF(C34&gt;=F34,"-","+")</f>
        <v>-</v>
      </c>
      <c r="H34" s="26">
        <f t="shared" ref="H34:H39" si="16">C34*D34</f>
        <v>39064</v>
      </c>
      <c r="I34" s="26">
        <f t="shared" ref="I34:I39" si="17">F34*D34</f>
        <v>38293.242931034292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15.096148401032359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12.057313333292079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31.956781680107461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31.956781680107461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33.133104932135957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1953.2</v>
      </c>
      <c r="E40" s="113">
        <f t="shared" si="13"/>
        <v>0.12308196432059788</v>
      </c>
      <c r="F40" s="20">
        <f>I40/D40</f>
        <v>19.605387533808258</v>
      </c>
      <c r="G40" s="19">
        <f>F40/C40-1</f>
        <v>-1.9730623309587081E-2</v>
      </c>
      <c r="H40" s="18">
        <f>SUM(H34:H39)</f>
        <v>39064</v>
      </c>
      <c r="I40" s="18">
        <f>SUM(I34:I39)</f>
        <v>38293.242931034292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2278</v>
      </c>
      <c r="E42" s="107">
        <f>D42/$D$48</f>
        <v>0.14354941364034504</v>
      </c>
      <c r="F42" s="28">
        <f>C42-(C42*$E$6)</f>
        <v>0.49013468834520646</v>
      </c>
      <c r="G42" s="27" t="str">
        <f>IF(C42&gt;=F42,"-","+")</f>
        <v>-</v>
      </c>
      <c r="H42" s="26">
        <f>C42*D42</f>
        <v>1139</v>
      </c>
      <c r="I42" s="26">
        <f>F42*D42</f>
        <v>1116.5268200503804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95.8</v>
      </c>
      <c r="E43" s="107">
        <f>D43/$D$48</f>
        <v>6.0368893005904546E-3</v>
      </c>
      <c r="F43" s="28">
        <f>C43-(C43*$E$6)</f>
        <v>0.49013468834520646</v>
      </c>
      <c r="G43" s="27" t="str">
        <f>IF(C43&gt;=F43,"-","+")</f>
        <v>-</v>
      </c>
      <c r="H43" s="26">
        <f>C43*D43</f>
        <v>47.9</v>
      </c>
      <c r="I43" s="26">
        <f>F43*D43</f>
        <v>46.95490314347078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6.4</v>
      </c>
      <c r="E45" s="107">
        <f>D45/$D$48</f>
        <v>4.0329949398516612E-4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0.49865557516175107</v>
      </c>
      <c r="D46" s="22">
        <f>SUM(D41:D45)</f>
        <v>2380.2000000000003</v>
      </c>
      <c r="E46" s="113">
        <f>D46/$D$48</f>
        <v>0.14998960243492068</v>
      </c>
      <c r="F46" s="20">
        <f>I46/D46</f>
        <v>0.4888167898470091</v>
      </c>
      <c r="G46" s="19">
        <f>F46/C46-1</f>
        <v>-1.9730623309587081E-2</v>
      </c>
      <c r="H46" s="18">
        <f>SUM(H41:H44)</f>
        <v>1186.9000000000001</v>
      </c>
      <c r="I46" s="18">
        <f>SUM(I41:I44)</f>
        <v>1163.4817231938512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105.48368936223891</v>
      </c>
      <c r="D48" s="13">
        <f>D24+D32+D40+D46</f>
        <v>15869.100000000002</v>
      </c>
      <c r="E48" s="12">
        <f>SUM(E20:E46)/2</f>
        <v>0.99999999999999978</v>
      </c>
      <c r="F48" s="11">
        <f>I48/D48</f>
        <v>28.25</v>
      </c>
      <c r="G48" s="10"/>
      <c r="H48" s="9">
        <f>SUM(H20:H46)/2</f>
        <v>457325.39</v>
      </c>
      <c r="I48" s="9">
        <f>SUM(I20:I46)/2</f>
        <v>448302.07500000007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15869.100000000002</v>
      </c>
      <c r="E50" s="12">
        <f>D50/G2</f>
        <v>1.0000000000000002</v>
      </c>
      <c r="F50" s="11">
        <f>I50/D50</f>
        <v>28.25</v>
      </c>
      <c r="G50" s="10"/>
      <c r="H50" s="9">
        <f>H48+H19</f>
        <v>457325.39</v>
      </c>
      <c r="I50" s="9">
        <f>I48+I19</f>
        <v>448302.07500000007</v>
      </c>
      <c r="J50" s="106">
        <f>D50-G2</f>
        <v>0</v>
      </c>
      <c r="K50" s="8"/>
    </row>
    <row r="51" spans="1:11" ht="23.25" x14ac:dyDescent="0.35">
      <c r="A51" s="174" t="s">
        <v>931</v>
      </c>
      <c r="B51" s="169"/>
      <c r="C51" s="170"/>
      <c r="G51" s="7"/>
      <c r="H51" s="6"/>
      <c r="I51" s="6">
        <f>+I50/D50</f>
        <v>28.25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930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930</v>
      </c>
      <c r="D2" s="96" t="s">
        <v>3</v>
      </c>
      <c r="E2" s="95" t="s">
        <v>71</v>
      </c>
      <c r="F2" s="94" t="s">
        <v>5</v>
      </c>
      <c r="G2" s="116">
        <v>5613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75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74.84</v>
      </c>
      <c r="F4" s="81" t="s">
        <v>12</v>
      </c>
      <c r="G4" s="80">
        <f>G2*G3</f>
        <v>158567.25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1.8310130599767271E-2</v>
      </c>
      <c r="F6" s="69" t="s">
        <v>16</v>
      </c>
      <c r="G6" s="68">
        <f>(I50-I19)/(D50-(SUM(D42:D44)+D19))</f>
        <v>32.955202011804808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27.781823304026588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28.86168216036684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26.40745748686626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28.86168216036684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32.297596703267658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26.603795460746309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36.420694154748638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53.600266869252707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47.022944744271143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58.6</v>
      </c>
      <c r="E21" s="29">
        <f>D21/$D$48</f>
        <v>1.0440049884197401E-2</v>
      </c>
      <c r="F21" s="28">
        <f>C21-(C21*$E$6)</f>
        <v>69.699980727416531</v>
      </c>
      <c r="G21" s="27" t="str">
        <f>IF(C21&gt;=F21,"-","+")</f>
        <v>-</v>
      </c>
      <c r="H21" s="26">
        <f>C21*D21</f>
        <v>4160.6000000000004</v>
      </c>
      <c r="I21" s="26">
        <f>F21*D21</f>
        <v>4084.4188706266086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188.3</v>
      </c>
      <c r="E22" s="29">
        <f>D22/$D$48</f>
        <v>3.3547122750757177E-2</v>
      </c>
      <c r="F22" s="28">
        <f>C22-(C22*$E$6)</f>
        <v>46.826606770391102</v>
      </c>
      <c r="G22" s="27" t="str">
        <f>IF(C22&gt;=F22,"-","+")</f>
        <v>-</v>
      </c>
      <c r="H22" s="26">
        <f>C22*D22</f>
        <v>8981.9100000000017</v>
      </c>
      <c r="I22" s="26">
        <f>F22*D22</f>
        <v>8817.4500548646447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118.3</v>
      </c>
      <c r="E23" s="29">
        <f>D23/$D$48</f>
        <v>2.1076073401033318E-2</v>
      </c>
      <c r="F23" s="28">
        <f>C23-(C23*$E$6)</f>
        <v>42.703509318910122</v>
      </c>
      <c r="G23" s="27" t="str">
        <f>IF(C23&gt;=F23,"-","+")</f>
        <v>-</v>
      </c>
      <c r="H23" s="26">
        <f>C23*D23</f>
        <v>5146.05</v>
      </c>
      <c r="I23" s="26">
        <f>F23*D23</f>
        <v>5051.8251524270672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50.07820372398686</v>
      </c>
      <c r="D24" s="22">
        <f>SUM(D21:D23)</f>
        <v>365.2</v>
      </c>
      <c r="E24" s="21">
        <f>D24/$D$48</f>
        <v>6.5063246035987898E-2</v>
      </c>
      <c r="F24" s="20">
        <f>I24/D24</f>
        <v>49.161265273598907</v>
      </c>
      <c r="G24" s="19">
        <f>F24/C24-1</f>
        <v>-1.8310130599767271E-2</v>
      </c>
      <c r="H24" s="18">
        <f>SUM(H21:H23)</f>
        <v>18288.560000000001</v>
      </c>
      <c r="I24" s="18">
        <f>SUM(I21:I23)</f>
        <v>17953.694077918321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f>208.8+66.1+888.2</f>
        <v>1163.0999999999999</v>
      </c>
      <c r="E26" s="29">
        <f t="shared" ref="E26:E32" si="7">D26/$D$48</f>
        <v>0.20721539283805454</v>
      </c>
      <c r="F26" s="28">
        <f t="shared" ref="F26:F31" si="8">C26-(C26*$E$6)</f>
        <v>37.206046050268817</v>
      </c>
      <c r="G26" s="27" t="str">
        <f t="shared" ref="G26:G31" si="9">IF(C26&gt;=F26,"-","+")</f>
        <v>-</v>
      </c>
      <c r="H26" s="26">
        <f t="shared" ref="H26:H31" si="10">C26*D26</f>
        <v>44081.49</v>
      </c>
      <c r="I26" s="26">
        <f t="shared" ref="I26:I31" si="11">F26*D26</f>
        <v>43274.352161067654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873.2</v>
      </c>
      <c r="E27" s="29">
        <f t="shared" si="7"/>
        <v>0.15556743274541246</v>
      </c>
      <c r="F27" s="28">
        <f t="shared" si="8"/>
        <v>33.181117585727861</v>
      </c>
      <c r="G27" s="27" t="str">
        <f t="shared" si="9"/>
        <v>-</v>
      </c>
      <c r="H27" s="26">
        <f t="shared" si="10"/>
        <v>29514.16</v>
      </c>
      <c r="I27" s="26">
        <f t="shared" si="11"/>
        <v>28973.751875857572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582.29999999999995</v>
      </c>
      <c r="E28" s="29">
        <f t="shared" si="7"/>
        <v>0.10374131480491716</v>
      </c>
      <c r="F28" s="28">
        <f t="shared" si="8"/>
        <v>33.181117585727861</v>
      </c>
      <c r="G28" s="27" t="str">
        <f t="shared" si="9"/>
        <v>-</v>
      </c>
      <c r="H28" s="26">
        <f t="shared" si="10"/>
        <v>19681.739999999998</v>
      </c>
      <c r="I28" s="26">
        <f t="shared" si="11"/>
        <v>19321.364770169333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552.1</v>
      </c>
      <c r="E29" s="29">
        <f t="shared" si="7"/>
        <v>9.8360947799750603E-2</v>
      </c>
      <c r="F29" s="28">
        <f t="shared" si="8"/>
        <v>32.003089742447585</v>
      </c>
      <c r="G29" s="27" t="str">
        <f t="shared" si="9"/>
        <v>-</v>
      </c>
      <c r="H29" s="26">
        <f t="shared" si="10"/>
        <v>17998.460000000003</v>
      </c>
      <c r="I29" s="26">
        <f t="shared" si="11"/>
        <v>17668.905846805312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414.3</v>
      </c>
      <c r="E30" s="29">
        <f t="shared" si="7"/>
        <v>7.3810796365579912E-2</v>
      </c>
      <c r="F30" s="28">
        <f t="shared" si="8"/>
        <v>32.003089742447585</v>
      </c>
      <c r="G30" s="27" t="str">
        <f t="shared" si="9"/>
        <v>-</v>
      </c>
      <c r="H30" s="26">
        <f t="shared" si="10"/>
        <v>13506.18</v>
      </c>
      <c r="I30" s="26">
        <f t="shared" si="11"/>
        <v>13258.880080296034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69.5</v>
      </c>
      <c r="E31" s="29">
        <f t="shared" si="7"/>
        <v>1.2381970425797258E-2</v>
      </c>
      <c r="F31" s="28">
        <f t="shared" si="8"/>
        <v>32.59210366408773</v>
      </c>
      <c r="G31" s="27" t="str">
        <f t="shared" si="9"/>
        <v>-</v>
      </c>
      <c r="H31" s="26">
        <f t="shared" si="10"/>
        <v>2307.4</v>
      </c>
      <c r="I31" s="26">
        <f t="shared" si="11"/>
        <v>2265.1512046540975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34.776147215761391</v>
      </c>
      <c r="D32" s="22">
        <f>SUM(D26:D31)</f>
        <v>3654.5</v>
      </c>
      <c r="E32" s="21">
        <f t="shared" si="7"/>
        <v>0.65107785497951198</v>
      </c>
      <c r="F32" s="20">
        <f>I32/D32</f>
        <v>34.13939141848406</v>
      </c>
      <c r="G32" s="19">
        <f>F32/C32-1</f>
        <v>-1.8310130599767493E-2</v>
      </c>
      <c r="H32" s="18">
        <f>SUM(H26:H31)</f>
        <v>127089.43</v>
      </c>
      <c r="I32" s="18">
        <f>SUM(I26:I31)</f>
        <v>124762.40593885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787.4</v>
      </c>
      <c r="E34" s="29">
        <f t="shared" ref="E34:E40" si="13">D34/$D$48</f>
        <v>0.14028148939960808</v>
      </c>
      <c r="F34" s="28">
        <f t="shared" ref="F34:F39" si="14">C34-(C34*$E$6)</f>
        <v>19.633797388004655</v>
      </c>
      <c r="G34" s="27" t="str">
        <f t="shared" ref="G34:G39" si="15">IF(C34&gt;=F34,"-","+")</f>
        <v>-</v>
      </c>
      <c r="H34" s="26">
        <f t="shared" ref="H34:H39" si="16">C34*D34</f>
        <v>15748</v>
      </c>
      <c r="I34" s="26">
        <f t="shared" ref="I34:I39" si="17">F34*D34</f>
        <v>15459.652063314865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15.118023988763584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12.074785393622863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32.003089742447585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32.003089742447585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33.181117585727861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787.4</v>
      </c>
      <c r="E40" s="113">
        <f t="shared" si="13"/>
        <v>0.14028148939960808</v>
      </c>
      <c r="F40" s="20">
        <f>I40/D40</f>
        <v>19.633797388004655</v>
      </c>
      <c r="G40" s="19">
        <f>F40/C40-1</f>
        <v>-1.8310130599767271E-2</v>
      </c>
      <c r="H40" s="18">
        <f>SUM(H34:H39)</f>
        <v>15748</v>
      </c>
      <c r="I40" s="18">
        <f>SUM(I34:I39)</f>
        <v>15459.652063314865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678+75</f>
        <v>753</v>
      </c>
      <c r="E42" s="107">
        <f>D42/$D$48</f>
        <v>0.13415285943345806</v>
      </c>
      <c r="F42" s="28">
        <f>C42-(C42*$E$6)</f>
        <v>0.49084493470011636</v>
      </c>
      <c r="G42" s="27" t="str">
        <f>IF(C42&gt;=F42,"-","+")</f>
        <v>-</v>
      </c>
      <c r="H42" s="26">
        <f>C42*D42</f>
        <v>376.5</v>
      </c>
      <c r="I42" s="26">
        <f>F42*D42</f>
        <v>369.6062358291876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44.6</v>
      </c>
      <c r="E43" s="107">
        <f>D43/$D$48</f>
        <v>7.9458400142526295E-3</v>
      </c>
      <c r="F43" s="28">
        <f>C43-(C43*$E$6)</f>
        <v>0.49084493470011636</v>
      </c>
      <c r="G43" s="27" t="str">
        <f>IF(C43&gt;=F43,"-","+")</f>
        <v>-</v>
      </c>
      <c r="H43" s="26">
        <f>C43*D43</f>
        <v>22.3</v>
      </c>
      <c r="I43" s="26">
        <f>F43*D43</f>
        <v>21.89168408762519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3.8</v>
      </c>
      <c r="E44" s="107">
        <f>D44/$D$48</f>
        <v>6.7699982184215223E-4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</v>
      </c>
      <c r="E45" s="107">
        <f>D45/$D$48</f>
        <v>8.0171031533939085E-4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0.49485047772676516</v>
      </c>
      <c r="D46" s="22">
        <f>SUM(D41:D45)</f>
        <v>805.9</v>
      </c>
      <c r="E46" s="113">
        <f>D46/$D$48</f>
        <v>0.14357740958489223</v>
      </c>
      <c r="F46" s="20">
        <f>I46/D46</f>
        <v>0.48578970085223083</v>
      </c>
      <c r="G46" s="19">
        <f>F46/C46-1</f>
        <v>-1.8310130599767382E-2</v>
      </c>
      <c r="H46" s="18">
        <f>SUM(H41:H44)</f>
        <v>398.8</v>
      </c>
      <c r="I46" s="18">
        <f>SUM(I41:I44)</f>
        <v>391.4979199168128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105.34920141747503</v>
      </c>
      <c r="D48" s="13">
        <f>D24+D32+D40+D46</f>
        <v>5612.9999999999991</v>
      </c>
      <c r="E48" s="12">
        <f>SUM(E20:E46)/2</f>
        <v>1.0000000000000002</v>
      </c>
      <c r="F48" s="11">
        <f>I48/D48</f>
        <v>28.250000000000004</v>
      </c>
      <c r="G48" s="10"/>
      <c r="H48" s="9">
        <f>SUM(H20:H46)/2</f>
        <v>161524.78999999998</v>
      </c>
      <c r="I48" s="9">
        <f>SUM(I20:I46)/2</f>
        <v>158567.25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5612.9999999999991</v>
      </c>
      <c r="E50" s="12">
        <f>D50/G2</f>
        <v>0.99999999999999989</v>
      </c>
      <c r="F50" s="11">
        <f>I50/D50</f>
        <v>28.250000000000004</v>
      </c>
      <c r="G50" s="10"/>
      <c r="H50" s="9">
        <f>H48+H19</f>
        <v>161524.78999999998</v>
      </c>
      <c r="I50" s="9">
        <f>I48+I19</f>
        <v>158567.25</v>
      </c>
      <c r="J50" s="106">
        <f>D50-G2</f>
        <v>0</v>
      </c>
      <c r="K50" s="8"/>
    </row>
    <row r="51" spans="1:11" ht="23.25" x14ac:dyDescent="0.35">
      <c r="A51" s="174" t="s">
        <v>932</v>
      </c>
      <c r="B51" s="169"/>
      <c r="C51" s="170"/>
      <c r="G51" s="7"/>
      <c r="H51" s="6"/>
      <c r="I51" s="6">
        <f>+I50/D50</f>
        <v>28.250000000000004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930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933</v>
      </c>
      <c r="D2" s="96" t="s">
        <v>3</v>
      </c>
      <c r="E2" s="95" t="s">
        <v>112</v>
      </c>
      <c r="F2" s="94" t="s">
        <v>5</v>
      </c>
      <c r="G2" s="93">
        <v>9840.1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136</v>
      </c>
      <c r="F3" s="88" t="s">
        <v>8</v>
      </c>
      <c r="G3" s="87">
        <v>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72.35367647058824</v>
      </c>
      <c r="F4" s="81" t="s">
        <v>12</v>
      </c>
      <c r="G4" s="80">
        <f>G2*G3</f>
        <v>246002.5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-6.3250256441685915E-2</v>
      </c>
      <c r="F6" s="69" t="s">
        <v>16</v>
      </c>
      <c r="G6" s="68">
        <f>(I50-I19)/(D50-(SUM(D42:D44)+D19))</f>
        <v>31.167488602170618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>
        <f t="shared" ref="E10:E19" si="1">D10/$D$19</f>
        <v>0</v>
      </c>
      <c r="F10" s="28">
        <f t="shared" ref="F10:F18" si="2">C10-(C10*$E$6)</f>
        <v>26.581256411042148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>
        <f t="shared" si="1"/>
        <v>0</v>
      </c>
      <c r="F11" s="28">
        <f t="shared" si="2"/>
        <v>27.644506667483835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>
        <f t="shared" si="1"/>
        <v>0</v>
      </c>
      <c r="F12" s="28">
        <f t="shared" si="2"/>
        <v>25.305356103312125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>
        <f t="shared" si="1"/>
        <v>0</v>
      </c>
      <c r="F13" s="28">
        <f t="shared" si="2"/>
        <v>27.644506667483835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>
        <f t="shared" si="1"/>
        <v>0</v>
      </c>
      <c r="F14" s="28">
        <f t="shared" si="2"/>
        <v>30.940582462453062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>
        <f t="shared" si="1"/>
        <v>0</v>
      </c>
      <c r="F15" s="28">
        <f t="shared" si="2"/>
        <v>25.518006154600464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32.9</v>
      </c>
      <c r="D16" s="30"/>
      <c r="E16" s="29">
        <f t="shared" si="1"/>
        <v>0</v>
      </c>
      <c r="F16" s="28">
        <f t="shared" si="2"/>
        <v>34.980933436931466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48.4</v>
      </c>
      <c r="D17" s="30">
        <v>18</v>
      </c>
      <c r="E17" s="29">
        <f t="shared" si="1"/>
        <v>1</v>
      </c>
      <c r="F17" s="28">
        <f t="shared" si="2"/>
        <v>51.461312411777598</v>
      </c>
      <c r="G17" s="27" t="str">
        <f t="shared" si="3"/>
        <v>+</v>
      </c>
      <c r="H17" s="34">
        <f t="shared" si="4"/>
        <v>871.19999999999993</v>
      </c>
      <c r="I17" s="34">
        <f t="shared" si="5"/>
        <v>926.3036234119968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42.4</v>
      </c>
      <c r="D18" s="30"/>
      <c r="E18" s="29">
        <f t="shared" si="1"/>
        <v>0</v>
      </c>
      <c r="F18" s="28">
        <f t="shared" si="2"/>
        <v>45.08181087312748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48.4</v>
      </c>
      <c r="D19" s="49">
        <f>SUM(D10:D18)</f>
        <v>18</v>
      </c>
      <c r="E19" s="48">
        <f t="shared" si="1"/>
        <v>1</v>
      </c>
      <c r="F19" s="47">
        <f>I19/D19</f>
        <v>51.461312411777598</v>
      </c>
      <c r="G19" s="46">
        <f>F19/C19-1</f>
        <v>6.3250256441685915E-2</v>
      </c>
      <c r="H19" s="9">
        <f>SUM(H10:H18)</f>
        <v>871.19999999999993</v>
      </c>
      <c r="I19" s="9">
        <f>SUM(I10:I18)</f>
        <v>926.3036234119968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62.9</v>
      </c>
      <c r="D21" s="30">
        <v>134</v>
      </c>
      <c r="E21" s="29">
        <f>D21/$D$48</f>
        <v>1.3642703698801682E-2</v>
      </c>
      <c r="F21" s="28">
        <f>C21-(C21*$E$6)</f>
        <v>66.87844113018204</v>
      </c>
      <c r="G21" s="27" t="str">
        <f>IF(C21&gt;=F21,"-","+")</f>
        <v>+</v>
      </c>
      <c r="H21" s="26">
        <f>C21*D21</f>
        <v>8428.6</v>
      </c>
      <c r="I21" s="26">
        <f>F21*D21</f>
        <v>8961.7111114443942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237.5</v>
      </c>
      <c r="E22" s="29">
        <f>D22/$D$48</f>
        <v>2.4180165137801489E-2</v>
      </c>
      <c r="F22" s="28">
        <f>C22-(C22*$E$6)</f>
        <v>44.869160821839145</v>
      </c>
      <c r="G22" s="27" t="str">
        <f>IF(C22&gt;=F22,"-","+")</f>
        <v>+</v>
      </c>
      <c r="H22" s="26">
        <f>C22*D22</f>
        <v>10022.5</v>
      </c>
      <c r="I22" s="26">
        <f>F22*D22</f>
        <v>10656.425695186797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>
        <v>234.6</v>
      </c>
      <c r="E23" s="29">
        <f>D23/$D$48</f>
        <v>2.3884912595066227E-2</v>
      </c>
      <c r="F23" s="28">
        <f>C23-(C23*$E$6)</f>
        <v>40.935134873004905</v>
      </c>
      <c r="G23" s="27" t="str">
        <f>IF(C23&gt;=F23,"-","+")</f>
        <v>+</v>
      </c>
      <c r="H23" s="26">
        <f>C23*D23</f>
        <v>9032.1</v>
      </c>
      <c r="I23" s="26">
        <f>F23*D23</f>
        <v>9603.3826412069502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45.344332618379802</v>
      </c>
      <c r="D24" s="22">
        <f>SUM(D21:D23)</f>
        <v>606.1</v>
      </c>
      <c r="E24" s="21">
        <f>D24/$D$48</f>
        <v>6.1707781431669398E-2</v>
      </c>
      <c r="F24" s="20">
        <f>I24/D24</f>
        <v>48.212373284669425</v>
      </c>
      <c r="G24" s="19">
        <f>F24/C24-1</f>
        <v>6.3250256441685915E-2</v>
      </c>
      <c r="H24" s="18">
        <f>SUM(H21:H23)</f>
        <v>27483.199999999997</v>
      </c>
      <c r="I24" s="18">
        <f>SUM(I21:I23)</f>
        <v>29221.519447838142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33.6</v>
      </c>
      <c r="D26" s="30">
        <f>514.3+52.6+1368.2</f>
        <v>1935.1</v>
      </c>
      <c r="E26" s="29">
        <f t="shared" ref="E26:E32" si="7">D26/$D$48</f>
        <v>0.19701489498172486</v>
      </c>
      <c r="F26" s="28">
        <f t="shared" ref="F26:F31" si="8">C26-(C26*$E$6)</f>
        <v>35.725208616440646</v>
      </c>
      <c r="G26" s="27" t="str">
        <f t="shared" ref="G26:G31" si="9">IF(C26&gt;=F26,"-","+")</f>
        <v>+</v>
      </c>
      <c r="H26" s="26">
        <f t="shared" ref="H26:H31" si="10">C26*D26</f>
        <v>65019.360000000001</v>
      </c>
      <c r="I26" s="26">
        <f t="shared" ref="I26:I31" si="11">F26*D26</f>
        <v>69131.851193674287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1497.6</v>
      </c>
      <c r="E27" s="29">
        <f t="shared" si="7"/>
        <v>0.15247248551735371</v>
      </c>
      <c r="F27" s="28">
        <f t="shared" si="8"/>
        <v>31.791182667606407</v>
      </c>
      <c r="G27" s="27" t="str">
        <f t="shared" si="9"/>
        <v>+</v>
      </c>
      <c r="H27" s="26">
        <f t="shared" si="10"/>
        <v>44778.239999999998</v>
      </c>
      <c r="I27" s="26">
        <f t="shared" si="11"/>
        <v>47610.475163007352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683.3</v>
      </c>
      <c r="E28" s="29">
        <f t="shared" si="7"/>
        <v>6.9567607741725282E-2</v>
      </c>
      <c r="F28" s="28">
        <f t="shared" si="8"/>
        <v>31.791182667606407</v>
      </c>
      <c r="G28" s="27" t="str">
        <f t="shared" si="9"/>
        <v>+</v>
      </c>
      <c r="H28" s="26">
        <f t="shared" si="10"/>
        <v>20430.669999999998</v>
      </c>
      <c r="I28" s="26">
        <f t="shared" si="11"/>
        <v>21722.915116775457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688.7</v>
      </c>
      <c r="E29" s="29">
        <f t="shared" si="7"/>
        <v>7.0117388338542683E-2</v>
      </c>
      <c r="F29" s="28">
        <f t="shared" si="8"/>
        <v>30.727932411164723</v>
      </c>
      <c r="G29" s="27" t="str">
        <f t="shared" si="9"/>
        <v>+</v>
      </c>
      <c r="H29" s="26">
        <f t="shared" si="10"/>
        <v>19903.43</v>
      </c>
      <c r="I29" s="26">
        <f t="shared" si="11"/>
        <v>21162.327051569147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632.5</v>
      </c>
      <c r="E30" s="29">
        <f t="shared" si="7"/>
        <v>6.4395597682776598E-2</v>
      </c>
      <c r="F30" s="28">
        <f t="shared" si="8"/>
        <v>30.727932411164723</v>
      </c>
      <c r="G30" s="27" t="str">
        <f t="shared" si="9"/>
        <v>+</v>
      </c>
      <c r="H30" s="26">
        <f t="shared" si="10"/>
        <v>18279.25</v>
      </c>
      <c r="I30" s="26">
        <f t="shared" si="11"/>
        <v>19435.417250061688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189.9</v>
      </c>
      <c r="E31" s="29">
        <f t="shared" si="7"/>
        <v>1.9333950988077907E-2</v>
      </c>
      <c r="F31" s="28">
        <f t="shared" si="8"/>
        <v>31.259557539385565</v>
      </c>
      <c r="G31" s="27" t="str">
        <f t="shared" si="9"/>
        <v>+</v>
      </c>
      <c r="H31" s="26">
        <f t="shared" si="10"/>
        <v>5583.0599999999995</v>
      </c>
      <c r="I31" s="26">
        <f t="shared" si="11"/>
        <v>5936.1899767293189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30.920724707220419</v>
      </c>
      <c r="D32" s="22">
        <f>SUM(D26:D31)</f>
        <v>5627.0999999999995</v>
      </c>
      <c r="E32" s="21">
        <f t="shared" si="7"/>
        <v>0.57290192525020101</v>
      </c>
      <c r="F32" s="20">
        <f>I32/D32</f>
        <v>32.876468474314883</v>
      </c>
      <c r="G32" s="19">
        <f>F32/C32-1</f>
        <v>6.3250256441685915E-2</v>
      </c>
      <c r="H32" s="18">
        <f>SUM(H26:H31)</f>
        <v>173994.01</v>
      </c>
      <c r="I32" s="18">
        <f>SUM(I26:I31)</f>
        <v>184999.17575181727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766.9+734.1</f>
        <v>1501</v>
      </c>
      <c r="E34" s="29">
        <f t="shared" ref="E34:E40" si="13">D34/$D$48</f>
        <v>0.15281864367090539</v>
      </c>
      <c r="F34" s="28">
        <f t="shared" ref="F34:F39" si="14">C34-(C34*$E$6)</f>
        <v>18.819529539017839</v>
      </c>
      <c r="G34" s="27" t="str">
        <f t="shared" ref="G34:G39" si="15">IF(C34&gt;=F34,"-","+")</f>
        <v>+</v>
      </c>
      <c r="H34" s="26">
        <f t="shared" ref="H34:H39" si="16">C34*D34</f>
        <v>26567.7</v>
      </c>
      <c r="I34" s="26">
        <f t="shared" ref="I34:I39" si="17">F34*D34</f>
        <v>28248.113838065776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122.7</v>
      </c>
      <c r="E35" s="29">
        <f t="shared" si="13"/>
        <v>1.2492236894350495E-2</v>
      </c>
      <c r="F35" s="28">
        <f t="shared" si="14"/>
        <v>14.460203487606929</v>
      </c>
      <c r="G35" s="27" t="str">
        <f t="shared" si="15"/>
        <v>+</v>
      </c>
      <c r="H35" s="26">
        <f t="shared" si="16"/>
        <v>1668.72</v>
      </c>
      <c r="I35" s="26">
        <f t="shared" si="17"/>
        <v>1774.2669679293701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11.589427795214377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30.727932411164723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30.727932411164723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31.791182667606407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17.390170598016876</v>
      </c>
      <c r="D40" s="22">
        <f>SUM(D34:D39)</f>
        <v>1623.7</v>
      </c>
      <c r="E40" s="113">
        <f t="shared" si="13"/>
        <v>0.16531088056525589</v>
      </c>
      <c r="F40" s="20">
        <f>I40/D40</f>
        <v>18.490103347906107</v>
      </c>
      <c r="G40" s="19">
        <f>F40/C40-1</f>
        <v>6.3250256441685693E-2</v>
      </c>
      <c r="H40" s="18">
        <f>SUM(H34:H39)</f>
        <v>28236.420000000002</v>
      </c>
      <c r="I40" s="18">
        <f>SUM(I34:I39)</f>
        <v>30022.380805995144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774+117.1+1017.1</f>
        <v>1908.2</v>
      </c>
      <c r="E42" s="107">
        <f>D42/$D$48</f>
        <v>0.19427617311980125</v>
      </c>
      <c r="F42" s="28">
        <f>C42-(C42*$E$6)</f>
        <v>0.42530010257667439</v>
      </c>
      <c r="G42" s="27" t="str">
        <f>IF(C42&gt;=F42,"-","+")</f>
        <v>+</v>
      </c>
      <c r="H42" s="26">
        <f>C42*D42</f>
        <v>763.28000000000009</v>
      </c>
      <c r="I42" s="26">
        <f>F42*D42</f>
        <v>811.55765573681003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50.7</v>
      </c>
      <c r="E43" s="107">
        <f>D43/$D$48</f>
        <v>5.1618289367854125E-3</v>
      </c>
      <c r="F43" s="28">
        <f>C43-(C43*$E$6)</f>
        <v>0.42530010257667439</v>
      </c>
      <c r="G43" s="27" t="str">
        <f>IF(C43&gt;=F43,"-","+")</f>
        <v>+</v>
      </c>
      <c r="H43" s="26">
        <f>C43*D43</f>
        <v>20.28</v>
      </c>
      <c r="I43" s="26">
        <f>F43*D43</f>
        <v>21.562715200637392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6.3</v>
      </c>
      <c r="E45" s="107">
        <f>D45/$D$48</f>
        <v>6.4141069628694469E-4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0.39871768776714839</v>
      </c>
      <c r="D46" s="22">
        <f>SUM(D41:D45)</f>
        <v>1965.2</v>
      </c>
      <c r="E46" s="113">
        <f>D46/$D$48</f>
        <v>0.20007941275287361</v>
      </c>
      <c r="F46" s="20">
        <f>I46/D46</f>
        <v>0.42393668376625659</v>
      </c>
      <c r="G46" s="19">
        <f>F46/C46-1</f>
        <v>6.3250256441685915E-2</v>
      </c>
      <c r="H46" s="18">
        <f>SUM(H41:H44)</f>
        <v>783.56000000000006</v>
      </c>
      <c r="I46" s="18">
        <f>SUM(I41:I44)</f>
        <v>833.12037093744743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94.05394561138425</v>
      </c>
      <c r="D48" s="13">
        <f>D24+D32+D40+D46</f>
        <v>9822.1</v>
      </c>
      <c r="E48" s="12">
        <f>SUM(E20:E46)/2</f>
        <v>0.99999999999999978</v>
      </c>
      <c r="F48" s="11">
        <f>I48/D48</f>
        <v>24.951506946232275</v>
      </c>
      <c r="G48" s="10"/>
      <c r="H48" s="9">
        <f>SUM(H20:H46)/2</f>
        <v>230497.19</v>
      </c>
      <c r="I48" s="9">
        <f>SUM(I20:I46)/2</f>
        <v>245076.19637658802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9840.1</v>
      </c>
      <c r="E50" s="12">
        <f>D50/G2</f>
        <v>1</v>
      </c>
      <c r="F50" s="11">
        <f>I50/D50</f>
        <v>25.000000000000004</v>
      </c>
      <c r="G50" s="10"/>
      <c r="H50" s="9">
        <f>H48+H19</f>
        <v>231368.39</v>
      </c>
      <c r="I50" s="9">
        <f>I48+I19</f>
        <v>246002.50000000003</v>
      </c>
      <c r="J50" s="106">
        <f>D50-G2</f>
        <v>0</v>
      </c>
      <c r="K50" s="8"/>
    </row>
    <row r="51" spans="1:11" ht="23.25" x14ac:dyDescent="0.35">
      <c r="A51" s="174" t="s">
        <v>934</v>
      </c>
      <c r="B51" s="169"/>
      <c r="C51" s="170"/>
      <c r="G51" s="7"/>
      <c r="H51" s="6"/>
      <c r="I51" s="6">
        <f>+I50/D50</f>
        <v>25.000000000000004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930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933</v>
      </c>
      <c r="D2" s="96" t="s">
        <v>3</v>
      </c>
      <c r="E2" s="95" t="s">
        <v>112</v>
      </c>
      <c r="F2" s="94" t="s">
        <v>5</v>
      </c>
      <c r="G2" s="93">
        <v>3775.3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56</v>
      </c>
      <c r="F3" s="88" t="s">
        <v>8</v>
      </c>
      <c r="G3" s="87">
        <v>24.4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67.416071428571428</v>
      </c>
      <c r="F4" s="81" t="s">
        <v>12</v>
      </c>
      <c r="G4" s="80">
        <f>G2*G3</f>
        <v>92117.319999999992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-0.10760932429296477</v>
      </c>
      <c r="F6" s="69" t="s">
        <v>16</v>
      </c>
      <c r="G6" s="68">
        <f>(I50-I19)/(D50-(SUM(D42:D44)+D19))</f>
        <v>31.326607343920436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24.4</v>
      </c>
      <c r="D10" s="30"/>
      <c r="E10" s="29">
        <f t="shared" ref="E10:E19" si="1">D10/$D$19</f>
        <v>0</v>
      </c>
      <c r="F10" s="28">
        <f t="shared" ref="F10:F18" si="2">C10-(C10*$E$6)</f>
        <v>27.025667512748338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25.4</v>
      </c>
      <c r="D11" s="30"/>
      <c r="E11" s="29">
        <f t="shared" si="1"/>
        <v>0</v>
      </c>
      <c r="F11" s="28">
        <f t="shared" si="2"/>
        <v>28.133276837041304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23.2</v>
      </c>
      <c r="D12" s="30"/>
      <c r="E12" s="29">
        <f t="shared" si="1"/>
        <v>0</v>
      </c>
      <c r="F12" s="28">
        <f t="shared" si="2"/>
        <v>25.696536323596781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25.4</v>
      </c>
      <c r="D13" s="30"/>
      <c r="E13" s="29">
        <f t="shared" si="1"/>
        <v>0</v>
      </c>
      <c r="F13" s="28">
        <f t="shared" si="2"/>
        <v>28.133276837041304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28.4</v>
      </c>
      <c r="D14" s="30"/>
      <c r="E14" s="29">
        <f t="shared" si="1"/>
        <v>0</v>
      </c>
      <c r="F14" s="28">
        <f t="shared" si="2"/>
        <v>31.456104809920198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23.4</v>
      </c>
      <c r="D15" s="30"/>
      <c r="E15" s="29">
        <f t="shared" si="1"/>
        <v>0</v>
      </c>
      <c r="F15" s="28">
        <f t="shared" si="2"/>
        <v>25.918058188455376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32.1</v>
      </c>
      <c r="D16" s="30"/>
      <c r="E16" s="29">
        <f t="shared" si="1"/>
        <v>0</v>
      </c>
      <c r="F16" s="28">
        <f t="shared" si="2"/>
        <v>35.554259309804173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47.2</v>
      </c>
      <c r="D17" s="30">
        <v>21</v>
      </c>
      <c r="E17" s="29">
        <f t="shared" si="1"/>
        <v>1</v>
      </c>
      <c r="F17" s="28">
        <f t="shared" si="2"/>
        <v>52.279160106627941</v>
      </c>
      <c r="G17" s="27" t="str">
        <f t="shared" si="3"/>
        <v>+</v>
      </c>
      <c r="H17" s="34">
        <f t="shared" si="4"/>
        <v>991.2</v>
      </c>
      <c r="I17" s="34">
        <f t="shared" si="5"/>
        <v>1097.8623622391867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41.3</v>
      </c>
      <c r="D18" s="30"/>
      <c r="E18" s="29">
        <f t="shared" si="1"/>
        <v>0</v>
      </c>
      <c r="F18" s="28">
        <f t="shared" si="2"/>
        <v>45.74426509329944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47.2</v>
      </c>
      <c r="D19" s="49">
        <f>SUM(D10:D18)</f>
        <v>21</v>
      </c>
      <c r="E19" s="48">
        <f t="shared" si="1"/>
        <v>1</v>
      </c>
      <c r="F19" s="47">
        <f>I19/D19</f>
        <v>52.279160106627941</v>
      </c>
      <c r="G19" s="46">
        <f>F19/C19-1</f>
        <v>0.10760932429296477</v>
      </c>
      <c r="H19" s="9">
        <f>SUM(H10:H18)</f>
        <v>991.2</v>
      </c>
      <c r="I19" s="9">
        <f>SUM(I10:I18)</f>
        <v>1097.8623622391867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61.4</v>
      </c>
      <c r="D21" s="30">
        <v>47.2</v>
      </c>
      <c r="E21" s="29">
        <f>D21/$D$48</f>
        <v>1.2572250486109262E-2</v>
      </c>
      <c r="F21" s="28">
        <f>C21-(C21*$E$6)</f>
        <v>68.007212511588037</v>
      </c>
      <c r="G21" s="27" t="str">
        <f>IF(C21&gt;=F21,"-","+")</f>
        <v>+</v>
      </c>
      <c r="H21" s="26">
        <f>C21*D21</f>
        <v>2898.08</v>
      </c>
      <c r="I21" s="26">
        <f>F21*D21</f>
        <v>3209.9404305469557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41.2</v>
      </c>
      <c r="D22" s="30">
        <v>76.5</v>
      </c>
      <c r="E22" s="29">
        <f>D22/$D$48</f>
        <v>2.0376634792105053E-2</v>
      </c>
      <c r="F22" s="28">
        <f>C22-(C22*$E$6)</f>
        <v>45.633504160870153</v>
      </c>
      <c r="G22" s="27" t="str">
        <f>IF(C22&gt;=F22,"-","+")</f>
        <v>+</v>
      </c>
      <c r="H22" s="26">
        <f>C22*D22</f>
        <v>3151.8</v>
      </c>
      <c r="I22" s="26">
        <f>F22*D22</f>
        <v>3490.9630683065666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37.6</v>
      </c>
      <c r="D23" s="30">
        <v>70.900000000000006</v>
      </c>
      <c r="E23" s="29">
        <f>D23/$D$48</f>
        <v>1.8885011853075142E-2</v>
      </c>
      <c r="F23" s="28">
        <f>C23-(C23*$E$6)</f>
        <v>41.646110593415479</v>
      </c>
      <c r="G23" s="27" t="str">
        <f>IF(C23&gt;=F23,"-","+")</f>
        <v>+</v>
      </c>
      <c r="H23" s="26">
        <f>C23*D23</f>
        <v>2665.84</v>
      </c>
      <c r="I23" s="26">
        <f>F23*D23</f>
        <v>2952.7092410731575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44.787872559095582</v>
      </c>
      <c r="D24" s="22">
        <f>SUM(D21:D23)</f>
        <v>194.60000000000002</v>
      </c>
      <c r="E24" s="21">
        <f>D24/$D$48</f>
        <v>5.1833897131289462E-2</v>
      </c>
      <c r="F24" s="20">
        <f>I24/D24</f>
        <v>49.607465261699275</v>
      </c>
      <c r="G24" s="19">
        <f>F24/C24-1</f>
        <v>0.10760932429296477</v>
      </c>
      <c r="H24" s="18">
        <f>SUM(H21:H23)</f>
        <v>8715.7200000000012</v>
      </c>
      <c r="I24" s="18">
        <f>SUM(I21:I23)</f>
        <v>9653.6127399266807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32.700000000000003</v>
      </c>
      <c r="D26" s="30">
        <f>223.5+52.7+472</f>
        <v>748.2</v>
      </c>
      <c r="E26" s="29">
        <f t="shared" ref="E26:E32" si="7">D26/$D$48</f>
        <v>0.19929147910396081</v>
      </c>
      <c r="F26" s="28">
        <f t="shared" ref="F26:F31" si="8">C26-(C26*$E$6)</f>
        <v>36.21882490437995</v>
      </c>
      <c r="G26" s="27" t="str">
        <f t="shared" ref="G26:G31" si="9">IF(C26&gt;=F26,"-","+")</f>
        <v>+</v>
      </c>
      <c r="H26" s="26">
        <f t="shared" ref="H26:H31" si="10">C26*D26</f>
        <v>24466.140000000003</v>
      </c>
      <c r="I26" s="26">
        <f t="shared" ref="I26:I31" si="11">F26*D26</f>
        <v>27098.924793457081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29.2</v>
      </c>
      <c r="D27" s="30">
        <v>513.9</v>
      </c>
      <c r="E27" s="29">
        <f t="shared" si="7"/>
        <v>0.13688304077990571</v>
      </c>
      <c r="F27" s="28">
        <f t="shared" si="8"/>
        <v>32.34219226935457</v>
      </c>
      <c r="G27" s="27" t="str">
        <f t="shared" si="9"/>
        <v>+</v>
      </c>
      <c r="H27" s="26">
        <f t="shared" si="10"/>
        <v>15005.88</v>
      </c>
      <c r="I27" s="26">
        <f t="shared" si="11"/>
        <v>16620.652607221313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29.2</v>
      </c>
      <c r="D28" s="30">
        <v>263.2</v>
      </c>
      <c r="E28" s="29">
        <f t="shared" si="7"/>
        <v>7.0106278134405883E-2</v>
      </c>
      <c r="F28" s="28">
        <f t="shared" si="8"/>
        <v>32.34219226935457</v>
      </c>
      <c r="G28" s="27" t="str">
        <f t="shared" si="9"/>
        <v>+</v>
      </c>
      <c r="H28" s="26">
        <f t="shared" si="10"/>
        <v>7685.44</v>
      </c>
      <c r="I28" s="26">
        <f t="shared" si="11"/>
        <v>8512.4650052941215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28.2</v>
      </c>
      <c r="D29" s="30">
        <v>259.2</v>
      </c>
      <c r="E29" s="29">
        <f t="shared" si="7"/>
        <v>6.9040833177955951E-2</v>
      </c>
      <c r="F29" s="28">
        <f t="shared" si="8"/>
        <v>31.234582945061607</v>
      </c>
      <c r="G29" s="27" t="str">
        <f t="shared" si="9"/>
        <v>+</v>
      </c>
      <c r="H29" s="26">
        <f t="shared" si="10"/>
        <v>7309.44</v>
      </c>
      <c r="I29" s="26">
        <f t="shared" si="11"/>
        <v>8096.0038993599683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28.2</v>
      </c>
      <c r="D30" s="30">
        <v>211.2</v>
      </c>
      <c r="E30" s="29">
        <f t="shared" si="7"/>
        <v>5.6255493700556693E-2</v>
      </c>
      <c r="F30" s="28">
        <f t="shared" si="8"/>
        <v>31.234582945061607</v>
      </c>
      <c r="G30" s="27" t="str">
        <f t="shared" si="9"/>
        <v>+</v>
      </c>
      <c r="H30" s="26">
        <f t="shared" si="10"/>
        <v>5955.8399999999992</v>
      </c>
      <c r="I30" s="26">
        <f t="shared" si="11"/>
        <v>6596.7439179970115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28.7</v>
      </c>
      <c r="D31" s="30">
        <v>62.3</v>
      </c>
      <c r="E31" s="29">
        <f t="shared" si="7"/>
        <v>1.6594305196707775E-2</v>
      </c>
      <c r="F31" s="28">
        <f t="shared" si="8"/>
        <v>31.788387607208087</v>
      </c>
      <c r="G31" s="27" t="str">
        <f t="shared" si="9"/>
        <v>+</v>
      </c>
      <c r="H31" s="26">
        <f t="shared" si="10"/>
        <v>1788.0099999999998</v>
      </c>
      <c r="I31" s="26">
        <f t="shared" si="11"/>
        <v>1980.4165479290637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30.228741496598644</v>
      </c>
      <c r="D32" s="22">
        <f>SUM(D26:D31)</f>
        <v>2058</v>
      </c>
      <c r="E32" s="21">
        <f t="shared" si="7"/>
        <v>0.54817143009349278</v>
      </c>
      <c r="F32" s="20">
        <f>I32/D32</f>
        <v>33.48163594327432</v>
      </c>
      <c r="G32" s="19">
        <f>F32/C32-1</f>
        <v>0.10760932429296455</v>
      </c>
      <c r="H32" s="18">
        <f>SUM(H26:H31)</f>
        <v>62210.750000000007</v>
      </c>
      <c r="I32" s="18">
        <f>SUM(I26:I31)</f>
        <v>68905.206771258556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17.2</v>
      </c>
      <c r="D34" s="30">
        <f>304.6+289.6</f>
        <v>594.20000000000005</v>
      </c>
      <c r="E34" s="29">
        <f t="shared" ref="E34:E40" si="13">D34/$D$48</f>
        <v>0.15827184828063823</v>
      </c>
      <c r="F34" s="28">
        <f t="shared" ref="F34:F39" si="14">C34-(C34*$E$6)</f>
        <v>19.050880377838993</v>
      </c>
      <c r="G34" s="27" t="str">
        <f t="shared" ref="G34:G39" si="15">IF(C34&gt;=F34,"-","+")</f>
        <v>+</v>
      </c>
      <c r="H34" s="26">
        <f t="shared" ref="H34:H39" si="16">C34*D34</f>
        <v>10220.24</v>
      </c>
      <c r="I34" s="26">
        <f t="shared" ref="I34:I39" si="17">F34*D34</f>
        <v>11320.033120511931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>
        <v>51.9</v>
      </c>
      <c r="E35" s="29">
        <f t="shared" si="13"/>
        <v>1.3824148309937938E-2</v>
      </c>
      <c r="F35" s="28">
        <f t="shared" si="14"/>
        <v>14.731204013096432</v>
      </c>
      <c r="G35" s="27" t="str">
        <f t="shared" si="15"/>
        <v>+</v>
      </c>
      <c r="H35" s="26">
        <f t="shared" si="16"/>
        <v>690.27</v>
      </c>
      <c r="I35" s="26">
        <f t="shared" si="17"/>
        <v>764.54948827970486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11.851419769934722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28.2</v>
      </c>
      <c r="D37" s="30"/>
      <c r="E37" s="29">
        <f t="shared" si="13"/>
        <v>0</v>
      </c>
      <c r="F37" s="28">
        <f t="shared" si="14"/>
        <v>31.234582945061607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28.2</v>
      </c>
      <c r="D38" s="30"/>
      <c r="E38" s="29">
        <f t="shared" si="13"/>
        <v>0</v>
      </c>
      <c r="F38" s="28">
        <f t="shared" si="14"/>
        <v>31.234582945061607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29.2</v>
      </c>
      <c r="D39" s="30"/>
      <c r="E39" s="29">
        <f t="shared" si="13"/>
        <v>0</v>
      </c>
      <c r="F39" s="28">
        <f t="shared" si="14"/>
        <v>32.34219226935457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16.886720321931588</v>
      </c>
      <c r="D40" s="22">
        <f>SUM(D34:D39)</f>
        <v>646.1</v>
      </c>
      <c r="E40" s="113">
        <f t="shared" si="13"/>
        <v>0.17209599659057614</v>
      </c>
      <c r="F40" s="20">
        <f>I40/D40</f>
        <v>18.703888885298923</v>
      </c>
      <c r="G40" s="19">
        <f>F40/C40-1</f>
        <v>0.10760932429296477</v>
      </c>
      <c r="H40" s="18">
        <f>SUM(H34:H39)</f>
        <v>10910.51</v>
      </c>
      <c r="I40" s="18">
        <f>SUM(I34:I39)</f>
        <v>12084.582608791636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397+46.6+375.6</f>
        <v>819.2</v>
      </c>
      <c r="E42" s="107">
        <f>D42/$D$48</f>
        <v>0.21820312708094722</v>
      </c>
      <c r="F42" s="28">
        <f>C42-(C42*$E$6)</f>
        <v>0.44304372971718592</v>
      </c>
      <c r="G42" s="27" t="str">
        <f>IF(C42&gt;=F42,"-","+")</f>
        <v>+</v>
      </c>
      <c r="H42" s="26">
        <f>C42*D42</f>
        <v>327.68000000000006</v>
      </c>
      <c r="I42" s="26">
        <f>F42*D42</f>
        <v>362.94142338431874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29.6</v>
      </c>
      <c r="E43" s="107">
        <f>D43/$D$48</f>
        <v>7.8842926777295385E-3</v>
      </c>
      <c r="F43" s="28">
        <f>C43-(C43*$E$6)</f>
        <v>0.44304372971718592</v>
      </c>
      <c r="G43" s="27" t="str">
        <f>IF(C43&gt;=F43,"-","+")</f>
        <v>+</v>
      </c>
      <c r="H43" s="26">
        <f>C43*D43</f>
        <v>11.840000000000002</v>
      </c>
      <c r="I43" s="26">
        <f>F43*D43</f>
        <v>13.114094399628703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6.8</v>
      </c>
      <c r="E45" s="107">
        <f>D45/$D$48</f>
        <v>1.8112564259648936E-3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0.39682094436652643</v>
      </c>
      <c r="D46" s="22">
        <f>SUM(D41:D45)</f>
        <v>855.6</v>
      </c>
      <c r="E46" s="113">
        <f>D46/$D$48</f>
        <v>0.22789867618464163</v>
      </c>
      <c r="F46" s="20">
        <f>I46/D46</f>
        <v>0.43952257805510453</v>
      </c>
      <c r="G46" s="19">
        <f>F46/C46-1</f>
        <v>0.10760932429296477</v>
      </c>
      <c r="H46" s="18">
        <f>SUM(H41:H44)</f>
        <v>339.52000000000004</v>
      </c>
      <c r="I46" s="18">
        <f>SUM(I41:I44)</f>
        <v>376.05551778394744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92.300155321992335</v>
      </c>
      <c r="D48" s="13">
        <f>D24+D32+D40+D46</f>
        <v>3754.2999999999997</v>
      </c>
      <c r="E48" s="12">
        <f>SUM(E20:E46)/2</f>
        <v>1.0000000000000002</v>
      </c>
      <c r="F48" s="11">
        <f>I48/D48</f>
        <v>24.244055519740257</v>
      </c>
      <c r="G48" s="10"/>
      <c r="H48" s="9">
        <f>SUM(H20:H46)/2</f>
        <v>82176.499999999985</v>
      </c>
      <c r="I48" s="9">
        <f>SUM(I20:I46)/2</f>
        <v>91019.457637760846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3775.3000000000006</v>
      </c>
      <c r="E50" s="12">
        <f>D50/G2</f>
        <v>1.0000000000000002</v>
      </c>
      <c r="F50" s="11">
        <f>I50/D50</f>
        <v>24.400000000000006</v>
      </c>
      <c r="G50" s="10"/>
      <c r="H50" s="9">
        <f>H48+H19</f>
        <v>83167.699999999983</v>
      </c>
      <c r="I50" s="9">
        <f>I48+I19</f>
        <v>92117.320000000036</v>
      </c>
      <c r="J50" s="106">
        <f>D50-G2</f>
        <v>0</v>
      </c>
      <c r="K50" s="8"/>
    </row>
    <row r="51" spans="1:11" ht="23.25" x14ac:dyDescent="0.35">
      <c r="A51" s="174" t="s">
        <v>935</v>
      </c>
      <c r="B51" s="169"/>
      <c r="C51" s="170"/>
      <c r="G51" s="7"/>
      <c r="H51" s="6"/>
      <c r="I51" s="6">
        <f>+I50/D50</f>
        <v>24.400000000000006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930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936</v>
      </c>
      <c r="D2" s="96" t="s">
        <v>3</v>
      </c>
      <c r="E2" s="95" t="s">
        <v>71</v>
      </c>
      <c r="F2" s="94" t="s">
        <v>5</v>
      </c>
      <c r="G2" s="93">
        <v>18199.2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224</v>
      </c>
      <c r="F3" s="88" t="s">
        <v>8</v>
      </c>
      <c r="G3" s="87">
        <v>27.58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81.246428571428581</v>
      </c>
      <c r="F4" s="81" t="s">
        <v>12</v>
      </c>
      <c r="G4" s="80">
        <f>G2*G3</f>
        <v>501933.93599999999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-5.1516633202249418E-2</v>
      </c>
      <c r="F6" s="69" t="s">
        <v>16</v>
      </c>
      <c r="G6" s="68">
        <f>(I50-I19)/(D50-(SUM(D42:D44)+D19))</f>
        <v>33.812859910783743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27.6</v>
      </c>
      <c r="D10" s="30"/>
      <c r="E10" s="29">
        <f t="shared" ref="E10:E19" si="1">D10/$D$19</f>
        <v>0</v>
      </c>
      <c r="F10" s="28">
        <f t="shared" ref="F10:F18" si="2">C10-(C10*$E$6)</f>
        <v>29.021859076382086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28.7</v>
      </c>
      <c r="D11" s="30">
        <v>797.8</v>
      </c>
      <c r="E11" s="29">
        <f t="shared" si="1"/>
        <v>0.34685448458762663</v>
      </c>
      <c r="F11" s="28">
        <f t="shared" si="2"/>
        <v>30.178527372904558</v>
      </c>
      <c r="G11" s="27" t="str">
        <f t="shared" si="3"/>
        <v>+</v>
      </c>
      <c r="H11" s="34">
        <f t="shared" si="4"/>
        <v>22896.859999999997</v>
      </c>
      <c r="I11" s="34">
        <f t="shared" si="5"/>
        <v>24076.429138103256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26.2</v>
      </c>
      <c r="D12" s="30">
        <v>927.3</v>
      </c>
      <c r="E12" s="29">
        <f t="shared" si="1"/>
        <v>0.4031563845050215</v>
      </c>
      <c r="F12" s="28">
        <f t="shared" si="2"/>
        <v>27.549735789898932</v>
      </c>
      <c r="G12" s="27" t="str">
        <f t="shared" si="3"/>
        <v>+</v>
      </c>
      <c r="H12" s="34">
        <f t="shared" si="4"/>
        <v>24295.26</v>
      </c>
      <c r="I12" s="34">
        <f t="shared" si="5"/>
        <v>25546.869997973277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28.7</v>
      </c>
      <c r="D13" s="30">
        <v>395</v>
      </c>
      <c r="E13" s="29">
        <f t="shared" si="1"/>
        <v>0.1717316638407026</v>
      </c>
      <c r="F13" s="28">
        <f t="shared" si="2"/>
        <v>30.178527372904558</v>
      </c>
      <c r="G13" s="27" t="str">
        <f t="shared" si="3"/>
        <v>+</v>
      </c>
      <c r="H13" s="34">
        <f t="shared" si="4"/>
        <v>11336.5</v>
      </c>
      <c r="I13" s="34">
        <f t="shared" si="5"/>
        <v>11920.518312297299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32.1</v>
      </c>
      <c r="D14" s="30"/>
      <c r="E14" s="29">
        <f t="shared" si="1"/>
        <v>0</v>
      </c>
      <c r="F14" s="28">
        <f t="shared" si="2"/>
        <v>33.75368392579221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26.5</v>
      </c>
      <c r="D15" s="30">
        <v>180</v>
      </c>
      <c r="E15" s="29">
        <f t="shared" si="1"/>
        <v>7.8257467066649281E-2</v>
      </c>
      <c r="F15" s="28">
        <f t="shared" si="2"/>
        <v>27.86519077985961</v>
      </c>
      <c r="G15" s="27" t="str">
        <f t="shared" si="3"/>
        <v>+</v>
      </c>
      <c r="H15" s="34">
        <f t="shared" si="4"/>
        <v>4770</v>
      </c>
      <c r="I15" s="34">
        <f t="shared" si="5"/>
        <v>5015.73434037473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36.200000000000003</v>
      </c>
      <c r="D16" s="30"/>
      <c r="E16" s="29">
        <f t="shared" si="1"/>
        <v>0</v>
      </c>
      <c r="F16" s="28">
        <f t="shared" si="2"/>
        <v>38.064902121921435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53.3</v>
      </c>
      <c r="D17" s="30"/>
      <c r="E17" s="29">
        <f t="shared" si="1"/>
        <v>0</v>
      </c>
      <c r="F17" s="28">
        <f t="shared" si="2"/>
        <v>56.04583654967989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46.7</v>
      </c>
      <c r="D18" s="30"/>
      <c r="E18" s="29">
        <f t="shared" si="1"/>
        <v>0</v>
      </c>
      <c r="F18" s="28">
        <f t="shared" si="2"/>
        <v>49.10582677054505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27.519942611190817</v>
      </c>
      <c r="D19" s="49">
        <f>SUM(D10:D18)</f>
        <v>2300.1</v>
      </c>
      <c r="E19" s="48">
        <f t="shared" si="1"/>
        <v>1</v>
      </c>
      <c r="F19" s="47">
        <f>I19/D19</f>
        <v>28.937677400438488</v>
      </c>
      <c r="G19" s="46">
        <f>F19/C19-1</f>
        <v>5.1516633202249418E-2</v>
      </c>
      <c r="H19" s="9">
        <f>SUM(H10:H18)</f>
        <v>63298.619999999995</v>
      </c>
      <c r="I19" s="9">
        <f>SUM(I10:I18)</f>
        <v>66559.551788748562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69.400000000000006</v>
      </c>
      <c r="D21" s="30">
        <v>200.8</v>
      </c>
      <c r="E21" s="29">
        <f>D21/$D$48</f>
        <v>1.2629248534554327E-2</v>
      </c>
      <c r="F21" s="28">
        <f>C21-(C21*$E$6)</f>
        <v>72.97525434423612</v>
      </c>
      <c r="G21" s="27" t="str">
        <f>IF(C21&gt;=F21,"-","+")</f>
        <v>+</v>
      </c>
      <c r="H21" s="26">
        <f>C21*D21</f>
        <v>13935.520000000002</v>
      </c>
      <c r="I21" s="26">
        <f>F21*D21</f>
        <v>14653.431072322614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46.6</v>
      </c>
      <c r="D22" s="30">
        <v>464.2</v>
      </c>
      <c r="E22" s="29">
        <f>D22/$D$48</f>
        <v>2.9195703036554374E-2</v>
      </c>
      <c r="F22" s="28">
        <f>C22-(C22*$E$6)</f>
        <v>49.000675107224822</v>
      </c>
      <c r="G22" s="27" t="str">
        <f>IF(C22&gt;=F22,"-","+")</f>
        <v>+</v>
      </c>
      <c r="H22" s="26">
        <f>C22*D22</f>
        <v>21631.72</v>
      </c>
      <c r="I22" s="26">
        <f>F22*D22</f>
        <v>22746.113384773762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42.5</v>
      </c>
      <c r="D23" s="30">
        <v>362.7</v>
      </c>
      <c r="E23" s="29">
        <f>D23/$D$48</f>
        <v>2.2811894638858837E-2</v>
      </c>
      <c r="F23" s="28">
        <f>C23-(C23*$E$6)</f>
        <v>44.689456911095597</v>
      </c>
      <c r="G23" s="27" t="str">
        <f>IF(C23&gt;=F23,"-","+")</f>
        <v>+</v>
      </c>
      <c r="H23" s="26">
        <f>C23*D23</f>
        <v>15414.75</v>
      </c>
      <c r="I23" s="26">
        <f>F23*D23</f>
        <v>16208.866021654372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49.607852486134085</v>
      </c>
      <c r="D24" s="22">
        <f>SUM(D21:D23)</f>
        <v>1027.7</v>
      </c>
      <c r="E24" s="21">
        <f>D24/$D$48</f>
        <v>6.4636846209967541E-2</v>
      </c>
      <c r="F24" s="20">
        <f>I24/D24</f>
        <v>52.163482026613551</v>
      </c>
      <c r="G24" s="19">
        <f>F24/C24-1</f>
        <v>5.1516633202249418E-2</v>
      </c>
      <c r="H24" s="18">
        <f>SUM(H21:H23)</f>
        <v>50981.990000000005</v>
      </c>
      <c r="I24" s="18">
        <f>SUM(I21:I23)</f>
        <v>53608.410478750746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</v>
      </c>
      <c r="D26" s="30">
        <f>894.1+264.7+1954.4</f>
        <v>3113.2</v>
      </c>
      <c r="E26" s="29">
        <f t="shared" ref="E26:E32" si="7">D26/$D$48</f>
        <v>0.1958036680168054</v>
      </c>
      <c r="F26" s="28">
        <f t="shared" ref="F26:F31" si="8">C26-(C26*$E$6)</f>
        <v>38.906115428483226</v>
      </c>
      <c r="G26" s="27" t="str">
        <f t="shared" ref="G26:G31" si="9">IF(C26&gt;=F26,"-","+")</f>
        <v>+</v>
      </c>
      <c r="H26" s="26">
        <f t="shared" ref="H26:H31" si="10">C26*D26</f>
        <v>115188.4</v>
      </c>
      <c r="I26" s="26">
        <f t="shared" ref="I26:I31" si="11">F26*D26</f>
        <v>121122.51855195397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</v>
      </c>
      <c r="D27" s="30">
        <v>2493.6999999999998</v>
      </c>
      <c r="E27" s="29">
        <f t="shared" si="7"/>
        <v>0.1568404236584568</v>
      </c>
      <c r="F27" s="28">
        <f t="shared" si="8"/>
        <v>34.700048895674229</v>
      </c>
      <c r="G27" s="27" t="str">
        <f t="shared" si="9"/>
        <v>+</v>
      </c>
      <c r="H27" s="26">
        <f t="shared" si="10"/>
        <v>82292.099999999991</v>
      </c>
      <c r="I27" s="26">
        <f t="shared" si="11"/>
        <v>86531.511931142813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</v>
      </c>
      <c r="D28" s="30">
        <v>1215.5999999999999</v>
      </c>
      <c r="E28" s="29">
        <f t="shared" si="7"/>
        <v>7.6454753578706361E-2</v>
      </c>
      <c r="F28" s="28">
        <f t="shared" si="8"/>
        <v>34.700048895674229</v>
      </c>
      <c r="G28" s="27" t="str">
        <f t="shared" si="9"/>
        <v>+</v>
      </c>
      <c r="H28" s="26">
        <f t="shared" si="10"/>
        <v>40114.799999999996</v>
      </c>
      <c r="I28" s="26">
        <f t="shared" si="11"/>
        <v>42181.379437581592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31.9</v>
      </c>
      <c r="D29" s="30">
        <v>1058.5</v>
      </c>
      <c r="E29" s="29">
        <f t="shared" si="7"/>
        <v>6.6574001861682039E-2</v>
      </c>
      <c r="F29" s="28">
        <f t="shared" si="8"/>
        <v>33.543380599151753</v>
      </c>
      <c r="G29" s="27" t="str">
        <f t="shared" si="9"/>
        <v>+</v>
      </c>
      <c r="H29" s="26">
        <f t="shared" si="10"/>
        <v>33766.15</v>
      </c>
      <c r="I29" s="26">
        <f t="shared" si="11"/>
        <v>35505.668364202131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31.9</v>
      </c>
      <c r="D30" s="30">
        <v>868.2</v>
      </c>
      <c r="E30" s="29">
        <f t="shared" si="7"/>
        <v>5.4605147299303124E-2</v>
      </c>
      <c r="F30" s="28">
        <f t="shared" si="8"/>
        <v>33.543380599151753</v>
      </c>
      <c r="G30" s="27" t="str">
        <f t="shared" si="9"/>
        <v>+</v>
      </c>
      <c r="H30" s="26">
        <f t="shared" si="10"/>
        <v>27695.58</v>
      </c>
      <c r="I30" s="26">
        <f t="shared" si="11"/>
        <v>29122.363036183553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32.4</v>
      </c>
      <c r="D31" s="30">
        <v>230.5</v>
      </c>
      <c r="E31" s="29">
        <f t="shared" si="7"/>
        <v>1.449722005585046E-2</v>
      </c>
      <c r="F31" s="28">
        <f t="shared" si="8"/>
        <v>34.06913891575288</v>
      </c>
      <c r="G31" s="27" t="str">
        <f t="shared" si="9"/>
        <v>+</v>
      </c>
      <c r="H31" s="26">
        <f t="shared" si="10"/>
        <v>7468.2</v>
      </c>
      <c r="I31" s="26">
        <f t="shared" si="11"/>
        <v>7852.9365200810389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34.135353074156157</v>
      </c>
      <c r="D32" s="22">
        <f>SUM(D26:D31)</f>
        <v>8979.7000000000007</v>
      </c>
      <c r="E32" s="21">
        <f t="shared" si="7"/>
        <v>0.56477521447080425</v>
      </c>
      <c r="F32" s="20">
        <f>I32/D32</f>
        <v>35.893891537706715</v>
      </c>
      <c r="G32" s="19">
        <f>F32/C32-1</f>
        <v>5.1516633202248752E-2</v>
      </c>
      <c r="H32" s="18">
        <f>SUM(H26:H31)</f>
        <v>306525.23000000004</v>
      </c>
      <c r="I32" s="18">
        <f>SUM(I26:I31)</f>
        <v>322316.37784114503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19.5</v>
      </c>
      <c r="D34" s="30">
        <f>939.2+1730.4</f>
        <v>2669.6000000000004</v>
      </c>
      <c r="E34" s="29">
        <f t="shared" ref="E34:E40" si="13">D34/$D$48</f>
        <v>0.16790359505899519</v>
      </c>
      <c r="F34" s="28">
        <f t="shared" ref="F34:F39" si="14">C34-(C34*$E$6)</f>
        <v>20.504574347443864</v>
      </c>
      <c r="G34" s="27" t="str">
        <f t="shared" ref="G34:G39" si="15">IF(C34&gt;=F34,"-","+")</f>
        <v>+</v>
      </c>
      <c r="H34" s="26">
        <f t="shared" ref="H34:H39" si="16">C34*D34</f>
        <v>52057.200000000004</v>
      </c>
      <c r="I34" s="26">
        <f t="shared" ref="I34:I39" si="17">F34*D34</f>
        <v>54739.011677936149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</v>
      </c>
      <c r="D35" s="30">
        <v>197.9</v>
      </c>
      <c r="E35" s="29">
        <f t="shared" si="13"/>
        <v>1.2446854008905883E-2</v>
      </c>
      <c r="F35" s="28">
        <f t="shared" si="14"/>
        <v>15.772749498033741</v>
      </c>
      <c r="G35" s="27" t="str">
        <f t="shared" si="15"/>
        <v>+</v>
      </c>
      <c r="H35" s="26">
        <f t="shared" si="16"/>
        <v>2968.5</v>
      </c>
      <c r="I35" s="26">
        <f t="shared" si="17"/>
        <v>3121.4271256608777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12.618199598426994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31.9</v>
      </c>
      <c r="D37" s="30"/>
      <c r="E37" s="29">
        <f t="shared" si="13"/>
        <v>0</v>
      </c>
      <c r="F37" s="28">
        <f t="shared" si="14"/>
        <v>33.543380599151753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31.9</v>
      </c>
      <c r="D38" s="30"/>
      <c r="E38" s="29">
        <f t="shared" si="13"/>
        <v>0</v>
      </c>
      <c r="F38" s="28">
        <f t="shared" si="14"/>
        <v>33.543380599151753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</v>
      </c>
      <c r="D39" s="30"/>
      <c r="E39" s="29">
        <f t="shared" si="13"/>
        <v>0</v>
      </c>
      <c r="F39" s="28">
        <f t="shared" si="14"/>
        <v>34.700048895674229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19.189433304272011</v>
      </c>
      <c r="D40" s="22">
        <f>SUM(D34:D39)</f>
        <v>2867.5000000000005</v>
      </c>
      <c r="E40" s="113">
        <f t="shared" si="13"/>
        <v>0.18035044906790107</v>
      </c>
      <c r="F40" s="20">
        <f>I40/D40</f>
        <v>20.178008301167225</v>
      </c>
      <c r="G40" s="19">
        <f>F40/C40-1</f>
        <v>5.151663320224964E-2</v>
      </c>
      <c r="H40" s="18">
        <f>SUM(H34:H39)</f>
        <v>55025.700000000004</v>
      </c>
      <c r="I40" s="18">
        <f>SUM(I34:I39)</f>
        <v>57860.438803597026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175.7+1360+1400</f>
        <v>2935.7</v>
      </c>
      <c r="E42" s="107">
        <f>D42/$D$48</f>
        <v>0.18463986515384032</v>
      </c>
      <c r="F42" s="28">
        <f>C42-(C42*$E$6)</f>
        <v>0.52575831660112471</v>
      </c>
      <c r="G42" s="27" t="str">
        <f>IF(C42&gt;=F42,"-","+")</f>
        <v>+</v>
      </c>
      <c r="H42" s="26">
        <f>C42*D42</f>
        <v>1467.85</v>
      </c>
      <c r="I42" s="26">
        <f>F42*D42</f>
        <v>1543.4686900459217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86.9</v>
      </c>
      <c r="E43" s="107">
        <f>D43/$D$48</f>
        <v>5.4655463030516488E-3</v>
      </c>
      <c r="F43" s="28">
        <f>C43-(C43*$E$6)</f>
        <v>0.52575831660112471</v>
      </c>
      <c r="G43" s="27" t="str">
        <f>IF(C43&gt;=F43,"-","+")</f>
        <v>+</v>
      </c>
      <c r="H43" s="26">
        <f>C43*D43</f>
        <v>43.45</v>
      </c>
      <c r="I43" s="26">
        <f>F43*D43</f>
        <v>45.688397712637737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</v>
      </c>
      <c r="E44" s="107">
        <f>D44/$D$48</f>
        <v>6.2894664016704819E-5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1.1000000000000001</v>
      </c>
      <c r="E45" s="107">
        <f>D45/$D$48</f>
        <v>6.9184130418375298E-5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0.49965285813469107</v>
      </c>
      <c r="D46" s="22">
        <f>SUM(D41:D45)</f>
        <v>3024.7</v>
      </c>
      <c r="E46" s="113">
        <f>D46/$D$48</f>
        <v>0.19023749025132705</v>
      </c>
      <c r="F46" s="20">
        <f>I46/D46</f>
        <v>0.52539329115567146</v>
      </c>
      <c r="G46" s="19">
        <f>F46/C46-1</f>
        <v>5.1516633202249418E-2</v>
      </c>
      <c r="H46" s="18">
        <f>SUM(H41:H44)</f>
        <v>1511.3</v>
      </c>
      <c r="I46" s="18">
        <f>SUM(I41:I44)</f>
        <v>1589.1570877585593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103.43229172269696</v>
      </c>
      <c r="D48" s="13">
        <f>D24+D32+D40+D46</f>
        <v>15899.600000000002</v>
      </c>
      <c r="E48" s="12">
        <f>SUM(E20:E46)/2</f>
        <v>0.99999999999999989</v>
      </c>
      <c r="F48" s="11">
        <f>I48/D48</f>
        <v>27.382725616446411</v>
      </c>
      <c r="G48" s="10"/>
      <c r="H48" s="9">
        <f>SUM(H20:H46)/2</f>
        <v>414044.22</v>
      </c>
      <c r="I48" s="9">
        <f>SUM(I20:I46)/2</f>
        <v>435374.3842112514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18199.699999999997</v>
      </c>
      <c r="E50" s="12">
        <f>D50/G2</f>
        <v>1.0000274737351091</v>
      </c>
      <c r="F50" s="11">
        <f>I50/D50</f>
        <v>27.579242295202672</v>
      </c>
      <c r="G50" s="10"/>
      <c r="H50" s="9">
        <f>H48+H19</f>
        <v>477342.83999999997</v>
      </c>
      <c r="I50" s="9">
        <f>I48+I19</f>
        <v>501933.93599999999</v>
      </c>
      <c r="J50" s="106">
        <f>D50-G2</f>
        <v>0.49999999999636202</v>
      </c>
      <c r="K50" s="8"/>
    </row>
    <row r="51" spans="1:11" ht="23.25" x14ac:dyDescent="0.35">
      <c r="A51" s="174" t="s">
        <v>937</v>
      </c>
      <c r="B51" s="169"/>
      <c r="C51" s="170"/>
      <c r="G51" s="7"/>
      <c r="H51" s="6"/>
      <c r="I51" s="6">
        <f>+I50/D50</f>
        <v>27.579242295202672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933</v>
      </c>
      <c r="D1" s="100" t="s">
        <v>1</v>
      </c>
      <c r="E1" s="168" t="s">
        <v>821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933</v>
      </c>
      <c r="D2" s="96" t="s">
        <v>3</v>
      </c>
      <c r="E2" s="95" t="s">
        <v>112</v>
      </c>
      <c r="F2" s="94" t="s">
        <v>5</v>
      </c>
      <c r="G2" s="116">
        <v>6242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822</v>
      </c>
      <c r="D3" s="90" t="s">
        <v>7</v>
      </c>
      <c r="E3" s="89">
        <v>108</v>
      </c>
      <c r="F3" s="88" t="s">
        <v>8</v>
      </c>
      <c r="G3" s="87">
        <v>24.52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57.796296296296298</v>
      </c>
      <c r="F4" s="81" t="s">
        <v>12</v>
      </c>
      <c r="G4" s="80">
        <f>G2*G3</f>
        <v>153053.84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-0.10227279274420953</v>
      </c>
      <c r="F6" s="69" t="s">
        <v>16</v>
      </c>
      <c r="G6" s="68">
        <f>(I50-I19)/(D50-(SUM(D42:D44)+D19))</f>
        <v>31.364134510953107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24.5</v>
      </c>
      <c r="D10" s="30"/>
      <c r="E10" s="29" t="e">
        <f t="shared" ref="E10:E19" si="1">D10/$D$19</f>
        <v>#DIV/0!</v>
      </c>
      <c r="F10" s="28">
        <f t="shared" ref="F10:F18" si="2">C10-(C10*$E$6)</f>
        <v>27.005683422233133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25.5</v>
      </c>
      <c r="D11" s="30"/>
      <c r="E11" s="29" t="e">
        <f t="shared" si="1"/>
        <v>#DIV/0!</v>
      </c>
      <c r="F11" s="28">
        <f t="shared" si="2"/>
        <v>28.107956214977342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23.3</v>
      </c>
      <c r="D12" s="30"/>
      <c r="E12" s="29" t="e">
        <f t="shared" si="1"/>
        <v>#DIV/0!</v>
      </c>
      <c r="F12" s="28">
        <f t="shared" si="2"/>
        <v>25.682956070940083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25.5</v>
      </c>
      <c r="D13" s="30"/>
      <c r="E13" s="29" t="e">
        <f t="shared" si="1"/>
        <v>#DIV/0!</v>
      </c>
      <c r="F13" s="28">
        <f t="shared" si="2"/>
        <v>28.107956214977342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28.5</v>
      </c>
      <c r="D14" s="30"/>
      <c r="E14" s="29" t="e">
        <f t="shared" si="1"/>
        <v>#DIV/0!</v>
      </c>
      <c r="F14" s="28">
        <f t="shared" si="2"/>
        <v>31.41477459320997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23.5</v>
      </c>
      <c r="D15" s="30"/>
      <c r="E15" s="29" t="e">
        <f t="shared" si="1"/>
        <v>#DIV/0!</v>
      </c>
      <c r="F15" s="28">
        <f t="shared" si="2"/>
        <v>25.903410629488924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32.200000000000003</v>
      </c>
      <c r="D16" s="30"/>
      <c r="E16" s="29" t="e">
        <f t="shared" si="1"/>
        <v>#DIV/0!</v>
      </c>
      <c r="F16" s="28">
        <f t="shared" si="2"/>
        <v>35.49318392636355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47.4</v>
      </c>
      <c r="D17" s="30"/>
      <c r="E17" s="29" t="e">
        <f t="shared" si="1"/>
        <v>#DIV/0!</v>
      </c>
      <c r="F17" s="28">
        <f t="shared" si="2"/>
        <v>52.247730376075531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41.5</v>
      </c>
      <c r="D18" s="30"/>
      <c r="E18" s="29" t="e">
        <f t="shared" si="1"/>
        <v>#DIV/0!</v>
      </c>
      <c r="F18" s="28">
        <f t="shared" si="2"/>
        <v>45.744320898884695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61.7</v>
      </c>
      <c r="D21" s="30">
        <v>80</v>
      </c>
      <c r="E21" s="29">
        <f>D21/$D$48</f>
        <v>1.2816404998397949E-2</v>
      </c>
      <c r="F21" s="28">
        <f>C21-(C21*$E$6)</f>
        <v>68.010231312317728</v>
      </c>
      <c r="G21" s="27" t="str">
        <f>IF(C21&gt;=F21,"-","+")</f>
        <v>+</v>
      </c>
      <c r="H21" s="26">
        <f>C21*D21</f>
        <v>4936</v>
      </c>
      <c r="I21" s="26">
        <f>F21*D21</f>
        <v>5440.8185049854183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41.4</v>
      </c>
      <c r="D22" s="30">
        <v>152.80000000000001</v>
      </c>
      <c r="E22" s="29">
        <f>D22/$D$48</f>
        <v>2.4479333546940086E-2</v>
      </c>
      <c r="F22" s="28">
        <f>C22-(C22*$E$6)</f>
        <v>45.634093619610276</v>
      </c>
      <c r="G22" s="27" t="str">
        <f>IF(C22&gt;=F22,"-","+")</f>
        <v>+</v>
      </c>
      <c r="H22" s="26">
        <f>C22*D22</f>
        <v>6325.92</v>
      </c>
      <c r="I22" s="26">
        <f>F22*D22</f>
        <v>6972.8895050764504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37.799999999999997</v>
      </c>
      <c r="D23" s="30">
        <v>133.19999999999999</v>
      </c>
      <c r="E23" s="29">
        <f>D23/$D$48</f>
        <v>2.1339314322332582E-2</v>
      </c>
      <c r="F23" s="28">
        <f>C23-(C23*$E$6)</f>
        <v>41.665911565731115</v>
      </c>
      <c r="G23" s="27" t="str">
        <f>IF(C23&gt;=F23,"-","+")</f>
        <v>+</v>
      </c>
      <c r="H23" s="26">
        <f>C23*D23</f>
        <v>5034.9599999999991</v>
      </c>
      <c r="I23" s="26">
        <f>F23*D23</f>
        <v>5549.8994205553836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44.526994535519123</v>
      </c>
      <c r="D24" s="22">
        <f>SUM(D21:D23)</f>
        <v>366</v>
      </c>
      <c r="E24" s="21">
        <f>D24/$D$48</f>
        <v>5.8635052867670616E-2</v>
      </c>
      <c r="F24" s="20">
        <f>I24/D24</f>
        <v>49.080894619172817</v>
      </c>
      <c r="G24" s="19">
        <f>F24/C24-1</f>
        <v>0.10227279274420953</v>
      </c>
      <c r="H24" s="18">
        <f>SUM(H21:H23)</f>
        <v>16296.88</v>
      </c>
      <c r="I24" s="18">
        <f>SUM(I21:I23)</f>
        <v>17963.607430617252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32.9</v>
      </c>
      <c r="D26" s="30">
        <f>401.6+64+607</f>
        <v>1072.5999999999999</v>
      </c>
      <c r="E26" s="29">
        <f t="shared" ref="E26:E32" si="7">D26/$D$48</f>
        <v>0.17183595001602048</v>
      </c>
      <c r="F26" s="28">
        <f t="shared" ref="F26:F31" si="8">C26-(C26*$E$6)</f>
        <v>36.264774881284495</v>
      </c>
      <c r="G26" s="27" t="str">
        <f t="shared" ref="G26:G31" si="9">IF(C26&gt;=F26,"-","+")</f>
        <v>+</v>
      </c>
      <c r="H26" s="26">
        <f t="shared" ref="H26:H31" si="10">C26*D26</f>
        <v>35288.539999999994</v>
      </c>
      <c r="I26" s="26">
        <f t="shared" ref="I26:I31" si="11">F26*D26</f>
        <v>38897.597537665744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29.3</v>
      </c>
      <c r="D27" s="30">
        <v>950</v>
      </c>
      <c r="E27" s="29">
        <f t="shared" si="7"/>
        <v>0.15219480935597565</v>
      </c>
      <c r="F27" s="28">
        <f t="shared" si="8"/>
        <v>32.296592827405341</v>
      </c>
      <c r="G27" s="27" t="str">
        <f t="shared" si="9"/>
        <v>+</v>
      </c>
      <c r="H27" s="26">
        <f t="shared" si="10"/>
        <v>27835</v>
      </c>
      <c r="I27" s="26">
        <f t="shared" si="11"/>
        <v>30681.763186035074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29.3</v>
      </c>
      <c r="D28" s="30">
        <v>485.5</v>
      </c>
      <c r="E28" s="29">
        <f t="shared" si="7"/>
        <v>7.7779557834027555E-2</v>
      </c>
      <c r="F28" s="28">
        <f t="shared" si="8"/>
        <v>32.296592827405341</v>
      </c>
      <c r="G28" s="27" t="str">
        <f t="shared" si="9"/>
        <v>+</v>
      </c>
      <c r="H28" s="26">
        <f t="shared" si="10"/>
        <v>14225.15</v>
      </c>
      <c r="I28" s="26">
        <f t="shared" si="11"/>
        <v>15679.995817705292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28.3</v>
      </c>
      <c r="D29" s="30">
        <v>466.9</v>
      </c>
      <c r="E29" s="29">
        <f t="shared" si="7"/>
        <v>7.4799743671900024E-2</v>
      </c>
      <c r="F29" s="28">
        <f t="shared" si="8"/>
        <v>31.194320034661132</v>
      </c>
      <c r="G29" s="27" t="str">
        <f t="shared" si="9"/>
        <v>+</v>
      </c>
      <c r="H29" s="26">
        <f t="shared" si="10"/>
        <v>13213.27</v>
      </c>
      <c r="I29" s="26">
        <f t="shared" si="11"/>
        <v>14564.628024183281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28.3</v>
      </c>
      <c r="D30" s="30">
        <v>374</v>
      </c>
      <c r="E30" s="29">
        <f t="shared" si="7"/>
        <v>5.9916693367510411E-2</v>
      </c>
      <c r="F30" s="28">
        <f t="shared" si="8"/>
        <v>31.194320034661132</v>
      </c>
      <c r="G30" s="27" t="str">
        <f t="shared" si="9"/>
        <v>+</v>
      </c>
      <c r="H30" s="26">
        <f t="shared" si="10"/>
        <v>10584.2</v>
      </c>
      <c r="I30" s="26">
        <f t="shared" si="11"/>
        <v>11666.675692963263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28.8</v>
      </c>
      <c r="D31" s="30">
        <v>103</v>
      </c>
      <c r="E31" s="29">
        <f t="shared" si="7"/>
        <v>1.650112143543736E-2</v>
      </c>
      <c r="F31" s="28">
        <f t="shared" si="8"/>
        <v>31.745456431033237</v>
      </c>
      <c r="G31" s="27" t="str">
        <f t="shared" si="9"/>
        <v>+</v>
      </c>
      <c r="H31" s="26">
        <f t="shared" si="10"/>
        <v>2966.4</v>
      </c>
      <c r="I31" s="26">
        <f t="shared" si="11"/>
        <v>3269.7820123964234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30.160069524913087</v>
      </c>
      <c r="D32" s="22">
        <f>SUM(D26:D31)</f>
        <v>3452</v>
      </c>
      <c r="E32" s="21">
        <f t="shared" si="7"/>
        <v>0.55302787568087153</v>
      </c>
      <c r="F32" s="20">
        <f>I32/D32</f>
        <v>33.24462406458548</v>
      </c>
      <c r="G32" s="19">
        <f>F32/C32-1</f>
        <v>0.10227279274420975</v>
      </c>
      <c r="H32" s="18">
        <f>SUM(H26:H31)</f>
        <v>104112.55999999998</v>
      </c>
      <c r="I32" s="18">
        <f>SUM(I26:I31)</f>
        <v>114760.44227094908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</v>
      </c>
      <c r="D34" s="30">
        <f>526.3+438.5</f>
        <v>964.8</v>
      </c>
      <c r="E34" s="29">
        <f t="shared" ref="E34:E40" si="13">D34/$D$48</f>
        <v>0.15456584428067927</v>
      </c>
      <c r="F34" s="28">
        <f t="shared" ref="F34:F39" si="14">C34-(C34*$E$6)</f>
        <v>19.069319314474825</v>
      </c>
      <c r="G34" s="27" t="str">
        <f t="shared" ref="G34:G39" si="15">IF(C34&gt;=F34,"-","+")</f>
        <v>+</v>
      </c>
      <c r="H34" s="26">
        <f t="shared" ref="H34:H39" si="16">C34*D34</f>
        <v>16691.04</v>
      </c>
      <c r="I34" s="26">
        <f t="shared" ref="I34:I39" si="17">F34*D34</f>
        <v>18398.079274605308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>
        <v>90.8</v>
      </c>
      <c r="E35" s="29">
        <f t="shared" si="13"/>
        <v>1.4546619673181672E-2</v>
      </c>
      <c r="F35" s="28">
        <f t="shared" si="14"/>
        <v>14.660228143497987</v>
      </c>
      <c r="G35" s="27" t="str">
        <f t="shared" si="15"/>
        <v>+</v>
      </c>
      <c r="H35" s="26">
        <f t="shared" si="16"/>
        <v>1207.6400000000001</v>
      </c>
      <c r="I35" s="26">
        <f t="shared" si="17"/>
        <v>1331.1487154296171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11.794318882363042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28.3</v>
      </c>
      <c r="D37" s="30"/>
      <c r="E37" s="29">
        <f t="shared" si="13"/>
        <v>0</v>
      </c>
      <c r="F37" s="28">
        <f t="shared" si="14"/>
        <v>31.194320034661132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28.3</v>
      </c>
      <c r="D38" s="30"/>
      <c r="E38" s="29">
        <f t="shared" si="13"/>
        <v>0</v>
      </c>
      <c r="F38" s="28">
        <f t="shared" si="14"/>
        <v>31.194320034661132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29.3</v>
      </c>
      <c r="D39" s="30"/>
      <c r="E39" s="29">
        <f t="shared" si="13"/>
        <v>0</v>
      </c>
      <c r="F39" s="28">
        <f t="shared" si="14"/>
        <v>32.296592827405341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16.955930276619934</v>
      </c>
      <c r="D40" s="22">
        <f>SUM(D34:D39)</f>
        <v>1055.5999999999999</v>
      </c>
      <c r="E40" s="113">
        <f t="shared" si="13"/>
        <v>0.16911246395386093</v>
      </c>
      <c r="F40" s="20">
        <f>I40/D40</f>
        <v>18.690060619585946</v>
      </c>
      <c r="G40" s="19">
        <f>F40/C40-1</f>
        <v>0.10227279274420908</v>
      </c>
      <c r="H40" s="18">
        <f>SUM(H34:H39)</f>
        <v>17898.68</v>
      </c>
      <c r="I40" s="18">
        <f>SUM(I34:I39)</f>
        <v>19729.227990034924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625+87.7+607.6</f>
        <v>1320.3000000000002</v>
      </c>
      <c r="E42" s="107">
        <f>D42/$D$48</f>
        <v>0.21151874399231019</v>
      </c>
      <c r="F42" s="28">
        <f>C42-(C42*$E$6)</f>
        <v>0.44090911709768382</v>
      </c>
      <c r="G42" s="27" t="str">
        <f>IF(C42&gt;=F42,"-","+")</f>
        <v>+</v>
      </c>
      <c r="H42" s="26">
        <f>C42*D42</f>
        <v>528.12000000000012</v>
      </c>
      <c r="I42" s="26">
        <f>F42*D42</f>
        <v>582.13230730407201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41.8</v>
      </c>
      <c r="E43" s="107">
        <f>D43/$D$48</f>
        <v>6.6965716116629279E-3</v>
      </c>
      <c r="F43" s="28">
        <f>C43-(C43*$E$6)</f>
        <v>0.44090911709768382</v>
      </c>
      <c r="G43" s="27" t="str">
        <f>IF(C43&gt;=F43,"-","+")</f>
        <v>+</v>
      </c>
      <c r="H43" s="26">
        <f>C43*D43</f>
        <v>16.72</v>
      </c>
      <c r="I43" s="26">
        <f>F43*D43</f>
        <v>18.430001094683181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6.3</v>
      </c>
      <c r="E45" s="107">
        <f>D45/$D$48</f>
        <v>1.0092918936238384E-3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0.39815843320666477</v>
      </c>
      <c r="D46" s="22">
        <f>SUM(D41:D45)</f>
        <v>1368.4</v>
      </c>
      <c r="E46" s="113">
        <f>D46/$D$48</f>
        <v>0.21922460749759695</v>
      </c>
      <c r="F46" s="20">
        <f>I46/D46</f>
        <v>0.43887920812536918</v>
      </c>
      <c r="G46" s="19">
        <f>F46/C46-1</f>
        <v>0.10227279274420953</v>
      </c>
      <c r="H46" s="18">
        <f>SUM(H41:H44)</f>
        <v>544.84000000000015</v>
      </c>
      <c r="I46" s="18">
        <f>SUM(I41:I44)</f>
        <v>600.56230839875525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92.041152770258805</v>
      </c>
      <c r="D48" s="13">
        <f>D24+D32+D40+D46</f>
        <v>6242</v>
      </c>
      <c r="E48" s="12">
        <f>SUM(E20:E46)/2</f>
        <v>1</v>
      </c>
      <c r="F48" s="11">
        <f>I48/D48</f>
        <v>24.520000000000003</v>
      </c>
      <c r="G48" s="10"/>
      <c r="H48" s="9">
        <f>SUM(H20:H46)/2</f>
        <v>138852.96</v>
      </c>
      <c r="I48" s="9">
        <f>SUM(I20:I46)/2</f>
        <v>153053.84000000003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6241.9999999999991</v>
      </c>
      <c r="E50" s="12">
        <f>D50/G2</f>
        <v>0.99999999999999989</v>
      </c>
      <c r="F50" s="11">
        <f>I50/D50</f>
        <v>24.520000000000007</v>
      </c>
      <c r="G50" s="10"/>
      <c r="H50" s="9">
        <f>H48+H19</f>
        <v>138852.96</v>
      </c>
      <c r="I50" s="9">
        <f>I48+I19</f>
        <v>153053.84000000003</v>
      </c>
      <c r="J50" s="106">
        <f>D50-G2</f>
        <v>0</v>
      </c>
      <c r="K50" s="8"/>
    </row>
    <row r="51" spans="1:11" ht="23.25" x14ac:dyDescent="0.35">
      <c r="A51" s="174" t="s">
        <v>938</v>
      </c>
      <c r="B51" s="169"/>
      <c r="C51" s="170"/>
      <c r="G51" s="7"/>
      <c r="H51" s="6"/>
      <c r="I51" s="6">
        <f>+I50/D50</f>
        <v>24.520000000000007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936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939</v>
      </c>
      <c r="D2" s="96" t="s">
        <v>3</v>
      </c>
      <c r="E2" s="95" t="s">
        <v>71</v>
      </c>
      <c r="F2" s="94" t="s">
        <v>5</v>
      </c>
      <c r="G2" s="93">
        <v>6395.7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80</v>
      </c>
      <c r="F3" s="88" t="s">
        <v>8</v>
      </c>
      <c r="G3" s="87">
        <v>28.35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79.946249999999992</v>
      </c>
      <c r="F4" s="81" t="s">
        <v>12</v>
      </c>
      <c r="G4" s="80">
        <f>G2*G3</f>
        <v>181318.095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-5.8821032987199651E-3</v>
      </c>
      <c r="F6" s="69" t="s">
        <v>16</v>
      </c>
      <c r="G6" s="68">
        <f>(I50-I19)/(D50-(SUM(D42:D44)+D19))</f>
        <v>34.217332919617348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>
        <f t="shared" ref="E10:E19" si="1">D10/$D$19</f>
        <v>0</v>
      </c>
      <c r="F10" s="28">
        <f t="shared" ref="F10:F18" si="2">C10-(C10*$E$6)</f>
        <v>28.567051733683645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29.5</v>
      </c>
      <c r="D11" s="30">
        <v>846.7</v>
      </c>
      <c r="E11" s="29">
        <f t="shared" si="1"/>
        <v>0.45200726030322447</v>
      </c>
      <c r="F11" s="28">
        <f t="shared" si="2"/>
        <v>29.67352204731224</v>
      </c>
      <c r="G11" s="27" t="str">
        <f t="shared" si="3"/>
        <v>+</v>
      </c>
      <c r="H11" s="34">
        <f t="shared" si="4"/>
        <v>24977.65</v>
      </c>
      <c r="I11" s="34">
        <f t="shared" si="5"/>
        <v>25124.571117459276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>
        <v>1026.5</v>
      </c>
      <c r="E12" s="29">
        <f t="shared" si="1"/>
        <v>0.54799273969677553</v>
      </c>
      <c r="F12" s="28">
        <f t="shared" si="2"/>
        <v>27.15881678906544</v>
      </c>
      <c r="G12" s="27" t="str">
        <f t="shared" si="3"/>
        <v>+</v>
      </c>
      <c r="H12" s="34">
        <f t="shared" si="4"/>
        <v>27715.5</v>
      </c>
      <c r="I12" s="34">
        <f t="shared" si="5"/>
        <v>27878.525433975676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29.5</v>
      </c>
      <c r="D13" s="30"/>
      <c r="E13" s="29">
        <f t="shared" si="1"/>
        <v>0</v>
      </c>
      <c r="F13" s="28">
        <f t="shared" si="2"/>
        <v>29.67352204731224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</v>
      </c>
      <c r="D14" s="30"/>
      <c r="E14" s="29">
        <f t="shared" si="1"/>
        <v>0</v>
      </c>
      <c r="F14" s="28">
        <f t="shared" si="2"/>
        <v>33.194109408857756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27.2</v>
      </c>
      <c r="D15" s="30"/>
      <c r="E15" s="29">
        <f t="shared" si="1"/>
        <v>0</v>
      </c>
      <c r="F15" s="28">
        <f t="shared" si="2"/>
        <v>27.359993209725182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>
        <f t="shared" si="1"/>
        <v>0</v>
      </c>
      <c r="F16" s="28">
        <f t="shared" si="2"/>
        <v>37.519402453042254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54.8</v>
      </c>
      <c r="D17" s="30"/>
      <c r="E17" s="29">
        <f t="shared" si="1"/>
        <v>0</v>
      </c>
      <c r="F17" s="28">
        <f t="shared" si="2"/>
        <v>55.122339260769849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</v>
      </c>
      <c r="D18" s="30"/>
      <c r="E18" s="29">
        <f t="shared" si="1"/>
        <v>0</v>
      </c>
      <c r="F18" s="28">
        <f t="shared" si="2"/>
        <v>48.282340958338558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28.130018150758062</v>
      </c>
      <c r="D19" s="49">
        <f>SUM(D10:D18)</f>
        <v>1873.2</v>
      </c>
      <c r="E19" s="48">
        <f t="shared" si="1"/>
        <v>1</v>
      </c>
      <c r="F19" s="47">
        <f>I19/D19</f>
        <v>28.29548182331569</v>
      </c>
      <c r="G19" s="46">
        <f>F19/C19-1</f>
        <v>5.8821032987199651E-3</v>
      </c>
      <c r="H19" s="9">
        <f>SUM(H10:H18)</f>
        <v>52693.15</v>
      </c>
      <c r="I19" s="9">
        <f>SUM(I10:I18)</f>
        <v>53003.096551434952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71.3</v>
      </c>
      <c r="D21" s="30">
        <v>55.3</v>
      </c>
      <c r="E21" s="29">
        <f>D21/$D$48</f>
        <v>1.2227750138197898E-2</v>
      </c>
      <c r="F21" s="28">
        <f>C21-(C21*$E$6)</f>
        <v>71.719393965198734</v>
      </c>
      <c r="G21" s="27" t="str">
        <f>IF(C21&gt;=F21,"-","+")</f>
        <v>+</v>
      </c>
      <c r="H21" s="26">
        <f>C21*D21</f>
        <v>3942.8899999999994</v>
      </c>
      <c r="I21" s="26">
        <f>F21*D21</f>
        <v>3966.0824862754898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47.9</v>
      </c>
      <c r="D22" s="30">
        <v>143.1</v>
      </c>
      <c r="E22" s="29">
        <f>D22/$D$48</f>
        <v>3.1641791044776116E-2</v>
      </c>
      <c r="F22" s="28">
        <f>C22-(C22*$E$6)</f>
        <v>48.181752748008684</v>
      </c>
      <c r="G22" s="27" t="str">
        <f>IF(C22&gt;=F22,"-","+")</f>
        <v>+</v>
      </c>
      <c r="H22" s="26">
        <f>C22*D22</f>
        <v>6854.49</v>
      </c>
      <c r="I22" s="26">
        <f>F22*D22</f>
        <v>6894.8088182400425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98.5</v>
      </c>
      <c r="E23" s="29">
        <f>D23/$D$48</f>
        <v>2.1779988944168049E-2</v>
      </c>
      <c r="F23" s="28">
        <f>C23-(C23*$E$6)</f>
        <v>43.957047914154067</v>
      </c>
      <c r="G23" s="27" t="str">
        <f>IF(C23&gt;=F23,"-","+")</f>
        <v>+</v>
      </c>
      <c r="H23" s="26">
        <f>C23*D23</f>
        <v>4304.4500000000007</v>
      </c>
      <c r="I23" s="26">
        <f>F23*D23</f>
        <v>4329.7692195441759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50.865038733580334</v>
      </c>
      <c r="D24" s="22">
        <f>SUM(D21:D23)</f>
        <v>296.89999999999998</v>
      </c>
      <c r="E24" s="21">
        <f>D24/$D$48</f>
        <v>6.5649530127142058E-2</v>
      </c>
      <c r="F24" s="20">
        <f>I24/D24</f>
        <v>51.164232145704645</v>
      </c>
      <c r="G24" s="19">
        <f>F24/C24-1</f>
        <v>5.8821032987199651E-3</v>
      </c>
      <c r="H24" s="18">
        <f>SUM(H21:H23)</f>
        <v>15101.83</v>
      </c>
      <c r="I24" s="18">
        <f>SUM(I21:I23)</f>
        <v>15190.660524059707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</v>
      </c>
      <c r="D26" s="30">
        <f>368.2+661.6</f>
        <v>1029.8</v>
      </c>
      <c r="E26" s="29">
        <f t="shared" ref="E26:E32" si="7">D26/$D$48</f>
        <v>0.22770591487009398</v>
      </c>
      <c r="F26" s="28">
        <f t="shared" ref="F26:F31" si="8">C26-(C26*$E$6)</f>
        <v>38.223519925351361</v>
      </c>
      <c r="G26" s="27" t="str">
        <f t="shared" ref="G26:G31" si="9">IF(C26&gt;=F26,"-","+")</f>
        <v>+</v>
      </c>
      <c r="H26" s="26">
        <f t="shared" ref="H26:H31" si="10">C26*D26</f>
        <v>39132.400000000001</v>
      </c>
      <c r="I26" s="26">
        <f t="shared" ref="I26:I31" si="11">F26*D26</f>
        <v>39362.58081912683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666.7</v>
      </c>
      <c r="E27" s="29">
        <f t="shared" si="7"/>
        <v>0.14741846323935878</v>
      </c>
      <c r="F27" s="28">
        <f t="shared" si="8"/>
        <v>34.099403301826605</v>
      </c>
      <c r="G27" s="27" t="str">
        <f t="shared" si="9"/>
        <v>+</v>
      </c>
      <c r="H27" s="26">
        <f t="shared" si="10"/>
        <v>22601.13</v>
      </c>
      <c r="I27" s="26">
        <f t="shared" si="11"/>
        <v>22734.0721813278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473.7</v>
      </c>
      <c r="E28" s="29">
        <f t="shared" si="7"/>
        <v>0.10474295190713101</v>
      </c>
      <c r="F28" s="28">
        <f t="shared" si="8"/>
        <v>34.099403301826605</v>
      </c>
      <c r="G28" s="27" t="str">
        <f t="shared" si="9"/>
        <v>+</v>
      </c>
      <c r="H28" s="26">
        <f t="shared" si="10"/>
        <v>16058.429999999998</v>
      </c>
      <c r="I28" s="26">
        <f t="shared" si="11"/>
        <v>16152.887344075263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32.700000000000003</v>
      </c>
      <c r="D29" s="30">
        <v>373.6</v>
      </c>
      <c r="E29" s="29">
        <f t="shared" si="7"/>
        <v>8.2609176340519633E-2</v>
      </c>
      <c r="F29" s="28">
        <f t="shared" si="8"/>
        <v>32.892344777868146</v>
      </c>
      <c r="G29" s="27" t="str">
        <f t="shared" si="9"/>
        <v>+</v>
      </c>
      <c r="H29" s="26">
        <f t="shared" si="10"/>
        <v>12216.720000000001</v>
      </c>
      <c r="I29" s="26">
        <f t="shared" si="11"/>
        <v>12288.580009011541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32.700000000000003</v>
      </c>
      <c r="D30" s="30">
        <v>235.6</v>
      </c>
      <c r="E30" s="29">
        <f t="shared" si="7"/>
        <v>5.2095080154781648E-2</v>
      </c>
      <c r="F30" s="28">
        <f t="shared" si="8"/>
        <v>32.892344777868146</v>
      </c>
      <c r="G30" s="27" t="str">
        <f t="shared" si="9"/>
        <v>+</v>
      </c>
      <c r="H30" s="26">
        <f t="shared" si="10"/>
        <v>7704.1200000000008</v>
      </c>
      <c r="I30" s="26">
        <f t="shared" si="11"/>
        <v>7749.436429665735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33.299999999999997</v>
      </c>
      <c r="D31" s="30">
        <v>73.400000000000006</v>
      </c>
      <c r="E31" s="29">
        <f t="shared" si="7"/>
        <v>1.6229961304588172E-2</v>
      </c>
      <c r="F31" s="28">
        <f t="shared" si="8"/>
        <v>33.495874039847372</v>
      </c>
      <c r="G31" s="27" t="str">
        <f t="shared" si="9"/>
        <v>+</v>
      </c>
      <c r="H31" s="26">
        <f t="shared" si="10"/>
        <v>2444.2199999999998</v>
      </c>
      <c r="I31" s="26">
        <f t="shared" si="11"/>
        <v>2458.5971545247971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35.10832164890634</v>
      </c>
      <c r="D32" s="22">
        <f>SUM(D26:D31)</f>
        <v>2852.7999999999997</v>
      </c>
      <c r="E32" s="21">
        <f t="shared" si="7"/>
        <v>0.63080154781647313</v>
      </c>
      <c r="F32" s="20">
        <f>I32/D32</f>
        <v>35.314832423489889</v>
      </c>
      <c r="G32" s="19">
        <f>F32/C32-1</f>
        <v>5.882103298719743E-3</v>
      </c>
      <c r="H32" s="18">
        <f>SUM(H26:H31)</f>
        <v>100157.01999999999</v>
      </c>
      <c r="I32" s="18">
        <f>SUM(I26:I31)</f>
        <v>100746.15393773196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596.1</v>
      </c>
      <c r="E34" s="29">
        <f t="shared" ref="E34:E40" si="13">D34/$D$48</f>
        <v>0.13180762852404643</v>
      </c>
      <c r="F34" s="28">
        <f t="shared" ref="F34:F39" si="14">C34-(C34*$E$6)</f>
        <v>20.117642065974401</v>
      </c>
      <c r="G34" s="27" t="str">
        <f t="shared" ref="G34:G39" si="15">IF(C34&gt;=F34,"-","+")</f>
        <v>+</v>
      </c>
      <c r="H34" s="26">
        <f t="shared" ref="H34:H39" si="16">C34*D34</f>
        <v>11922</v>
      </c>
      <c r="I34" s="26">
        <f t="shared" ref="I34:I39" si="17">F34*D34</f>
        <v>11992.126435527342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15.490584390800288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12.472938080904129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32.700000000000003</v>
      </c>
      <c r="D37" s="30"/>
      <c r="E37" s="29">
        <f t="shared" si="13"/>
        <v>0</v>
      </c>
      <c r="F37" s="28">
        <f t="shared" si="14"/>
        <v>32.892344777868146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32.700000000000003</v>
      </c>
      <c r="D38" s="30"/>
      <c r="E38" s="29">
        <f t="shared" si="13"/>
        <v>0</v>
      </c>
      <c r="F38" s="28">
        <f t="shared" si="14"/>
        <v>32.892344777868146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34.099403301826605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596.1</v>
      </c>
      <c r="E40" s="113">
        <f t="shared" si="13"/>
        <v>0.13180762852404643</v>
      </c>
      <c r="F40" s="20">
        <f>I40/D40</f>
        <v>20.117642065974401</v>
      </c>
      <c r="G40" s="19">
        <f>F40/C40-1</f>
        <v>5.8821032987199651E-3</v>
      </c>
      <c r="H40" s="18">
        <f>SUM(H34:H39)</f>
        <v>11922</v>
      </c>
      <c r="I40" s="18">
        <f>SUM(I34:I39)</f>
        <v>11992.126435527342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735</v>
      </c>
      <c r="E42" s="107">
        <f>D42/$D$48</f>
        <v>0.1625207296849088</v>
      </c>
      <c r="F42" s="28">
        <f>C42-(C42*$E$6)</f>
        <v>0.50294105164935998</v>
      </c>
      <c r="G42" s="27" t="str">
        <f>IF(C42&gt;=F42,"-","+")</f>
        <v>+</v>
      </c>
      <c r="H42" s="26">
        <f>C42*D42</f>
        <v>367.5</v>
      </c>
      <c r="I42" s="26">
        <f>F42*D42</f>
        <v>369.66167296227957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32.6</v>
      </c>
      <c r="E43" s="107">
        <f>D43/$D$48</f>
        <v>7.2084024322830297E-3</v>
      </c>
      <c r="F43" s="28">
        <f>C43-(C43*$E$6)</f>
        <v>0.50294105164935998</v>
      </c>
      <c r="G43" s="27" t="str">
        <f>IF(C43&gt;=F43,"-","+")</f>
        <v>+</v>
      </c>
      <c r="H43" s="26">
        <f>C43*D43</f>
        <v>16.3</v>
      </c>
      <c r="I43" s="26">
        <f>F43*D43</f>
        <v>16.395878283769136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4.9000000000000004</v>
      </c>
      <c r="E44" s="107">
        <f>D44/$D$48</f>
        <v>1.0834715312327253E-3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4.2</v>
      </c>
      <c r="E45" s="107">
        <f>D45/$D$48</f>
        <v>9.2868988391376457E-4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0.49414188232264711</v>
      </c>
      <c r="D46" s="22">
        <f>SUM(D41:D45)</f>
        <v>776.7</v>
      </c>
      <c r="E46" s="113">
        <f>D46/$D$48</f>
        <v>0.17174129353233833</v>
      </c>
      <c r="F46" s="20">
        <f>I46/D46</f>
        <v>0.49704847591869278</v>
      </c>
      <c r="G46" s="19">
        <f>F46/C46-1</f>
        <v>5.882103298719743E-3</v>
      </c>
      <c r="H46" s="18">
        <f>SUM(H41:H44)</f>
        <v>383.8</v>
      </c>
      <c r="I46" s="18">
        <f>SUM(I41:I44)</f>
        <v>386.05755124604872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106.46750226480933</v>
      </c>
      <c r="D48" s="13">
        <f>D24+D32+D40+D46</f>
        <v>4522.5</v>
      </c>
      <c r="E48" s="12">
        <f>SUM(E20:E46)/2</f>
        <v>0.99999999999999989</v>
      </c>
      <c r="F48" s="11">
        <f>I48/D48</f>
        <v>28.372581193712563</v>
      </c>
      <c r="G48" s="10"/>
      <c r="H48" s="9">
        <f>SUM(H20:H46)/2</f>
        <v>127564.64999999998</v>
      </c>
      <c r="I48" s="9">
        <f>SUM(I20:I46)/2</f>
        <v>128314.99844856506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6395.7000000000007</v>
      </c>
      <c r="E50" s="12">
        <f>D50/G2</f>
        <v>1.0000000000000002</v>
      </c>
      <c r="F50" s="11">
        <f>I50/D50</f>
        <v>28.35</v>
      </c>
      <c r="G50" s="10"/>
      <c r="H50" s="9">
        <f>H48+H19</f>
        <v>180257.8</v>
      </c>
      <c r="I50" s="9">
        <f>I48+I19</f>
        <v>181318.09500000003</v>
      </c>
      <c r="J50" s="106">
        <f>D50-G2</f>
        <v>0</v>
      </c>
      <c r="K50" s="8"/>
    </row>
    <row r="51" spans="1:11" ht="23.25" x14ac:dyDescent="0.35">
      <c r="A51" s="174" t="s">
        <v>940</v>
      </c>
      <c r="B51" s="169"/>
      <c r="C51" s="170"/>
      <c r="G51" s="7"/>
      <c r="H51" s="6"/>
      <c r="I51" s="6">
        <f>+I50/D50</f>
        <v>28.35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936</v>
      </c>
      <c r="D1" s="100" t="s">
        <v>1</v>
      </c>
      <c r="E1" s="168" t="s">
        <v>263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936</v>
      </c>
      <c r="D2" s="96" t="s">
        <v>3</v>
      </c>
      <c r="E2" s="95" t="s">
        <v>112</v>
      </c>
      <c r="F2" s="94" t="s">
        <v>5</v>
      </c>
      <c r="G2" s="93">
        <v>12382.5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184</v>
      </c>
      <c r="F3" s="88" t="s">
        <v>8</v>
      </c>
      <c r="G3" s="87">
        <v>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67.296195652173907</v>
      </c>
      <c r="F4" s="81" t="s">
        <v>12</v>
      </c>
      <c r="G4" s="80">
        <f>G2*G3</f>
        <v>309562.5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-6.9245116833325016E-2</v>
      </c>
      <c r="F6" s="69" t="s">
        <v>16</v>
      </c>
      <c r="G6" s="68">
        <f>(I50-I19)/(D50-(SUM(D42:D44)+D19))</f>
        <v>31.300538807326966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</v>
      </c>
      <c r="D10" s="30"/>
      <c r="E10" s="29">
        <f t="shared" ref="E10:E19" si="1">D10/$D$19</f>
        <v>0</v>
      </c>
      <c r="F10" s="28">
        <f t="shared" ref="F10:F18" si="2">C10-(C10*$E$6)</f>
        <v>26.731127920833124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</v>
      </c>
      <c r="D11" s="30"/>
      <c r="E11" s="29">
        <f t="shared" si="1"/>
        <v>0</v>
      </c>
      <c r="F11" s="28">
        <f t="shared" si="2"/>
        <v>27.80037303766645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23.8</v>
      </c>
      <c r="D12" s="30"/>
      <c r="E12" s="29">
        <f t="shared" si="1"/>
        <v>0</v>
      </c>
      <c r="F12" s="28">
        <f t="shared" si="2"/>
        <v>25.448033780633136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</v>
      </c>
      <c r="D13" s="30"/>
      <c r="E13" s="29">
        <f t="shared" si="1"/>
        <v>0</v>
      </c>
      <c r="F13" s="28">
        <f t="shared" si="2"/>
        <v>27.80037303766645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29.1</v>
      </c>
      <c r="D14" s="30"/>
      <c r="E14" s="29">
        <f t="shared" si="1"/>
        <v>0</v>
      </c>
      <c r="F14" s="28">
        <f t="shared" si="2"/>
        <v>31.115032899849759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</v>
      </c>
      <c r="D15" s="30"/>
      <c r="E15" s="29">
        <f t="shared" si="1"/>
        <v>0</v>
      </c>
      <c r="F15" s="28">
        <f t="shared" si="2"/>
        <v>25.661882803999802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32.9</v>
      </c>
      <c r="D16" s="30">
        <v>33.700000000000003</v>
      </c>
      <c r="E16" s="29">
        <f t="shared" si="1"/>
        <v>0.34006054490413723</v>
      </c>
      <c r="F16" s="28">
        <f t="shared" si="2"/>
        <v>35.178164343816391</v>
      </c>
      <c r="G16" s="27" t="str">
        <f t="shared" si="3"/>
        <v>+</v>
      </c>
      <c r="H16" s="34">
        <f t="shared" si="4"/>
        <v>1108.73</v>
      </c>
      <c r="I16" s="34">
        <f t="shared" si="5"/>
        <v>1185.5041383866126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48.4</v>
      </c>
      <c r="D17" s="30">
        <v>65.400000000000006</v>
      </c>
      <c r="E17" s="29">
        <f t="shared" si="1"/>
        <v>0.65993945509586271</v>
      </c>
      <c r="F17" s="28">
        <f t="shared" si="2"/>
        <v>51.75146365473293</v>
      </c>
      <c r="G17" s="27" t="str">
        <f t="shared" si="3"/>
        <v>+</v>
      </c>
      <c r="H17" s="34">
        <f t="shared" si="4"/>
        <v>3165.36</v>
      </c>
      <c r="I17" s="34">
        <f t="shared" si="5"/>
        <v>3384.5457230195339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42.4</v>
      </c>
      <c r="D18" s="30"/>
      <c r="E18" s="29">
        <f t="shared" si="1"/>
        <v>0</v>
      </c>
      <c r="F18" s="28">
        <f t="shared" si="2"/>
        <v>45.335992953732976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43.129061553985871</v>
      </c>
      <c r="D19" s="49">
        <f>SUM(D10:D18)</f>
        <v>99.100000000000009</v>
      </c>
      <c r="E19" s="48">
        <f t="shared" si="1"/>
        <v>1</v>
      </c>
      <c r="F19" s="47">
        <f>I19/D19</f>
        <v>46.11553846020329</v>
      </c>
      <c r="G19" s="46">
        <f>F19/C19-1</f>
        <v>6.9245116833325016E-2</v>
      </c>
      <c r="H19" s="9">
        <f>SUM(H10:H18)</f>
        <v>4274.09</v>
      </c>
      <c r="I19" s="9">
        <f>SUM(I10:I18)</f>
        <v>4570.0498614061462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62.9</v>
      </c>
      <c r="D21" s="30">
        <v>153.19999999999999</v>
      </c>
      <c r="E21" s="29">
        <f>D21/$D$48</f>
        <v>1.2472116840614162E-2</v>
      </c>
      <c r="F21" s="28">
        <f>C21-(C21*$E$6)</f>
        <v>67.25551784881614</v>
      </c>
      <c r="G21" s="27" t="str">
        <f>IF(C21&gt;=F21,"-","+")</f>
        <v>+</v>
      </c>
      <c r="H21" s="26">
        <f>C21*D21</f>
        <v>9636.2799999999988</v>
      </c>
      <c r="I21" s="26">
        <f>F21*D21</f>
        <v>10303.545334438631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42.2</v>
      </c>
      <c r="D22" s="30">
        <v>308</v>
      </c>
      <c r="E22" s="29">
        <f>D22/$D$48</f>
        <v>2.5074490776169467E-2</v>
      </c>
      <c r="F22" s="28">
        <f>C22-(C22*$E$6)</f>
        <v>45.12214393036632</v>
      </c>
      <c r="G22" s="27" t="str">
        <f>IF(C22&gt;=F22,"-","+")</f>
        <v>+</v>
      </c>
      <c r="H22" s="26">
        <f>C22*D22</f>
        <v>12997.6</v>
      </c>
      <c r="I22" s="26">
        <f>F22*D22</f>
        <v>13897.620330552827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38.5</v>
      </c>
      <c r="D23" s="30">
        <v>275.8</v>
      </c>
      <c r="E23" s="29">
        <f>D23/$D$48</f>
        <v>2.2453066740479023E-2</v>
      </c>
      <c r="F23" s="28">
        <f>C23-(C23*$E$6)</f>
        <v>41.165936998083012</v>
      </c>
      <c r="G23" s="27" t="str">
        <f>IF(C23&gt;=F23,"-","+")</f>
        <v>+</v>
      </c>
      <c r="H23" s="26">
        <f>C23*D23</f>
        <v>10618.300000000001</v>
      </c>
      <c r="I23" s="26">
        <f>F23*D23</f>
        <v>11353.565424071296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45.118290366350067</v>
      </c>
      <c r="D24" s="22">
        <f>SUM(D21:D23)</f>
        <v>737</v>
      </c>
      <c r="E24" s="21">
        <f>D24/$D$48</f>
        <v>5.9999674357262646E-2</v>
      </c>
      <c r="F24" s="20">
        <f>I24/D24</f>
        <v>48.242511654087863</v>
      </c>
      <c r="G24" s="19">
        <f>F24/C24-1</f>
        <v>6.9245116833325016E-2</v>
      </c>
      <c r="H24" s="18">
        <f>SUM(H21:H23)</f>
        <v>33252.18</v>
      </c>
      <c r="I24" s="18">
        <f>SUM(I21:I23)</f>
        <v>35554.731089062756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33.6</v>
      </c>
      <c r="D26" s="30">
        <f>411.2+695.8+158.6+1108</f>
        <v>2373.6</v>
      </c>
      <c r="E26" s="29">
        <f t="shared" ref="E26:E32" si="7">D26/$D$48</f>
        <v>0.1932364003451813</v>
      </c>
      <c r="F26" s="28">
        <f t="shared" ref="F26:F31" si="8">C26-(C26*$E$6)</f>
        <v>35.926635925599719</v>
      </c>
      <c r="G26" s="27" t="str">
        <f t="shared" ref="G26:G31" si="9">IF(C26&gt;=F26,"-","+")</f>
        <v>+</v>
      </c>
      <c r="H26" s="26">
        <f t="shared" ref="H26:H31" si="10">C26*D26</f>
        <v>79752.960000000006</v>
      </c>
      <c r="I26" s="26">
        <f t="shared" ref="I26:I31" si="11">F26*D26</f>
        <v>85275.463033003485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29.9</v>
      </c>
      <c r="D27" s="30">
        <v>1779.8</v>
      </c>
      <c r="E27" s="29">
        <f t="shared" si="7"/>
        <v>0.14489473598515068</v>
      </c>
      <c r="F27" s="28">
        <f t="shared" si="8"/>
        <v>31.970428993316418</v>
      </c>
      <c r="G27" s="27" t="str">
        <f t="shared" si="9"/>
        <v>+</v>
      </c>
      <c r="H27" s="26">
        <f t="shared" si="10"/>
        <v>53216.02</v>
      </c>
      <c r="I27" s="26">
        <f t="shared" si="11"/>
        <v>56900.969522304556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29.9</v>
      </c>
      <c r="D28" s="30">
        <v>939</v>
      </c>
      <c r="E28" s="29">
        <f t="shared" si="7"/>
        <v>7.6444632593581585E-2</v>
      </c>
      <c r="F28" s="28">
        <f t="shared" si="8"/>
        <v>31.970428993316418</v>
      </c>
      <c r="G28" s="27" t="str">
        <f t="shared" si="9"/>
        <v>+</v>
      </c>
      <c r="H28" s="26">
        <f t="shared" si="10"/>
        <v>28076.1</v>
      </c>
      <c r="I28" s="26">
        <f t="shared" si="11"/>
        <v>30020.232824724117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28.9</v>
      </c>
      <c r="D29" s="30">
        <v>892.8</v>
      </c>
      <c r="E29" s="29">
        <f t="shared" si="7"/>
        <v>7.2683458977156154E-2</v>
      </c>
      <c r="F29" s="28">
        <f t="shared" si="8"/>
        <v>30.901183876483092</v>
      </c>
      <c r="G29" s="27" t="str">
        <f t="shared" si="9"/>
        <v>+</v>
      </c>
      <c r="H29" s="26">
        <f t="shared" si="10"/>
        <v>25801.919999999998</v>
      </c>
      <c r="I29" s="26">
        <f t="shared" si="11"/>
        <v>27588.576964924105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28.9</v>
      </c>
      <c r="D30" s="30">
        <v>815.3</v>
      </c>
      <c r="E30" s="29">
        <f t="shared" si="7"/>
        <v>6.6374130940944687E-2</v>
      </c>
      <c r="F30" s="28">
        <f t="shared" si="8"/>
        <v>30.901183876483092</v>
      </c>
      <c r="G30" s="27" t="str">
        <f t="shared" si="9"/>
        <v>+</v>
      </c>
      <c r="H30" s="26">
        <f t="shared" si="10"/>
        <v>23562.17</v>
      </c>
      <c r="I30" s="26">
        <f t="shared" si="11"/>
        <v>25193.735214496664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29.4</v>
      </c>
      <c r="D31" s="30">
        <v>194.2</v>
      </c>
      <c r="E31" s="29">
        <f t="shared" si="7"/>
        <v>1.5809954898480878E-2</v>
      </c>
      <c r="F31" s="28">
        <f t="shared" si="8"/>
        <v>31.435806434899753</v>
      </c>
      <c r="G31" s="27" t="str">
        <f t="shared" si="9"/>
        <v>+</v>
      </c>
      <c r="H31" s="26">
        <f t="shared" si="10"/>
        <v>5709.48</v>
      </c>
      <c r="I31" s="26">
        <f t="shared" si="11"/>
        <v>6104.8336096575313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30.897486668477562</v>
      </c>
      <c r="D32" s="22">
        <f>SUM(D26:D31)</f>
        <v>6994.7</v>
      </c>
      <c r="E32" s="21">
        <f t="shared" si="7"/>
        <v>0.56944331374049528</v>
      </c>
      <c r="F32" s="20">
        <f>I32/D32</f>
        <v>33.036986742692392</v>
      </c>
      <c r="G32" s="19">
        <f>F32/C32-1</f>
        <v>6.9245116833325016E-2</v>
      </c>
      <c r="H32" s="18">
        <f>SUM(H26:H31)</f>
        <v>216118.65</v>
      </c>
      <c r="I32" s="18">
        <f>SUM(I26:I31)</f>
        <v>231083.81116911047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975.7+864.7</f>
        <v>1840.4</v>
      </c>
      <c r="E34" s="29">
        <f t="shared" ref="E34:E40" si="13">D34/$D$48</f>
        <v>0.14982822345604638</v>
      </c>
      <c r="F34" s="28">
        <f t="shared" ref="F34:F39" si="14">C34-(C34*$E$6)</f>
        <v>18.925638567949854</v>
      </c>
      <c r="G34" s="27" t="str">
        <f t="shared" ref="G34:G39" si="15">IF(C34&gt;=F34,"-","+")</f>
        <v>+</v>
      </c>
      <c r="H34" s="26">
        <f t="shared" ref="H34:H39" si="16">C34*D34</f>
        <v>32575.08</v>
      </c>
      <c r="I34" s="26">
        <f t="shared" ref="I34:I39" si="17">F34*D34</f>
        <v>34830.745220454912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167.8</v>
      </c>
      <c r="E35" s="29">
        <f t="shared" si="13"/>
        <v>1.3660712831952066E-2</v>
      </c>
      <c r="F35" s="28">
        <f t="shared" si="14"/>
        <v>14.541733588933219</v>
      </c>
      <c r="G35" s="27" t="str">
        <f t="shared" si="15"/>
        <v>+</v>
      </c>
      <c r="H35" s="26">
        <f t="shared" si="16"/>
        <v>2282.08</v>
      </c>
      <c r="I35" s="26">
        <f t="shared" si="17"/>
        <v>2440.1028962229943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10.9</v>
      </c>
      <c r="D36" s="30"/>
      <c r="E36" s="29">
        <f t="shared" si="13"/>
        <v>0</v>
      </c>
      <c r="F36" s="28">
        <f t="shared" si="14"/>
        <v>11.654771773483244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28.9</v>
      </c>
      <c r="D37" s="30"/>
      <c r="E37" s="29">
        <f t="shared" si="13"/>
        <v>0</v>
      </c>
      <c r="F37" s="28">
        <f t="shared" si="14"/>
        <v>30.901183876483092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28.9</v>
      </c>
      <c r="D38" s="30"/>
      <c r="E38" s="29">
        <f t="shared" si="13"/>
        <v>0</v>
      </c>
      <c r="F38" s="28">
        <f t="shared" si="14"/>
        <v>30.901183876483092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29.9</v>
      </c>
      <c r="D39" s="30"/>
      <c r="E39" s="29">
        <f t="shared" si="13"/>
        <v>0</v>
      </c>
      <c r="F39" s="28">
        <f t="shared" si="14"/>
        <v>31.970428993316418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17.357414600139428</v>
      </c>
      <c r="D40" s="22">
        <f>SUM(D34:D39)</f>
        <v>2008.2</v>
      </c>
      <c r="E40" s="113">
        <f t="shared" si="13"/>
        <v>0.16348893628799843</v>
      </c>
      <c r="F40" s="20">
        <f>I40/D40</f>
        <v>18.559330802050546</v>
      </c>
      <c r="G40" s="19">
        <f>F40/C40-1</f>
        <v>6.9245116833325016E-2</v>
      </c>
      <c r="H40" s="18">
        <f>SUM(H34:H39)</f>
        <v>34857.160000000003</v>
      </c>
      <c r="I40" s="18">
        <f>SUM(I34:I39)</f>
        <v>37270.848116677909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1095+140.2+1226.3</f>
        <v>2461.5</v>
      </c>
      <c r="E42" s="107">
        <f>D42/$D$48</f>
        <v>0.2003923994985102</v>
      </c>
      <c r="F42" s="28">
        <f>C42-(C42*$E$6)</f>
        <v>0.42769804673333001</v>
      </c>
      <c r="G42" s="27" t="str">
        <f>IF(C42&gt;=F42,"-","+")</f>
        <v>+</v>
      </c>
      <c r="H42" s="26">
        <f>C42*D42</f>
        <v>984.6</v>
      </c>
      <c r="I42" s="26">
        <f>F42*D42</f>
        <v>1052.7787420340919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70.8</v>
      </c>
      <c r="E43" s="107">
        <f>D43/$D$48</f>
        <v>5.7638764511454485E-3</v>
      </c>
      <c r="F43" s="28">
        <f>C43-(C43*$E$6)</f>
        <v>0.42769804673333001</v>
      </c>
      <c r="G43" s="27" t="str">
        <f>IF(C43&gt;=F43,"-","+")</f>
        <v>+</v>
      </c>
      <c r="H43" s="26">
        <f>C43*D43</f>
        <v>28.32</v>
      </c>
      <c r="I43" s="26">
        <f>F43*D43</f>
        <v>30.281021708719763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7.1</v>
      </c>
      <c r="E44" s="107">
        <f>D44/$D$48</f>
        <v>5.7801585880130912E-4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3.3378380578667142E-4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0.39823864753292709</v>
      </c>
      <c r="D46" s="22">
        <f>SUM(D41:D45)</f>
        <v>2543.5</v>
      </c>
      <c r="E46" s="113">
        <f>D46/$D$48</f>
        <v>0.20706807561424362</v>
      </c>
      <c r="F46" s="20">
        <f>I46/D46</f>
        <v>0.42581472920888996</v>
      </c>
      <c r="G46" s="19">
        <f>F46/C46-1</f>
        <v>6.9245116833325016E-2</v>
      </c>
      <c r="H46" s="18">
        <f>SUM(H41:H44)</f>
        <v>1012.9200000000001</v>
      </c>
      <c r="I46" s="18">
        <f>SUM(I41:I44)</f>
        <v>1083.0597637428116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93.771430282499992</v>
      </c>
      <c r="D48" s="13">
        <f>D24+D32+D40+D46</f>
        <v>12283.4</v>
      </c>
      <c r="E48" s="12">
        <f>SUM(E20:E46)/2</f>
        <v>1</v>
      </c>
      <c r="F48" s="11">
        <f>I48/D48</f>
        <v>24.829644083771104</v>
      </c>
      <c r="G48" s="10"/>
      <c r="H48" s="9">
        <f>SUM(H20:H46)/2</f>
        <v>285240.90999999992</v>
      </c>
      <c r="I48" s="9">
        <f>SUM(I20:I46)/2</f>
        <v>304992.45013859397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12382.5</v>
      </c>
      <c r="E50" s="12">
        <f>D50/G2</f>
        <v>1</v>
      </c>
      <c r="F50" s="11">
        <f>I50/D50</f>
        <v>25.000000000000011</v>
      </c>
      <c r="G50" s="10"/>
      <c r="H50" s="9">
        <f>H48+H19</f>
        <v>289514.99999999994</v>
      </c>
      <c r="I50" s="9">
        <f>I48+I19</f>
        <v>309562.50000000012</v>
      </c>
      <c r="J50" s="106">
        <f>D50-G2</f>
        <v>0</v>
      </c>
      <c r="K50" s="8"/>
    </row>
    <row r="51" spans="1:11" ht="23.25" x14ac:dyDescent="0.35">
      <c r="A51" s="174" t="s">
        <v>941</v>
      </c>
      <c r="B51" s="169"/>
      <c r="C51" s="170"/>
      <c r="G51" s="7"/>
      <c r="H51" s="6"/>
      <c r="I51" s="6">
        <f>+I50/D50</f>
        <v>25.000000000000011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923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939</v>
      </c>
      <c r="D2" s="96" t="s">
        <v>3</v>
      </c>
      <c r="E2" s="95" t="s">
        <v>71</v>
      </c>
      <c r="F2" s="94" t="s">
        <v>5</v>
      </c>
      <c r="G2" s="93">
        <v>2059.1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20</v>
      </c>
      <c r="F3" s="88" t="s">
        <v>8</v>
      </c>
      <c r="G3" s="87">
        <v>31.75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102.955</v>
      </c>
      <c r="F4" s="81" t="s">
        <v>12</v>
      </c>
      <c r="G4" s="80">
        <f>G2*G3</f>
        <v>65376.424999999996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2.9557728441213627E-2</v>
      </c>
      <c r="F6" s="69" t="s">
        <v>16</v>
      </c>
      <c r="G6" s="68">
        <f>(I50-I19)/(D50-(SUM(D42:D44)+D19))</f>
        <v>37.535984957225679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31.8</v>
      </c>
      <c r="D10" s="30"/>
      <c r="E10" s="29" t="e">
        <f t="shared" ref="E10:E19" si="1">D10/$D$19</f>
        <v>#DIV/0!</v>
      </c>
      <c r="F10" s="28">
        <f t="shared" ref="F10:F18" si="2">C10-(C10*$E$6)</f>
        <v>30.860064235569407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33.1</v>
      </c>
      <c r="D11" s="30"/>
      <c r="E11" s="29" t="e">
        <f t="shared" si="1"/>
        <v>#DIV/0!</v>
      </c>
      <c r="F11" s="28">
        <f t="shared" si="2"/>
        <v>32.121639188595829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30.2</v>
      </c>
      <c r="D12" s="30"/>
      <c r="E12" s="29" t="e">
        <f t="shared" si="1"/>
        <v>#DIV/0!</v>
      </c>
      <c r="F12" s="28">
        <f t="shared" si="2"/>
        <v>29.307356601075348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33.1</v>
      </c>
      <c r="D13" s="30"/>
      <c r="E13" s="29" t="e">
        <f t="shared" si="1"/>
        <v>#DIV/0!</v>
      </c>
      <c r="F13" s="28">
        <f t="shared" si="2"/>
        <v>32.121639188595829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37</v>
      </c>
      <c r="D14" s="30"/>
      <c r="E14" s="29" t="e">
        <f t="shared" si="1"/>
        <v>#DIV/0!</v>
      </c>
      <c r="F14" s="28">
        <f t="shared" si="2"/>
        <v>35.906364047675098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30.5</v>
      </c>
      <c r="D15" s="30"/>
      <c r="E15" s="29" t="e">
        <f t="shared" si="1"/>
        <v>#DIV/0!</v>
      </c>
      <c r="F15" s="28">
        <f t="shared" si="2"/>
        <v>29.598489282542985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41.7</v>
      </c>
      <c r="D16" s="30"/>
      <c r="E16" s="29" t="e">
        <f t="shared" si="1"/>
        <v>#DIV/0!</v>
      </c>
      <c r="F16" s="28">
        <f t="shared" si="2"/>
        <v>40.467442724001394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61.4</v>
      </c>
      <c r="D17" s="30"/>
      <c r="E17" s="29" t="e">
        <f t="shared" si="1"/>
        <v>#DIV/0!</v>
      </c>
      <c r="F17" s="28">
        <f t="shared" si="2"/>
        <v>59.585155473709484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53.8</v>
      </c>
      <c r="D18" s="30"/>
      <c r="E18" s="29" t="e">
        <f t="shared" si="1"/>
        <v>#DIV/0!</v>
      </c>
      <c r="F18" s="28">
        <f t="shared" si="2"/>
        <v>52.209794209862707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79.900000000000006</v>
      </c>
      <c r="D21" s="30">
        <v>27.8</v>
      </c>
      <c r="E21" s="29">
        <f>D21/$D$48</f>
        <v>1.3501044145500459E-2</v>
      </c>
      <c r="F21" s="28">
        <f>C21-(C21*$E$6)</f>
        <v>77.538337497547033</v>
      </c>
      <c r="G21" s="27" t="str">
        <f>IF(C21&gt;=F21,"-","+")</f>
        <v>-</v>
      </c>
      <c r="H21" s="26">
        <f>C21*D21</f>
        <v>2221.2200000000003</v>
      </c>
      <c r="I21" s="26">
        <f>F21*D21</f>
        <v>2155.5657824318077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53.6</v>
      </c>
      <c r="D22" s="30">
        <v>63.2</v>
      </c>
      <c r="E22" s="29">
        <f>D22/$D$48</f>
        <v>3.0693021222864353E-2</v>
      </c>
      <c r="F22" s="28">
        <f>C22-(C22*$E$6)</f>
        <v>52.015705755550954</v>
      </c>
      <c r="G22" s="27" t="str">
        <f>IF(C22&gt;=F22,"-","+")</f>
        <v>-</v>
      </c>
      <c r="H22" s="26">
        <f>C22*D22</f>
        <v>3387.5200000000004</v>
      </c>
      <c r="I22" s="26">
        <f>F22*D22</f>
        <v>3287.3926037508204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48.9</v>
      </c>
      <c r="D23" s="30">
        <v>55.4</v>
      </c>
      <c r="E23" s="29">
        <f>D23/$D$48</f>
        <v>2.6904958477004512E-2</v>
      </c>
      <c r="F23" s="28">
        <f>C23-(C23*$E$6)</f>
        <v>47.45462707922465</v>
      </c>
      <c r="G23" s="27" t="str">
        <f>IF(C23&gt;=F23,"-","+")</f>
        <v>-</v>
      </c>
      <c r="H23" s="26">
        <f>C23*D23</f>
        <v>2709.06</v>
      </c>
      <c r="I23" s="26">
        <f>F23*D23</f>
        <v>2628.9863401890457</v>
      </c>
      <c r="J23" s="25"/>
      <c r="K23" s="25"/>
    </row>
    <row r="24" spans="1:11" x14ac:dyDescent="0.25">
      <c r="A24" s="24" t="s">
        <v>34</v>
      </c>
      <c r="B24" s="23"/>
      <c r="C24" s="20">
        <f>H24/D24</f>
        <v>56.81557377049181</v>
      </c>
      <c r="D24" s="22">
        <f>SUM(D21:D23)</f>
        <v>146.4</v>
      </c>
      <c r="E24" s="21">
        <f>D24/$D$48</f>
        <v>7.1099023845369327E-2</v>
      </c>
      <c r="F24" s="20">
        <f>I24/D24</f>
        <v>55.136234469751869</v>
      </c>
      <c r="G24" s="19">
        <f>F24/C24-1</f>
        <v>-2.9557728441213738E-2</v>
      </c>
      <c r="H24" s="18">
        <f>SUM(H21:H23)</f>
        <v>8317.8000000000011</v>
      </c>
      <c r="I24" s="18">
        <f>SUM(I21:I23)</f>
        <v>8071.9447263716738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42.6</v>
      </c>
      <c r="D26" s="30">
        <v>481.4</v>
      </c>
      <c r="E26" s="29">
        <f t="shared" ref="E26:E32" si="7">D26/$D$48</f>
        <v>0.23379146228934966</v>
      </c>
      <c r="F26" s="28">
        <f t="shared" ref="F26:F31" si="8">C26-(C26*$E$6)</f>
        <v>41.340840768404298</v>
      </c>
      <c r="G26" s="27" t="str">
        <f t="shared" ref="G26:G31" si="9">IF(C26&gt;=F26,"-","+")</f>
        <v>-</v>
      </c>
      <c r="H26" s="26">
        <f t="shared" ref="H26:H31" si="10">C26*D26</f>
        <v>20507.64</v>
      </c>
      <c r="I26" s="26">
        <f t="shared" ref="I26:I31" si="11">F26*D26</f>
        <v>19901.48074590983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37.9</v>
      </c>
      <c r="D27" s="30">
        <v>291</v>
      </c>
      <c r="E27" s="29">
        <f t="shared" si="7"/>
        <v>0.141323879364771</v>
      </c>
      <c r="F27" s="28">
        <f t="shared" si="8"/>
        <v>36.779762092078002</v>
      </c>
      <c r="G27" s="27" t="str">
        <f t="shared" si="9"/>
        <v>-</v>
      </c>
      <c r="H27" s="26">
        <f t="shared" si="10"/>
        <v>11028.9</v>
      </c>
      <c r="I27" s="26">
        <f t="shared" si="11"/>
        <v>10702.910768794698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37.9</v>
      </c>
      <c r="D28" s="30">
        <v>261.5</v>
      </c>
      <c r="E28" s="29">
        <f t="shared" si="7"/>
        <v>0.12699723180030109</v>
      </c>
      <c r="F28" s="28">
        <f t="shared" si="8"/>
        <v>36.779762092078002</v>
      </c>
      <c r="G28" s="27" t="str">
        <f t="shared" si="9"/>
        <v>-</v>
      </c>
      <c r="H28" s="26">
        <f t="shared" si="10"/>
        <v>9910.85</v>
      </c>
      <c r="I28" s="26">
        <f t="shared" si="11"/>
        <v>9617.9077870783967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36.700000000000003</v>
      </c>
      <c r="D29" s="30">
        <v>191.6</v>
      </c>
      <c r="E29" s="29">
        <f t="shared" si="7"/>
        <v>9.3050361808557122E-2</v>
      </c>
      <c r="F29" s="28">
        <f t="shared" si="8"/>
        <v>35.61523136620746</v>
      </c>
      <c r="G29" s="27" t="str">
        <f t="shared" si="9"/>
        <v>-</v>
      </c>
      <c r="H29" s="26">
        <f t="shared" si="10"/>
        <v>7031.72</v>
      </c>
      <c r="I29" s="26">
        <f t="shared" si="11"/>
        <v>6823.878329765349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36.700000000000003</v>
      </c>
      <c r="D30" s="30">
        <v>120.9</v>
      </c>
      <c r="E30" s="29">
        <f t="shared" si="7"/>
        <v>5.8714972560827541E-2</v>
      </c>
      <c r="F30" s="28">
        <f t="shared" si="8"/>
        <v>35.61523136620746</v>
      </c>
      <c r="G30" s="27" t="str">
        <f t="shared" si="9"/>
        <v>-</v>
      </c>
      <c r="H30" s="26">
        <f t="shared" si="10"/>
        <v>4437.0300000000007</v>
      </c>
      <c r="I30" s="26">
        <f t="shared" si="11"/>
        <v>4305.881472174482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37.299999999999997</v>
      </c>
      <c r="D31" s="30">
        <v>32.4</v>
      </c>
      <c r="E31" s="29">
        <f t="shared" si="7"/>
        <v>1.5735029867417802E-2</v>
      </c>
      <c r="F31" s="28">
        <f t="shared" si="8"/>
        <v>36.197496729142728</v>
      </c>
      <c r="G31" s="27" t="str">
        <f t="shared" si="9"/>
        <v>-</v>
      </c>
      <c r="H31" s="26">
        <f t="shared" si="10"/>
        <v>1208.5199999999998</v>
      </c>
      <c r="I31" s="26">
        <f t="shared" si="11"/>
        <v>1172.7988940242244</v>
      </c>
      <c r="J31" s="25"/>
      <c r="K31" s="25"/>
    </row>
    <row r="32" spans="1:11" x14ac:dyDescent="0.25">
      <c r="A32" s="24" t="s">
        <v>34</v>
      </c>
      <c r="B32" s="23"/>
      <c r="C32" s="20">
        <f>H32/D32</f>
        <v>39.254902814041188</v>
      </c>
      <c r="D32" s="22">
        <f>SUM(D26:D31)</f>
        <v>1378.8000000000002</v>
      </c>
      <c r="E32" s="21">
        <f t="shared" si="7"/>
        <v>0.66961293769122432</v>
      </c>
      <c r="F32" s="20">
        <f>I32/D32</f>
        <v>38.094617056677528</v>
      </c>
      <c r="G32" s="19">
        <f>F32/C32-1</f>
        <v>-2.9557728441213516E-2</v>
      </c>
      <c r="H32" s="18">
        <f>SUM(H26:H31)</f>
        <v>54124.659999999996</v>
      </c>
      <c r="I32" s="18">
        <f>SUM(I26:I31)</f>
        <v>52524.857997746978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22.4</v>
      </c>
      <c r="D34" s="30">
        <v>213</v>
      </c>
      <c r="E34" s="29">
        <f t="shared" ref="E34:E40" si="13">D34/$D$48</f>
        <v>0.10344325190617258</v>
      </c>
      <c r="F34" s="28">
        <f t="shared" ref="F34:F39" si="14">C34-(C34*$E$6)</f>
        <v>21.737906882916814</v>
      </c>
      <c r="G34" s="27" t="str">
        <f t="shared" ref="G34:G39" si="15">IF(C34&gt;=F34,"-","+")</f>
        <v>-</v>
      </c>
      <c r="H34" s="26">
        <f t="shared" ref="H34:H39" si="16">C34*D34</f>
        <v>4771.2</v>
      </c>
      <c r="I34" s="26">
        <f t="shared" ref="I34:I39" si="17">F34*D34</f>
        <v>4630.1741660612815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17.3</v>
      </c>
      <c r="D35" s="30"/>
      <c r="E35" s="29">
        <f t="shared" si="13"/>
        <v>0</v>
      </c>
      <c r="F35" s="28">
        <f t="shared" si="14"/>
        <v>16.788651297967004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13.9</v>
      </c>
      <c r="D36" s="30"/>
      <c r="E36" s="29">
        <f t="shared" si="13"/>
        <v>0</v>
      </c>
      <c r="F36" s="28">
        <f t="shared" si="14"/>
        <v>13.489147574667131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36.700000000000003</v>
      </c>
      <c r="D37" s="30"/>
      <c r="E37" s="29">
        <f t="shared" si="13"/>
        <v>0</v>
      </c>
      <c r="F37" s="28">
        <f t="shared" si="14"/>
        <v>35.61523136620746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36.700000000000003</v>
      </c>
      <c r="D38" s="30"/>
      <c r="E38" s="29">
        <f t="shared" si="13"/>
        <v>0</v>
      </c>
      <c r="F38" s="28">
        <f t="shared" si="14"/>
        <v>35.61523136620746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37.9</v>
      </c>
      <c r="D39" s="30"/>
      <c r="E39" s="29">
        <f t="shared" si="13"/>
        <v>0</v>
      </c>
      <c r="F39" s="28">
        <f t="shared" si="14"/>
        <v>36.779762092078002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22.4</v>
      </c>
      <c r="D40" s="22">
        <f>SUM(D34:D39)</f>
        <v>213</v>
      </c>
      <c r="E40" s="21">
        <f t="shared" si="13"/>
        <v>0.10344325190617258</v>
      </c>
      <c r="F40" s="20">
        <f>I40/D40</f>
        <v>21.737906882916814</v>
      </c>
      <c r="G40" s="19">
        <f>F40/C40-1</f>
        <v>-2.9557728441213627E-2</v>
      </c>
      <c r="H40" s="18">
        <f>SUM(H34:H39)</f>
        <v>4771.2</v>
      </c>
      <c r="I40" s="18">
        <f>SUM(I34:I39)</f>
        <v>4630.1741660612815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300</v>
      </c>
      <c r="E42" s="107">
        <f>D42/$D$48</f>
        <v>0.14569472099460926</v>
      </c>
      <c r="F42" s="28">
        <f>C42-(C42*$E$6)</f>
        <v>0.48522113577939319</v>
      </c>
      <c r="G42" s="27" t="str">
        <f>IF(C42&gt;=F42,"-","+")</f>
        <v>-</v>
      </c>
      <c r="H42" s="26">
        <f>C42*D42</f>
        <v>150</v>
      </c>
      <c r="I42" s="26">
        <f>F42*D42</f>
        <v>145.56634073381795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</v>
      </c>
      <c r="E43" s="107">
        <f>D43/$D$48</f>
        <v>3.8851925598562473E-3</v>
      </c>
      <c r="F43" s="28">
        <f>C43-(C43*$E$6)</f>
        <v>0.48522113577939319</v>
      </c>
      <c r="G43" s="27" t="str">
        <f>IF(C43&gt;=F43,"-","+")</f>
        <v>-</v>
      </c>
      <c r="H43" s="26">
        <f>C43*D43</f>
        <v>4</v>
      </c>
      <c r="I43" s="26">
        <f>F43*D43</f>
        <v>3.8817690862351455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9.4</v>
      </c>
      <c r="E44" s="107">
        <f>D44/$D$48</f>
        <v>4.5651012578310909E-3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3.5</v>
      </c>
      <c r="E45" s="107">
        <f>D45/$D$48</f>
        <v>1.6997717449371082E-3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0.47990028046120292</v>
      </c>
      <c r="D46" s="22">
        <f>SUM(D41:D45)</f>
        <v>320.89999999999998</v>
      </c>
      <c r="E46" s="113">
        <f>D46/$D$48</f>
        <v>0.15584478655723372</v>
      </c>
      <c r="F46" s="20">
        <f>I46/D46</f>
        <v>0.46571551829246843</v>
      </c>
      <c r="G46" s="19">
        <f>F46/C46-1</f>
        <v>-2.9557728441213627E-2</v>
      </c>
      <c r="H46" s="18">
        <f>SUM(H41:H44)</f>
        <v>154</v>
      </c>
      <c r="I46" s="18">
        <f>SUM(I41:I44)</f>
        <v>149.44810982005311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118.95037686499421</v>
      </c>
      <c r="D48" s="13">
        <f>D24+D32+D40+D46</f>
        <v>2059.1000000000004</v>
      </c>
      <c r="E48" s="12">
        <f>SUM(E20:E46)/2</f>
        <v>0.99999999999999989</v>
      </c>
      <c r="F48" s="11">
        <f>I48/D48</f>
        <v>31.749999999999982</v>
      </c>
      <c r="G48" s="10"/>
      <c r="H48" s="9">
        <f>SUM(H20:H46)/2</f>
        <v>67367.66</v>
      </c>
      <c r="I48" s="9">
        <f>SUM(I20:I46)/2</f>
        <v>65376.424999999974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2059.1000000000004</v>
      </c>
      <c r="E50" s="12">
        <f>D50/G2</f>
        <v>1.0000000000000002</v>
      </c>
      <c r="F50" s="11">
        <f>I50/D50</f>
        <v>31.749999999999982</v>
      </c>
      <c r="G50" s="10"/>
      <c r="H50" s="9">
        <f>H48+H19</f>
        <v>67367.66</v>
      </c>
      <c r="I50" s="9">
        <f>I48+I19</f>
        <v>65376.424999999974</v>
      </c>
      <c r="J50" s="106">
        <f>D50-G2</f>
        <v>0</v>
      </c>
      <c r="K50" s="8"/>
    </row>
    <row r="51" spans="1:11" ht="23.25" x14ac:dyDescent="0.35">
      <c r="A51" s="174" t="s">
        <v>942</v>
      </c>
      <c r="B51" s="169"/>
      <c r="C51" s="170"/>
      <c r="G51" s="7"/>
      <c r="H51" s="6"/>
      <c r="I51" s="6">
        <f>+I50/D50</f>
        <v>31.749999999999982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939</v>
      </c>
      <c r="D2" s="96" t="s">
        <v>3</v>
      </c>
      <c r="E2" s="95" t="s">
        <v>71</v>
      </c>
      <c r="F2" s="94" t="s">
        <v>5</v>
      </c>
      <c r="G2" s="116">
        <v>19696.5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218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90.350917431192656</v>
      </c>
      <c r="F4" s="81" t="s">
        <v>12</v>
      </c>
      <c r="G4" s="80">
        <f>G2*G3</f>
        <v>556426.125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8.5464398100305594E-3</v>
      </c>
      <c r="F6" s="69" t="s">
        <v>16</v>
      </c>
      <c r="G6" s="68">
        <f>(I50-I19)/(D50-(SUM(D42:D44)+D19))</f>
        <v>33.553401614877622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28.058135753376135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29.1487346695851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26.670100769110178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29.1487346695851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32.618822130249995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26.868391481148173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36.782927083047866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54.133364386372335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47.490625533099532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225.3</v>
      </c>
      <c r="E21" s="29">
        <f>D21/$D$48</f>
        <v>1.1438580458457087E-2</v>
      </c>
      <c r="F21" s="28">
        <f>C21-(C21*$E$6)</f>
        <v>70.393202773487829</v>
      </c>
      <c r="G21" s="27" t="str">
        <f>IF(C21&gt;=F21,"-","+")</f>
        <v>-</v>
      </c>
      <c r="H21" s="26">
        <f>C21*D21</f>
        <v>15996.300000000001</v>
      </c>
      <c r="I21" s="26">
        <f>F21*D21</f>
        <v>15859.588584866809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632.70000000000005</v>
      </c>
      <c r="E22" s="29">
        <f>D22/$D$48</f>
        <v>3.2122458304774962E-2</v>
      </c>
      <c r="F22" s="28">
        <f>C22-(C22*$E$6)</f>
        <v>47.292334821061544</v>
      </c>
      <c r="G22" s="27" t="str">
        <f>IF(C22&gt;=F22,"-","+")</f>
        <v>-</v>
      </c>
      <c r="H22" s="26">
        <f>C22*D22</f>
        <v>30179.790000000005</v>
      </c>
      <c r="I22" s="26">
        <f>F22*D22</f>
        <v>29921.860241285642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438.6</v>
      </c>
      <c r="E23" s="29">
        <f>D23/$D$48</f>
        <v>2.2267915619526311E-2</v>
      </c>
      <c r="F23" s="28">
        <f>C23-(C23*$E$6)</f>
        <v>43.128229868263674</v>
      </c>
      <c r="G23" s="27" t="str">
        <f>IF(C23&gt;=F23,"-","+")</f>
        <v>-</v>
      </c>
      <c r="H23" s="26">
        <f>C23*D23</f>
        <v>19079.100000000002</v>
      </c>
      <c r="I23" s="26">
        <f>F23*D23</f>
        <v>18916.041620220447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50.327926885701068</v>
      </c>
      <c r="D24" s="22">
        <f>SUM(D21:D23)</f>
        <v>1296.5999999999999</v>
      </c>
      <c r="E24" s="21">
        <f>D24/$D$48</f>
        <v>6.5828954382758348E-2</v>
      </c>
      <c r="F24" s="20">
        <f>I24/D24</f>
        <v>49.897802287808815</v>
      </c>
      <c r="G24" s="19">
        <f>F24/C24-1</f>
        <v>-8.5464398100303374E-3</v>
      </c>
      <c r="H24" s="18">
        <f>SUM(H21:H23)</f>
        <v>65255.19</v>
      </c>
      <c r="I24" s="18">
        <f>SUM(I21:I23)</f>
        <v>64697.490446372904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v>3491.3</v>
      </c>
      <c r="E26" s="29">
        <f t="shared" ref="E26:E32" si="7">D26/$D$48</f>
        <v>0.17725484223085319</v>
      </c>
      <c r="F26" s="28">
        <f t="shared" ref="F26:F31" si="8">C26-(C26*$E$6)</f>
        <v>37.576089931199839</v>
      </c>
      <c r="G26" s="27" t="str">
        <f t="shared" ref="G26:G31" si="9">IF(C26&gt;=F26,"-","+")</f>
        <v>-</v>
      </c>
      <c r="H26" s="26">
        <f t="shared" ref="H26:H31" si="10">C26*D26</f>
        <v>132320.26999999999</v>
      </c>
      <c r="I26" s="26">
        <f t="shared" ref="I26:I31" si="11">F26*D26</f>
        <v>131189.402776798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3397.9</v>
      </c>
      <c r="E27" s="29">
        <f t="shared" si="7"/>
        <v>0.1725128829995177</v>
      </c>
      <c r="F27" s="28">
        <f t="shared" si="8"/>
        <v>33.511130334420962</v>
      </c>
      <c r="G27" s="27" t="str">
        <f t="shared" si="9"/>
        <v>-</v>
      </c>
      <c r="H27" s="26">
        <f t="shared" si="10"/>
        <v>114849.01999999999</v>
      </c>
      <c r="I27" s="26">
        <f t="shared" si="11"/>
        <v>113867.46976332899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2410.5</v>
      </c>
      <c r="E28" s="29">
        <f t="shared" si="7"/>
        <v>0.12238214911278654</v>
      </c>
      <c r="F28" s="28">
        <f t="shared" si="8"/>
        <v>33.511130334420962</v>
      </c>
      <c r="G28" s="27" t="str">
        <f t="shared" si="9"/>
        <v>-</v>
      </c>
      <c r="H28" s="26">
        <f t="shared" si="10"/>
        <v>81474.899999999994</v>
      </c>
      <c r="I28" s="26">
        <f t="shared" si="11"/>
        <v>80778.579671121726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1982.7</v>
      </c>
      <c r="E29" s="29">
        <f t="shared" si="7"/>
        <v>0.1006625542609093</v>
      </c>
      <c r="F29" s="28">
        <f t="shared" si="8"/>
        <v>32.321386062193007</v>
      </c>
      <c r="G29" s="27" t="str">
        <f t="shared" si="9"/>
        <v>-</v>
      </c>
      <c r="H29" s="26">
        <f t="shared" si="10"/>
        <v>64636.020000000004</v>
      </c>
      <c r="I29" s="26">
        <f t="shared" si="11"/>
        <v>64083.612145510073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1163.5</v>
      </c>
      <c r="E30" s="29">
        <f t="shared" si="7"/>
        <v>5.9071408625897999E-2</v>
      </c>
      <c r="F30" s="28">
        <f t="shared" si="8"/>
        <v>32.321386062193007</v>
      </c>
      <c r="G30" s="27" t="str">
        <f t="shared" si="9"/>
        <v>-</v>
      </c>
      <c r="H30" s="26">
        <f t="shared" si="10"/>
        <v>37930.1</v>
      </c>
      <c r="I30" s="26">
        <f t="shared" si="11"/>
        <v>37605.932683361563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491.4</v>
      </c>
      <c r="E31" s="29">
        <f t="shared" si="7"/>
        <v>2.4948594928032898E-2</v>
      </c>
      <c r="F31" s="28">
        <f t="shared" si="8"/>
        <v>32.916258198306991</v>
      </c>
      <c r="G31" s="27" t="str">
        <f t="shared" si="9"/>
        <v>-</v>
      </c>
      <c r="H31" s="26">
        <f t="shared" si="10"/>
        <v>16314.480000000001</v>
      </c>
      <c r="I31" s="26">
        <f t="shared" si="11"/>
        <v>16175.049278648055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34.591822868759316</v>
      </c>
      <c r="D32" s="22">
        <f>SUM(D26:D31)</f>
        <v>12937.300000000001</v>
      </c>
      <c r="E32" s="21">
        <f t="shared" si="7"/>
        <v>0.65683243215799769</v>
      </c>
      <c r="F32" s="20">
        <f>I32/D32</f>
        <v>34.296185936692225</v>
      </c>
      <c r="G32" s="19">
        <f>F32/C32-1</f>
        <v>-8.5464398100305594E-3</v>
      </c>
      <c r="H32" s="18">
        <f>SUM(H26:H31)</f>
        <v>447524.78999999992</v>
      </c>
      <c r="I32" s="18">
        <f>SUM(I26:I31)</f>
        <v>443700.04631876841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2344.3000000000002</v>
      </c>
      <c r="E34" s="29">
        <f t="shared" ref="E34:E40" si="13">D34/$D$48</f>
        <v>0.11902114588886352</v>
      </c>
      <c r="F34" s="28">
        <f t="shared" ref="F34:F39" si="14">C34-(C34*$E$6)</f>
        <v>19.829071203799387</v>
      </c>
      <c r="G34" s="27" t="str">
        <f t="shared" ref="G34:G39" si="15">IF(C34&gt;=F34,"-","+")</f>
        <v>-</v>
      </c>
      <c r="H34" s="26">
        <f t="shared" ref="H34:H39" si="16">C34*D34</f>
        <v>46886</v>
      </c>
      <c r="I34" s="26">
        <f t="shared" ref="I34:I39" si="17">F34*D34</f>
        <v>46485.291623066907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15.26838482692553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12.194878790336626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32.321386062193007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32.321386062193007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33.511130334420962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2344.3000000000002</v>
      </c>
      <c r="E40" s="113">
        <f t="shared" si="13"/>
        <v>0.11902114588886352</v>
      </c>
      <c r="F40" s="20">
        <f>I40/D40</f>
        <v>19.829071203799387</v>
      </c>
      <c r="G40" s="19">
        <f>F40/C40-1</f>
        <v>-8.5464398100306704E-3</v>
      </c>
      <c r="H40" s="18">
        <f>SUM(H34:H39)</f>
        <v>46886</v>
      </c>
      <c r="I40" s="18">
        <f>SUM(I34:I39)</f>
        <v>46485.291623066907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2965</v>
      </c>
      <c r="E42" s="107">
        <f>D42/$D$48</f>
        <v>0.15053435889625061</v>
      </c>
      <c r="F42" s="28">
        <f>C42-(C42*$E$6)</f>
        <v>0.49572678009498472</v>
      </c>
      <c r="G42" s="27" t="str">
        <f>IF(C42&gt;=F42,"-","+")</f>
        <v>-</v>
      </c>
      <c r="H42" s="26">
        <f>C42*D42</f>
        <v>1482.5</v>
      </c>
      <c r="I42" s="26">
        <f>F42*D42</f>
        <v>1469.8299029816296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148.19999999999999</v>
      </c>
      <c r="E43" s="107">
        <f>D43/$D$48</f>
        <v>7.5241794227400806E-3</v>
      </c>
      <c r="F43" s="28">
        <f>C43-(C43*$E$6)</f>
        <v>0.49572678009498472</v>
      </c>
      <c r="G43" s="27" t="str">
        <f>IF(C43&gt;=F43,"-","+")</f>
        <v>-</v>
      </c>
      <c r="H43" s="26">
        <f>C43*D43</f>
        <v>74.099999999999994</v>
      </c>
      <c r="I43" s="26">
        <f>F43*D43</f>
        <v>73.466708810076724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5.0999999999999996</v>
      </c>
      <c r="E45" s="107">
        <f>D45/$D$48</f>
        <v>2.5892925138984083E-4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0.49918224673700418</v>
      </c>
      <c r="D46" s="22">
        <f>SUM(D41:D45)</f>
        <v>3118.2999999999997</v>
      </c>
      <c r="E46" s="113">
        <f>D46/$D$48</f>
        <v>0.15831746757038051</v>
      </c>
      <c r="F46" s="20">
        <f>I46/D46</f>
        <v>0.4949160157110305</v>
      </c>
      <c r="G46" s="19">
        <f>F46/C46-1</f>
        <v>-8.5464398100306704E-3</v>
      </c>
      <c r="H46" s="18">
        <f>SUM(H41:H44)</f>
        <v>1556.6</v>
      </c>
      <c r="I46" s="18">
        <f>SUM(I41:I44)</f>
        <v>1543.2966117917063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105.41893200119739</v>
      </c>
      <c r="D48" s="13">
        <f>D24+D32+D40+D46</f>
        <v>19696.5</v>
      </c>
      <c r="E48" s="12">
        <f>SUM(E20:E46)/2</f>
        <v>1.0000000000000002</v>
      </c>
      <c r="F48" s="11">
        <f>I48/D48</f>
        <v>28.25</v>
      </c>
      <c r="G48" s="10"/>
      <c r="H48" s="9">
        <f>SUM(H20:H46)/2</f>
        <v>561222.58000000007</v>
      </c>
      <c r="I48" s="9">
        <f>SUM(I20:I46)/2</f>
        <v>556426.125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19696.5</v>
      </c>
      <c r="E50" s="12">
        <f>D50/G2</f>
        <v>1</v>
      </c>
      <c r="F50" s="11">
        <f>I50/D50</f>
        <v>28.25</v>
      </c>
      <c r="G50" s="10"/>
      <c r="H50" s="9">
        <f>H48+H19</f>
        <v>561222.58000000007</v>
      </c>
      <c r="I50" s="9">
        <f>I48+I19</f>
        <v>556426.125</v>
      </c>
      <c r="J50" s="106">
        <f>D50-G2</f>
        <v>0</v>
      </c>
      <c r="K50" s="8"/>
    </row>
    <row r="51" spans="1:11" ht="23.25" x14ac:dyDescent="0.35">
      <c r="A51" s="174" t="s">
        <v>943</v>
      </c>
      <c r="B51" s="169"/>
      <c r="C51" s="170"/>
      <c r="G51" s="7"/>
      <c r="H51" s="6"/>
      <c r="I51" s="6">
        <f>+I50/D50</f>
        <v>28.25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930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944</v>
      </c>
      <c r="D2" s="96" t="s">
        <v>3</v>
      </c>
      <c r="E2" s="95" t="s">
        <v>71</v>
      </c>
      <c r="F2" s="94" t="s">
        <v>5</v>
      </c>
      <c r="G2" s="93">
        <v>5148.6000000000004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60</v>
      </c>
      <c r="F3" s="88" t="s">
        <v>8</v>
      </c>
      <c r="G3" s="87">
        <v>28.45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85.81</v>
      </c>
      <c r="F4" s="81" t="s">
        <v>12</v>
      </c>
      <c r="G4" s="80">
        <f>G2*G3</f>
        <v>146477.67000000001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8.8488029935718249E-4</v>
      </c>
      <c r="F6" s="69" t="s">
        <v>16</v>
      </c>
      <c r="G6" s="68">
        <f>(I50-I19)/(D50-(SUM(D42:D44)+D19))</f>
        <v>35.909201301935447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28.474780911468319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>
        <v>1318.6</v>
      </c>
      <c r="E11" s="29">
        <f t="shared" si="1"/>
        <v>0.34710047645371023</v>
      </c>
      <c r="F11" s="28">
        <f t="shared" si="2"/>
        <v>29.573807543139029</v>
      </c>
      <c r="G11" s="27" t="str">
        <f t="shared" si="3"/>
        <v>-</v>
      </c>
      <c r="H11" s="34">
        <f t="shared" si="4"/>
        <v>39030.559999999998</v>
      </c>
      <c r="I11" s="34">
        <f t="shared" si="5"/>
        <v>38996.022626383121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>
        <v>2182.9</v>
      </c>
      <c r="E12" s="29">
        <f t="shared" si="1"/>
        <v>0.57461370396693778</v>
      </c>
      <c r="F12" s="28">
        <f t="shared" si="2"/>
        <v>27.076019743887421</v>
      </c>
      <c r="G12" s="27" t="str">
        <f t="shared" si="3"/>
        <v>-</v>
      </c>
      <c r="H12" s="34">
        <f t="shared" si="4"/>
        <v>59156.590000000004</v>
      </c>
      <c r="I12" s="34">
        <f t="shared" si="5"/>
        <v>59104.243498931857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>
        <v>228.4</v>
      </c>
      <c r="E13" s="29">
        <f t="shared" si="1"/>
        <v>6.0122667087841218E-2</v>
      </c>
      <c r="F13" s="28">
        <f t="shared" si="2"/>
        <v>29.573807543139029</v>
      </c>
      <c r="G13" s="27" t="str">
        <f t="shared" si="3"/>
        <v>-</v>
      </c>
      <c r="H13" s="34">
        <f t="shared" si="4"/>
        <v>6760.64</v>
      </c>
      <c r="I13" s="34">
        <f t="shared" si="5"/>
        <v>6754.6576428529543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>
        <f t="shared" si="1"/>
        <v>0</v>
      </c>
      <c r="F14" s="28">
        <f t="shared" si="2"/>
        <v>33.070710462091277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>
        <v>69</v>
      </c>
      <c r="E15" s="29">
        <f t="shared" si="1"/>
        <v>1.8163152491510699E-2</v>
      </c>
      <c r="F15" s="28">
        <f t="shared" si="2"/>
        <v>27.275842767827548</v>
      </c>
      <c r="G15" s="27" t="str">
        <f t="shared" si="3"/>
        <v>-</v>
      </c>
      <c r="H15" s="34">
        <f t="shared" si="4"/>
        <v>1883.7</v>
      </c>
      <c r="I15" s="34">
        <f t="shared" si="5"/>
        <v>1882.0331509801008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37.4</v>
      </c>
      <c r="D16" s="30"/>
      <c r="E16" s="29">
        <f t="shared" si="1"/>
        <v>0</v>
      </c>
      <c r="F16" s="28">
        <f t="shared" si="2"/>
        <v>37.366905476804043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</v>
      </c>
      <c r="D17" s="30"/>
      <c r="E17" s="29">
        <f t="shared" si="1"/>
        <v>0</v>
      </c>
      <c r="F17" s="28">
        <f t="shared" si="2"/>
        <v>54.951331583535357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48.2</v>
      </c>
      <c r="D18" s="30"/>
      <c r="E18" s="29">
        <f t="shared" si="1"/>
        <v>0</v>
      </c>
      <c r="F18" s="28">
        <f t="shared" si="2"/>
        <v>48.157348769570987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28.121690489352179</v>
      </c>
      <c r="D19" s="49">
        <f>SUM(D10:D18)</f>
        <v>3798.9</v>
      </c>
      <c r="E19" s="48">
        <f t="shared" si="1"/>
        <v>1</v>
      </c>
      <c r="F19" s="47">
        <f>I19/D19</f>
        <v>28.096806159453536</v>
      </c>
      <c r="G19" s="46">
        <f>F19/C19-1</f>
        <v>-8.8488029935707146E-4</v>
      </c>
      <c r="H19" s="9">
        <f>SUM(H10:H18)</f>
        <v>106831.48999999999</v>
      </c>
      <c r="I19" s="9">
        <f>SUM(I10:I18)</f>
        <v>106736.95691914804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71.599999999999994</v>
      </c>
      <c r="D21" s="30">
        <v>33.6</v>
      </c>
      <c r="E21" s="29">
        <f>D21/$D$48</f>
        <v>2.4894420982440543E-2</v>
      </c>
      <c r="F21" s="28">
        <f>C21-(C21*$E$6)</f>
        <v>71.536642570566016</v>
      </c>
      <c r="G21" s="27" t="str">
        <f>IF(C21&gt;=F21,"-","+")</f>
        <v>-</v>
      </c>
      <c r="H21" s="26">
        <f>C21*D21</f>
        <v>2405.7599999999998</v>
      </c>
      <c r="I21" s="26">
        <f>F21*D21</f>
        <v>2403.6311903710184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35</v>
      </c>
      <c r="E22" s="29">
        <f>D22/$D$48</f>
        <v>2.5931688523375563E-2</v>
      </c>
      <c r="F22" s="28">
        <f>C22-(C22*$E$6)</f>
        <v>48.057437257600924</v>
      </c>
      <c r="G22" s="27" t="str">
        <f>IF(C22&gt;=F22,"-","+")</f>
        <v>-</v>
      </c>
      <c r="H22" s="26">
        <f>C22*D22</f>
        <v>1683.5</v>
      </c>
      <c r="I22" s="26">
        <f>F22*D22</f>
        <v>1682.0103040160323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43.8</v>
      </c>
      <c r="D23" s="30">
        <v>63.4</v>
      </c>
      <c r="E23" s="29">
        <f>D23/$D$48</f>
        <v>4.6973401496628875E-2</v>
      </c>
      <c r="F23" s="28">
        <f>C23-(C23*$E$6)</f>
        <v>43.761242242888152</v>
      </c>
      <c r="G23" s="27" t="str">
        <f>IF(C23&gt;=F23,"-","+")</f>
        <v>-</v>
      </c>
      <c r="H23" s="26">
        <f>C23*D23</f>
        <v>2776.9199999999996</v>
      </c>
      <c r="I23" s="26">
        <f>F23*D23</f>
        <v>2774.4627581991085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52.016515151515144</v>
      </c>
      <c r="D24" s="22">
        <f>SUM(D21:D23)</f>
        <v>132</v>
      </c>
      <c r="E24" s="21">
        <f>D24/$D$48</f>
        <v>9.779951100244498E-2</v>
      </c>
      <c r="F24" s="20">
        <f>I24/D24</f>
        <v>51.970486762016357</v>
      </c>
      <c r="G24" s="19">
        <f>F24/C24-1</f>
        <v>-8.8488029935707146E-4</v>
      </c>
      <c r="H24" s="18">
        <f>SUM(H21:H23)</f>
        <v>6866.1799999999994</v>
      </c>
      <c r="I24" s="18">
        <f>SUM(I21:I23)</f>
        <v>6860.1042525861594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f>23.5+261.3</f>
        <v>284.8</v>
      </c>
      <c r="E26" s="29">
        <f t="shared" ref="E26:E32" si="7">D26/$D$48</f>
        <v>0.21100985404163888</v>
      </c>
      <c r="F26" s="28">
        <f t="shared" ref="F26:F31" si="8">C26-(C26*$E$6)</f>
        <v>38.166197572564556</v>
      </c>
      <c r="G26" s="27" t="str">
        <f t="shared" ref="G26:G31" si="9">IF(C26&gt;=F26,"-","+")</f>
        <v>-</v>
      </c>
      <c r="H26" s="26">
        <f t="shared" ref="H26:H31" si="10">C26*D26</f>
        <v>10879.36</v>
      </c>
      <c r="I26" s="26">
        <f t="shared" ref="I26:I31" si="11">F26*D26</f>
        <v>10869.733068666386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</v>
      </c>
      <c r="D27" s="30">
        <v>184.5</v>
      </c>
      <c r="E27" s="29">
        <f t="shared" si="7"/>
        <v>0.13669704378750833</v>
      </c>
      <c r="F27" s="28">
        <f t="shared" si="8"/>
        <v>33.969914069821854</v>
      </c>
      <c r="G27" s="27" t="str">
        <f t="shared" si="9"/>
        <v>-</v>
      </c>
      <c r="H27" s="26">
        <f t="shared" si="10"/>
        <v>6273</v>
      </c>
      <c r="I27" s="26">
        <f t="shared" si="11"/>
        <v>6267.4491458821321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</v>
      </c>
      <c r="D28" s="30">
        <v>129.9</v>
      </c>
      <c r="E28" s="29">
        <f t="shared" si="7"/>
        <v>9.6243609691042453E-2</v>
      </c>
      <c r="F28" s="28">
        <f t="shared" si="8"/>
        <v>33.969914069821854</v>
      </c>
      <c r="G28" s="27" t="str">
        <f t="shared" si="9"/>
        <v>-</v>
      </c>
      <c r="H28" s="26">
        <f t="shared" si="10"/>
        <v>4416.6000000000004</v>
      </c>
      <c r="I28" s="26">
        <f t="shared" si="11"/>
        <v>4412.6918376698586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40.6</v>
      </c>
      <c r="E29" s="29">
        <f t="shared" si="7"/>
        <v>3.0080758687115655E-2</v>
      </c>
      <c r="F29" s="28">
        <f t="shared" si="8"/>
        <v>32.870887438151151</v>
      </c>
      <c r="G29" s="27" t="str">
        <f t="shared" si="9"/>
        <v>-</v>
      </c>
      <c r="H29" s="26">
        <f t="shared" si="10"/>
        <v>1335.74</v>
      </c>
      <c r="I29" s="26">
        <f t="shared" si="11"/>
        <v>1334.5580299889368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218.5</v>
      </c>
      <c r="E30" s="29">
        <f t="shared" si="7"/>
        <v>0.16188782692450174</v>
      </c>
      <c r="F30" s="28">
        <f t="shared" si="8"/>
        <v>32.870887438151151</v>
      </c>
      <c r="G30" s="27" t="str">
        <f t="shared" si="9"/>
        <v>-</v>
      </c>
      <c r="H30" s="26">
        <f t="shared" si="10"/>
        <v>7188.65</v>
      </c>
      <c r="I30" s="26">
        <f t="shared" si="11"/>
        <v>7182.288905236026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>
        <v>35.200000000000003</v>
      </c>
      <c r="E31" s="29">
        <f t="shared" si="7"/>
        <v>2.6079869600651999E-2</v>
      </c>
      <c r="F31" s="28">
        <f t="shared" si="8"/>
        <v>33.370444998001467</v>
      </c>
      <c r="G31" s="27" t="str">
        <f t="shared" si="9"/>
        <v>-</v>
      </c>
      <c r="H31" s="26">
        <f t="shared" si="10"/>
        <v>1175.68</v>
      </c>
      <c r="I31" s="26">
        <f t="shared" si="11"/>
        <v>1174.6396639296518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34.996116396194736</v>
      </c>
      <c r="D32" s="22">
        <f>SUM(D26:D31)</f>
        <v>893.50000000000011</v>
      </c>
      <c r="E32" s="21">
        <f t="shared" si="7"/>
        <v>0.66199896273245917</v>
      </c>
      <c r="F32" s="20">
        <f>I32/D32</f>
        <v>34.965149022241732</v>
      </c>
      <c r="G32" s="19">
        <f>F32/C32-1</f>
        <v>-8.8488029935718249E-4</v>
      </c>
      <c r="H32" s="18">
        <f>SUM(H26:H31)</f>
        <v>31269.03</v>
      </c>
      <c r="I32" s="18">
        <f>SUM(I26:I31)</f>
        <v>31241.360651372994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76</v>
      </c>
      <c r="E34" s="29">
        <f t="shared" ref="E34:E40" si="13">D34/$D$48</f>
        <v>5.630880936504408E-2</v>
      </c>
      <c r="F34" s="28">
        <f t="shared" ref="F34:F39" si="14">C34-(C34*$E$6)</f>
        <v>20.082213905982922</v>
      </c>
      <c r="G34" s="27" t="str">
        <f t="shared" ref="G34:G39" si="15">IF(C34&gt;=F34,"-","+")</f>
        <v>-</v>
      </c>
      <c r="H34" s="26">
        <f t="shared" ref="H34:H39" si="16">C34*D34</f>
        <v>1527.6000000000001</v>
      </c>
      <c r="I34" s="26">
        <f t="shared" ref="I34:I39" si="17">F34*D34</f>
        <v>1526.248256854702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15.486284355359963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12.389027484287972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32.870887438151151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32.870887438151151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</v>
      </c>
      <c r="D39" s="30"/>
      <c r="E39" s="29">
        <f t="shared" si="13"/>
        <v>0</v>
      </c>
      <c r="F39" s="28">
        <f t="shared" si="14"/>
        <v>33.969914069821854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76</v>
      </c>
      <c r="E40" s="21">
        <f t="shared" si="13"/>
        <v>5.630880936504408E-2</v>
      </c>
      <c r="F40" s="20">
        <f>I40/D40</f>
        <v>20.082213905982922</v>
      </c>
      <c r="G40" s="19">
        <f>F40/C40-1</f>
        <v>-8.8488029935718249E-4</v>
      </c>
      <c r="H40" s="18">
        <f>SUM(H34:H39)</f>
        <v>1527.6000000000001</v>
      </c>
      <c r="I40" s="18">
        <f>SUM(I34:I39)</f>
        <v>1526.248256854702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215</v>
      </c>
      <c r="E42" s="107">
        <f>D42/$D$48</f>
        <v>0.15929465807216417</v>
      </c>
      <c r="F42" s="28">
        <f>C42-(C42*$E$6)</f>
        <v>0.49955755985032141</v>
      </c>
      <c r="G42" s="27" t="str">
        <f>IF(C42&gt;=F42,"-","+")</f>
        <v>-</v>
      </c>
      <c r="H42" s="26">
        <f>C42*D42</f>
        <v>107.5</v>
      </c>
      <c r="I42" s="26">
        <f>F42*D42</f>
        <v>107.4048753678191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11.2</v>
      </c>
      <c r="E43" s="107">
        <f>D43/$D$48</f>
        <v>8.2981403274801791E-3</v>
      </c>
      <c r="F43" s="28">
        <f>C43-(C43*$E$6)</f>
        <v>0.49955755985032141</v>
      </c>
      <c r="G43" s="27" t="str">
        <f>IF(C43&gt;=F43,"-","+")</f>
        <v>-</v>
      </c>
      <c r="H43" s="26">
        <f>C43*D43</f>
        <v>5.6</v>
      </c>
      <c r="I43" s="26">
        <f>F43*D43</f>
        <v>5.5950446703235999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16.8</v>
      </c>
      <c r="E44" s="107">
        <f>D44/$D$48</f>
        <v>1.2447210491220271E-2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3.8527080091872268E-3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0.45568090249798548</v>
      </c>
      <c r="D46" s="22">
        <f>SUM(D41:D45)</f>
        <v>248.2</v>
      </c>
      <c r="E46" s="113">
        <f>D46/$D$48</f>
        <v>0.18389271690005185</v>
      </c>
      <c r="F46" s="20">
        <f>I46/D46</f>
        <v>0.45527767944457176</v>
      </c>
      <c r="G46" s="19">
        <f>F46/C46-1</f>
        <v>-8.8488029935707146E-4</v>
      </c>
      <c r="H46" s="18">
        <f>SUM(H41:H44)</f>
        <v>113.1</v>
      </c>
      <c r="I46" s="18">
        <f>SUM(I41:I44)</f>
        <v>112.9999200381427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107.56831245020786</v>
      </c>
      <c r="D48" s="13">
        <f>D24+D32+D40+D46</f>
        <v>1349.7</v>
      </c>
      <c r="E48" s="12">
        <f>SUM(E20:E46)/2</f>
        <v>1.0000000000000002</v>
      </c>
      <c r="F48" s="11">
        <f>I48/D48</f>
        <v>29.44410838027116</v>
      </c>
      <c r="G48" s="10"/>
      <c r="H48" s="9">
        <f>SUM(H20:H46)/2</f>
        <v>39775.910000000011</v>
      </c>
      <c r="I48" s="9">
        <f>SUM(I20:I46)/2</f>
        <v>39740.713080851987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5148.6000000000013</v>
      </c>
      <c r="E50" s="12">
        <f>D50/G2</f>
        <v>1.0000000000000002</v>
      </c>
      <c r="F50" s="11">
        <f>I50/D50</f>
        <v>28.450000000000003</v>
      </c>
      <c r="G50" s="10"/>
      <c r="H50" s="9">
        <f>H48+H19</f>
        <v>146607.4</v>
      </c>
      <c r="I50" s="9">
        <f>I48+I19</f>
        <v>146477.67000000004</v>
      </c>
      <c r="J50" s="106">
        <f>D50-G2</f>
        <v>0</v>
      </c>
      <c r="K50" s="8"/>
    </row>
    <row r="51" spans="1:11" ht="23.25" x14ac:dyDescent="0.35">
      <c r="A51" s="174" t="s">
        <v>945</v>
      </c>
      <c r="B51" s="169"/>
      <c r="C51" s="170"/>
      <c r="G51" s="7"/>
      <c r="H51" s="6"/>
      <c r="I51" s="6">
        <f>+I50/D50</f>
        <v>28.450000000000003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939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944</v>
      </c>
      <c r="D2" s="96" t="s">
        <v>3</v>
      </c>
      <c r="E2" s="95" t="s">
        <v>71</v>
      </c>
      <c r="F2" s="94" t="s">
        <v>5</v>
      </c>
      <c r="G2" s="116">
        <v>1073.2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14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76.657142857142858</v>
      </c>
      <c r="F4" s="81" t="s">
        <v>12</v>
      </c>
      <c r="G4" s="80">
        <f>G2*G3</f>
        <v>30317.9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9.662653646699304E-2</v>
      </c>
      <c r="F6" s="69" t="s">
        <v>16</v>
      </c>
      <c r="G6" s="68">
        <f>(I50-I19)/(D50-(SUM(D42:D44)+D19))</f>
        <v>32.968573292735968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25.565469017984096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26.559179827870402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24.300746169037886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26.559179827870402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29.720986950235929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24.481420861744489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33.515155497074559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49.324191108902184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43.271588903231034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28.7</v>
      </c>
      <c r="E21" s="29">
        <f>D21/$D$48</f>
        <v>2.6742452478568764E-2</v>
      </c>
      <c r="F21" s="28">
        <f>C21-(C21*$E$6)</f>
        <v>64.1395159108435</v>
      </c>
      <c r="G21" s="27" t="str">
        <f>IF(C21&gt;=F21,"-","+")</f>
        <v>-</v>
      </c>
      <c r="H21" s="26">
        <f>C21*D21</f>
        <v>2037.7</v>
      </c>
      <c r="I21" s="26">
        <f>F21*D21</f>
        <v>1840.8041066412084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/>
      <c r="E22" s="29">
        <f>D22/$D$48</f>
        <v>0</v>
      </c>
      <c r="F22" s="28">
        <f>C22-(C22*$E$6)</f>
        <v>43.090914210524431</v>
      </c>
      <c r="G22" s="27" t="str">
        <f>IF(C22&gt;=F22,"-","+")</f>
        <v>-</v>
      </c>
      <c r="H22" s="26">
        <f>C22*D22</f>
        <v>0</v>
      </c>
      <c r="I22" s="26">
        <f>F22*D22</f>
        <v>0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56</v>
      </c>
      <c r="E23" s="29">
        <f>D23/$D$48</f>
        <v>5.2180395080134175E-2</v>
      </c>
      <c r="F23" s="28">
        <f>C23-(C23*$E$6)</f>
        <v>39.296745663685805</v>
      </c>
      <c r="G23" s="27" t="str">
        <f>IF(C23&gt;=F23,"-","+")</f>
        <v>-</v>
      </c>
      <c r="H23" s="26">
        <f>C23*D23</f>
        <v>2436</v>
      </c>
      <c r="I23" s="26">
        <f>F23*D23</f>
        <v>2200.6177571664052</v>
      </c>
      <c r="J23" s="25"/>
      <c r="K23" s="25"/>
    </row>
    <row r="24" spans="1:11" x14ac:dyDescent="0.25">
      <c r="A24" s="24" t="s">
        <v>34</v>
      </c>
      <c r="B24" s="23"/>
      <c r="C24" s="20">
        <f>H24/D24</f>
        <v>52.818181818181813</v>
      </c>
      <c r="D24" s="22">
        <f>SUM(D21:D23)</f>
        <v>84.7</v>
      </c>
      <c r="E24" s="21">
        <f>D24/$D$48</f>
        <v>7.8922847558702949E-2</v>
      </c>
      <c r="F24" s="20">
        <f>I24/D24</f>
        <v>47.714543846607008</v>
      </c>
      <c r="G24" s="19">
        <f>F24/C24-1</f>
        <v>-9.6626536466992929E-2</v>
      </c>
      <c r="H24" s="18">
        <f>SUM(H21:H23)</f>
        <v>4473.7</v>
      </c>
      <c r="I24" s="18">
        <f>SUM(I21:I23)</f>
        <v>4041.4218638076136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v>542.6</v>
      </c>
      <c r="E26" s="29">
        <f t="shared" ref="E26:E32" si="7">D26/$D$48</f>
        <v>0.50559075661572861</v>
      </c>
      <c r="F26" s="28">
        <f t="shared" ref="F26:F31" si="8">C26-(C26*$E$6)</f>
        <v>34.237854267900964</v>
      </c>
      <c r="G26" s="27" t="str">
        <f t="shared" ref="G26:G31" si="9">IF(C26&gt;=F26,"-","+")</f>
        <v>-</v>
      </c>
      <c r="H26" s="26">
        <f t="shared" ref="H26:H31" si="10">C26*D26</f>
        <v>20564.54</v>
      </c>
      <c r="I26" s="26">
        <f t="shared" ref="I26:I31" si="11">F26*D26</f>
        <v>18577.459725763063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/>
      <c r="E27" s="29">
        <f t="shared" si="7"/>
        <v>0</v>
      </c>
      <c r="F27" s="28">
        <f t="shared" si="8"/>
        <v>30.534023067415632</v>
      </c>
      <c r="G27" s="27" t="str">
        <f t="shared" si="9"/>
        <v>-</v>
      </c>
      <c r="H27" s="26">
        <f t="shared" si="10"/>
        <v>0</v>
      </c>
      <c r="I27" s="26">
        <f t="shared" si="11"/>
        <v>0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/>
      <c r="E28" s="29">
        <f t="shared" si="7"/>
        <v>0</v>
      </c>
      <c r="F28" s="28">
        <f t="shared" si="8"/>
        <v>30.534023067415632</v>
      </c>
      <c r="G28" s="27" t="str">
        <f t="shared" si="9"/>
        <v>-</v>
      </c>
      <c r="H28" s="26">
        <f t="shared" si="10"/>
        <v>0</v>
      </c>
      <c r="I28" s="26">
        <f t="shared" si="11"/>
        <v>0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/>
      <c r="E29" s="29">
        <f t="shared" si="7"/>
        <v>0</v>
      </c>
      <c r="F29" s="28">
        <f t="shared" si="8"/>
        <v>29.449974911176028</v>
      </c>
      <c r="G29" s="27" t="str">
        <f t="shared" si="9"/>
        <v>-</v>
      </c>
      <c r="H29" s="26">
        <f t="shared" si="10"/>
        <v>0</v>
      </c>
      <c r="I29" s="26">
        <f t="shared" si="11"/>
        <v>0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172</v>
      </c>
      <c r="E30" s="29">
        <f t="shared" si="7"/>
        <v>0.16026835631755496</v>
      </c>
      <c r="F30" s="28">
        <f t="shared" si="8"/>
        <v>29.449974911176028</v>
      </c>
      <c r="G30" s="27" t="str">
        <f t="shared" si="9"/>
        <v>-</v>
      </c>
      <c r="H30" s="26">
        <f t="shared" si="10"/>
        <v>5607.2</v>
      </c>
      <c r="I30" s="26">
        <f t="shared" si="11"/>
        <v>5065.3956847222771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36.1</v>
      </c>
      <c r="E31" s="29">
        <f t="shared" si="7"/>
        <v>3.363771897130078E-2</v>
      </c>
      <c r="F31" s="28">
        <f t="shared" si="8"/>
        <v>29.991998989295833</v>
      </c>
      <c r="G31" s="27" t="str">
        <f t="shared" si="9"/>
        <v>-</v>
      </c>
      <c r="H31" s="26">
        <f t="shared" si="10"/>
        <v>1198.5200000000002</v>
      </c>
      <c r="I31" s="26">
        <f t="shared" si="11"/>
        <v>1082.7111635135795</v>
      </c>
      <c r="J31" s="25"/>
      <c r="K31" s="25"/>
    </row>
    <row r="32" spans="1:11" x14ac:dyDescent="0.25">
      <c r="A32" s="24" t="s">
        <v>34</v>
      </c>
      <c r="B32" s="23"/>
      <c r="C32" s="20">
        <f>H32/D32</f>
        <v>36.459650992407084</v>
      </c>
      <c r="D32" s="22">
        <f>SUM(D26:D31)</f>
        <v>750.7</v>
      </c>
      <c r="E32" s="21">
        <f t="shared" si="7"/>
        <v>0.69949683190458445</v>
      </c>
      <c r="F32" s="20">
        <f>I32/D32</f>
        <v>32.936681196215424</v>
      </c>
      <c r="G32" s="19">
        <f>F32/C32-1</f>
        <v>-9.6626536466992929E-2</v>
      </c>
      <c r="H32" s="18">
        <f>SUM(H26:H31)</f>
        <v>27370.260000000002</v>
      </c>
      <c r="I32" s="18">
        <f>SUM(I26:I31)</f>
        <v>24725.56657399892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82</v>
      </c>
      <c r="E34" s="29">
        <f t="shared" ref="E34:E40" si="13">D34/$D$48</f>
        <v>7.6407007081625039E-2</v>
      </c>
      <c r="F34" s="28">
        <f t="shared" ref="F34:F39" si="14">C34-(C34*$E$6)</f>
        <v>18.067469270660141</v>
      </c>
      <c r="G34" s="27" t="str">
        <f t="shared" ref="G34:G39" si="15">IF(C34&gt;=F34,"-","+")</f>
        <v>-</v>
      </c>
      <c r="H34" s="26">
        <f t="shared" ref="H34:H39" si="16">C34*D34</f>
        <v>1640</v>
      </c>
      <c r="I34" s="26">
        <f t="shared" ref="I34:I39" si="17">F34*D34</f>
        <v>1481.5324801941315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13.911951338408308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11.111493601455987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29.449974911176028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29.449974911176028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30.534023067415632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82</v>
      </c>
      <c r="E40" s="113">
        <f t="shared" si="13"/>
        <v>7.6407007081625039E-2</v>
      </c>
      <c r="F40" s="20">
        <f>I40/D40</f>
        <v>18.067469270660141</v>
      </c>
      <c r="G40" s="19">
        <f>F40/C40-1</f>
        <v>-9.6626536466992929E-2</v>
      </c>
      <c r="H40" s="18">
        <f>SUM(H34:H39)</f>
        <v>1640</v>
      </c>
      <c r="I40" s="18">
        <f>SUM(I34:I39)</f>
        <v>1481.5324801941315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150</v>
      </c>
      <c r="E42" s="107">
        <f>D42/$D$48</f>
        <v>0.13976891539321654</v>
      </c>
      <c r="F42" s="28">
        <f>C42-(C42*$E$6)</f>
        <v>0.45168673176650348</v>
      </c>
      <c r="G42" s="27" t="str">
        <f>IF(C42&gt;=F42,"-","+")</f>
        <v>-</v>
      </c>
      <c r="H42" s="26">
        <f>C42*D42</f>
        <v>75</v>
      </c>
      <c r="I42" s="26">
        <f>F42*D42</f>
        <v>67.753009764975516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3.6</v>
      </c>
      <c r="E43" s="107">
        <f>D43/$D$48</f>
        <v>3.354453969437197E-3</v>
      </c>
      <c r="F43" s="28">
        <f>C43-(C43*$E$6)</f>
        <v>0.45168673176650348</v>
      </c>
      <c r="G43" s="27" t="str">
        <f>IF(C43&gt;=F43,"-","+")</f>
        <v>-</v>
      </c>
      <c r="H43" s="26">
        <f>C43*D43</f>
        <v>1.8</v>
      </c>
      <c r="I43" s="26">
        <f>F43*D43</f>
        <v>1.6260722343594125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2.2000000000000002</v>
      </c>
      <c r="E45" s="107">
        <f>D45/$D$48</f>
        <v>2.0499440924338429E-3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0.49293966623876767</v>
      </c>
      <c r="D46" s="22">
        <f>SUM(D41:D45)</f>
        <v>155.79999999999998</v>
      </c>
      <c r="E46" s="113">
        <f>D46/$D$48</f>
        <v>0.14517331345508758</v>
      </c>
      <c r="F46" s="20">
        <f>I46/D46</f>
        <v>0.44530861360292001</v>
      </c>
      <c r="G46" s="19">
        <f>F46/C46-1</f>
        <v>-9.662653646699304E-2</v>
      </c>
      <c r="H46" s="18">
        <f>SUM(H41:H44)</f>
        <v>76.8</v>
      </c>
      <c r="I46" s="18">
        <f>SUM(I41:I44)</f>
        <v>69.379081999334929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109.77077247682767</v>
      </c>
      <c r="D48" s="13">
        <f>D24+D32+D40+D46</f>
        <v>1073.2</v>
      </c>
      <c r="E48" s="12">
        <f>SUM(E20:E46)/2</f>
        <v>0.99999999999999989</v>
      </c>
      <c r="F48" s="11">
        <f>I48/D48</f>
        <v>28.249999999999996</v>
      </c>
      <c r="G48" s="10"/>
      <c r="H48" s="9">
        <f>SUM(H20:H46)/2</f>
        <v>33560.76</v>
      </c>
      <c r="I48" s="9">
        <f>SUM(I20:I46)/2</f>
        <v>30317.899999999998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1073.2</v>
      </c>
      <c r="E50" s="12">
        <f>D50/G2</f>
        <v>1</v>
      </c>
      <c r="F50" s="11">
        <f>I50/D50</f>
        <v>28.249999999999996</v>
      </c>
      <c r="G50" s="10"/>
      <c r="H50" s="9">
        <f>H48+H19</f>
        <v>33560.76</v>
      </c>
      <c r="I50" s="9">
        <f>I48+I19</f>
        <v>30317.899999999998</v>
      </c>
      <c r="J50" s="106">
        <f>D50-G2</f>
        <v>0</v>
      </c>
      <c r="K50" s="8"/>
    </row>
    <row r="51" spans="1:11" ht="23.25" x14ac:dyDescent="0.35">
      <c r="A51" s="174" t="s">
        <v>946</v>
      </c>
      <c r="B51" s="169"/>
      <c r="C51" s="170"/>
      <c r="G51" s="7"/>
      <c r="H51" s="6"/>
      <c r="I51" s="6">
        <f>+I50/D50</f>
        <v>28.249999999999996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939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944</v>
      </c>
      <c r="D2" s="96" t="s">
        <v>3</v>
      </c>
      <c r="E2" s="95" t="s">
        <v>71</v>
      </c>
      <c r="F2" s="94" t="s">
        <v>5</v>
      </c>
      <c r="G2" s="93">
        <v>4725.6000000000004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60</v>
      </c>
      <c r="F3" s="88" t="s">
        <v>8</v>
      </c>
      <c r="G3" s="87">
        <v>28.45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78.760000000000005</v>
      </c>
      <c r="F4" s="81" t="s">
        <v>12</v>
      </c>
      <c r="G4" s="80">
        <f>G2*G3</f>
        <v>134443.32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-3.4436733371432382E-3</v>
      </c>
      <c r="F6" s="69" t="s">
        <v>16</v>
      </c>
      <c r="G6" s="68">
        <f>(I50-I19)/(D50-(SUM(D42:D44)+D19))</f>
        <v>33.619313716560065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>
        <f t="shared" ref="E10:E19" si="1">D10/$D$19</f>
        <v>0</v>
      </c>
      <c r="F10" s="28">
        <f t="shared" ref="F10:F18" si="2">C10-(C10*$E$6)</f>
        <v>28.598144690108583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>
        <v>1025.5</v>
      </c>
      <c r="E11" s="29">
        <f t="shared" si="1"/>
        <v>0.37435204789369936</v>
      </c>
      <c r="F11" s="28">
        <f t="shared" si="2"/>
        <v>29.70193273077944</v>
      </c>
      <c r="G11" s="27" t="str">
        <f t="shared" si="3"/>
        <v>+</v>
      </c>
      <c r="H11" s="34">
        <f t="shared" si="4"/>
        <v>30354.800000000003</v>
      </c>
      <c r="I11" s="34">
        <f t="shared" si="5"/>
        <v>30459.332015414315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>
        <v>1431.6</v>
      </c>
      <c r="E12" s="29">
        <f t="shared" si="1"/>
        <v>0.52259618894648463</v>
      </c>
      <c r="F12" s="28">
        <f t="shared" si="2"/>
        <v>27.193323547436584</v>
      </c>
      <c r="G12" s="27" t="str">
        <f t="shared" si="3"/>
        <v>+</v>
      </c>
      <c r="H12" s="34">
        <f t="shared" si="4"/>
        <v>38796.36</v>
      </c>
      <c r="I12" s="34">
        <f t="shared" si="5"/>
        <v>38929.961990510215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>
        <v>187.4</v>
      </c>
      <c r="E13" s="29">
        <f t="shared" si="1"/>
        <v>6.8409140687741843E-2</v>
      </c>
      <c r="F13" s="28">
        <f t="shared" si="2"/>
        <v>29.70193273077944</v>
      </c>
      <c r="G13" s="27" t="str">
        <f t="shared" si="3"/>
        <v>+</v>
      </c>
      <c r="H13" s="34">
        <f t="shared" si="4"/>
        <v>5547.0400000000009</v>
      </c>
      <c r="I13" s="34">
        <f t="shared" si="5"/>
        <v>5566.1421937480673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>
        <f t="shared" si="1"/>
        <v>0</v>
      </c>
      <c r="F14" s="28">
        <f t="shared" si="2"/>
        <v>33.21398558745944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>
        <f>40.9+38</f>
        <v>78.900000000000006</v>
      </c>
      <c r="E15" s="29">
        <f t="shared" si="1"/>
        <v>2.8801927429364094E-2</v>
      </c>
      <c r="F15" s="28">
        <f t="shared" si="2"/>
        <v>27.394012282104011</v>
      </c>
      <c r="G15" s="27" t="str">
        <f t="shared" si="3"/>
        <v>+</v>
      </c>
      <c r="H15" s="34">
        <f t="shared" si="4"/>
        <v>2153.9700000000003</v>
      </c>
      <c r="I15" s="34">
        <f t="shared" si="5"/>
        <v>2161.3875690580066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37.4</v>
      </c>
      <c r="D16" s="30"/>
      <c r="E16" s="29">
        <f t="shared" si="1"/>
        <v>0</v>
      </c>
      <c r="F16" s="28">
        <f t="shared" si="2"/>
        <v>37.528793382809155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</v>
      </c>
      <c r="D17" s="30">
        <v>16</v>
      </c>
      <c r="E17" s="29">
        <f t="shared" si="1"/>
        <v>5.8406950427100819E-3</v>
      </c>
      <c r="F17" s="28">
        <f t="shared" si="2"/>
        <v>55.189402033542876</v>
      </c>
      <c r="G17" s="27" t="str">
        <f t="shared" si="3"/>
        <v>+</v>
      </c>
      <c r="H17" s="34">
        <f t="shared" si="4"/>
        <v>880</v>
      </c>
      <c r="I17" s="34">
        <f t="shared" si="5"/>
        <v>883.03043253668602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48.2</v>
      </c>
      <c r="D18" s="30"/>
      <c r="E18" s="29">
        <f t="shared" si="1"/>
        <v>0</v>
      </c>
      <c r="F18" s="28">
        <f t="shared" si="2"/>
        <v>48.365985054850306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28.375618748631091</v>
      </c>
      <c r="D19" s="49">
        <f>SUM(D10:D18)</f>
        <v>2739.4</v>
      </c>
      <c r="E19" s="48">
        <f t="shared" si="1"/>
        <v>1</v>
      </c>
      <c r="F19" s="47">
        <f>I19/D19</f>
        <v>28.473335110340688</v>
      </c>
      <c r="G19" s="46">
        <f>F19/C19-1</f>
        <v>3.4436733371430162E-3</v>
      </c>
      <c r="H19" s="9">
        <f>SUM(H10:H18)</f>
        <v>77732.170000000013</v>
      </c>
      <c r="I19" s="9">
        <f>SUM(I10:I18)</f>
        <v>77999.854201267284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71.599999999999994</v>
      </c>
      <c r="D21" s="30">
        <v>28.5</v>
      </c>
      <c r="E21" s="29">
        <f>D21/$D$48</f>
        <v>1.4351175789314668E-2</v>
      </c>
      <c r="F21" s="28">
        <f>C21-(C21*$E$6)</f>
        <v>71.846567010939452</v>
      </c>
      <c r="G21" s="27" t="str">
        <f>IF(C21&gt;=F21,"-","+")</f>
        <v>+</v>
      </c>
      <c r="H21" s="26">
        <f>C21*D21</f>
        <v>2040.6</v>
      </c>
      <c r="I21" s="26">
        <f>F21*D21</f>
        <v>2047.6271598117744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58.6</v>
      </c>
      <c r="E22" s="29">
        <f>D22/$D$48</f>
        <v>2.9508031622941737E-2</v>
      </c>
      <c r="F22" s="28">
        <f>C22-(C22*$E$6)</f>
        <v>48.265640687516594</v>
      </c>
      <c r="G22" s="27" t="str">
        <f>IF(C22&gt;=F22,"-","+")</f>
        <v>+</v>
      </c>
      <c r="H22" s="26">
        <f>C22*D22</f>
        <v>2818.6600000000003</v>
      </c>
      <c r="I22" s="26">
        <f>F22*D22</f>
        <v>2828.3665442884726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43.8</v>
      </c>
      <c r="D23" s="30">
        <v>51.6</v>
      </c>
      <c r="E23" s="29">
        <f>D23/$D$48</f>
        <v>2.5983181429074978E-2</v>
      </c>
      <c r="F23" s="28">
        <f>C23-(C23*$E$6)</f>
        <v>43.950832892166872</v>
      </c>
      <c r="G23" s="27" t="str">
        <f>IF(C23&gt;=F23,"-","+")</f>
        <v>+</v>
      </c>
      <c r="H23" s="26">
        <f>C23*D23</f>
        <v>2260.08</v>
      </c>
      <c r="I23" s="26">
        <f>F23*D23</f>
        <v>2267.8629772358108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51.329055515501089</v>
      </c>
      <c r="D24" s="22">
        <f>SUM(D21:D23)</f>
        <v>138.69999999999999</v>
      </c>
      <c r="E24" s="21">
        <f>D24/$D$48</f>
        <v>6.9842388841331371E-2</v>
      </c>
      <c r="F24" s="20">
        <f>I24/D24</f>
        <v>51.505816015400562</v>
      </c>
      <c r="G24" s="19">
        <f>F24/C24-1</f>
        <v>3.4436733371432382E-3</v>
      </c>
      <c r="H24" s="18">
        <f>SUM(H21:H23)</f>
        <v>7119.34</v>
      </c>
      <c r="I24" s="18">
        <f>SUM(I21:I23)</f>
        <v>7143.8566813360576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f>22+360.6</f>
        <v>382.6</v>
      </c>
      <c r="E26" s="29">
        <f t="shared" ref="E26:E32" si="7">D26/$D$48</f>
        <v>0.19265824059620323</v>
      </c>
      <c r="F26" s="28">
        <f t="shared" ref="F26:F31" si="8">C26-(C26*$E$6)</f>
        <v>38.331548321478877</v>
      </c>
      <c r="G26" s="27" t="str">
        <f t="shared" ref="G26:G31" si="9">IF(C26&gt;=F26,"-","+")</f>
        <v>+</v>
      </c>
      <c r="H26" s="26">
        <f t="shared" ref="H26:H31" si="10">C26*D26</f>
        <v>14615.320000000002</v>
      </c>
      <c r="I26" s="26">
        <f t="shared" ref="I26:I31" si="11">F26*D26</f>
        <v>14665.650387797819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</v>
      </c>
      <c r="D27" s="30">
        <v>291.8</v>
      </c>
      <c r="E27" s="29">
        <f t="shared" si="7"/>
        <v>0.14693589808147439</v>
      </c>
      <c r="F27" s="28">
        <f t="shared" si="8"/>
        <v>34.117084893462874</v>
      </c>
      <c r="G27" s="27" t="str">
        <f t="shared" si="9"/>
        <v>+</v>
      </c>
      <c r="H27" s="26">
        <f t="shared" si="10"/>
        <v>9921.2000000000007</v>
      </c>
      <c r="I27" s="26">
        <f t="shared" si="11"/>
        <v>9955.3653719124668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</v>
      </c>
      <c r="D28" s="30">
        <v>207.1</v>
      </c>
      <c r="E28" s="29">
        <f t="shared" si="7"/>
        <v>0.10428521073568658</v>
      </c>
      <c r="F28" s="28">
        <f t="shared" si="8"/>
        <v>34.117084893462874</v>
      </c>
      <c r="G28" s="27" t="str">
        <f t="shared" si="9"/>
        <v>+</v>
      </c>
      <c r="H28" s="26">
        <f t="shared" si="10"/>
        <v>7041.4</v>
      </c>
      <c r="I28" s="26">
        <f t="shared" si="11"/>
        <v>7065.6482814361607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164.9</v>
      </c>
      <c r="E29" s="29">
        <f t="shared" si="7"/>
        <v>8.3035399566946971E-2</v>
      </c>
      <c r="F29" s="28">
        <f t="shared" si="8"/>
        <v>33.01329685279201</v>
      </c>
      <c r="G29" s="27" t="str">
        <f t="shared" si="9"/>
        <v>+</v>
      </c>
      <c r="H29" s="26">
        <f t="shared" si="10"/>
        <v>5425.21</v>
      </c>
      <c r="I29" s="26">
        <f t="shared" si="11"/>
        <v>5443.8926510254023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167.7</v>
      </c>
      <c r="E30" s="29">
        <f t="shared" si="7"/>
        <v>8.4445339644493675E-2</v>
      </c>
      <c r="F30" s="28">
        <f t="shared" si="8"/>
        <v>33.01329685279201</v>
      </c>
      <c r="G30" s="27" t="str">
        <f t="shared" si="9"/>
        <v>+</v>
      </c>
      <c r="H30" s="26">
        <f t="shared" si="10"/>
        <v>5517.329999999999</v>
      </c>
      <c r="I30" s="26">
        <f t="shared" si="11"/>
        <v>5536.3298822132201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33.4</v>
      </c>
      <c r="D31" s="30"/>
      <c r="E31" s="29">
        <f t="shared" si="7"/>
        <v>0</v>
      </c>
      <c r="F31" s="28">
        <f t="shared" si="8"/>
        <v>33.515018689460582</v>
      </c>
      <c r="G31" s="27" t="str">
        <f t="shared" si="9"/>
        <v>+</v>
      </c>
      <c r="H31" s="26">
        <f t="shared" si="10"/>
        <v>0</v>
      </c>
      <c r="I31" s="26">
        <f t="shared" si="11"/>
        <v>0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35.022205749114569</v>
      </c>
      <c r="D32" s="22">
        <f>SUM(D26:D31)</f>
        <v>1214.1000000000001</v>
      </c>
      <c r="E32" s="21">
        <f t="shared" si="7"/>
        <v>0.61136008862480495</v>
      </c>
      <c r="F32" s="20">
        <f>I32/D32</f>
        <v>35.142810785260743</v>
      </c>
      <c r="G32" s="19">
        <f>F32/C32-1</f>
        <v>3.4436733371432382E-3</v>
      </c>
      <c r="H32" s="18">
        <f>SUM(H26:H31)</f>
        <v>42520.460000000006</v>
      </c>
      <c r="I32" s="18">
        <f>SUM(I26:I31)</f>
        <v>42666.886574385069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321.60000000000002</v>
      </c>
      <c r="E34" s="29">
        <f t="shared" ref="E34:E40" si="13">D34/$D$48</f>
        <v>0.16194168890679289</v>
      </c>
      <c r="F34" s="28">
        <f t="shared" ref="F34:F39" si="14">C34-(C34*$E$6)</f>
        <v>20.16921783407658</v>
      </c>
      <c r="G34" s="27" t="str">
        <f t="shared" ref="G34:G39" si="15">IF(C34&gt;=F34,"-","+")</f>
        <v>+</v>
      </c>
      <c r="H34" s="26">
        <f t="shared" ref="H34:H39" si="16">C34*D34</f>
        <v>6464.1600000000008</v>
      </c>
      <c r="I34" s="26">
        <f t="shared" ref="I34:I39" si="17">F34*D34</f>
        <v>6486.420455439029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15.553376936725719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12.442701549380576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33.01329685279201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33.01329685279201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</v>
      </c>
      <c r="D39" s="30"/>
      <c r="E39" s="29">
        <f t="shared" si="13"/>
        <v>0</v>
      </c>
      <c r="F39" s="28">
        <f t="shared" si="14"/>
        <v>34.117084893462874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321.60000000000002</v>
      </c>
      <c r="E40" s="21">
        <f t="shared" si="13"/>
        <v>0.16194168890679289</v>
      </c>
      <c r="F40" s="20">
        <f>I40/D40</f>
        <v>20.16921783407658</v>
      </c>
      <c r="G40" s="19">
        <f>F40/C40-1</f>
        <v>3.4436733371432382E-3</v>
      </c>
      <c r="H40" s="18">
        <f>SUM(H34:H39)</f>
        <v>6464.1600000000008</v>
      </c>
      <c r="I40" s="18">
        <f>SUM(I34:I39)</f>
        <v>6486.420455439029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276</v>
      </c>
      <c r="E42" s="107">
        <f>D42/$D$48</f>
        <v>0.13897980764388942</v>
      </c>
      <c r="F42" s="28">
        <f>C42-(C42*$E$6)</f>
        <v>0.50172183666857162</v>
      </c>
      <c r="G42" s="27" t="str">
        <f>IF(C42&gt;=F42,"-","+")</f>
        <v>+</v>
      </c>
      <c r="H42" s="26">
        <f>C42*D42</f>
        <v>138</v>
      </c>
      <c r="I42" s="26">
        <f>F42*D42</f>
        <v>138.47522692052576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15.6</v>
      </c>
      <c r="E43" s="107">
        <f>D43/$D$48</f>
        <v>7.8553804320459237E-3</v>
      </c>
      <c r="F43" s="28">
        <f>C43-(C43*$E$6)</f>
        <v>0.50172183666857162</v>
      </c>
      <c r="G43" s="27" t="str">
        <f>IF(C43&gt;=F43,"-","+")</f>
        <v>+</v>
      </c>
      <c r="H43" s="26">
        <f>C43*D43</f>
        <v>7.8</v>
      </c>
      <c r="I43" s="26">
        <f>F43*D43</f>
        <v>7.8268606520297173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15.4</v>
      </c>
      <c r="E44" s="107">
        <f>D44/$D$48</f>
        <v>7.7546704265068732E-3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4.5</v>
      </c>
      <c r="E45" s="107">
        <f>D45/$D$48</f>
        <v>2.2659751246286316E-3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0.46805778491171751</v>
      </c>
      <c r="D46" s="22">
        <f>SUM(D41:D45)</f>
        <v>311.5</v>
      </c>
      <c r="E46" s="113">
        <f>D46/$D$48</f>
        <v>0.15685583362707084</v>
      </c>
      <c r="F46" s="20">
        <f>I46/D46</f>
        <v>0.46966962302586029</v>
      </c>
      <c r="G46" s="19">
        <f>F46/C46-1</f>
        <v>3.4436733371432382E-3</v>
      </c>
      <c r="H46" s="18">
        <f>SUM(H41:H44)</f>
        <v>145.80000000000001</v>
      </c>
      <c r="I46" s="18">
        <f>SUM(I41:I44)</f>
        <v>146.30208757255548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106.91931904952737</v>
      </c>
      <c r="D48" s="13">
        <f>D24+D32+D40+D46</f>
        <v>1985.9</v>
      </c>
      <c r="E48" s="12">
        <f>SUM(E20:E46)/2</f>
        <v>1</v>
      </c>
      <c r="F48" s="11">
        <f>I48/D48</f>
        <v>28.422108766167835</v>
      </c>
      <c r="G48" s="10"/>
      <c r="H48" s="9">
        <f>SUM(H20:H46)/2</f>
        <v>56249.760000000009</v>
      </c>
      <c r="I48" s="9">
        <f>SUM(I20:I46)/2</f>
        <v>56443.465798732708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4725.3000000000011</v>
      </c>
      <c r="E50" s="12">
        <f>D50/G2</f>
        <v>0.99993651599796862</v>
      </c>
      <c r="F50" s="11">
        <f>I50/D50</f>
        <v>28.451806234524788</v>
      </c>
      <c r="G50" s="10"/>
      <c r="H50" s="9">
        <f>H48+H19</f>
        <v>133981.93000000002</v>
      </c>
      <c r="I50" s="9">
        <f>I48+I19</f>
        <v>134443.32</v>
      </c>
      <c r="J50" s="106">
        <f>D50-G2</f>
        <v>-0.2999999999992724</v>
      </c>
      <c r="K50" s="8"/>
    </row>
    <row r="51" spans="1:11" ht="23.25" x14ac:dyDescent="0.35">
      <c r="A51" s="174" t="s">
        <v>947</v>
      </c>
      <c r="B51" s="169"/>
      <c r="C51" s="170"/>
      <c r="G51" s="7"/>
      <c r="H51" s="6"/>
      <c r="I51" s="6">
        <f>+I50/D50</f>
        <v>28.451806234524788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948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948</v>
      </c>
      <c r="D2" s="96" t="s">
        <v>3</v>
      </c>
      <c r="E2" s="95" t="s">
        <v>362</v>
      </c>
      <c r="F2" s="94" t="s">
        <v>5</v>
      </c>
      <c r="G2" s="93">
        <v>20255.599999999999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255</v>
      </c>
      <c r="F3" s="88" t="s">
        <v>8</v>
      </c>
      <c r="G3" s="87">
        <v>27.25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79.433725490196068</v>
      </c>
      <c r="F4" s="81" t="s">
        <v>12</v>
      </c>
      <c r="G4" s="80">
        <f>G2*G3</f>
        <v>551965.1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5.0299995212303994E-3</v>
      </c>
      <c r="F6" s="69" t="s">
        <v>16</v>
      </c>
      <c r="G6" s="68">
        <f>(I50-I19)/(D50-(SUM(D42:D44)+D19))</f>
        <v>32.003123426023556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27.3</v>
      </c>
      <c r="D10" s="30"/>
      <c r="E10" s="29">
        <f t="shared" ref="E10:E19" si="1">D10/$D$19</f>
        <v>0</v>
      </c>
      <c r="F10" s="28">
        <f t="shared" ref="F10:F18" si="2">C10-(C10*$E$6)</f>
        <v>27.162681013070411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28.4</v>
      </c>
      <c r="D11" s="30"/>
      <c r="E11" s="29">
        <f t="shared" si="1"/>
        <v>0</v>
      </c>
      <c r="F11" s="28">
        <f t="shared" si="2"/>
        <v>28.257148013597057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25.9</v>
      </c>
      <c r="D12" s="30">
        <v>191.4</v>
      </c>
      <c r="E12" s="29">
        <f t="shared" si="1"/>
        <v>0.54514383366562236</v>
      </c>
      <c r="F12" s="28">
        <f t="shared" si="2"/>
        <v>25.769723012400132</v>
      </c>
      <c r="G12" s="27" t="str">
        <f t="shared" si="3"/>
        <v>-</v>
      </c>
      <c r="H12" s="34">
        <f t="shared" si="4"/>
        <v>4957.26</v>
      </c>
      <c r="I12" s="34">
        <f t="shared" si="5"/>
        <v>4932.3249845733853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28.4</v>
      </c>
      <c r="D13" s="30"/>
      <c r="E13" s="29">
        <f t="shared" si="1"/>
        <v>0</v>
      </c>
      <c r="F13" s="28">
        <f t="shared" si="2"/>
        <v>28.257148013597057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31.7</v>
      </c>
      <c r="D14" s="30"/>
      <c r="E14" s="29">
        <f t="shared" si="1"/>
        <v>0</v>
      </c>
      <c r="F14" s="28">
        <f t="shared" si="2"/>
        <v>31.540549015176996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26.2</v>
      </c>
      <c r="D15" s="30">
        <v>130</v>
      </c>
      <c r="E15" s="29">
        <f t="shared" si="1"/>
        <v>0.37026488180005701</v>
      </c>
      <c r="F15" s="28">
        <f t="shared" si="2"/>
        <v>26.068214012543763</v>
      </c>
      <c r="G15" s="27" t="str">
        <f t="shared" si="3"/>
        <v>-</v>
      </c>
      <c r="H15" s="34">
        <f t="shared" si="4"/>
        <v>3406</v>
      </c>
      <c r="I15" s="34">
        <f t="shared" si="5"/>
        <v>3388.8678216306889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35.799999999999997</v>
      </c>
      <c r="D16" s="30">
        <v>11.7</v>
      </c>
      <c r="E16" s="29">
        <f t="shared" si="1"/>
        <v>3.3323839362005128E-2</v>
      </c>
      <c r="F16" s="28">
        <f t="shared" si="2"/>
        <v>35.619926017139946</v>
      </c>
      <c r="G16" s="27" t="str">
        <f t="shared" si="3"/>
        <v>-</v>
      </c>
      <c r="H16" s="34">
        <f t="shared" si="4"/>
        <v>418.85999999999996</v>
      </c>
      <c r="I16" s="34">
        <f t="shared" si="5"/>
        <v>416.75313440053736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52.7</v>
      </c>
      <c r="D17" s="30">
        <v>18</v>
      </c>
      <c r="E17" s="29">
        <f t="shared" si="1"/>
        <v>5.1267445172315587E-2</v>
      </c>
      <c r="F17" s="28">
        <f t="shared" si="2"/>
        <v>52.43491902523116</v>
      </c>
      <c r="G17" s="27" t="str">
        <f t="shared" si="3"/>
        <v>-</v>
      </c>
      <c r="H17" s="34">
        <f t="shared" si="4"/>
        <v>948.6</v>
      </c>
      <c r="I17" s="34">
        <f t="shared" si="5"/>
        <v>943.82854245416092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46.2</v>
      </c>
      <c r="D18" s="30"/>
      <c r="E18" s="29">
        <f t="shared" si="1"/>
        <v>0</v>
      </c>
      <c r="F18" s="28">
        <f t="shared" si="2"/>
        <v>45.967614022119157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27.714953004841931</v>
      </c>
      <c r="D19" s="49">
        <f>SUM(D10:D18)</f>
        <v>351.09999999999997</v>
      </c>
      <c r="E19" s="48">
        <f t="shared" si="1"/>
        <v>1</v>
      </c>
      <c r="F19" s="47">
        <f>I19/D19</f>
        <v>27.57554680449665</v>
      </c>
      <c r="G19" s="46">
        <f>F19/C19-1</f>
        <v>-5.0299995212305104E-3</v>
      </c>
      <c r="H19" s="9">
        <f>SUM(H10:H18)</f>
        <v>9730.7200000000012</v>
      </c>
      <c r="I19" s="9">
        <f>SUM(I10:I18)</f>
        <v>9681.7744830587726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68.5</v>
      </c>
      <c r="D21" s="30">
        <v>232.3</v>
      </c>
      <c r="E21" s="29">
        <f>D21/$D$48</f>
        <v>1.1670727724886332E-2</v>
      </c>
      <c r="F21" s="28">
        <f>C21-(C21*$E$6)</f>
        <v>68.155445032795711</v>
      </c>
      <c r="G21" s="27" t="str">
        <f>IF(C21&gt;=F21,"-","+")</f>
        <v>-</v>
      </c>
      <c r="H21" s="26">
        <f>C21*D21</f>
        <v>15912.550000000001</v>
      </c>
      <c r="I21" s="26">
        <f>F21*D21</f>
        <v>15832.509881118445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</v>
      </c>
      <c r="D22" s="30">
        <v>613</v>
      </c>
      <c r="E22" s="29">
        <f>D22/$D$48</f>
        <v>3.079705594212364E-2</v>
      </c>
      <c r="F22" s="28">
        <f>C22-(C22*$E$6)</f>
        <v>45.768620022023399</v>
      </c>
      <c r="G22" s="27" t="str">
        <f>IF(C22&gt;=F22,"-","+")</f>
        <v>-</v>
      </c>
      <c r="H22" s="26">
        <f>C22*D22</f>
        <v>28198</v>
      </c>
      <c r="I22" s="26">
        <f>F22*D22</f>
        <v>28056.164073500342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</v>
      </c>
      <c r="D23" s="30">
        <v>467.3</v>
      </c>
      <c r="E23" s="29">
        <f>D23/$D$48</f>
        <v>2.3477103167625413E-2</v>
      </c>
      <c r="F23" s="28">
        <f>C23-(C23*$E$6)</f>
        <v>41.788740020108321</v>
      </c>
      <c r="G23" s="27" t="str">
        <f>IF(C23&gt;=F23,"-","+")</f>
        <v>-</v>
      </c>
      <c r="H23" s="26">
        <f>C23*D23</f>
        <v>19626.600000000002</v>
      </c>
      <c r="I23" s="26">
        <f>F23*D23</f>
        <v>19527.878211396619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48.557938442785321</v>
      </c>
      <c r="D24" s="22">
        <f>SUM(D21:D23)</f>
        <v>1312.6</v>
      </c>
      <c r="E24" s="21">
        <f>D24/$D$48</f>
        <v>6.5944886834635383E-2</v>
      </c>
      <c r="F24" s="20">
        <f>I24/D24</f>
        <v>48.313692035666165</v>
      </c>
      <c r="G24" s="19">
        <f>F24/C24-1</f>
        <v>-5.0299995212306214E-3</v>
      </c>
      <c r="H24" s="18">
        <f>SUM(H21:H23)</f>
        <v>63737.150000000009</v>
      </c>
      <c r="I24" s="18">
        <f>SUM(I21:I23)</f>
        <v>63416.552166015405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36.6</v>
      </c>
      <c r="D26" s="30">
        <f>53+700.7+313.9+2699.2</f>
        <v>3766.7999999999997</v>
      </c>
      <c r="E26" s="29">
        <f t="shared" ref="E26:E32" si="7">D26/$D$48</f>
        <v>0.18924363837323216</v>
      </c>
      <c r="F26" s="28">
        <f t="shared" ref="F26:F31" si="8">C26-(C26*$E$6)</f>
        <v>36.415902017522967</v>
      </c>
      <c r="G26" s="27" t="str">
        <f t="shared" ref="G26:G31" si="9">IF(C26&gt;=F26,"-","+")</f>
        <v>-</v>
      </c>
      <c r="H26" s="26">
        <f t="shared" ref="H26:H31" si="10">C26*D26</f>
        <v>137864.88</v>
      </c>
      <c r="I26" s="26">
        <f t="shared" ref="I26:I31" si="11">F26*D26</f>
        <v>137171.4197196055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32.6</v>
      </c>
      <c r="D27" s="30">
        <v>2949.7</v>
      </c>
      <c r="E27" s="29">
        <f t="shared" si="7"/>
        <v>0.14819261975935089</v>
      </c>
      <c r="F27" s="28">
        <f t="shared" si="8"/>
        <v>32.43602201560789</v>
      </c>
      <c r="G27" s="27" t="str">
        <f t="shared" si="9"/>
        <v>-</v>
      </c>
      <c r="H27" s="26">
        <f t="shared" si="10"/>
        <v>96160.22</v>
      </c>
      <c r="I27" s="26">
        <f t="shared" si="11"/>
        <v>95676.534139438591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32.6</v>
      </c>
      <c r="D28" s="30">
        <v>2010.6</v>
      </c>
      <c r="E28" s="29">
        <f t="shared" si="7"/>
        <v>0.1010123338943455</v>
      </c>
      <c r="F28" s="28">
        <f t="shared" si="8"/>
        <v>32.43602201560789</v>
      </c>
      <c r="G28" s="27" t="str">
        <f t="shared" si="9"/>
        <v>-</v>
      </c>
      <c r="H28" s="26">
        <f t="shared" si="10"/>
        <v>65545.56</v>
      </c>
      <c r="I28" s="26">
        <f t="shared" si="11"/>
        <v>65215.865864581217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31.5</v>
      </c>
      <c r="D29" s="30">
        <v>2039.1</v>
      </c>
      <c r="E29" s="29">
        <f t="shared" si="7"/>
        <v>0.1024441709161245</v>
      </c>
      <c r="F29" s="28">
        <f t="shared" si="8"/>
        <v>31.341555015081241</v>
      </c>
      <c r="G29" s="27" t="str">
        <f t="shared" si="9"/>
        <v>-</v>
      </c>
      <c r="H29" s="26">
        <f t="shared" si="10"/>
        <v>64231.649999999994</v>
      </c>
      <c r="I29" s="26">
        <f t="shared" si="11"/>
        <v>63908.564831252152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31.5</v>
      </c>
      <c r="D30" s="30">
        <v>1314</v>
      </c>
      <c r="E30" s="29">
        <f t="shared" si="7"/>
        <v>6.6015222688336803E-2</v>
      </c>
      <c r="F30" s="28">
        <f t="shared" si="8"/>
        <v>31.341555015081241</v>
      </c>
      <c r="G30" s="27" t="str">
        <f t="shared" si="9"/>
        <v>-</v>
      </c>
      <c r="H30" s="26">
        <f t="shared" si="10"/>
        <v>41391</v>
      </c>
      <c r="I30" s="26">
        <f t="shared" si="11"/>
        <v>41182.803289816751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</v>
      </c>
      <c r="D31" s="30">
        <f>228.6+284.7</f>
        <v>513.29999999999995</v>
      </c>
      <c r="E31" s="29">
        <f t="shared" si="7"/>
        <v>2.5788138360672206E-2</v>
      </c>
      <c r="F31" s="28">
        <f t="shared" si="8"/>
        <v>31.839040015320627</v>
      </c>
      <c r="G31" s="27" t="str">
        <f t="shared" si="9"/>
        <v>-</v>
      </c>
      <c r="H31" s="26">
        <f t="shared" si="10"/>
        <v>16425.599999999999</v>
      </c>
      <c r="I31" s="26">
        <f t="shared" si="11"/>
        <v>16342.979239864077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33.47908921268909</v>
      </c>
      <c r="D32" s="22">
        <f>SUM(D26:D31)</f>
        <v>12593.5</v>
      </c>
      <c r="E32" s="21">
        <f t="shared" si="7"/>
        <v>0.6326961239920621</v>
      </c>
      <c r="F32" s="20">
        <f>I32/D32</f>
        <v>33.310689409978032</v>
      </c>
      <c r="G32" s="19">
        <f>F32/C32-1</f>
        <v>-5.0299995212303994E-3</v>
      </c>
      <c r="H32" s="18">
        <f>SUM(H26:H31)</f>
        <v>421618.91000000003</v>
      </c>
      <c r="I32" s="18">
        <f>SUM(I26:I31)</f>
        <v>419498.16708455834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</v>
      </c>
      <c r="D34" s="30">
        <v>3030.6</v>
      </c>
      <c r="E34" s="29">
        <f t="shared" ref="E34:E40" si="13">D34/$D$48</f>
        <v>0.15225702730538321</v>
      </c>
      <c r="F34" s="28">
        <f t="shared" ref="F34:F39" si="14">C34-(C34*$E$6)</f>
        <v>19.202921009240253</v>
      </c>
      <c r="G34" s="27" t="str">
        <f t="shared" ref="G34:G39" si="15">IF(C34&gt;=F34,"-","+")</f>
        <v>-</v>
      </c>
      <c r="H34" s="26">
        <f t="shared" ref="H34:H39" si="16">C34*D34</f>
        <v>58490.58</v>
      </c>
      <c r="I34" s="26">
        <f t="shared" ref="I34:I39" si="17">F34*D34</f>
        <v>58196.372410603508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/>
      <c r="E35" s="29">
        <f t="shared" si="13"/>
        <v>0</v>
      </c>
      <c r="F35" s="28">
        <f t="shared" si="14"/>
        <v>14.725556007085791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11.840143005697358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31.5</v>
      </c>
      <c r="D37" s="30"/>
      <c r="E37" s="29">
        <f t="shared" si="13"/>
        <v>0</v>
      </c>
      <c r="F37" s="28">
        <f t="shared" si="14"/>
        <v>31.341555015081241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31.5</v>
      </c>
      <c r="D38" s="30"/>
      <c r="E38" s="29">
        <f t="shared" si="13"/>
        <v>0</v>
      </c>
      <c r="F38" s="28">
        <f t="shared" si="14"/>
        <v>31.341555015081241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32.6</v>
      </c>
      <c r="D39" s="30"/>
      <c r="E39" s="29">
        <f t="shared" si="13"/>
        <v>0</v>
      </c>
      <c r="F39" s="28">
        <f t="shared" si="14"/>
        <v>32.43602201560789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</v>
      </c>
      <c r="D40" s="22">
        <f>SUM(D34:D39)</f>
        <v>3030.6</v>
      </c>
      <c r="E40" s="113">
        <f t="shared" si="13"/>
        <v>0.15225702730538321</v>
      </c>
      <c r="F40" s="20">
        <f>I40/D40</f>
        <v>19.202921009240253</v>
      </c>
      <c r="G40" s="19">
        <f>F40/C40-1</f>
        <v>-5.0299995212305104E-3</v>
      </c>
      <c r="H40" s="18">
        <f>SUM(H34:H39)</f>
        <v>58490.58</v>
      </c>
      <c r="I40" s="18">
        <f>SUM(I34:I39)</f>
        <v>58196.372410603508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2810</v>
      </c>
      <c r="E42" s="107">
        <f>D42/$D$48</f>
        <v>0.14117410635785876</v>
      </c>
      <c r="F42" s="28">
        <f>C42-(C42*$E$6)</f>
        <v>0.39798800019150787</v>
      </c>
      <c r="G42" s="27" t="str">
        <f>IF(C42&gt;=F42,"-","+")</f>
        <v>-</v>
      </c>
      <c r="H42" s="26">
        <f>C42*D42</f>
        <v>1124</v>
      </c>
      <c r="I42" s="26">
        <f>F42*D42</f>
        <v>1118.3462805381371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135.4</v>
      </c>
      <c r="E43" s="107">
        <f>D43/$D$48</f>
        <v>6.8024818508377509E-3</v>
      </c>
      <c r="F43" s="28">
        <f>C43-(C43*$E$6)</f>
        <v>0.39798800019150787</v>
      </c>
      <c r="G43" s="27" t="str">
        <f>IF(C43&gt;=F43,"-","+")</f>
        <v>-</v>
      </c>
      <c r="H43" s="26">
        <f>C43*D43</f>
        <v>54.160000000000004</v>
      </c>
      <c r="I43" s="26">
        <f>F43*D43</f>
        <v>53.887575225930171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14.4</v>
      </c>
      <c r="E44" s="107">
        <f>D44/$D$48</f>
        <v>7.2345449521465E-4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4.0191916400813887E-4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0.39698092863400497</v>
      </c>
      <c r="D46" s="22">
        <f>SUM(D41:D45)</f>
        <v>2967.8</v>
      </c>
      <c r="E46" s="113">
        <f>D46/$D$48</f>
        <v>0.14910196186791932</v>
      </c>
      <c r="F46" s="20">
        <f>I46/D46</f>
        <v>0.39498411475303835</v>
      </c>
      <c r="G46" s="19">
        <f>F46/C46-1</f>
        <v>-5.0299995212302884E-3</v>
      </c>
      <c r="H46" s="18">
        <f>SUM(H41:H44)</f>
        <v>1178.1600000000001</v>
      </c>
      <c r="I46" s="18">
        <f>SUM(I41:I44)</f>
        <v>1172.2338557640674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101.73400858410842</v>
      </c>
      <c r="D48" s="13">
        <f>D24+D32+D40+D46</f>
        <v>19904.5</v>
      </c>
      <c r="E48" s="12">
        <f>SUM(E20:E46)/2</f>
        <v>0.99999999999999978</v>
      </c>
      <c r="F48" s="11">
        <f>I48/D48</f>
        <v>27.244257605915315</v>
      </c>
      <c r="G48" s="10"/>
      <c r="H48" s="9">
        <f>SUM(H20:H46)/2</f>
        <v>545024.79999999993</v>
      </c>
      <c r="I48" s="9">
        <f>SUM(I20:I46)/2</f>
        <v>542283.32551694138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20255.600000000002</v>
      </c>
      <c r="E50" s="12">
        <f>D50/G2</f>
        <v>1.0000000000000002</v>
      </c>
      <c r="F50" s="11">
        <f>I50/D50</f>
        <v>27.25</v>
      </c>
      <c r="G50" s="10"/>
      <c r="H50" s="9">
        <f>H48+H19</f>
        <v>554755.5199999999</v>
      </c>
      <c r="I50" s="9">
        <f>I48+I19</f>
        <v>551965.10000000009</v>
      </c>
      <c r="J50" s="106">
        <f>D50-G2</f>
        <v>0</v>
      </c>
      <c r="K50" s="8"/>
    </row>
    <row r="51" spans="1:11" ht="23.25" x14ac:dyDescent="0.35">
      <c r="A51" s="174" t="s">
        <v>949</v>
      </c>
      <c r="B51" s="169"/>
      <c r="C51" s="170"/>
      <c r="G51" s="7"/>
      <c r="H51" s="6"/>
      <c r="I51" s="6">
        <f>+I50/D50</f>
        <v>27.25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948</v>
      </c>
      <c r="D1" s="100" t="s">
        <v>1</v>
      </c>
      <c r="E1" s="168" t="s">
        <v>69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948</v>
      </c>
      <c r="D2" s="96" t="s">
        <v>3</v>
      </c>
      <c r="E2" s="95" t="s">
        <v>362</v>
      </c>
      <c r="F2" s="94" t="s">
        <v>5</v>
      </c>
      <c r="G2" s="93">
        <v>2177.1999999999998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72</v>
      </c>
      <c r="D3" s="90" t="s">
        <v>7</v>
      </c>
      <c r="E3" s="89">
        <v>29</v>
      </c>
      <c r="F3" s="88" t="s">
        <v>8</v>
      </c>
      <c r="G3" s="87">
        <v>27.25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75.075862068965506</v>
      </c>
      <c r="F4" s="81" t="s">
        <v>12</v>
      </c>
      <c r="G4" s="80">
        <f>G2*G3</f>
        <v>59328.7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9.2290838466402292E-3</v>
      </c>
      <c r="F6" s="69" t="s">
        <v>16</v>
      </c>
      <c r="G6" s="68">
        <f>(I50-I19)/(D50-(SUM(D42:D44)+D19))</f>
        <v>32.033205550456238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27.3</v>
      </c>
      <c r="D10" s="30"/>
      <c r="E10" s="29" t="e">
        <f t="shared" ref="E10:E19" si="1">D10/$D$19</f>
        <v>#DIV/0!</v>
      </c>
      <c r="F10" s="28">
        <f t="shared" ref="F10:F18" si="2">C10-(C10*$E$6)</f>
        <v>27.048046010986724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28.4</v>
      </c>
      <c r="D11" s="30"/>
      <c r="E11" s="29" t="e">
        <f t="shared" si="1"/>
        <v>#DIV/0!</v>
      </c>
      <c r="F11" s="28">
        <f t="shared" si="2"/>
        <v>28.137894018755418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25.9</v>
      </c>
      <c r="D12" s="30"/>
      <c r="E12" s="29" t="e">
        <f t="shared" si="1"/>
        <v>#DIV/0!</v>
      </c>
      <c r="F12" s="28">
        <f t="shared" si="2"/>
        <v>25.660966728372017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28.4</v>
      </c>
      <c r="D13" s="30"/>
      <c r="E13" s="29" t="e">
        <f t="shared" si="1"/>
        <v>#DIV/0!</v>
      </c>
      <c r="F13" s="28">
        <f t="shared" si="2"/>
        <v>28.137894018755418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31.7</v>
      </c>
      <c r="D14" s="30"/>
      <c r="E14" s="29" t="e">
        <f t="shared" si="1"/>
        <v>#DIV/0!</v>
      </c>
      <c r="F14" s="28">
        <f t="shared" si="2"/>
        <v>31.407438042061504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26.2</v>
      </c>
      <c r="D15" s="30"/>
      <c r="E15" s="29" t="e">
        <f t="shared" si="1"/>
        <v>#DIV/0!</v>
      </c>
      <c r="F15" s="28">
        <f t="shared" si="2"/>
        <v>25.958198003218026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35.799999999999997</v>
      </c>
      <c r="D16" s="30"/>
      <c r="E16" s="29" t="e">
        <f t="shared" si="1"/>
        <v>#DIV/0!</v>
      </c>
      <c r="F16" s="28">
        <f t="shared" si="2"/>
        <v>35.469598798290278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52.7</v>
      </c>
      <c r="D17" s="30"/>
      <c r="E17" s="29" t="e">
        <f t="shared" si="1"/>
        <v>#DIV/0!</v>
      </c>
      <c r="F17" s="28">
        <f t="shared" si="2"/>
        <v>52.213627281282065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46.2</v>
      </c>
      <c r="D18" s="30"/>
      <c r="E18" s="29" t="e">
        <f t="shared" si="1"/>
        <v>#DIV/0!</v>
      </c>
      <c r="F18" s="28">
        <f t="shared" si="2"/>
        <v>45.773616326285222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68.5</v>
      </c>
      <c r="D21" s="30">
        <v>32.1</v>
      </c>
      <c r="E21" s="29">
        <f>D21/$D$48</f>
        <v>1.4743707514238473E-2</v>
      </c>
      <c r="F21" s="28">
        <f>C21-(C21*$E$6)</f>
        <v>67.867807756505144</v>
      </c>
      <c r="G21" s="27" t="str">
        <f>IF(C21&gt;=F21,"-","+")</f>
        <v>-</v>
      </c>
      <c r="H21" s="26">
        <f>C21*D21</f>
        <v>2198.85</v>
      </c>
      <c r="I21" s="26">
        <f>F21*D21</f>
        <v>2178.5566289838152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</v>
      </c>
      <c r="D22" s="30">
        <v>55</v>
      </c>
      <c r="E22" s="29">
        <f>D22/$D$48</f>
        <v>2.5261804152121994E-2</v>
      </c>
      <c r="F22" s="28">
        <f>C22-(C22*$E$6)</f>
        <v>45.575462143054551</v>
      </c>
      <c r="G22" s="27" t="str">
        <f>IF(C22&gt;=F22,"-","+")</f>
        <v>-</v>
      </c>
      <c r="H22" s="26">
        <f>C22*D22</f>
        <v>2530</v>
      </c>
      <c r="I22" s="26">
        <f>F22*D22</f>
        <v>2506.6504178680002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</v>
      </c>
      <c r="D23" s="30">
        <v>63.1</v>
      </c>
      <c r="E23" s="29">
        <f>D23/$D$48</f>
        <v>2.8982178945434506E-2</v>
      </c>
      <c r="F23" s="28">
        <f>C23-(C23*$E$6)</f>
        <v>41.612378478441109</v>
      </c>
      <c r="G23" s="27" t="str">
        <f>IF(C23&gt;=F23,"-","+")</f>
        <v>-</v>
      </c>
      <c r="H23" s="26">
        <f>C23*D23</f>
        <v>2650.2000000000003</v>
      </c>
      <c r="I23" s="26">
        <f>F23*D23</f>
        <v>2625.741081989634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49.12816245006659</v>
      </c>
      <c r="D24" s="22">
        <f>SUM(D21:D23)</f>
        <v>150.19999999999999</v>
      </c>
      <c r="E24" s="21">
        <f>D24/$D$48</f>
        <v>6.8987690611794966E-2</v>
      </c>
      <c r="F24" s="20">
        <f>I24/D24</f>
        <v>48.674754519583558</v>
      </c>
      <c r="G24" s="19">
        <f>F24/C24-1</f>
        <v>-9.2290838466403402E-3</v>
      </c>
      <c r="H24" s="18">
        <f>SUM(H21:H23)</f>
        <v>7379.0500000000011</v>
      </c>
      <c r="I24" s="18">
        <f>SUM(I21:I23)</f>
        <v>7310.9481288414499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36.6</v>
      </c>
      <c r="D26" s="30">
        <v>504</v>
      </c>
      <c r="E26" s="29">
        <f t="shared" ref="E26:E32" si="7">D26/$D$48</f>
        <v>0.23148998713944519</v>
      </c>
      <c r="F26" s="28">
        <f t="shared" ref="F26:F31" si="8">C26-(C26*$E$6)</f>
        <v>36.262215531212966</v>
      </c>
      <c r="G26" s="27" t="str">
        <f t="shared" ref="G26:G31" si="9">IF(C26&gt;=F26,"-","+")</f>
        <v>-</v>
      </c>
      <c r="H26" s="26">
        <f t="shared" ref="H26:H31" si="10">C26*D26</f>
        <v>18446.400000000001</v>
      </c>
      <c r="I26" s="26">
        <f t="shared" ref="I26:I31" si="11">F26*D26</f>
        <v>18276.156627731336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32.6</v>
      </c>
      <c r="D27" s="30">
        <v>284.3</v>
      </c>
      <c r="E27" s="29">
        <f t="shared" si="7"/>
        <v>0.13058056218996877</v>
      </c>
      <c r="F27" s="28">
        <f t="shared" si="8"/>
        <v>32.299131866599531</v>
      </c>
      <c r="G27" s="27" t="str">
        <f t="shared" si="9"/>
        <v>-</v>
      </c>
      <c r="H27" s="26">
        <f t="shared" si="10"/>
        <v>9268.18</v>
      </c>
      <c r="I27" s="26">
        <f t="shared" si="11"/>
        <v>9182.643189674247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32.6</v>
      </c>
      <c r="D28" s="30">
        <v>166.2</v>
      </c>
      <c r="E28" s="29">
        <f t="shared" si="7"/>
        <v>7.6336579092412274E-2</v>
      </c>
      <c r="F28" s="28">
        <f t="shared" si="8"/>
        <v>32.299131866599531</v>
      </c>
      <c r="G28" s="27" t="str">
        <f t="shared" si="9"/>
        <v>-</v>
      </c>
      <c r="H28" s="26">
        <f t="shared" si="10"/>
        <v>5418.12</v>
      </c>
      <c r="I28" s="26">
        <f t="shared" si="11"/>
        <v>5368.1157162288418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31.5</v>
      </c>
      <c r="D29" s="30">
        <v>169.1</v>
      </c>
      <c r="E29" s="29">
        <f t="shared" si="7"/>
        <v>7.7668565129524164E-2</v>
      </c>
      <c r="F29" s="28">
        <f t="shared" si="8"/>
        <v>31.209283858830833</v>
      </c>
      <c r="G29" s="27" t="str">
        <f t="shared" si="9"/>
        <v>-</v>
      </c>
      <c r="H29" s="26">
        <f t="shared" si="10"/>
        <v>5326.65</v>
      </c>
      <c r="I29" s="26">
        <f t="shared" si="11"/>
        <v>5277.4899005282941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31.5</v>
      </c>
      <c r="D30" s="30">
        <v>159.5</v>
      </c>
      <c r="E30" s="29">
        <f t="shared" si="7"/>
        <v>7.3259232041153782E-2</v>
      </c>
      <c r="F30" s="28">
        <f t="shared" si="8"/>
        <v>31.209283858830833</v>
      </c>
      <c r="G30" s="27" t="str">
        <f t="shared" si="9"/>
        <v>-</v>
      </c>
      <c r="H30" s="26">
        <f t="shared" si="10"/>
        <v>5024.25</v>
      </c>
      <c r="I30" s="26">
        <f t="shared" si="11"/>
        <v>4977.8807754835179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</v>
      </c>
      <c r="D31" s="30">
        <v>75</v>
      </c>
      <c r="E31" s="29">
        <f t="shared" si="7"/>
        <v>3.4447914752893626E-2</v>
      </c>
      <c r="F31" s="28">
        <f t="shared" si="8"/>
        <v>31.704669316907513</v>
      </c>
      <c r="G31" s="27" t="str">
        <f t="shared" si="9"/>
        <v>-</v>
      </c>
      <c r="H31" s="26">
        <f t="shared" si="10"/>
        <v>2400</v>
      </c>
      <c r="I31" s="26">
        <f t="shared" si="11"/>
        <v>2377.8501987680634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33.785141005816953</v>
      </c>
      <c r="D32" s="22">
        <f>SUM(D26:D31)</f>
        <v>1358.1</v>
      </c>
      <c r="E32" s="21">
        <f t="shared" si="7"/>
        <v>0.62378284034539777</v>
      </c>
      <c r="F32" s="20">
        <f>I32/D32</f>
        <v>33.473335106703708</v>
      </c>
      <c r="G32" s="19">
        <f>F32/C32-1</f>
        <v>-9.2290838466401182E-3</v>
      </c>
      <c r="H32" s="18">
        <f>SUM(H26:H31)</f>
        <v>45883.600000000006</v>
      </c>
      <c r="I32" s="18">
        <f>SUM(I26:I31)</f>
        <v>45460.136408414299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</v>
      </c>
      <c r="D34" s="30">
        <v>336.2</v>
      </c>
      <c r="E34" s="29">
        <f t="shared" ref="E34:E40" si="13">D34/$D$48</f>
        <v>0.15441851919897118</v>
      </c>
      <c r="F34" s="28">
        <f t="shared" ref="F34:F39" si="14">C34-(C34*$E$6)</f>
        <v>19.121878681759846</v>
      </c>
      <c r="G34" s="27" t="str">
        <f t="shared" ref="G34:G39" si="15">IF(C34&gt;=F34,"-","+")</f>
        <v>-</v>
      </c>
      <c r="H34" s="26">
        <f t="shared" ref="H34:H39" si="16">C34*D34</f>
        <v>6488.66</v>
      </c>
      <c r="I34" s="26">
        <f t="shared" ref="I34:I39" si="17">F34*D34</f>
        <v>6428.7756128076599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30"/>
      <c r="E35" s="29">
        <f t="shared" si="13"/>
        <v>0</v>
      </c>
      <c r="F35" s="28">
        <f t="shared" si="14"/>
        <v>14.663409559069725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30"/>
      <c r="E36" s="29">
        <f t="shared" si="13"/>
        <v>0</v>
      </c>
      <c r="F36" s="28">
        <f t="shared" si="14"/>
        <v>11.790173902224982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31.5</v>
      </c>
      <c r="D37" s="30"/>
      <c r="E37" s="29">
        <f t="shared" si="13"/>
        <v>0</v>
      </c>
      <c r="F37" s="28">
        <f t="shared" si="14"/>
        <v>31.209283858830833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31.5</v>
      </c>
      <c r="D38" s="30"/>
      <c r="E38" s="29">
        <f t="shared" si="13"/>
        <v>0</v>
      </c>
      <c r="F38" s="28">
        <f t="shared" si="14"/>
        <v>31.209283858830833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32.6</v>
      </c>
      <c r="D39" s="30"/>
      <c r="E39" s="29">
        <f t="shared" si="13"/>
        <v>0</v>
      </c>
      <c r="F39" s="28">
        <f t="shared" si="14"/>
        <v>32.299131866599531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</v>
      </c>
      <c r="D40" s="22">
        <f>SUM(D34:D39)</f>
        <v>336.2</v>
      </c>
      <c r="E40" s="113">
        <f t="shared" si="13"/>
        <v>0.15441851919897118</v>
      </c>
      <c r="F40" s="20">
        <f>I40/D40</f>
        <v>19.121878681759846</v>
      </c>
      <c r="G40" s="19">
        <f>F40/C40-1</f>
        <v>-9.2290838466401182E-3</v>
      </c>
      <c r="H40" s="18">
        <f>SUM(H34:H39)</f>
        <v>6488.66</v>
      </c>
      <c r="I40" s="18">
        <f>SUM(I34:I39)</f>
        <v>6428.7756128076599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310</v>
      </c>
      <c r="E42" s="107">
        <f>D42/$D$48</f>
        <v>0.14238471431196031</v>
      </c>
      <c r="F42" s="28">
        <f>C42-(C42*$E$6)</f>
        <v>0.39630836646134393</v>
      </c>
      <c r="G42" s="27" t="str">
        <f>IF(C42&gt;=F42,"-","+")</f>
        <v>-</v>
      </c>
      <c r="H42" s="26">
        <f>C42*D42</f>
        <v>124</v>
      </c>
      <c r="I42" s="26">
        <f>F42*D42</f>
        <v>122.85559360301662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15.1</v>
      </c>
      <c r="E43" s="107">
        <f>D43/$D$48</f>
        <v>6.9355135035825835E-3</v>
      </c>
      <c r="F43" s="28">
        <f>C43-(C43*$E$6)</f>
        <v>0.39630836646134393</v>
      </c>
      <c r="G43" s="27" t="str">
        <f>IF(C43&gt;=F43,"-","+")</f>
        <v>-</v>
      </c>
      <c r="H43" s="26">
        <f>C43*D43</f>
        <v>6.04</v>
      </c>
      <c r="I43" s="26">
        <f>F43*D43</f>
        <v>5.9842563335662931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7.6</v>
      </c>
      <c r="E45" s="107">
        <f>D45/$D$48</f>
        <v>3.490722028293221E-3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0.39086263901412677</v>
      </c>
      <c r="D46" s="22">
        <f>SUM(D41:D45)</f>
        <v>332.70000000000005</v>
      </c>
      <c r="E46" s="113">
        <f>D46/$D$48</f>
        <v>0.15281094984383614</v>
      </c>
      <c r="F46" s="20">
        <f>I46/D46</f>
        <v>0.38725533494614633</v>
      </c>
      <c r="G46" s="19">
        <f>F46/C46-1</f>
        <v>-9.2290838466402292E-3</v>
      </c>
      <c r="H46" s="18">
        <f>SUM(H41:H44)</f>
        <v>130.04</v>
      </c>
      <c r="I46" s="18">
        <f>SUM(I41:I44)</f>
        <v>128.83984993658291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102.60416609489768</v>
      </c>
      <c r="D48" s="13">
        <f>D24+D32+D40+D46</f>
        <v>2177.1999999999998</v>
      </c>
      <c r="E48" s="12">
        <f>SUM(E20:E46)/2</f>
        <v>1</v>
      </c>
      <c r="F48" s="11">
        <f>I48/D48</f>
        <v>27.249999999999996</v>
      </c>
      <c r="G48" s="10"/>
      <c r="H48" s="9">
        <f>SUM(H20:H46)/2</f>
        <v>59881.350000000006</v>
      </c>
      <c r="I48" s="9">
        <f>SUM(I20:I46)/2</f>
        <v>59328.69999999999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2177.1999999999998</v>
      </c>
      <c r="E50" s="12">
        <f>D50/G2</f>
        <v>1</v>
      </c>
      <c r="F50" s="11">
        <f>I50/D50</f>
        <v>27.249999999999996</v>
      </c>
      <c r="G50" s="10"/>
      <c r="H50" s="9">
        <f>H48+H19</f>
        <v>59881.350000000006</v>
      </c>
      <c r="I50" s="9">
        <f>I48+I19</f>
        <v>59328.69999999999</v>
      </c>
      <c r="J50" s="106">
        <f>D50-G2</f>
        <v>0</v>
      </c>
      <c r="K50" s="8"/>
    </row>
    <row r="51" spans="1:11" ht="23.25" x14ac:dyDescent="0.35">
      <c r="A51" s="174" t="s">
        <v>950</v>
      </c>
      <c r="B51" s="169"/>
      <c r="C51" s="170"/>
      <c r="G51" s="7"/>
      <c r="H51" s="6"/>
      <c r="I51" s="6">
        <f>+I50/D50</f>
        <v>27.249999999999996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948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948</v>
      </c>
      <c r="D2" s="96" t="s">
        <v>3</v>
      </c>
      <c r="E2" s="95" t="s">
        <v>71</v>
      </c>
      <c r="F2" s="94" t="s">
        <v>5</v>
      </c>
      <c r="G2" s="116">
        <v>10828.3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144</v>
      </c>
      <c r="F3" s="88" t="s">
        <v>8</v>
      </c>
      <c r="G3" s="120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75.196527777777774</v>
      </c>
      <c r="F4" s="81" t="s">
        <v>12</v>
      </c>
      <c r="G4" s="80">
        <f>G2*G3</f>
        <v>305899.47499999998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1.0194960864452374E-2</v>
      </c>
      <c r="F6" s="69" t="s">
        <v>16</v>
      </c>
      <c r="G6" s="68">
        <f>(I50-I19)/(D50-(SUM(D42:D44)+D19))</f>
        <v>33.425061190148398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28.011482607535999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29.100268150585098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26.625755552746231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29.100268150585098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32.564585787559515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26.823716560573342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36.721766951928821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54.043355136800905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47.411661374592732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127.3</v>
      </c>
      <c r="E21" s="29">
        <f>D21/$D$48</f>
        <v>1.1756231356722662E-2</v>
      </c>
      <c r="F21" s="28">
        <f>C21-(C21*$E$6)</f>
        <v>70.276157778623883</v>
      </c>
      <c r="G21" s="27" t="str">
        <f>IF(C21&gt;=F21,"-","+")</f>
        <v>-</v>
      </c>
      <c r="H21" s="26">
        <f>C21*D21</f>
        <v>9038.2999999999993</v>
      </c>
      <c r="I21" s="26">
        <f>F21*D21</f>
        <v>8946.1548852188207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345.7</v>
      </c>
      <c r="E22" s="29">
        <f>D22/$D$48</f>
        <v>3.1925602356787305E-2</v>
      </c>
      <c r="F22" s="28">
        <f>C22-(C22*$E$6)</f>
        <v>47.213700366765622</v>
      </c>
      <c r="G22" s="27" t="str">
        <f>IF(C22&gt;=F22,"-","+")</f>
        <v>-</v>
      </c>
      <c r="H22" s="26">
        <f>C22*D22</f>
        <v>16489.89</v>
      </c>
      <c r="I22" s="26">
        <f>F22*D22</f>
        <v>16321.776216790875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258.8</v>
      </c>
      <c r="E23" s="29">
        <f>D23/$D$48</f>
        <v>2.3900335232677337E-2</v>
      </c>
      <c r="F23" s="28">
        <f>C23-(C23*$E$6)</f>
        <v>43.056519202396323</v>
      </c>
      <c r="G23" s="27" t="str">
        <f>IF(C23&gt;=F23,"-","+")</f>
        <v>-</v>
      </c>
      <c r="H23" s="26">
        <f>C23*D23</f>
        <v>11257.800000000001</v>
      </c>
      <c r="I23" s="26">
        <f>F23*D23</f>
        <v>11143.027169580169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50.267819076250341</v>
      </c>
      <c r="D24" s="22">
        <f>SUM(D21:D23)</f>
        <v>731.8</v>
      </c>
      <c r="E24" s="21">
        <f>D24/$D$48</f>
        <v>6.7582168946187307E-2</v>
      </c>
      <c r="F24" s="20">
        <f>I24/D24</f>
        <v>49.755340628026602</v>
      </c>
      <c r="G24" s="19">
        <f>F24/C24-1</f>
        <v>-1.0194960864452263E-2</v>
      </c>
      <c r="H24" s="18">
        <f>SUM(H21:H23)</f>
        <v>36785.99</v>
      </c>
      <c r="I24" s="18">
        <f>SUM(I21:I23)</f>
        <v>36410.958271589865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v>2038.5</v>
      </c>
      <c r="E26" s="29">
        <f t="shared" ref="E26:E32" si="7">D26/$D$48</f>
        <v>0.18825669772725176</v>
      </c>
      <c r="F26" s="28">
        <f t="shared" ref="F26:F31" si="8">C26-(C26*$E$6)</f>
        <v>37.513610983237257</v>
      </c>
      <c r="G26" s="27" t="str">
        <f t="shared" ref="G26:G31" si="9">IF(C26&gt;=F26,"-","+")</f>
        <v>-</v>
      </c>
      <c r="H26" s="26">
        <f t="shared" ref="H26:H31" si="10">C26*D26</f>
        <v>77259.149999999994</v>
      </c>
      <c r="I26" s="26">
        <f t="shared" ref="I26:I31" si="11">F26*D26</f>
        <v>76471.495989329153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1842.7</v>
      </c>
      <c r="E27" s="29">
        <f t="shared" si="7"/>
        <v>0.17017445028305461</v>
      </c>
      <c r="F27" s="28">
        <f t="shared" si="8"/>
        <v>33.455410322781503</v>
      </c>
      <c r="G27" s="27" t="str">
        <f t="shared" si="9"/>
        <v>-</v>
      </c>
      <c r="H27" s="26">
        <f t="shared" si="10"/>
        <v>62283.259999999995</v>
      </c>
      <c r="I27" s="26">
        <f t="shared" si="11"/>
        <v>61648.284601789477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1125.0999999999999</v>
      </c>
      <c r="E28" s="29">
        <f t="shared" si="7"/>
        <v>0.10390365985427075</v>
      </c>
      <c r="F28" s="28">
        <f t="shared" si="8"/>
        <v>33.455410322781503</v>
      </c>
      <c r="G28" s="27" t="str">
        <f t="shared" si="9"/>
        <v>-</v>
      </c>
      <c r="H28" s="26">
        <f t="shared" si="10"/>
        <v>38028.37999999999</v>
      </c>
      <c r="I28" s="26">
        <f t="shared" si="11"/>
        <v>37640.68215416147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960.6</v>
      </c>
      <c r="E29" s="29">
        <f t="shared" si="7"/>
        <v>8.8711986184350278E-2</v>
      </c>
      <c r="F29" s="28">
        <f t="shared" si="8"/>
        <v>32.267644275818853</v>
      </c>
      <c r="G29" s="27" t="str">
        <f t="shared" si="9"/>
        <v>-</v>
      </c>
      <c r="H29" s="26">
        <f t="shared" si="10"/>
        <v>31315.56</v>
      </c>
      <c r="I29" s="26">
        <f t="shared" si="11"/>
        <v>30996.29909135159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762.2</v>
      </c>
      <c r="E30" s="29">
        <f t="shared" si="7"/>
        <v>7.038962718062855E-2</v>
      </c>
      <c r="F30" s="28">
        <f t="shared" si="8"/>
        <v>32.267644275818853</v>
      </c>
      <c r="G30" s="27" t="str">
        <f t="shared" si="9"/>
        <v>-</v>
      </c>
      <c r="H30" s="26">
        <f t="shared" si="10"/>
        <v>24847.72</v>
      </c>
      <c r="I30" s="26">
        <f t="shared" si="11"/>
        <v>24594.398467029132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305.60000000000002</v>
      </c>
      <c r="E31" s="29">
        <f t="shared" si="7"/>
        <v>2.8222343304119765E-2</v>
      </c>
      <c r="F31" s="28">
        <f t="shared" si="8"/>
        <v>32.861527299300185</v>
      </c>
      <c r="G31" s="27" t="str">
        <f t="shared" si="9"/>
        <v>-</v>
      </c>
      <c r="H31" s="26">
        <f t="shared" si="10"/>
        <v>10145.920000000002</v>
      </c>
      <c r="I31" s="26">
        <f t="shared" si="11"/>
        <v>10042.482742666138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34.668143630858459</v>
      </c>
      <c r="D32" s="22">
        <f>SUM(D26:D31)</f>
        <v>7034.7</v>
      </c>
      <c r="E32" s="21">
        <f t="shared" si="7"/>
        <v>0.64965876453367566</v>
      </c>
      <c r="F32" s="20">
        <f>I32/D32</f>
        <v>34.314703263298647</v>
      </c>
      <c r="G32" s="19">
        <f>F32/C32-1</f>
        <v>-1.0194960864452263E-2</v>
      </c>
      <c r="H32" s="18">
        <f>SUM(H26:H31)</f>
        <v>243879.99</v>
      </c>
      <c r="I32" s="18">
        <f>SUM(I26:I31)</f>
        <v>241393.64304632696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1377.3</v>
      </c>
      <c r="E34" s="29">
        <f t="shared" ref="E34:E40" si="13">D34/$D$48</f>
        <v>0.12719448112815493</v>
      </c>
      <c r="F34" s="28">
        <f t="shared" ref="F34:F39" si="14">C34-(C34*$E$6)</f>
        <v>19.796100782710951</v>
      </c>
      <c r="G34" s="27" t="str">
        <f t="shared" ref="G34:G39" si="15">IF(C34&gt;=F34,"-","+")</f>
        <v>-</v>
      </c>
      <c r="H34" s="26">
        <f t="shared" ref="H34:H39" si="16">C34*D34</f>
        <v>27546</v>
      </c>
      <c r="I34" s="26">
        <f t="shared" ref="I34:I39" si="17">F34*D34</f>
        <v>27265.169608027791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15.242997602687433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12.174601981367237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32.267644275818853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32.267644275818853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33.455410322781503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1377.3</v>
      </c>
      <c r="E40" s="113">
        <f t="shared" si="13"/>
        <v>0.12719448112815493</v>
      </c>
      <c r="F40" s="20">
        <f>I40/D40</f>
        <v>19.796100782710951</v>
      </c>
      <c r="G40" s="19">
        <f>F40/C40-1</f>
        <v>-1.0194960864452485E-2</v>
      </c>
      <c r="H40" s="18">
        <f>SUM(H34:H39)</f>
        <v>27546</v>
      </c>
      <c r="I40" s="18">
        <f>SUM(I34:I39)</f>
        <v>27265.169608027791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1596</v>
      </c>
      <c r="E42" s="107">
        <f>D42/$D$48</f>
        <v>0.14739155730816472</v>
      </c>
      <c r="F42" s="28">
        <f>C42-(C42*$E$6)</f>
        <v>0.49490251956777381</v>
      </c>
      <c r="G42" s="27" t="str">
        <f>IF(C42&gt;=F42,"-","+")</f>
        <v>-</v>
      </c>
      <c r="H42" s="26">
        <f>C42*D42</f>
        <v>798</v>
      </c>
      <c r="I42" s="26">
        <f>F42*D42</f>
        <v>789.86442123016695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80.5</v>
      </c>
      <c r="E43" s="107">
        <f>D43/$D$48</f>
        <v>7.434223285280238E-3</v>
      </c>
      <c r="F43" s="28">
        <f>C43-(C43*$E$6)</f>
        <v>0.49490251956777381</v>
      </c>
      <c r="G43" s="27" t="str">
        <f>IF(C43&gt;=F43,"-","+")</f>
        <v>-</v>
      </c>
      <c r="H43" s="26">
        <f>C43*D43</f>
        <v>40.25</v>
      </c>
      <c r="I43" s="26">
        <f>F43*D43</f>
        <v>39.839652825205789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7.3880479853716654E-4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0.49762540813297712</v>
      </c>
      <c r="D46" s="22">
        <f>SUM(D41:D45)</f>
        <v>1684.5</v>
      </c>
      <c r="E46" s="113">
        <f>D46/$D$48</f>
        <v>0.15556458539198212</v>
      </c>
      <c r="F46" s="20">
        <f>I46/D46</f>
        <v>0.49255213657190428</v>
      </c>
      <c r="G46" s="19">
        <f>F46/C46-1</f>
        <v>-1.0194960864452374E-2</v>
      </c>
      <c r="H46" s="18">
        <f>SUM(H41:H44)</f>
        <v>838.25</v>
      </c>
      <c r="I46" s="18">
        <f>SUM(I41:I44)</f>
        <v>829.70407405537276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105.43358811524178</v>
      </c>
      <c r="D48" s="13">
        <f>D24+D32+D40+D46</f>
        <v>10828.3</v>
      </c>
      <c r="E48" s="12">
        <f>SUM(E20:E46)/2</f>
        <v>1.0000000000000002</v>
      </c>
      <c r="F48" s="11">
        <f>I48/D48</f>
        <v>28.250000000000011</v>
      </c>
      <c r="G48" s="10"/>
      <c r="H48" s="9">
        <f>SUM(H20:H46)/2</f>
        <v>309050.23</v>
      </c>
      <c r="I48" s="9">
        <f>SUM(I20:I46)/2</f>
        <v>305899.47500000009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10828.3</v>
      </c>
      <c r="E50" s="12">
        <f>D50/G2</f>
        <v>1</v>
      </c>
      <c r="F50" s="11">
        <f>I50/D50</f>
        <v>28.250000000000011</v>
      </c>
      <c r="G50" s="10"/>
      <c r="H50" s="9">
        <f>H48+H19</f>
        <v>309050.23</v>
      </c>
      <c r="I50" s="9">
        <f>I48+I19</f>
        <v>305899.47500000009</v>
      </c>
      <c r="J50" s="106">
        <f>D50-G2</f>
        <v>0</v>
      </c>
      <c r="K50" s="8"/>
    </row>
    <row r="51" spans="1:11" ht="23.25" x14ac:dyDescent="0.35">
      <c r="A51" s="174" t="s">
        <v>951</v>
      </c>
      <c r="B51" s="169"/>
      <c r="C51" s="170"/>
      <c r="G51" s="7"/>
      <c r="H51" s="6"/>
      <c r="I51" s="6">
        <f>+I50/D50</f>
        <v>28.250000000000011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952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952</v>
      </c>
      <c r="D2" s="96" t="s">
        <v>3</v>
      </c>
      <c r="E2" s="95" t="s">
        <v>112</v>
      </c>
      <c r="F2" s="94" t="s">
        <v>5</v>
      </c>
      <c r="G2" s="93">
        <v>4499.8999999999996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76</v>
      </c>
      <c r="F3" s="88" t="s">
        <v>8</v>
      </c>
      <c r="G3" s="87">
        <v>23.83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59.209210526315786</v>
      </c>
      <c r="F4" s="81" t="s">
        <v>12</v>
      </c>
      <c r="G4" s="80">
        <f>G2*G3</f>
        <v>107232.61699999998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-0.11923568808248142</v>
      </c>
      <c r="F6" s="69" t="s">
        <v>16</v>
      </c>
      <c r="G6" s="68">
        <f>(I50-I19)/(D50-(SUM(D42:D44)+D19))</f>
        <v>31.306051148804478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23.8</v>
      </c>
      <c r="D10" s="30"/>
      <c r="E10" s="29" t="e">
        <f t="shared" ref="E10:E19" si="1">D10/$D$19</f>
        <v>#DIV/0!</v>
      </c>
      <c r="F10" s="28">
        <f t="shared" ref="F10:F18" si="2">C10-(C10*$E$6)</f>
        <v>26.637809376363059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24.8</v>
      </c>
      <c r="D11" s="30"/>
      <c r="E11" s="29" t="e">
        <f t="shared" si="1"/>
        <v>#DIV/0!</v>
      </c>
      <c r="F11" s="28">
        <f t="shared" si="2"/>
        <v>27.757045064445538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22.7</v>
      </c>
      <c r="D12" s="30"/>
      <c r="E12" s="29" t="e">
        <f t="shared" si="1"/>
        <v>#DIV/0!</v>
      </c>
      <c r="F12" s="28">
        <f t="shared" si="2"/>
        <v>25.406650119472328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24.8</v>
      </c>
      <c r="D13" s="30"/>
      <c r="E13" s="29" t="e">
        <f t="shared" si="1"/>
        <v>#DIV/0!</v>
      </c>
      <c r="F13" s="28">
        <f t="shared" si="2"/>
        <v>27.757045064445538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27.7</v>
      </c>
      <c r="D14" s="30"/>
      <c r="E14" s="29" t="e">
        <f t="shared" si="1"/>
        <v>#DIV/0!</v>
      </c>
      <c r="F14" s="28">
        <f t="shared" si="2"/>
        <v>31.002828559884733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22.9</v>
      </c>
      <c r="D15" s="30"/>
      <c r="E15" s="29" t="e">
        <f t="shared" si="1"/>
        <v>#DIV/0!</v>
      </c>
      <c r="F15" s="28">
        <f t="shared" si="2"/>
        <v>25.630497257088823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31.3</v>
      </c>
      <c r="D16" s="30"/>
      <c r="E16" s="29" t="e">
        <f t="shared" si="1"/>
        <v>#DIV/0!</v>
      </c>
      <c r="F16" s="28">
        <f t="shared" si="2"/>
        <v>35.032077036981669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46.1</v>
      </c>
      <c r="D17" s="30"/>
      <c r="E17" s="29" t="e">
        <f t="shared" si="1"/>
        <v>#DIV/0!</v>
      </c>
      <c r="F17" s="28">
        <f t="shared" si="2"/>
        <v>51.596765220602393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40.4</v>
      </c>
      <c r="D18" s="30"/>
      <c r="E18" s="29" t="e">
        <f t="shared" si="1"/>
        <v>#DIV/0!</v>
      </c>
      <c r="F18" s="28">
        <f t="shared" si="2"/>
        <v>45.217121798532247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59.9</v>
      </c>
      <c r="D21" s="30">
        <v>62.1</v>
      </c>
      <c r="E21" s="29">
        <f>D21/$D$48</f>
        <v>1.3800306673481635E-2</v>
      </c>
      <c r="F21" s="28">
        <f>C21-(C21*$E$6)</f>
        <v>67.042217716140641</v>
      </c>
      <c r="G21" s="27" t="str">
        <f>IF(C21&gt;=F21,"-","+")</f>
        <v>+</v>
      </c>
      <c r="H21" s="26">
        <f>C21*D21</f>
        <v>3719.79</v>
      </c>
      <c r="I21" s="26">
        <f>F21*D21</f>
        <v>4163.3217201723337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40.200000000000003</v>
      </c>
      <c r="D22" s="30">
        <v>120.1</v>
      </c>
      <c r="E22" s="29">
        <f>D22/$D$48</f>
        <v>2.6689481988488636E-2</v>
      </c>
      <c r="F22" s="28">
        <f>C22-(C22*$E$6)</f>
        <v>44.993274660915759</v>
      </c>
      <c r="G22" s="27" t="str">
        <f>IF(C22&gt;=F22,"-","+")</f>
        <v>+</v>
      </c>
      <c r="H22" s="26">
        <f>C22*D22</f>
        <v>4828.0200000000004</v>
      </c>
      <c r="I22" s="26">
        <f>F22*D22</f>
        <v>5403.6922867759822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36.700000000000003</v>
      </c>
      <c r="D23" s="30">
        <v>88.4</v>
      </c>
      <c r="E23" s="29">
        <f>D23/$D$48</f>
        <v>1.96448809973555E-2</v>
      </c>
      <c r="F23" s="28">
        <f>C23-(C23*$E$6)</f>
        <v>41.075949752627068</v>
      </c>
      <c r="G23" s="27" t="str">
        <f>IF(C23&gt;=F23,"-","+")</f>
        <v>+</v>
      </c>
      <c r="H23" s="26">
        <f>C23*D23</f>
        <v>3244.2800000000007</v>
      </c>
      <c r="I23" s="26">
        <f>F23*D23</f>
        <v>3631.1139581322332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43.577568366592757</v>
      </c>
      <c r="D24" s="22">
        <f>SUM(D21:D23)</f>
        <v>270.60000000000002</v>
      </c>
      <c r="E24" s="21">
        <f>D24/$D$48</f>
        <v>6.0134669659325769E-2</v>
      </c>
      <c r="F24" s="20">
        <f>I24/D24</f>
        <v>48.77356971574482</v>
      </c>
      <c r="G24" s="19">
        <f>F24/C24-1</f>
        <v>0.11923568808248142</v>
      </c>
      <c r="H24" s="18">
        <f>SUM(H21:H23)</f>
        <v>11792.090000000002</v>
      </c>
      <c r="I24" s="18">
        <f>SUM(I21:I23)</f>
        <v>13198.12796508055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</v>
      </c>
      <c r="D26" s="30">
        <f>142+38.3+618.2</f>
        <v>798.5</v>
      </c>
      <c r="E26" s="29">
        <f t="shared" ref="E26:E32" si="7">D26/$D$48</f>
        <v>0.17744838774194985</v>
      </c>
      <c r="F26" s="28">
        <f t="shared" ref="F26:F31" si="8">C26-(C26*$E$6)</f>
        <v>35.815542018639405</v>
      </c>
      <c r="G26" s="27" t="str">
        <f t="shared" ref="G26:G31" si="9">IF(C26&gt;=F26,"-","+")</f>
        <v>+</v>
      </c>
      <c r="H26" s="26">
        <f t="shared" ref="H26:H31" si="10">C26*D26</f>
        <v>25552</v>
      </c>
      <c r="I26" s="26">
        <f t="shared" ref="I26:I31" si="11">F26*D26</f>
        <v>28598.710301883566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28.5</v>
      </c>
      <c r="D27" s="30">
        <v>656.6</v>
      </c>
      <c r="E27" s="29">
        <f t="shared" si="7"/>
        <v>0.1459143536523034</v>
      </c>
      <c r="F27" s="28">
        <f t="shared" si="8"/>
        <v>31.898217110350721</v>
      </c>
      <c r="G27" s="27" t="str">
        <f t="shared" si="9"/>
        <v>+</v>
      </c>
      <c r="H27" s="26">
        <f t="shared" si="10"/>
        <v>18713.100000000002</v>
      </c>
      <c r="I27" s="26">
        <f t="shared" si="11"/>
        <v>20944.369354656283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28.5</v>
      </c>
      <c r="D28" s="30">
        <v>365.8</v>
      </c>
      <c r="E28" s="29">
        <f t="shared" si="7"/>
        <v>8.1290695348785538E-2</v>
      </c>
      <c r="F28" s="28">
        <f t="shared" si="8"/>
        <v>31.898217110350721</v>
      </c>
      <c r="G28" s="27" t="str">
        <f t="shared" si="9"/>
        <v>+</v>
      </c>
      <c r="H28" s="26">
        <f t="shared" si="10"/>
        <v>10425.300000000001</v>
      </c>
      <c r="I28" s="26">
        <f t="shared" si="11"/>
        <v>11668.367818966295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27.5</v>
      </c>
      <c r="D29" s="30">
        <v>369</v>
      </c>
      <c r="E29" s="29">
        <f t="shared" si="7"/>
        <v>8.2001822262716961E-2</v>
      </c>
      <c r="F29" s="28">
        <f t="shared" si="8"/>
        <v>30.778981422268238</v>
      </c>
      <c r="G29" s="27" t="str">
        <f t="shared" si="9"/>
        <v>+</v>
      </c>
      <c r="H29" s="26">
        <f t="shared" si="10"/>
        <v>10147.5</v>
      </c>
      <c r="I29" s="26">
        <f t="shared" si="11"/>
        <v>11357.44414481698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27.5</v>
      </c>
      <c r="D30" s="30">
        <v>190</v>
      </c>
      <c r="E30" s="29">
        <f t="shared" si="7"/>
        <v>4.2223160514678108E-2</v>
      </c>
      <c r="F30" s="28">
        <f t="shared" si="8"/>
        <v>30.778981422268238</v>
      </c>
      <c r="G30" s="27" t="str">
        <f t="shared" si="9"/>
        <v>+</v>
      </c>
      <c r="H30" s="26">
        <f t="shared" si="10"/>
        <v>5225</v>
      </c>
      <c r="I30" s="26">
        <f t="shared" si="11"/>
        <v>5848.0064702309655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</v>
      </c>
      <c r="D31" s="30">
        <v>72.5</v>
      </c>
      <c r="E31" s="29">
        <f t="shared" si="7"/>
        <v>1.6111469143758751E-2</v>
      </c>
      <c r="F31" s="28">
        <f t="shared" si="8"/>
        <v>31.33859926630948</v>
      </c>
      <c r="G31" s="27" t="str">
        <f t="shared" si="9"/>
        <v>+</v>
      </c>
      <c r="H31" s="26">
        <f t="shared" si="10"/>
        <v>2030</v>
      </c>
      <c r="I31" s="26">
        <f t="shared" si="11"/>
        <v>2272.0484468074374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29.396876529114344</v>
      </c>
      <c r="D32" s="22">
        <f>SUM(D26:D31)</f>
        <v>2452.3999999999996</v>
      </c>
      <c r="E32" s="21">
        <f t="shared" si="7"/>
        <v>0.54498988866419251</v>
      </c>
      <c r="F32" s="20">
        <f>I32/D32</f>
        <v>32.902033329539037</v>
      </c>
      <c r="G32" s="19">
        <f>F32/C32-1</f>
        <v>0.11923568808248119</v>
      </c>
      <c r="H32" s="18">
        <f>SUM(H26:H31)</f>
        <v>72092.900000000009</v>
      </c>
      <c r="I32" s="18">
        <f>SUM(I26:I31)</f>
        <v>80688.946537361524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</v>
      </c>
      <c r="D34" s="30">
        <f>310.1+328.1</f>
        <v>638.20000000000005</v>
      </c>
      <c r="E34" s="29">
        <f t="shared" ref="E34:E40" si="13">D34/$D$48</f>
        <v>0.14182537389719774</v>
      </c>
      <c r="F34" s="28">
        <f t="shared" ref="F34:F39" si="14">C34-(C34*$E$6)</f>
        <v>18.803159559785687</v>
      </c>
      <c r="G34" s="27" t="str">
        <f t="shared" ref="G34:G39" si="15">IF(C34&gt;=F34,"-","+")</f>
        <v>+</v>
      </c>
      <c r="H34" s="26">
        <f t="shared" ref="H34:H39" si="16">C34*D34</f>
        <v>10721.760000000002</v>
      </c>
      <c r="I34" s="26">
        <f t="shared" ref="I34:I39" si="17">F34*D34</f>
        <v>12000.176431055226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</v>
      </c>
      <c r="D35" s="30">
        <v>59.4</v>
      </c>
      <c r="E35" s="29">
        <f t="shared" si="13"/>
        <v>1.3200293339851997E-2</v>
      </c>
      <c r="F35" s="28">
        <f t="shared" si="14"/>
        <v>14.550063945072258</v>
      </c>
      <c r="G35" s="27" t="str">
        <f t="shared" si="15"/>
        <v>+</v>
      </c>
      <c r="H35" s="26">
        <f t="shared" si="16"/>
        <v>772.19999999999993</v>
      </c>
      <c r="I35" s="26">
        <f t="shared" si="17"/>
        <v>864.27379833729208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11.640051156057806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27.5</v>
      </c>
      <c r="D37" s="30"/>
      <c r="E37" s="29">
        <f t="shared" si="13"/>
        <v>0</v>
      </c>
      <c r="F37" s="28">
        <f t="shared" si="14"/>
        <v>30.778981422268238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27.5</v>
      </c>
      <c r="D38" s="30"/>
      <c r="E38" s="29">
        <f t="shared" si="13"/>
        <v>0</v>
      </c>
      <c r="F38" s="28">
        <f t="shared" si="14"/>
        <v>30.778981422268238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28.5</v>
      </c>
      <c r="D39" s="30"/>
      <c r="E39" s="29">
        <f t="shared" si="13"/>
        <v>0</v>
      </c>
      <c r="F39" s="28">
        <f t="shared" si="14"/>
        <v>31.898217110350721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16.476433486238534</v>
      </c>
      <c r="D40" s="22">
        <f>SUM(D34:D39)</f>
        <v>697.6</v>
      </c>
      <c r="E40" s="113">
        <f t="shared" si="13"/>
        <v>0.15502566723704972</v>
      </c>
      <c r="F40" s="20">
        <f>I40/D40</f>
        <v>18.44101237011542</v>
      </c>
      <c r="G40" s="19">
        <f>F40/C40-1</f>
        <v>0.11923568808248119</v>
      </c>
      <c r="H40" s="18">
        <f>SUM(H34:H39)</f>
        <v>11493.960000000003</v>
      </c>
      <c r="I40" s="18">
        <f>SUM(I34:I39)</f>
        <v>12864.450229392518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489+54.8+487.2</f>
        <v>1031</v>
      </c>
      <c r="E42" s="107">
        <f>D42/$D$48</f>
        <v>0.22911620258227963</v>
      </c>
      <c r="F42" s="28">
        <f>C42-(C42*$E$6)</f>
        <v>0.4476942752329926</v>
      </c>
      <c r="G42" s="27" t="str">
        <f>IF(C42&gt;=F42,"-","+")</f>
        <v>+</v>
      </c>
      <c r="H42" s="26">
        <f>C42*D42</f>
        <v>412.40000000000003</v>
      </c>
      <c r="I42" s="26">
        <f>F42*D42</f>
        <v>461.5727977652154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43.6</v>
      </c>
      <c r="E43" s="107">
        <f>D43/$D$48</f>
        <v>9.6891042023156074E-3</v>
      </c>
      <c r="F43" s="28">
        <f>C43-(C43*$E$6)</f>
        <v>0.4476942752329926</v>
      </c>
      <c r="G43" s="27" t="str">
        <f>IF(C43&gt;=F43,"-","+")</f>
        <v>+</v>
      </c>
      <c r="H43" s="26">
        <f>C43*D43</f>
        <v>17.440000000000001</v>
      </c>
      <c r="I43" s="26">
        <f>F43*D43</f>
        <v>19.519470400158479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1.0444676548367743E-3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0.39825813026961926</v>
      </c>
      <c r="D46" s="22">
        <f>SUM(D41:D45)</f>
        <v>1079.3</v>
      </c>
      <c r="E46" s="113">
        <f>D46/$D$48</f>
        <v>0.23984977443943201</v>
      </c>
      <c r="F46" s="20">
        <f>I46/D46</f>
        <v>0.44574471246675984</v>
      </c>
      <c r="G46" s="19">
        <f>F46/C46-1</f>
        <v>0.11923568808248142</v>
      </c>
      <c r="H46" s="18">
        <f>SUM(H41:H44)</f>
        <v>429.84000000000003</v>
      </c>
      <c r="I46" s="18">
        <f>SUM(I41:I44)</f>
        <v>481.09226816537387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89.849136512215267</v>
      </c>
      <c r="D48" s="13">
        <f>D24+D32+D40+D46</f>
        <v>4499.8999999999996</v>
      </c>
      <c r="E48" s="12">
        <f>SUM(E20:E46)/2</f>
        <v>1</v>
      </c>
      <c r="F48" s="11">
        <f>I48/D48</f>
        <v>23.829999999999995</v>
      </c>
      <c r="G48" s="10"/>
      <c r="H48" s="9">
        <f>SUM(H20:H46)/2</f>
        <v>95808.790000000023</v>
      </c>
      <c r="I48" s="9">
        <f>SUM(I20:I46)/2</f>
        <v>107232.61699999997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4499.8999999999996</v>
      </c>
      <c r="E50" s="12">
        <f>D50/G2</f>
        <v>1</v>
      </c>
      <c r="F50" s="11">
        <f>I50/D50</f>
        <v>23.829999999999995</v>
      </c>
      <c r="G50" s="10"/>
      <c r="H50" s="9">
        <f>H48+H19</f>
        <v>95808.790000000023</v>
      </c>
      <c r="I50" s="9">
        <f>I48+I19</f>
        <v>107232.61699999997</v>
      </c>
      <c r="J50" s="106">
        <f>D50-G2</f>
        <v>0</v>
      </c>
      <c r="K50" s="8"/>
    </row>
    <row r="51" spans="1:11" ht="23.25" x14ac:dyDescent="0.35">
      <c r="A51" s="174" t="s">
        <v>953</v>
      </c>
      <c r="B51" s="169"/>
      <c r="C51" s="170"/>
      <c r="G51" s="7"/>
      <c r="H51" s="6"/>
      <c r="I51" s="6">
        <f>+I50/D50</f>
        <v>23.829999999999995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952</v>
      </c>
      <c r="D1" s="100" t="s">
        <v>1</v>
      </c>
      <c r="E1" s="168" t="s">
        <v>821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952</v>
      </c>
      <c r="D2" s="96" t="s">
        <v>3</v>
      </c>
      <c r="E2" s="95" t="s">
        <v>112</v>
      </c>
      <c r="F2" s="94" t="s">
        <v>5</v>
      </c>
      <c r="G2" s="116">
        <v>6222.8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822</v>
      </c>
      <c r="D3" s="90" t="s">
        <v>7</v>
      </c>
      <c r="E3" s="89">
        <v>109</v>
      </c>
      <c r="F3" s="88" t="s">
        <v>8</v>
      </c>
      <c r="G3" s="87">
        <v>23.71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57.089908256880733</v>
      </c>
      <c r="F4" s="81" t="s">
        <v>12</v>
      </c>
      <c r="G4" s="80">
        <f>G2*G3</f>
        <v>147542.58800000002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-0.10405294212900529</v>
      </c>
      <c r="F6" s="69" t="s">
        <v>16</v>
      </c>
      <c r="G6" s="68">
        <f>(I50-I19)/(D50-(SUM(D42:D44)+D19))</f>
        <v>30.478338325517971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23.7</v>
      </c>
      <c r="D10" s="30"/>
      <c r="E10" s="29" t="e">
        <f t="shared" ref="E10:E19" si="1">D10/$D$19</f>
        <v>#DIV/0!</v>
      </c>
      <c r="F10" s="28">
        <f t="shared" ref="F10:F18" si="2">C10-(C10*$E$6)</f>
        <v>26.166054728457425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24.7</v>
      </c>
      <c r="D11" s="30"/>
      <c r="E11" s="29" t="e">
        <f t="shared" si="1"/>
        <v>#DIV/0!</v>
      </c>
      <c r="F11" s="28">
        <f t="shared" si="2"/>
        <v>27.27010767058643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22.6</v>
      </c>
      <c r="D12" s="30"/>
      <c r="E12" s="29" t="e">
        <f t="shared" si="1"/>
        <v>#DIV/0!</v>
      </c>
      <c r="F12" s="28">
        <f t="shared" si="2"/>
        <v>24.95159649211552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24.7</v>
      </c>
      <c r="D13" s="30"/>
      <c r="E13" s="29" t="e">
        <f t="shared" si="1"/>
        <v>#DIV/0!</v>
      </c>
      <c r="F13" s="28">
        <f t="shared" si="2"/>
        <v>27.27010767058643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27.6</v>
      </c>
      <c r="D14" s="30"/>
      <c r="E14" s="29" t="e">
        <f t="shared" si="1"/>
        <v>#DIV/0!</v>
      </c>
      <c r="F14" s="28">
        <f t="shared" si="2"/>
        <v>30.471861202760547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22.8</v>
      </c>
      <c r="D15" s="30"/>
      <c r="E15" s="29" t="e">
        <f t="shared" si="1"/>
        <v>#DIV/0!</v>
      </c>
      <c r="F15" s="28">
        <f t="shared" si="2"/>
        <v>25.172407080541323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31.2</v>
      </c>
      <c r="D16" s="30"/>
      <c r="E16" s="29" t="e">
        <f t="shared" si="1"/>
        <v>#DIV/0!</v>
      </c>
      <c r="F16" s="28">
        <f t="shared" si="2"/>
        <v>34.446451794424966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45.9</v>
      </c>
      <c r="D17" s="30"/>
      <c r="E17" s="29" t="e">
        <f t="shared" si="1"/>
        <v>#DIV/0!</v>
      </c>
      <c r="F17" s="28">
        <f t="shared" si="2"/>
        <v>50.67603004372134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40.200000000000003</v>
      </c>
      <c r="D18" s="30"/>
      <c r="E18" s="29" t="e">
        <f t="shared" si="1"/>
        <v>#DIV/0!</v>
      </c>
      <c r="F18" s="28">
        <f t="shared" si="2"/>
        <v>44.382928273586018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59.6</v>
      </c>
      <c r="D21" s="30">
        <v>78.5</v>
      </c>
      <c r="E21" s="29">
        <f>D21/$D$48</f>
        <v>1.2614900044995823E-2</v>
      </c>
      <c r="F21" s="28">
        <f>C21-(C21*$E$6)</f>
        <v>65.801555350888719</v>
      </c>
      <c r="G21" s="27" t="str">
        <f>IF(C21&gt;=F21,"-","+")</f>
        <v>+</v>
      </c>
      <c r="H21" s="26">
        <f>C21*D21</f>
        <v>4678.6000000000004</v>
      </c>
      <c r="I21" s="26">
        <f>F21*D21</f>
        <v>5165.4220950447643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</v>
      </c>
      <c r="D22" s="30">
        <v>152.1</v>
      </c>
      <c r="E22" s="29">
        <f>D22/$D$48</f>
        <v>2.4442373208202098E-2</v>
      </c>
      <c r="F22" s="28">
        <f>C22-(C22*$E$6)</f>
        <v>44.162117685160212</v>
      </c>
      <c r="G22" s="27" t="str">
        <f>IF(C22&gt;=F22,"-","+")</f>
        <v>+</v>
      </c>
      <c r="H22" s="26">
        <f>C22*D22</f>
        <v>6084</v>
      </c>
      <c r="I22" s="26">
        <f>F22*D22</f>
        <v>6717.0580999128679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36.5</v>
      </c>
      <c r="D23" s="30">
        <v>106.7</v>
      </c>
      <c r="E23" s="29">
        <f>D23/$D$48</f>
        <v>1.714662209937649E-2</v>
      </c>
      <c r="F23" s="28">
        <f>C23-(C23*$E$6)</f>
        <v>40.297932387708691</v>
      </c>
      <c r="G23" s="27" t="str">
        <f>IF(C23&gt;=F23,"-","+")</f>
        <v>+</v>
      </c>
      <c r="H23" s="26">
        <f>C23*D23</f>
        <v>3894.55</v>
      </c>
      <c r="I23" s="26">
        <f>F23*D23</f>
        <v>4299.7893857685176</v>
      </c>
      <c r="J23" s="25"/>
      <c r="K23" s="25"/>
    </row>
    <row r="24" spans="1:11" x14ac:dyDescent="0.25">
      <c r="A24" s="24" t="s">
        <v>34</v>
      </c>
      <c r="B24" s="23"/>
      <c r="C24" s="20">
        <f>H24/D24</f>
        <v>43.45434331455678</v>
      </c>
      <c r="D24" s="22">
        <f>SUM(D21:D23)</f>
        <v>337.3</v>
      </c>
      <c r="E24" s="21">
        <f>D24/$D$48</f>
        <v>5.4203895352574409E-2</v>
      </c>
      <c r="F24" s="20">
        <f>I24/D24</f>
        <v>47.975895584720277</v>
      </c>
      <c r="G24" s="19">
        <f>F24/C24-1</f>
        <v>0.10405294212900507</v>
      </c>
      <c r="H24" s="18">
        <f>SUM(H21:H23)</f>
        <v>14657.150000000001</v>
      </c>
      <c r="I24" s="18">
        <f>SUM(I21:I23)</f>
        <v>16182.26958072615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31.8</v>
      </c>
      <c r="D26" s="30">
        <f>333.9+51.2+772.6</f>
        <v>1157.7</v>
      </c>
      <c r="E26" s="29">
        <f t="shared" ref="E26:E32" si="7">D26/$D$48</f>
        <v>0.18604165327505306</v>
      </c>
      <c r="F26" s="28">
        <f t="shared" ref="F26:F31" si="8">C26-(C26*$E$6)</f>
        <v>35.10888355970237</v>
      </c>
      <c r="G26" s="27" t="str">
        <f t="shared" ref="G26:G31" si="9">IF(C26&gt;=F26,"-","+")</f>
        <v>+</v>
      </c>
      <c r="H26" s="26">
        <f t="shared" ref="H26:H31" si="10">C26*D26</f>
        <v>36814.86</v>
      </c>
      <c r="I26" s="26">
        <f t="shared" ref="I26:I31" si="11">F26*D26</f>
        <v>40645.554497067438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28.3</v>
      </c>
      <c r="D27" s="30">
        <v>914.5</v>
      </c>
      <c r="E27" s="29">
        <f t="shared" si="7"/>
        <v>0.14695956804011057</v>
      </c>
      <c r="F27" s="28">
        <f t="shared" si="8"/>
        <v>31.24469826225085</v>
      </c>
      <c r="G27" s="27" t="str">
        <f t="shared" si="9"/>
        <v>+</v>
      </c>
      <c r="H27" s="26">
        <f t="shared" si="10"/>
        <v>25880.350000000002</v>
      </c>
      <c r="I27" s="26">
        <f t="shared" si="11"/>
        <v>28573.276560828403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28.3</v>
      </c>
      <c r="D28" s="30">
        <v>502.9</v>
      </c>
      <c r="E28" s="29">
        <f t="shared" si="7"/>
        <v>8.0815709969788527E-2</v>
      </c>
      <c r="F28" s="28">
        <f t="shared" si="8"/>
        <v>31.24469826225085</v>
      </c>
      <c r="G28" s="27" t="str">
        <f t="shared" si="9"/>
        <v>+</v>
      </c>
      <c r="H28" s="26">
        <f t="shared" si="10"/>
        <v>14232.07</v>
      </c>
      <c r="I28" s="26">
        <f t="shared" si="11"/>
        <v>15712.958756085951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27.4</v>
      </c>
      <c r="D29" s="30">
        <v>483.7</v>
      </c>
      <c r="E29" s="29">
        <f t="shared" si="7"/>
        <v>7.7730282188082547E-2</v>
      </c>
      <c r="F29" s="28">
        <f t="shared" si="8"/>
        <v>30.251050614334744</v>
      </c>
      <c r="G29" s="27" t="str">
        <f t="shared" si="9"/>
        <v>+</v>
      </c>
      <c r="H29" s="26">
        <f t="shared" si="10"/>
        <v>13253.38</v>
      </c>
      <c r="I29" s="26">
        <f t="shared" si="11"/>
        <v>14632.433182153716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27.4</v>
      </c>
      <c r="D30" s="30">
        <v>317</v>
      </c>
      <c r="E30" s="29">
        <f t="shared" si="7"/>
        <v>5.0941698270874851E-2</v>
      </c>
      <c r="F30" s="28">
        <f t="shared" si="8"/>
        <v>30.251050614334744</v>
      </c>
      <c r="G30" s="27" t="str">
        <f t="shared" si="9"/>
        <v>+</v>
      </c>
      <c r="H30" s="26">
        <f t="shared" si="10"/>
        <v>8685.7999999999993</v>
      </c>
      <c r="I30" s="26">
        <f t="shared" si="11"/>
        <v>9589.5830447441131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27.9</v>
      </c>
      <c r="D31" s="30">
        <v>95.1</v>
      </c>
      <c r="E31" s="29">
        <f t="shared" si="7"/>
        <v>1.5282509481262455E-2</v>
      </c>
      <c r="F31" s="28">
        <f t="shared" si="8"/>
        <v>30.803077085399245</v>
      </c>
      <c r="G31" s="27" t="str">
        <f t="shared" si="9"/>
        <v>+</v>
      </c>
      <c r="H31" s="26">
        <f t="shared" si="10"/>
        <v>2653.2899999999995</v>
      </c>
      <c r="I31" s="26">
        <f t="shared" si="11"/>
        <v>2929.3726308214682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29.248825952922875</v>
      </c>
      <c r="D32" s="22">
        <f>SUM(D26:D31)</f>
        <v>3470.8999999999996</v>
      </c>
      <c r="E32" s="21">
        <f t="shared" si="7"/>
        <v>0.55777142122517198</v>
      </c>
      <c r="F32" s="20">
        <f>I32/D32</f>
        <v>32.292252347143709</v>
      </c>
      <c r="G32" s="19">
        <f>F32/C32-1</f>
        <v>0.10405294212900529</v>
      </c>
      <c r="H32" s="18">
        <f>SUM(H26:H31)</f>
        <v>101519.75</v>
      </c>
      <c r="I32" s="18">
        <f>SUM(I26:I31)</f>
        <v>112083.1786717011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</v>
      </c>
      <c r="D34" s="30">
        <f>493.9+445.7</f>
        <v>939.59999999999991</v>
      </c>
      <c r="E34" s="29">
        <f t="shared" ref="E34:E40" si="13">D34/$D$48</f>
        <v>0.15099312206723661</v>
      </c>
      <c r="F34" s="28">
        <f t="shared" ref="F34:F39" si="14">C34-(C34*$E$6)</f>
        <v>18.548089427767291</v>
      </c>
      <c r="G34" s="27" t="str">
        <f t="shared" ref="G34:G39" si="15">IF(C34&gt;=F34,"-","+")</f>
        <v>+</v>
      </c>
      <c r="H34" s="26">
        <f t="shared" ref="H34:H39" si="16">C34*D34</f>
        <v>15785.279999999999</v>
      </c>
      <c r="I34" s="26">
        <f t="shared" ref="I34:I39" si="17">F34*D34</f>
        <v>17427.784826330146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12.9</v>
      </c>
      <c r="D35" s="30">
        <v>87</v>
      </c>
      <c r="E35" s="29">
        <f t="shared" si="13"/>
        <v>1.3980844635855244E-2</v>
      </c>
      <c r="F35" s="28">
        <f t="shared" si="14"/>
        <v>14.242282953464169</v>
      </c>
      <c r="G35" s="27" t="str">
        <f t="shared" si="15"/>
        <v>+</v>
      </c>
      <c r="H35" s="26">
        <f t="shared" si="16"/>
        <v>1122.3</v>
      </c>
      <c r="I35" s="26">
        <f t="shared" si="17"/>
        <v>1239.0786169513826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10.4</v>
      </c>
      <c r="D36" s="30"/>
      <c r="E36" s="29">
        <f t="shared" si="13"/>
        <v>0</v>
      </c>
      <c r="F36" s="28">
        <f t="shared" si="14"/>
        <v>11.482150598141656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27.4</v>
      </c>
      <c r="D37" s="30"/>
      <c r="E37" s="29">
        <f t="shared" si="13"/>
        <v>0</v>
      </c>
      <c r="F37" s="28">
        <f t="shared" si="14"/>
        <v>30.251050614334744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27.4</v>
      </c>
      <c r="D38" s="30"/>
      <c r="E38" s="29">
        <f t="shared" si="13"/>
        <v>0</v>
      </c>
      <c r="F38" s="28">
        <f t="shared" si="14"/>
        <v>30.251050614334744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28.3</v>
      </c>
      <c r="D39" s="30"/>
      <c r="E39" s="29">
        <f t="shared" si="13"/>
        <v>0</v>
      </c>
      <c r="F39" s="28">
        <f t="shared" si="14"/>
        <v>31.24469826225085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16.469491525423727</v>
      </c>
      <c r="D40" s="22">
        <f>SUM(D34:D39)</f>
        <v>1026.5999999999999</v>
      </c>
      <c r="E40" s="113">
        <f t="shared" si="13"/>
        <v>0.16497396670309186</v>
      </c>
      <c r="F40" s="20">
        <f>I40/D40</f>
        <v>18.183190574012787</v>
      </c>
      <c r="G40" s="19">
        <f>F40/C40-1</f>
        <v>0.10405294212900551</v>
      </c>
      <c r="H40" s="18">
        <f>SUM(H34:H39)</f>
        <v>16907.579999999998</v>
      </c>
      <c r="I40" s="18">
        <f>SUM(I34:I39)</f>
        <v>18666.863443281527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608+83.7+620.4</f>
        <v>1312.1</v>
      </c>
      <c r="E42" s="107">
        <f>D42/$D$48</f>
        <v>0.21085363501960533</v>
      </c>
      <c r="F42" s="28">
        <f>C42-(C42*$E$6)</f>
        <v>0.44162117685160213</v>
      </c>
      <c r="G42" s="27" t="str">
        <f>IF(C42&gt;=F42,"-","+")</f>
        <v>+</v>
      </c>
      <c r="H42" s="26">
        <f>C42*D42</f>
        <v>524.84</v>
      </c>
      <c r="I42" s="26">
        <f>F42*D42</f>
        <v>579.45114614698707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69.8</v>
      </c>
      <c r="E43" s="107">
        <f>D43/$D$48</f>
        <v>1.1216815581410298E-2</v>
      </c>
      <c r="F43" s="28">
        <f>C43-(C43*$E$6)</f>
        <v>0.44162117685160213</v>
      </c>
      <c r="G43" s="27" t="str">
        <f>IF(C43&gt;=F43,"-","+")</f>
        <v>+</v>
      </c>
      <c r="H43" s="26">
        <f>C43*D43</f>
        <v>27.92</v>
      </c>
      <c r="I43" s="26">
        <f>F43*D43</f>
        <v>30.825158144241826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6.1</v>
      </c>
      <c r="E45" s="107">
        <f>D45/$D$48</f>
        <v>9.8026611814617214E-4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0.39824207492795394</v>
      </c>
      <c r="D46" s="22">
        <f>SUM(D41:D45)</f>
        <v>1387.9999999999998</v>
      </c>
      <c r="E46" s="113">
        <f>D46/$D$48</f>
        <v>0.22305071671916177</v>
      </c>
      <c r="F46" s="20">
        <f>I46/D46</f>
        <v>0.43968033450376731</v>
      </c>
      <c r="G46" s="19">
        <f>F46/C46-1</f>
        <v>0.10405294212900529</v>
      </c>
      <c r="H46" s="18">
        <f>SUM(H41:H44)</f>
        <v>552.76</v>
      </c>
      <c r="I46" s="18">
        <f>SUM(I41:I44)</f>
        <v>610.27630429122894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89.570902867831322</v>
      </c>
      <c r="D48" s="13">
        <f>D24+D32+D40+D46</f>
        <v>6222.7999999999993</v>
      </c>
      <c r="E48" s="12">
        <f>SUM(E20:E46)/2</f>
        <v>1</v>
      </c>
      <c r="F48" s="11">
        <f>I48/D48</f>
        <v>23.709999999999997</v>
      </c>
      <c r="G48" s="10"/>
      <c r="H48" s="9">
        <f>SUM(H20:H46)/2</f>
        <v>133637.24000000002</v>
      </c>
      <c r="I48" s="9">
        <f>SUM(I20:I46)/2</f>
        <v>147542.58799999996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6222.8</v>
      </c>
      <c r="E50" s="12">
        <f>D50/G2</f>
        <v>1</v>
      </c>
      <c r="F50" s="11">
        <f>I50/D50</f>
        <v>23.709999999999994</v>
      </c>
      <c r="G50" s="10"/>
      <c r="H50" s="9">
        <f>H48+H19</f>
        <v>133637.24000000002</v>
      </c>
      <c r="I50" s="9">
        <f>I48+I19</f>
        <v>147542.58799999996</v>
      </c>
      <c r="J50" s="106">
        <f>D50-G2</f>
        <v>0</v>
      </c>
      <c r="K50" s="8"/>
    </row>
    <row r="51" spans="1:11" ht="23.25" x14ac:dyDescent="0.35">
      <c r="A51" s="174" t="s">
        <v>954</v>
      </c>
      <c r="B51" s="169"/>
      <c r="C51" s="170"/>
      <c r="G51" s="7"/>
      <c r="H51" s="6"/>
      <c r="I51" s="6">
        <f>+I50/D50</f>
        <v>23.709999999999994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 bestFit="1" customWidth="1"/>
  </cols>
  <sheetData>
    <row r="1" spans="1:11" ht="15.75" x14ac:dyDescent="0.25">
      <c r="A1" s="103" t="s">
        <v>0</v>
      </c>
      <c r="B1" s="102"/>
      <c r="C1" s="101" t="s">
        <v>955</v>
      </c>
      <c r="D1" s="100" t="s">
        <v>1</v>
      </c>
      <c r="E1" s="168" t="s">
        <v>775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955</v>
      </c>
      <c r="D2" s="96" t="s">
        <v>3</v>
      </c>
      <c r="E2" s="95" t="s">
        <v>112</v>
      </c>
      <c r="F2" s="94" t="s">
        <v>5</v>
      </c>
      <c r="G2" s="116">
        <v>15999.2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168</v>
      </c>
      <c r="D3" s="90" t="s">
        <v>7</v>
      </c>
      <c r="E3" s="89">
        <v>240</v>
      </c>
      <c r="F3" s="88" t="s">
        <v>8</v>
      </c>
      <c r="G3" s="120">
        <v>25.09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66.663333333333341</v>
      </c>
      <c r="F4" s="81" t="s">
        <v>12</v>
      </c>
      <c r="G4" s="80">
        <f>G2*G3</f>
        <v>401419.92800000001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-8.4492049979147499E-2</v>
      </c>
      <c r="F6" s="69" t="s">
        <v>16</v>
      </c>
      <c r="G6" s="68">
        <f>(I50-I19)/(D50-(SUM(D42:D44)+D19))</f>
        <v>31.827654591153077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25.1</v>
      </c>
      <c r="D10" s="30"/>
      <c r="E10" s="29" t="e">
        <f t="shared" ref="E10:E19" si="1">D10/$D$19</f>
        <v>#DIV/0!</v>
      </c>
      <c r="F10" s="28">
        <f t="shared" ref="F10:F18" si="2">C10-(C10*$E$6)</f>
        <v>27.220750454476605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26.1</v>
      </c>
      <c r="D11" s="30"/>
      <c r="E11" s="29" t="e">
        <f t="shared" si="1"/>
        <v>#DIV/0!</v>
      </c>
      <c r="F11" s="28">
        <f t="shared" si="2"/>
        <v>28.305242504455752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23.9</v>
      </c>
      <c r="D12" s="30"/>
      <c r="E12" s="29" t="e">
        <f t="shared" si="1"/>
        <v>#DIV/0!</v>
      </c>
      <c r="F12" s="28">
        <f t="shared" si="2"/>
        <v>25.919359994501622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26.1</v>
      </c>
      <c r="D13" s="30"/>
      <c r="E13" s="29" t="e">
        <f t="shared" si="1"/>
        <v>#DIV/0!</v>
      </c>
      <c r="F13" s="28">
        <f t="shared" si="2"/>
        <v>28.305242504455752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29.2</v>
      </c>
      <c r="D14" s="30"/>
      <c r="E14" s="29" t="e">
        <f t="shared" si="1"/>
        <v>#DIV/0!</v>
      </c>
      <c r="F14" s="28">
        <f t="shared" si="2"/>
        <v>31.667167859391107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24.1</v>
      </c>
      <c r="D15" s="30"/>
      <c r="E15" s="29" t="e">
        <f t="shared" si="1"/>
        <v>#DIV/0!</v>
      </c>
      <c r="F15" s="28">
        <f t="shared" si="2"/>
        <v>26.136258404497458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33</v>
      </c>
      <c r="D16" s="30"/>
      <c r="E16" s="29" t="e">
        <f t="shared" si="1"/>
        <v>#DIV/0!</v>
      </c>
      <c r="F16" s="28">
        <f t="shared" si="2"/>
        <v>35.788237649311867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48.5</v>
      </c>
      <c r="D17" s="30"/>
      <c r="E17" s="29" t="e">
        <f t="shared" si="1"/>
        <v>#DIV/0!</v>
      </c>
      <c r="F17" s="28">
        <f t="shared" si="2"/>
        <v>52.597864423988653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42.5</v>
      </c>
      <c r="D18" s="30"/>
      <c r="E18" s="29" t="e">
        <f t="shared" si="1"/>
        <v>#DIV/0!</v>
      </c>
      <c r="F18" s="28">
        <f t="shared" si="2"/>
        <v>46.090912124113771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63.1</v>
      </c>
      <c r="D21" s="30">
        <v>218.1</v>
      </c>
      <c r="E21" s="29">
        <f>D21/$D$48</f>
        <v>1.3631931596579829E-2</v>
      </c>
      <c r="F21" s="28">
        <f>C21-(C21*$E$6)</f>
        <v>68.431448353684203</v>
      </c>
      <c r="G21" s="27" t="str">
        <f>IF(C21&gt;=F21,"-","+")</f>
        <v>+</v>
      </c>
      <c r="H21" s="26">
        <f>C21*D21</f>
        <v>13762.11</v>
      </c>
      <c r="I21" s="26">
        <f>F21*D21</f>
        <v>14924.898885938524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42.4</v>
      </c>
      <c r="D22" s="30">
        <v>414.4</v>
      </c>
      <c r="E22" s="29">
        <f>D22/$D$48</f>
        <v>2.5901295064753235E-2</v>
      </c>
      <c r="F22" s="28">
        <f>C22-(C22*$E$6)</f>
        <v>45.982462919115854</v>
      </c>
      <c r="G22" s="27" t="str">
        <f>IF(C22&gt;=F22,"-","+")</f>
        <v>+</v>
      </c>
      <c r="H22" s="26">
        <f>C22*D22</f>
        <v>17570.559999999998</v>
      </c>
      <c r="I22" s="26">
        <f>F22*D22</f>
        <v>19055.132633681609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38.6</v>
      </c>
      <c r="D23" s="30">
        <v>355.9</v>
      </c>
      <c r="E23" s="29">
        <f>D23/$D$48</f>
        <v>2.2244862243112153E-2</v>
      </c>
      <c r="F23" s="28">
        <f>C23-(C23*$E$6)</f>
        <v>41.861393129195093</v>
      </c>
      <c r="G23" s="27" t="str">
        <f>IF(C23&gt;=F23,"-","+")</f>
        <v>+</v>
      </c>
      <c r="H23" s="26">
        <f>C23*D23</f>
        <v>13737.74</v>
      </c>
      <c r="I23" s="26">
        <f>F23*D23</f>
        <v>14898.469814680533</v>
      </c>
      <c r="J23" s="25"/>
      <c r="K23" s="25"/>
    </row>
    <row r="24" spans="1:11" x14ac:dyDescent="0.25">
      <c r="A24" s="24" t="s">
        <v>34</v>
      </c>
      <c r="B24" s="23"/>
      <c r="C24" s="20">
        <f>H24/D24</f>
        <v>45.59936260623229</v>
      </c>
      <c r="D24" s="22">
        <f>SUM(D21:D23)</f>
        <v>988.4</v>
      </c>
      <c r="E24" s="21">
        <f>D24/$D$48</f>
        <v>6.1778088904445215E-2</v>
      </c>
      <c r="F24" s="20">
        <f>I24/D24</f>
        <v>49.452146230575337</v>
      </c>
      <c r="G24" s="19">
        <f>F24/C24-1</f>
        <v>8.4492049979147499E-2</v>
      </c>
      <c r="H24" s="18">
        <f>SUM(H21:H23)</f>
        <v>45070.409999999996</v>
      </c>
      <c r="I24" s="18">
        <f>SUM(I21:I23)</f>
        <v>48878.501334300665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33.700000000000003</v>
      </c>
      <c r="D26" s="30">
        <f>479.6+101.1+2326.6</f>
        <v>2907.3</v>
      </c>
      <c r="E26" s="29">
        <f t="shared" ref="E26:E32" si="7">D26/$D$48</f>
        <v>0.18171533576678833</v>
      </c>
      <c r="F26" s="28">
        <f t="shared" ref="F26:F31" si="8">C26-(C26*$E$6)</f>
        <v>36.547382084297276</v>
      </c>
      <c r="G26" s="27" t="str">
        <f t="shared" ref="G26:G31" si="9">IF(C26&gt;=F26,"-","+")</f>
        <v>+</v>
      </c>
      <c r="H26" s="26">
        <f t="shared" ref="H26:H31" si="10">C26*D26</f>
        <v>97976.010000000009</v>
      </c>
      <c r="I26" s="26">
        <f t="shared" ref="I26:I31" si="11">F26*D26</f>
        <v>106254.20393367748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30</v>
      </c>
      <c r="D27" s="30">
        <v>2524.3000000000002</v>
      </c>
      <c r="E27" s="29">
        <f t="shared" si="7"/>
        <v>0.1577766388319416</v>
      </c>
      <c r="F27" s="28">
        <f t="shared" si="8"/>
        <v>32.534761499374426</v>
      </c>
      <c r="G27" s="27" t="str">
        <f t="shared" si="9"/>
        <v>+</v>
      </c>
      <c r="H27" s="26">
        <f t="shared" si="10"/>
        <v>75729</v>
      </c>
      <c r="I27" s="26">
        <f t="shared" si="11"/>
        <v>82127.498452870874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30</v>
      </c>
      <c r="D28" s="30">
        <v>1168.8</v>
      </c>
      <c r="E28" s="29">
        <f t="shared" si="7"/>
        <v>7.3053652682634126E-2</v>
      </c>
      <c r="F28" s="28">
        <f t="shared" si="8"/>
        <v>32.534761499374426</v>
      </c>
      <c r="G28" s="27" t="str">
        <f t="shared" si="9"/>
        <v>+</v>
      </c>
      <c r="H28" s="26">
        <f t="shared" si="10"/>
        <v>35064</v>
      </c>
      <c r="I28" s="26">
        <f t="shared" si="11"/>
        <v>38026.629240468828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29</v>
      </c>
      <c r="D29" s="30">
        <v>1146.7</v>
      </c>
      <c r="E29" s="29">
        <f t="shared" si="7"/>
        <v>7.1672333616680836E-2</v>
      </c>
      <c r="F29" s="28">
        <f t="shared" si="8"/>
        <v>31.450269449395279</v>
      </c>
      <c r="G29" s="27" t="str">
        <f t="shared" si="9"/>
        <v>+</v>
      </c>
      <c r="H29" s="26">
        <f t="shared" si="10"/>
        <v>33254.300000000003</v>
      </c>
      <c r="I29" s="26">
        <f t="shared" si="11"/>
        <v>36064.023977621568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29</v>
      </c>
      <c r="D30" s="30">
        <v>992.1</v>
      </c>
      <c r="E30" s="29">
        <f t="shared" si="7"/>
        <v>6.2009350467523372E-2</v>
      </c>
      <c r="F30" s="28">
        <f t="shared" si="8"/>
        <v>31.450269449395279</v>
      </c>
      <c r="G30" s="27" t="str">
        <f t="shared" si="9"/>
        <v>+</v>
      </c>
      <c r="H30" s="26">
        <f t="shared" si="10"/>
        <v>28770.9</v>
      </c>
      <c r="I30" s="26">
        <f t="shared" si="11"/>
        <v>31201.812320745055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29.5</v>
      </c>
      <c r="D31" s="30">
        <v>246.5</v>
      </c>
      <c r="E31" s="29">
        <f t="shared" si="7"/>
        <v>1.5407020351017551E-2</v>
      </c>
      <c r="F31" s="28">
        <f t="shared" si="8"/>
        <v>31.992515474384852</v>
      </c>
      <c r="G31" s="27" t="str">
        <f t="shared" si="9"/>
        <v>+</v>
      </c>
      <c r="H31" s="26">
        <f t="shared" si="10"/>
        <v>7271.75</v>
      </c>
      <c r="I31" s="26">
        <f t="shared" si="11"/>
        <v>7886.1550644358658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30.945386558643179</v>
      </c>
      <c r="D32" s="22">
        <f>SUM(D26:D31)</f>
        <v>8985.7000000000007</v>
      </c>
      <c r="E32" s="21">
        <f t="shared" si="7"/>
        <v>0.56163433171658583</v>
      </c>
      <c r="F32" s="20">
        <f>I32/D32</f>
        <v>33.560025706380095</v>
      </c>
      <c r="G32" s="19">
        <f>F32/C32-1</f>
        <v>8.4492049979147499E-2</v>
      </c>
      <c r="H32" s="18">
        <f>SUM(H26:H31)</f>
        <v>278065.96000000002</v>
      </c>
      <c r="I32" s="18">
        <f>SUM(I26:I31)</f>
        <v>301560.32298981963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17.7</v>
      </c>
      <c r="D34" s="30">
        <f>1233.8+1176.2</f>
        <v>2410</v>
      </c>
      <c r="E34" s="29">
        <f t="shared" ref="E34:E40" si="13">D34/$D$48</f>
        <v>0.15063253162658133</v>
      </c>
      <c r="F34" s="28">
        <f t="shared" ref="F34:F39" si="14">C34-(C34*$E$6)</f>
        <v>19.195509284630909</v>
      </c>
      <c r="G34" s="27" t="str">
        <f t="shared" ref="G34:G39" si="15">IF(C34&gt;=F34,"-","+")</f>
        <v>+</v>
      </c>
      <c r="H34" s="26">
        <f t="shared" ref="H34:H39" si="16">C34*D34</f>
        <v>42657</v>
      </c>
      <c r="I34" s="26">
        <f t="shared" ref="I34:I39" si="17">F34*D34</f>
        <v>46261.177375960491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13.6</v>
      </c>
      <c r="D35" s="30">
        <v>220.4</v>
      </c>
      <c r="E35" s="29">
        <f t="shared" si="13"/>
        <v>1.3775688784439221E-2</v>
      </c>
      <c r="F35" s="28">
        <f t="shared" si="14"/>
        <v>14.749091879716406</v>
      </c>
      <c r="G35" s="27" t="str">
        <f t="shared" si="15"/>
        <v>+</v>
      </c>
      <c r="H35" s="26">
        <f t="shared" si="16"/>
        <v>2997.44</v>
      </c>
      <c r="I35" s="26">
        <f t="shared" si="17"/>
        <v>3250.6998502894962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</v>
      </c>
      <c r="D36" s="30"/>
      <c r="E36" s="29">
        <f t="shared" si="13"/>
        <v>0</v>
      </c>
      <c r="F36" s="28">
        <f t="shared" si="14"/>
        <v>11.929412549770623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29</v>
      </c>
      <c r="D37" s="30"/>
      <c r="E37" s="29">
        <f t="shared" si="13"/>
        <v>0</v>
      </c>
      <c r="F37" s="28">
        <f t="shared" si="14"/>
        <v>31.450269449395279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29</v>
      </c>
      <c r="D38" s="30"/>
      <c r="E38" s="29">
        <f t="shared" si="13"/>
        <v>0</v>
      </c>
      <c r="F38" s="28">
        <f t="shared" si="14"/>
        <v>31.450269449395279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30</v>
      </c>
      <c r="D39" s="30"/>
      <c r="E39" s="29">
        <f t="shared" si="13"/>
        <v>0</v>
      </c>
      <c r="F39" s="28">
        <f t="shared" si="14"/>
        <v>32.534761499374426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17.356462895377128</v>
      </c>
      <c r="D40" s="22">
        <f>SUM(D34:D39)</f>
        <v>2630.4</v>
      </c>
      <c r="E40" s="113">
        <f t="shared" si="13"/>
        <v>0.16440822041102054</v>
      </c>
      <c r="F40" s="20">
        <f>I40/D40</f>
        <v>18.82294602579455</v>
      </c>
      <c r="G40" s="19">
        <f>F40/C40-1</f>
        <v>8.4492049979147499E-2</v>
      </c>
      <c r="H40" s="18">
        <f>SUM(H34:H39)</f>
        <v>45654.44</v>
      </c>
      <c r="I40" s="18">
        <f>SUM(I34:I39)</f>
        <v>49511.877226249984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1520+192+1604.8</f>
        <v>3316.8</v>
      </c>
      <c r="E42" s="107">
        <f>D42/$D$48</f>
        <v>0.20731036551827592</v>
      </c>
      <c r="F42" s="28">
        <f>C42-(C42*$E$6)</f>
        <v>0.43379681999165903</v>
      </c>
      <c r="G42" s="27" t="str">
        <f>IF(C42&gt;=F42,"-","+")</f>
        <v>+</v>
      </c>
      <c r="H42" s="26">
        <f>C42*D42</f>
        <v>1326.7200000000003</v>
      </c>
      <c r="I42" s="26">
        <f>F42*D42</f>
        <v>1438.8172925483348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70.099999999999994</v>
      </c>
      <c r="E43" s="107">
        <f>D43/$D$48</f>
        <v>4.3814690734536718E-3</v>
      </c>
      <c r="F43" s="28">
        <f>C43-(C43*$E$6)</f>
        <v>0.43379681999165903</v>
      </c>
      <c r="G43" s="27" t="str">
        <f>IF(C43&gt;=F43,"-","+")</f>
        <v>+</v>
      </c>
      <c r="H43" s="26">
        <f>C43*D43</f>
        <v>28.04</v>
      </c>
      <c r="I43" s="26">
        <f>F43*D43</f>
        <v>30.409157081415294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7.8</v>
      </c>
      <c r="E45" s="107">
        <f>D45/$D$48</f>
        <v>4.8752437621881091E-4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0.39908092025804937</v>
      </c>
      <c r="D46" s="22">
        <f>SUM(D41:D45)</f>
        <v>3394.7000000000003</v>
      </c>
      <c r="E46" s="113">
        <f>D46/$D$48</f>
        <v>0.2121793589679484</v>
      </c>
      <c r="F46" s="20">
        <f>I46/D46</f>
        <v>0.43280008531821662</v>
      </c>
      <c r="G46" s="19">
        <f>F46/C46-1</f>
        <v>8.4492049979147499E-2</v>
      </c>
      <c r="H46" s="18">
        <f>SUM(H41:H44)</f>
        <v>1354.7600000000002</v>
      </c>
      <c r="I46" s="18">
        <f>SUM(I41:I44)</f>
        <v>1469.2264496297501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94.300292980510633</v>
      </c>
      <c r="D48" s="13">
        <f>D24+D32+D40+D46</f>
        <v>15999.2</v>
      </c>
      <c r="E48" s="12">
        <f>SUM(E20:E46)/2</f>
        <v>1</v>
      </c>
      <c r="F48" s="11">
        <f>I48/D48</f>
        <v>25.090000000000003</v>
      </c>
      <c r="G48" s="10"/>
      <c r="H48" s="9">
        <f>SUM(H20:H46)/2</f>
        <v>370145.56999999995</v>
      </c>
      <c r="I48" s="9">
        <f>SUM(I20:I46)/2</f>
        <v>401419.92800000007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15999.200000000003</v>
      </c>
      <c r="E50" s="12">
        <f>D50/G2</f>
        <v>1.0000000000000002</v>
      </c>
      <c r="F50" s="11">
        <f>I50/D50</f>
        <v>25.09</v>
      </c>
      <c r="G50" s="10"/>
      <c r="H50" s="9">
        <f>H48+H19</f>
        <v>370145.56999999995</v>
      </c>
      <c r="I50" s="9">
        <f>I48+I19</f>
        <v>401419.92800000007</v>
      </c>
      <c r="J50" s="106">
        <f>D50-G2</f>
        <v>0</v>
      </c>
      <c r="K50" s="8"/>
    </row>
    <row r="51" spans="1:11" ht="23.25" x14ac:dyDescent="0.35">
      <c r="A51" s="174" t="s">
        <v>956</v>
      </c>
      <c r="B51" s="169"/>
      <c r="C51" s="170"/>
      <c r="G51" s="7"/>
      <c r="H51" s="6"/>
      <c r="I51" s="6">
        <f>+I50/D50</f>
        <v>25.09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957</v>
      </c>
      <c r="D1" s="100" t="s">
        <v>1</v>
      </c>
      <c r="E1" s="168" t="s">
        <v>97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957</v>
      </c>
      <c r="D2" s="96" t="s">
        <v>3</v>
      </c>
      <c r="E2" s="95" t="s">
        <v>362</v>
      </c>
      <c r="F2" s="94" t="s">
        <v>5</v>
      </c>
      <c r="G2" s="93">
        <v>9370.6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128</v>
      </c>
      <c r="F3" s="88" t="s">
        <v>8</v>
      </c>
      <c r="G3" s="87">
        <v>28.47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73.207812500000003</v>
      </c>
      <c r="F4" s="81" t="s">
        <v>12</v>
      </c>
      <c r="G4" s="80">
        <f>G2*G3</f>
        <v>266780.98200000002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1.9531451101341912E-2</v>
      </c>
      <c r="F6" s="69" t="s">
        <v>16</v>
      </c>
      <c r="G6" s="68">
        <f>(I50-I19)/(D50-(SUM(D42:D44)+D19))</f>
        <v>34.167208667921763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28.5</v>
      </c>
      <c r="D10" s="30"/>
      <c r="E10" s="29" t="e">
        <f t="shared" ref="E10:E19" si="1">D10/$D$19</f>
        <v>#DIV/0!</v>
      </c>
      <c r="F10" s="28">
        <f t="shared" ref="F10:F18" si="2">C10-(C10*$E$6)</f>
        <v>27.943353643611754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29.6</v>
      </c>
      <c r="D11" s="30"/>
      <c r="E11" s="29" t="e">
        <f t="shared" si="1"/>
        <v>#DIV/0!</v>
      </c>
      <c r="F11" s="28">
        <f t="shared" si="2"/>
        <v>29.02186904740028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27.1</v>
      </c>
      <c r="D12" s="30"/>
      <c r="E12" s="29" t="e">
        <f t="shared" si="1"/>
        <v>#DIV/0!</v>
      </c>
      <c r="F12" s="28">
        <f t="shared" si="2"/>
        <v>26.570697675153635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29.6</v>
      </c>
      <c r="D13" s="30"/>
      <c r="E13" s="29" t="e">
        <f t="shared" si="1"/>
        <v>#DIV/0!</v>
      </c>
      <c r="F13" s="28">
        <f t="shared" si="2"/>
        <v>29.02186904740028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33.1</v>
      </c>
      <c r="D14" s="30"/>
      <c r="E14" s="29" t="e">
        <f t="shared" si="1"/>
        <v>#DIV/0!</v>
      </c>
      <c r="F14" s="28">
        <f t="shared" si="2"/>
        <v>32.453508968545584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27.3</v>
      </c>
      <c r="D15" s="30"/>
      <c r="E15" s="29" t="e">
        <f t="shared" si="1"/>
        <v>#DIV/0!</v>
      </c>
      <c r="F15" s="28">
        <f t="shared" si="2"/>
        <v>26.766791384933367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37.4</v>
      </c>
      <c r="D16" s="30"/>
      <c r="E16" s="29" t="e">
        <f t="shared" si="1"/>
        <v>#DIV/0!</v>
      </c>
      <c r="F16" s="28">
        <f t="shared" si="2"/>
        <v>36.669523728809814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55.1</v>
      </c>
      <c r="D17" s="30"/>
      <c r="E17" s="29" t="e">
        <f t="shared" si="1"/>
        <v>#DIV/0!</v>
      </c>
      <c r="F17" s="28">
        <f t="shared" si="2"/>
        <v>54.023817044316061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48.2</v>
      </c>
      <c r="D18" s="30"/>
      <c r="E18" s="29" t="e">
        <f t="shared" si="1"/>
        <v>#DIV/0!</v>
      </c>
      <c r="F18" s="28">
        <f t="shared" si="2"/>
        <v>47.258584056915325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71.599999999999994</v>
      </c>
      <c r="D21" s="30">
        <v>127.9</v>
      </c>
      <c r="E21" s="29">
        <f>D21/$D$48</f>
        <v>1.3649072631421681E-2</v>
      </c>
      <c r="F21" s="28">
        <f>C21-(C21*$E$6)</f>
        <v>70.201548101143914</v>
      </c>
      <c r="G21" s="27" t="str">
        <f>IF(C21&gt;=F21,"-","+")</f>
        <v>-</v>
      </c>
      <c r="H21" s="26">
        <f>C21*D21</f>
        <v>9157.64</v>
      </c>
      <c r="I21" s="26">
        <f>F21*D21</f>
        <v>8978.7780021363069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48.1</v>
      </c>
      <c r="D22" s="30">
        <v>277.3</v>
      </c>
      <c r="E22" s="29">
        <f>D22/$D$48</f>
        <v>2.959255543935287E-2</v>
      </c>
      <c r="F22" s="28">
        <f>C22-(C22*$E$6)</f>
        <v>47.160537202025452</v>
      </c>
      <c r="G22" s="27" t="str">
        <f>IF(C22&gt;=F22,"-","+")</f>
        <v>-</v>
      </c>
      <c r="H22" s="26">
        <f>C22*D22</f>
        <v>13338.130000000001</v>
      </c>
      <c r="I22" s="26">
        <f>F22*D22</f>
        <v>13077.616966121659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43.8</v>
      </c>
      <c r="D23" s="30">
        <v>260.2</v>
      </c>
      <c r="E23" s="29">
        <f>D23/$D$48</f>
        <v>2.7767698973384838E-2</v>
      </c>
      <c r="F23" s="28">
        <f>C23-(C23*$E$6)</f>
        <v>42.944522441761222</v>
      </c>
      <c r="G23" s="27" t="str">
        <f>IF(C23&gt;=F23,"-","+")</f>
        <v>-</v>
      </c>
      <c r="H23" s="26">
        <f>C23*D23</f>
        <v>11396.759999999998</v>
      </c>
      <c r="I23" s="26">
        <f>F23*D23</f>
        <v>11174.16473934627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50.935572587917036</v>
      </c>
      <c r="D24" s="22">
        <f>SUM(D21:D23)</f>
        <v>665.40000000000009</v>
      </c>
      <c r="E24" s="21">
        <f>D24/$D$48</f>
        <v>7.1009327044159395E-2</v>
      </c>
      <c r="F24" s="20">
        <f>I24/D24</f>
        <v>49.940726942597273</v>
      </c>
      <c r="G24" s="19">
        <f>F24/C24-1</f>
        <v>-1.9531451101342134E-2</v>
      </c>
      <c r="H24" s="18">
        <f>SUM(H21:H23)</f>
        <v>33892.53</v>
      </c>
      <c r="I24" s="18">
        <f>SUM(I21:I23)</f>
        <v>33230.559707604232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38.200000000000003</v>
      </c>
      <c r="D26" s="30">
        <v>1947</v>
      </c>
      <c r="E26" s="29">
        <f t="shared" ref="E26:E32" si="7">D26/$D$48</f>
        <v>0.20777751691460525</v>
      </c>
      <c r="F26" s="28">
        <f t="shared" ref="F26:F31" si="8">C26-(C26*$E$6)</f>
        <v>37.453898567928739</v>
      </c>
      <c r="G26" s="27" t="str">
        <f t="shared" ref="G26:G31" si="9">IF(C26&gt;=F26,"-","+")</f>
        <v>-</v>
      </c>
      <c r="H26" s="26">
        <f t="shared" ref="H26:H31" si="10">C26*D26</f>
        <v>74375.400000000009</v>
      </c>
      <c r="I26" s="26">
        <f t="shared" ref="I26:I31" si="11">F26*D26</f>
        <v>72922.740511757249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34</v>
      </c>
      <c r="D27" s="30">
        <v>1556.1</v>
      </c>
      <c r="E27" s="29">
        <f t="shared" si="7"/>
        <v>0.1660619384030905</v>
      </c>
      <c r="F27" s="28">
        <f t="shared" si="8"/>
        <v>33.335930662554375</v>
      </c>
      <c r="G27" s="27" t="str">
        <f t="shared" si="9"/>
        <v>-</v>
      </c>
      <c r="H27" s="26">
        <f t="shared" si="10"/>
        <v>52907.399999999994</v>
      </c>
      <c r="I27" s="26">
        <f t="shared" si="11"/>
        <v>51874.041704000862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34</v>
      </c>
      <c r="D28" s="30">
        <v>1135.4000000000001</v>
      </c>
      <c r="E28" s="29">
        <f t="shared" si="7"/>
        <v>0.1211662006701812</v>
      </c>
      <c r="F28" s="28">
        <f t="shared" si="8"/>
        <v>33.335930662554375</v>
      </c>
      <c r="G28" s="27" t="str">
        <f t="shared" si="9"/>
        <v>-</v>
      </c>
      <c r="H28" s="26">
        <f t="shared" si="10"/>
        <v>38603.600000000006</v>
      </c>
      <c r="I28" s="26">
        <f t="shared" si="11"/>
        <v>37849.615674264242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32.9</v>
      </c>
      <c r="D29" s="30">
        <v>776.5</v>
      </c>
      <c r="E29" s="29">
        <f t="shared" si="7"/>
        <v>8.2865558235331774E-2</v>
      </c>
      <c r="F29" s="28">
        <f t="shared" si="8"/>
        <v>32.257415258765853</v>
      </c>
      <c r="G29" s="27" t="str">
        <f t="shared" si="9"/>
        <v>-</v>
      </c>
      <c r="H29" s="26">
        <f t="shared" si="10"/>
        <v>25546.85</v>
      </c>
      <c r="I29" s="26">
        <f t="shared" si="11"/>
        <v>25047.882948431685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32.9</v>
      </c>
      <c r="D30" s="30">
        <v>589.20000000000005</v>
      </c>
      <c r="E30" s="29">
        <f t="shared" si="7"/>
        <v>6.2877510511600107E-2</v>
      </c>
      <c r="F30" s="28">
        <f t="shared" si="8"/>
        <v>32.257415258765853</v>
      </c>
      <c r="G30" s="27" t="str">
        <f t="shared" si="9"/>
        <v>-</v>
      </c>
      <c r="H30" s="26">
        <f t="shared" si="10"/>
        <v>19384.68</v>
      </c>
      <c r="I30" s="26">
        <f t="shared" si="11"/>
        <v>19006.06907046484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33.5</v>
      </c>
      <c r="D31" s="30">
        <v>285.39999999999998</v>
      </c>
      <c r="E31" s="29">
        <f t="shared" si="7"/>
        <v>3.0456961133758773E-2</v>
      </c>
      <c r="F31" s="28">
        <f t="shared" si="8"/>
        <v>32.845696388105047</v>
      </c>
      <c r="G31" s="27" t="str">
        <f t="shared" si="9"/>
        <v>-</v>
      </c>
      <c r="H31" s="26">
        <f t="shared" si="10"/>
        <v>9560.9</v>
      </c>
      <c r="I31" s="26">
        <f t="shared" si="11"/>
        <v>9374.1617491651796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35.038608178580517</v>
      </c>
      <c r="D32" s="22">
        <f>SUM(D26:D31)</f>
        <v>6289.5999999999995</v>
      </c>
      <c r="E32" s="21">
        <f t="shared" si="7"/>
        <v>0.67120568586856755</v>
      </c>
      <c r="F32" s="20">
        <f>I32/D32</f>
        <v>34.354253316281493</v>
      </c>
      <c r="G32" s="19">
        <f>F32/C32-1</f>
        <v>-1.9531451101341912E-2</v>
      </c>
      <c r="H32" s="18">
        <f>SUM(H26:H31)</f>
        <v>220378.83000000002</v>
      </c>
      <c r="I32" s="18">
        <f>SUM(I26:I31)</f>
        <v>216074.51165808405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20.100000000000001</v>
      </c>
      <c r="D34" s="30">
        <v>847.9</v>
      </c>
      <c r="E34" s="29">
        <f t="shared" ref="E34:E40" si="13">D34/$D$48</f>
        <v>9.0485134356391259E-2</v>
      </c>
      <c r="F34" s="28">
        <f t="shared" ref="F34:F39" si="14">C34-(C34*$E$6)</f>
        <v>19.70741783286303</v>
      </c>
      <c r="G34" s="27" t="str">
        <f t="shared" ref="G34:G39" si="15">IF(C34&gt;=F34,"-","+")</f>
        <v>-</v>
      </c>
      <c r="H34" s="26">
        <f t="shared" ref="H34:H39" si="16">C34*D34</f>
        <v>17042.79</v>
      </c>
      <c r="I34" s="26">
        <f t="shared" ref="I34:I39" si="17">F34*D34</f>
        <v>16709.919580484562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15.5</v>
      </c>
      <c r="D35" s="30"/>
      <c r="E35" s="29">
        <f t="shared" si="13"/>
        <v>0</v>
      </c>
      <c r="F35" s="28">
        <f t="shared" si="14"/>
        <v>15.197262507929201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12.157810006343361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32.9</v>
      </c>
      <c r="D37" s="30"/>
      <c r="E37" s="29">
        <f t="shared" si="13"/>
        <v>0</v>
      </c>
      <c r="F37" s="28">
        <f t="shared" si="14"/>
        <v>32.257415258765853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32.9</v>
      </c>
      <c r="D38" s="30"/>
      <c r="E38" s="29">
        <f t="shared" si="13"/>
        <v>0</v>
      </c>
      <c r="F38" s="28">
        <f t="shared" si="14"/>
        <v>32.257415258765853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34</v>
      </c>
      <c r="D39" s="30"/>
      <c r="E39" s="29">
        <f t="shared" si="13"/>
        <v>0</v>
      </c>
      <c r="F39" s="28">
        <f t="shared" si="14"/>
        <v>33.335930662554375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20.100000000000001</v>
      </c>
      <c r="D40" s="22">
        <f>SUM(D34:D39)</f>
        <v>847.9</v>
      </c>
      <c r="E40" s="113">
        <f t="shared" si="13"/>
        <v>9.0485134356391259E-2</v>
      </c>
      <c r="F40" s="20">
        <f>I40/D40</f>
        <v>19.70741783286303</v>
      </c>
      <c r="G40" s="19">
        <f>F40/C40-1</f>
        <v>-1.9531451101341912E-2</v>
      </c>
      <c r="H40" s="18">
        <f>SUM(H34:H39)</f>
        <v>17042.79</v>
      </c>
      <c r="I40" s="18">
        <f>SUM(I34:I39)</f>
        <v>16709.919580484562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1485</v>
      </c>
      <c r="E42" s="107">
        <f>D42/$D$48</f>
        <v>0.15847437730774977</v>
      </c>
      <c r="F42" s="28">
        <f>C42-(C42*$E$6)</f>
        <v>0.49023427444932904</v>
      </c>
      <c r="G42" s="27" t="str">
        <f>IF(C42&gt;=F42,"-","+")</f>
        <v>-</v>
      </c>
      <c r="H42" s="26">
        <f>C42*D42</f>
        <v>742.5</v>
      </c>
      <c r="I42" s="26">
        <f>F42*D42</f>
        <v>727.99789755725362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77.5</v>
      </c>
      <c r="E43" s="107">
        <f>D43/$D$48</f>
        <v>8.2705483106738087E-3</v>
      </c>
      <c r="F43" s="28">
        <f>C43-(C43*$E$6)</f>
        <v>0.49023427444932904</v>
      </c>
      <c r="G43" s="27" t="str">
        <f>IF(C43&gt;=F43,"-","+")</f>
        <v>-</v>
      </c>
      <c r="H43" s="26">
        <f>C43*D43</f>
        <v>38.75</v>
      </c>
      <c r="I43" s="26">
        <f>F43*D43</f>
        <v>37.993156269823004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5.5492711245811366E-4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0.49834151942335903</v>
      </c>
      <c r="D46" s="22">
        <f>SUM(D41:D45)</f>
        <v>1567.7</v>
      </c>
      <c r="E46" s="113">
        <f>D46/$D$48</f>
        <v>0.16729985273088169</v>
      </c>
      <c r="F46" s="20">
        <f>I46/D46</f>
        <v>0.48860818640497328</v>
      </c>
      <c r="G46" s="19">
        <f>F46/C46-1</f>
        <v>-1.9531451101341912E-2</v>
      </c>
      <c r="H46" s="18">
        <f>SUM(H41:H44)</f>
        <v>781.25</v>
      </c>
      <c r="I46" s="18">
        <f>SUM(I41:I44)</f>
        <v>765.9910538270766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106.57252228592093</v>
      </c>
      <c r="D48" s="13">
        <f>D24+D32+D40+D46</f>
        <v>9370.6</v>
      </c>
      <c r="E48" s="12">
        <f>SUM(E20:E46)/2</f>
        <v>0.99999999999999989</v>
      </c>
      <c r="F48" s="11">
        <f>I48/D48</f>
        <v>28.469999999999981</v>
      </c>
      <c r="G48" s="10"/>
      <c r="H48" s="9">
        <f>SUM(H20:H46)/2</f>
        <v>272095.40000000008</v>
      </c>
      <c r="I48" s="9">
        <f>SUM(I20:I46)/2</f>
        <v>266780.98199999984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9370.5999999999985</v>
      </c>
      <c r="E50" s="12">
        <f>D50/G2</f>
        <v>0.99999999999999978</v>
      </c>
      <c r="F50" s="11">
        <f>I50/D50</f>
        <v>28.469999999999988</v>
      </c>
      <c r="G50" s="10"/>
      <c r="H50" s="9">
        <f>H48+H19</f>
        <v>272095.40000000008</v>
      </c>
      <c r="I50" s="9">
        <f>I48+I19</f>
        <v>266780.98199999984</v>
      </c>
      <c r="J50" s="106">
        <f>D50-G2</f>
        <v>0</v>
      </c>
      <c r="K50" s="8"/>
    </row>
    <row r="51" spans="1:11" ht="23.25" x14ac:dyDescent="0.35">
      <c r="A51" s="174" t="s">
        <v>782</v>
      </c>
      <c r="B51" s="169"/>
      <c r="C51" s="170"/>
      <c r="G51" s="7"/>
      <c r="H51" s="6"/>
      <c r="I51" s="6">
        <f>+I50/D50</f>
        <v>28.469999999999988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948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957</v>
      </c>
      <c r="D2" s="96" t="s">
        <v>3</v>
      </c>
      <c r="E2" s="95" t="s">
        <v>71</v>
      </c>
      <c r="F2" s="94" t="s">
        <v>5</v>
      </c>
      <c r="G2" s="93">
        <v>16769.099999999999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200</v>
      </c>
      <c r="F3" s="88" t="s">
        <v>8</v>
      </c>
      <c r="G3" s="87">
        <v>28.35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83.845499999999987</v>
      </c>
      <c r="F4" s="81" t="s">
        <v>12</v>
      </c>
      <c r="G4" s="80">
        <f>G2*G3</f>
        <v>475403.98499999999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-1.5447997953400128E-2</v>
      </c>
      <c r="F6" s="69" t="s">
        <v>16</v>
      </c>
      <c r="G6" s="68">
        <f>(I50-I19)/(D50-(SUM(D42:D44)+D19))</f>
        <v>34.579430836107946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>
        <f t="shared" ref="E10:E19" si="1">D10/$D$19</f>
        <v>0</v>
      </c>
      <c r="F10" s="28">
        <f t="shared" ref="F10:F18" si="2">C10-(C10*$E$6)</f>
        <v>28.838723141876564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29.5</v>
      </c>
      <c r="D11" s="30">
        <v>1262.2</v>
      </c>
      <c r="E11" s="29">
        <f t="shared" si="1"/>
        <v>0.32491569490565553</v>
      </c>
      <c r="F11" s="28">
        <f t="shared" si="2"/>
        <v>29.955715939625303</v>
      </c>
      <c r="G11" s="27" t="str">
        <f t="shared" si="3"/>
        <v>+</v>
      </c>
      <c r="H11" s="34">
        <f t="shared" si="4"/>
        <v>37234.9</v>
      </c>
      <c r="I11" s="34">
        <f t="shared" si="5"/>
        <v>37810.104658995057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>
        <v>2274.6</v>
      </c>
      <c r="E12" s="29">
        <f t="shared" si="1"/>
        <v>0.58552783998764379</v>
      </c>
      <c r="F12" s="28">
        <f t="shared" si="2"/>
        <v>27.417095944741803</v>
      </c>
      <c r="G12" s="27" t="str">
        <f t="shared" si="3"/>
        <v>+</v>
      </c>
      <c r="H12" s="34">
        <f t="shared" si="4"/>
        <v>61414.2</v>
      </c>
      <c r="I12" s="34">
        <f t="shared" si="5"/>
        <v>62362.9264359097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29.5</v>
      </c>
      <c r="D13" s="30">
        <v>235.3</v>
      </c>
      <c r="E13" s="29">
        <f t="shared" si="1"/>
        <v>6.0570957860323835E-2</v>
      </c>
      <c r="F13" s="28">
        <f t="shared" si="2"/>
        <v>29.955715939625303</v>
      </c>
      <c r="G13" s="27" t="str">
        <f t="shared" si="3"/>
        <v>+</v>
      </c>
      <c r="H13" s="34">
        <f t="shared" si="4"/>
        <v>6941.35</v>
      </c>
      <c r="I13" s="34">
        <f t="shared" si="5"/>
        <v>7048.5799605938346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</v>
      </c>
      <c r="D14" s="30"/>
      <c r="E14" s="29">
        <f t="shared" si="1"/>
        <v>0</v>
      </c>
      <c r="F14" s="28">
        <f t="shared" si="2"/>
        <v>33.509783932462206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27.2</v>
      </c>
      <c r="D15" s="30">
        <v>112.6</v>
      </c>
      <c r="E15" s="29">
        <f t="shared" si="1"/>
        <v>2.8985507246376808E-2</v>
      </c>
      <c r="F15" s="28">
        <f t="shared" si="2"/>
        <v>27.620185544332482</v>
      </c>
      <c r="G15" s="27" t="str">
        <f t="shared" si="3"/>
        <v>+</v>
      </c>
      <c r="H15" s="34">
        <f t="shared" si="4"/>
        <v>3062.72</v>
      </c>
      <c r="I15" s="34">
        <f t="shared" si="5"/>
        <v>3110.0328922918375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>
        <f t="shared" si="1"/>
        <v>0</v>
      </c>
      <c r="F16" s="28">
        <f t="shared" si="2"/>
        <v>37.876210323661823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54.8</v>
      </c>
      <c r="D17" s="30"/>
      <c r="E17" s="29">
        <f t="shared" si="1"/>
        <v>0</v>
      </c>
      <c r="F17" s="28">
        <f t="shared" si="2"/>
        <v>55.646550287846324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</v>
      </c>
      <c r="D18" s="30"/>
      <c r="E18" s="29">
        <f t="shared" si="1"/>
        <v>0</v>
      </c>
      <c r="F18" s="28">
        <f t="shared" si="2"/>
        <v>48.74150390176321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27.969513733364224</v>
      </c>
      <c r="D19" s="49">
        <f>SUM(D10:D18)</f>
        <v>3884.7000000000003</v>
      </c>
      <c r="E19" s="48">
        <f t="shared" si="1"/>
        <v>1</v>
      </c>
      <c r="F19" s="47">
        <f>I19/D19</f>
        <v>28.401586724274829</v>
      </c>
      <c r="G19" s="46">
        <f>F19/C19-1</f>
        <v>1.5447997953400128E-2</v>
      </c>
      <c r="H19" s="9">
        <f>SUM(H10:H18)</f>
        <v>108653.17000000001</v>
      </c>
      <c r="I19" s="9">
        <f>SUM(I10:I18)</f>
        <v>110331.64394779044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71.3</v>
      </c>
      <c r="D21" s="30">
        <v>153.9</v>
      </c>
      <c r="E21" s="29">
        <f>D21/$D$48</f>
        <v>1.1944862700051229E-2</v>
      </c>
      <c r="F21" s="28">
        <f>C21-(C21*$E$6)</f>
        <v>72.401442254077423</v>
      </c>
      <c r="G21" s="27" t="str">
        <f>IF(C21&gt;=F21,"-","+")</f>
        <v>+</v>
      </c>
      <c r="H21" s="26">
        <f>C21*D21</f>
        <v>10973.07</v>
      </c>
      <c r="I21" s="26">
        <f>F21*D21</f>
        <v>11142.581962902515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47.9</v>
      </c>
      <c r="D22" s="30">
        <v>367.7</v>
      </c>
      <c r="E22" s="29">
        <f>D22/$D$48</f>
        <v>2.8538830505580485E-2</v>
      </c>
      <c r="F22" s="28">
        <f>C22-(C22*$E$6)</f>
        <v>48.639959101967868</v>
      </c>
      <c r="G22" s="27" t="str">
        <f>IF(C22&gt;=F22,"-","+")</f>
        <v>+</v>
      </c>
      <c r="H22" s="26">
        <f>C22*D22</f>
        <v>17612.829999999998</v>
      </c>
      <c r="I22" s="26">
        <f>F22*D22</f>
        <v>17884.912961793583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301.8</v>
      </c>
      <c r="E23" s="29">
        <f>D23/$D$48</f>
        <v>2.3424038745129699E-2</v>
      </c>
      <c r="F23" s="28">
        <f>C23-(C23*$E$6)</f>
        <v>44.375077510563585</v>
      </c>
      <c r="G23" s="27" t="str">
        <f>IF(C23&gt;=F23,"-","+")</f>
        <v>+</v>
      </c>
      <c r="H23" s="26">
        <f>C23*D23</f>
        <v>13188.660000000002</v>
      </c>
      <c r="I23" s="26">
        <f>F23*D23</f>
        <v>13392.39839268809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50.734223949477766</v>
      </c>
      <c r="D24" s="22">
        <f>SUM(D21:D23)</f>
        <v>823.40000000000009</v>
      </c>
      <c r="E24" s="21">
        <f>D24/$D$48</f>
        <v>6.3907731950761423E-2</v>
      </c>
      <c r="F24" s="20">
        <f>I24/D24</f>
        <v>51.517966137216639</v>
      </c>
      <c r="G24" s="19">
        <f>F24/C24-1</f>
        <v>1.5447997953400128E-2</v>
      </c>
      <c r="H24" s="18">
        <f>SUM(H21:H23)</f>
        <v>41774.559999999998</v>
      </c>
      <c r="I24" s="18">
        <f>SUM(I21:I23)</f>
        <v>42419.893317384187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</v>
      </c>
      <c r="D26" s="30">
        <f>204.1+2722</f>
        <v>2926.1</v>
      </c>
      <c r="E26" s="29">
        <f t="shared" ref="E26:E32" si="7">D26/$D$48</f>
        <v>0.22710762018596425</v>
      </c>
      <c r="F26" s="28">
        <f t="shared" ref="F26:F31" si="8">C26-(C26*$E$6)</f>
        <v>38.587023922229207</v>
      </c>
      <c r="G26" s="27" t="str">
        <f t="shared" ref="G26:G31" si="9">IF(C26&gt;=F26,"-","+")</f>
        <v>+</v>
      </c>
      <c r="H26" s="26">
        <f t="shared" ref="H26:H31" si="10">C26*D26</f>
        <v>111191.8</v>
      </c>
      <c r="I26" s="26">
        <f t="shared" ref="I26:I31" si="11">F26*D26</f>
        <v>112909.49069883488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1901.2</v>
      </c>
      <c r="E27" s="29">
        <f t="shared" si="7"/>
        <v>0.14756057807236775</v>
      </c>
      <c r="F27" s="28">
        <f t="shared" si="8"/>
        <v>34.423687130620266</v>
      </c>
      <c r="G27" s="27" t="str">
        <f t="shared" si="9"/>
        <v>+</v>
      </c>
      <c r="H27" s="26">
        <f t="shared" si="10"/>
        <v>64450.68</v>
      </c>
      <c r="I27" s="26">
        <f t="shared" si="11"/>
        <v>65446.313972735254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1290.5999999999999</v>
      </c>
      <c r="E28" s="29">
        <f t="shared" si="7"/>
        <v>0.10016919948464012</v>
      </c>
      <c r="F28" s="28">
        <f t="shared" si="8"/>
        <v>34.423687130620266</v>
      </c>
      <c r="G28" s="27" t="str">
        <f t="shared" si="9"/>
        <v>+</v>
      </c>
      <c r="H28" s="26">
        <f t="shared" si="10"/>
        <v>43751.34</v>
      </c>
      <c r="I28" s="26">
        <f t="shared" si="11"/>
        <v>44427.210610778515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32.700000000000003</v>
      </c>
      <c r="D29" s="30">
        <v>927.9</v>
      </c>
      <c r="E29" s="29">
        <f t="shared" si="7"/>
        <v>7.2018441191536942E-2</v>
      </c>
      <c r="F29" s="28">
        <f t="shared" si="8"/>
        <v>33.205149533076188</v>
      </c>
      <c r="G29" s="27" t="str">
        <f t="shared" si="9"/>
        <v>+</v>
      </c>
      <c r="H29" s="26">
        <f t="shared" si="10"/>
        <v>30342.33</v>
      </c>
      <c r="I29" s="26">
        <f t="shared" si="11"/>
        <v>30811.058251741393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32.700000000000003</v>
      </c>
      <c r="D30" s="30">
        <v>880</v>
      </c>
      <c r="E30" s="29">
        <f t="shared" si="7"/>
        <v>6.8300709396004425E-2</v>
      </c>
      <c r="F30" s="28">
        <f t="shared" si="8"/>
        <v>33.205149533076188</v>
      </c>
      <c r="G30" s="27" t="str">
        <f t="shared" si="9"/>
        <v>+</v>
      </c>
      <c r="H30" s="26">
        <f t="shared" si="10"/>
        <v>28776.000000000004</v>
      </c>
      <c r="I30" s="26">
        <f t="shared" si="11"/>
        <v>29220.531589107046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33.299999999999997</v>
      </c>
      <c r="D31" s="30">
        <v>204.4</v>
      </c>
      <c r="E31" s="29">
        <f t="shared" si="7"/>
        <v>1.5864392046071936E-2</v>
      </c>
      <c r="F31" s="28">
        <f t="shared" si="8"/>
        <v>33.814418331848223</v>
      </c>
      <c r="G31" s="27" t="str">
        <f t="shared" si="9"/>
        <v>+</v>
      </c>
      <c r="H31" s="26">
        <f t="shared" si="10"/>
        <v>6806.5199999999995</v>
      </c>
      <c r="I31" s="26">
        <f t="shared" si="11"/>
        <v>6911.6671070297771</v>
      </c>
      <c r="J31" s="25"/>
      <c r="K31" s="25"/>
    </row>
    <row r="32" spans="1:11" x14ac:dyDescent="0.25">
      <c r="A32" s="24" t="s">
        <v>34</v>
      </c>
      <c r="B32" s="23"/>
      <c r="C32" s="20">
        <f>H32/D32</f>
        <v>35.093684042212992</v>
      </c>
      <c r="D32" s="22">
        <f>SUM(D26:D31)</f>
        <v>8130.1999999999989</v>
      </c>
      <c r="E32" s="21">
        <f t="shared" si="7"/>
        <v>0.63102094037658529</v>
      </c>
      <c r="F32" s="20">
        <f>I32/D32</f>
        <v>35.635811201474361</v>
      </c>
      <c r="G32" s="19">
        <f>F32/C32-1</f>
        <v>1.5447997953399906E-2</v>
      </c>
      <c r="H32" s="18">
        <f>SUM(H26:H31)</f>
        <v>285318.67000000004</v>
      </c>
      <c r="I32" s="18">
        <f>SUM(I26:I31)</f>
        <v>289726.27223022684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f>725.3+739.3</f>
        <v>1464.6</v>
      </c>
      <c r="E34" s="29">
        <f t="shared" ref="E34:E40" si="13">D34/$D$48</f>
        <v>0.11367411247885008</v>
      </c>
      <c r="F34" s="28">
        <f t="shared" ref="F34:F39" si="14">C34-(C34*$E$6)</f>
        <v>20.308959959068002</v>
      </c>
      <c r="G34" s="27" t="str">
        <f t="shared" ref="G34:G39" si="15">IF(C34&gt;=F34,"-","+")</f>
        <v>+</v>
      </c>
      <c r="H34" s="26">
        <f t="shared" ref="H34:H39" si="16">C34*D34</f>
        <v>29292</v>
      </c>
      <c r="I34" s="26">
        <f t="shared" ref="I34:I39" si="17">F34*D34</f>
        <v>29744.502756050992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>
        <v>128.80000000000001</v>
      </c>
      <c r="E35" s="29">
        <f t="shared" si="13"/>
        <v>9.9967401934151941E-3</v>
      </c>
      <c r="F35" s="28">
        <f t="shared" si="14"/>
        <v>15.637899168482363</v>
      </c>
      <c r="G35" s="27" t="str">
        <f t="shared" si="15"/>
        <v>+</v>
      </c>
      <c r="H35" s="26">
        <f t="shared" si="16"/>
        <v>1983.5200000000002</v>
      </c>
      <c r="I35" s="26">
        <f t="shared" si="17"/>
        <v>2014.1614129005286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12.591555174622162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32.700000000000003</v>
      </c>
      <c r="D37" s="30"/>
      <c r="E37" s="29">
        <f t="shared" si="13"/>
        <v>0</v>
      </c>
      <c r="F37" s="28">
        <f t="shared" si="14"/>
        <v>33.205149533076188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32.700000000000003</v>
      </c>
      <c r="D38" s="30"/>
      <c r="E38" s="29">
        <f t="shared" si="13"/>
        <v>0</v>
      </c>
      <c r="F38" s="28">
        <f t="shared" si="14"/>
        <v>33.205149533076188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34.423687130620266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19.628166185515251</v>
      </c>
      <c r="D40" s="22">
        <f>SUM(D34:D39)</f>
        <v>1593.3999999999999</v>
      </c>
      <c r="E40" s="21">
        <f t="shared" si="13"/>
        <v>0.12367085267226527</v>
      </c>
      <c r="F40" s="20">
        <f>I40/D40</f>
        <v>19.931382056578087</v>
      </c>
      <c r="G40" s="19">
        <f>F40/C40-1</f>
        <v>1.5447997953400128E-2</v>
      </c>
      <c r="H40" s="18">
        <f>SUM(H34:H39)</f>
        <v>31275.52</v>
      </c>
      <c r="I40" s="18">
        <f>SUM(I34:I39)</f>
        <v>31758.66416895152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133+992.4+1094</f>
        <v>2219.4</v>
      </c>
      <c r="E42" s="107">
        <f>D42/$D$48</f>
        <v>0.17225749367442297</v>
      </c>
      <c r="F42" s="28">
        <f>C42-(C42*$E$6)</f>
        <v>0.50772399897670006</v>
      </c>
      <c r="G42" s="27" t="str">
        <f>IF(C42&gt;=F42,"-","+")</f>
        <v>+</v>
      </c>
      <c r="H42" s="26">
        <f>C42*D42</f>
        <v>1109.7</v>
      </c>
      <c r="I42" s="26">
        <f>F42*D42</f>
        <v>1126.8426433288882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80.099999999999994</v>
      </c>
      <c r="E43" s="107">
        <f>D43/$D$48</f>
        <v>6.2169168438863109E-3</v>
      </c>
      <c r="F43" s="28">
        <f>C43-(C43*$E$6)</f>
        <v>0.50772399897670006</v>
      </c>
      <c r="G43" s="27" t="str">
        <f>IF(C43&gt;=F43,"-","+")</f>
        <v>+</v>
      </c>
      <c r="H43" s="26">
        <f>C43*D43</f>
        <v>40.049999999999997</v>
      </c>
      <c r="I43" s="26">
        <f>F43*D43</f>
        <v>40.668692318033671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27.2</v>
      </c>
      <c r="E44" s="107">
        <f>D44/$D$48</f>
        <v>2.1111128358765005E-3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10.5</v>
      </c>
      <c r="E45" s="107">
        <f>D45/$D$48</f>
        <v>8.1495164620232555E-4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0.49193479377032351</v>
      </c>
      <c r="D46" s="22">
        <f>SUM(D41:D45)</f>
        <v>2337.1999999999998</v>
      </c>
      <c r="E46" s="113">
        <f>D46/$D$48</f>
        <v>0.18140047500038811</v>
      </c>
      <c r="F46" s="20">
        <f>I46/D46</f>
        <v>0.49953420145769384</v>
      </c>
      <c r="G46" s="19">
        <f>F46/C46-1</f>
        <v>1.544799795340035E-2</v>
      </c>
      <c r="H46" s="18">
        <f>SUM(H41:H44)</f>
        <v>1149.75</v>
      </c>
      <c r="I46" s="18">
        <f>SUM(I41:I44)</f>
        <v>1167.5113356469219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105.94800897097633</v>
      </c>
      <c r="D48" s="13">
        <f>D24+D32+D40+D46</f>
        <v>12884.199999999997</v>
      </c>
      <c r="E48" s="12">
        <f>SUM(E20:E46)/2</f>
        <v>1</v>
      </c>
      <c r="F48" s="11">
        <f>I48/D48</f>
        <v>28.334886221279529</v>
      </c>
      <c r="G48" s="10"/>
      <c r="H48" s="9">
        <f>SUM(H20:H46)/2</f>
        <v>359518.5</v>
      </c>
      <c r="I48" s="9">
        <f>SUM(I20:I46)/2</f>
        <v>365072.34105220961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16768.899999999998</v>
      </c>
      <c r="E50" s="12">
        <f>D50/G2</f>
        <v>0.99998807330148898</v>
      </c>
      <c r="F50" s="11">
        <f>I50/D50</f>
        <v>28.350338125935519</v>
      </c>
      <c r="G50" s="10"/>
      <c r="H50" s="9">
        <f>H48+H19</f>
        <v>468171.67000000004</v>
      </c>
      <c r="I50" s="9">
        <f>I48+I19</f>
        <v>475403.98500000004</v>
      </c>
      <c r="J50" s="106">
        <f>D50-G2</f>
        <v>-0.2000000000007276</v>
      </c>
      <c r="K50" s="8"/>
    </row>
    <row r="51" spans="1:11" ht="23.25" x14ac:dyDescent="0.35">
      <c r="A51" s="174" t="s">
        <v>958</v>
      </c>
      <c r="B51" s="169"/>
      <c r="C51" s="170"/>
      <c r="G51" s="7"/>
      <c r="H51" s="6"/>
      <c r="I51" s="6">
        <f>+I50/D50</f>
        <v>28.350338125935519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19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957</v>
      </c>
      <c r="D1" s="100" t="s">
        <v>1</v>
      </c>
      <c r="E1" s="168" t="s">
        <v>959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960</v>
      </c>
      <c r="D2" s="96" t="s">
        <v>3</v>
      </c>
      <c r="E2" s="95" t="s">
        <v>107</v>
      </c>
      <c r="F2" s="94" t="s">
        <v>5</v>
      </c>
      <c r="G2" s="93">
        <v>3180.3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961</v>
      </c>
      <c r="D3" s="90" t="s">
        <v>7</v>
      </c>
      <c r="E3" s="89">
        <v>40</v>
      </c>
      <c r="F3" s="88" t="s">
        <v>8</v>
      </c>
      <c r="G3" s="87">
        <v>27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79.507500000000007</v>
      </c>
      <c r="F4" s="81" t="s">
        <v>12</v>
      </c>
      <c r="G4" s="80">
        <f>G2*G3</f>
        <v>85868.1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-6.9585695454137397E-3</v>
      </c>
      <c r="F6" s="69" t="s">
        <v>16</v>
      </c>
      <c r="G6" s="68">
        <f>(I50-I19)/(D50-(SUM(D42:D44)+D19))</f>
        <v>32.278813623035859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</v>
      </c>
      <c r="D10" s="30"/>
      <c r="E10" s="29" t="e">
        <f t="shared" ref="E10:E19" si="1">D10/$D$19</f>
        <v>#DIV/0!</v>
      </c>
      <c r="F10" s="28">
        <f t="shared" ref="F10:F18" si="2">C10-(C10*$E$6)</f>
        <v>27.187881377726171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28.1</v>
      </c>
      <c r="D11" s="30"/>
      <c r="E11" s="29" t="e">
        <f t="shared" si="1"/>
        <v>#DIV/0!</v>
      </c>
      <c r="F11" s="28">
        <f t="shared" si="2"/>
        <v>28.295535804226127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25.7</v>
      </c>
      <c r="D12" s="30"/>
      <c r="E12" s="29" t="e">
        <f t="shared" si="1"/>
        <v>#DIV/0!</v>
      </c>
      <c r="F12" s="28">
        <f t="shared" si="2"/>
        <v>25.878835237317134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28.1</v>
      </c>
      <c r="D13" s="30"/>
      <c r="E13" s="29" t="e">
        <f t="shared" si="1"/>
        <v>#DIV/0!</v>
      </c>
      <c r="F13" s="28">
        <f t="shared" si="2"/>
        <v>28.295535804226127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31.4</v>
      </c>
      <c r="D14" s="30"/>
      <c r="E14" s="29" t="e">
        <f t="shared" si="1"/>
        <v>#DIV/0!</v>
      </c>
      <c r="F14" s="28">
        <f t="shared" si="2"/>
        <v>31.61849908372599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25.9</v>
      </c>
      <c r="D15" s="30"/>
      <c r="E15" s="29" t="e">
        <f t="shared" si="1"/>
        <v>#DIV/0!</v>
      </c>
      <c r="F15" s="28">
        <f t="shared" si="2"/>
        <v>26.080226951226216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35.5</v>
      </c>
      <c r="D16" s="30"/>
      <c r="E16" s="29" t="e">
        <f t="shared" si="1"/>
        <v>#DIV/0!</v>
      </c>
      <c r="F16" s="28">
        <f t="shared" si="2"/>
        <v>35.747029218862188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52.2</v>
      </c>
      <c r="D17" s="30"/>
      <c r="E17" s="29" t="e">
        <f t="shared" si="1"/>
        <v>#DIV/0!</v>
      </c>
      <c r="F17" s="28">
        <f t="shared" si="2"/>
        <v>52.563237330270603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45.7</v>
      </c>
      <c r="D18" s="30"/>
      <c r="E18" s="29" t="e">
        <f t="shared" si="1"/>
        <v>#DIV/0!</v>
      </c>
      <c r="F18" s="28">
        <f t="shared" si="2"/>
        <v>46.018006628225407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67.900000000000006</v>
      </c>
      <c r="D21" s="30">
        <v>45.6</v>
      </c>
      <c r="E21" s="29">
        <f>D21/$D$48</f>
        <v>1.4338269974530705E-2</v>
      </c>
      <c r="F21" s="28">
        <f>C21-(C21*$E$6)</f>
        <v>68.372486872133592</v>
      </c>
      <c r="G21" s="27" t="str">
        <f>IF(C21&gt;=F21,"-","+")</f>
        <v>+</v>
      </c>
      <c r="H21" s="26">
        <f>C21*D21</f>
        <v>3096.2400000000002</v>
      </c>
      <c r="I21" s="26">
        <f>F21*D21</f>
        <v>3117.7854013692918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45.6</v>
      </c>
      <c r="D22" s="30">
        <v>88.1</v>
      </c>
      <c r="E22" s="29">
        <f>D22/$D$48</f>
        <v>2.7701789139389362E-2</v>
      </c>
      <c r="F22" s="28">
        <f>C22-(C22*$E$6)</f>
        <v>45.91731077127087</v>
      </c>
      <c r="G22" s="27" t="str">
        <f>IF(C22&gt;=F22,"-","+")</f>
        <v>+</v>
      </c>
      <c r="H22" s="26">
        <f>C22*D22</f>
        <v>4017.3599999999997</v>
      </c>
      <c r="I22" s="26">
        <f>F22*D22</f>
        <v>4045.3150789489632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41.6</v>
      </c>
      <c r="D23" s="30">
        <v>90.8</v>
      </c>
      <c r="E23" s="29">
        <f>D23/$D$48</f>
        <v>2.8550765651039207E-2</v>
      </c>
      <c r="F23" s="28">
        <f>C23-(C23*$E$6)</f>
        <v>41.889476493089212</v>
      </c>
      <c r="G23" s="27" t="str">
        <f>IF(C23&gt;=F23,"-","+")</f>
        <v>+</v>
      </c>
      <c r="H23" s="26">
        <f>C23*D23</f>
        <v>3777.28</v>
      </c>
      <c r="I23" s="26">
        <f>F23*D23</f>
        <v>3803.5644655725005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48.511714922049002</v>
      </c>
      <c r="D24" s="22">
        <f>SUM(D21:D23)</f>
        <v>224.5</v>
      </c>
      <c r="E24" s="21">
        <f>D24/$D$48</f>
        <v>7.0590824764959273E-2</v>
      </c>
      <c r="F24" s="20">
        <f>I24/D24</f>
        <v>48.849287064101361</v>
      </c>
      <c r="G24" s="19">
        <f>F24/C24-1</f>
        <v>6.9585695454137397E-3</v>
      </c>
      <c r="H24" s="18">
        <f>SUM(H21:H23)</f>
        <v>10890.880000000001</v>
      </c>
      <c r="I24" s="18">
        <f>SUM(I21:I23)</f>
        <v>10966.664945890756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36.200000000000003</v>
      </c>
      <c r="D26" s="30">
        <f>444.1+168</f>
        <v>612.1</v>
      </c>
      <c r="E26" s="29">
        <f t="shared" ref="E26:E32" si="7">D26/$D$48</f>
        <v>0.19246611954847026</v>
      </c>
      <c r="F26" s="28">
        <f t="shared" ref="F26:F31" si="8">C26-(C26*$E$6)</f>
        <v>36.451900217543979</v>
      </c>
      <c r="G26" s="27" t="str">
        <f t="shared" ref="G26:G31" si="9">IF(C26&gt;=F26,"-","+")</f>
        <v>+</v>
      </c>
      <c r="H26" s="26">
        <f t="shared" ref="H26:H31" si="10">C26*D26</f>
        <v>22158.020000000004</v>
      </c>
      <c r="I26" s="26">
        <f t="shared" ref="I26:I31" si="11">F26*D26</f>
        <v>22312.208123158671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32.299999999999997</v>
      </c>
      <c r="D27" s="30">
        <v>465.9</v>
      </c>
      <c r="E27" s="29">
        <f t="shared" si="7"/>
        <v>0.14649561362135646</v>
      </c>
      <c r="F27" s="28">
        <f t="shared" si="8"/>
        <v>32.524761796316859</v>
      </c>
      <c r="G27" s="27" t="str">
        <f t="shared" si="9"/>
        <v>+</v>
      </c>
      <c r="H27" s="26">
        <f t="shared" si="10"/>
        <v>15048.569999999998</v>
      </c>
      <c r="I27" s="26">
        <f t="shared" si="11"/>
        <v>15153.286520904025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32.299999999999997</v>
      </c>
      <c r="D28" s="30">
        <v>297</v>
      </c>
      <c r="E28" s="29">
        <f t="shared" si="7"/>
        <v>9.338741628148288E-2</v>
      </c>
      <c r="F28" s="28">
        <f t="shared" si="8"/>
        <v>32.524761796316859</v>
      </c>
      <c r="G28" s="27" t="str">
        <f t="shared" si="9"/>
        <v>+</v>
      </c>
      <c r="H28" s="26">
        <f t="shared" si="10"/>
        <v>9593.0999999999985</v>
      </c>
      <c r="I28" s="26">
        <f t="shared" si="11"/>
        <v>9659.8542535061079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31.2</v>
      </c>
      <c r="D29" s="30">
        <v>287.5</v>
      </c>
      <c r="E29" s="29">
        <f t="shared" si="7"/>
        <v>9.0400276703455643E-2</v>
      </c>
      <c r="F29" s="28">
        <f t="shared" si="8"/>
        <v>31.417107369816907</v>
      </c>
      <c r="G29" s="27" t="str">
        <f t="shared" si="9"/>
        <v>+</v>
      </c>
      <c r="H29" s="26">
        <f t="shared" si="10"/>
        <v>8970</v>
      </c>
      <c r="I29" s="26">
        <f t="shared" si="11"/>
        <v>9032.4183688223602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31.2</v>
      </c>
      <c r="D30" s="30">
        <v>227.3</v>
      </c>
      <c r="E30" s="29">
        <f t="shared" si="7"/>
        <v>7.1471244851114668E-2</v>
      </c>
      <c r="F30" s="28">
        <f t="shared" si="8"/>
        <v>31.417107369816907</v>
      </c>
      <c r="G30" s="27" t="str">
        <f t="shared" si="9"/>
        <v>+</v>
      </c>
      <c r="H30" s="26">
        <f t="shared" si="10"/>
        <v>7091.76</v>
      </c>
      <c r="I30" s="26">
        <f t="shared" si="11"/>
        <v>7141.1085051593836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31.7</v>
      </c>
      <c r="D31" s="30">
        <v>77.7</v>
      </c>
      <c r="E31" s="29">
        <f t="shared" si="7"/>
        <v>2.4431657390812187E-2</v>
      </c>
      <c r="F31" s="28">
        <f t="shared" si="8"/>
        <v>31.920586654589616</v>
      </c>
      <c r="G31" s="27" t="str">
        <f t="shared" si="9"/>
        <v>+</v>
      </c>
      <c r="H31" s="26">
        <f t="shared" si="10"/>
        <v>2463.09</v>
      </c>
      <c r="I31" s="26">
        <f t="shared" si="11"/>
        <v>2480.2295830616131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33.201799237611183</v>
      </c>
      <c r="D32" s="22">
        <f>SUM(D26:D31)</f>
        <v>1967.5</v>
      </c>
      <c r="E32" s="21">
        <f t="shared" si="7"/>
        <v>0.61865232839669215</v>
      </c>
      <c r="F32" s="20">
        <f>I32/D32</f>
        <v>33.432836266638965</v>
      </c>
      <c r="G32" s="19">
        <f>F32/C32-1</f>
        <v>6.9585695454137397E-3</v>
      </c>
      <c r="H32" s="18">
        <f>SUM(H26:H31)</f>
        <v>65324.540000000008</v>
      </c>
      <c r="I32" s="18">
        <f>SUM(I26:I31)</f>
        <v>65779.105354612169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19.100000000000001</v>
      </c>
      <c r="D34" s="30">
        <v>463.5</v>
      </c>
      <c r="E34" s="29">
        <f t="shared" ref="E34:E40" si="13">D34/$D$48</f>
        <v>0.14574096783322327</v>
      </c>
      <c r="F34" s="28">
        <f t="shared" ref="F34:F39" si="14">C34-(C34*$E$6)</f>
        <v>19.232908678317404</v>
      </c>
      <c r="G34" s="27" t="str">
        <f t="shared" ref="G34:G39" si="15">IF(C34&gt;=F34,"-","+")</f>
        <v>+</v>
      </c>
      <c r="H34" s="26">
        <f t="shared" ref="H34:H39" si="16">C34*D34</f>
        <v>8852.85</v>
      </c>
      <c r="I34" s="26">
        <f t="shared" ref="I34:I39" si="17">F34*D34</f>
        <v>8914.4531724001172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14.7</v>
      </c>
      <c r="D35" s="30"/>
      <c r="E35" s="29">
        <f t="shared" si="13"/>
        <v>0</v>
      </c>
      <c r="F35" s="28">
        <f t="shared" si="14"/>
        <v>14.80229097231758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11.8</v>
      </c>
      <c r="D36" s="30"/>
      <c r="E36" s="29">
        <f t="shared" si="13"/>
        <v>0</v>
      </c>
      <c r="F36" s="28">
        <f t="shared" si="14"/>
        <v>11.882111120635884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31.2</v>
      </c>
      <c r="D37" s="30"/>
      <c r="E37" s="29">
        <f t="shared" si="13"/>
        <v>0</v>
      </c>
      <c r="F37" s="28">
        <f t="shared" si="14"/>
        <v>31.417107369816907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31.2</v>
      </c>
      <c r="D38" s="30"/>
      <c r="E38" s="29">
        <f t="shared" si="13"/>
        <v>0</v>
      </c>
      <c r="F38" s="28">
        <f t="shared" si="14"/>
        <v>31.417107369816907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32.299999999999997</v>
      </c>
      <c r="D39" s="30"/>
      <c r="E39" s="29">
        <f t="shared" si="13"/>
        <v>0</v>
      </c>
      <c r="F39" s="28">
        <f t="shared" si="14"/>
        <v>32.524761796316859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19.100000000000001</v>
      </c>
      <c r="D40" s="22">
        <f>SUM(D34:D39)</f>
        <v>463.5</v>
      </c>
      <c r="E40" s="21">
        <f t="shared" si="13"/>
        <v>0.14574096783322327</v>
      </c>
      <c r="F40" s="20">
        <f>I40/D40</f>
        <v>19.232908678317404</v>
      </c>
      <c r="G40" s="19">
        <f>F40/C40-1</f>
        <v>6.9585695454137397E-3</v>
      </c>
      <c r="H40" s="18">
        <f>SUM(H34:H39)</f>
        <v>8852.85</v>
      </c>
      <c r="I40" s="18">
        <f>SUM(I34:I39)</f>
        <v>8914.4531724001172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486</v>
      </c>
      <c r="E42" s="107">
        <f>D42/$D$48</f>
        <v>0.15281577209697197</v>
      </c>
      <c r="F42" s="28">
        <f>C42-(C42*$E$6)</f>
        <v>0.40278342781816551</v>
      </c>
      <c r="G42" s="27" t="str">
        <f>IF(C42&gt;=F42,"-","+")</f>
        <v>+</v>
      </c>
      <c r="H42" s="26">
        <f>C42*D42</f>
        <v>194.4</v>
      </c>
      <c r="I42" s="26">
        <f>F42*D42</f>
        <v>195.75274591962844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30.1</v>
      </c>
      <c r="E43" s="107">
        <f>D43/$D$48</f>
        <v>9.4645159261704873E-3</v>
      </c>
      <c r="F43" s="28">
        <f>C43-(C43*$E$6)</f>
        <v>0.40278342781816551</v>
      </c>
      <c r="G43" s="27" t="str">
        <f>IF(C43&gt;=F43,"-","+")</f>
        <v>+</v>
      </c>
      <c r="H43" s="26">
        <f>C43*D43</f>
        <v>12.040000000000001</v>
      </c>
      <c r="I43" s="26">
        <f>F43*D43</f>
        <v>12.123781177326782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4</v>
      </c>
      <c r="E44" s="107">
        <f>D44/$D$48</f>
        <v>1.2577429802219915E-3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4.7</v>
      </c>
      <c r="E45" s="107">
        <f>D45/$D$48</f>
        <v>1.4778480017608401E-3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0.39336890243902434</v>
      </c>
      <c r="D46" s="22">
        <f>SUM(D41:D45)</f>
        <v>524.80000000000007</v>
      </c>
      <c r="E46" s="113">
        <f>D46/$D$48</f>
        <v>0.16501587900512532</v>
      </c>
      <c r="F46" s="20">
        <f>I46/D46</f>
        <v>0.39610618730364938</v>
      </c>
      <c r="G46" s="19">
        <f>F46/C46-1</f>
        <v>6.9585695454137397E-3</v>
      </c>
      <c r="H46" s="18">
        <f>SUM(H41:H44)</f>
        <v>206.44</v>
      </c>
      <c r="I46" s="18">
        <f>SUM(I41:I44)</f>
        <v>207.87652709695521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101.20688306209919</v>
      </c>
      <c r="D48" s="13">
        <f>D24+D32+D40+D46</f>
        <v>3180.3</v>
      </c>
      <c r="E48" s="12">
        <f>SUM(E20:E46)/2</f>
        <v>1.0000000000000002</v>
      </c>
      <c r="F48" s="11">
        <f>I48/D48</f>
        <v>27</v>
      </c>
      <c r="G48" s="10"/>
      <c r="H48" s="9">
        <f>SUM(H20:H46)/2</f>
        <v>85274.710000000021</v>
      </c>
      <c r="I48" s="9">
        <f>SUM(I20:I46)/2</f>
        <v>85868.1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3180.3</v>
      </c>
      <c r="E50" s="12">
        <f>D50/G2</f>
        <v>1</v>
      </c>
      <c r="F50" s="11">
        <f>I50/D50</f>
        <v>27</v>
      </c>
      <c r="G50" s="10"/>
      <c r="H50" s="9">
        <f>H48+H19</f>
        <v>85274.710000000021</v>
      </c>
      <c r="I50" s="9">
        <f>I48+I19</f>
        <v>85868.1</v>
      </c>
      <c r="J50" s="106">
        <f>D50-G2</f>
        <v>0</v>
      </c>
      <c r="K50" s="8"/>
    </row>
    <row r="51" spans="1:11" ht="23.25" x14ac:dyDescent="0.35">
      <c r="A51" s="174" t="s">
        <v>962</v>
      </c>
      <c r="B51" s="169"/>
      <c r="C51" s="170"/>
      <c r="G51" s="7"/>
      <c r="H51" s="6"/>
      <c r="I51" s="6">
        <f>+I50/D50</f>
        <v>27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955</v>
      </c>
      <c r="D1" s="100" t="s">
        <v>1</v>
      </c>
      <c r="E1" s="168" t="s">
        <v>959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960</v>
      </c>
      <c r="D2" s="96" t="s">
        <v>3</v>
      </c>
      <c r="E2" s="95" t="s">
        <v>71</v>
      </c>
      <c r="F2" s="94" t="s">
        <v>5</v>
      </c>
      <c r="G2" s="93">
        <v>9730.5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961</v>
      </c>
      <c r="D3" s="90" t="s">
        <v>7</v>
      </c>
      <c r="E3" s="89">
        <v>120</v>
      </c>
      <c r="F3" s="88" t="s">
        <v>8</v>
      </c>
      <c r="G3" s="87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21</v>
      </c>
      <c r="D4" s="83" t="s">
        <v>11</v>
      </c>
      <c r="E4" s="82">
        <f>G2/E3</f>
        <v>81.087500000000006</v>
      </c>
      <c r="F4" s="81" t="s">
        <v>12</v>
      </c>
      <c r="G4" s="80">
        <f>G2*G3</f>
        <v>274886.625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-1.0168229306483534E-2</v>
      </c>
      <c r="F6" s="69" t="s">
        <v>16</v>
      </c>
      <c r="G6" s="68">
        <f>(I50-I19)/(D50-(SUM(D42:D44)+D19))</f>
        <v>33.81814930379258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>
        <f t="shared" ref="E10:E19" si="1">D10/$D$19</f>
        <v>0</v>
      </c>
      <c r="F10" s="28">
        <f t="shared" ref="F10:F18" si="2">C10-(C10*$E$6)</f>
        <v>28.587760889373484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>
        <v>1386.2</v>
      </c>
      <c r="E11" s="29">
        <f t="shared" si="1"/>
        <v>0.29781931464174455</v>
      </c>
      <c r="F11" s="28">
        <f t="shared" si="2"/>
        <v>29.698945941610614</v>
      </c>
      <c r="G11" s="27" t="str">
        <f t="shared" si="3"/>
        <v>+</v>
      </c>
      <c r="H11" s="34">
        <f t="shared" si="4"/>
        <v>40754.28</v>
      </c>
      <c r="I11" s="34">
        <f t="shared" si="5"/>
        <v>41168.678864260633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>
        <v>2931.4</v>
      </c>
      <c r="E12" s="29">
        <f t="shared" si="1"/>
        <v>0.6297991191320228</v>
      </c>
      <c r="F12" s="28">
        <f t="shared" si="2"/>
        <v>27.173525368344407</v>
      </c>
      <c r="G12" s="27" t="str">
        <f t="shared" si="3"/>
        <v>+</v>
      </c>
      <c r="H12" s="34">
        <f t="shared" si="4"/>
        <v>78854.66</v>
      </c>
      <c r="I12" s="34">
        <f t="shared" si="5"/>
        <v>79656.472264764801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>
        <v>236.9</v>
      </c>
      <c r="E13" s="29">
        <f t="shared" si="1"/>
        <v>5.0896981415834139E-2</v>
      </c>
      <c r="F13" s="28">
        <f t="shared" si="2"/>
        <v>29.698945941610614</v>
      </c>
      <c r="G13" s="27" t="str">
        <f t="shared" si="3"/>
        <v>+</v>
      </c>
      <c r="H13" s="34">
        <f t="shared" si="4"/>
        <v>6964.86</v>
      </c>
      <c r="I13" s="34">
        <f t="shared" si="5"/>
        <v>7035.6802935675541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>
        <f t="shared" si="1"/>
        <v>0</v>
      </c>
      <c r="F14" s="28">
        <f t="shared" si="2"/>
        <v>33.234534744183307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>
        <v>91</v>
      </c>
      <c r="E15" s="29">
        <f t="shared" si="1"/>
        <v>1.9550972177462669E-2</v>
      </c>
      <c r="F15" s="28">
        <f t="shared" si="2"/>
        <v>27.375559014205706</v>
      </c>
      <c r="G15" s="27" t="str">
        <f t="shared" si="3"/>
        <v>+</v>
      </c>
      <c r="H15" s="34">
        <f t="shared" si="4"/>
        <v>2466.1</v>
      </c>
      <c r="I15" s="34">
        <f t="shared" si="5"/>
        <v>2491.1758702927191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37.477241307270539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>
        <f t="shared" si="1"/>
        <v>0</v>
      </c>
      <c r="F17" s="28">
        <f t="shared" si="2"/>
        <v>55.155185320134002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>
        <v>9</v>
      </c>
      <c r="E18" s="29">
        <f t="shared" si="1"/>
        <v>1.9336126329358686E-3</v>
      </c>
      <c r="F18" s="28">
        <f t="shared" si="2"/>
        <v>48.38705818378056</v>
      </c>
      <c r="G18" s="27" t="str">
        <f t="shared" si="3"/>
        <v>+</v>
      </c>
      <c r="H18" s="34">
        <f t="shared" si="4"/>
        <v>431.09999999999997</v>
      </c>
      <c r="I18" s="34">
        <f t="shared" si="5"/>
        <v>435.48352365402502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27.816306799871096</v>
      </c>
      <c r="D19" s="49">
        <f>SUM(D10:D18)</f>
        <v>4654.5</v>
      </c>
      <c r="E19" s="48">
        <f t="shared" si="1"/>
        <v>1</v>
      </c>
      <c r="F19" s="47">
        <f>I19/D19</f>
        <v>28.09914938587168</v>
      </c>
      <c r="G19" s="46">
        <f>F19/C19-1</f>
        <v>1.0168229306483534E-2</v>
      </c>
      <c r="H19" s="9">
        <f>SUM(H10:H18)</f>
        <v>129471.00000000001</v>
      </c>
      <c r="I19" s="9">
        <f>SUM(I10:I18)</f>
        <v>130787.49081653974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80.8</v>
      </c>
      <c r="E21" s="29">
        <f>D21/$D$48</f>
        <v>1.591804570527975E-2</v>
      </c>
      <c r="F21" s="28">
        <f>C21-(C21*$E$6)</f>
        <v>71.721944280760326</v>
      </c>
      <c r="G21" s="27" t="str">
        <f>IF(C21&gt;=F21,"-","+")</f>
        <v>+</v>
      </c>
      <c r="H21" s="26">
        <f>C21*D21</f>
        <v>5736.8</v>
      </c>
      <c r="I21" s="26">
        <f>F21*D21</f>
        <v>5795.1330978854339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145.19999999999999</v>
      </c>
      <c r="E22" s="29">
        <f>D22/$D$48</f>
        <v>2.8605200945626481E-2</v>
      </c>
      <c r="F22" s="28">
        <f>C22-(C22*$E$6)</f>
        <v>48.185024537919269</v>
      </c>
      <c r="G22" s="27" t="str">
        <f>IF(C22&gt;=F22,"-","+")</f>
        <v>+</v>
      </c>
      <c r="H22" s="26">
        <f>C22*D22</f>
        <v>6926.04</v>
      </c>
      <c r="I22" s="26">
        <f>F22*D22</f>
        <v>6996.4655629058771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159.69999999999999</v>
      </c>
      <c r="E23" s="29">
        <f>D23/$D$48</f>
        <v>3.146178092986604E-2</v>
      </c>
      <c r="F23" s="28">
        <f>C23-(C23*$E$6)</f>
        <v>43.942317974832036</v>
      </c>
      <c r="G23" s="27" t="str">
        <f>IF(C23&gt;=F23,"-","+")</f>
        <v>+</v>
      </c>
      <c r="H23" s="26">
        <f>C23*D23</f>
        <v>6946.95</v>
      </c>
      <c r="I23" s="26">
        <f>F23*D23</f>
        <v>7017.5881805806757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50.842079336271716</v>
      </c>
      <c r="D24" s="22">
        <f>SUM(D21:D23)</f>
        <v>385.7</v>
      </c>
      <c r="E24" s="21">
        <f>D24/$D$48</f>
        <v>7.5985027580772274E-2</v>
      </c>
      <c r="F24" s="20">
        <f>I24/D24</f>
        <v>51.359053257381348</v>
      </c>
      <c r="G24" s="19">
        <f>F24/C24-1</f>
        <v>1.0168229306483312E-2</v>
      </c>
      <c r="H24" s="18">
        <f>SUM(H21:H23)</f>
        <v>19609.79</v>
      </c>
      <c r="I24" s="18">
        <f>SUM(I21:I23)</f>
        <v>19809.186841371986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f>348+108+465</f>
        <v>921</v>
      </c>
      <c r="E26" s="29">
        <f t="shared" ref="E26:E32" si="7">D26/$D$48</f>
        <v>0.18144208037825063</v>
      </c>
      <c r="F26" s="28">
        <f t="shared" ref="F26:F31" si="8">C26-(C26*$E$6)</f>
        <v>38.285375890715727</v>
      </c>
      <c r="G26" s="27" t="str">
        <f t="shared" ref="G26:G31" si="9">IF(C26&gt;=F26,"-","+")</f>
        <v>+</v>
      </c>
      <c r="H26" s="26">
        <f t="shared" ref="H26:H31" si="10">C26*D26</f>
        <v>34905.9</v>
      </c>
      <c r="I26" s="26">
        <f t="shared" ref="I26:I31" si="11">F26*D26</f>
        <v>35260.831195349187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757.6</v>
      </c>
      <c r="E27" s="29">
        <f t="shared" si="7"/>
        <v>0.1492513790386131</v>
      </c>
      <c r="F27" s="28">
        <f t="shared" si="8"/>
        <v>34.143686150559141</v>
      </c>
      <c r="G27" s="27" t="str">
        <f t="shared" si="9"/>
        <v>+</v>
      </c>
      <c r="H27" s="26">
        <f t="shared" si="10"/>
        <v>25606.879999999997</v>
      </c>
      <c r="I27" s="26">
        <f t="shared" si="11"/>
        <v>25867.256627663606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406.1</v>
      </c>
      <c r="E28" s="29">
        <f t="shared" si="7"/>
        <v>8.0003940110323107E-2</v>
      </c>
      <c r="F28" s="28">
        <f t="shared" si="8"/>
        <v>34.143686150559141</v>
      </c>
      <c r="G28" s="27" t="str">
        <f t="shared" si="9"/>
        <v>+</v>
      </c>
      <c r="H28" s="26">
        <f t="shared" si="10"/>
        <v>13726.18</v>
      </c>
      <c r="I28" s="26">
        <f t="shared" si="11"/>
        <v>13865.750945742067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460.9</v>
      </c>
      <c r="E29" s="29">
        <f t="shared" si="7"/>
        <v>9.0799842395587083E-2</v>
      </c>
      <c r="F29" s="28">
        <f t="shared" si="8"/>
        <v>32.931484275391362</v>
      </c>
      <c r="G29" s="27" t="str">
        <f t="shared" si="9"/>
        <v>+</v>
      </c>
      <c r="H29" s="26">
        <f t="shared" si="10"/>
        <v>15025.34</v>
      </c>
      <c r="I29" s="26">
        <f t="shared" si="11"/>
        <v>15178.121102527879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454.6</v>
      </c>
      <c r="E30" s="29">
        <f t="shared" si="7"/>
        <v>8.9558707643814045E-2</v>
      </c>
      <c r="F30" s="28">
        <f t="shared" si="8"/>
        <v>32.931484275391362</v>
      </c>
      <c r="G30" s="27" t="str">
        <f t="shared" si="9"/>
        <v>+</v>
      </c>
      <c r="H30" s="26">
        <f t="shared" si="10"/>
        <v>14819.960000000001</v>
      </c>
      <c r="I30" s="26">
        <f t="shared" si="11"/>
        <v>14970.652751592914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86.5</v>
      </c>
      <c r="E31" s="29">
        <f t="shared" si="7"/>
        <v>1.704097714736013E-2</v>
      </c>
      <c r="F31" s="28">
        <f t="shared" si="8"/>
        <v>33.537585212975259</v>
      </c>
      <c r="G31" s="27" t="str">
        <f t="shared" si="9"/>
        <v>+</v>
      </c>
      <c r="H31" s="26">
        <f t="shared" si="10"/>
        <v>2871.8</v>
      </c>
      <c r="I31" s="26">
        <f t="shared" si="11"/>
        <v>2901.0011209223599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34.650617163961513</v>
      </c>
      <c r="D32" s="22">
        <f>SUM(D26:D31)</f>
        <v>3086.7</v>
      </c>
      <c r="E32" s="21">
        <f t="shared" si="7"/>
        <v>0.6080969267139481</v>
      </c>
      <c r="F32" s="20">
        <f>I32/D32</f>
        <v>35.002952584895844</v>
      </c>
      <c r="G32" s="19">
        <f>F32/C32-1</f>
        <v>1.0168229306483534E-2</v>
      </c>
      <c r="H32" s="18">
        <f>SUM(H26:H31)</f>
        <v>106956.06</v>
      </c>
      <c r="I32" s="18">
        <f>SUM(I26:I31)</f>
        <v>108043.61374379801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784.4</v>
      </c>
      <c r="E34" s="29">
        <f t="shared" ref="E34:E40" si="13">D34/$D$48</f>
        <v>0.15453112687155243</v>
      </c>
      <c r="F34" s="28">
        <f t="shared" ref="F34:F39" si="14">C34-(C34*$E$6)</f>
        <v>20.20336458612967</v>
      </c>
      <c r="G34" s="27" t="str">
        <f t="shared" ref="G34:G39" si="15">IF(C34&gt;=F34,"-","+")</f>
        <v>+</v>
      </c>
      <c r="H34" s="26">
        <f t="shared" ref="H34:H39" si="16">C34*D34</f>
        <v>15688</v>
      </c>
      <c r="I34" s="26">
        <f t="shared" ref="I34:I39" si="17">F34*D34</f>
        <v>15847.519181360112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15.556590731319847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12.425069220469748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32.931484275391362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32.931484275391362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34.143686150559141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784.4</v>
      </c>
      <c r="E40" s="21">
        <f t="shared" si="13"/>
        <v>0.15453112687155243</v>
      </c>
      <c r="F40" s="20">
        <f>I40/D40</f>
        <v>20.20336458612967</v>
      </c>
      <c r="G40" s="19">
        <f>F40/C40-1</f>
        <v>1.0168229306483534E-2</v>
      </c>
      <c r="H40" s="18">
        <f>SUM(H34:H39)</f>
        <v>15688</v>
      </c>
      <c r="I40" s="18">
        <f>SUM(I34:I39)</f>
        <v>15847.519181360112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739.5</v>
      </c>
      <c r="E42" s="107">
        <f>D42/$D$48</f>
        <v>0.14568557919621752</v>
      </c>
      <c r="F42" s="28">
        <f>C42-(C42*$E$6)</f>
        <v>0.50508411465324177</v>
      </c>
      <c r="G42" s="27" t="str">
        <f>IF(C42&gt;=F42,"-","+")</f>
        <v>+</v>
      </c>
      <c r="H42" s="26">
        <f>C42*D42</f>
        <v>369.75</v>
      </c>
      <c r="I42" s="26">
        <f>F42*D42</f>
        <v>373.5097027860723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50.1</v>
      </c>
      <c r="E43" s="107">
        <f>D43/$D$48</f>
        <v>9.8699763593380636E-3</v>
      </c>
      <c r="F43" s="28">
        <f>C43-(C43*$E$6)</f>
        <v>0.50508411465324177</v>
      </c>
      <c r="G43" s="27" t="str">
        <f>IF(C43&gt;=F43,"-","+")</f>
        <v>+</v>
      </c>
      <c r="H43" s="26">
        <f>C43*D43</f>
        <v>25.05</v>
      </c>
      <c r="I43" s="26">
        <f>F43*D43</f>
        <v>25.304714144127413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25.4</v>
      </c>
      <c r="E44" s="107">
        <f>D44/$D$48</f>
        <v>5.0039401103230893E-3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4.2</v>
      </c>
      <c r="E45" s="107">
        <f>D45/$D$48</f>
        <v>8.2742316784869998E-4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0.48193359375</v>
      </c>
      <c r="D46" s="22">
        <f>SUM(D41:D45)</f>
        <v>819.2</v>
      </c>
      <c r="E46" s="113">
        <f>D46/$D$48</f>
        <v>0.16138691883372738</v>
      </c>
      <c r="F46" s="20">
        <f>I46/D46</f>
        <v>0.48683400504174762</v>
      </c>
      <c r="G46" s="19">
        <f>F46/C46-1</f>
        <v>1.0168229306483312E-2</v>
      </c>
      <c r="H46" s="18">
        <f>SUM(H41:H44)</f>
        <v>394.8</v>
      </c>
      <c r="I46" s="18">
        <f>SUM(I41:I44)</f>
        <v>398.81441693019968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105.97463009398322</v>
      </c>
      <c r="D48" s="13">
        <f>D24+D32+D40+D46</f>
        <v>5075.9999999999991</v>
      </c>
      <c r="E48" s="12">
        <f>SUM(E20:E46)/2</f>
        <v>1</v>
      </c>
      <c r="F48" s="11">
        <f>I48/D48</f>
        <v>28.388324307222291</v>
      </c>
      <c r="G48" s="10"/>
      <c r="H48" s="9">
        <f>SUM(H20:H46)/2</f>
        <v>142648.64999999997</v>
      </c>
      <c r="I48" s="9">
        <f>SUM(I20:I46)/2</f>
        <v>144099.13418346032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9730.5000000000036</v>
      </c>
      <c r="E50" s="12">
        <f>D50/G2</f>
        <v>1.0000000000000004</v>
      </c>
      <c r="F50" s="11">
        <f>I50/D50</f>
        <v>28.249999999999996</v>
      </c>
      <c r="G50" s="10"/>
      <c r="H50" s="9">
        <f>H48+H19</f>
        <v>272119.64999999997</v>
      </c>
      <c r="I50" s="9">
        <f>I48+I19</f>
        <v>274886.62500000006</v>
      </c>
      <c r="J50" s="106">
        <f>D50-G2</f>
        <v>0</v>
      </c>
      <c r="K50" s="8"/>
    </row>
    <row r="51" spans="1:11" ht="23.25" x14ac:dyDescent="0.35">
      <c r="A51" s="174" t="s">
        <v>963</v>
      </c>
      <c r="B51" s="169"/>
      <c r="C51" s="170"/>
      <c r="G51" s="7"/>
      <c r="H51" s="6"/>
      <c r="I51" s="6">
        <f>+I50/D50</f>
        <v>28.249999999999996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964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964</v>
      </c>
      <c r="D2" s="96" t="s">
        <v>3</v>
      </c>
      <c r="E2" s="95" t="s">
        <v>71</v>
      </c>
      <c r="F2" s="94" t="s">
        <v>5</v>
      </c>
      <c r="G2" s="116">
        <v>13666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173</v>
      </c>
      <c r="F3" s="88" t="s">
        <v>8</v>
      </c>
      <c r="G3" s="120">
        <v>28.2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78.994219653179186</v>
      </c>
      <c r="F4" s="81" t="s">
        <v>12</v>
      </c>
      <c r="G4" s="80">
        <f>G2*G3</f>
        <v>385381.2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5.2482554535588921E-3</v>
      </c>
      <c r="F6" s="69" t="s">
        <v>16</v>
      </c>
      <c r="G6" s="68">
        <f>(I50-I19)/(D50-(SUM(D42:D44)+D19))</f>
        <v>33.473569008946413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28.2</v>
      </c>
      <c r="D10" s="30"/>
      <c r="E10" s="29" t="e">
        <f t="shared" ref="E10:E19" si="1">D10/$D$19</f>
        <v>#DIV/0!</v>
      </c>
      <c r="F10" s="28">
        <f t="shared" ref="F10:F18" si="2">C10-(C10*$E$6)</f>
        <v>28.051999196209639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29.245701289665366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26.8</v>
      </c>
      <c r="D12" s="30"/>
      <c r="E12" s="29" t="e">
        <f t="shared" si="1"/>
        <v>#DIV/0!</v>
      </c>
      <c r="F12" s="28">
        <f t="shared" si="2"/>
        <v>26.659346753844623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29.245701289665366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32.799999999999997</v>
      </c>
      <c r="D14" s="30"/>
      <c r="E14" s="29" t="e">
        <f t="shared" si="1"/>
        <v>#DIV/0!</v>
      </c>
      <c r="F14" s="28">
        <f t="shared" si="2"/>
        <v>32.627857221123264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26.957772277208555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36.905289722672968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54.5</v>
      </c>
      <c r="D17" s="30"/>
      <c r="E17" s="29" t="e">
        <f t="shared" si="1"/>
        <v>#DIV/0!</v>
      </c>
      <c r="F17" s="28">
        <f t="shared" si="2"/>
        <v>54.213970077781042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47.8</v>
      </c>
      <c r="D18" s="30"/>
      <c r="E18" s="29" t="e">
        <f t="shared" si="1"/>
        <v>#DIV/0!</v>
      </c>
      <c r="F18" s="28">
        <f t="shared" si="2"/>
        <v>47.549133389319884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70.900000000000006</v>
      </c>
      <c r="D21" s="30">
        <v>175.2</v>
      </c>
      <c r="E21" s="29">
        <f>D21/$D$48</f>
        <v>1.2820137567686227E-2</v>
      </c>
      <c r="F21" s="28">
        <f>C21-(C21*$E$6)</f>
        <v>70.527898688342674</v>
      </c>
      <c r="G21" s="27" t="str">
        <f>IF(C21&gt;=F21,"-","+")</f>
        <v>-</v>
      </c>
      <c r="H21" s="26">
        <f>C21*D21</f>
        <v>12421.68</v>
      </c>
      <c r="I21" s="26">
        <f>F21*D21</f>
        <v>12356.487850197636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47.6</v>
      </c>
      <c r="D22" s="30">
        <v>385.8</v>
      </c>
      <c r="E22" s="29">
        <f>D22/$D$48</f>
        <v>2.8230645397336454E-2</v>
      </c>
      <c r="F22" s="28">
        <f>C22-(C22*$E$6)</f>
        <v>47.350183040410599</v>
      </c>
      <c r="G22" s="27" t="str">
        <f>IF(C22&gt;=F22,"-","+")</f>
        <v>-</v>
      </c>
      <c r="H22" s="26">
        <f>C22*D22</f>
        <v>18364.080000000002</v>
      </c>
      <c r="I22" s="26">
        <f>F22*D22</f>
        <v>18267.700616990409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43.4</v>
      </c>
      <c r="D23" s="30">
        <v>335.1</v>
      </c>
      <c r="E23" s="29">
        <f>D23/$D$48</f>
        <v>2.4520708327235474E-2</v>
      </c>
      <c r="F23" s="28">
        <f>C23-(C23*$E$6)</f>
        <v>43.172225713315541</v>
      </c>
      <c r="G23" s="27" t="str">
        <f>IF(C23&gt;=F23,"-","+")</f>
        <v>-</v>
      </c>
      <c r="H23" s="26">
        <f>C23*D23</f>
        <v>14543.34</v>
      </c>
      <c r="I23" s="26">
        <f>F23*D23</f>
        <v>14467.012836532038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50.584867760294614</v>
      </c>
      <c r="D24" s="22">
        <f>SUM(D21:D23)</f>
        <v>896.1</v>
      </c>
      <c r="E24" s="21">
        <f>D24/$D$48</f>
        <v>6.5571491292258158E-2</v>
      </c>
      <c r="F24" s="20">
        <f>I24/D24</f>
        <v>50.319385452204088</v>
      </c>
      <c r="G24" s="19">
        <f>F24/C24-1</f>
        <v>-5.2482554535590031E-3</v>
      </c>
      <c r="H24" s="18">
        <f>SUM(H21:H23)</f>
        <v>45329.100000000006</v>
      </c>
      <c r="I24" s="18">
        <f>SUM(I21:I23)</f>
        <v>45091.201303720081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37.799999999999997</v>
      </c>
      <c r="D26" s="30">
        <v>2743.7</v>
      </c>
      <c r="E26" s="29">
        <f t="shared" ref="E26:E32" si="7">D26/$D$48</f>
        <v>0.20076833016244691</v>
      </c>
      <c r="F26" s="28">
        <f t="shared" ref="F26:F31" si="8">C26-(C26*$E$6)</f>
        <v>37.601615943855471</v>
      </c>
      <c r="G26" s="27" t="str">
        <f t="shared" ref="G26:G31" si="9">IF(C26&gt;=F26,"-","+")</f>
        <v>-</v>
      </c>
      <c r="H26" s="26">
        <f t="shared" ref="H26:H31" si="10">C26*D26</f>
        <v>103711.85999999999</v>
      </c>
      <c r="I26" s="26">
        <f t="shared" ref="I26:I31" si="11">F26*D26</f>
        <v>103167.55366515624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33.700000000000003</v>
      </c>
      <c r="D27" s="30">
        <v>2129.6999999999998</v>
      </c>
      <c r="E27" s="29">
        <f t="shared" si="7"/>
        <v>0.15583930923459677</v>
      </c>
      <c r="F27" s="28">
        <f t="shared" si="8"/>
        <v>33.523133791215066</v>
      </c>
      <c r="G27" s="27" t="str">
        <f t="shared" si="9"/>
        <v>-</v>
      </c>
      <c r="H27" s="26">
        <f t="shared" si="10"/>
        <v>71770.89</v>
      </c>
      <c r="I27" s="26">
        <f t="shared" si="11"/>
        <v>71394.218035150727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33.700000000000003</v>
      </c>
      <c r="D28" s="30">
        <v>1521.3</v>
      </c>
      <c r="E28" s="29">
        <f t="shared" si="7"/>
        <v>0.11132006439338503</v>
      </c>
      <c r="F28" s="28">
        <f t="shared" si="8"/>
        <v>33.523133791215066</v>
      </c>
      <c r="G28" s="27" t="str">
        <f t="shared" si="9"/>
        <v>-</v>
      </c>
      <c r="H28" s="26">
        <f t="shared" si="10"/>
        <v>51267.810000000005</v>
      </c>
      <c r="I28" s="26">
        <f t="shared" si="11"/>
        <v>50998.743436575482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1024.3</v>
      </c>
      <c r="E29" s="29">
        <f t="shared" si="7"/>
        <v>7.4952436704229464E-2</v>
      </c>
      <c r="F29" s="28">
        <f t="shared" si="8"/>
        <v>32.428906872213979</v>
      </c>
      <c r="G29" s="27" t="str">
        <f t="shared" si="9"/>
        <v>-</v>
      </c>
      <c r="H29" s="26">
        <f t="shared" si="10"/>
        <v>33392.18</v>
      </c>
      <c r="I29" s="26">
        <f t="shared" si="11"/>
        <v>33216.929309208776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959.7</v>
      </c>
      <c r="E30" s="29">
        <f t="shared" si="7"/>
        <v>7.0225376847651094E-2</v>
      </c>
      <c r="F30" s="28">
        <f t="shared" si="8"/>
        <v>32.428906872213979</v>
      </c>
      <c r="G30" s="27" t="str">
        <f t="shared" si="9"/>
        <v>-</v>
      </c>
      <c r="H30" s="26">
        <f t="shared" si="10"/>
        <v>31286.22</v>
      </c>
      <c r="I30" s="26">
        <f t="shared" si="11"/>
        <v>31122.021925263758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33.1</v>
      </c>
      <c r="D31" s="30">
        <v>392.5</v>
      </c>
      <c r="E31" s="29">
        <f t="shared" si="7"/>
        <v>2.8720913215278789E-2</v>
      </c>
      <c r="F31" s="28">
        <f t="shared" si="8"/>
        <v>32.926282744487203</v>
      </c>
      <c r="G31" s="27" t="str">
        <f t="shared" si="9"/>
        <v>-</v>
      </c>
      <c r="H31" s="26">
        <f t="shared" si="10"/>
        <v>12991.75</v>
      </c>
      <c r="I31" s="26">
        <f t="shared" si="11"/>
        <v>12923.565977211227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34.706848549799339</v>
      </c>
      <c r="D32" s="22">
        <f>SUM(D26:D31)</f>
        <v>8771.2000000000007</v>
      </c>
      <c r="E32" s="21">
        <f t="shared" si="7"/>
        <v>0.64182643055758815</v>
      </c>
      <c r="F32" s="20">
        <f>I32/D32</f>
        <v>34.524698142622015</v>
      </c>
      <c r="G32" s="19">
        <f>F32/C32-1</f>
        <v>-5.2482554535587811E-3</v>
      </c>
      <c r="H32" s="18">
        <f>SUM(H26:H31)</f>
        <v>304420.70999999996</v>
      </c>
      <c r="I32" s="18">
        <f>SUM(I26:I31)</f>
        <v>302823.03234856622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v>1838.6</v>
      </c>
      <c r="E34" s="29">
        <f t="shared" ref="E34:E40" si="13">D34/$D$48</f>
        <v>0.13453827015951994</v>
      </c>
      <c r="F34" s="28">
        <f t="shared" ref="F34:F39" si="14">C34-(C34*$E$6)</f>
        <v>19.795559716474177</v>
      </c>
      <c r="G34" s="27" t="str">
        <f t="shared" ref="G34:G39" si="15">IF(C34&gt;=F34,"-","+")</f>
        <v>-</v>
      </c>
      <c r="H34" s="26">
        <f t="shared" ref="H34:H39" si="16">C34*D34</f>
        <v>36588.139999999992</v>
      </c>
      <c r="I34" s="26">
        <f t="shared" ref="I34:I39" si="17">F34*D34</f>
        <v>36396.116094709418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/>
      <c r="E35" s="29">
        <f t="shared" si="13"/>
        <v>0</v>
      </c>
      <c r="F35" s="28">
        <f t="shared" si="14"/>
        <v>15.21970169156055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12.235446457921226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32.428906872213979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32.428906872213979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33.700000000000003</v>
      </c>
      <c r="D39" s="30"/>
      <c r="E39" s="29">
        <f t="shared" si="13"/>
        <v>0</v>
      </c>
      <c r="F39" s="28">
        <f t="shared" si="14"/>
        <v>33.523133791215066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19.899999999999995</v>
      </c>
      <c r="D40" s="22">
        <f>SUM(D34:D39)</f>
        <v>1838.6</v>
      </c>
      <c r="E40" s="113">
        <f t="shared" si="13"/>
        <v>0.13453827015951994</v>
      </c>
      <c r="F40" s="20">
        <f>I40/D40</f>
        <v>19.795559716474177</v>
      </c>
      <c r="G40" s="19">
        <f>F40/C40-1</f>
        <v>-5.2482554535586701E-3</v>
      </c>
      <c r="H40" s="18">
        <f>SUM(H34:H39)</f>
        <v>36588.139999999992</v>
      </c>
      <c r="I40" s="18">
        <f>SUM(I34:I39)</f>
        <v>36396.116094709418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2037</v>
      </c>
      <c r="E42" s="107">
        <f>D42/$D$48</f>
        <v>0.14905605151470802</v>
      </c>
      <c r="F42" s="28">
        <f>C42-(C42*$E$6)</f>
        <v>0.49737587227322055</v>
      </c>
      <c r="G42" s="27" t="str">
        <f>IF(C42&gt;=F42,"-","+")</f>
        <v>-</v>
      </c>
      <c r="H42" s="26">
        <f>C42*D42</f>
        <v>1018.5</v>
      </c>
      <c r="I42" s="26">
        <f>F42*D42</f>
        <v>1013.1546518205503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116</v>
      </c>
      <c r="E43" s="107">
        <f>D43/$D$48</f>
        <v>8.4882189375091455E-3</v>
      </c>
      <c r="F43" s="28">
        <f>C43-(C43*$E$6)</f>
        <v>0.49737587227322055</v>
      </c>
      <c r="G43" s="27" t="str">
        <f>IF(C43&gt;=F43,"-","+")</f>
        <v>-</v>
      </c>
      <c r="H43" s="26">
        <f>C43*D43</f>
        <v>58</v>
      </c>
      <c r="I43" s="26">
        <f>F43*D43</f>
        <v>57.695601183693583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7.1</v>
      </c>
      <c r="E45" s="107">
        <f>D45/$D$48</f>
        <v>5.1953753841650803E-4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0.49835655756677932</v>
      </c>
      <c r="D46" s="22">
        <f>SUM(D41:D45)</f>
        <v>2160.1</v>
      </c>
      <c r="E46" s="113">
        <f>D46/$D$48</f>
        <v>0.15806380799063366</v>
      </c>
      <c r="F46" s="20">
        <f>I46/D46</f>
        <v>0.49574105504571259</v>
      </c>
      <c r="G46" s="19">
        <f>F46/C46-1</f>
        <v>-5.2482554535590031E-3</v>
      </c>
      <c r="H46" s="18">
        <f>SUM(H41:H44)</f>
        <v>1076.5</v>
      </c>
      <c r="I46" s="18">
        <f>SUM(I41:I44)</f>
        <v>1070.8502530042438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105.69007286766073</v>
      </c>
      <c r="D48" s="13">
        <f>D24+D32+D40+D46</f>
        <v>13666.000000000002</v>
      </c>
      <c r="E48" s="12">
        <f>SUM(E20:E46)/2</f>
        <v>0.99999999999999978</v>
      </c>
      <c r="F48" s="11">
        <f>I48/D48</f>
        <v>28.199999999999989</v>
      </c>
      <c r="G48" s="10"/>
      <c r="H48" s="9">
        <f>SUM(H20:H46)/2</f>
        <v>387414.45</v>
      </c>
      <c r="I48" s="9">
        <f>SUM(I20:I46)/2</f>
        <v>385381.1999999999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13665.999999999996</v>
      </c>
      <c r="E50" s="12">
        <f>D50/G2</f>
        <v>0.99999999999999978</v>
      </c>
      <c r="F50" s="11">
        <f>I50/D50</f>
        <v>28.2</v>
      </c>
      <c r="G50" s="10"/>
      <c r="H50" s="9">
        <f>H48+H19</f>
        <v>387414.45</v>
      </c>
      <c r="I50" s="9">
        <f>I48+I19</f>
        <v>385381.1999999999</v>
      </c>
      <c r="J50" s="106">
        <f>D50-G2</f>
        <v>0</v>
      </c>
      <c r="K50" s="8"/>
    </row>
    <row r="51" spans="1:11" ht="23.25" x14ac:dyDescent="0.35">
      <c r="A51" s="174" t="s">
        <v>965</v>
      </c>
      <c r="B51" s="169"/>
      <c r="C51" s="170"/>
      <c r="G51" s="7"/>
      <c r="H51" s="6"/>
      <c r="I51" s="6">
        <f>+I50/D50</f>
        <v>28.2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964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964</v>
      </c>
      <c r="D2" s="96" t="s">
        <v>3</v>
      </c>
      <c r="E2" s="95" t="s">
        <v>71</v>
      </c>
      <c r="F2" s="94" t="s">
        <v>5</v>
      </c>
      <c r="G2" s="116">
        <v>5757.3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79</v>
      </c>
      <c r="F3" s="88" t="s">
        <v>8</v>
      </c>
      <c r="G3" s="120">
        <v>28.2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72.877215189873425</v>
      </c>
      <c r="F4" s="81" t="s">
        <v>12</v>
      </c>
      <c r="G4" s="80">
        <f>G2*G3</f>
        <v>162355.86000000002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-1.5523024269154861E-2</v>
      </c>
      <c r="F6" s="69" t="s">
        <v>16</v>
      </c>
      <c r="G6" s="68">
        <f>(I50-I19)/(D50-(SUM(D42:D44)+D19))</f>
        <v>33.501366116106723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28.2</v>
      </c>
      <c r="D10" s="30"/>
      <c r="E10" s="29">
        <f t="shared" ref="E10:E19" si="1">D10/$D$19</f>
        <v>0</v>
      </c>
      <c r="F10" s="28">
        <f t="shared" ref="F10:F18" si="2">C10-(C10*$E$6)</f>
        <v>28.637749284390168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>
        <f t="shared" si="1"/>
        <v>0</v>
      </c>
      <c r="F11" s="28">
        <f t="shared" si="2"/>
        <v>29.856376913513152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26.8</v>
      </c>
      <c r="D12" s="30"/>
      <c r="E12" s="29">
        <f t="shared" si="1"/>
        <v>0</v>
      </c>
      <c r="F12" s="28">
        <f t="shared" si="2"/>
        <v>27.216017050413353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>
        <f t="shared" si="1"/>
        <v>0</v>
      </c>
      <c r="F13" s="28">
        <f t="shared" si="2"/>
        <v>29.856376913513152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32.799999999999997</v>
      </c>
      <c r="D14" s="30">
        <v>103</v>
      </c>
      <c r="E14" s="29">
        <f t="shared" si="1"/>
        <v>0.46396396396396394</v>
      </c>
      <c r="F14" s="28">
        <f t="shared" si="2"/>
        <v>33.309155196028279</v>
      </c>
      <c r="G14" s="27" t="str">
        <f t="shared" si="3"/>
        <v>+</v>
      </c>
      <c r="H14" s="34">
        <f t="shared" si="4"/>
        <v>3378.3999999999996</v>
      </c>
      <c r="I14" s="34">
        <f t="shared" si="5"/>
        <v>3430.8429851909127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>
        <v>100</v>
      </c>
      <c r="E15" s="29">
        <f t="shared" si="1"/>
        <v>0.45045045045045046</v>
      </c>
      <c r="F15" s="28">
        <f t="shared" si="2"/>
        <v>27.520673957694097</v>
      </c>
      <c r="G15" s="27" t="str">
        <f t="shared" si="3"/>
        <v>+</v>
      </c>
      <c r="H15" s="34">
        <f t="shared" si="4"/>
        <v>2710</v>
      </c>
      <c r="I15" s="34">
        <f t="shared" si="5"/>
        <v>2752.0673957694098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37.675904200385645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54.5</v>
      </c>
      <c r="D17" s="30">
        <v>19</v>
      </c>
      <c r="E17" s="29">
        <f t="shared" si="1"/>
        <v>8.5585585585585586E-2</v>
      </c>
      <c r="F17" s="28">
        <f t="shared" si="2"/>
        <v>55.346004822668938</v>
      </c>
      <c r="G17" s="27" t="str">
        <f t="shared" si="3"/>
        <v>+</v>
      </c>
      <c r="H17" s="34">
        <f t="shared" si="4"/>
        <v>1035.5</v>
      </c>
      <c r="I17" s="34">
        <f t="shared" si="5"/>
        <v>1051.5740916307097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47.8</v>
      </c>
      <c r="D18" s="30"/>
      <c r="E18" s="29">
        <f t="shared" si="1"/>
        <v>0</v>
      </c>
      <c r="F18" s="28">
        <f t="shared" si="2"/>
        <v>48.542000560065603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32.089639639639636</v>
      </c>
      <c r="D19" s="49">
        <f>SUM(D10:D18)</f>
        <v>222</v>
      </c>
      <c r="E19" s="48">
        <f t="shared" si="1"/>
        <v>1</v>
      </c>
      <c r="F19" s="47">
        <f>I19/D19</f>
        <v>32.587767894554197</v>
      </c>
      <c r="G19" s="46">
        <f>F19/C19-1</f>
        <v>1.5523024269154861E-2</v>
      </c>
      <c r="H19" s="9">
        <f>SUM(H10:H18)</f>
        <v>7123.9</v>
      </c>
      <c r="I19" s="9">
        <f>SUM(I10:I18)</f>
        <v>7234.4844725910316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70.900000000000006</v>
      </c>
      <c r="D21" s="30">
        <v>60</v>
      </c>
      <c r="E21" s="29">
        <f>D21/$D$48</f>
        <v>1.0839520893176522E-2</v>
      </c>
      <c r="F21" s="28">
        <f>C21-(C21*$E$6)</f>
        <v>72.000582420683088</v>
      </c>
      <c r="G21" s="27" t="str">
        <f>IF(C21&gt;=F21,"-","+")</f>
        <v>+</v>
      </c>
      <c r="H21" s="26">
        <f>C21*D21</f>
        <v>4254</v>
      </c>
      <c r="I21" s="26">
        <f>F21*D21</f>
        <v>4320.0349452409855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47.6</v>
      </c>
      <c r="D22" s="30">
        <v>159.9</v>
      </c>
      <c r="E22" s="29">
        <f>D22/$D$48</f>
        <v>2.8887323180315436E-2</v>
      </c>
      <c r="F22" s="28">
        <f>C22-(C22*$E$6)</f>
        <v>48.338895955211775</v>
      </c>
      <c r="G22" s="27" t="str">
        <f>IF(C22&gt;=F22,"-","+")</f>
        <v>+</v>
      </c>
      <c r="H22" s="26">
        <f>C22*D22</f>
        <v>7611.2400000000007</v>
      </c>
      <c r="I22" s="26">
        <f>F22*D22</f>
        <v>7729.3894632383635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43.4</v>
      </c>
      <c r="D23" s="30">
        <v>132.30000000000001</v>
      </c>
      <c r="E23" s="29">
        <f>D23/$D$48</f>
        <v>2.3901143569454237E-2</v>
      </c>
      <c r="F23" s="28">
        <f>C23-(C23*$E$6)</f>
        <v>44.073699253281319</v>
      </c>
      <c r="G23" s="27" t="str">
        <f>IF(C23&gt;=F23,"-","+")</f>
        <v>+</v>
      </c>
      <c r="H23" s="26">
        <f>C23*D23</f>
        <v>5741.8200000000006</v>
      </c>
      <c r="I23" s="26">
        <f>F23*D23</f>
        <v>5830.950411209119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49.99165247018739</v>
      </c>
      <c r="D24" s="22">
        <f>SUM(D21:D23)</f>
        <v>352.20000000000005</v>
      </c>
      <c r="E24" s="21">
        <f>D24/$D$48</f>
        <v>6.3627987642946193E-2</v>
      </c>
      <c r="F24" s="20">
        <f>I24/D24</f>
        <v>50.767674104737274</v>
      </c>
      <c r="G24" s="19">
        <f>F24/C24-1</f>
        <v>1.5523024269155083E-2</v>
      </c>
      <c r="H24" s="18">
        <f>SUM(H21:H23)</f>
        <v>17607.060000000001</v>
      </c>
      <c r="I24" s="18">
        <f>SUM(I21:I23)</f>
        <v>17880.37481968847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37.799999999999997</v>
      </c>
      <c r="D26" s="30">
        <v>1032.4000000000001</v>
      </c>
      <c r="E26" s="29">
        <f t="shared" ref="E26:E32" si="7">D26/$D$48</f>
        <v>0.18651202283525739</v>
      </c>
      <c r="F26" s="28">
        <f t="shared" ref="F26:F31" si="8">C26-(C26*$E$6)</f>
        <v>38.386770317374051</v>
      </c>
      <c r="G26" s="27" t="str">
        <f t="shared" ref="G26:G31" si="9">IF(C26&gt;=F26,"-","+")</f>
        <v>+</v>
      </c>
      <c r="H26" s="26">
        <f t="shared" ref="H26:H31" si="10">C26*D26</f>
        <v>39024.720000000001</v>
      </c>
      <c r="I26" s="26">
        <f t="shared" ref="I26:I31" si="11">F26*D26</f>
        <v>39630.501675656975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33.700000000000003</v>
      </c>
      <c r="D27" s="30">
        <v>884.4</v>
      </c>
      <c r="E27" s="29">
        <f t="shared" si="7"/>
        <v>0.15977453796542196</v>
      </c>
      <c r="F27" s="28">
        <f t="shared" si="8"/>
        <v>34.223125917870519</v>
      </c>
      <c r="G27" s="27" t="str">
        <f t="shared" si="9"/>
        <v>+</v>
      </c>
      <c r="H27" s="26">
        <f t="shared" si="10"/>
        <v>29804.280000000002</v>
      </c>
      <c r="I27" s="26">
        <f t="shared" si="11"/>
        <v>30266.932561764686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33.700000000000003</v>
      </c>
      <c r="D28" s="30">
        <v>583.70000000000005</v>
      </c>
      <c r="E28" s="29">
        <f t="shared" si="7"/>
        <v>0.10545047242245228</v>
      </c>
      <c r="F28" s="28">
        <f t="shared" si="8"/>
        <v>34.223125917870519</v>
      </c>
      <c r="G28" s="27" t="str">
        <f t="shared" si="9"/>
        <v>+</v>
      </c>
      <c r="H28" s="26">
        <f t="shared" si="10"/>
        <v>19670.690000000002</v>
      </c>
      <c r="I28" s="26">
        <f t="shared" si="11"/>
        <v>19976.038598261024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447.1</v>
      </c>
      <c r="E29" s="29">
        <f t="shared" si="7"/>
        <v>8.0772496522320394E-2</v>
      </c>
      <c r="F29" s="28">
        <f t="shared" si="8"/>
        <v>33.106050591174451</v>
      </c>
      <c r="G29" s="27" t="str">
        <f t="shared" si="9"/>
        <v>+</v>
      </c>
      <c r="H29" s="26">
        <f t="shared" si="10"/>
        <v>14575.460000000001</v>
      </c>
      <c r="I29" s="26">
        <f t="shared" si="11"/>
        <v>14801.715219314097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348.9</v>
      </c>
      <c r="E30" s="29">
        <f t="shared" si="7"/>
        <v>6.3031813993821476E-2</v>
      </c>
      <c r="F30" s="28">
        <f t="shared" si="8"/>
        <v>33.106050591174451</v>
      </c>
      <c r="G30" s="27" t="str">
        <f t="shared" si="9"/>
        <v>+</v>
      </c>
      <c r="H30" s="26">
        <f t="shared" si="10"/>
        <v>11374.14</v>
      </c>
      <c r="I30" s="26">
        <f t="shared" si="11"/>
        <v>11550.701051260765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33.1</v>
      </c>
      <c r="D31" s="30">
        <v>78</v>
      </c>
      <c r="E31" s="29">
        <f t="shared" si="7"/>
        <v>1.409137716112948E-2</v>
      </c>
      <c r="F31" s="28">
        <f t="shared" si="8"/>
        <v>33.61381210330903</v>
      </c>
      <c r="G31" s="27" t="str">
        <f t="shared" si="9"/>
        <v>+</v>
      </c>
      <c r="H31" s="26">
        <f t="shared" si="10"/>
        <v>2581.8000000000002</v>
      </c>
      <c r="I31" s="26">
        <f t="shared" si="11"/>
        <v>2621.8773440581044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34.681016446881024</v>
      </c>
      <c r="D32" s="22">
        <f>SUM(D26:D31)</f>
        <v>3374.5</v>
      </c>
      <c r="E32" s="21">
        <f t="shared" si="7"/>
        <v>0.60963272090040299</v>
      </c>
      <c r="F32" s="20">
        <f>I32/D32</f>
        <v>35.219370706864908</v>
      </c>
      <c r="G32" s="19">
        <f>F32/C32-1</f>
        <v>1.5523024269154639E-2</v>
      </c>
      <c r="H32" s="18">
        <f>SUM(H26:H31)</f>
        <v>117031.09000000001</v>
      </c>
      <c r="I32" s="18">
        <f>SUM(I26:I31)</f>
        <v>118847.76645031564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v>853.2</v>
      </c>
      <c r="E34" s="29">
        <f t="shared" ref="E34:E40" si="13">D34/$D$48</f>
        <v>0.15413798710097015</v>
      </c>
      <c r="F34" s="28">
        <f t="shared" ref="F34:F39" si="14">C34-(C34*$E$6)</f>
        <v>20.208908182956179</v>
      </c>
      <c r="G34" s="27" t="str">
        <f t="shared" ref="G34:G39" si="15">IF(C34&gt;=F34,"-","+")</f>
        <v>+</v>
      </c>
      <c r="H34" s="26">
        <f t="shared" ref="H34:H39" si="16">C34*D34</f>
        <v>16978.68</v>
      </c>
      <c r="I34" s="26">
        <f t="shared" ref="I34:I39" si="17">F34*D34</f>
        <v>17242.240461698213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>
        <v>45</v>
      </c>
      <c r="E35" s="29">
        <f t="shared" si="13"/>
        <v>8.1296406698823931E-3</v>
      </c>
      <c r="F35" s="28">
        <f t="shared" si="14"/>
        <v>15.53750227131807</v>
      </c>
      <c r="G35" s="27" t="str">
        <f t="shared" si="15"/>
        <v>+</v>
      </c>
      <c r="H35" s="26">
        <f t="shared" si="16"/>
        <v>688.5</v>
      </c>
      <c r="I35" s="26">
        <f t="shared" si="17"/>
        <v>699.18760220931313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12.490933198510605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33.106050591174451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33.106050591174451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33.700000000000003</v>
      </c>
      <c r="D39" s="30"/>
      <c r="E39" s="29">
        <f t="shared" si="13"/>
        <v>0</v>
      </c>
      <c r="F39" s="28">
        <f t="shared" si="14"/>
        <v>34.223125917870519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19.669539078156312</v>
      </c>
      <c r="D40" s="22">
        <f>SUM(D34:D39)</f>
        <v>898.2</v>
      </c>
      <c r="E40" s="113">
        <f t="shared" si="13"/>
        <v>0.16226762777085255</v>
      </c>
      <c r="F40" s="20">
        <f>I40/D40</f>
        <v>19.97486981062962</v>
      </c>
      <c r="G40" s="19">
        <f>F40/C40-1</f>
        <v>1.5523024269154861E-2</v>
      </c>
      <c r="H40" s="18">
        <f>SUM(H34:H39)</f>
        <v>17667.18</v>
      </c>
      <c r="I40" s="18">
        <f>SUM(I34:I39)</f>
        <v>17941.428063907526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840</v>
      </c>
      <c r="E42" s="107">
        <f>D42/$D$48</f>
        <v>0.15175329250447131</v>
      </c>
      <c r="F42" s="28">
        <f>C42-(C42*$E$6)</f>
        <v>0.50776151213457743</v>
      </c>
      <c r="G42" s="27" t="str">
        <f>IF(C42&gt;=F42,"-","+")</f>
        <v>+</v>
      </c>
      <c r="H42" s="26">
        <f>C42*D42</f>
        <v>420</v>
      </c>
      <c r="I42" s="26">
        <f>F42*D42</f>
        <v>426.51967019304504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49.8</v>
      </c>
      <c r="E43" s="107">
        <f>D43/$D$48</f>
        <v>8.9968023413365128E-3</v>
      </c>
      <c r="F43" s="28">
        <f>C43-(C43*$E$6)</f>
        <v>0.50776151213457743</v>
      </c>
      <c r="G43" s="27" t="str">
        <f>IF(C43&gt;=F43,"-","+")</f>
        <v>+</v>
      </c>
      <c r="H43" s="26">
        <f>C43*D43</f>
        <v>24.9</v>
      </c>
      <c r="I43" s="26">
        <f>F43*D43</f>
        <v>25.286523304301955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15.2</v>
      </c>
      <c r="E44" s="107">
        <f>D44/$D$48</f>
        <v>2.7460119596047191E-3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5.4</v>
      </c>
      <c r="E45" s="107">
        <f>D45/$D$48</f>
        <v>9.7555688038588717E-4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0.48868629173989453</v>
      </c>
      <c r="D46" s="22">
        <f>SUM(D41:D45)</f>
        <v>910.4</v>
      </c>
      <c r="E46" s="113">
        <f>D46/$D$48</f>
        <v>0.16447166368579844</v>
      </c>
      <c r="F46" s="20">
        <f>I46/D46</f>
        <v>0.49627218090657627</v>
      </c>
      <c r="G46" s="19">
        <f>F46/C46-1</f>
        <v>1.5523024269155083E-2</v>
      </c>
      <c r="H46" s="18">
        <f>SUM(H41:H44)</f>
        <v>444.9</v>
      </c>
      <c r="I46" s="18">
        <f>SUM(I41:I44)</f>
        <v>451.80619349734701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104.83089428696462</v>
      </c>
      <c r="D48" s="13">
        <f>D24+D32+D40+D46</f>
        <v>5535.2999999999993</v>
      </c>
      <c r="E48" s="12">
        <f>SUM(E20:E46)/2</f>
        <v>1.0000000000000004</v>
      </c>
      <c r="F48" s="11">
        <f>I48/D48</f>
        <v>28.024023183460514</v>
      </c>
      <c r="G48" s="10"/>
      <c r="H48" s="9">
        <f>SUM(H20:H46)/2</f>
        <v>152750.23000000001</v>
      </c>
      <c r="I48" s="9">
        <f>SUM(I20:I46)/2</f>
        <v>155121.37552740896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5757.3</v>
      </c>
      <c r="E50" s="12">
        <f>D50/G2</f>
        <v>1</v>
      </c>
      <c r="F50" s="11">
        <f>I50/D50</f>
        <v>28.199999999999996</v>
      </c>
      <c r="G50" s="10"/>
      <c r="H50" s="9">
        <f>H48+H19</f>
        <v>159874.13</v>
      </c>
      <c r="I50" s="9">
        <f>I48+I19</f>
        <v>162355.85999999999</v>
      </c>
      <c r="J50" s="106">
        <f>D50-G2</f>
        <v>0</v>
      </c>
      <c r="K50" s="8"/>
    </row>
    <row r="51" spans="1:11" ht="23.25" x14ac:dyDescent="0.35">
      <c r="A51" s="174" t="s">
        <v>966</v>
      </c>
      <c r="B51" s="169"/>
      <c r="C51" s="170"/>
      <c r="G51" s="7"/>
      <c r="H51" s="6"/>
      <c r="I51" s="6">
        <f>+I50/D50</f>
        <v>28.199999999999996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23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964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967</v>
      </c>
      <c r="D2" s="96" t="s">
        <v>3</v>
      </c>
      <c r="E2" s="95" t="s">
        <v>112</v>
      </c>
      <c r="F2" s="94" t="s">
        <v>5</v>
      </c>
      <c r="G2" s="93">
        <v>6590.7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104</v>
      </c>
      <c r="F3" s="88" t="s">
        <v>8</v>
      </c>
      <c r="G3" s="87">
        <v>23.53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63.372115384615384</v>
      </c>
      <c r="F4" s="81" t="s">
        <v>12</v>
      </c>
      <c r="G4" s="80">
        <f>G2*G3</f>
        <v>155079.171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-0.12492085869611369</v>
      </c>
      <c r="F6" s="69" t="s">
        <v>16</v>
      </c>
      <c r="G6" s="68">
        <f>(I50-I19)/(D50-(SUM(D42:D44)+D19))</f>
        <v>30.546404106639461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23.5</v>
      </c>
      <c r="D10" s="30"/>
      <c r="E10" s="29">
        <f t="shared" ref="E10:E19" si="1">D10/$D$19</f>
        <v>0</v>
      </c>
      <c r="F10" s="28">
        <f t="shared" ref="F10:F18" si="2">C10-(C10*$E$6)</f>
        <v>26.435640179358671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24.5</v>
      </c>
      <c r="D11" s="30"/>
      <c r="E11" s="29">
        <f t="shared" si="1"/>
        <v>0</v>
      </c>
      <c r="F11" s="28">
        <f t="shared" si="2"/>
        <v>27.560561038054786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22.4</v>
      </c>
      <c r="D12" s="30"/>
      <c r="E12" s="29">
        <f t="shared" si="1"/>
        <v>0</v>
      </c>
      <c r="F12" s="28">
        <f t="shared" si="2"/>
        <v>25.198227234792945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24.5</v>
      </c>
      <c r="D13" s="30"/>
      <c r="E13" s="29">
        <f t="shared" si="1"/>
        <v>0</v>
      </c>
      <c r="F13" s="28">
        <f t="shared" si="2"/>
        <v>27.560561038054786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27.4</v>
      </c>
      <c r="D14" s="30"/>
      <c r="E14" s="29">
        <f t="shared" si="1"/>
        <v>0</v>
      </c>
      <c r="F14" s="28">
        <f t="shared" si="2"/>
        <v>30.822831528273515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22.6</v>
      </c>
      <c r="D15" s="30"/>
      <c r="E15" s="29">
        <f t="shared" si="1"/>
        <v>0</v>
      </c>
      <c r="F15" s="28">
        <f t="shared" si="2"/>
        <v>25.423211406532172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30.9</v>
      </c>
      <c r="D16" s="30">
        <v>25</v>
      </c>
      <c r="E16" s="29">
        <f t="shared" si="1"/>
        <v>0.5</v>
      </c>
      <c r="F16" s="28">
        <f t="shared" si="2"/>
        <v>34.760054533709912</v>
      </c>
      <c r="G16" s="27" t="str">
        <f t="shared" si="3"/>
        <v>+</v>
      </c>
      <c r="H16" s="34">
        <f t="shared" si="4"/>
        <v>772.5</v>
      </c>
      <c r="I16" s="34">
        <f t="shared" si="5"/>
        <v>869.00136334274782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45.5</v>
      </c>
      <c r="D17" s="30">
        <v>25</v>
      </c>
      <c r="E17" s="29">
        <f t="shared" si="1"/>
        <v>0.5</v>
      </c>
      <c r="F17" s="28">
        <f t="shared" si="2"/>
        <v>51.183899070673171</v>
      </c>
      <c r="G17" s="27" t="str">
        <f t="shared" si="3"/>
        <v>+</v>
      </c>
      <c r="H17" s="34">
        <f t="shared" si="4"/>
        <v>1137.5</v>
      </c>
      <c r="I17" s="34">
        <f t="shared" si="5"/>
        <v>1279.5974767668292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39.9</v>
      </c>
      <c r="D18" s="30"/>
      <c r="E18" s="29">
        <f t="shared" si="1"/>
        <v>0</v>
      </c>
      <c r="F18" s="28">
        <f t="shared" si="2"/>
        <v>44.884342261974936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38.200000000000003</v>
      </c>
      <c r="D19" s="49">
        <f>SUM(D10:D18)</f>
        <v>50</v>
      </c>
      <c r="E19" s="48">
        <f t="shared" si="1"/>
        <v>1</v>
      </c>
      <c r="F19" s="47">
        <f>I19/D19</f>
        <v>42.971976802191541</v>
      </c>
      <c r="G19" s="46">
        <f>F19/C19-1</f>
        <v>0.12492085869611347</v>
      </c>
      <c r="H19" s="9">
        <f>SUM(H10:H18)</f>
        <v>1910</v>
      </c>
      <c r="I19" s="9">
        <f>SUM(I10:I18)</f>
        <v>2148.5988401095769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59.2</v>
      </c>
      <c r="D21" s="30">
        <v>73.7</v>
      </c>
      <c r="E21" s="29">
        <f>D21/$D$48</f>
        <v>1.1267907104744143E-2</v>
      </c>
      <c r="F21" s="28">
        <f>C21-(C21*$E$6)</f>
        <v>66.595314834809926</v>
      </c>
      <c r="G21" s="27" t="str">
        <f>IF(C21&gt;=F21,"-","+")</f>
        <v>+</v>
      </c>
      <c r="H21" s="26">
        <f>C21*D21</f>
        <v>4363.04</v>
      </c>
      <c r="I21" s="26">
        <f>F21*D21</f>
        <v>4908.074703325492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39.700000000000003</v>
      </c>
      <c r="D22" s="30">
        <v>145.80000000000001</v>
      </c>
      <c r="E22" s="29">
        <f>D22/$D$48</f>
        <v>2.2291192074242825E-2</v>
      </c>
      <c r="F22" s="28">
        <f>C22-(C22*$E$6)</f>
        <v>44.659358090235713</v>
      </c>
      <c r="G22" s="27" t="str">
        <f>IF(C22&gt;=F22,"-","+")</f>
        <v>+</v>
      </c>
      <c r="H22" s="26">
        <f>C22*D22</f>
        <v>5788.2600000000011</v>
      </c>
      <c r="I22" s="26">
        <f>F22*D22</f>
        <v>6511.3344095563671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36.200000000000003</v>
      </c>
      <c r="D23" s="30">
        <v>114.7</v>
      </c>
      <c r="E23" s="29">
        <f>D23/$D$48</f>
        <v>1.7536349320409133E-2</v>
      </c>
      <c r="F23" s="28">
        <f>C23-(C23*$E$6)</f>
        <v>40.722135084799319</v>
      </c>
      <c r="G23" s="27" t="str">
        <f>IF(C23&gt;=F23,"-","+")</f>
        <v>+</v>
      </c>
      <c r="H23" s="26">
        <f>C23*D23</f>
        <v>4152.1400000000003</v>
      </c>
      <c r="I23" s="26">
        <f>F23*D23</f>
        <v>4670.8288942264817</v>
      </c>
      <c r="J23" s="25"/>
      <c r="K23" s="25"/>
    </row>
    <row r="24" spans="1:11" x14ac:dyDescent="0.25">
      <c r="A24" s="24" t="s">
        <v>34</v>
      </c>
      <c r="B24" s="23"/>
      <c r="C24" s="20">
        <f>H24/D24</f>
        <v>42.799042489527238</v>
      </c>
      <c r="D24" s="22">
        <f>SUM(D21:D23)</f>
        <v>334.2</v>
      </c>
      <c r="E24" s="21">
        <f>D24/$D$48</f>
        <v>5.1095448499396096E-2</v>
      </c>
      <c r="F24" s="20">
        <f>I24/D24</f>
        <v>48.145535628690425</v>
      </c>
      <c r="G24" s="19">
        <f>F24/C24-1</f>
        <v>0.12492085869611347</v>
      </c>
      <c r="H24" s="18">
        <f>SUM(H21:H23)</f>
        <v>14303.440000000002</v>
      </c>
      <c r="I24" s="18">
        <f>SUM(I21:I23)</f>
        <v>16090.238007108339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31.6</v>
      </c>
      <c r="D26" s="30">
        <f>300.7+25+890</f>
        <v>1215.7</v>
      </c>
      <c r="E26" s="29">
        <f t="shared" ref="E26:E32" si="7">D26/$D$48</f>
        <v>0.18586695613619342</v>
      </c>
      <c r="F26" s="28">
        <f t="shared" ref="F26:F31" si="8">C26-(C26*$E$6)</f>
        <v>35.547499134797192</v>
      </c>
      <c r="G26" s="27" t="str">
        <f t="shared" ref="G26:G31" si="9">IF(C26&gt;=F26,"-","+")</f>
        <v>+</v>
      </c>
      <c r="H26" s="26">
        <f t="shared" ref="H26:H31" si="10">C26*D26</f>
        <v>38416.120000000003</v>
      </c>
      <c r="I26" s="26">
        <f t="shared" ref="I26:I31" si="11">F26*D26</f>
        <v>43215.09469817295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28.1</v>
      </c>
      <c r="D27" s="30">
        <v>914.5</v>
      </c>
      <c r="E27" s="29">
        <f t="shared" si="7"/>
        <v>0.13981683917623497</v>
      </c>
      <c r="F27" s="28">
        <f t="shared" si="8"/>
        <v>31.610276129360795</v>
      </c>
      <c r="G27" s="27" t="str">
        <f t="shared" si="9"/>
        <v>+</v>
      </c>
      <c r="H27" s="26">
        <f t="shared" si="10"/>
        <v>25697.45</v>
      </c>
      <c r="I27" s="26">
        <f t="shared" si="11"/>
        <v>28907.597520300445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28.1</v>
      </c>
      <c r="D28" s="30">
        <v>490</v>
      </c>
      <c r="E28" s="29">
        <f t="shared" si="7"/>
        <v>7.4915528918923058E-2</v>
      </c>
      <c r="F28" s="28">
        <f t="shared" si="8"/>
        <v>31.610276129360795</v>
      </c>
      <c r="G28" s="27" t="str">
        <f t="shared" si="9"/>
        <v>+</v>
      </c>
      <c r="H28" s="26">
        <f t="shared" si="10"/>
        <v>13769</v>
      </c>
      <c r="I28" s="26">
        <f t="shared" si="11"/>
        <v>15489.035303386789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27.2</v>
      </c>
      <c r="D29" s="30">
        <v>462.4</v>
      </c>
      <c r="E29" s="29">
        <f t="shared" si="7"/>
        <v>7.0695797085938816E-2</v>
      </c>
      <c r="F29" s="28">
        <f t="shared" si="8"/>
        <v>30.597847356534292</v>
      </c>
      <c r="G29" s="27" t="str">
        <f t="shared" si="9"/>
        <v>+</v>
      </c>
      <c r="H29" s="26">
        <f t="shared" si="10"/>
        <v>12577.279999999999</v>
      </c>
      <c r="I29" s="26">
        <f t="shared" si="11"/>
        <v>14148.444617661457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27.2</v>
      </c>
      <c r="D30" s="30">
        <v>320</v>
      </c>
      <c r="E30" s="29">
        <f t="shared" si="7"/>
        <v>4.8924427049092611E-2</v>
      </c>
      <c r="F30" s="28">
        <f t="shared" si="8"/>
        <v>30.597847356534292</v>
      </c>
      <c r="G30" s="27" t="str">
        <f t="shared" si="9"/>
        <v>+</v>
      </c>
      <c r="H30" s="26">
        <f t="shared" si="10"/>
        <v>8704</v>
      </c>
      <c r="I30" s="26">
        <f t="shared" si="11"/>
        <v>9791.311154090974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27.6</v>
      </c>
      <c r="D31" s="30">
        <v>113.3</v>
      </c>
      <c r="E31" s="29">
        <f t="shared" si="7"/>
        <v>1.7322304952069354E-2</v>
      </c>
      <c r="F31" s="28">
        <f t="shared" si="8"/>
        <v>31.047815700012741</v>
      </c>
      <c r="G31" s="27" t="str">
        <f t="shared" si="9"/>
        <v>+</v>
      </c>
      <c r="H31" s="26">
        <f t="shared" si="10"/>
        <v>3127.08</v>
      </c>
      <c r="I31" s="26">
        <f t="shared" si="11"/>
        <v>3517.7175188114434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29.093810973008335</v>
      </c>
      <c r="D32" s="22">
        <f>SUM(D26:D31)</f>
        <v>3515.9</v>
      </c>
      <c r="E32" s="21">
        <f t="shared" si="7"/>
        <v>0.53754185331845228</v>
      </c>
      <c r="F32" s="20">
        <f>I32/D32</f>
        <v>32.728234822498955</v>
      </c>
      <c r="G32" s="19">
        <f>F32/C32-1</f>
        <v>0.12492085869611391</v>
      </c>
      <c r="H32" s="18">
        <f>SUM(H26:H31)</f>
        <v>102290.93000000001</v>
      </c>
      <c r="I32" s="18">
        <f>SUM(I26:I31)</f>
        <v>115069.20081242407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16.600000000000001</v>
      </c>
      <c r="D34" s="30">
        <f>584+473.6</f>
        <v>1057.5999999999999</v>
      </c>
      <c r="E34" s="29">
        <f t="shared" ref="E34:E40" si="13">D34/$D$48</f>
        <v>0.16169523139725106</v>
      </c>
      <c r="F34" s="28">
        <f t="shared" ref="F34:F39" si="14">C34-(C34*$E$6)</f>
        <v>18.673686254355488</v>
      </c>
      <c r="G34" s="27" t="str">
        <f t="shared" ref="G34:G39" si="15">IF(C34&gt;=F34,"-","+")</f>
        <v>+</v>
      </c>
      <c r="H34" s="26">
        <f t="shared" ref="H34:H39" si="16">C34*D34</f>
        <v>17556.16</v>
      </c>
      <c r="I34" s="26">
        <f t="shared" ref="I34:I39" si="17">F34*D34</f>
        <v>19749.290582606362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12.8</v>
      </c>
      <c r="D35" s="30">
        <v>92.7</v>
      </c>
      <c r="E35" s="29">
        <f t="shared" si="13"/>
        <v>1.4172794960784017E-2</v>
      </c>
      <c r="F35" s="28">
        <f t="shared" si="14"/>
        <v>14.398986991310256</v>
      </c>
      <c r="G35" s="27" t="str">
        <f t="shared" si="15"/>
        <v>+</v>
      </c>
      <c r="H35" s="26">
        <f t="shared" si="16"/>
        <v>1186.5600000000002</v>
      </c>
      <c r="I35" s="26">
        <f t="shared" si="17"/>
        <v>1334.7860940944609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10.3</v>
      </c>
      <c r="D36" s="30"/>
      <c r="E36" s="29">
        <f t="shared" si="13"/>
        <v>0</v>
      </c>
      <c r="F36" s="28">
        <f t="shared" si="14"/>
        <v>11.586684844569971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27.2</v>
      </c>
      <c r="D37" s="30"/>
      <c r="E37" s="29">
        <f t="shared" si="13"/>
        <v>0</v>
      </c>
      <c r="F37" s="28">
        <f t="shared" si="14"/>
        <v>30.597847356534292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27.2</v>
      </c>
      <c r="D38" s="30"/>
      <c r="E38" s="29">
        <f t="shared" si="13"/>
        <v>0</v>
      </c>
      <c r="F38" s="28">
        <f t="shared" si="14"/>
        <v>30.597847356534292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28.1</v>
      </c>
      <c r="D39" s="30"/>
      <c r="E39" s="29">
        <f t="shared" si="13"/>
        <v>0</v>
      </c>
      <c r="F39" s="28">
        <f t="shared" si="14"/>
        <v>31.610276129360795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16.293766843432149</v>
      </c>
      <c r="D40" s="22">
        <f>SUM(D34:D39)</f>
        <v>1150.3</v>
      </c>
      <c r="E40" s="113">
        <f t="shared" si="13"/>
        <v>0.17586802635803508</v>
      </c>
      <c r="F40" s="20">
        <f>I40/D40</f>
        <v>18.329198188907956</v>
      </c>
      <c r="G40" s="19">
        <f>F40/C40-1</f>
        <v>0.12492085869611347</v>
      </c>
      <c r="H40" s="18">
        <f>SUM(H34:H39)</f>
        <v>18742.72</v>
      </c>
      <c r="I40" s="18">
        <f>SUM(I34:I39)</f>
        <v>21084.076676700821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605+86.6+788.5</f>
        <v>1480.1</v>
      </c>
      <c r="E42" s="107">
        <f>D42/$D$48</f>
        <v>0.22629076398550615</v>
      </c>
      <c r="F42" s="28">
        <f>C42-(C42*$E$6)</f>
        <v>0.4499683434784455</v>
      </c>
      <c r="G42" s="27" t="str">
        <f>IF(C42&gt;=F42,"-","+")</f>
        <v>+</v>
      </c>
      <c r="H42" s="26">
        <f>C42*D42</f>
        <v>592.04</v>
      </c>
      <c r="I42" s="26">
        <f>F42*D42</f>
        <v>665.99814518244716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46.8</v>
      </c>
      <c r="E43" s="107">
        <f>D43/$D$48</f>
        <v>7.1551974559297942E-3</v>
      </c>
      <c r="F43" s="28">
        <f>C43-(C43*$E$6)</f>
        <v>0.4499683434784455</v>
      </c>
      <c r="G43" s="27" t="str">
        <f>IF(C43&gt;=F43,"-","+")</f>
        <v>+</v>
      </c>
      <c r="H43" s="26">
        <f>C43*D43</f>
        <v>18.72</v>
      </c>
      <c r="I43" s="26">
        <f>F43*D43</f>
        <v>21.058518474791249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7.3</v>
      </c>
      <c r="E44" s="107">
        <f>D44/$D$48</f>
        <v>1.1160884920574253E-3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6.1</v>
      </c>
      <c r="E45" s="107">
        <f>D45/$D$48</f>
        <v>9.3262189062332792E-4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0.39652015841069926</v>
      </c>
      <c r="D46" s="22">
        <f>SUM(D41:D45)</f>
        <v>1540.2999999999997</v>
      </c>
      <c r="E46" s="113">
        <f>D46/$D$48</f>
        <v>0.23549467182411668</v>
      </c>
      <c r="F46" s="20">
        <f>I46/D46</f>
        <v>0.4460537970896829</v>
      </c>
      <c r="G46" s="19">
        <f>F46/C46-1</f>
        <v>0.12492085869611391</v>
      </c>
      <c r="H46" s="18">
        <f>SUM(H41:H44)</f>
        <v>610.76</v>
      </c>
      <c r="I46" s="18">
        <f>SUM(I41:I44)</f>
        <v>687.05666365723846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88.583140464378417</v>
      </c>
      <c r="D48" s="13">
        <f>D24+D32+D40+D46</f>
        <v>6540.6999999999989</v>
      </c>
      <c r="E48" s="12">
        <f>SUM(E20:E46)/2</f>
        <v>1</v>
      </c>
      <c r="F48" s="11">
        <f>I48/D48</f>
        <v>23.381376941289233</v>
      </c>
      <c r="G48" s="10"/>
      <c r="H48" s="9">
        <f>SUM(H20:H46)/2</f>
        <v>135947.84999999998</v>
      </c>
      <c r="I48" s="9">
        <f>SUM(I20:I46)/2</f>
        <v>152930.57215989046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6590.7</v>
      </c>
      <c r="E50" s="12">
        <f>D50/G2</f>
        <v>1</v>
      </c>
      <c r="F50" s="11">
        <f>I50/D50</f>
        <v>23.530000000000005</v>
      </c>
      <c r="G50" s="10"/>
      <c r="H50" s="9">
        <f>H48+H19</f>
        <v>137857.84999999998</v>
      </c>
      <c r="I50" s="9">
        <f>I48+I19</f>
        <v>155079.17100000003</v>
      </c>
      <c r="J50" s="106">
        <f>D50-G2</f>
        <v>0</v>
      </c>
      <c r="K50" s="8"/>
    </row>
    <row r="51" spans="1:11" ht="23.25" x14ac:dyDescent="0.35">
      <c r="A51" s="174" t="s">
        <v>968</v>
      </c>
      <c r="B51" s="169"/>
      <c r="C51" s="170"/>
      <c r="G51" s="7"/>
      <c r="H51" s="6"/>
      <c r="I51" s="6">
        <f>+I50/D50</f>
        <v>23.530000000000005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>
    <tabColor rgb="FF92D050"/>
  </sheetPr>
  <dimension ref="A1:K56"/>
  <sheetViews>
    <sheetView workbookViewId="0">
      <selection sqref="A1:XFD1048576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967</v>
      </c>
      <c r="D1" s="100" t="s">
        <v>1</v>
      </c>
      <c r="E1" s="168" t="s">
        <v>821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967</v>
      </c>
      <c r="D2" s="96" t="s">
        <v>3</v>
      </c>
      <c r="E2" s="95" t="s">
        <v>112</v>
      </c>
      <c r="F2" s="94" t="s">
        <v>5</v>
      </c>
      <c r="G2" s="116">
        <v>6988.3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822</v>
      </c>
      <c r="D3" s="90" t="s">
        <v>7</v>
      </c>
      <c r="E3" s="89">
        <v>118</v>
      </c>
      <c r="F3" s="88" t="s">
        <v>8</v>
      </c>
      <c r="G3" s="87">
        <v>24.21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10</v>
      </c>
      <c r="D4" s="83" t="s">
        <v>11</v>
      </c>
      <c r="E4" s="82">
        <f>G2/E3</f>
        <v>59.222881355932202</v>
      </c>
      <c r="F4" s="81" t="s">
        <v>12</v>
      </c>
      <c r="G4" s="80">
        <f>G2*G3</f>
        <v>169186.74300000002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-7.597105411070304E-2</v>
      </c>
      <c r="F6" s="69" t="s">
        <v>16</v>
      </c>
      <c r="G6" s="68">
        <f>(I50-I19)/(D50-(SUM(D42:D44)+D19))</f>
        <v>30.537469631608392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24.2</v>
      </c>
      <c r="D10" s="30"/>
      <c r="E10" s="29" t="e">
        <f t="shared" ref="E10:E19" si="1">D10/$D$19</f>
        <v>#DIV/0!</v>
      </c>
      <c r="F10" s="28">
        <f t="shared" ref="F10:F18" si="2">C10-(C10*$E$6)</f>
        <v>26.038499509479013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25.2</v>
      </c>
      <c r="D11" s="30"/>
      <c r="E11" s="29" t="e">
        <f t="shared" si="1"/>
        <v>#DIV/0!</v>
      </c>
      <c r="F11" s="28">
        <f t="shared" si="2"/>
        <v>27.114470563589716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</v>
      </c>
      <c r="D12" s="30"/>
      <c r="E12" s="29" t="e">
        <f t="shared" si="1"/>
        <v>#DIV/0!</v>
      </c>
      <c r="F12" s="28">
        <f t="shared" si="2"/>
        <v>24.74733424454617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25.2</v>
      </c>
      <c r="D13" s="30"/>
      <c r="E13" s="29" t="e">
        <f t="shared" si="1"/>
        <v>#DIV/0!</v>
      </c>
      <c r="F13" s="28">
        <f t="shared" si="2"/>
        <v>27.114470563589716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28.2</v>
      </c>
      <c r="D14" s="30"/>
      <c r="E14" s="29" t="e">
        <f t="shared" si="1"/>
        <v>#DIV/0!</v>
      </c>
      <c r="F14" s="28">
        <f t="shared" si="2"/>
        <v>30.342383725921824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23.2</v>
      </c>
      <c r="D15" s="30"/>
      <c r="E15" s="29" t="e">
        <f t="shared" si="1"/>
        <v>#DIV/0!</v>
      </c>
      <c r="F15" s="28">
        <f t="shared" si="2"/>
        <v>24.962528455368311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31.8</v>
      </c>
      <c r="D16" s="30"/>
      <c r="E16" s="29" t="e">
        <f t="shared" si="1"/>
        <v>#DIV/0!</v>
      </c>
      <c r="F16" s="28">
        <f t="shared" si="2"/>
        <v>34.215879520720357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46.8</v>
      </c>
      <c r="D17" s="30"/>
      <c r="E17" s="29" t="e">
        <f t="shared" si="1"/>
        <v>#DIV/0!</v>
      </c>
      <c r="F17" s="28">
        <f t="shared" si="2"/>
        <v>50.355445332380896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</v>
      </c>
      <c r="D18" s="30"/>
      <c r="E18" s="29" t="e">
        <f t="shared" si="1"/>
        <v>#DIV/0!</v>
      </c>
      <c r="F18" s="28">
        <f t="shared" si="2"/>
        <v>44.114813218538828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60.9</v>
      </c>
      <c r="D21" s="30">
        <v>96.2</v>
      </c>
      <c r="E21" s="29">
        <f>D21/$D$48</f>
        <v>1.3765865804272855E-2</v>
      </c>
      <c r="F21" s="28">
        <f>C21-(C21*$E$6)</f>
        <v>65.52663719534182</v>
      </c>
      <c r="G21" s="27" t="str">
        <f>IF(C21&gt;=F21,"-","+")</f>
        <v>+</v>
      </c>
      <c r="H21" s="26">
        <f>C21*D21</f>
        <v>5858.58</v>
      </c>
      <c r="I21" s="26">
        <f>F21*D21</f>
        <v>6303.6624981918831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40.9</v>
      </c>
      <c r="D22" s="30">
        <v>171.6</v>
      </c>
      <c r="E22" s="29">
        <f>D22/$D$48</f>
        <v>2.4555328191405632E-2</v>
      </c>
      <c r="F22" s="28">
        <f>C22-(C22*$E$6)</f>
        <v>44.007216113127754</v>
      </c>
      <c r="G22" s="27" t="str">
        <f>IF(C22&gt;=F22,"-","+")</f>
        <v>+</v>
      </c>
      <c r="H22" s="26">
        <f>C22*D22</f>
        <v>7018.44</v>
      </c>
      <c r="I22" s="26">
        <f>F22*D22</f>
        <v>7551.638285012722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37.299999999999997</v>
      </c>
      <c r="D23" s="30">
        <v>142.80000000000001</v>
      </c>
      <c r="E23" s="29">
        <f>D23/$D$48</f>
        <v>2.0434154229211684E-2</v>
      </c>
      <c r="F23" s="28">
        <f>C23-(C23*$E$6)</f>
        <v>40.133720318329217</v>
      </c>
      <c r="G23" s="27" t="str">
        <f>IF(C23&gt;=F23,"-","+")</f>
        <v>+</v>
      </c>
      <c r="H23" s="26">
        <f>C23*D23</f>
        <v>5326.44</v>
      </c>
      <c r="I23" s="26">
        <f>F23*D23</f>
        <v>5731.0952614574126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44.333804188991714</v>
      </c>
      <c r="D24" s="22">
        <f>SUM(D21:D23)</f>
        <v>410.6</v>
      </c>
      <c r="E24" s="21">
        <f>D24/$D$48</f>
        <v>5.8755348224890175E-2</v>
      </c>
      <c r="F24" s="20">
        <f>I24/D24</f>
        <v>47.701890025966918</v>
      </c>
      <c r="G24" s="19">
        <f>F24/C24-1</f>
        <v>7.597105411070304E-2</v>
      </c>
      <c r="H24" s="18">
        <f>SUM(H21:H23)</f>
        <v>18203.46</v>
      </c>
      <c r="I24" s="18">
        <f>SUM(I21:I23)</f>
        <v>19586.396044662019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32.5</v>
      </c>
      <c r="D26" s="30">
        <f>408.6+954</f>
        <v>1362.6</v>
      </c>
      <c r="E26" s="29">
        <f t="shared" ref="E26:E32" si="7">D26/$D$48</f>
        <v>0.19498304308630138</v>
      </c>
      <c r="F26" s="28">
        <f t="shared" ref="F26:F31" si="8">C26-(C26*$E$6)</f>
        <v>34.969059258597852</v>
      </c>
      <c r="G26" s="27" t="str">
        <f t="shared" ref="G26:G31" si="9">IF(C26&gt;=F26,"-","+")</f>
        <v>+</v>
      </c>
      <c r="H26" s="26">
        <f t="shared" ref="H26:H31" si="10">C26*D26</f>
        <v>44284.5</v>
      </c>
      <c r="I26" s="26">
        <f t="shared" ref="I26:I31" si="11">F26*D26</f>
        <v>47648.840145765433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28.9</v>
      </c>
      <c r="D27" s="30">
        <v>1117.4000000000001</v>
      </c>
      <c r="E27" s="29">
        <f t="shared" si="7"/>
        <v>0.15989582588040011</v>
      </c>
      <c r="F27" s="28">
        <f t="shared" si="8"/>
        <v>31.095563463799316</v>
      </c>
      <c r="G27" s="27" t="str">
        <f t="shared" si="9"/>
        <v>+</v>
      </c>
      <c r="H27" s="26">
        <f t="shared" si="10"/>
        <v>32292.86</v>
      </c>
      <c r="I27" s="26">
        <f t="shared" si="11"/>
        <v>34746.182614449361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28.9</v>
      </c>
      <c r="D28" s="30">
        <v>506.8</v>
      </c>
      <c r="E28" s="29">
        <f t="shared" si="7"/>
        <v>7.2521214029163034E-2</v>
      </c>
      <c r="F28" s="28">
        <f t="shared" si="8"/>
        <v>31.095563463799316</v>
      </c>
      <c r="G28" s="27" t="str">
        <f t="shared" si="9"/>
        <v>+</v>
      </c>
      <c r="H28" s="26">
        <f t="shared" si="10"/>
        <v>14646.52</v>
      </c>
      <c r="I28" s="26">
        <f t="shared" si="11"/>
        <v>15759.231563453493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</v>
      </c>
      <c r="D29" s="30">
        <v>491.3</v>
      </c>
      <c r="E29" s="29">
        <f t="shared" si="7"/>
        <v>7.0303221098121149E-2</v>
      </c>
      <c r="F29" s="28">
        <f t="shared" si="8"/>
        <v>30.127189515099687</v>
      </c>
      <c r="G29" s="27" t="str">
        <f t="shared" si="9"/>
        <v>+</v>
      </c>
      <c r="H29" s="26">
        <f t="shared" si="10"/>
        <v>13756.4</v>
      </c>
      <c r="I29" s="26">
        <f t="shared" si="11"/>
        <v>14801.488208768476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</v>
      </c>
      <c r="D30" s="30">
        <v>395.4</v>
      </c>
      <c r="E30" s="29">
        <f t="shared" si="7"/>
        <v>5.6580284189287802E-2</v>
      </c>
      <c r="F30" s="28">
        <f t="shared" si="8"/>
        <v>30.127189515099687</v>
      </c>
      <c r="G30" s="27" t="str">
        <f t="shared" si="9"/>
        <v>+</v>
      </c>
      <c r="H30" s="26">
        <f t="shared" si="10"/>
        <v>11071.199999999999</v>
      </c>
      <c r="I30" s="26">
        <f t="shared" si="11"/>
        <v>11912.290734270415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28.4</v>
      </c>
      <c r="D31" s="30">
        <v>125.5</v>
      </c>
      <c r="E31" s="29">
        <f t="shared" si="7"/>
        <v>1.7958587925532676E-2</v>
      </c>
      <c r="F31" s="28">
        <f t="shared" si="8"/>
        <v>30.557577936743964</v>
      </c>
      <c r="G31" s="27" t="str">
        <f t="shared" si="9"/>
        <v>+</v>
      </c>
      <c r="H31" s="26">
        <f t="shared" si="10"/>
        <v>3564.2</v>
      </c>
      <c r="I31" s="26">
        <f t="shared" si="11"/>
        <v>3834.9760310613674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29.911397849462361</v>
      </c>
      <c r="D32" s="22">
        <f>SUM(D26:D31)</f>
        <v>3999.0000000000005</v>
      </c>
      <c r="E32" s="21">
        <f t="shared" si="7"/>
        <v>0.57224217620880624</v>
      </c>
      <c r="F32" s="20">
        <f>I32/D32</f>
        <v>32.183798274010634</v>
      </c>
      <c r="G32" s="19">
        <f>F32/C32-1</f>
        <v>7.597105411070304E-2</v>
      </c>
      <c r="H32" s="18">
        <f>SUM(H26:H31)</f>
        <v>119615.67999999999</v>
      </c>
      <c r="I32" s="18">
        <f>SUM(I26:I31)</f>
        <v>128703.00929776854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17.100000000000001</v>
      </c>
      <c r="D34" s="30">
        <f>550+481.2</f>
        <v>1031.2</v>
      </c>
      <c r="E34" s="29">
        <f t="shared" ref="E34:E40" si="13">D34/$D$48</f>
        <v>0.14756092325744458</v>
      </c>
      <c r="F34" s="28">
        <f t="shared" ref="F34:F39" si="14">C34-(C34*$E$6)</f>
        <v>18.399105025293025</v>
      </c>
      <c r="G34" s="27" t="str">
        <f t="shared" ref="G34:G39" si="15">IF(C34&gt;=F34,"-","+")</f>
        <v>+</v>
      </c>
      <c r="H34" s="26">
        <f t="shared" ref="H34:H39" si="16">C34*D34</f>
        <v>17633.52</v>
      </c>
      <c r="I34" s="26">
        <f t="shared" ref="I34:I39" si="17">F34*D34</f>
        <v>18973.157102082168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13.2</v>
      </c>
      <c r="D35" s="30">
        <v>91.6</v>
      </c>
      <c r="E35" s="29">
        <f t="shared" si="13"/>
        <v>1.3107622740866876E-2</v>
      </c>
      <c r="F35" s="28">
        <f t="shared" si="14"/>
        <v>14.20281791426128</v>
      </c>
      <c r="G35" s="27" t="str">
        <f t="shared" si="15"/>
        <v>+</v>
      </c>
      <c r="H35" s="26">
        <f t="shared" si="16"/>
        <v>1209.1199999999999</v>
      </c>
      <c r="I35" s="26">
        <f t="shared" si="17"/>
        <v>1300.9781209463331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11.405293173573451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</v>
      </c>
      <c r="D37" s="30"/>
      <c r="E37" s="29">
        <f t="shared" si="13"/>
        <v>0</v>
      </c>
      <c r="F37" s="28">
        <f t="shared" si="14"/>
        <v>30.127189515099687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</v>
      </c>
      <c r="D38" s="30"/>
      <c r="E38" s="29">
        <f t="shared" si="13"/>
        <v>0</v>
      </c>
      <c r="F38" s="28">
        <f t="shared" si="14"/>
        <v>30.127189515099687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28.9</v>
      </c>
      <c r="D39" s="30"/>
      <c r="E39" s="29">
        <f t="shared" si="13"/>
        <v>0</v>
      </c>
      <c r="F39" s="28">
        <f t="shared" si="14"/>
        <v>31.095563463799316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16.781831136444602</v>
      </c>
      <c r="D40" s="22">
        <f>SUM(D34:D39)</f>
        <v>1122.8</v>
      </c>
      <c r="E40" s="113">
        <f t="shared" si="13"/>
        <v>0.16066854599831146</v>
      </c>
      <c r="F40" s="20">
        <f>I40/D40</f>
        <v>18.056764537788119</v>
      </c>
      <c r="G40" s="19">
        <f>F40/C40-1</f>
        <v>7.5971054110703262E-2</v>
      </c>
      <c r="H40" s="18">
        <f>SUM(H34:H39)</f>
        <v>18842.64</v>
      </c>
      <c r="I40" s="18">
        <f>SUM(I34:I39)</f>
        <v>20274.135223028501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695+75.9+636.3</f>
        <v>1407.1999999999998</v>
      </c>
      <c r="E42" s="107">
        <f>D42/$D$48</f>
        <v>0.20136513887497673</v>
      </c>
      <c r="F42" s="28">
        <f>C42-(C42*$E$6)</f>
        <v>0.43038842164428126</v>
      </c>
      <c r="G42" s="27" t="str">
        <f>IF(C42&gt;=F42,"-","+")</f>
        <v>+</v>
      </c>
      <c r="H42" s="26">
        <f>C42*D42</f>
        <v>562.88</v>
      </c>
      <c r="I42" s="26">
        <f>F42*D42</f>
        <v>605.64258693783256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40.799999999999997</v>
      </c>
      <c r="E43" s="107">
        <f>D43/$D$48</f>
        <v>5.8383297797747662E-3</v>
      </c>
      <c r="F43" s="28">
        <f>C43-(C43*$E$6)</f>
        <v>0.43038842164428126</v>
      </c>
      <c r="G43" s="27" t="str">
        <f>IF(C43&gt;=F43,"-","+")</f>
        <v>+</v>
      </c>
      <c r="H43" s="26">
        <f>C43*D43</f>
        <v>16.32</v>
      </c>
      <c r="I43" s="26">
        <f>F43*D43</f>
        <v>17.559847603086673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7.9</v>
      </c>
      <c r="E45" s="107">
        <f>D45/$D$48</f>
        <v>1.1304609132407023E-3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0.39782952125832827</v>
      </c>
      <c r="D46" s="22">
        <f>SUM(D41:D45)</f>
        <v>1455.8999999999999</v>
      </c>
      <c r="E46" s="113">
        <f>D46/$D$48</f>
        <v>0.20833392956799218</v>
      </c>
      <c r="F46" s="20">
        <f>I46/D46</f>
        <v>0.4280530493446798</v>
      </c>
      <c r="G46" s="19">
        <f>F46/C46-1</f>
        <v>7.597105411070304E-2</v>
      </c>
      <c r="H46" s="18">
        <f>SUM(H41:H44)</f>
        <v>579.20000000000005</v>
      </c>
      <c r="I46" s="18">
        <f>SUM(I41:I44)</f>
        <v>623.20243454091928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91.424862696156993</v>
      </c>
      <c r="D48" s="13">
        <f>D24+D32+D40+D46</f>
        <v>6988.3</v>
      </c>
      <c r="E48" s="12">
        <f>SUM(E20:E46)/2</f>
        <v>1</v>
      </c>
      <c r="F48" s="11">
        <f>I48/D48</f>
        <v>24.209999999999994</v>
      </c>
      <c r="G48" s="10"/>
      <c r="H48" s="9">
        <f>SUM(H20:H46)/2</f>
        <v>157240.98000000004</v>
      </c>
      <c r="I48" s="9">
        <f>SUM(I20:I46)/2</f>
        <v>169186.74299999996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6988.2999999999993</v>
      </c>
      <c r="E50" s="12">
        <f>D50/G2</f>
        <v>0.99999999999999989</v>
      </c>
      <c r="F50" s="11">
        <f>I50/D50</f>
        <v>24.209999999999997</v>
      </c>
      <c r="G50" s="10"/>
      <c r="H50" s="9">
        <f>H48+H19</f>
        <v>157240.98000000004</v>
      </c>
      <c r="I50" s="9">
        <f>I48+I19</f>
        <v>169186.74299999996</v>
      </c>
      <c r="J50" s="106">
        <f>D50-G2</f>
        <v>0</v>
      </c>
      <c r="K50" s="8"/>
    </row>
    <row r="51" spans="1:11" ht="23.25" x14ac:dyDescent="0.35">
      <c r="A51" s="174" t="s">
        <v>969</v>
      </c>
      <c r="B51" s="169"/>
      <c r="C51" s="170"/>
      <c r="G51" s="7"/>
      <c r="H51" s="6"/>
      <c r="I51" s="6">
        <f>+I50/D50</f>
        <v>24.209999999999997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964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967</v>
      </c>
      <c r="D2" s="96" t="s">
        <v>3</v>
      </c>
      <c r="E2" s="95" t="s">
        <v>71</v>
      </c>
      <c r="F2" s="94" t="s">
        <v>5</v>
      </c>
      <c r="G2" s="93">
        <v>17177.900000000001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228</v>
      </c>
      <c r="F3" s="88" t="s">
        <v>8</v>
      </c>
      <c r="G3" s="87">
        <v>28.35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75.341666666666669</v>
      </c>
      <c r="F4" s="81" t="s">
        <v>12</v>
      </c>
      <c r="G4" s="80">
        <f>G2*G3</f>
        <v>486993.46500000008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9.6372838374724212E-3</v>
      </c>
      <c r="F6" s="69" t="s">
        <v>16</v>
      </c>
      <c r="G6" s="68">
        <f>(I50-I19)/(D50-(SUM(D42:D44)+D19))</f>
        <v>33.195226921549768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28.4</v>
      </c>
      <c r="D10" s="30"/>
      <c r="E10" s="29">
        <f t="shared" ref="E10:E19" si="1">D10/$D$19</f>
        <v>0</v>
      </c>
      <c r="F10" s="28">
        <f t="shared" ref="F10:F18" si="2">C10-(C10*$E$6)</f>
        <v>28.126301139015784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29.5</v>
      </c>
      <c r="D11" s="30">
        <v>4795.6000000000004</v>
      </c>
      <c r="E11" s="29">
        <f t="shared" si="1"/>
        <v>0.69802916945649329</v>
      </c>
      <c r="F11" s="28">
        <f t="shared" si="2"/>
        <v>29.215700126794562</v>
      </c>
      <c r="G11" s="27" t="str">
        <f t="shared" si="3"/>
        <v>-</v>
      </c>
      <c r="H11" s="34">
        <f t="shared" si="4"/>
        <v>141470.20000000001</v>
      </c>
      <c r="I11" s="34">
        <f t="shared" si="5"/>
        <v>140106.81152805602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27</v>
      </c>
      <c r="D12" s="30">
        <v>1895.3</v>
      </c>
      <c r="E12" s="29">
        <f t="shared" si="1"/>
        <v>0.27587260923990564</v>
      </c>
      <c r="F12" s="28">
        <f t="shared" si="2"/>
        <v>26.739793336388246</v>
      </c>
      <c r="G12" s="27" t="str">
        <f t="shared" si="3"/>
        <v>-</v>
      </c>
      <c r="H12" s="34">
        <f t="shared" si="4"/>
        <v>51173.1</v>
      </c>
      <c r="I12" s="34">
        <f t="shared" si="5"/>
        <v>50679.930310456642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29.5</v>
      </c>
      <c r="D13" s="30">
        <v>42.9</v>
      </c>
      <c r="E13" s="29">
        <f t="shared" si="1"/>
        <v>6.2443596984076144E-3</v>
      </c>
      <c r="F13" s="28">
        <f t="shared" si="2"/>
        <v>29.215700126794562</v>
      </c>
      <c r="G13" s="27" t="str">
        <f t="shared" si="3"/>
        <v>-</v>
      </c>
      <c r="H13" s="34">
        <f t="shared" si="4"/>
        <v>1265.55</v>
      </c>
      <c r="I13" s="34">
        <f t="shared" si="5"/>
        <v>1253.3535354394867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33</v>
      </c>
      <c r="D14" s="30"/>
      <c r="E14" s="29">
        <f t="shared" si="1"/>
        <v>0</v>
      </c>
      <c r="F14" s="28">
        <f t="shared" si="2"/>
        <v>32.681969633363408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27.2</v>
      </c>
      <c r="D15" s="30">
        <f>34.9+73.9</f>
        <v>108.80000000000001</v>
      </c>
      <c r="E15" s="29">
        <f t="shared" si="1"/>
        <v>1.5836511309714418E-2</v>
      </c>
      <c r="F15" s="28">
        <f t="shared" si="2"/>
        <v>26.937865879620748</v>
      </c>
      <c r="G15" s="27" t="str">
        <f t="shared" si="3"/>
        <v>-</v>
      </c>
      <c r="H15" s="34">
        <f t="shared" si="4"/>
        <v>2959.36</v>
      </c>
      <c r="I15" s="34">
        <f t="shared" si="5"/>
        <v>2930.8398077027377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37.299999999999997</v>
      </c>
      <c r="D16" s="30"/>
      <c r="E16" s="29">
        <f t="shared" si="1"/>
        <v>0</v>
      </c>
      <c r="F16" s="28">
        <f t="shared" si="2"/>
        <v>36.940529312862274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54.8</v>
      </c>
      <c r="D17" s="30">
        <v>27.6</v>
      </c>
      <c r="E17" s="29">
        <f t="shared" si="1"/>
        <v>4.0173502954790252E-3</v>
      </c>
      <c r="F17" s="28">
        <f t="shared" si="2"/>
        <v>54.271876845706508</v>
      </c>
      <c r="G17" s="27" t="str">
        <f t="shared" si="3"/>
        <v>-</v>
      </c>
      <c r="H17" s="34">
        <f t="shared" si="4"/>
        <v>1512.48</v>
      </c>
      <c r="I17" s="34">
        <f t="shared" si="5"/>
        <v>1497.9038009414996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48</v>
      </c>
      <c r="D18" s="30"/>
      <c r="E18" s="29">
        <f t="shared" si="1"/>
        <v>0</v>
      </c>
      <c r="F18" s="28">
        <f t="shared" si="2"/>
        <v>47.537410375801322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28.87553346336351</v>
      </c>
      <c r="D19" s="49">
        <f>SUM(D10:D18)</f>
        <v>6870.2000000000007</v>
      </c>
      <c r="E19" s="48">
        <f t="shared" si="1"/>
        <v>1</v>
      </c>
      <c r="F19" s="47">
        <f>I19/D19</f>
        <v>28.597251751418643</v>
      </c>
      <c r="G19" s="46">
        <f>F19/C19-1</f>
        <v>-9.6372838374724212E-3</v>
      </c>
      <c r="H19" s="9">
        <f>SUM(H10:H18)</f>
        <v>198380.69</v>
      </c>
      <c r="I19" s="9">
        <f>SUM(I10:I18)</f>
        <v>196468.83898259638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71.3</v>
      </c>
      <c r="D21" s="30">
        <v>68.7</v>
      </c>
      <c r="E21" s="29">
        <f>D21/$D$48</f>
        <v>6.6649203993131359E-3</v>
      </c>
      <c r="F21" s="28">
        <f>C21-(C21*$E$6)</f>
        <v>70.612861662388212</v>
      </c>
      <c r="G21" s="27" t="str">
        <f>IF(C21&gt;=F21,"-","+")</f>
        <v>-</v>
      </c>
      <c r="H21" s="26">
        <f>C21*D21</f>
        <v>4898.3100000000004</v>
      </c>
      <c r="I21" s="26">
        <f>F21*D21</f>
        <v>4851.1035962060705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47.9</v>
      </c>
      <c r="D22" s="30">
        <v>446.4</v>
      </c>
      <c r="E22" s="29">
        <f>D22/$D$48</f>
        <v>4.3307430367589279E-2</v>
      </c>
      <c r="F22" s="28">
        <f>C22-(C22*$E$6)</f>
        <v>47.438374104185073</v>
      </c>
      <c r="G22" s="27" t="str">
        <f>IF(C22&gt;=F22,"-","+")</f>
        <v>-</v>
      </c>
      <c r="H22" s="26">
        <f>C22*D22</f>
        <v>21382.559999999998</v>
      </c>
      <c r="I22" s="26">
        <f>F22*D22</f>
        <v>21176.490200108216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43.7</v>
      </c>
      <c r="D23" s="30">
        <v>136.4</v>
      </c>
      <c r="E23" s="29">
        <f>D23/$D$48</f>
        <v>1.3232825945652281E-2</v>
      </c>
      <c r="F23" s="28">
        <f>C23-(C23*$E$6)</f>
        <v>43.278850696302456</v>
      </c>
      <c r="G23" s="27" t="str">
        <f>IF(C23&gt;=F23,"-","+")</f>
        <v>-</v>
      </c>
      <c r="H23" s="26">
        <f>C23*D23</f>
        <v>5960.68</v>
      </c>
      <c r="I23" s="26">
        <f>F23*D23</f>
        <v>5903.2352349756557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49.48818112049117</v>
      </c>
      <c r="D24" s="22">
        <f>SUM(D21:D23)</f>
        <v>651.5</v>
      </c>
      <c r="E24" s="21">
        <f>D24/$D$48</f>
        <v>6.3205176712554698E-2</v>
      </c>
      <c r="F24" s="20">
        <f>I24/D24</f>
        <v>49.011249472432759</v>
      </c>
      <c r="G24" s="19">
        <f>F24/C24-1</f>
        <v>-9.6372838374723102E-3</v>
      </c>
      <c r="H24" s="18">
        <f>SUM(H21:H23)</f>
        <v>32241.55</v>
      </c>
      <c r="I24" s="18">
        <f>SUM(I21:I23)</f>
        <v>31930.829031289941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38</v>
      </c>
      <c r="D26" s="30">
        <f>286.8+144.8+76.2+1574-155</f>
        <v>1926.8000000000002</v>
      </c>
      <c r="E26" s="29">
        <f t="shared" ref="E26:E32" si="7">D26/$D$48</f>
        <v>0.18692821871028459</v>
      </c>
      <c r="F26" s="28">
        <f t="shared" ref="F26:F31" si="8">C26-(C26*$E$6)</f>
        <v>37.633783214176049</v>
      </c>
      <c r="G26" s="27" t="str">
        <f t="shared" ref="G26:G31" si="9">IF(C26&gt;=F26,"-","+")</f>
        <v>-</v>
      </c>
      <c r="H26" s="26">
        <f t="shared" ref="H26:H31" si="10">C26*D26</f>
        <v>73218.400000000009</v>
      </c>
      <c r="I26" s="26">
        <f t="shared" ref="I26:I31" si="11">F26*D26</f>
        <v>72512.77349707442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33.9</v>
      </c>
      <c r="D27" s="30">
        <v>1598</v>
      </c>
      <c r="E27" s="29">
        <f t="shared" si="7"/>
        <v>0.15502973505243656</v>
      </c>
      <c r="F27" s="28">
        <f t="shared" si="8"/>
        <v>33.573296077909681</v>
      </c>
      <c r="G27" s="27" t="str">
        <f t="shared" si="9"/>
        <v>-</v>
      </c>
      <c r="H27" s="26">
        <f t="shared" si="10"/>
        <v>54172.2</v>
      </c>
      <c r="I27" s="26">
        <f t="shared" si="11"/>
        <v>53650.127132499671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33.9</v>
      </c>
      <c r="D28" s="30">
        <v>1118.2</v>
      </c>
      <c r="E28" s="29">
        <f t="shared" si="7"/>
        <v>0.10848200859551599</v>
      </c>
      <c r="F28" s="28">
        <f t="shared" si="8"/>
        <v>33.573296077909681</v>
      </c>
      <c r="G28" s="27" t="str">
        <f t="shared" si="9"/>
        <v>-</v>
      </c>
      <c r="H28" s="26">
        <f t="shared" si="10"/>
        <v>37906.980000000003</v>
      </c>
      <c r="I28" s="26">
        <f t="shared" si="11"/>
        <v>37541.659674318609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32.700000000000003</v>
      </c>
      <c r="D29" s="30">
        <f>1241.8-120</f>
        <v>1121.8</v>
      </c>
      <c r="E29" s="29">
        <f t="shared" si="7"/>
        <v>0.10883126206622235</v>
      </c>
      <c r="F29" s="28">
        <f t="shared" si="8"/>
        <v>32.384860818514653</v>
      </c>
      <c r="G29" s="27" t="str">
        <f t="shared" si="9"/>
        <v>-</v>
      </c>
      <c r="H29" s="26">
        <f t="shared" si="10"/>
        <v>36682.86</v>
      </c>
      <c r="I29" s="26">
        <f t="shared" si="11"/>
        <v>36329.336866209735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32.700000000000003</v>
      </c>
      <c r="D30" s="30">
        <f>865.4</f>
        <v>865.4</v>
      </c>
      <c r="E30" s="29">
        <f t="shared" si="7"/>
        <v>8.3956653763691227E-2</v>
      </c>
      <c r="F30" s="28">
        <f t="shared" si="8"/>
        <v>32.384860818514653</v>
      </c>
      <c r="G30" s="27" t="str">
        <f t="shared" si="9"/>
        <v>-</v>
      </c>
      <c r="H30" s="26">
        <f t="shared" si="10"/>
        <v>28298.58</v>
      </c>
      <c r="I30" s="26">
        <f t="shared" si="11"/>
        <v>28025.858552342579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33.299999999999997</v>
      </c>
      <c r="D31" s="30">
        <v>58.9</v>
      </c>
      <c r="E31" s="29">
        <f t="shared" si="7"/>
        <v>5.7141748401680304E-3</v>
      </c>
      <c r="F31" s="28">
        <f t="shared" si="8"/>
        <v>32.979078448212164</v>
      </c>
      <c r="G31" s="27" t="str">
        <f t="shared" si="9"/>
        <v>-</v>
      </c>
      <c r="H31" s="26">
        <f t="shared" si="10"/>
        <v>1961.37</v>
      </c>
      <c r="I31" s="26">
        <f t="shared" si="11"/>
        <v>1942.4677205996963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34.719228296781338</v>
      </c>
      <c r="D32" s="22">
        <f>SUM(D26:D31)</f>
        <v>6689.0999999999995</v>
      </c>
      <c r="E32" s="21">
        <f t="shared" si="7"/>
        <v>0.64894205302831864</v>
      </c>
      <c r="F32" s="20">
        <f>I32/D32</f>
        <v>34.384629239067252</v>
      </c>
      <c r="G32" s="19">
        <f>F32/C32-1</f>
        <v>-9.6372838374724212E-3</v>
      </c>
      <c r="H32" s="18">
        <f>SUM(H26:H31)</f>
        <v>232240.39</v>
      </c>
      <c r="I32" s="18">
        <f>SUM(I26:I31)</f>
        <v>230002.22344304473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f>1675.3-270</f>
        <v>1405.3</v>
      </c>
      <c r="E34" s="29">
        <f t="shared" ref="E34:E40" si="13">D34/$D$48</f>
        <v>0.13633497288434859</v>
      </c>
      <c r="F34" s="28">
        <f t="shared" ref="F34:F39" si="14">C34-(C34*$E$6)</f>
        <v>19.80725432325055</v>
      </c>
      <c r="G34" s="27" t="str">
        <f t="shared" ref="G34:G39" si="15">IF(C34&gt;=F34,"-","+")</f>
        <v>-</v>
      </c>
      <c r="H34" s="26">
        <f t="shared" ref="H34:H39" si="16">C34*D34</f>
        <v>28106</v>
      </c>
      <c r="I34" s="26">
        <f t="shared" ref="I34:I39" si="17">F34*D34</f>
        <v>27835.134500463999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15.251585828902925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12.4</v>
      </c>
      <c r="D36" s="30"/>
      <c r="E36" s="29">
        <f t="shared" si="13"/>
        <v>0</v>
      </c>
      <c r="F36" s="28">
        <f t="shared" si="14"/>
        <v>12.280497680415342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32.700000000000003</v>
      </c>
      <c r="D37" s="30"/>
      <c r="E37" s="29">
        <f t="shared" si="13"/>
        <v>0</v>
      </c>
      <c r="F37" s="28">
        <f t="shared" si="14"/>
        <v>32.384860818514653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32.700000000000003</v>
      </c>
      <c r="D38" s="30"/>
      <c r="E38" s="29">
        <f t="shared" si="13"/>
        <v>0</v>
      </c>
      <c r="F38" s="28">
        <f t="shared" si="14"/>
        <v>32.384860818514653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33.9</v>
      </c>
      <c r="D39" s="30"/>
      <c r="E39" s="29">
        <f t="shared" si="13"/>
        <v>0</v>
      </c>
      <c r="F39" s="28">
        <f t="shared" si="14"/>
        <v>33.573296077909681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1405.3</v>
      </c>
      <c r="E40" s="21">
        <f t="shared" si="13"/>
        <v>0.13633497288434859</v>
      </c>
      <c r="F40" s="20">
        <f>I40/D40</f>
        <v>19.80725432325055</v>
      </c>
      <c r="G40" s="19">
        <f>F40/C40-1</f>
        <v>-9.6372838374725323E-3</v>
      </c>
      <c r="H40" s="18">
        <f>SUM(H34:H39)</f>
        <v>28106</v>
      </c>
      <c r="I40" s="18">
        <f>SUM(I34:I39)</f>
        <v>27835.134500463999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1455</v>
      </c>
      <c r="E42" s="107">
        <f>D42/$D$48</f>
        <v>0.14115661107715594</v>
      </c>
      <c r="F42" s="28">
        <f>C42-(C42*$E$6)</f>
        <v>0.49518135808126379</v>
      </c>
      <c r="G42" s="27" t="str">
        <f>IF(C42&gt;=F42,"-","+")</f>
        <v>-</v>
      </c>
      <c r="H42" s="26">
        <f>C42*D42</f>
        <v>727.5</v>
      </c>
      <c r="I42" s="26">
        <f>F42*D42</f>
        <v>720.48887600823878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72.599999999999994</v>
      </c>
      <c r="E43" s="107">
        <f>D43/$D$48</f>
        <v>7.043278325911697E-3</v>
      </c>
      <c r="F43" s="28">
        <f>C43-(C43*$E$6)</f>
        <v>0.49518135808126379</v>
      </c>
      <c r="G43" s="27" t="str">
        <f>IF(C43&gt;=F43,"-","+")</f>
        <v>-</v>
      </c>
      <c r="H43" s="26">
        <f>C43*D43</f>
        <v>36.299999999999997</v>
      </c>
      <c r="I43" s="26">
        <f>F43*D43</f>
        <v>35.950166596699745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28.1</v>
      </c>
      <c r="E44" s="107">
        <f>D44/$D$48</f>
        <v>2.7261173685691285E-3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6.1</v>
      </c>
      <c r="E45" s="107">
        <f>D45/$D$48</f>
        <v>5.9179060314134093E-4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0.48905109489051102</v>
      </c>
      <c r="D46" s="22">
        <f>SUM(D41:D45)</f>
        <v>1561.7999999999997</v>
      </c>
      <c r="E46" s="113">
        <f>D46/$D$48</f>
        <v>0.15151779737477808</v>
      </c>
      <c r="F46" s="20">
        <f>I46/D46</f>
        <v>0.48433797067802453</v>
      </c>
      <c r="G46" s="19">
        <f>F46/C46-1</f>
        <v>-9.6372838374723102E-3</v>
      </c>
      <c r="H46" s="18">
        <f>SUM(H41:H44)</f>
        <v>763.8</v>
      </c>
      <c r="I46" s="18">
        <f>SUM(I41:I44)</f>
        <v>756.43904260493855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104.69646051216303</v>
      </c>
      <c r="D48" s="13">
        <f>D24+D32+D40+D46</f>
        <v>10307.699999999999</v>
      </c>
      <c r="E48" s="12">
        <f>SUM(E20:E46)/2</f>
        <v>1</v>
      </c>
      <c r="F48" s="11">
        <f>I48/D48</f>
        <v>28.185203878401932</v>
      </c>
      <c r="G48" s="10"/>
      <c r="H48" s="9">
        <f>SUM(H20:H46)/2</f>
        <v>293351.74000000011</v>
      </c>
      <c r="I48" s="9">
        <f>SUM(I20:I46)/2</f>
        <v>290524.62601740356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17177.900000000001</v>
      </c>
      <c r="E50" s="12">
        <f>D50/G2</f>
        <v>1</v>
      </c>
      <c r="F50" s="11">
        <f>I50/D50</f>
        <v>28.349999999999994</v>
      </c>
      <c r="G50" s="10"/>
      <c r="H50" s="9">
        <f>H48+H19</f>
        <v>491732.43000000011</v>
      </c>
      <c r="I50" s="9">
        <f>I48+I19</f>
        <v>486993.46499999997</v>
      </c>
      <c r="J50" s="106">
        <f>D50-G2</f>
        <v>0</v>
      </c>
      <c r="K50" s="8"/>
    </row>
    <row r="51" spans="1:11" ht="23.25" x14ac:dyDescent="0.35">
      <c r="A51" s="174" t="s">
        <v>970</v>
      </c>
      <c r="B51" s="169"/>
      <c r="C51" s="170"/>
      <c r="G51" s="7"/>
      <c r="H51" s="6"/>
      <c r="I51" s="6">
        <f>+I50/D50</f>
        <v>28.349999999999994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24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967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971</v>
      </c>
      <c r="D2" s="96" t="s">
        <v>3</v>
      </c>
      <c r="E2" s="95" t="s">
        <v>107</v>
      </c>
      <c r="F2" s="94" t="s">
        <v>5</v>
      </c>
      <c r="G2" s="93">
        <v>2483.3000000000002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36</v>
      </c>
      <c r="F3" s="88" t="s">
        <v>8</v>
      </c>
      <c r="G3" s="87">
        <v>26.4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68.980555555555554</v>
      </c>
      <c r="F4" s="81" t="s">
        <v>12</v>
      </c>
      <c r="G4" s="80">
        <f>G2*G3</f>
        <v>65559.12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-9.5651266023366599E-3</v>
      </c>
      <c r="F6" s="69" t="s">
        <v>16</v>
      </c>
      <c r="G6" s="68">
        <f>(I50-I19)/(D50-(SUM(D42:D44)+D19))</f>
        <v>31.843365067029332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26.4</v>
      </c>
      <c r="D10" s="30"/>
      <c r="E10" s="29" t="e">
        <f t="shared" ref="E10:E19" si="1">D10/$D$19</f>
        <v>#DIV/0!</v>
      </c>
      <c r="F10" s="28">
        <f t="shared" ref="F10:F18" si="2">C10-(C10*$E$6)</f>
        <v>26.652519342301687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27.5</v>
      </c>
      <c r="D11" s="30"/>
      <c r="E11" s="29" t="e">
        <f t="shared" si="1"/>
        <v>#DIV/0!</v>
      </c>
      <c r="F11" s="28">
        <f t="shared" si="2"/>
        <v>27.763040981564259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25.1</v>
      </c>
      <c r="D12" s="30"/>
      <c r="E12" s="29" t="e">
        <f t="shared" si="1"/>
        <v>#DIV/0!</v>
      </c>
      <c r="F12" s="28">
        <f t="shared" si="2"/>
        <v>25.34008467771865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27.5</v>
      </c>
      <c r="D13" s="30"/>
      <c r="E13" s="29" t="e">
        <f t="shared" si="1"/>
        <v>#DIV/0!</v>
      </c>
      <c r="F13" s="28">
        <f t="shared" si="2"/>
        <v>27.763040981564259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30.7</v>
      </c>
      <c r="D14" s="30"/>
      <c r="E14" s="29" t="e">
        <f t="shared" si="1"/>
        <v>#DIV/0!</v>
      </c>
      <c r="F14" s="28">
        <f t="shared" si="2"/>
        <v>30.993649386691736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25.3</v>
      </c>
      <c r="D15" s="30"/>
      <c r="E15" s="29" t="e">
        <f t="shared" si="1"/>
        <v>#DIV/0!</v>
      </c>
      <c r="F15" s="28">
        <f t="shared" si="2"/>
        <v>25.541997703039119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34.700000000000003</v>
      </c>
      <c r="D16" s="30"/>
      <c r="E16" s="29" t="e">
        <f t="shared" si="1"/>
        <v>#DIV/0!</v>
      </c>
      <c r="F16" s="28">
        <f t="shared" si="2"/>
        <v>35.031909893101087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51.1</v>
      </c>
      <c r="D17" s="30"/>
      <c r="E17" s="29" t="e">
        <f t="shared" si="1"/>
        <v>#DIV/0!</v>
      </c>
      <c r="F17" s="28">
        <f t="shared" si="2"/>
        <v>51.588777969379407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44.7</v>
      </c>
      <c r="D18" s="30"/>
      <c r="E18" s="29" t="e">
        <f t="shared" si="1"/>
        <v>#DIV/0!</v>
      </c>
      <c r="F18" s="28">
        <f t="shared" si="2"/>
        <v>45.127561159124454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66.400000000000006</v>
      </c>
      <c r="D21" s="30">
        <v>36.6</v>
      </c>
      <c r="E21" s="29">
        <f>D21/$D$48</f>
        <v>1.4738452865139131E-2</v>
      </c>
      <c r="F21" s="28">
        <f>C21-(C21*$E$6)</f>
        <v>67.035124406395155</v>
      </c>
      <c r="G21" s="27" t="str">
        <f>IF(C21&gt;=F21,"-","+")</f>
        <v>+</v>
      </c>
      <c r="H21" s="26">
        <f>C21*D21</f>
        <v>2430.2400000000002</v>
      </c>
      <c r="I21" s="26">
        <f>F21*D21</f>
        <v>2453.4855532740626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44.6</v>
      </c>
      <c r="D22" s="30">
        <v>68.099999999999994</v>
      </c>
      <c r="E22" s="29">
        <f>D22/$D$48</f>
        <v>2.7423186888414611E-2</v>
      </c>
      <c r="F22" s="28">
        <f>C22-(C22*$E$6)</f>
        <v>45.026604646464214</v>
      </c>
      <c r="G22" s="27" t="str">
        <f>IF(C22&gt;=F22,"-","+")</f>
        <v>+</v>
      </c>
      <c r="H22" s="26">
        <f>C22*D22</f>
        <v>3037.2599999999998</v>
      </c>
      <c r="I22" s="26">
        <f>F22*D22</f>
        <v>3066.3117764242129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40.700000000000003</v>
      </c>
      <c r="D23" s="30">
        <v>63.1</v>
      </c>
      <c r="E23" s="29">
        <f>D23/$D$48</f>
        <v>2.5409737043450252E-2</v>
      </c>
      <c r="F23" s="28">
        <f>C23-(C23*$E$6)</f>
        <v>41.089300652715103</v>
      </c>
      <c r="G23" s="27" t="str">
        <f>IF(C23&gt;=F23,"-","+")</f>
        <v>+</v>
      </c>
      <c r="H23" s="26">
        <f>C23*D23</f>
        <v>2568.17</v>
      </c>
      <c r="I23" s="26">
        <f>F23*D23</f>
        <v>2592.7348711863228</v>
      </c>
      <c r="J23" s="25"/>
      <c r="K23" s="25"/>
    </row>
    <row r="24" spans="1:11" x14ac:dyDescent="0.25">
      <c r="A24" s="24" t="s">
        <v>34</v>
      </c>
      <c r="B24" s="23"/>
      <c r="C24" s="20">
        <f>H24/D24</f>
        <v>47.888379022646014</v>
      </c>
      <c r="D24" s="22">
        <f>SUM(D21:D23)</f>
        <v>167.79999999999998</v>
      </c>
      <c r="E24" s="21">
        <f>D24/$D$48</f>
        <v>6.7571376797003993E-2</v>
      </c>
      <c r="F24" s="20">
        <f>I24/D24</f>
        <v>48.346437430778302</v>
      </c>
      <c r="G24" s="19">
        <f>F24/C24-1</f>
        <v>9.5651266023366599E-3</v>
      </c>
      <c r="H24" s="18">
        <f>SUM(H21:H23)</f>
        <v>8035.67</v>
      </c>
      <c r="I24" s="18">
        <f>SUM(I21:I23)</f>
        <v>8112.5322008845978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35.4</v>
      </c>
      <c r="D26" s="30">
        <v>521.4</v>
      </c>
      <c r="E26" s="29">
        <f t="shared" ref="E26:E32" si="7">D26/$D$48</f>
        <v>0.20996254983288368</v>
      </c>
      <c r="F26" s="28">
        <f t="shared" ref="F26:F31" si="8">C26-(C26*$E$6)</f>
        <v>35.738605481722715</v>
      </c>
      <c r="G26" s="27" t="str">
        <f t="shared" ref="G26:G31" si="9">IF(C26&gt;=F26,"-","+")</f>
        <v>+</v>
      </c>
      <c r="H26" s="26">
        <f t="shared" ref="H26:H31" si="10">C26*D26</f>
        <v>18457.559999999998</v>
      </c>
      <c r="I26" s="26">
        <f t="shared" ref="I26:I31" si="11">F26*D26</f>
        <v>18634.108898170223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31.5</v>
      </c>
      <c r="D27" s="30">
        <v>329.7</v>
      </c>
      <c r="E27" s="29">
        <f t="shared" si="7"/>
        <v>0.13276688277695003</v>
      </c>
      <c r="F27" s="28">
        <f t="shared" si="8"/>
        <v>31.801301487973603</v>
      </c>
      <c r="G27" s="27" t="str">
        <f t="shared" si="9"/>
        <v>+</v>
      </c>
      <c r="H27" s="26">
        <f t="shared" si="10"/>
        <v>10385.549999999999</v>
      </c>
      <c r="I27" s="26">
        <f t="shared" si="11"/>
        <v>10484.889100584896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31.5</v>
      </c>
      <c r="D28" s="30">
        <v>241.7</v>
      </c>
      <c r="E28" s="29">
        <f t="shared" si="7"/>
        <v>9.7330165505577257E-2</v>
      </c>
      <c r="F28" s="28">
        <f t="shared" si="8"/>
        <v>31.801301487973603</v>
      </c>
      <c r="G28" s="27" t="str">
        <f t="shared" si="9"/>
        <v>+</v>
      </c>
      <c r="H28" s="26">
        <f t="shared" si="10"/>
        <v>7613.5499999999993</v>
      </c>
      <c r="I28" s="26">
        <f t="shared" si="11"/>
        <v>7686.3745696432197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30.5</v>
      </c>
      <c r="D29" s="30">
        <v>239.3</v>
      </c>
      <c r="E29" s="29">
        <f t="shared" si="7"/>
        <v>9.6363709579994378E-2</v>
      </c>
      <c r="F29" s="28">
        <f t="shared" si="8"/>
        <v>30.791736361371267</v>
      </c>
      <c r="G29" s="27" t="str">
        <f t="shared" si="9"/>
        <v>+</v>
      </c>
      <c r="H29" s="26">
        <f t="shared" si="10"/>
        <v>7298.6500000000005</v>
      </c>
      <c r="I29" s="26">
        <f t="shared" si="11"/>
        <v>7368.4625112761451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30.5</v>
      </c>
      <c r="D30" s="30">
        <v>173.9</v>
      </c>
      <c r="E30" s="29">
        <f t="shared" si="7"/>
        <v>7.0027785607860521E-2</v>
      </c>
      <c r="F30" s="28">
        <f t="shared" si="8"/>
        <v>30.791736361371267</v>
      </c>
      <c r="G30" s="27" t="str">
        <f t="shared" si="9"/>
        <v>+</v>
      </c>
      <c r="H30" s="26">
        <f t="shared" si="10"/>
        <v>5303.95</v>
      </c>
      <c r="I30" s="26">
        <f t="shared" si="11"/>
        <v>5354.6829532424636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</v>
      </c>
      <c r="D31" s="30">
        <v>41.8</v>
      </c>
      <c r="E31" s="29">
        <f t="shared" si="7"/>
        <v>1.6832440703902066E-2</v>
      </c>
      <c r="F31" s="28">
        <f t="shared" si="8"/>
        <v>31.296518924672437</v>
      </c>
      <c r="G31" s="27" t="str">
        <f t="shared" si="9"/>
        <v>+</v>
      </c>
      <c r="H31" s="26">
        <f t="shared" si="10"/>
        <v>1295.8</v>
      </c>
      <c r="I31" s="26">
        <f t="shared" si="11"/>
        <v>1308.1944910513078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32.533311797389842</v>
      </c>
      <c r="D32" s="22">
        <f>SUM(D26:D31)</f>
        <v>1547.8</v>
      </c>
      <c r="E32" s="21">
        <f t="shared" si="7"/>
        <v>0.62328353400716796</v>
      </c>
      <c r="F32" s="20">
        <f>I32/D32</f>
        <v>32.844497043525159</v>
      </c>
      <c r="G32" s="19">
        <f>F32/C32-1</f>
        <v>9.5651266023364379E-3</v>
      </c>
      <c r="H32" s="18">
        <f>SUM(H26:H31)</f>
        <v>50355.06</v>
      </c>
      <c r="I32" s="18">
        <f>SUM(I26:I31)</f>
        <v>50836.712523968243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18.7</v>
      </c>
      <c r="D34" s="30">
        <v>341.1</v>
      </c>
      <c r="E34" s="29">
        <f t="shared" ref="E34:E40" si="13">D34/$D$48</f>
        <v>0.13735754842346878</v>
      </c>
      <c r="F34" s="28">
        <f t="shared" ref="F34:F39" si="14">C34-(C34*$E$6)</f>
        <v>18.878867867463693</v>
      </c>
      <c r="G34" s="27" t="str">
        <f t="shared" ref="G34:G39" si="15">IF(C34&gt;=F34,"-","+")</f>
        <v>+</v>
      </c>
      <c r="H34" s="26">
        <f t="shared" ref="H34:H39" si="16">C34*D34</f>
        <v>6378.5700000000006</v>
      </c>
      <c r="I34" s="26">
        <f t="shared" ref="I34:I39" si="17">F34*D34</f>
        <v>6439.5818295918662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14.3</v>
      </c>
      <c r="D35" s="30"/>
      <c r="E35" s="29">
        <f t="shared" si="13"/>
        <v>0</v>
      </c>
      <c r="F35" s="28">
        <f t="shared" si="14"/>
        <v>14.436781310413416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11.5</v>
      </c>
      <c r="D36" s="30"/>
      <c r="E36" s="29">
        <f t="shared" si="13"/>
        <v>0</v>
      </c>
      <c r="F36" s="28">
        <f t="shared" si="14"/>
        <v>11.609998955926871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30.5</v>
      </c>
      <c r="D37" s="30"/>
      <c r="E37" s="29">
        <f t="shared" si="13"/>
        <v>0</v>
      </c>
      <c r="F37" s="28">
        <f t="shared" si="14"/>
        <v>30.791736361371267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30.5</v>
      </c>
      <c r="D38" s="30"/>
      <c r="E38" s="29">
        <f t="shared" si="13"/>
        <v>0</v>
      </c>
      <c r="F38" s="28">
        <f t="shared" si="14"/>
        <v>30.791736361371267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31.5</v>
      </c>
      <c r="D39" s="30"/>
      <c r="E39" s="29">
        <f t="shared" si="13"/>
        <v>0</v>
      </c>
      <c r="F39" s="28">
        <f t="shared" si="14"/>
        <v>31.801301487973603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18.7</v>
      </c>
      <c r="D40" s="22">
        <f>SUM(D34:D39)</f>
        <v>341.1</v>
      </c>
      <c r="E40" s="113">
        <f t="shared" si="13"/>
        <v>0.13735754842346878</v>
      </c>
      <c r="F40" s="20">
        <f>I40/D40</f>
        <v>18.878867867463693</v>
      </c>
      <c r="G40" s="19">
        <f>F40/C40-1</f>
        <v>9.5651266023366599E-3</v>
      </c>
      <c r="H40" s="18">
        <f>SUM(H34:H39)</f>
        <v>6378.5700000000006</v>
      </c>
      <c r="I40" s="18">
        <f>SUM(I34:I39)</f>
        <v>6439.5818295918662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v>410</v>
      </c>
      <c r="E42" s="107">
        <f>D42/$D$48</f>
        <v>0.1651028872870777</v>
      </c>
      <c r="F42" s="28">
        <f>C42-(C42*$E$6)</f>
        <v>0.40382605064093469</v>
      </c>
      <c r="G42" s="27" t="str">
        <f>IF(C42&gt;=F42,"-","+")</f>
        <v>+</v>
      </c>
      <c r="H42" s="26">
        <f>C42*D42</f>
        <v>164</v>
      </c>
      <c r="I42" s="26">
        <f>F42*D42</f>
        <v>165.56868076278323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11.7</v>
      </c>
      <c r="E43" s="107">
        <f>D43/$D$48</f>
        <v>4.7114726372166071E-3</v>
      </c>
      <c r="F43" s="28">
        <f>C43-(C43*$E$6)</f>
        <v>0.40382605064093469</v>
      </c>
      <c r="G43" s="27" t="str">
        <f>IF(C43&gt;=F43,"-","+")</f>
        <v>+</v>
      </c>
      <c r="H43" s="26">
        <f>C43*D43</f>
        <v>4.68</v>
      </c>
      <c r="I43" s="26">
        <f>F43*D43</f>
        <v>4.7247647924989353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2.8</v>
      </c>
      <c r="E44" s="107">
        <f>D44/$D$48</f>
        <v>1.1275319131800428E-3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2.1</v>
      </c>
      <c r="E45" s="107">
        <f>D45/$D$48</f>
        <v>8.4564893488503219E-4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0.39540553211439289</v>
      </c>
      <c r="D46" s="22">
        <f>SUM(D41:D45)</f>
        <v>426.6</v>
      </c>
      <c r="E46" s="113">
        <f>D46/$D$48</f>
        <v>0.17178754077235939</v>
      </c>
      <c r="F46" s="20">
        <f>I46/D46</f>
        <v>0.39918763608833135</v>
      </c>
      <c r="G46" s="19">
        <f>F46/C46-1</f>
        <v>9.5651266023366599E-3</v>
      </c>
      <c r="H46" s="18">
        <f>SUM(H41:H44)</f>
        <v>168.68</v>
      </c>
      <c r="I46" s="18">
        <f>SUM(I41:I44)</f>
        <v>170.29344555528218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99.517096352150247</v>
      </c>
      <c r="D48" s="13">
        <f>D24+D32+D40+D46</f>
        <v>2483.2999999999997</v>
      </c>
      <c r="E48" s="12">
        <f>SUM(E20:E46)/2</f>
        <v>1</v>
      </c>
      <c r="F48" s="11">
        <f>I48/D48</f>
        <v>26.400000000000002</v>
      </c>
      <c r="G48" s="10"/>
      <c r="H48" s="9">
        <f>SUM(H20:H46)/2</f>
        <v>64937.979999999996</v>
      </c>
      <c r="I48" s="9">
        <f>SUM(I20:I46)/2</f>
        <v>65559.12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2483.3000000000002</v>
      </c>
      <c r="E50" s="12">
        <f>D50/G2</f>
        <v>1</v>
      </c>
      <c r="F50" s="11">
        <f>I50/D50</f>
        <v>26.399999999999995</v>
      </c>
      <c r="G50" s="10"/>
      <c r="H50" s="9">
        <f>H48+H19</f>
        <v>64937.979999999996</v>
      </c>
      <c r="I50" s="9">
        <f>I48+I19</f>
        <v>65559.12</v>
      </c>
      <c r="J50" s="106">
        <f>D50-G2</f>
        <v>0</v>
      </c>
      <c r="K50" s="8"/>
    </row>
    <row r="51" spans="1:11" ht="23.25" x14ac:dyDescent="0.35">
      <c r="A51" s="174" t="s">
        <v>972</v>
      </c>
      <c r="B51" s="169"/>
      <c r="C51" s="170"/>
      <c r="G51" s="7"/>
      <c r="H51" s="6"/>
      <c r="I51" s="6">
        <f>+I50/D50</f>
        <v>26.399999999999995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  <c r="K55" s="1" t="s">
        <v>857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967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971</v>
      </c>
      <c r="D2" s="96" t="s">
        <v>3</v>
      </c>
      <c r="E2" s="95" t="s">
        <v>112</v>
      </c>
      <c r="F2" s="94" t="s">
        <v>5</v>
      </c>
      <c r="G2" s="93">
        <v>10277.200000000001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172</v>
      </c>
      <c r="F3" s="88" t="s">
        <v>8</v>
      </c>
      <c r="G3" s="87">
        <v>24.42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59.751162790697677</v>
      </c>
      <c r="F4" s="81" t="s">
        <v>12</v>
      </c>
      <c r="G4" s="80">
        <f>G2*G3</f>
        <v>250969.22400000005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-4.4334802197666612E-2</v>
      </c>
      <c r="F6" s="69" t="s">
        <v>16</v>
      </c>
      <c r="G6" s="68">
        <f>(I50-I19)/(D50-(SUM(D42:D44)+D19))</f>
        <v>30.299314741035865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24.4</v>
      </c>
      <c r="D10" s="30"/>
      <c r="E10" s="29" t="e">
        <f t="shared" ref="E10:E19" si="1">D10/$D$19</f>
        <v>#DIV/0!</v>
      </c>
      <c r="F10" s="28">
        <f t="shared" ref="F10:F18" si="2">C10-(C10*$E$6)</f>
        <v>25.481769173623064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25.4</v>
      </c>
      <c r="D11" s="30"/>
      <c r="E11" s="29" t="e">
        <f t="shared" si="1"/>
        <v>#DIV/0!</v>
      </c>
      <c r="F11" s="28">
        <f t="shared" si="2"/>
        <v>26.526103975820732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23.2</v>
      </c>
      <c r="D12" s="30"/>
      <c r="E12" s="29" t="e">
        <f t="shared" si="1"/>
        <v>#DIV/0!</v>
      </c>
      <c r="F12" s="28">
        <f t="shared" si="2"/>
        <v>24.228567410985864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25.4</v>
      </c>
      <c r="D13" s="30"/>
      <c r="E13" s="29" t="e">
        <f t="shared" si="1"/>
        <v>#DIV/0!</v>
      </c>
      <c r="F13" s="28">
        <f t="shared" si="2"/>
        <v>26.526103975820732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28.4</v>
      </c>
      <c r="D14" s="30"/>
      <c r="E14" s="29" t="e">
        <f t="shared" si="1"/>
        <v>#DIV/0!</v>
      </c>
      <c r="F14" s="28">
        <f t="shared" si="2"/>
        <v>29.659108382413731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23.4</v>
      </c>
      <c r="D15" s="30"/>
      <c r="E15" s="29" t="e">
        <f t="shared" si="1"/>
        <v>#DIV/0!</v>
      </c>
      <c r="F15" s="28">
        <f t="shared" si="2"/>
        <v>24.437434371425397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32.1</v>
      </c>
      <c r="D16" s="30"/>
      <c r="E16" s="29" t="e">
        <f t="shared" si="1"/>
        <v>#DIV/0!</v>
      </c>
      <c r="F16" s="28">
        <f t="shared" si="2"/>
        <v>33.5231471505451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47.2</v>
      </c>
      <c r="D17" s="30"/>
      <c r="E17" s="29" t="e">
        <f t="shared" si="1"/>
        <v>#DIV/0!</v>
      </c>
      <c r="F17" s="28">
        <f t="shared" si="2"/>
        <v>49.292602663729866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41.4</v>
      </c>
      <c r="D18" s="30"/>
      <c r="E18" s="29" t="e">
        <f t="shared" si="1"/>
        <v>#DIV/0!</v>
      </c>
      <c r="F18" s="28">
        <f t="shared" si="2"/>
        <v>43.235460810983398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61.4</v>
      </c>
      <c r="D21" s="30">
        <v>140.9</v>
      </c>
      <c r="E21" s="29">
        <f>D21/$D$48</f>
        <v>1.3709959911259876E-2</v>
      </c>
      <c r="F21" s="28">
        <f>C21-(C21*$E$6)</f>
        <v>64.122156854936733</v>
      </c>
      <c r="G21" s="27" t="str">
        <f>IF(C21&gt;=F21,"-","+")</f>
        <v>+</v>
      </c>
      <c r="H21" s="26">
        <f>C21*D21</f>
        <v>8651.26</v>
      </c>
      <c r="I21" s="26">
        <f>F21*D21</f>
        <v>9034.8119008605863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41.2</v>
      </c>
      <c r="D22" s="30">
        <v>265.89999999999998</v>
      </c>
      <c r="E22" s="29">
        <f>D22/$D$48</f>
        <v>2.5872805822597589E-2</v>
      </c>
      <c r="F22" s="28">
        <f>C22-(C22*$E$6)</f>
        <v>43.026593850543868</v>
      </c>
      <c r="G22" s="27" t="str">
        <f>IF(C22&gt;=F22,"-","+")</f>
        <v>+</v>
      </c>
      <c r="H22" s="26">
        <f>C22*D22</f>
        <v>10955.08</v>
      </c>
      <c r="I22" s="26">
        <f>F22*D22</f>
        <v>11440.771304859614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37.6</v>
      </c>
      <c r="D23" s="30">
        <v>257</v>
      </c>
      <c r="E23" s="29">
        <f>D23/$D$48</f>
        <v>2.5006811193710347E-2</v>
      </c>
      <c r="F23" s="28">
        <f>C23-(C23*$E$6)</f>
        <v>39.266988562632264</v>
      </c>
      <c r="G23" s="27" t="str">
        <f>IF(C23&gt;=F23,"-","+")</f>
        <v>+</v>
      </c>
      <c r="H23" s="26">
        <f>C23*D23</f>
        <v>9663.2000000000007</v>
      </c>
      <c r="I23" s="26">
        <f>F23*D23</f>
        <v>10091.616060596492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44.093913829466715</v>
      </c>
      <c r="D24" s="22">
        <f>SUM(D21:D23)</f>
        <v>663.8</v>
      </c>
      <c r="E24" s="21">
        <f>D24/$D$48</f>
        <v>6.458957692756781E-2</v>
      </c>
      <c r="F24" s="20">
        <f>I24/D24</f>
        <v>46.048808777217069</v>
      </c>
      <c r="G24" s="19">
        <f>F24/C24-1</f>
        <v>4.433480219766639E-2</v>
      </c>
      <c r="H24" s="18">
        <f>SUM(H21:H23)</f>
        <v>29269.54</v>
      </c>
      <c r="I24" s="18">
        <f>SUM(I21:I23)</f>
        <v>30567.199266316689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32.799999999999997</v>
      </c>
      <c r="D26" s="30">
        <f>629.5+124.8+1450</f>
        <v>2204.3000000000002</v>
      </c>
      <c r="E26" s="29">
        <f t="shared" ref="E26:E32" si="7">D26/$D$48</f>
        <v>0.21448448993889385</v>
      </c>
      <c r="F26" s="28">
        <f t="shared" ref="F26:F31" si="8">C26-(C26*$E$6)</f>
        <v>34.254181512083463</v>
      </c>
      <c r="G26" s="27" t="str">
        <f t="shared" ref="G26:G31" si="9">IF(C26&gt;=F26,"-","+")</f>
        <v>+</v>
      </c>
      <c r="H26" s="26">
        <f t="shared" ref="H26:H31" si="10">C26*D26</f>
        <v>72301.039999999994</v>
      </c>
      <c r="I26" s="26">
        <f t="shared" ref="I26:I31" si="11">F26*D26</f>
        <v>75506.492307085588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29.2</v>
      </c>
      <c r="D27" s="30">
        <v>1419.1</v>
      </c>
      <c r="E27" s="29">
        <f t="shared" si="7"/>
        <v>0.13808235706223485</v>
      </c>
      <c r="F27" s="28">
        <f t="shared" si="8"/>
        <v>30.494576224171865</v>
      </c>
      <c r="G27" s="27" t="str">
        <f t="shared" si="9"/>
        <v>+</v>
      </c>
      <c r="H27" s="26">
        <f t="shared" si="10"/>
        <v>41437.719999999994</v>
      </c>
      <c r="I27" s="26">
        <f t="shared" si="11"/>
        <v>43274.853119722291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29.2</v>
      </c>
      <c r="D28" s="30">
        <v>798.8</v>
      </c>
      <c r="E28" s="29">
        <f t="shared" si="7"/>
        <v>7.7725450511812552E-2</v>
      </c>
      <c r="F28" s="28">
        <f t="shared" si="8"/>
        <v>30.494576224171865</v>
      </c>
      <c r="G28" s="27" t="str">
        <f t="shared" si="9"/>
        <v>+</v>
      </c>
      <c r="H28" s="26">
        <f t="shared" si="10"/>
        <v>23324.959999999999</v>
      </c>
      <c r="I28" s="26">
        <f t="shared" si="11"/>
        <v>24359.067487868484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28.2</v>
      </c>
      <c r="D29" s="30">
        <v>792.6</v>
      </c>
      <c r="E29" s="29">
        <f t="shared" si="7"/>
        <v>7.7122173354610205E-2</v>
      </c>
      <c r="F29" s="28">
        <f t="shared" si="8"/>
        <v>29.450241421974198</v>
      </c>
      <c r="G29" s="27" t="str">
        <f t="shared" si="9"/>
        <v>+</v>
      </c>
      <c r="H29" s="26">
        <f t="shared" si="10"/>
        <v>22351.32</v>
      </c>
      <c r="I29" s="26">
        <f t="shared" si="11"/>
        <v>23342.26135105675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28.2</v>
      </c>
      <c r="D30" s="30">
        <v>739.6</v>
      </c>
      <c r="E30" s="29">
        <f t="shared" si="7"/>
        <v>7.1965126688203013E-2</v>
      </c>
      <c r="F30" s="28">
        <f t="shared" si="8"/>
        <v>29.450241421974198</v>
      </c>
      <c r="G30" s="27" t="str">
        <f t="shared" si="9"/>
        <v>+</v>
      </c>
      <c r="H30" s="26">
        <f t="shared" si="10"/>
        <v>20856.72</v>
      </c>
      <c r="I30" s="26">
        <f t="shared" si="11"/>
        <v>21781.398555692118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28.7</v>
      </c>
      <c r="D31" s="30">
        <v>158.19999999999999</v>
      </c>
      <c r="E31" s="29">
        <f t="shared" si="7"/>
        <v>1.5393297785389014E-2</v>
      </c>
      <c r="F31" s="28">
        <f t="shared" si="8"/>
        <v>29.972408823073032</v>
      </c>
      <c r="G31" s="27" t="str">
        <f t="shared" si="9"/>
        <v>+</v>
      </c>
      <c r="H31" s="26">
        <f t="shared" si="10"/>
        <v>4540.3399999999992</v>
      </c>
      <c r="I31" s="26">
        <f t="shared" si="11"/>
        <v>4741.6350758101535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30.234613748650322</v>
      </c>
      <c r="D32" s="22">
        <f>SUM(D26:D31)</f>
        <v>6112.6</v>
      </c>
      <c r="E32" s="21">
        <f t="shared" si="7"/>
        <v>0.59477289534114353</v>
      </c>
      <c r="F32" s="20">
        <f>I32/D32</f>
        <v>31.57505936871959</v>
      </c>
      <c r="G32" s="19">
        <f>F32/C32-1</f>
        <v>4.4334802197666834E-2</v>
      </c>
      <c r="H32" s="18">
        <f>SUM(H26:H31)</f>
        <v>184812.09999999998</v>
      </c>
      <c r="I32" s="18">
        <f>SUM(I26:I31)</f>
        <v>193005.70789723538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</v>
      </c>
      <c r="D34" s="30">
        <f>628.2+733.7</f>
        <v>1361.9</v>
      </c>
      <c r="E34" s="29">
        <f t="shared" ref="E34:E40" si="13">D34/$D$48</f>
        <v>0.13251663877320671</v>
      </c>
      <c r="F34" s="28">
        <f t="shared" ref="F34:F39" si="14">C34-(C34*$E$6)</f>
        <v>18.066992078019634</v>
      </c>
      <c r="G34" s="27" t="str">
        <f t="shared" ref="G34:G39" si="15">IF(C34&gt;=F34,"-","+")</f>
        <v>+</v>
      </c>
      <c r="H34" s="26">
        <f t="shared" ref="H34:H39" si="16">C34*D34</f>
        <v>23560.870000000003</v>
      </c>
      <c r="I34" s="26">
        <f t="shared" ref="I34:I39" si="17">F34*D34</f>
        <v>24605.436511054941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>
        <v>141.19999999999999</v>
      </c>
      <c r="E35" s="29">
        <f t="shared" si="13"/>
        <v>1.3739150741447085E-2</v>
      </c>
      <c r="F35" s="28">
        <f t="shared" si="14"/>
        <v>13.889652869228966</v>
      </c>
      <c r="G35" s="27" t="str">
        <f t="shared" si="15"/>
        <v>+</v>
      </c>
      <c r="H35" s="26">
        <f t="shared" si="16"/>
        <v>1877.96</v>
      </c>
      <c r="I35" s="26">
        <f t="shared" si="17"/>
        <v>1961.2189851351297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11.174382383515033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28.2</v>
      </c>
      <c r="D37" s="30"/>
      <c r="E37" s="29">
        <f t="shared" si="13"/>
        <v>0</v>
      </c>
      <c r="F37" s="28">
        <f t="shared" si="14"/>
        <v>29.450241421974198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28.2</v>
      </c>
      <c r="D38" s="30"/>
      <c r="E38" s="29">
        <f t="shared" si="13"/>
        <v>0</v>
      </c>
      <c r="F38" s="28">
        <f t="shared" si="14"/>
        <v>29.450241421974198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29.2</v>
      </c>
      <c r="D39" s="30"/>
      <c r="E39" s="29">
        <f t="shared" si="13"/>
        <v>0</v>
      </c>
      <c r="F39" s="28">
        <f t="shared" si="14"/>
        <v>30.494576224171865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16.924243230656643</v>
      </c>
      <c r="D40" s="22">
        <f>SUM(D34:D39)</f>
        <v>1503.1000000000001</v>
      </c>
      <c r="E40" s="113">
        <f t="shared" si="13"/>
        <v>0.14625578951465379</v>
      </c>
      <c r="F40" s="20">
        <f>I40/D40</f>
        <v>17.674576206633002</v>
      </c>
      <c r="G40" s="19">
        <f>F40/C40-1</f>
        <v>4.4334802197666612E-2</v>
      </c>
      <c r="H40" s="18">
        <f>SUM(H34:H39)</f>
        <v>25438.83</v>
      </c>
      <c r="I40" s="18">
        <f>SUM(I34:I39)</f>
        <v>26566.655496190069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835+123.5+956.7</f>
        <v>1915.2</v>
      </c>
      <c r="E42" s="107">
        <f>D42/$D$48</f>
        <v>0.18635425991515198</v>
      </c>
      <c r="F42" s="28">
        <f>C42-(C42*$E$6)</f>
        <v>0.41773392087906669</v>
      </c>
      <c r="G42" s="27" t="str">
        <f>IF(C42&gt;=F42,"-","+")</f>
        <v>+</v>
      </c>
      <c r="H42" s="26">
        <f>C42*D42</f>
        <v>766.08</v>
      </c>
      <c r="I42" s="26">
        <f>F42*D42</f>
        <v>800.04400526758855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70.900000000000006</v>
      </c>
      <c r="E43" s="107">
        <f>D43/$D$48</f>
        <v>6.8987662009107539E-3</v>
      </c>
      <c r="F43" s="28">
        <f>C43-(C43*$E$6)</f>
        <v>0.41773392087906669</v>
      </c>
      <c r="G43" s="27" t="str">
        <f>IF(C43&gt;=F43,"-","+")</f>
        <v>+</v>
      </c>
      <c r="H43" s="26">
        <f>C43*D43</f>
        <v>28.360000000000003</v>
      </c>
      <c r="I43" s="26">
        <f>F43*D43</f>
        <v>29.61733499032583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8.1</v>
      </c>
      <c r="E44" s="107">
        <f>D44/$D$48</f>
        <v>7.8815241505468406E-4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3.5</v>
      </c>
      <c r="E45" s="107">
        <f>D45/$D$48</f>
        <v>3.405596855174561E-4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0.39767732892826752</v>
      </c>
      <c r="D46" s="22">
        <f>SUM(D41:D45)</f>
        <v>1997.7</v>
      </c>
      <c r="E46" s="113">
        <f>D46/$D$48</f>
        <v>0.19438173821663488</v>
      </c>
      <c r="F46" s="20">
        <f>I46/D46</f>
        <v>0.41530827464479869</v>
      </c>
      <c r="G46" s="19">
        <f>F46/C46-1</f>
        <v>4.4334802197666612E-2</v>
      </c>
      <c r="H46" s="18">
        <f>SUM(H41:H44)</f>
        <v>794.44</v>
      </c>
      <c r="I46" s="18">
        <f>SUM(I41:I44)</f>
        <v>829.66134025791439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91.650448137701943</v>
      </c>
      <c r="D48" s="13">
        <f>D24+D32+D40+D46</f>
        <v>10277.200000000001</v>
      </c>
      <c r="E48" s="12">
        <f>SUM(E20:E46)/2</f>
        <v>0.99999999999999978</v>
      </c>
      <c r="F48" s="11">
        <f>I48/D48</f>
        <v>24.420000000000005</v>
      </c>
      <c r="G48" s="10"/>
      <c r="H48" s="9">
        <f>SUM(H20:H46)/2</f>
        <v>240314.91</v>
      </c>
      <c r="I48" s="9">
        <f>SUM(I20:I46)/2</f>
        <v>250969.22400000007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10277.200000000001</v>
      </c>
      <c r="E50" s="12">
        <f>D50/G2</f>
        <v>1</v>
      </c>
      <c r="F50" s="11">
        <f>I50/D50</f>
        <v>24.420000000000005</v>
      </c>
      <c r="G50" s="10"/>
      <c r="H50" s="9">
        <f>H48+H19</f>
        <v>240314.91</v>
      </c>
      <c r="I50" s="9">
        <f>I48+I19</f>
        <v>250969.22400000007</v>
      </c>
      <c r="J50" s="106">
        <f>D50-G2</f>
        <v>0</v>
      </c>
      <c r="K50" s="8"/>
    </row>
    <row r="51" spans="1:11" ht="23.25" x14ac:dyDescent="0.35">
      <c r="A51" s="174" t="s">
        <v>973</v>
      </c>
      <c r="B51" s="169"/>
      <c r="C51" s="170"/>
      <c r="G51" s="7"/>
      <c r="H51" s="6"/>
      <c r="I51" s="6">
        <f>+I50/D50</f>
        <v>24.420000000000005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  <c r="K55" s="1" t="s">
        <v>857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967</v>
      </c>
      <c r="D1" s="100" t="s">
        <v>1</v>
      </c>
      <c r="E1" s="168" t="s">
        <v>451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971</v>
      </c>
      <c r="D2" s="96" t="s">
        <v>3</v>
      </c>
      <c r="E2" s="95" t="s">
        <v>112</v>
      </c>
      <c r="F2" s="94" t="s">
        <v>5</v>
      </c>
      <c r="G2" s="116">
        <v>8511.7000000000007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889</v>
      </c>
      <c r="D3" s="90" t="s">
        <v>7</v>
      </c>
      <c r="E3" s="89">
        <v>120</v>
      </c>
      <c r="F3" s="88" t="s">
        <v>8</v>
      </c>
      <c r="G3" s="120">
        <v>24.56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12</v>
      </c>
      <c r="D4" s="83" t="s">
        <v>11</v>
      </c>
      <c r="E4" s="82">
        <f>G2/E3</f>
        <v>70.930833333333339</v>
      </c>
      <c r="F4" s="81" t="s">
        <v>12</v>
      </c>
      <c r="G4" s="80">
        <f>G2*G3</f>
        <v>209047.35200000001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-0.10223283406817352</v>
      </c>
      <c r="F6" s="69" t="s">
        <v>16</v>
      </c>
      <c r="G6" s="68">
        <f>(I50-I19)/(D50-(SUM(D42:D44)+D19))</f>
        <v>31.632144294641918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24.6</v>
      </c>
      <c r="D10" s="30"/>
      <c r="E10" s="29" t="e">
        <f t="shared" ref="E10:E19" si="1">D10/$D$19</f>
        <v>#DIV/0!</v>
      </c>
      <c r="F10" s="28">
        <f t="shared" ref="F10:F18" si="2">C10-(C10*$E$6)</f>
        <v>27.11492771807707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25.6</v>
      </c>
      <c r="D11" s="30"/>
      <c r="E11" s="29" t="e">
        <f t="shared" si="1"/>
        <v>#DIV/0!</v>
      </c>
      <c r="F11" s="28">
        <f t="shared" si="2"/>
        <v>28.217160552145245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23.4</v>
      </c>
      <c r="D12" s="30"/>
      <c r="E12" s="29" t="e">
        <f t="shared" si="1"/>
        <v>#DIV/0!</v>
      </c>
      <c r="F12" s="28">
        <f t="shared" si="2"/>
        <v>25.792248317195259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25.6</v>
      </c>
      <c r="D13" s="30"/>
      <c r="E13" s="29" t="e">
        <f t="shared" si="1"/>
        <v>#DIV/0!</v>
      </c>
      <c r="F13" s="28">
        <f t="shared" si="2"/>
        <v>28.217160552145245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28.6</v>
      </c>
      <c r="D14" s="30"/>
      <c r="E14" s="29" t="e">
        <f t="shared" si="1"/>
        <v>#DIV/0!</v>
      </c>
      <c r="F14" s="28">
        <f t="shared" si="2"/>
        <v>31.523859054349764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23.6</v>
      </c>
      <c r="D15" s="30"/>
      <c r="E15" s="29" t="e">
        <f t="shared" si="1"/>
        <v>#DIV/0!</v>
      </c>
      <c r="F15" s="28">
        <f t="shared" si="2"/>
        <v>26.012694884008898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32.299999999999997</v>
      </c>
      <c r="D16" s="30"/>
      <c r="E16" s="29" t="e">
        <f t="shared" si="1"/>
        <v>#DIV/0!</v>
      </c>
      <c r="F16" s="28">
        <f t="shared" si="2"/>
        <v>35.602120540401998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47.5</v>
      </c>
      <c r="D17" s="30"/>
      <c r="E17" s="29" t="e">
        <f t="shared" si="1"/>
        <v>#DIV/0!</v>
      </c>
      <c r="F17" s="28">
        <f t="shared" si="2"/>
        <v>52.356059618238241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41.6</v>
      </c>
      <c r="D18" s="30"/>
      <c r="E18" s="29" t="e">
        <f t="shared" si="1"/>
        <v>#DIV/0!</v>
      </c>
      <c r="F18" s="28">
        <f t="shared" si="2"/>
        <v>45.852885897236021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61.8</v>
      </c>
      <c r="D21" s="30">
        <v>108.5</v>
      </c>
      <c r="E21" s="29">
        <f>D21/$D$48</f>
        <v>1.274715979181597E-2</v>
      </c>
      <c r="F21" s="28">
        <f>C21-(C21*$E$6)</f>
        <v>68.117989145413119</v>
      </c>
      <c r="G21" s="27" t="str">
        <f>IF(C21&gt;=F21,"-","+")</f>
        <v>+</v>
      </c>
      <c r="H21" s="26">
        <f>C21*D21</f>
        <v>6705.2999999999993</v>
      </c>
      <c r="I21" s="26">
        <f>F21*D21</f>
        <v>7390.8018222773235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41.5</v>
      </c>
      <c r="D22" s="30">
        <v>215.7</v>
      </c>
      <c r="E22" s="29">
        <f>D22/$D$48</f>
        <v>2.5341588636817552E-2</v>
      </c>
      <c r="F22" s="28">
        <f>C22-(C22*$E$6)</f>
        <v>45.742662613829204</v>
      </c>
      <c r="G22" s="27" t="str">
        <f>IF(C22&gt;=F22,"-","+")</f>
        <v>+</v>
      </c>
      <c r="H22" s="26">
        <f>C22*D22</f>
        <v>8951.5499999999993</v>
      </c>
      <c r="I22" s="26">
        <f>F22*D22</f>
        <v>9866.6923258029583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37.799999999999997</v>
      </c>
      <c r="D23" s="30">
        <v>185.4</v>
      </c>
      <c r="E23" s="29">
        <f>D23/$D$48</f>
        <v>2.1781782722605354E-2</v>
      </c>
      <c r="F23" s="28">
        <f>C23-(C23*$E$6)</f>
        <v>41.664401127776955</v>
      </c>
      <c r="G23" s="27" t="str">
        <f>IF(C23&gt;=F23,"-","+")</f>
        <v>+</v>
      </c>
      <c r="H23" s="26">
        <f>C23*D23</f>
        <v>7008.12</v>
      </c>
      <c r="I23" s="26">
        <f>F23*D23</f>
        <v>7724.5799690898475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44.476000784929347</v>
      </c>
      <c r="D24" s="22">
        <f>SUM(D21:D23)</f>
        <v>509.6</v>
      </c>
      <c r="E24" s="21">
        <f>D24/$D$48</f>
        <v>5.987053115123888E-2</v>
      </c>
      <c r="F24" s="20">
        <f>I24/D24</f>
        <v>49.022908393190988</v>
      </c>
      <c r="G24" s="19">
        <f>F24/C24-1</f>
        <v>0.10223283406817352</v>
      </c>
      <c r="H24" s="18">
        <f>SUM(H21:H23)</f>
        <v>22664.969999999998</v>
      </c>
      <c r="I24" s="18">
        <f>SUM(I21:I23)</f>
        <v>24982.07411717013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</v>
      </c>
      <c r="D26" s="30">
        <f>203+507+860.8</f>
        <v>1570.8</v>
      </c>
      <c r="E26" s="29">
        <f t="shared" ref="E26:E32" si="7">D26/$D$48</f>
        <v>0.18454597788925831</v>
      </c>
      <c r="F26" s="28">
        <f t="shared" ref="F26:F31" si="8">C26-(C26*$E$6)</f>
        <v>36.373683524249728</v>
      </c>
      <c r="G26" s="27" t="str">
        <f t="shared" ref="G26:G31" si="9">IF(C26&gt;=F26,"-","+")</f>
        <v>+</v>
      </c>
      <c r="H26" s="26">
        <f t="shared" ref="H26:H31" si="10">C26*D26</f>
        <v>51836.4</v>
      </c>
      <c r="I26" s="26">
        <f t="shared" ref="I26:I31" si="11">F26*D26</f>
        <v>57135.782079891469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29.3</v>
      </c>
      <c r="D27" s="30">
        <v>1290</v>
      </c>
      <c r="E27" s="29">
        <f t="shared" si="7"/>
        <v>0.15155609337735115</v>
      </c>
      <c r="F27" s="28">
        <f t="shared" si="8"/>
        <v>32.295422038197486</v>
      </c>
      <c r="G27" s="27" t="str">
        <f t="shared" si="9"/>
        <v>+</v>
      </c>
      <c r="H27" s="26">
        <f t="shared" si="10"/>
        <v>37797</v>
      </c>
      <c r="I27" s="26">
        <f t="shared" si="11"/>
        <v>41661.094429274759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29.3</v>
      </c>
      <c r="D28" s="30">
        <v>691.7</v>
      </c>
      <c r="E28" s="29">
        <f t="shared" si="7"/>
        <v>8.1264612239623099E-2</v>
      </c>
      <c r="F28" s="28">
        <f t="shared" si="8"/>
        <v>32.295422038197486</v>
      </c>
      <c r="G28" s="27" t="str">
        <f t="shared" si="9"/>
        <v>+</v>
      </c>
      <c r="H28" s="26">
        <f t="shared" si="10"/>
        <v>20266.810000000001</v>
      </c>
      <c r="I28" s="26">
        <f t="shared" si="11"/>
        <v>22338.743423821204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28.4</v>
      </c>
      <c r="D29" s="30">
        <v>537.79999999999995</v>
      </c>
      <c r="E29" s="29">
        <f t="shared" si="7"/>
        <v>6.3183617843673989E-2</v>
      </c>
      <c r="F29" s="28">
        <f t="shared" si="8"/>
        <v>31.303412487536125</v>
      </c>
      <c r="G29" s="27" t="str">
        <f t="shared" si="9"/>
        <v>+</v>
      </c>
      <c r="H29" s="26">
        <f t="shared" si="10"/>
        <v>15273.519999999999</v>
      </c>
      <c r="I29" s="26">
        <f t="shared" si="11"/>
        <v>16834.975235796926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28.4</v>
      </c>
      <c r="D30" s="30">
        <v>474.1</v>
      </c>
      <c r="E30" s="29">
        <f t="shared" si="7"/>
        <v>5.5699801449769139E-2</v>
      </c>
      <c r="F30" s="28">
        <f t="shared" si="8"/>
        <v>31.303412487536125</v>
      </c>
      <c r="G30" s="27" t="str">
        <f t="shared" si="9"/>
        <v>+</v>
      </c>
      <c r="H30" s="26">
        <f t="shared" si="10"/>
        <v>13464.44</v>
      </c>
      <c r="I30" s="26">
        <f t="shared" si="11"/>
        <v>14840.947860340877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28.9</v>
      </c>
      <c r="D31" s="30">
        <v>136.19999999999999</v>
      </c>
      <c r="E31" s="29">
        <f t="shared" si="7"/>
        <v>1.6001503812399401E-2</v>
      </c>
      <c r="F31" s="28">
        <f t="shared" si="8"/>
        <v>31.854528904570213</v>
      </c>
      <c r="G31" s="27" t="str">
        <f t="shared" si="9"/>
        <v>+</v>
      </c>
      <c r="H31" s="26">
        <f t="shared" si="10"/>
        <v>3936.1799999999994</v>
      </c>
      <c r="I31" s="26">
        <f t="shared" si="11"/>
        <v>4338.586836802463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30.331096030293999</v>
      </c>
      <c r="D32" s="22">
        <f>SUM(D26:D31)</f>
        <v>4700.6000000000004</v>
      </c>
      <c r="E32" s="21">
        <f t="shared" si="7"/>
        <v>0.55225160661207517</v>
      </c>
      <c r="F32" s="20">
        <f>I32/D32</f>
        <v>33.431929937864886</v>
      </c>
      <c r="G32" s="19">
        <f>F32/C32-1</f>
        <v>0.10223283406817374</v>
      </c>
      <c r="H32" s="18">
        <f>SUM(H26:H31)</f>
        <v>142574.34999999998</v>
      </c>
      <c r="I32" s="18">
        <f>SUM(I26:I31)</f>
        <v>157150.12986592771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17.399999999999999</v>
      </c>
      <c r="D34" s="30">
        <f>596.7+657.1</f>
        <v>1253.8000000000002</v>
      </c>
      <c r="E34" s="29">
        <f t="shared" ref="E34:E40" si="13">D34/$D$48</f>
        <v>0.14730312393528908</v>
      </c>
      <c r="F34" s="28">
        <f t="shared" ref="F34:F39" si="14">C34-(C34*$E$6)</f>
        <v>19.178851312786218</v>
      </c>
      <c r="G34" s="27" t="str">
        <f t="shared" ref="G34:G39" si="15">IF(C34&gt;=F34,"-","+")</f>
        <v>+</v>
      </c>
      <c r="H34" s="26">
        <f t="shared" ref="H34:H39" si="16">C34*D34</f>
        <v>21816.120000000003</v>
      </c>
      <c r="I34" s="26">
        <f t="shared" ref="I34:I39" si="17">F34*D34</f>
        <v>24046.443775971366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30">
        <v>138.69999999999999</v>
      </c>
      <c r="E35" s="29">
        <f t="shared" si="13"/>
        <v>1.6295217171657835E-2</v>
      </c>
      <c r="F35" s="28">
        <f t="shared" si="14"/>
        <v>14.659696693106708</v>
      </c>
      <c r="G35" s="27" t="str">
        <f t="shared" si="15"/>
        <v>+</v>
      </c>
      <c r="H35" s="26">
        <f t="shared" si="16"/>
        <v>1844.71</v>
      </c>
      <c r="I35" s="26">
        <f t="shared" si="17"/>
        <v>2033.2999313339003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30"/>
      <c r="E36" s="29">
        <f t="shared" si="13"/>
        <v>0</v>
      </c>
      <c r="F36" s="28">
        <f t="shared" si="14"/>
        <v>11.793891324529456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28.4</v>
      </c>
      <c r="D37" s="30"/>
      <c r="E37" s="29">
        <f t="shared" si="13"/>
        <v>0</v>
      </c>
      <c r="F37" s="28">
        <f t="shared" si="14"/>
        <v>31.303412487536125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28.4</v>
      </c>
      <c r="D38" s="30"/>
      <c r="E38" s="29">
        <f t="shared" si="13"/>
        <v>0</v>
      </c>
      <c r="F38" s="28">
        <f t="shared" si="14"/>
        <v>31.303412487536125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29.3</v>
      </c>
      <c r="D39" s="30"/>
      <c r="E39" s="29">
        <f t="shared" si="13"/>
        <v>0</v>
      </c>
      <c r="F39" s="28">
        <f t="shared" si="14"/>
        <v>32.295422038197486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16.991619389587072</v>
      </c>
      <c r="D40" s="22">
        <f>SUM(D34:D39)</f>
        <v>1392.5000000000002</v>
      </c>
      <c r="E40" s="113">
        <f t="shared" si="13"/>
        <v>0.16359834110694693</v>
      </c>
      <c r="F40" s="20">
        <f>I40/D40</f>
        <v>18.728720795192288</v>
      </c>
      <c r="G40" s="19">
        <f>F40/C40-1</f>
        <v>0.10223283406817352</v>
      </c>
      <c r="H40" s="18">
        <f>SUM(H34:H39)</f>
        <v>23660.83</v>
      </c>
      <c r="I40" s="18">
        <f>SUM(I34:I39)</f>
        <v>26079.743707305264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686+124.2+1044.5</f>
        <v>1854.7</v>
      </c>
      <c r="E42" s="107">
        <f>D42/$D$48</f>
        <v>0.21790006696664591</v>
      </c>
      <c r="F42" s="28">
        <f>C42-(C42*$E$6)</f>
        <v>0.44089313362726945</v>
      </c>
      <c r="G42" s="27" t="str">
        <f>IF(C42&gt;=F42,"-","+")</f>
        <v>+</v>
      </c>
      <c r="H42" s="26">
        <f>C42*D42</f>
        <v>741.88000000000011</v>
      </c>
      <c r="I42" s="26">
        <f>F42*D42</f>
        <v>817.72449493849672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40.1</v>
      </c>
      <c r="E43" s="107">
        <f>D43/$D$48</f>
        <v>4.7111622825052575E-3</v>
      </c>
      <c r="F43" s="28">
        <f>C43-(C43*$E$6)</f>
        <v>0.44089313362726945</v>
      </c>
      <c r="G43" s="27" t="str">
        <f>IF(C43&gt;=F43,"-","+")</f>
        <v>+</v>
      </c>
      <c r="H43" s="26">
        <f>C43*D43</f>
        <v>16.040000000000003</v>
      </c>
      <c r="I43" s="26">
        <f>F43*D43</f>
        <v>17.679814658453505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8.1999999999999993</v>
      </c>
      <c r="E44" s="107">
        <f>D44/$D$48</f>
        <v>9.6337981836765846E-4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6</v>
      </c>
      <c r="E45" s="107">
        <f>D45/$D$48</f>
        <v>7.04912062220238E-4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0.3970246202200105</v>
      </c>
      <c r="D46" s="22">
        <f>SUM(D41:D45)</f>
        <v>1909</v>
      </c>
      <c r="E46" s="113">
        <f>D46/$D$48</f>
        <v>0.22427952112973903</v>
      </c>
      <c r="F46" s="20">
        <f>I46/D46</f>
        <v>0.43761357233994252</v>
      </c>
      <c r="G46" s="19">
        <f>F46/C46-1</f>
        <v>0.10223283406817374</v>
      </c>
      <c r="H46" s="18">
        <f>SUM(H41:H44)</f>
        <v>757.92000000000007</v>
      </c>
      <c r="I46" s="18">
        <f>SUM(I41:I44)</f>
        <v>835.40430959695027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92.195740825030427</v>
      </c>
      <c r="D48" s="13">
        <f>D24+D32+D40+D46</f>
        <v>8511.7000000000007</v>
      </c>
      <c r="E48" s="12">
        <f>SUM(E20:E46)/2</f>
        <v>1</v>
      </c>
      <c r="F48" s="11">
        <f>I48/D48</f>
        <v>24.560000000000006</v>
      </c>
      <c r="G48" s="10"/>
      <c r="H48" s="9">
        <f>SUM(H20:H46)/2</f>
        <v>189658.06999999998</v>
      </c>
      <c r="I48" s="9">
        <f>SUM(I20:I46)/2</f>
        <v>209047.35200000007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8511.7000000000007</v>
      </c>
      <c r="E50" s="12">
        <f>D50/G2</f>
        <v>1</v>
      </c>
      <c r="F50" s="11">
        <f>I50/D50</f>
        <v>24.560000000000006</v>
      </c>
      <c r="G50" s="10"/>
      <c r="H50" s="9">
        <f>H48+H19</f>
        <v>189658.06999999998</v>
      </c>
      <c r="I50" s="9">
        <f>I48+I19</f>
        <v>209047.35200000007</v>
      </c>
      <c r="J50" s="106">
        <f>D50-G2</f>
        <v>0</v>
      </c>
      <c r="K50" s="8"/>
    </row>
    <row r="51" spans="1:11" ht="23.25" x14ac:dyDescent="0.35">
      <c r="A51" s="174" t="s">
        <v>974</v>
      </c>
      <c r="B51" s="169"/>
      <c r="C51" s="170"/>
      <c r="G51" s="7"/>
      <c r="H51" s="6"/>
      <c r="I51" s="6">
        <f>+I50/D50</f>
        <v>24.560000000000006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25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967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975</v>
      </c>
      <c r="D2" s="96" t="s">
        <v>3</v>
      </c>
      <c r="E2" s="95" t="s">
        <v>71</v>
      </c>
      <c r="F2" s="94" t="s">
        <v>5</v>
      </c>
      <c r="G2" s="93">
        <v>11480.7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152</v>
      </c>
      <c r="F3" s="88" t="s">
        <v>8</v>
      </c>
      <c r="G3" s="87">
        <v>27.9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75.530921052631584</v>
      </c>
      <c r="F4" s="81" t="s">
        <v>12</v>
      </c>
      <c r="G4" s="80">
        <f>G2*G3</f>
        <v>320311.53000000003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-2.7973413578484818E-2</v>
      </c>
      <c r="F6" s="69" t="s">
        <v>16</v>
      </c>
      <c r="G6" s="68">
        <f>(I50-I19)/(D50-(SUM(D42:D44)+D19))</f>
        <v>34.471628244901247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27.9</v>
      </c>
      <c r="D10" s="30"/>
      <c r="E10" s="29">
        <f t="shared" ref="E10:E19" si="1">D10/$D$19</f>
        <v>0</v>
      </c>
      <c r="F10" s="28">
        <f t="shared" ref="F10:F18" si="2">C10-(C10*$E$6)</f>
        <v>28.680458238839726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29.1</v>
      </c>
      <c r="D11" s="30">
        <v>276.3</v>
      </c>
      <c r="E11" s="29">
        <f t="shared" si="1"/>
        <v>7.6172359606318754E-2</v>
      </c>
      <c r="F11" s="28">
        <f t="shared" si="2"/>
        <v>29.914026335133908</v>
      </c>
      <c r="G11" s="27" t="str">
        <f t="shared" si="3"/>
        <v>+</v>
      </c>
      <c r="H11" s="34">
        <f t="shared" si="4"/>
        <v>8040.3300000000008</v>
      </c>
      <c r="I11" s="34">
        <f t="shared" si="5"/>
        <v>8265.2454763974984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26.5</v>
      </c>
      <c r="D12" s="30">
        <v>3167.5</v>
      </c>
      <c r="E12" s="29">
        <f t="shared" si="1"/>
        <v>0.8732390483279574</v>
      </c>
      <c r="F12" s="28">
        <f t="shared" si="2"/>
        <v>27.241295459829846</v>
      </c>
      <c r="G12" s="27" t="str">
        <f t="shared" si="3"/>
        <v>+</v>
      </c>
      <c r="H12" s="34">
        <f t="shared" si="4"/>
        <v>83938.75</v>
      </c>
      <c r="I12" s="34">
        <f t="shared" si="5"/>
        <v>86286.803369011031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29.1</v>
      </c>
      <c r="D13" s="30">
        <v>183.5</v>
      </c>
      <c r="E13" s="29">
        <f t="shared" si="1"/>
        <v>5.0588592065723817E-2</v>
      </c>
      <c r="F13" s="28">
        <f t="shared" si="2"/>
        <v>29.914026335133908</v>
      </c>
      <c r="G13" s="27" t="str">
        <f t="shared" si="3"/>
        <v>+</v>
      </c>
      <c r="H13" s="34">
        <f t="shared" si="4"/>
        <v>5339.85</v>
      </c>
      <c r="I13" s="34">
        <f t="shared" si="5"/>
        <v>5489.2238324970722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32.5</v>
      </c>
      <c r="D14" s="30"/>
      <c r="E14" s="29">
        <f t="shared" si="1"/>
        <v>0</v>
      </c>
      <c r="F14" s="28">
        <f t="shared" si="2"/>
        <v>33.409135941300754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26.8</v>
      </c>
      <c r="D15" s="30"/>
      <c r="E15" s="29">
        <f t="shared" si="1"/>
        <v>0</v>
      </c>
      <c r="F15" s="28">
        <f t="shared" si="2"/>
        <v>27.549687483903394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36.700000000000003</v>
      </c>
      <c r="D16" s="30"/>
      <c r="E16" s="29">
        <f t="shared" si="1"/>
        <v>0</v>
      </c>
      <c r="F16" s="28">
        <f t="shared" si="2"/>
        <v>37.726624278330398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</v>
      </c>
      <c r="D17" s="30"/>
      <c r="E17" s="29">
        <f t="shared" si="1"/>
        <v>0</v>
      </c>
      <c r="F17" s="28">
        <f t="shared" si="2"/>
        <v>55.510564333238179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47.3</v>
      </c>
      <c r="D18" s="30"/>
      <c r="E18" s="29">
        <f t="shared" si="1"/>
        <v>0</v>
      </c>
      <c r="F18" s="28">
        <f t="shared" si="2"/>
        <v>48.623142462262329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26.829578474347311</v>
      </c>
      <c r="D19" s="49">
        <f>SUM(D10:D18)</f>
        <v>3627.3</v>
      </c>
      <c r="E19" s="48">
        <f t="shared" si="1"/>
        <v>1</v>
      </c>
      <c r="F19" s="47">
        <f>I19/D19</f>
        <v>27.580093369146635</v>
      </c>
      <c r="G19" s="46">
        <f>F19/C19-1</f>
        <v>2.7973413578484596E-2</v>
      </c>
      <c r="H19" s="9">
        <f>SUM(H10:H18)</f>
        <v>97318.930000000008</v>
      </c>
      <c r="I19" s="9">
        <f>SUM(I10:I18)</f>
        <v>100041.2726779056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70.2</v>
      </c>
      <c r="D21" s="30">
        <v>142.6</v>
      </c>
      <c r="E21" s="29">
        <f>D21/$D$48</f>
        <v>1.8157740596429571E-2</v>
      </c>
      <c r="F21" s="28">
        <f>C21-(C21*$E$6)</f>
        <v>72.163733633209631</v>
      </c>
      <c r="G21" s="27" t="str">
        <f>IF(C21&gt;=F21,"-","+")</f>
        <v>+</v>
      </c>
      <c r="H21" s="26">
        <f>C21*D21</f>
        <v>10010.52</v>
      </c>
      <c r="I21" s="26">
        <f>F21*D21</f>
        <v>10290.548416095693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47.1</v>
      </c>
      <c r="D22" s="30">
        <v>167.9</v>
      </c>
      <c r="E22" s="29">
        <f>D22/$D$48</f>
        <v>2.1379275218376757E-2</v>
      </c>
      <c r="F22" s="28">
        <f>C22-(C22*$E$6)</f>
        <v>48.417547779546638</v>
      </c>
      <c r="G22" s="27" t="str">
        <f>IF(C22&gt;=F22,"-","+")</f>
        <v>+</v>
      </c>
      <c r="H22" s="26">
        <f>C22*D22</f>
        <v>7908.09</v>
      </c>
      <c r="I22" s="26">
        <f>F22*D22</f>
        <v>8129.3062721858805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</v>
      </c>
      <c r="D23" s="30">
        <v>279</v>
      </c>
      <c r="E23" s="29">
        <f>D23/$D$48</f>
        <v>3.5526014210405688E-2</v>
      </c>
      <c r="F23" s="28">
        <f>C23-(C23*$E$6)</f>
        <v>44.20285678387485</v>
      </c>
      <c r="G23" s="27" t="str">
        <f>IF(C23&gt;=F23,"-","+")</f>
        <v>+</v>
      </c>
      <c r="H23" s="26">
        <f>C23*D23</f>
        <v>11997</v>
      </c>
      <c r="I23" s="26">
        <f>F23*D23</f>
        <v>12332.597042701083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50.747430025445297</v>
      </c>
      <c r="D24" s="22">
        <f>SUM(D21:D23)</f>
        <v>589.5</v>
      </c>
      <c r="E24" s="21">
        <f>D24/$D$48</f>
        <v>7.5063030025212016E-2</v>
      </c>
      <c r="F24" s="20">
        <f>I24/D24</f>
        <v>52.167008873592287</v>
      </c>
      <c r="G24" s="19">
        <f>F24/C24-1</f>
        <v>2.7973413578484596E-2</v>
      </c>
      <c r="H24" s="18">
        <f>SUM(H21:H23)</f>
        <v>29915.61</v>
      </c>
      <c r="I24" s="18">
        <f>SUM(I21:I23)</f>
        <v>30752.451730982655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37.4</v>
      </c>
      <c r="D26" s="30">
        <f>326.3+475.9+164.8+739.4</f>
        <v>1706.4</v>
      </c>
      <c r="E26" s="29">
        <f t="shared" ref="E26:E32" si="7">D26/$D$48</f>
        <v>0.2172816869126748</v>
      </c>
      <c r="F26" s="28">
        <f t="shared" ref="F26:F31" si="8">C26-(C26*$E$6)</f>
        <v>38.446205667835329</v>
      </c>
      <c r="G26" s="27" t="str">
        <f t="shared" ref="G26:G31" si="9">IF(C26&gt;=F26,"-","+")</f>
        <v>+</v>
      </c>
      <c r="H26" s="26">
        <f t="shared" ref="H26:H31" si="10">C26*D26</f>
        <v>63819.360000000001</v>
      </c>
      <c r="I26" s="26">
        <f t="shared" ref="I26:I31" si="11">F26*D26</f>
        <v>65604.605351594204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33.299999999999997</v>
      </c>
      <c r="D27" s="30">
        <v>1131.5</v>
      </c>
      <c r="E27" s="29">
        <f t="shared" si="7"/>
        <v>0.14407772429775639</v>
      </c>
      <c r="F27" s="28">
        <f t="shared" si="8"/>
        <v>34.231514672163541</v>
      </c>
      <c r="G27" s="27" t="str">
        <f t="shared" si="9"/>
        <v>+</v>
      </c>
      <c r="H27" s="26">
        <f t="shared" si="10"/>
        <v>37678.949999999997</v>
      </c>
      <c r="I27" s="26">
        <f t="shared" si="11"/>
        <v>38732.958851553049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33.299999999999997</v>
      </c>
      <c r="D28" s="30">
        <v>536.6</v>
      </c>
      <c r="E28" s="29">
        <f t="shared" si="7"/>
        <v>6.8327093997504265E-2</v>
      </c>
      <c r="F28" s="28">
        <f t="shared" si="8"/>
        <v>34.231514672163541</v>
      </c>
      <c r="G28" s="27" t="str">
        <f t="shared" si="9"/>
        <v>+</v>
      </c>
      <c r="H28" s="26">
        <f t="shared" si="10"/>
        <v>17868.78</v>
      </c>
      <c r="I28" s="26">
        <f t="shared" si="11"/>
        <v>18368.630773082958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32.200000000000003</v>
      </c>
      <c r="D29" s="30">
        <v>514.79999999999995</v>
      </c>
      <c r="E29" s="29">
        <f t="shared" si="7"/>
        <v>6.5551226220490491E-2</v>
      </c>
      <c r="F29" s="28">
        <f t="shared" si="8"/>
        <v>33.100743917227213</v>
      </c>
      <c r="G29" s="27" t="str">
        <f t="shared" si="9"/>
        <v>+</v>
      </c>
      <c r="H29" s="26">
        <f t="shared" si="10"/>
        <v>16576.560000000001</v>
      </c>
      <c r="I29" s="26">
        <f t="shared" si="11"/>
        <v>17040.262968588569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32.200000000000003</v>
      </c>
      <c r="D30" s="30">
        <v>677.9</v>
      </c>
      <c r="E30" s="29">
        <f t="shared" si="7"/>
        <v>8.6319301194387146E-2</v>
      </c>
      <c r="F30" s="28">
        <f t="shared" si="8"/>
        <v>33.100743917227213</v>
      </c>
      <c r="G30" s="27" t="str">
        <f t="shared" si="9"/>
        <v>+</v>
      </c>
      <c r="H30" s="26">
        <f t="shared" si="10"/>
        <v>21828.38</v>
      </c>
      <c r="I30" s="26">
        <f t="shared" si="11"/>
        <v>22438.994301488328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32.799999999999997</v>
      </c>
      <c r="D31" s="30">
        <v>156.30000000000001</v>
      </c>
      <c r="E31" s="29">
        <f t="shared" si="7"/>
        <v>1.9902207960883187E-2</v>
      </c>
      <c r="F31" s="28">
        <f t="shared" si="8"/>
        <v>33.717527965374302</v>
      </c>
      <c r="G31" s="27" t="str">
        <f t="shared" si="9"/>
        <v>+</v>
      </c>
      <c r="H31" s="26">
        <f t="shared" si="10"/>
        <v>5126.6400000000003</v>
      </c>
      <c r="I31" s="26">
        <f t="shared" si="11"/>
        <v>5270.0496209880039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34.486857203344982</v>
      </c>
      <c r="D32" s="22">
        <f>SUM(D26:D31)</f>
        <v>4723.5</v>
      </c>
      <c r="E32" s="21">
        <f t="shared" si="7"/>
        <v>0.60145924058369626</v>
      </c>
      <c r="F32" s="20">
        <f>I32/D32</f>
        <v>35.451572322916292</v>
      </c>
      <c r="G32" s="19">
        <f>F32/C32-1</f>
        <v>2.7973413578484596E-2</v>
      </c>
      <c r="H32" s="18">
        <f>SUM(H26:H31)</f>
        <v>162898.67000000001</v>
      </c>
      <c r="I32" s="18">
        <f>SUM(I26:I31)</f>
        <v>167455.5018672951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19.7</v>
      </c>
      <c r="D34" s="30">
        <f>401.9+587.7</f>
        <v>989.6</v>
      </c>
      <c r="E34" s="29">
        <f t="shared" ref="E34:E40" si="13">D34/$D$48</f>
        <v>0.12600911707031351</v>
      </c>
      <c r="F34" s="28">
        <f t="shared" ref="F34:F39" si="14">C34-(C34*$E$6)</f>
        <v>20.251076247496151</v>
      </c>
      <c r="G34" s="27" t="str">
        <f t="shared" ref="G34:G39" si="15">IF(C34&gt;=F34,"-","+")</f>
        <v>+</v>
      </c>
      <c r="H34" s="26">
        <f t="shared" ref="H34:H39" si="16">C34*D34</f>
        <v>19495.12</v>
      </c>
      <c r="I34" s="26">
        <f t="shared" ref="I34:I39" si="17">F34*D34</f>
        <v>20040.465054522192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15.2</v>
      </c>
      <c r="D35" s="30">
        <v>82.1</v>
      </c>
      <c r="E35" s="29">
        <f t="shared" si="13"/>
        <v>1.0454070848295006E-2</v>
      </c>
      <c r="F35" s="28">
        <f t="shared" si="14"/>
        <v>15.625195886392969</v>
      </c>
      <c r="G35" s="27" t="str">
        <f t="shared" si="15"/>
        <v>+</v>
      </c>
      <c r="H35" s="26">
        <f t="shared" si="16"/>
        <v>1247.9199999999998</v>
      </c>
      <c r="I35" s="26">
        <f t="shared" si="17"/>
        <v>1282.8285822728626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12.2</v>
      </c>
      <c r="D36" s="30"/>
      <c r="E36" s="29">
        <f t="shared" si="13"/>
        <v>0</v>
      </c>
      <c r="F36" s="28">
        <f t="shared" si="14"/>
        <v>12.541275645657514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32.200000000000003</v>
      </c>
      <c r="D37" s="30"/>
      <c r="E37" s="29">
        <f t="shared" si="13"/>
        <v>0</v>
      </c>
      <c r="F37" s="28">
        <f t="shared" si="14"/>
        <v>33.100743917227213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32.200000000000003</v>
      </c>
      <c r="D38" s="30"/>
      <c r="E38" s="29">
        <f t="shared" si="13"/>
        <v>0</v>
      </c>
      <c r="F38" s="28">
        <f t="shared" si="14"/>
        <v>33.100743917227213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33.299999999999997</v>
      </c>
      <c r="D39" s="30"/>
      <c r="E39" s="29">
        <f t="shared" si="13"/>
        <v>0</v>
      </c>
      <c r="F39" s="28">
        <f t="shared" si="14"/>
        <v>34.231514672163541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19.355267332275819</v>
      </c>
      <c r="D40" s="22">
        <f>SUM(D34:D39)</f>
        <v>1071.7</v>
      </c>
      <c r="E40" s="113">
        <f t="shared" si="13"/>
        <v>0.13646318791860851</v>
      </c>
      <c r="F40" s="20">
        <f>I40/D40</f>
        <v>19.896700230283709</v>
      </c>
      <c r="G40" s="19">
        <f>F40/C40-1</f>
        <v>2.797341357848504E-2</v>
      </c>
      <c r="H40" s="18">
        <f>SUM(H34:H39)</f>
        <v>20743.039999999997</v>
      </c>
      <c r="I40" s="18">
        <f>SUM(I34:I39)</f>
        <v>21323.293636795053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85.2+599+710</f>
        <v>1394.2</v>
      </c>
      <c r="E42" s="107">
        <f>D42/$D$48</f>
        <v>0.17752820434461508</v>
      </c>
      <c r="F42" s="28">
        <f>C42-(C42*$E$6)</f>
        <v>0.51398670678924241</v>
      </c>
      <c r="G42" s="27" t="str">
        <f>IF(C42&gt;=F42,"-","+")</f>
        <v>+</v>
      </c>
      <c r="H42" s="26">
        <f>C42*D42</f>
        <v>697.1</v>
      </c>
      <c r="I42" s="26">
        <f>F42*D42</f>
        <v>716.60026660556184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43.6</v>
      </c>
      <c r="E43" s="107">
        <f>D43/$D$48</f>
        <v>5.5517355540275551E-3</v>
      </c>
      <c r="F43" s="28">
        <f>C43-(C43*$E$6)</f>
        <v>0.51398670678924241</v>
      </c>
      <c r="G43" s="27" t="str">
        <f>IF(C43&gt;=F43,"-","+")</f>
        <v>+</v>
      </c>
      <c r="H43" s="26">
        <f>C43*D43</f>
        <v>21.8</v>
      </c>
      <c r="I43" s="26">
        <f>F43*D43</f>
        <v>22.40982041601097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25.7</v>
      </c>
      <c r="E44" s="107">
        <f>D44/$D$48</f>
        <v>3.272467975653857E-3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5.2</v>
      </c>
      <c r="E45" s="107">
        <f>D45/$D$48</f>
        <v>6.6213359818677266E-4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0.48948049295295154</v>
      </c>
      <c r="D46" s="22">
        <f>SUM(D41:D45)</f>
        <v>1468.7</v>
      </c>
      <c r="E46" s="113">
        <f>D46/$D$48</f>
        <v>0.18701454147248328</v>
      </c>
      <c r="F46" s="20">
        <f>I46/D46</f>
        <v>0.50317293322092516</v>
      </c>
      <c r="G46" s="19">
        <f>F46/C46-1</f>
        <v>2.797341357848504E-2</v>
      </c>
      <c r="H46" s="18">
        <f>SUM(H41:H44)</f>
        <v>718.9</v>
      </c>
      <c r="I46" s="18">
        <f>SUM(I41:I44)</f>
        <v>739.01008702157276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105.07903505401904</v>
      </c>
      <c r="D48" s="13">
        <f>D24+D32+D40+D46</f>
        <v>7853.4</v>
      </c>
      <c r="E48" s="12">
        <f>SUM(E20:E46)/2</f>
        <v>1</v>
      </c>
      <c r="F48" s="11">
        <f>I48/D48</f>
        <v>28.047757318116282</v>
      </c>
      <c r="G48" s="10"/>
      <c r="H48" s="9">
        <f>SUM(H20:H46)/2</f>
        <v>214276.22</v>
      </c>
      <c r="I48" s="9">
        <f>SUM(I20:I46)/2</f>
        <v>220270.2573220944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11480.699999999999</v>
      </c>
      <c r="E50" s="12">
        <f>D50/G2</f>
        <v>0.99999999999999989</v>
      </c>
      <c r="F50" s="11">
        <f>I50/D50</f>
        <v>27.900000000000006</v>
      </c>
      <c r="G50" s="10"/>
      <c r="H50" s="9">
        <f>H48+H19</f>
        <v>311595.15000000002</v>
      </c>
      <c r="I50" s="9">
        <f>I48+I19</f>
        <v>320311.53000000003</v>
      </c>
      <c r="J50" s="106">
        <f>D50-G2</f>
        <v>0</v>
      </c>
      <c r="K50" s="8"/>
    </row>
    <row r="51" spans="1:11" ht="23.25" x14ac:dyDescent="0.35">
      <c r="A51" s="174" t="s">
        <v>976</v>
      </c>
      <c r="B51" s="169"/>
      <c r="C51" s="170"/>
      <c r="G51" s="7"/>
      <c r="H51" s="6"/>
      <c r="I51" s="6">
        <f>+I50/D50</f>
        <v>27.900000000000006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  <c r="K55" s="1" t="s">
        <v>857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975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975</v>
      </c>
      <c r="D2" s="96" t="s">
        <v>3</v>
      </c>
      <c r="E2" s="95" t="s">
        <v>71</v>
      </c>
      <c r="F2" s="94" t="s">
        <v>5</v>
      </c>
      <c r="G2" s="116">
        <v>14033.6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185</v>
      </c>
      <c r="F3" s="88" t="s">
        <v>8</v>
      </c>
      <c r="G3" s="120">
        <v>28.2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75.857297297297293</v>
      </c>
      <c r="F4" s="81" t="s">
        <v>12</v>
      </c>
      <c r="G4" s="80">
        <f>G2*G3</f>
        <v>395747.52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2.7353450124891432E-2</v>
      </c>
      <c r="F6" s="69" t="s">
        <v>16</v>
      </c>
      <c r="G6" s="68">
        <f>(I50-I19)/(D50-(SUM(D42:D44)+D19))</f>
        <v>33.516054777814489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28.2</v>
      </c>
      <c r="D10" s="30"/>
      <c r="E10" s="29" t="e">
        <f t="shared" ref="E10:E19" si="1">D10/$D$19</f>
        <v>#DIV/0!</v>
      </c>
      <c r="F10" s="28">
        <f t="shared" ref="F10:F18" si="2">C10-(C10*$E$6)</f>
        <v>27.428632706478062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28.595808566328191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26.8</v>
      </c>
      <c r="D12" s="30"/>
      <c r="E12" s="29" t="e">
        <f t="shared" si="1"/>
        <v>#DIV/0!</v>
      </c>
      <c r="F12" s="28">
        <f t="shared" si="2"/>
        <v>26.066927536652912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28.595808566328191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32.799999999999997</v>
      </c>
      <c r="D14" s="30"/>
      <c r="E14" s="29" t="e">
        <f t="shared" si="1"/>
        <v>#DIV/0!</v>
      </c>
      <c r="F14" s="28">
        <f t="shared" si="2"/>
        <v>31.902806835903558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26.358721501615445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36.085187000366531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54.5</v>
      </c>
      <c r="D17" s="30"/>
      <c r="E17" s="29" t="e">
        <f t="shared" si="1"/>
        <v>#DIV/0!</v>
      </c>
      <c r="F17" s="28">
        <f t="shared" si="2"/>
        <v>53.00923696819342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47.8</v>
      </c>
      <c r="D18" s="30"/>
      <c r="E18" s="29" t="e">
        <f t="shared" si="1"/>
        <v>#DIV/0!</v>
      </c>
      <c r="F18" s="28">
        <f t="shared" si="2"/>
        <v>46.492505084030185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70.900000000000006</v>
      </c>
      <c r="D21" s="30">
        <v>182.7</v>
      </c>
      <c r="E21" s="29">
        <f>D21/$D$48</f>
        <v>1.3018754988028729E-2</v>
      </c>
      <c r="F21" s="28">
        <f>C21-(C21*$E$6)</f>
        <v>68.960640386145201</v>
      </c>
      <c r="G21" s="27" t="str">
        <f>IF(C21&gt;=F21,"-","+")</f>
        <v>-</v>
      </c>
      <c r="H21" s="26">
        <f>C21*D21</f>
        <v>12953.43</v>
      </c>
      <c r="I21" s="26">
        <f>F21*D21</f>
        <v>12599.108998548727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47.6</v>
      </c>
      <c r="D22" s="30">
        <v>441.7</v>
      </c>
      <c r="E22" s="29">
        <f>D22/$D$48</f>
        <v>3.1474461292897042E-2</v>
      </c>
      <c r="F22" s="28">
        <f>C22-(C22*$E$6)</f>
        <v>46.297975774055168</v>
      </c>
      <c r="G22" s="27" t="str">
        <f>IF(C22&gt;=F22,"-","+")</f>
        <v>-</v>
      </c>
      <c r="H22" s="26">
        <f>C22*D22</f>
        <v>21024.920000000002</v>
      </c>
      <c r="I22" s="26">
        <f>F22*D22</f>
        <v>20449.815899400168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43.4</v>
      </c>
      <c r="D23" s="30">
        <v>363.8</v>
      </c>
      <c r="E23" s="29">
        <f>D23/$D$48</f>
        <v>2.5923497890776418E-2</v>
      </c>
      <c r="F23" s="28">
        <f>C23-(C23*$E$6)</f>
        <v>42.21286026457971</v>
      </c>
      <c r="G23" s="27" t="str">
        <f>IF(C23&gt;=F23,"-","+")</f>
        <v>-</v>
      </c>
      <c r="H23" s="26">
        <f>C23*D23</f>
        <v>15788.92</v>
      </c>
      <c r="I23" s="26">
        <f>F23*D23</f>
        <v>15357.038564254099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50.361536126290225</v>
      </c>
      <c r="D24" s="22">
        <f>SUM(D21:D23)</f>
        <v>988.2</v>
      </c>
      <c r="E24" s="21">
        <f>D24/$D$48</f>
        <v>7.0416714171702199E-2</v>
      </c>
      <c r="F24" s="20">
        <f>I24/D24</f>
        <v>48.983974359646822</v>
      </c>
      <c r="G24" s="19">
        <f>F24/C24-1</f>
        <v>-2.7353450124891543E-2</v>
      </c>
      <c r="H24" s="18">
        <f>SUM(H21:H23)</f>
        <v>49767.270000000004</v>
      </c>
      <c r="I24" s="18">
        <f>SUM(I21:I23)</f>
        <v>48405.963462202992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37.799999999999997</v>
      </c>
      <c r="D26" s="30">
        <v>2897.5</v>
      </c>
      <c r="E26" s="29">
        <f t="shared" ref="E26:E32" si="7">D26/$D$48</f>
        <v>0.20646876068863296</v>
      </c>
      <c r="F26" s="28">
        <f t="shared" ref="F26:F31" si="8">C26-(C26*$E$6)</f>
        <v>36.766039585279103</v>
      </c>
      <c r="G26" s="27" t="str">
        <f t="shared" ref="G26:G31" si="9">IF(C26&gt;=F26,"-","+")</f>
        <v>-</v>
      </c>
      <c r="H26" s="26">
        <f t="shared" ref="H26:H31" si="10">C26*D26</f>
        <v>109525.49999999999</v>
      </c>
      <c r="I26" s="26">
        <f t="shared" ref="I26:I31" si="11">F26*D26</f>
        <v>106529.5996983462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33.700000000000003</v>
      </c>
      <c r="D27" s="30">
        <v>2532.8000000000002</v>
      </c>
      <c r="E27" s="29">
        <f t="shared" si="7"/>
        <v>0.18048113099988597</v>
      </c>
      <c r="F27" s="28">
        <f t="shared" si="8"/>
        <v>32.778188730791165</v>
      </c>
      <c r="G27" s="27" t="str">
        <f t="shared" si="9"/>
        <v>-</v>
      </c>
      <c r="H27" s="26">
        <f t="shared" si="10"/>
        <v>85355.360000000015</v>
      </c>
      <c r="I27" s="26">
        <f t="shared" si="11"/>
        <v>83020.596417347871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33.700000000000003</v>
      </c>
      <c r="D28" s="30">
        <v>1417.4</v>
      </c>
      <c r="E28" s="29">
        <f t="shared" si="7"/>
        <v>0.10100045604834111</v>
      </c>
      <c r="F28" s="28">
        <f t="shared" si="8"/>
        <v>32.778188730791165</v>
      </c>
      <c r="G28" s="27" t="str">
        <f t="shared" si="9"/>
        <v>-</v>
      </c>
      <c r="H28" s="26">
        <f t="shared" si="10"/>
        <v>47766.380000000005</v>
      </c>
      <c r="I28" s="26">
        <f t="shared" si="11"/>
        <v>46459.804707023402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1323.6</v>
      </c>
      <c r="E29" s="29">
        <f t="shared" si="7"/>
        <v>9.431649754874015E-2</v>
      </c>
      <c r="F29" s="28">
        <f t="shared" si="8"/>
        <v>31.708277525928541</v>
      </c>
      <c r="G29" s="27" t="str">
        <f t="shared" si="9"/>
        <v>-</v>
      </c>
      <c r="H29" s="26">
        <f t="shared" si="10"/>
        <v>43149.36</v>
      </c>
      <c r="I29" s="26">
        <f t="shared" si="11"/>
        <v>41969.076133319017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975.8</v>
      </c>
      <c r="E30" s="29">
        <f t="shared" si="7"/>
        <v>6.9533120510774121E-2</v>
      </c>
      <c r="F30" s="28">
        <f t="shared" si="8"/>
        <v>31.708277525928541</v>
      </c>
      <c r="G30" s="27" t="str">
        <f t="shared" si="9"/>
        <v>-</v>
      </c>
      <c r="H30" s="26">
        <f t="shared" si="10"/>
        <v>31811.079999999998</v>
      </c>
      <c r="I30" s="26">
        <f t="shared" si="11"/>
        <v>30940.937209801068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33.1</v>
      </c>
      <c r="D31" s="30">
        <v>397.7</v>
      </c>
      <c r="E31" s="29">
        <f t="shared" si="7"/>
        <v>2.8339128947668449E-2</v>
      </c>
      <c r="F31" s="28">
        <f t="shared" si="8"/>
        <v>32.194600800866098</v>
      </c>
      <c r="G31" s="27" t="str">
        <f t="shared" si="9"/>
        <v>-</v>
      </c>
      <c r="H31" s="26">
        <f t="shared" si="10"/>
        <v>13163.87</v>
      </c>
      <c r="I31" s="26">
        <f t="shared" si="11"/>
        <v>12803.792738504448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34.654633936803279</v>
      </c>
      <c r="D32" s="22">
        <f>SUM(D26:D31)</f>
        <v>9544.8000000000011</v>
      </c>
      <c r="E32" s="21">
        <f t="shared" si="7"/>
        <v>0.68013909474404288</v>
      </c>
      <c r="F32" s="20">
        <f>I32/D32</f>
        <v>33.706710135816571</v>
      </c>
      <c r="G32" s="19">
        <f>F32/C32-1</f>
        <v>-2.7353450124891099E-2</v>
      </c>
      <c r="H32" s="18">
        <f>SUM(H26:H31)</f>
        <v>330771.55</v>
      </c>
      <c r="I32" s="18">
        <f>SUM(I26:I31)</f>
        <v>321723.80690434203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v>1267.5999999999999</v>
      </c>
      <c r="E34" s="29">
        <f t="shared" ref="E34:E40" si="13">D34/$D$48</f>
        <v>9.0326074563903749E-2</v>
      </c>
      <c r="F34" s="28">
        <f t="shared" ref="F34:F39" si="14">C34-(C34*$E$6)</f>
        <v>19.35566634251466</v>
      </c>
      <c r="G34" s="27" t="str">
        <f t="shared" ref="G34:G39" si="15">IF(C34&gt;=F34,"-","+")</f>
        <v>-</v>
      </c>
      <c r="H34" s="26">
        <f t="shared" ref="H34:H39" si="16">C34*D34</f>
        <v>25225.239999999998</v>
      </c>
      <c r="I34" s="26">
        <f t="shared" ref="I34:I39" si="17">F34*D34</f>
        <v>24535.242655771581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/>
      <c r="E35" s="29">
        <f t="shared" si="13"/>
        <v>0</v>
      </c>
      <c r="F35" s="28">
        <f t="shared" si="14"/>
        <v>14.881492213089162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11.963552563463836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31.708277525928541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31.708277525928541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33.700000000000003</v>
      </c>
      <c r="D39" s="30"/>
      <c r="E39" s="29">
        <f t="shared" si="13"/>
        <v>0</v>
      </c>
      <c r="F39" s="28">
        <f t="shared" si="14"/>
        <v>32.778188730791165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19.899999999999999</v>
      </c>
      <c r="D40" s="22">
        <f>SUM(D34:D39)</f>
        <v>1267.5999999999999</v>
      </c>
      <c r="E40" s="113">
        <f t="shared" si="13"/>
        <v>9.0326074563903749E-2</v>
      </c>
      <c r="F40" s="20">
        <f>I40/D40</f>
        <v>19.35566634251466</v>
      </c>
      <c r="G40" s="19">
        <f>F40/C40-1</f>
        <v>-2.7353450124891432E-2</v>
      </c>
      <c r="H40" s="18">
        <f>SUM(H34:H39)</f>
        <v>25225.239999999998</v>
      </c>
      <c r="I40" s="18">
        <f>SUM(I34:I39)</f>
        <v>24535.242655771581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2115</v>
      </c>
      <c r="E42" s="107">
        <f>D42/$D$48</f>
        <v>0.15070972523087445</v>
      </c>
      <c r="F42" s="28">
        <f>C42-(C42*$E$6)</f>
        <v>0.48632327493755428</v>
      </c>
      <c r="G42" s="27" t="str">
        <f>IF(C42&gt;=F42,"-","+")</f>
        <v>-</v>
      </c>
      <c r="H42" s="26">
        <f>C42*D42</f>
        <v>1057.5</v>
      </c>
      <c r="I42" s="26">
        <f>F42*D42</f>
        <v>1028.5737264929273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110.9</v>
      </c>
      <c r="E43" s="107">
        <f>D43/$D$48</f>
        <v>7.902462661042069E-3</v>
      </c>
      <c r="F43" s="28">
        <f>C43-(C43*$E$6)</f>
        <v>0.48632327493755428</v>
      </c>
      <c r="G43" s="27" t="str">
        <f>IF(C43&gt;=F43,"-","+")</f>
        <v>-</v>
      </c>
      <c r="H43" s="26">
        <f>C43*D43</f>
        <v>55.45</v>
      </c>
      <c r="I43" s="26">
        <f>F43*D43</f>
        <v>53.933251190574772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7.1</v>
      </c>
      <c r="E45" s="107">
        <f>D45/$D$48</f>
        <v>5.0592862843461392E-4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0.498410210479176</v>
      </c>
      <c r="D46" s="22">
        <f>SUM(D41:D45)</f>
        <v>2233</v>
      </c>
      <c r="E46" s="113">
        <f>D46/$D$48</f>
        <v>0.15911811652035113</v>
      </c>
      <c r="F46" s="20">
        <f>I46/D46</f>
        <v>0.4847769716450972</v>
      </c>
      <c r="G46" s="19">
        <f>F46/C46-1</f>
        <v>-2.7353450124891432E-2</v>
      </c>
      <c r="H46" s="18">
        <f>SUM(H41:H44)</f>
        <v>1112.95</v>
      </c>
      <c r="I46" s="18">
        <f>SUM(I41:I44)</f>
        <v>1082.5069776835021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105.4145802735727</v>
      </c>
      <c r="D48" s="13">
        <f>D24+D32+D40+D46</f>
        <v>14033.600000000002</v>
      </c>
      <c r="E48" s="12">
        <f>SUM(E20:E46)/2</f>
        <v>0.99999999999999978</v>
      </c>
      <c r="F48" s="11">
        <f>I48/D48</f>
        <v>28.200000000000006</v>
      </c>
      <c r="G48" s="10"/>
      <c r="H48" s="9">
        <f>SUM(H20:H46)/2</f>
        <v>406877.00999999995</v>
      </c>
      <c r="I48" s="9">
        <f>SUM(I20:I46)/2</f>
        <v>395747.52000000014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14033.599999999999</v>
      </c>
      <c r="E50" s="12">
        <f>D50/G2</f>
        <v>0.99999999999999989</v>
      </c>
      <c r="F50" s="11">
        <f>I50/D50</f>
        <v>28.200000000000014</v>
      </c>
      <c r="G50" s="10"/>
      <c r="H50" s="9">
        <f>H48+H19</f>
        <v>406877.00999999995</v>
      </c>
      <c r="I50" s="9">
        <f>I48+I19</f>
        <v>395747.52000000014</v>
      </c>
      <c r="J50" s="106">
        <f>D50-G2</f>
        <v>0</v>
      </c>
      <c r="K50" s="8"/>
    </row>
    <row r="51" spans="1:11" ht="23.25" x14ac:dyDescent="0.35">
      <c r="A51" s="174" t="s">
        <v>977</v>
      </c>
      <c r="B51" s="169"/>
      <c r="C51" s="170"/>
      <c r="G51" s="7"/>
      <c r="H51" s="6"/>
      <c r="I51" s="6">
        <f>+I50/D50</f>
        <v>28.200000000000014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26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>
    <tabColor rgb="FF92D050"/>
  </sheetPr>
  <dimension ref="A1:K56"/>
  <sheetViews>
    <sheetView workbookViewId="0">
      <selection activeCell="D10" sqref="D10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5.14062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967</v>
      </c>
      <c r="D1" s="100" t="s">
        <v>1</v>
      </c>
      <c r="E1" s="168" t="s">
        <v>304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978</v>
      </c>
      <c r="D2" s="96" t="s">
        <v>3</v>
      </c>
      <c r="E2" s="95" t="s">
        <v>71</v>
      </c>
      <c r="F2" s="94" t="s">
        <v>5</v>
      </c>
      <c r="G2" s="93">
        <v>2274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98</v>
      </c>
      <c r="D3" s="90" t="s">
        <v>7</v>
      </c>
      <c r="E3" s="89">
        <v>40</v>
      </c>
      <c r="F3" s="88" t="s">
        <v>8</v>
      </c>
      <c r="G3" s="87">
        <v>27.4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56.85</v>
      </c>
      <c r="F4" s="81" t="s">
        <v>12</v>
      </c>
      <c r="G4" s="80">
        <f>G2*G3</f>
        <v>62307.6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-7.1078260313500508E-2</v>
      </c>
      <c r="F6" s="69" t="s">
        <v>16</v>
      </c>
      <c r="G6" s="68">
        <f>(I50-I19)/(D50-(SUM(D42:D44)+D19))</f>
        <v>35.025914891224907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27.4</v>
      </c>
      <c r="D10" s="30"/>
      <c r="E10" s="29" t="e">
        <f t="shared" ref="E10:E19" si="1">D10/$D$19</f>
        <v>#DIV/0!</v>
      </c>
      <c r="F10" s="28">
        <f t="shared" ref="F10:F18" si="2">C10-(C10*$E$6)</f>
        <v>29.347544332589912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28.5</v>
      </c>
      <c r="D11" s="30"/>
      <c r="E11" s="29" t="e">
        <f t="shared" si="1"/>
        <v>#DIV/0!</v>
      </c>
      <c r="F11" s="28">
        <f t="shared" si="2"/>
        <v>30.525730418934764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26.1</v>
      </c>
      <c r="D12" s="30"/>
      <c r="E12" s="29" t="e">
        <f t="shared" si="1"/>
        <v>#DIV/0!</v>
      </c>
      <c r="F12" s="28">
        <f t="shared" si="2"/>
        <v>27.955142594182366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28.5</v>
      </c>
      <c r="D13" s="30"/>
      <c r="E13" s="29" t="e">
        <f t="shared" si="1"/>
        <v>#DIV/0!</v>
      </c>
      <c r="F13" s="28">
        <f t="shared" si="2"/>
        <v>30.525730418934764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31.9</v>
      </c>
      <c r="D14" s="30"/>
      <c r="E14" s="29" t="e">
        <f t="shared" si="1"/>
        <v>#DIV/0!</v>
      </c>
      <c r="F14" s="28">
        <f t="shared" si="2"/>
        <v>34.167396504000664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26.3</v>
      </c>
      <c r="D15" s="30"/>
      <c r="E15" s="29" t="e">
        <f t="shared" si="1"/>
        <v>#DIV/0!</v>
      </c>
      <c r="F15" s="28">
        <f t="shared" si="2"/>
        <v>28.169358246245064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36</v>
      </c>
      <c r="D16" s="30"/>
      <c r="E16" s="29" t="e">
        <f t="shared" si="1"/>
        <v>#DIV/0!</v>
      </c>
      <c r="F16" s="28">
        <f t="shared" si="2"/>
        <v>38.558817371286018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53</v>
      </c>
      <c r="D17" s="30"/>
      <c r="E17" s="29" t="e">
        <f t="shared" si="1"/>
        <v>#DIV/0!</v>
      </c>
      <c r="F17" s="28">
        <f t="shared" si="2"/>
        <v>56.767147796615525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46.4</v>
      </c>
      <c r="D18" s="30"/>
      <c r="E18" s="29" t="e">
        <f t="shared" si="1"/>
        <v>#DIV/0!</v>
      </c>
      <c r="F18" s="28">
        <f t="shared" si="2"/>
        <v>49.698031278546424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68.900000000000006</v>
      </c>
      <c r="D21" s="30">
        <v>29.5</v>
      </c>
      <c r="E21" s="29">
        <f>D21/$D$48</f>
        <v>1.2972735268249781E-2</v>
      </c>
      <c r="F21" s="28">
        <f>C21-(C21*$E$6)</f>
        <v>73.797292135600188</v>
      </c>
      <c r="G21" s="27" t="str">
        <f>IF(C21&gt;=F21,"-","+")</f>
        <v>+</v>
      </c>
      <c r="H21" s="26">
        <f>C21*D21</f>
        <v>2032.5500000000002</v>
      </c>
      <c r="I21" s="26">
        <f>F21*D21</f>
        <v>2177.0201180002055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46.3</v>
      </c>
      <c r="D22" s="30">
        <v>64.7</v>
      </c>
      <c r="E22" s="29">
        <f>D22/$D$48</f>
        <v>2.8452066842568163E-2</v>
      </c>
      <c r="F22" s="28">
        <f>C22-(C22*$E$6)</f>
        <v>49.590923452515071</v>
      </c>
      <c r="G22" s="27" t="str">
        <f>IF(C22&gt;=F22,"-","+")</f>
        <v>+</v>
      </c>
      <c r="H22" s="26">
        <f>C22*D22</f>
        <v>2995.61</v>
      </c>
      <c r="I22" s="26">
        <f>F22*D22</f>
        <v>3208.5327473777252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42.2</v>
      </c>
      <c r="D23" s="30">
        <v>57.4</v>
      </c>
      <c r="E23" s="29">
        <f>D23/$D$48</f>
        <v>2.5241864555848724E-2</v>
      </c>
      <c r="F23" s="28">
        <f>C23-(C23*$E$6)</f>
        <v>45.199502585229723</v>
      </c>
      <c r="G23" s="27" t="str">
        <f>IF(C23&gt;=F23,"-","+")</f>
        <v>+</v>
      </c>
      <c r="H23" s="26">
        <f>C23*D23</f>
        <v>2422.2800000000002</v>
      </c>
      <c r="I23" s="26">
        <f>F23*D23</f>
        <v>2594.4514483921862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49.145382585751982</v>
      </c>
      <c r="D24" s="22">
        <f>SUM(D21:D23)</f>
        <v>151.6</v>
      </c>
      <c r="E24" s="21">
        <f>D24/$D$48</f>
        <v>6.6666666666666666E-2</v>
      </c>
      <c r="F24" s="20">
        <f>I24/D24</f>
        <v>52.638550882388643</v>
      </c>
      <c r="G24" s="19">
        <f>F24/C24-1</f>
        <v>7.107826031350073E-2</v>
      </c>
      <c r="H24" s="18">
        <f>SUM(H21:H23)</f>
        <v>7450.4400000000005</v>
      </c>
      <c r="I24" s="18">
        <f>SUM(I21:I23)</f>
        <v>7980.0043137701177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36.799999999999997</v>
      </c>
      <c r="D26" s="30">
        <f>141+38.9+303.6</f>
        <v>483.5</v>
      </c>
      <c r="E26" s="29">
        <f t="shared" ref="E26:E32" si="7">D26/$D$48</f>
        <v>0.21262093227792436</v>
      </c>
      <c r="F26" s="28">
        <f t="shared" ref="F26:F31" si="8">C26-(C26*$E$6)</f>
        <v>39.415679979536819</v>
      </c>
      <c r="G26" s="27" t="str">
        <f t="shared" ref="G26:G31" si="9">IF(C26&gt;=F26,"-","+")</f>
        <v>+</v>
      </c>
      <c r="H26" s="26">
        <f t="shared" ref="H26:H31" si="10">C26*D26</f>
        <v>17792.8</v>
      </c>
      <c r="I26" s="26">
        <f t="shared" ref="I26:I31" si="11">F26*D26</f>
        <v>19057.481270106051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32.700000000000003</v>
      </c>
      <c r="D27" s="30">
        <v>305.7</v>
      </c>
      <c r="E27" s="29">
        <f t="shared" si="7"/>
        <v>0.13443271767810025</v>
      </c>
      <c r="F27" s="28">
        <f t="shared" si="8"/>
        <v>35.024259112251471</v>
      </c>
      <c r="G27" s="27" t="str">
        <f t="shared" si="9"/>
        <v>+</v>
      </c>
      <c r="H27" s="26">
        <f t="shared" si="10"/>
        <v>9996.3900000000012</v>
      </c>
      <c r="I27" s="26">
        <f t="shared" si="11"/>
        <v>10706.916010615274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32.700000000000003</v>
      </c>
      <c r="D28" s="30">
        <v>181.1</v>
      </c>
      <c r="E28" s="29">
        <f t="shared" si="7"/>
        <v>7.9639401934916448E-2</v>
      </c>
      <c r="F28" s="28">
        <f t="shared" si="8"/>
        <v>35.024259112251471</v>
      </c>
      <c r="G28" s="27" t="str">
        <f t="shared" si="9"/>
        <v>+</v>
      </c>
      <c r="H28" s="26">
        <f t="shared" si="10"/>
        <v>5921.97</v>
      </c>
      <c r="I28" s="26">
        <f t="shared" si="11"/>
        <v>6342.8933252287416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31.6</v>
      </c>
      <c r="D29" s="30">
        <v>160.5</v>
      </c>
      <c r="E29" s="29">
        <f t="shared" si="7"/>
        <v>7.0580474934036935E-2</v>
      </c>
      <c r="F29" s="28">
        <f t="shared" si="8"/>
        <v>33.84607302590662</v>
      </c>
      <c r="G29" s="27" t="str">
        <f t="shared" si="9"/>
        <v>+</v>
      </c>
      <c r="H29" s="26">
        <f t="shared" si="10"/>
        <v>5071.8</v>
      </c>
      <c r="I29" s="26">
        <f t="shared" si="11"/>
        <v>5432.294720658012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31.6</v>
      </c>
      <c r="D30" s="30">
        <v>131.80000000000001</v>
      </c>
      <c r="E30" s="29">
        <f t="shared" si="7"/>
        <v>5.7959542656112584E-2</v>
      </c>
      <c r="F30" s="28">
        <f t="shared" si="8"/>
        <v>33.84607302590662</v>
      </c>
      <c r="G30" s="27" t="str">
        <f t="shared" si="9"/>
        <v>+</v>
      </c>
      <c r="H30" s="26">
        <f t="shared" si="10"/>
        <v>4164.88</v>
      </c>
      <c r="I30" s="26">
        <f t="shared" si="11"/>
        <v>4460.9124248144926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32.200000000000003</v>
      </c>
      <c r="D31" s="30">
        <v>40.299999999999997</v>
      </c>
      <c r="E31" s="29">
        <f t="shared" si="7"/>
        <v>1.7722075637642918E-2</v>
      </c>
      <c r="F31" s="28">
        <f t="shared" si="8"/>
        <v>34.488719982094722</v>
      </c>
      <c r="G31" s="27" t="str">
        <f t="shared" si="9"/>
        <v>+</v>
      </c>
      <c r="H31" s="26">
        <f t="shared" si="10"/>
        <v>1297.6600000000001</v>
      </c>
      <c r="I31" s="26">
        <f t="shared" si="11"/>
        <v>1389.8954152784172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33.959244761685476</v>
      </c>
      <c r="D32" s="22">
        <f>SUM(D26:D31)</f>
        <v>1302.9000000000001</v>
      </c>
      <c r="E32" s="21">
        <f t="shared" si="7"/>
        <v>0.57295514511873358</v>
      </c>
      <c r="F32" s="20">
        <f>I32/D32</f>
        <v>36.373008800906426</v>
      </c>
      <c r="G32" s="19">
        <f>F32/C32-1</f>
        <v>7.1078260313500286E-2</v>
      </c>
      <c r="H32" s="18">
        <f>SUM(H26:H31)</f>
        <v>44245.500000000007</v>
      </c>
      <c r="I32" s="18">
        <f>SUM(I26:I31)</f>
        <v>47390.393166700989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19.399999999999999</v>
      </c>
      <c r="D34" s="30">
        <v>321.60000000000002</v>
      </c>
      <c r="E34" s="29">
        <f t="shared" ref="E34:E40" si="13">D34/$D$48</f>
        <v>0.14142480211081795</v>
      </c>
      <c r="F34" s="28">
        <f t="shared" ref="F34:F39" si="14">C34-(C34*$E$6)</f>
        <v>20.778918250081908</v>
      </c>
      <c r="G34" s="27" t="str">
        <f t="shared" ref="G34:G39" si="15">IF(C34&gt;=F34,"-","+")</f>
        <v>+</v>
      </c>
      <c r="H34" s="26">
        <f t="shared" ref="H34:H39" si="16">C34*D34</f>
        <v>6239.04</v>
      </c>
      <c r="I34" s="26">
        <f t="shared" ref="I34:I39" si="17">F34*D34</f>
        <v>6682.5001092263419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14.9</v>
      </c>
      <c r="D35" s="30"/>
      <c r="E35" s="29">
        <f t="shared" si="13"/>
        <v>0</v>
      </c>
      <c r="F35" s="28">
        <f t="shared" si="14"/>
        <v>15.959066078671158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</v>
      </c>
      <c r="D36" s="30"/>
      <c r="E36" s="29">
        <f t="shared" si="13"/>
        <v>0</v>
      </c>
      <c r="F36" s="28">
        <f t="shared" si="14"/>
        <v>12.852939123762006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31.6</v>
      </c>
      <c r="D37" s="30"/>
      <c r="E37" s="29">
        <f t="shared" si="13"/>
        <v>0</v>
      </c>
      <c r="F37" s="28">
        <f t="shared" si="14"/>
        <v>33.84607302590662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31.6</v>
      </c>
      <c r="D38" s="30"/>
      <c r="E38" s="29">
        <f t="shared" si="13"/>
        <v>0</v>
      </c>
      <c r="F38" s="28">
        <f t="shared" si="14"/>
        <v>33.84607302590662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32.700000000000003</v>
      </c>
      <c r="D39" s="30"/>
      <c r="E39" s="29">
        <f t="shared" si="13"/>
        <v>0</v>
      </c>
      <c r="F39" s="28">
        <f t="shared" si="14"/>
        <v>35.024259112251471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19.399999999999999</v>
      </c>
      <c r="D40" s="22">
        <f>SUM(D34:D39)</f>
        <v>321.60000000000002</v>
      </c>
      <c r="E40" s="113">
        <f t="shared" si="13"/>
        <v>0.14142480211081795</v>
      </c>
      <c r="F40" s="20">
        <f>I40/D40</f>
        <v>20.778918250081908</v>
      </c>
      <c r="G40" s="19">
        <f>F40/C40-1</f>
        <v>7.1078260313500508E-2</v>
      </c>
      <c r="H40" s="18">
        <f>SUM(H34:H39)</f>
        <v>6239.04</v>
      </c>
      <c r="I40" s="18">
        <f>SUM(I34:I39)</f>
        <v>6682.5001092263419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455</v>
      </c>
      <c r="E42" s="107">
        <f>D42/$D$48</f>
        <v>0.20008795074758134</v>
      </c>
      <c r="F42" s="28">
        <f>C42-(C42*$E$6)</f>
        <v>0.53553913015675025</v>
      </c>
      <c r="G42" s="27" t="str">
        <f>IF(C42&gt;=F42,"-","+")</f>
        <v>+</v>
      </c>
      <c r="H42" s="26">
        <f>C42*D42</f>
        <v>227.5</v>
      </c>
      <c r="I42" s="26">
        <f>F42*D42</f>
        <v>243.67030422132137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20.6</v>
      </c>
      <c r="E43" s="107">
        <f>D43/$D$48</f>
        <v>9.0589270008795079E-3</v>
      </c>
      <c r="F43" s="28">
        <f>C43-(C43*$E$6)</f>
        <v>0.53553913015675025</v>
      </c>
      <c r="G43" s="27" t="str">
        <f>IF(C43&gt;=F43,"-","+")</f>
        <v>+</v>
      </c>
      <c r="H43" s="26">
        <f>C43*D43</f>
        <v>10.3</v>
      </c>
      <c r="I43" s="26">
        <f>F43*D43</f>
        <v>11.032106081229056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19.5</v>
      </c>
      <c r="E44" s="107">
        <f>D44/$D$48</f>
        <v>8.5751978891820575E-3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2.8</v>
      </c>
      <c r="E45" s="107">
        <f>D45/$D$48</f>
        <v>1.2313104661389621E-3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0.47760594496886927</v>
      </c>
      <c r="D46" s="22">
        <f>SUM(D41:D45)</f>
        <v>497.90000000000003</v>
      </c>
      <c r="E46" s="113">
        <f>D46/$D$48</f>
        <v>0.2189533861037819</v>
      </c>
      <c r="F46" s="20">
        <f>I46/D46</f>
        <v>0.51155334465264191</v>
      </c>
      <c r="G46" s="19">
        <f>F46/C46-1</f>
        <v>7.1078260313500508E-2</v>
      </c>
      <c r="H46" s="18">
        <f>SUM(H41:H44)</f>
        <v>237.8</v>
      </c>
      <c r="I46" s="18">
        <f>SUM(I41:I44)</f>
        <v>254.70241030255042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102.98223329240633</v>
      </c>
      <c r="D48" s="13">
        <f>D24+D32+D40+D46</f>
        <v>2274</v>
      </c>
      <c r="E48" s="12">
        <f>SUM(E20:E46)/2</f>
        <v>1.0000000000000002</v>
      </c>
      <c r="F48" s="11">
        <f>I48/D48</f>
        <v>27.399999999999995</v>
      </c>
      <c r="G48" s="10"/>
      <c r="H48" s="9">
        <f>SUM(H20:H46)/2</f>
        <v>58172.78</v>
      </c>
      <c r="I48" s="9">
        <f>SUM(I20:I46)/2</f>
        <v>62307.599999999991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2274</v>
      </c>
      <c r="E50" s="12">
        <f>D50/G2</f>
        <v>1</v>
      </c>
      <c r="F50" s="11">
        <f>I50/D50</f>
        <v>27.399999999999995</v>
      </c>
      <c r="G50" s="10"/>
      <c r="H50" s="9">
        <f>H48+H19</f>
        <v>58172.78</v>
      </c>
      <c r="I50" s="9">
        <f>I48+I19</f>
        <v>62307.599999999991</v>
      </c>
      <c r="J50" s="106">
        <f>D50-G2</f>
        <v>0</v>
      </c>
      <c r="K50" s="8"/>
    </row>
    <row r="51" spans="1:11" ht="23.25" x14ac:dyDescent="0.35">
      <c r="A51" s="174" t="s">
        <v>979</v>
      </c>
      <c r="B51" s="169"/>
      <c r="C51" s="170"/>
      <c r="G51" s="7"/>
      <c r="H51" s="6"/>
      <c r="I51" s="6">
        <f>+I50/D50</f>
        <v>27.399999999999995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  <c r="K55" s="1" t="s">
        <v>857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975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978</v>
      </c>
      <c r="D2" s="96" t="s">
        <v>3</v>
      </c>
      <c r="E2" s="95" t="s">
        <v>71</v>
      </c>
      <c r="F2" s="94" t="s">
        <v>5</v>
      </c>
      <c r="G2" s="116">
        <v>8348.4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111</v>
      </c>
      <c r="F3" s="88" t="s">
        <v>8</v>
      </c>
      <c r="G3" s="120">
        <v>28.2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75.210810810810813</v>
      </c>
      <c r="F4" s="81" t="s">
        <v>12</v>
      </c>
      <c r="G4" s="80">
        <f>G2*G3</f>
        <v>235424.87999999998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-2.5852721854353833E-2</v>
      </c>
      <c r="F6" s="69" t="s">
        <v>16</v>
      </c>
      <c r="G6" s="68">
        <f>(I50-I19)/(D50-(SUM(D42:D44)+D19))</f>
        <v>33.842909009601797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28.2</v>
      </c>
      <c r="D10" s="30"/>
      <c r="E10" s="29">
        <f t="shared" ref="E10:E19" si="1">D10/$D$19</f>
        <v>0</v>
      </c>
      <c r="F10" s="28">
        <f t="shared" ref="F10:F18" si="2">C10-(C10*$E$6)</f>
        <v>28.929046756292777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>
        <v>122.2</v>
      </c>
      <c r="E11" s="29">
        <f t="shared" si="1"/>
        <v>1</v>
      </c>
      <c r="F11" s="28">
        <f t="shared" si="2"/>
        <v>30.160070022518003</v>
      </c>
      <c r="G11" s="27" t="str">
        <f t="shared" si="3"/>
        <v>+</v>
      </c>
      <c r="H11" s="34">
        <f t="shared" si="4"/>
        <v>3592.68</v>
      </c>
      <c r="I11" s="34">
        <f t="shared" si="5"/>
        <v>3685.5605567517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26.8</v>
      </c>
      <c r="D12" s="30"/>
      <c r="E12" s="29">
        <f t="shared" si="1"/>
        <v>0</v>
      </c>
      <c r="F12" s="28">
        <f t="shared" si="2"/>
        <v>27.492852945696683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>
        <f t="shared" si="1"/>
        <v>0</v>
      </c>
      <c r="F13" s="28">
        <f t="shared" si="2"/>
        <v>30.160070022518003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32.799999999999997</v>
      </c>
      <c r="D14" s="30"/>
      <c r="E14" s="29">
        <f t="shared" si="1"/>
        <v>0</v>
      </c>
      <c r="F14" s="28">
        <f t="shared" si="2"/>
        <v>33.647969276822806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>
        <f t="shared" si="1"/>
        <v>0</v>
      </c>
      <c r="F15" s="28">
        <f t="shared" si="2"/>
        <v>27.800608762252992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38.059135980796526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54.5</v>
      </c>
      <c r="D17" s="30"/>
      <c r="E17" s="29">
        <f t="shared" si="1"/>
        <v>0</v>
      </c>
      <c r="F17" s="28">
        <f t="shared" si="2"/>
        <v>55.908973341062286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47.8</v>
      </c>
      <c r="D18" s="30"/>
      <c r="E18" s="29">
        <f t="shared" si="1"/>
        <v>0</v>
      </c>
      <c r="F18" s="28">
        <f t="shared" si="2"/>
        <v>49.035760104638108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29.4</v>
      </c>
      <c r="D19" s="49">
        <f>SUM(D10:D18)</f>
        <v>122.2</v>
      </c>
      <c r="E19" s="48">
        <f t="shared" si="1"/>
        <v>1</v>
      </c>
      <c r="F19" s="47">
        <f>I19/D19</f>
        <v>30.160070022518003</v>
      </c>
      <c r="G19" s="46">
        <f>F19/C19-1</f>
        <v>2.5852721854353833E-2</v>
      </c>
      <c r="H19" s="9">
        <f>SUM(H10:H18)</f>
        <v>3592.68</v>
      </c>
      <c r="I19" s="9">
        <f>SUM(I10:I18)</f>
        <v>3685.5605567517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70.900000000000006</v>
      </c>
      <c r="D21" s="30">
        <v>90.7</v>
      </c>
      <c r="E21" s="29">
        <f>D21/$D$48</f>
        <v>1.1025747003476695E-2</v>
      </c>
      <c r="F21" s="28">
        <f>C21-(C21*$E$6)</f>
        <v>72.732957979473696</v>
      </c>
      <c r="G21" s="27" t="str">
        <f>IF(C21&gt;=F21,"-","+")</f>
        <v>+</v>
      </c>
      <c r="H21" s="26">
        <f>C21*D21</f>
        <v>6430.630000000001</v>
      </c>
      <c r="I21" s="26">
        <f>F21*D21</f>
        <v>6596.8792887382642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47.6</v>
      </c>
      <c r="D22" s="30">
        <v>274.89999999999998</v>
      </c>
      <c r="E22" s="29">
        <f>D22/$D$48</f>
        <v>3.3417616882643254E-2</v>
      </c>
      <c r="F22" s="28">
        <f>C22-(C22*$E$6)</f>
        <v>48.830589560267242</v>
      </c>
      <c r="G22" s="27" t="str">
        <f>IF(C22&gt;=F22,"-","+")</f>
        <v>+</v>
      </c>
      <c r="H22" s="26">
        <f>C22*D22</f>
        <v>13085.24</v>
      </c>
      <c r="I22" s="26">
        <f>F22*D22</f>
        <v>13423.529070117464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43.4</v>
      </c>
      <c r="D23" s="30">
        <v>196.2</v>
      </c>
      <c r="E23" s="29">
        <f>D23/$D$48</f>
        <v>2.3850623617223017E-2</v>
      </c>
      <c r="F23" s="28">
        <f>C23-(C23*$E$6)</f>
        <v>44.522008128478952</v>
      </c>
      <c r="G23" s="27" t="str">
        <f>IF(C23&gt;=F23,"-","+")</f>
        <v>+</v>
      </c>
      <c r="H23" s="26">
        <f>C23*D23</f>
        <v>8515.08</v>
      </c>
      <c r="I23" s="26">
        <f>F23*D23</f>
        <v>8735.21799480757</v>
      </c>
      <c r="J23" s="25"/>
      <c r="K23" s="25"/>
    </row>
    <row r="24" spans="1:11" x14ac:dyDescent="0.25">
      <c r="A24" s="24" t="s">
        <v>34</v>
      </c>
      <c r="B24" s="23"/>
      <c r="C24" s="20">
        <f>H24/D24</f>
        <v>49.894891420434327</v>
      </c>
      <c r="D24" s="22">
        <f>SUM(D21:D23)</f>
        <v>561.79999999999995</v>
      </c>
      <c r="E24" s="21">
        <f>D24/$D$48</f>
        <v>6.8293987503342965E-2</v>
      </c>
      <c r="F24" s="20">
        <f>I24/D24</f>
        <v>51.184810170279995</v>
      </c>
      <c r="G24" s="19">
        <f>F24/C24-1</f>
        <v>2.5852721854353611E-2</v>
      </c>
      <c r="H24" s="18">
        <f>SUM(H21:H23)</f>
        <v>28030.950000000004</v>
      </c>
      <c r="I24" s="18">
        <f>SUM(I21:I23)</f>
        <v>28755.626353663298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37.799999999999997</v>
      </c>
      <c r="D26" s="30">
        <v>1596.9</v>
      </c>
      <c r="E26" s="29">
        <f t="shared" ref="E26:E32" si="7">D26/$D$48</f>
        <v>0.19412365369186257</v>
      </c>
      <c r="F26" s="28">
        <f t="shared" ref="F26:F31" si="8">C26-(C26*$E$6)</f>
        <v>38.777232886094573</v>
      </c>
      <c r="G26" s="27" t="str">
        <f t="shared" ref="G26:G31" si="9">IF(C26&gt;=F26,"-","+")</f>
        <v>+</v>
      </c>
      <c r="H26" s="26">
        <f t="shared" ref="H26:H31" si="10">C26*D26</f>
        <v>60362.82</v>
      </c>
      <c r="I26" s="26">
        <f t="shared" ref="I26:I31" si="11">F26*D26</f>
        <v>61923.363195804428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33.700000000000003</v>
      </c>
      <c r="D27" s="30">
        <v>1231.9000000000001</v>
      </c>
      <c r="E27" s="29">
        <f t="shared" si="7"/>
        <v>0.14975322749264544</v>
      </c>
      <c r="F27" s="28">
        <f t="shared" si="8"/>
        <v>34.571236726491726</v>
      </c>
      <c r="G27" s="27" t="str">
        <f t="shared" si="9"/>
        <v>+</v>
      </c>
      <c r="H27" s="26">
        <f t="shared" si="10"/>
        <v>41515.030000000006</v>
      </c>
      <c r="I27" s="26">
        <f t="shared" si="11"/>
        <v>42588.306523365158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33.700000000000003</v>
      </c>
      <c r="D28" s="30">
        <v>699.9</v>
      </c>
      <c r="E28" s="29">
        <f t="shared" si="7"/>
        <v>8.5081811772142663E-2</v>
      </c>
      <c r="F28" s="28">
        <f t="shared" si="8"/>
        <v>34.571236726491726</v>
      </c>
      <c r="G28" s="27" t="str">
        <f t="shared" si="9"/>
        <v>+</v>
      </c>
      <c r="H28" s="26">
        <f t="shared" si="10"/>
        <v>23586.63</v>
      </c>
      <c r="I28" s="26">
        <f t="shared" si="11"/>
        <v>24196.408584871559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721</v>
      </c>
      <c r="E29" s="29">
        <f t="shared" si="7"/>
        <v>8.7646787094891918E-2</v>
      </c>
      <c r="F29" s="28">
        <f t="shared" si="8"/>
        <v>33.442798732451934</v>
      </c>
      <c r="G29" s="27" t="str">
        <f t="shared" si="9"/>
        <v>+</v>
      </c>
      <c r="H29" s="26">
        <f t="shared" si="10"/>
        <v>23504.600000000002</v>
      </c>
      <c r="I29" s="26">
        <f t="shared" si="11"/>
        <v>24112.257886097843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523.70000000000005</v>
      </c>
      <c r="E30" s="29">
        <f t="shared" si="7"/>
        <v>6.3662444385013742E-2</v>
      </c>
      <c r="F30" s="28">
        <f t="shared" si="8"/>
        <v>33.442798732451934</v>
      </c>
      <c r="G30" s="27" t="str">
        <f t="shared" si="9"/>
        <v>+</v>
      </c>
      <c r="H30" s="26">
        <f t="shared" si="10"/>
        <v>17072.620000000003</v>
      </c>
      <c r="I30" s="26">
        <f t="shared" si="11"/>
        <v>17513.99369618508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33.1</v>
      </c>
      <c r="D31" s="30">
        <v>118.4</v>
      </c>
      <c r="E31" s="29">
        <f t="shared" si="7"/>
        <v>1.439303688215701E-2</v>
      </c>
      <c r="F31" s="28">
        <f t="shared" si="8"/>
        <v>33.955725093379115</v>
      </c>
      <c r="G31" s="27" t="str">
        <f t="shared" si="9"/>
        <v>+</v>
      </c>
      <c r="H31" s="26">
        <f t="shared" si="10"/>
        <v>3919.0400000000004</v>
      </c>
      <c r="I31" s="26">
        <f t="shared" si="11"/>
        <v>4020.3578510560874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34.744008340488165</v>
      </c>
      <c r="D32" s="22">
        <f>SUM(D26:D31)</f>
        <v>4891.8</v>
      </c>
      <c r="E32" s="21">
        <f t="shared" si="7"/>
        <v>0.59466096131871338</v>
      </c>
      <c r="F32" s="20">
        <f>I32/D32</f>
        <v>35.642235524220162</v>
      </c>
      <c r="G32" s="19">
        <f>F32/C32-1</f>
        <v>2.5852721854354055E-2</v>
      </c>
      <c r="H32" s="18">
        <f>SUM(H26:H31)</f>
        <v>169960.74000000002</v>
      </c>
      <c r="I32" s="18">
        <f>SUM(I26:I31)</f>
        <v>174354.68773738018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f>482.6+707.4+111.4</f>
        <v>1301.4000000000001</v>
      </c>
      <c r="E34" s="29">
        <f t="shared" ref="E34:E40" si="13">D34/$D$48</f>
        <v>0.15820184289222242</v>
      </c>
      <c r="F34" s="28">
        <f t="shared" ref="F34:F39" si="14">C34-(C34*$E$6)</f>
        <v>20.414469164901639</v>
      </c>
      <c r="G34" s="27" t="str">
        <f t="shared" ref="G34:G39" si="15">IF(C34&gt;=F34,"-","+")</f>
        <v>+</v>
      </c>
      <c r="H34" s="26">
        <f t="shared" ref="H34:H39" si="16">C34*D34</f>
        <v>25897.86</v>
      </c>
      <c r="I34" s="26">
        <f t="shared" ref="I34:I39" si="17">F34*D34</f>
        <v>26567.390171202995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>
        <v>86.7</v>
      </c>
      <c r="E35" s="29">
        <f t="shared" si="13"/>
        <v>1.0539495757457877E-2</v>
      </c>
      <c r="F35" s="28">
        <f t="shared" si="14"/>
        <v>15.695546644371614</v>
      </c>
      <c r="G35" s="27" t="str">
        <f t="shared" si="15"/>
        <v>+</v>
      </c>
      <c r="H35" s="26">
        <f t="shared" si="16"/>
        <v>1326.5100000000002</v>
      </c>
      <c r="I35" s="26">
        <f t="shared" si="17"/>
        <v>1360.803894067019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12.617988478808552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33.442798732451934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33.442798732451934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33.700000000000003</v>
      </c>
      <c r="D39" s="30"/>
      <c r="E39" s="29">
        <f t="shared" si="13"/>
        <v>0</v>
      </c>
      <c r="F39" s="28">
        <f t="shared" si="14"/>
        <v>34.571236726491726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19.612686405878538</v>
      </c>
      <c r="D40" s="22">
        <f>SUM(D34:D39)</f>
        <v>1388.1000000000001</v>
      </c>
      <c r="E40" s="113">
        <f t="shared" si="13"/>
        <v>0.1687413386496803</v>
      </c>
      <c r="F40" s="20">
        <f>I40/D40</f>
        <v>20.11972773234638</v>
      </c>
      <c r="G40" s="19">
        <f>F40/C40-1</f>
        <v>2.5852721854353611E-2</v>
      </c>
      <c r="H40" s="18">
        <f>SUM(H34:H39)</f>
        <v>27224.370000000003</v>
      </c>
      <c r="I40" s="18">
        <f>SUM(I34:I39)</f>
        <v>27928.194065270014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87.1+681.7+558</f>
        <v>1326.8000000000002</v>
      </c>
      <c r="E42" s="107">
        <f>D42/$D$48</f>
        <v>0.16128953830444193</v>
      </c>
      <c r="F42" s="28">
        <f>C42-(C42*$E$6)</f>
        <v>0.51292636092717692</v>
      </c>
      <c r="G42" s="27" t="str">
        <f>IF(C42&gt;=F42,"-","+")</f>
        <v>+</v>
      </c>
      <c r="H42" s="26">
        <f>C42*D42</f>
        <v>663.40000000000009</v>
      </c>
      <c r="I42" s="26">
        <f>F42*D42</f>
        <v>680.55069567817839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39.5</v>
      </c>
      <c r="E43" s="107">
        <f>D43/$D$48</f>
        <v>4.8017310544358266E-3</v>
      </c>
      <c r="F43" s="28">
        <f>C43-(C43*$E$6)</f>
        <v>0.51292636092717692</v>
      </c>
      <c r="G43" s="27" t="str">
        <f>IF(C43&gt;=F43,"-","+")</f>
        <v>+</v>
      </c>
      <c r="H43" s="26">
        <f>C43*D43</f>
        <v>19.75</v>
      </c>
      <c r="I43" s="26">
        <f>F43*D43</f>
        <v>20.260591256623488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12.4</v>
      </c>
      <c r="E44" s="107">
        <f>D44/$D$48</f>
        <v>1.5073788626583354E-3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5.8</v>
      </c>
      <c r="E45" s="107">
        <f>D45/$D$48</f>
        <v>7.0506430672728586E-4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0.49342723004694833</v>
      </c>
      <c r="D46" s="22">
        <f>SUM(D41:D45)</f>
        <v>1384.5000000000002</v>
      </c>
      <c r="E46" s="113">
        <f>D46/$D$48</f>
        <v>0.16830371252826337</v>
      </c>
      <c r="F46" s="20">
        <f>I46/D46</f>
        <v>0.50618366698071626</v>
      </c>
      <c r="G46" s="19">
        <f>F46/C46-1</f>
        <v>2.5852721854353611E-2</v>
      </c>
      <c r="H46" s="18">
        <f>SUM(H41:H44)</f>
        <v>683.15000000000009</v>
      </c>
      <c r="I46" s="18">
        <f>SUM(I41:I44)</f>
        <v>700.81128693480184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104.74501339684798</v>
      </c>
      <c r="D48" s="13">
        <f>D24+D32+D40+D46</f>
        <v>8226.2000000000007</v>
      </c>
      <c r="E48" s="12">
        <f>SUM(E20:E46)/2</f>
        <v>1</v>
      </c>
      <c r="F48" s="11">
        <f>I48/D48</f>
        <v>28.170883207708087</v>
      </c>
      <c r="G48" s="10"/>
      <c r="H48" s="9">
        <f>SUM(H20:H46)/2</f>
        <v>225899.21000000002</v>
      </c>
      <c r="I48" s="9">
        <f>SUM(I20:I46)/2</f>
        <v>231739.3194432483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8348.4</v>
      </c>
      <c r="E50" s="12">
        <f>D50/G2</f>
        <v>1</v>
      </c>
      <c r="F50" s="11">
        <f>I50/D50</f>
        <v>28.200000000000003</v>
      </c>
      <c r="G50" s="10"/>
      <c r="H50" s="9">
        <f>H48+H19</f>
        <v>229491.89</v>
      </c>
      <c r="I50" s="9">
        <f>I48+I19</f>
        <v>235424.88</v>
      </c>
      <c r="J50" s="106">
        <f>D50-G2</f>
        <v>0</v>
      </c>
      <c r="K50" s="8"/>
    </row>
    <row r="51" spans="1:11" ht="23.25" x14ac:dyDescent="0.35">
      <c r="A51" s="174" t="s">
        <v>980</v>
      </c>
      <c r="B51" s="169"/>
      <c r="C51" s="170"/>
      <c r="G51" s="7"/>
      <c r="H51" s="6"/>
      <c r="I51" s="6">
        <f>+I50/D50</f>
        <v>28.200000000000003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975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978</v>
      </c>
      <c r="D2" s="96" t="s">
        <v>3</v>
      </c>
      <c r="E2" s="95" t="s">
        <v>71</v>
      </c>
      <c r="F2" s="94" t="s">
        <v>5</v>
      </c>
      <c r="G2" s="116">
        <v>6304.4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62</v>
      </c>
      <c r="F3" s="88" t="s">
        <v>8</v>
      </c>
      <c r="G3" s="120">
        <v>28.2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101.68387096774192</v>
      </c>
      <c r="F4" s="81" t="s">
        <v>12</v>
      </c>
      <c r="G4" s="80">
        <f>G2*G3</f>
        <v>177784.08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-3.184651017389406E-4</v>
      </c>
      <c r="F6" s="69" t="s">
        <v>16</v>
      </c>
      <c r="G6" s="68">
        <f>(I50-I19)/(D50-(SUM(D42:D44)+D19))</f>
        <v>33.359537330903578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28.2</v>
      </c>
      <c r="D10" s="30"/>
      <c r="E10" s="29">
        <f t="shared" ref="E10:E19" si="1">D10/$D$19</f>
        <v>0</v>
      </c>
      <c r="F10" s="28">
        <f t="shared" ref="F10:F18" si="2">C10-(C10*$E$6)</f>
        <v>28.208980715869039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>
        <f t="shared" si="1"/>
        <v>0</v>
      </c>
      <c r="F11" s="28">
        <f t="shared" si="2"/>
        <v>29.409362873991125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26.8</v>
      </c>
      <c r="D12" s="30"/>
      <c r="E12" s="29">
        <f t="shared" si="1"/>
        <v>0</v>
      </c>
      <c r="F12" s="28">
        <f t="shared" si="2"/>
        <v>26.808534864726603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>
        <f t="shared" si="1"/>
        <v>0</v>
      </c>
      <c r="F13" s="28">
        <f t="shared" si="2"/>
        <v>29.409362873991125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32.799999999999997</v>
      </c>
      <c r="D14" s="30"/>
      <c r="E14" s="29">
        <f t="shared" si="1"/>
        <v>0</v>
      </c>
      <c r="F14" s="28">
        <f t="shared" si="2"/>
        <v>32.810445655337034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>
        <f>26+250</f>
        <v>276</v>
      </c>
      <c r="E15" s="29">
        <f t="shared" si="1"/>
        <v>0.95833333333333337</v>
      </c>
      <c r="F15" s="28">
        <f t="shared" si="2"/>
        <v>27.108630404257127</v>
      </c>
      <c r="G15" s="27" t="str">
        <f t="shared" si="3"/>
        <v>+</v>
      </c>
      <c r="H15" s="34">
        <f t="shared" si="4"/>
        <v>7479.6</v>
      </c>
      <c r="I15" s="34">
        <f t="shared" si="5"/>
        <v>7481.9819915749667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>
        <v>12</v>
      </c>
      <c r="E16" s="29">
        <f t="shared" si="1"/>
        <v>4.1666666666666664E-2</v>
      </c>
      <c r="F16" s="28">
        <f t="shared" si="2"/>
        <v>37.111815055274519</v>
      </c>
      <c r="G16" s="27" t="str">
        <f t="shared" si="3"/>
        <v>+</v>
      </c>
      <c r="H16" s="34">
        <f t="shared" si="4"/>
        <v>445.20000000000005</v>
      </c>
      <c r="I16" s="34">
        <f t="shared" si="5"/>
        <v>445.34178066329423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54.5</v>
      </c>
      <c r="D17" s="30"/>
      <c r="E17" s="29">
        <f t="shared" si="1"/>
        <v>0</v>
      </c>
      <c r="F17" s="28">
        <f t="shared" si="2"/>
        <v>54.517356348044771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47.8</v>
      </c>
      <c r="D18" s="30"/>
      <c r="E18" s="29">
        <f t="shared" si="1"/>
        <v>0</v>
      </c>
      <c r="F18" s="28">
        <f t="shared" si="2"/>
        <v>47.815222631863115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27.516666666666666</v>
      </c>
      <c r="D19" s="49">
        <f>SUM(D10:D18)</f>
        <v>288</v>
      </c>
      <c r="E19" s="48">
        <f t="shared" si="1"/>
        <v>1</v>
      </c>
      <c r="F19" s="47">
        <f>I19/D19</f>
        <v>27.525429764716183</v>
      </c>
      <c r="G19" s="46">
        <f>F19/C19-1</f>
        <v>3.184651017389406E-4</v>
      </c>
      <c r="H19" s="9">
        <f>SUM(H10:H18)</f>
        <v>7924.8</v>
      </c>
      <c r="I19" s="9">
        <f>SUM(I10:I18)</f>
        <v>7927.323772238261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70.900000000000006</v>
      </c>
      <c r="D21" s="30">
        <v>71.400000000000006</v>
      </c>
      <c r="E21" s="29">
        <f>D21/$D$48</f>
        <v>1.1867561997207633E-2</v>
      </c>
      <c r="F21" s="28">
        <f>C21-(C21*$E$6)</f>
        <v>70.922579175713295</v>
      </c>
      <c r="G21" s="27" t="str">
        <f>IF(C21&gt;=F21,"-","+")</f>
        <v>+</v>
      </c>
      <c r="H21" s="26">
        <f>C21*D21</f>
        <v>5062.2600000000011</v>
      </c>
      <c r="I21" s="26">
        <f>F21*D21</f>
        <v>5063.8721531459296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47.6</v>
      </c>
      <c r="D22" s="30">
        <v>183.9</v>
      </c>
      <c r="E22" s="29">
        <f>D22/$D$48</f>
        <v>3.0566451698690246E-2</v>
      </c>
      <c r="F22" s="28">
        <f>C22-(C22*$E$6)</f>
        <v>47.615158938842775</v>
      </c>
      <c r="G22" s="27" t="str">
        <f>IF(C22&gt;=F22,"-","+")</f>
        <v>+</v>
      </c>
      <c r="H22" s="26">
        <f>C22*D22</f>
        <v>8753.6400000000012</v>
      </c>
      <c r="I22" s="26">
        <f>F22*D22</f>
        <v>8756.4277288531866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43.4</v>
      </c>
      <c r="D23" s="30">
        <v>146.30000000000001</v>
      </c>
      <c r="E23" s="29">
        <f>D23/$D$48</f>
        <v>2.4316867229572502E-2</v>
      </c>
      <c r="F23" s="28">
        <f>C23-(C23*$E$6)</f>
        <v>43.413821385415467</v>
      </c>
      <c r="G23" s="27" t="str">
        <f>IF(C23&gt;=F23,"-","+")</f>
        <v>+</v>
      </c>
      <c r="H23" s="26">
        <f>C23*D23</f>
        <v>6349.42</v>
      </c>
      <c r="I23" s="26">
        <f>F23*D23</f>
        <v>6351.4420686862832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50.212450199203182</v>
      </c>
      <c r="D24" s="22">
        <f>SUM(D21:D23)</f>
        <v>401.6</v>
      </c>
      <c r="E24" s="21">
        <f>D24/$D$48</f>
        <v>6.6750880925470379E-2</v>
      </c>
      <c r="F24" s="20">
        <f>I24/D24</f>
        <v>50.228441112264434</v>
      </c>
      <c r="G24" s="19">
        <f>F24/C24-1</f>
        <v>3.184651017389406E-4</v>
      </c>
      <c r="H24" s="18">
        <f>SUM(H21:H23)</f>
        <v>20165.32</v>
      </c>
      <c r="I24" s="18">
        <f>SUM(I21:I23)</f>
        <v>20171.741950685398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37.799999999999997</v>
      </c>
      <c r="D26" s="30">
        <f>117.8+1247.8</f>
        <v>1365.6</v>
      </c>
      <c r="E26" s="29">
        <f t="shared" ref="E26:E32" si="7">D26/$D$48</f>
        <v>0.2269795891230636</v>
      </c>
      <c r="F26" s="28">
        <f t="shared" ref="F26:F31" si="8">C26-(C26*$E$6)</f>
        <v>37.81203798084573</v>
      </c>
      <c r="G26" s="27" t="str">
        <f t="shared" ref="G26:G31" si="9">IF(C26&gt;=F26,"-","+")</f>
        <v>+</v>
      </c>
      <c r="H26" s="26">
        <f t="shared" ref="H26:H31" si="10">C26*D26</f>
        <v>51619.679999999993</v>
      </c>
      <c r="I26" s="26">
        <f t="shared" ref="I26:I31" si="11">F26*D26</f>
        <v>51636.119066642925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33.700000000000003</v>
      </c>
      <c r="D27" s="30">
        <v>1028.5</v>
      </c>
      <c r="E27" s="29">
        <f t="shared" si="7"/>
        <v>0.17094940495977659</v>
      </c>
      <c r="F27" s="28">
        <f t="shared" si="8"/>
        <v>33.710732273928606</v>
      </c>
      <c r="G27" s="27" t="str">
        <f t="shared" si="9"/>
        <v>+</v>
      </c>
      <c r="H27" s="26">
        <f t="shared" si="10"/>
        <v>34660.450000000004</v>
      </c>
      <c r="I27" s="26">
        <f t="shared" si="11"/>
        <v>34671.488143735573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33.700000000000003</v>
      </c>
      <c r="D28" s="30">
        <v>464.4</v>
      </c>
      <c r="E28" s="29">
        <f t="shared" si="7"/>
        <v>7.7189016687720227E-2</v>
      </c>
      <c r="F28" s="28">
        <f t="shared" si="8"/>
        <v>33.710732273928606</v>
      </c>
      <c r="G28" s="27" t="str">
        <f t="shared" si="9"/>
        <v>+</v>
      </c>
      <c r="H28" s="26">
        <f t="shared" si="10"/>
        <v>15650.28</v>
      </c>
      <c r="I28" s="26">
        <f t="shared" si="11"/>
        <v>15655.264068012444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358.4</v>
      </c>
      <c r="E29" s="29">
        <f t="shared" si="7"/>
        <v>5.9570507280101048E-2</v>
      </c>
      <c r="F29" s="28">
        <f t="shared" si="8"/>
        <v>32.610381962316694</v>
      </c>
      <c r="G29" s="27" t="str">
        <f t="shared" si="9"/>
        <v>+</v>
      </c>
      <c r="H29" s="26">
        <f t="shared" si="10"/>
        <v>11683.84</v>
      </c>
      <c r="I29" s="26">
        <f t="shared" si="11"/>
        <v>11687.560895294302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446.8</v>
      </c>
      <c r="E30" s="29">
        <f t="shared" si="7"/>
        <v>7.4263679276643832E-2</v>
      </c>
      <c r="F30" s="28">
        <f t="shared" si="8"/>
        <v>32.610381962316694</v>
      </c>
      <c r="G30" s="27" t="str">
        <f t="shared" si="9"/>
        <v>+</v>
      </c>
      <c r="H30" s="26">
        <f t="shared" si="10"/>
        <v>14565.68</v>
      </c>
      <c r="I30" s="26">
        <f t="shared" si="11"/>
        <v>14570.3186607631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33.1</v>
      </c>
      <c r="D31" s="30">
        <v>74.099999999999994</v>
      </c>
      <c r="E31" s="29">
        <f t="shared" si="7"/>
        <v>1.2316335350043213E-2</v>
      </c>
      <c r="F31" s="28">
        <f t="shared" si="8"/>
        <v>33.110541194867558</v>
      </c>
      <c r="G31" s="27" t="str">
        <f t="shared" si="9"/>
        <v>+</v>
      </c>
      <c r="H31" s="26">
        <f t="shared" si="10"/>
        <v>2452.71</v>
      </c>
      <c r="I31" s="26">
        <f t="shared" si="11"/>
        <v>2453.4911025396859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34.949071646423029</v>
      </c>
      <c r="D32" s="22">
        <f>SUM(D26:D31)</f>
        <v>3737.8</v>
      </c>
      <c r="E32" s="21">
        <f t="shared" si="7"/>
        <v>0.62126853267734861</v>
      </c>
      <c r="F32" s="20">
        <f>I32/D32</f>
        <v>34.960201706080589</v>
      </c>
      <c r="G32" s="19">
        <f>F32/C32-1</f>
        <v>3.184651017389406E-4</v>
      </c>
      <c r="H32" s="18">
        <f>SUM(H26:H31)</f>
        <v>130632.64</v>
      </c>
      <c r="I32" s="18">
        <f>SUM(I26:I31)</f>
        <v>130674.24193698804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f>292.1+598.7</f>
        <v>890.80000000000007</v>
      </c>
      <c r="E34" s="29">
        <f t="shared" ref="E34:E40" si="13">D34/$D$48</f>
        <v>0.14806196396516189</v>
      </c>
      <c r="F34" s="28">
        <f t="shared" ref="F34:F39" si="14">C34-(C34*$E$6)</f>
        <v>19.906337455524604</v>
      </c>
      <c r="G34" s="27" t="str">
        <f t="shared" ref="G34:G39" si="15">IF(C34&gt;=F34,"-","+")</f>
        <v>+</v>
      </c>
      <c r="H34" s="26">
        <f t="shared" ref="H34:H39" si="16">C34*D34</f>
        <v>17726.920000000002</v>
      </c>
      <c r="I34" s="26">
        <f t="shared" ref="I34:I39" si="17">F34*D34</f>
        <v>17732.56540538132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>
        <v>53.5</v>
      </c>
      <c r="E35" s="29">
        <f t="shared" si="13"/>
        <v>8.8923608802606198E-3</v>
      </c>
      <c r="F35" s="28">
        <f t="shared" si="14"/>
        <v>15.304872516056607</v>
      </c>
      <c r="G35" s="27" t="str">
        <f t="shared" si="15"/>
        <v>+</v>
      </c>
      <c r="H35" s="26">
        <f t="shared" si="16"/>
        <v>818.55000000000007</v>
      </c>
      <c r="I35" s="26">
        <f t="shared" si="17"/>
        <v>818.81067960902851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12.30391712075139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32.610381962316694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32.610381962316694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33.700000000000003</v>
      </c>
      <c r="D39" s="30"/>
      <c r="E39" s="29">
        <f t="shared" si="13"/>
        <v>0</v>
      </c>
      <c r="F39" s="28">
        <f t="shared" si="14"/>
        <v>33.710732273928606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19.639383670443713</v>
      </c>
      <c r="D40" s="22">
        <f>SUM(D34:D39)</f>
        <v>944.30000000000007</v>
      </c>
      <c r="E40" s="113">
        <f t="shared" si="13"/>
        <v>0.15695432484542252</v>
      </c>
      <c r="F40" s="20">
        <f>I40/D40</f>
        <v>19.645638128762414</v>
      </c>
      <c r="G40" s="19">
        <f>F40/C40-1</f>
        <v>3.1846510173916265E-4</v>
      </c>
      <c r="H40" s="18">
        <f>SUM(H34:H39)</f>
        <v>18545.47</v>
      </c>
      <c r="I40" s="18">
        <f>SUM(I34:I39)</f>
        <v>18551.376084990348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50.2+374.8+455</f>
        <v>880</v>
      </c>
      <c r="E42" s="107">
        <f>D42/$D$48</f>
        <v>0.14626687055381954</v>
      </c>
      <c r="F42" s="28">
        <f>C42-(C42*$E$6)</f>
        <v>0.50015923255086947</v>
      </c>
      <c r="G42" s="27" t="str">
        <f>IF(C42&gt;=F42,"-","+")</f>
        <v>+</v>
      </c>
      <c r="H42" s="26">
        <f>C42*D42</f>
        <v>440</v>
      </c>
      <c r="I42" s="26">
        <f>F42*D42</f>
        <v>440.14012464476514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38.5</v>
      </c>
      <c r="E43" s="107">
        <f>D43/$D$48</f>
        <v>6.399175586729605E-3</v>
      </c>
      <c r="F43" s="28">
        <f>C43-(C43*$E$6)</f>
        <v>0.50015923255086947</v>
      </c>
      <c r="G43" s="27" t="str">
        <f>IF(C43&gt;=F43,"-","+")</f>
        <v>+</v>
      </c>
      <c r="H43" s="26">
        <f>C43*D43</f>
        <v>19.25</v>
      </c>
      <c r="I43" s="26">
        <f>F43*D43</f>
        <v>19.256130453208474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6.2</v>
      </c>
      <c r="E44" s="107">
        <f>D44/$D$48</f>
        <v>1.0305165879928196E-3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8</v>
      </c>
      <c r="E45" s="107">
        <f>D45/$D$48</f>
        <v>1.3296988232165414E-3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0.49238769164790391</v>
      </c>
      <c r="D46" s="22">
        <f>SUM(D41:D45)</f>
        <v>932.7</v>
      </c>
      <c r="E46" s="113">
        <f>D46/$D$48</f>
        <v>0.15502626155175853</v>
      </c>
      <c r="F46" s="20">
        <f>I46/D46</f>
        <v>0.49254449994421956</v>
      </c>
      <c r="G46" s="19">
        <f>F46/C46-1</f>
        <v>3.184651017389406E-4</v>
      </c>
      <c r="H46" s="18">
        <f>SUM(H41:H44)</f>
        <v>459.25</v>
      </c>
      <c r="I46" s="18">
        <f>SUM(I41:I44)</f>
        <v>459.39625509797361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105.29329320771782</v>
      </c>
      <c r="D48" s="13">
        <f>D24+D32+D40+D46</f>
        <v>6016.4000000000005</v>
      </c>
      <c r="E48" s="12">
        <f>SUM(E20:E46)/2</f>
        <v>1</v>
      </c>
      <c r="F48" s="11">
        <f>I48/D48</f>
        <v>28.232291108929214</v>
      </c>
      <c r="G48" s="10"/>
      <c r="H48" s="9">
        <f>SUM(H20:H46)/2</f>
        <v>169802.68</v>
      </c>
      <c r="I48" s="9">
        <f>SUM(I20:I46)/2</f>
        <v>169856.75622776174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6304.4</v>
      </c>
      <c r="E50" s="12">
        <f>D50/G2</f>
        <v>1</v>
      </c>
      <c r="F50" s="11">
        <f>I50/D50</f>
        <v>28.2</v>
      </c>
      <c r="G50" s="10"/>
      <c r="H50" s="9">
        <f>H48+H19</f>
        <v>177727.47999999998</v>
      </c>
      <c r="I50" s="9">
        <f>I48+I19</f>
        <v>177784.08</v>
      </c>
      <c r="J50" s="106">
        <f>D50-G2</f>
        <v>0</v>
      </c>
      <c r="K50" s="8"/>
    </row>
    <row r="51" spans="1:11" ht="23.25" x14ac:dyDescent="0.35">
      <c r="A51" s="174" t="s">
        <v>981</v>
      </c>
      <c r="B51" s="169"/>
      <c r="C51" s="170"/>
      <c r="G51" s="7"/>
      <c r="H51" s="6"/>
      <c r="I51" s="6">
        <f>+I50/D50</f>
        <v>28.2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legacyDrawing r:id="rId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>
    <tabColor rgb="FF92D050"/>
  </sheetPr>
  <dimension ref="A1:K56"/>
  <sheetViews>
    <sheetView workbookViewId="0">
      <selection activeCell="G3" sqref="G3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975</v>
      </c>
      <c r="D1" s="100" t="s">
        <v>1</v>
      </c>
      <c r="E1" s="168" t="s">
        <v>553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978</v>
      </c>
      <c r="D2" s="96" t="s">
        <v>3</v>
      </c>
      <c r="E2" s="95" t="s">
        <v>112</v>
      </c>
      <c r="F2" s="94" t="s">
        <v>5</v>
      </c>
      <c r="G2" s="93">
        <v>7348.5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187</v>
      </c>
      <c r="D3" s="90" t="s">
        <v>7</v>
      </c>
      <c r="E3" s="89">
        <v>112</v>
      </c>
      <c r="F3" s="88" t="s">
        <v>8</v>
      </c>
      <c r="G3" s="87">
        <v>24.31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65.611607142857139</v>
      </c>
      <c r="F4" s="81" t="s">
        <v>12</v>
      </c>
      <c r="G4" s="80">
        <f>G2*G3</f>
        <v>178642.035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-8.9549567506079342E-2</v>
      </c>
      <c r="F6" s="69" t="s">
        <v>16</v>
      </c>
      <c r="G6" s="68">
        <f>(I50-I19)/(D50-(SUM(D42:D44)+D19))</f>
        <v>30.976597017513445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24.3</v>
      </c>
      <c r="D10" s="30"/>
      <c r="E10" s="29" t="e">
        <f t="shared" ref="E10:E19" si="1">D10/$D$19</f>
        <v>#DIV/0!</v>
      </c>
      <c r="F10" s="28">
        <f t="shared" ref="F10:F18" si="2">C10-(C10*$E$6)</f>
        <v>26.476054490397729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25.3</v>
      </c>
      <c r="D11" s="30"/>
      <c r="E11" s="29" t="e">
        <f t="shared" si="1"/>
        <v>#DIV/0!</v>
      </c>
      <c r="F11" s="28">
        <f t="shared" si="2"/>
        <v>27.565604057903808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23.1</v>
      </c>
      <c r="D12" s="30"/>
      <c r="E12" s="29" t="e">
        <f t="shared" si="1"/>
        <v>#DIV/0!</v>
      </c>
      <c r="F12" s="28">
        <f t="shared" si="2"/>
        <v>25.168595009390433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25.3</v>
      </c>
      <c r="D13" s="30"/>
      <c r="E13" s="29" t="e">
        <f t="shared" si="1"/>
        <v>#DIV/0!</v>
      </c>
      <c r="F13" s="28">
        <f t="shared" si="2"/>
        <v>27.565604057903808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28.3</v>
      </c>
      <c r="D14" s="30"/>
      <c r="E14" s="29" t="e">
        <f t="shared" si="1"/>
        <v>#DIV/0!</v>
      </c>
      <c r="F14" s="28">
        <f t="shared" si="2"/>
        <v>30.834252760422046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23.3</v>
      </c>
      <c r="D15" s="30"/>
      <c r="E15" s="29" t="e">
        <f t="shared" si="1"/>
        <v>#DIV/0!</v>
      </c>
      <c r="F15" s="28">
        <f t="shared" si="2"/>
        <v>25.38650492289165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31.9</v>
      </c>
      <c r="D16" s="30"/>
      <c r="E16" s="29" t="e">
        <f t="shared" si="1"/>
        <v>#DIV/0!</v>
      </c>
      <c r="F16" s="28">
        <f t="shared" si="2"/>
        <v>34.756631203443931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</v>
      </c>
      <c r="D17" s="30"/>
      <c r="E17" s="29" t="e">
        <f t="shared" si="1"/>
        <v>#DIV/0!</v>
      </c>
      <c r="F17" s="28">
        <f t="shared" si="2"/>
        <v>51.208829672785726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41.2</v>
      </c>
      <c r="D18" s="30"/>
      <c r="E18" s="29" t="e">
        <f t="shared" si="1"/>
        <v>#DIV/0!</v>
      </c>
      <c r="F18" s="28">
        <f t="shared" si="2"/>
        <v>44.889442181250473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61.1</v>
      </c>
      <c r="D21" s="30">
        <v>101.1</v>
      </c>
      <c r="E21" s="29">
        <f>D21/$D$48</f>
        <v>1.3757909777505612E-2</v>
      </c>
      <c r="F21" s="28">
        <f>C21-(C21*$E$6)</f>
        <v>66.571478574621452</v>
      </c>
      <c r="G21" s="27" t="str">
        <f>IF(C21&gt;=F21,"-","+")</f>
        <v>+</v>
      </c>
      <c r="H21" s="26">
        <f>C21*D21</f>
        <v>6177.21</v>
      </c>
      <c r="I21" s="26">
        <f>F21*D21</f>
        <v>6730.3764838942288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41.1</v>
      </c>
      <c r="D22" s="30">
        <v>189</v>
      </c>
      <c r="E22" s="29">
        <f>D22/$D$48</f>
        <v>2.5719534598897736E-2</v>
      </c>
      <c r="F22" s="28">
        <f>C22-(C22*$E$6)</f>
        <v>44.780487224499865</v>
      </c>
      <c r="G22" s="27" t="str">
        <f>IF(C22&gt;=F22,"-","+")</f>
        <v>+</v>
      </c>
      <c r="H22" s="26">
        <f>C22*D22</f>
        <v>7767.9000000000005</v>
      </c>
      <c r="I22" s="26">
        <f>F22*D22</f>
        <v>8463.5120854304751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37.4</v>
      </c>
      <c r="D23" s="30">
        <v>156</v>
      </c>
      <c r="E23" s="29">
        <f>D23/$D$48</f>
        <v>2.1228822208614002E-2</v>
      </c>
      <c r="F23" s="28">
        <f>C23-(C23*$E$6)</f>
        <v>40.749153824727365</v>
      </c>
      <c r="G23" s="27" t="str">
        <f>IF(C23&gt;=F23,"-","+")</f>
        <v>+</v>
      </c>
      <c r="H23" s="26">
        <f>C23*D23</f>
        <v>5834.4</v>
      </c>
      <c r="I23" s="26">
        <f>F23*D23</f>
        <v>6356.8679966574691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44.338735709482179</v>
      </c>
      <c r="D24" s="22">
        <f>SUM(D21:D23)</f>
        <v>446.1</v>
      </c>
      <c r="E24" s="21">
        <f>D24/$D$48</f>
        <v>6.0706266585017356E-2</v>
      </c>
      <c r="F24" s="20">
        <f>I24/D24</f>
        <v>48.30925031603266</v>
      </c>
      <c r="G24" s="19">
        <f>F24/C24-1</f>
        <v>8.9549567506079342E-2</v>
      </c>
      <c r="H24" s="18">
        <f>SUM(H21:H23)</f>
        <v>19779.510000000002</v>
      </c>
      <c r="I24" s="18">
        <f>SUM(I21:I23)</f>
        <v>21550.75656598217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32.6</v>
      </c>
      <c r="D26" s="30">
        <f>340+52.6+950</f>
        <v>1342.6</v>
      </c>
      <c r="E26" s="29">
        <f t="shared" ref="E26:E32" si="7">D26/$D$48</f>
        <v>0.18270395318772537</v>
      </c>
      <c r="F26" s="28">
        <f t="shared" ref="F26:F31" si="8">C26-(C26*$E$6)</f>
        <v>35.519315900698189</v>
      </c>
      <c r="G26" s="27" t="str">
        <f t="shared" ref="G26:G31" si="9">IF(C26&gt;=F26,"-","+")</f>
        <v>+</v>
      </c>
      <c r="H26" s="26">
        <f t="shared" ref="H26:H31" si="10">C26*D26</f>
        <v>43768.76</v>
      </c>
      <c r="I26" s="26">
        <f t="shared" ref="I26:I31" si="11">F26*D26</f>
        <v>47688.233528277386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29.1</v>
      </c>
      <c r="D27" s="30">
        <v>1063.5</v>
      </c>
      <c r="E27" s="29">
        <f t="shared" si="7"/>
        <v>0.14472341294141661</v>
      </c>
      <c r="F27" s="28">
        <f t="shared" si="8"/>
        <v>31.705892414426909</v>
      </c>
      <c r="G27" s="27" t="str">
        <f t="shared" si="9"/>
        <v>+</v>
      </c>
      <c r="H27" s="26">
        <f t="shared" si="10"/>
        <v>30947.850000000002</v>
      </c>
      <c r="I27" s="26">
        <f t="shared" si="11"/>
        <v>33719.216582743014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29.1</v>
      </c>
      <c r="D28" s="30">
        <v>584.9</v>
      </c>
      <c r="E28" s="29">
        <f t="shared" si="7"/>
        <v>7.9594475062938014E-2</v>
      </c>
      <c r="F28" s="28">
        <f t="shared" si="8"/>
        <v>31.705892414426909</v>
      </c>
      <c r="G28" s="27" t="str">
        <f t="shared" si="9"/>
        <v>+</v>
      </c>
      <c r="H28" s="26">
        <f t="shared" si="10"/>
        <v>17020.59</v>
      </c>
      <c r="I28" s="26">
        <f t="shared" si="11"/>
        <v>18544.776473198297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28.1</v>
      </c>
      <c r="D29" s="30">
        <v>571.70000000000005</v>
      </c>
      <c r="E29" s="29">
        <f t="shared" si="7"/>
        <v>7.7798190106824525E-2</v>
      </c>
      <c r="F29" s="28">
        <f t="shared" si="8"/>
        <v>30.61634284692083</v>
      </c>
      <c r="G29" s="27" t="str">
        <f t="shared" si="9"/>
        <v>+</v>
      </c>
      <c r="H29" s="26">
        <f t="shared" si="10"/>
        <v>16064.770000000002</v>
      </c>
      <c r="I29" s="26">
        <f t="shared" si="11"/>
        <v>17503.363205584639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28.1</v>
      </c>
      <c r="D30" s="30">
        <v>411.7</v>
      </c>
      <c r="E30" s="29">
        <f t="shared" si="7"/>
        <v>5.6025039123630674E-2</v>
      </c>
      <c r="F30" s="28">
        <f t="shared" si="8"/>
        <v>30.61634284692083</v>
      </c>
      <c r="G30" s="27" t="str">
        <f t="shared" si="9"/>
        <v>+</v>
      </c>
      <c r="H30" s="26">
        <f t="shared" si="10"/>
        <v>11568.77</v>
      </c>
      <c r="I30" s="26">
        <f t="shared" si="11"/>
        <v>12604.748350077305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28.6</v>
      </c>
      <c r="D31" s="30">
        <v>143</v>
      </c>
      <c r="E31" s="29">
        <f t="shared" si="7"/>
        <v>1.9459753691229504E-2</v>
      </c>
      <c r="F31" s="28">
        <f t="shared" si="8"/>
        <v>31.161117630673871</v>
      </c>
      <c r="G31" s="27" t="str">
        <f t="shared" si="9"/>
        <v>+</v>
      </c>
      <c r="H31" s="26">
        <f t="shared" si="10"/>
        <v>4089.8</v>
      </c>
      <c r="I31" s="26">
        <f t="shared" si="11"/>
        <v>4456.039821186364</v>
      </c>
      <c r="J31" s="25"/>
      <c r="K31" s="25"/>
    </row>
    <row r="32" spans="1:11" x14ac:dyDescent="0.25">
      <c r="A32" s="24" t="s">
        <v>34</v>
      </c>
      <c r="B32" s="23"/>
      <c r="C32" s="20">
        <f>H32/D32</f>
        <v>29.985073104386267</v>
      </c>
      <c r="D32" s="22">
        <f>SUM(D26:D31)</f>
        <v>4117.3999999999996</v>
      </c>
      <c r="E32" s="21">
        <f t="shared" si="7"/>
        <v>0.5603048241137647</v>
      </c>
      <c r="F32" s="20">
        <f>I32/D32</f>
        <v>32.670223432522228</v>
      </c>
      <c r="G32" s="19">
        <f>F32/C32-1</f>
        <v>8.9549567506079342E-2</v>
      </c>
      <c r="H32" s="18">
        <f>SUM(H26:H31)</f>
        <v>123460.54000000001</v>
      </c>
      <c r="I32" s="18">
        <f>SUM(I26:I31)</f>
        <v>134516.37796106702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17.2</v>
      </c>
      <c r="D34" s="30">
        <f>620.7+455.6</f>
        <v>1076.3000000000002</v>
      </c>
      <c r="E34" s="29">
        <f t="shared" ref="E34:E40" si="13">D34/$D$48</f>
        <v>0.14646526502007215</v>
      </c>
      <c r="F34" s="28">
        <f t="shared" ref="F34:F39" si="14">C34-(C34*$E$6)</f>
        <v>18.740252561104565</v>
      </c>
      <c r="G34" s="27" t="str">
        <f t="shared" ref="G34:G39" si="15">IF(C34&gt;=F34,"-","+")</f>
        <v>+</v>
      </c>
      <c r="H34" s="26">
        <f t="shared" ref="H34:H39" si="16">C34*D34</f>
        <v>18512.36</v>
      </c>
      <c r="I34" s="26">
        <f t="shared" ref="I34:I39" si="17">F34*D34</f>
        <v>20170.133831516847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13.2</v>
      </c>
      <c r="D35" s="30">
        <v>119.5</v>
      </c>
      <c r="E35" s="29">
        <f t="shared" si="13"/>
        <v>1.6261822140572906E-2</v>
      </c>
      <c r="F35" s="28">
        <f t="shared" si="14"/>
        <v>14.382054291080246</v>
      </c>
      <c r="G35" s="27" t="str">
        <f t="shared" si="15"/>
        <v>+</v>
      </c>
      <c r="H35" s="26">
        <f t="shared" si="16"/>
        <v>1577.3999999999999</v>
      </c>
      <c r="I35" s="26">
        <f t="shared" si="17"/>
        <v>1718.6554877840895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10.6</v>
      </c>
      <c r="D36" s="30"/>
      <c r="E36" s="29">
        <f t="shared" si="13"/>
        <v>0</v>
      </c>
      <c r="F36" s="28">
        <f t="shared" si="14"/>
        <v>11.549225415564441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28.1</v>
      </c>
      <c r="D37" s="30"/>
      <c r="E37" s="29">
        <f t="shared" si="13"/>
        <v>0</v>
      </c>
      <c r="F37" s="28">
        <f t="shared" si="14"/>
        <v>30.61634284692083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28.1</v>
      </c>
      <c r="D38" s="30"/>
      <c r="E38" s="29">
        <f t="shared" si="13"/>
        <v>0</v>
      </c>
      <c r="F38" s="28">
        <f t="shared" si="14"/>
        <v>30.61634284692083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29.1</v>
      </c>
      <c r="D39" s="30"/>
      <c r="E39" s="29">
        <f t="shared" si="13"/>
        <v>0</v>
      </c>
      <c r="F39" s="28">
        <f t="shared" si="14"/>
        <v>31.705892414426909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16.80026760327814</v>
      </c>
      <c r="D40" s="22">
        <f>SUM(D34:D39)</f>
        <v>1195.8000000000002</v>
      </c>
      <c r="E40" s="113">
        <f t="shared" si="13"/>
        <v>0.16272708716064505</v>
      </c>
      <c r="F40" s="20">
        <f>I40/D40</f>
        <v>18.304724301138094</v>
      </c>
      <c r="G40" s="19">
        <f>F40/C40-1</f>
        <v>8.9549567506079342E-2</v>
      </c>
      <c r="H40" s="18">
        <f>SUM(H34:H39)</f>
        <v>20089.760000000002</v>
      </c>
      <c r="I40" s="18">
        <f>SUM(I34:I39)</f>
        <v>21888.789319300937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720+80.8+741.7</f>
        <v>1542.5</v>
      </c>
      <c r="E42" s="107">
        <f>D42/$D$48</f>
        <v>0.20990678369735319</v>
      </c>
      <c r="F42" s="28">
        <f>C42-(C42*$E$6)</f>
        <v>0.43581982700243177</v>
      </c>
      <c r="G42" s="27" t="str">
        <f>IF(C42&gt;=F42,"-","+")</f>
        <v>+</v>
      </c>
      <c r="H42" s="26">
        <f>C42*D42</f>
        <v>617</v>
      </c>
      <c r="I42" s="26">
        <f>F42*D42</f>
        <v>672.25208315125099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31.8</v>
      </c>
      <c r="E43" s="107">
        <f>D43/$D$48</f>
        <v>4.3274137579097779E-3</v>
      </c>
      <c r="F43" s="28">
        <f>C43-(C43*$E$6)</f>
        <v>0.43581982700243177</v>
      </c>
      <c r="G43" s="27" t="str">
        <f>IF(C43&gt;=F43,"-","+")</f>
        <v>+</v>
      </c>
      <c r="H43" s="26">
        <f>C43*D43</f>
        <v>12.72</v>
      </c>
      <c r="I43" s="26">
        <f>F43*D43</f>
        <v>13.859070498677331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7.2</v>
      </c>
      <c r="E44" s="107">
        <f>D44/$D$48</f>
        <v>9.7979179424372313E-4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7.7</v>
      </c>
      <c r="E45" s="107">
        <f>D45/$D$48</f>
        <v>1.047832891066204E-3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0.39624968537628996</v>
      </c>
      <c r="D46" s="22">
        <f>SUM(D41:D45)</f>
        <v>1589.2</v>
      </c>
      <c r="E46" s="113">
        <f>D46/$D$48</f>
        <v>0.21626182214057291</v>
      </c>
      <c r="F46" s="20">
        <f>I46/D46</f>
        <v>0.4317336733261567</v>
      </c>
      <c r="G46" s="19">
        <f>F46/C46-1</f>
        <v>8.9549567506079342E-2</v>
      </c>
      <c r="H46" s="18">
        <f>SUM(H41:H44)</f>
        <v>629.72</v>
      </c>
      <c r="I46" s="18">
        <f>SUM(I41:I44)</f>
        <v>686.11115364992827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91.520326102522887</v>
      </c>
      <c r="D48" s="13">
        <f>D24+D32+D40+D46</f>
        <v>7348.5</v>
      </c>
      <c r="E48" s="12">
        <f>SUM(E20:E46)/2</f>
        <v>0.99999999999999989</v>
      </c>
      <c r="F48" s="11">
        <f>I48/D48</f>
        <v>24.310000000000006</v>
      </c>
      <c r="G48" s="10"/>
      <c r="H48" s="9">
        <f>SUM(H20:H46)/2</f>
        <v>163959.52999999997</v>
      </c>
      <c r="I48" s="9">
        <f>SUM(I20:I46)/2</f>
        <v>178642.03500000003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7348.5</v>
      </c>
      <c r="E50" s="12">
        <f>D50/G2</f>
        <v>1</v>
      </c>
      <c r="F50" s="11">
        <f>I50/D50</f>
        <v>24.310000000000006</v>
      </c>
      <c r="G50" s="10"/>
      <c r="H50" s="9">
        <f>H48+H19</f>
        <v>163959.52999999997</v>
      </c>
      <c r="I50" s="9">
        <f>I48+I19</f>
        <v>178642.03500000003</v>
      </c>
      <c r="J50" s="106">
        <f>D50-G2</f>
        <v>0</v>
      </c>
      <c r="K50" s="8"/>
    </row>
    <row r="51" spans="1:11" ht="23.25" x14ac:dyDescent="0.35">
      <c r="A51" s="174" t="s">
        <v>982</v>
      </c>
      <c r="B51" s="169"/>
      <c r="C51" s="170"/>
      <c r="G51" s="7"/>
      <c r="H51" s="6"/>
      <c r="I51" s="6">
        <f>+I50/D50</f>
        <v>24.310000000000006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>
    <tabColor rgb="FF92D050"/>
  </sheetPr>
  <dimension ref="A1:K56"/>
  <sheetViews>
    <sheetView workbookViewId="0">
      <selection activeCell="E2" sqref="E2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978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983</v>
      </c>
      <c r="D2" s="96" t="s">
        <v>3</v>
      </c>
      <c r="E2" s="95" t="s">
        <v>71</v>
      </c>
      <c r="F2" s="94" t="s">
        <v>5</v>
      </c>
      <c r="G2" s="116">
        <v>20334.5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260</v>
      </c>
      <c r="F3" s="88" t="s">
        <v>8</v>
      </c>
      <c r="G3" s="120">
        <v>28.2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78.20961538461539</v>
      </c>
      <c r="F4" s="81" t="s">
        <v>12</v>
      </c>
      <c r="G4" s="80">
        <f>G2*G3</f>
        <v>573432.9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-2.5547829801770838E-2</v>
      </c>
      <c r="F6" s="69" t="s">
        <v>16</v>
      </c>
      <c r="G6" s="68">
        <f>(I50-I19)/(D50-(SUM(D42:D44)+D19))</f>
        <v>34.051855048884725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28.2</v>
      </c>
      <c r="D10" s="30"/>
      <c r="E10" s="29">
        <f t="shared" ref="E10:E19" si="1">D10/$D$19</f>
        <v>0</v>
      </c>
      <c r="F10" s="28">
        <f t="shared" ref="F10:F18" si="2">C10-(C10*$E$6)</f>
        <v>28.920448800409936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>
        <f t="shared" si="1"/>
        <v>0</v>
      </c>
      <c r="F11" s="28">
        <f t="shared" si="2"/>
        <v>30.151106196172062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26.8</v>
      </c>
      <c r="D12" s="30">
        <v>782.1</v>
      </c>
      <c r="E12" s="29">
        <f t="shared" si="1"/>
        <v>0.94092877767083727</v>
      </c>
      <c r="F12" s="28">
        <f t="shared" si="2"/>
        <v>27.484681838687457</v>
      </c>
      <c r="G12" s="27" t="str">
        <f t="shared" si="3"/>
        <v>+</v>
      </c>
      <c r="H12" s="34">
        <f t="shared" si="4"/>
        <v>20960.280000000002</v>
      </c>
      <c r="I12" s="34">
        <f t="shared" si="5"/>
        <v>21495.76966603746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>
        <f t="shared" si="1"/>
        <v>0</v>
      </c>
      <c r="F13" s="28">
        <f t="shared" si="2"/>
        <v>30.151106196172062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32.799999999999997</v>
      </c>
      <c r="D14" s="30"/>
      <c r="E14" s="29">
        <f t="shared" si="1"/>
        <v>0</v>
      </c>
      <c r="F14" s="28">
        <f t="shared" si="2"/>
        <v>33.637968817498077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>
        <v>49.1</v>
      </c>
      <c r="E15" s="29">
        <f t="shared" si="1"/>
        <v>5.9071222329162655E-2</v>
      </c>
      <c r="F15" s="28">
        <f t="shared" si="2"/>
        <v>27.792346187627992</v>
      </c>
      <c r="G15" s="27" t="str">
        <f t="shared" si="3"/>
        <v>+</v>
      </c>
      <c r="H15" s="34">
        <f t="shared" si="4"/>
        <v>1330.6100000000001</v>
      </c>
      <c r="I15" s="34">
        <f t="shared" si="5"/>
        <v>1364.6041978125345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38.047824485645698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54.5</v>
      </c>
      <c r="D17" s="30"/>
      <c r="E17" s="29">
        <f t="shared" si="1"/>
        <v>0</v>
      </c>
      <c r="F17" s="28">
        <f t="shared" si="2"/>
        <v>55.89235672419651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47.8</v>
      </c>
      <c r="D18" s="30"/>
      <c r="E18" s="29">
        <f t="shared" si="1"/>
        <v>0</v>
      </c>
      <c r="F18" s="28">
        <f t="shared" si="2"/>
        <v>49.021186264524644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26.817721366698752</v>
      </c>
      <c r="D19" s="49">
        <f>SUM(D10:D18)</f>
        <v>831.2</v>
      </c>
      <c r="E19" s="48">
        <f t="shared" si="1"/>
        <v>1</v>
      </c>
      <c r="F19" s="47">
        <f>I19/D19</f>
        <v>27.502855947846481</v>
      </c>
      <c r="G19" s="46">
        <f>F19/C19-1</f>
        <v>2.5547829801770616E-2</v>
      </c>
      <c r="H19" s="9">
        <f>SUM(H10:H18)</f>
        <v>22290.890000000003</v>
      </c>
      <c r="I19" s="9">
        <f>SUM(I10:I18)</f>
        <v>22860.373863849996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70.900000000000006</v>
      </c>
      <c r="D21" s="30">
        <v>268.8</v>
      </c>
      <c r="E21" s="29">
        <f>D21/$D$48</f>
        <v>1.378217699945394E-2</v>
      </c>
      <c r="F21" s="28">
        <f>C21-(C21*$E$6)</f>
        <v>72.711341132945563</v>
      </c>
      <c r="G21" s="27" t="str">
        <f>IF(C21&gt;=F21,"-","+")</f>
        <v>+</v>
      </c>
      <c r="H21" s="26">
        <f>C21*D21</f>
        <v>19057.920000000002</v>
      </c>
      <c r="I21" s="26">
        <f>F21*D21</f>
        <v>19544.808496535767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47.6</v>
      </c>
      <c r="D22" s="30">
        <v>571</v>
      </c>
      <c r="E22" s="29">
        <f>D22/$D$48</f>
        <v>2.9276871527857885E-2</v>
      </c>
      <c r="F22" s="28">
        <f>C22-(C22*$E$6)</f>
        <v>48.816076698564295</v>
      </c>
      <c r="G22" s="27" t="str">
        <f>IF(C22&gt;=F22,"-","+")</f>
        <v>+</v>
      </c>
      <c r="H22" s="26">
        <f>C22*D22</f>
        <v>27179.600000000002</v>
      </c>
      <c r="I22" s="26">
        <f>F22*D22</f>
        <v>27873.979794880212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43.4</v>
      </c>
      <c r="D23" s="30">
        <v>526.4</v>
      </c>
      <c r="E23" s="29">
        <f>D23/$D$48</f>
        <v>2.6990096623930631E-2</v>
      </c>
      <c r="F23" s="28">
        <f>C23-(C23*$E$6)</f>
        <v>44.508775813396852</v>
      </c>
      <c r="G23" s="27" t="str">
        <f>IF(C23&gt;=F23,"-","+")</f>
        <v>+</v>
      </c>
      <c r="H23" s="26">
        <f>C23*D23</f>
        <v>22845.759999999998</v>
      </c>
      <c r="I23" s="26">
        <f>F23*D23</f>
        <v>23429.419588172103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50.566007905138349</v>
      </c>
      <c r="D24" s="22">
        <f>SUM(D21:D23)</f>
        <v>1366.1999999999998</v>
      </c>
      <c r="E24" s="21">
        <f>D24/$D$48</f>
        <v>7.0049145151242442E-2</v>
      </c>
      <c r="F24" s="20">
        <f>I24/D24</f>
        <v>51.85785966885382</v>
      </c>
      <c r="G24" s="19">
        <f>F24/C24-1</f>
        <v>2.5547829801770838E-2</v>
      </c>
      <c r="H24" s="18">
        <f>SUM(H21:H23)</f>
        <v>69083.28</v>
      </c>
      <c r="I24" s="18">
        <f>SUM(I21:I23)</f>
        <v>70848.207879588081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37.799999999999997</v>
      </c>
      <c r="D26" s="30">
        <f>270+1176+358.3+1972</f>
        <v>3776.3</v>
      </c>
      <c r="E26" s="29">
        <f t="shared" ref="E26:E32" si="7">D26/$D$48</f>
        <v>0.19362215402915892</v>
      </c>
      <c r="F26" s="28">
        <f t="shared" ref="F26:F31" si="8">C26-(C26*$E$6)</f>
        <v>38.765707966506938</v>
      </c>
      <c r="G26" s="27" t="str">
        <f t="shared" ref="G26:G31" si="9">IF(C26&gt;=F26,"-","+")</f>
        <v>+</v>
      </c>
      <c r="H26" s="26">
        <f t="shared" ref="H26:H31" si="10">C26*D26</f>
        <v>142744.13999999998</v>
      </c>
      <c r="I26" s="26">
        <f t="shared" ref="I26:I31" si="11">F26*D26</f>
        <v>146390.94299392015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33.700000000000003</v>
      </c>
      <c r="D27" s="30">
        <v>2856.1</v>
      </c>
      <c r="E27" s="29">
        <f t="shared" si="7"/>
        <v>0.14644075791718897</v>
      </c>
      <c r="F27" s="28">
        <f t="shared" si="8"/>
        <v>34.56096186431968</v>
      </c>
      <c r="G27" s="27" t="str">
        <f t="shared" si="9"/>
        <v>+</v>
      </c>
      <c r="H27" s="26">
        <f t="shared" si="10"/>
        <v>96250.57</v>
      </c>
      <c r="I27" s="26">
        <f t="shared" si="11"/>
        <v>98709.563180683428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33.700000000000003</v>
      </c>
      <c r="D28" s="30">
        <v>1839.2</v>
      </c>
      <c r="E28" s="29">
        <f t="shared" si="7"/>
        <v>9.4301264648049429E-2</v>
      </c>
      <c r="F28" s="28">
        <f t="shared" si="8"/>
        <v>34.56096186431968</v>
      </c>
      <c r="G28" s="27" t="str">
        <f t="shared" si="9"/>
        <v>+</v>
      </c>
      <c r="H28" s="26">
        <f t="shared" si="10"/>
        <v>61981.040000000008</v>
      </c>
      <c r="I28" s="26">
        <f t="shared" si="11"/>
        <v>63564.521060856758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1661.1</v>
      </c>
      <c r="E29" s="29">
        <f t="shared" si="7"/>
        <v>8.5169546926313011E-2</v>
      </c>
      <c r="F29" s="28">
        <f t="shared" si="8"/>
        <v>33.432859251537728</v>
      </c>
      <c r="G29" s="27" t="str">
        <f t="shared" si="9"/>
        <v>+</v>
      </c>
      <c r="H29" s="26">
        <f t="shared" si="10"/>
        <v>54151.86</v>
      </c>
      <c r="I29" s="26">
        <f t="shared" si="11"/>
        <v>55535.322502729316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1150.2</v>
      </c>
      <c r="E30" s="29">
        <f t="shared" si="7"/>
        <v>5.8974181490966969E-2</v>
      </c>
      <c r="F30" s="28">
        <f t="shared" si="8"/>
        <v>33.432859251537728</v>
      </c>
      <c r="G30" s="27" t="str">
        <f t="shared" si="9"/>
        <v>+</v>
      </c>
      <c r="H30" s="26">
        <f t="shared" si="10"/>
        <v>37496.520000000004</v>
      </c>
      <c r="I30" s="26">
        <f t="shared" si="11"/>
        <v>38454.474711118695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33.1</v>
      </c>
      <c r="D31" s="30">
        <v>342.7</v>
      </c>
      <c r="E31" s="29">
        <f t="shared" si="7"/>
        <v>1.7571250214705601E-2</v>
      </c>
      <c r="F31" s="28">
        <f t="shared" si="8"/>
        <v>33.945633166438618</v>
      </c>
      <c r="G31" s="27" t="str">
        <f t="shared" si="9"/>
        <v>+</v>
      </c>
      <c r="H31" s="26">
        <f t="shared" si="10"/>
        <v>11343.37</v>
      </c>
      <c r="I31" s="26">
        <f t="shared" si="11"/>
        <v>11633.168486138515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34.748099022846127</v>
      </c>
      <c r="D32" s="22">
        <f>SUM(D26:D31)</f>
        <v>11625.600000000002</v>
      </c>
      <c r="E32" s="21">
        <f t="shared" si="7"/>
        <v>0.596079155226383</v>
      </c>
      <c r="F32" s="20">
        <f>I32/D32</f>
        <v>35.635837542616876</v>
      </c>
      <c r="G32" s="19">
        <f>F32/C32-1</f>
        <v>2.5547829801770838E-2</v>
      </c>
      <c r="H32" s="18">
        <f>SUM(H26:H31)</f>
        <v>403967.5</v>
      </c>
      <c r="I32" s="18">
        <f>SUM(I26:I31)</f>
        <v>414287.99293544685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f>1064+1904.8</f>
        <v>2968.8</v>
      </c>
      <c r="E34" s="29">
        <f t="shared" ref="E34:E40" si="13">D34/$D$48</f>
        <v>0.15221922275289754</v>
      </c>
      <c r="F34" s="28">
        <f t="shared" ref="F34:F39" si="14">C34-(C34*$E$6)</f>
        <v>20.408401813055239</v>
      </c>
      <c r="G34" s="27" t="str">
        <f t="shared" ref="G34:G39" si="15">IF(C34&gt;=F34,"-","+")</f>
        <v>+</v>
      </c>
      <c r="H34" s="26">
        <f t="shared" ref="H34:H39" si="16">C34*D34</f>
        <v>59079.12</v>
      </c>
      <c r="I34" s="26">
        <f t="shared" ref="I34:I39" si="17">F34*D34</f>
        <v>60588.463302598393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>
        <v>200.65</v>
      </c>
      <c r="E35" s="29">
        <f t="shared" si="13"/>
        <v>1.0287923418677207E-2</v>
      </c>
      <c r="F35" s="28">
        <f t="shared" si="14"/>
        <v>15.690881795967094</v>
      </c>
      <c r="G35" s="27" t="str">
        <f t="shared" si="15"/>
        <v>+</v>
      </c>
      <c r="H35" s="26">
        <f t="shared" si="16"/>
        <v>3069.9450000000002</v>
      </c>
      <c r="I35" s="26">
        <f t="shared" si="17"/>
        <v>3148.3754323607977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12.614238306561782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33.432859251537728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33.432859251537728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33.700000000000003</v>
      </c>
      <c r="D39" s="30"/>
      <c r="E39" s="29">
        <f t="shared" si="13"/>
        <v>0</v>
      </c>
      <c r="F39" s="28">
        <f t="shared" si="14"/>
        <v>34.56096186431968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19.608785435958918</v>
      </c>
      <c r="D40" s="22">
        <f>SUM(D34:D39)</f>
        <v>3169.4500000000003</v>
      </c>
      <c r="E40" s="113">
        <f t="shared" si="13"/>
        <v>0.16250714617157475</v>
      </c>
      <c r="F40" s="20">
        <f>I40/D40</f>
        <v>20.109747348896239</v>
      </c>
      <c r="G40" s="19">
        <f>F40/C40-1</f>
        <v>2.5547829801770838E-2</v>
      </c>
      <c r="H40" s="18">
        <f>SUM(H34:H39)</f>
        <v>62149.065000000002</v>
      </c>
      <c r="I40" s="18">
        <f>SUM(I34:I39)</f>
        <v>63736.838734959194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f>191.2+1674.3+1324</f>
        <v>3189.5</v>
      </c>
      <c r="E42" s="107">
        <f>D42/$D$48</f>
        <v>0.16353516941874383</v>
      </c>
      <c r="F42" s="28">
        <f>C42-(C42*$E$6)</f>
        <v>0.51277391490088542</v>
      </c>
      <c r="G42" s="27" t="str">
        <f>IF(C42&gt;=F42,"-","+")</f>
        <v>+</v>
      </c>
      <c r="H42" s="26">
        <f>C42*D42</f>
        <v>1594.75</v>
      </c>
      <c r="I42" s="26">
        <f>F42*D42</f>
        <v>1635.492401576374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124.8</v>
      </c>
      <c r="E43" s="107">
        <f>D43/$D$48</f>
        <v>6.3988678926036151E-3</v>
      </c>
      <c r="F43" s="28">
        <f>C43-(C43*$E$6)</f>
        <v>0.51277391490088542</v>
      </c>
      <c r="G43" s="27" t="str">
        <f>IF(C43&gt;=F43,"-","+")</f>
        <v>+</v>
      </c>
      <c r="H43" s="26">
        <f>C43*D43</f>
        <v>62.4</v>
      </c>
      <c r="I43" s="26">
        <f>F43*D43</f>
        <v>63.994184579630499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20.5</v>
      </c>
      <c r="E44" s="107">
        <f>D44/$D$48</f>
        <v>1.0510960881279976E-3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7.4</v>
      </c>
      <c r="E45" s="107">
        <f>D45/$D$48</f>
        <v>3.7942005132425284E-4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0.4958261025671713</v>
      </c>
      <c r="D46" s="22">
        <f>SUM(D41:D45)</f>
        <v>3342.2000000000003</v>
      </c>
      <c r="E46" s="113">
        <f>D46/$D$48</f>
        <v>0.17136455345079971</v>
      </c>
      <c r="F46" s="20">
        <f>I46/D46</f>
        <v>0.5084933834468327</v>
      </c>
      <c r="G46" s="19">
        <f>F46/C46-1</f>
        <v>2.5547829801770616E-2</v>
      </c>
      <c r="H46" s="18">
        <f>SUM(H41:H44)</f>
        <v>1657.15</v>
      </c>
      <c r="I46" s="18">
        <f>SUM(I41:I44)</f>
        <v>1699.4865861560045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105.41871846651057</v>
      </c>
      <c r="D48" s="13">
        <f>D24+D32+D40+D46</f>
        <v>19503.450000000004</v>
      </c>
      <c r="E48" s="12">
        <f>SUM(E20:E46)/2</f>
        <v>1</v>
      </c>
      <c r="F48" s="11">
        <f>I48/D48</f>
        <v>28.229494070851565</v>
      </c>
      <c r="G48" s="10"/>
      <c r="H48" s="9">
        <f>SUM(H20:H46)/2</f>
        <v>536856.99499999988</v>
      </c>
      <c r="I48" s="9">
        <f>SUM(I20:I46)/2</f>
        <v>550572.52613615012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20334.650000000001</v>
      </c>
      <c r="E50" s="12">
        <f>D50/G2</f>
        <v>1.0000073766259314</v>
      </c>
      <c r="F50" s="11">
        <f>I50/D50</f>
        <v>28.199791980683223</v>
      </c>
      <c r="G50" s="10"/>
      <c r="H50" s="9">
        <f>H48+H19</f>
        <v>559147.88499999989</v>
      </c>
      <c r="I50" s="9">
        <f>I48+I19</f>
        <v>573432.90000000014</v>
      </c>
      <c r="J50" s="106">
        <f>D50-G2</f>
        <v>0.15000000000145519</v>
      </c>
      <c r="K50" s="8"/>
    </row>
    <row r="51" spans="1:11" ht="23.25" x14ac:dyDescent="0.35">
      <c r="A51" s="174" t="s">
        <v>984</v>
      </c>
      <c r="B51" s="169"/>
      <c r="C51" s="170"/>
      <c r="G51" s="7"/>
      <c r="H51" s="6"/>
      <c r="I51" s="6">
        <f>+I50/D50</f>
        <v>28.199791980683223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28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19ADF-0E9E-43CE-B08F-BBCC928B2C03}">
  <sheetPr>
    <tabColor rgb="FF92D05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>
    <tabColor rgb="FF92D050"/>
  </sheetPr>
  <dimension ref="A1:K56"/>
  <sheetViews>
    <sheetView workbookViewId="0">
      <selection sqref="A1:XFD104857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975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985</v>
      </c>
      <c r="D2" s="96" t="s">
        <v>3</v>
      </c>
      <c r="E2" s="95" t="s">
        <v>71</v>
      </c>
      <c r="F2" s="94" t="s">
        <v>5</v>
      </c>
      <c r="G2" s="93">
        <v>4423.5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60</v>
      </c>
      <c r="F3" s="88" t="s">
        <v>8</v>
      </c>
      <c r="G3" s="87">
        <v>28.25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7</v>
      </c>
      <c r="D4" s="83" t="s">
        <v>11</v>
      </c>
      <c r="E4" s="82">
        <f>G2/E3</f>
        <v>73.724999999999994</v>
      </c>
      <c r="F4" s="81" t="s">
        <v>12</v>
      </c>
      <c r="G4" s="80">
        <f>G2*G3</f>
        <v>124963.875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-1.6372929954670656E-2</v>
      </c>
      <c r="F6" s="69" t="s">
        <v>16</v>
      </c>
      <c r="G6" s="68">
        <f>(I50-I19)/(D50-(SUM(D42:D44)+D19))</f>
        <v>35.381889655728976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>
        <f t="shared" ref="E10:E19" si="1">D10/$D$19</f>
        <v>0</v>
      </c>
      <c r="F10" s="28">
        <f t="shared" ref="F10:F18" si="2">C10-(C10*$E$6)</f>
        <v>28.763353917717179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>
        <v>1848.1</v>
      </c>
      <c r="E11" s="29">
        <f t="shared" si="1"/>
        <v>0.43382629107981219</v>
      </c>
      <c r="F11" s="28">
        <f t="shared" si="2"/>
        <v>29.881364140667316</v>
      </c>
      <c r="G11" s="27" t="str">
        <f t="shared" si="3"/>
        <v>+</v>
      </c>
      <c r="H11" s="34">
        <f t="shared" si="4"/>
        <v>54334.139999999992</v>
      </c>
      <c r="I11" s="34">
        <f t="shared" si="5"/>
        <v>55223.749068367266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>
        <v>2319.5</v>
      </c>
      <c r="E12" s="29">
        <f t="shared" si="1"/>
        <v>0.54448356807511733</v>
      </c>
      <c r="F12" s="28">
        <f t="shared" si="2"/>
        <v>27.34043181578064</v>
      </c>
      <c r="G12" s="27" t="str">
        <f t="shared" si="3"/>
        <v>+</v>
      </c>
      <c r="H12" s="34">
        <f t="shared" si="4"/>
        <v>62394.549999999996</v>
      </c>
      <c r="I12" s="34">
        <f t="shared" si="5"/>
        <v>63416.131596703191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>
        <v>92.4</v>
      </c>
      <c r="E13" s="29">
        <f t="shared" si="1"/>
        <v>2.1690140845070423E-2</v>
      </c>
      <c r="F13" s="28">
        <f t="shared" si="2"/>
        <v>29.881364140667316</v>
      </c>
      <c r="G13" s="27" t="str">
        <f t="shared" si="3"/>
        <v>+</v>
      </c>
      <c r="H13" s="34">
        <f t="shared" si="4"/>
        <v>2716.56</v>
      </c>
      <c r="I13" s="34">
        <f t="shared" si="5"/>
        <v>2761.03804659766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>
        <f t="shared" si="1"/>
        <v>0</v>
      </c>
      <c r="F14" s="28">
        <f t="shared" si="2"/>
        <v>33.438669395508661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>
        <f t="shared" si="1"/>
        <v>0</v>
      </c>
      <c r="F15" s="28">
        <f t="shared" si="2"/>
        <v>27.543706401771576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37.707435701318282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>
        <f t="shared" si="1"/>
        <v>0</v>
      </c>
      <c r="F17" s="28">
        <f t="shared" si="2"/>
        <v>55.493961975525018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47.9</v>
      </c>
      <c r="D18" s="30"/>
      <c r="E18" s="29">
        <f t="shared" si="1"/>
        <v>0</v>
      </c>
      <c r="F18" s="28">
        <f t="shared" si="2"/>
        <v>48.684263344828722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28.038791079812203</v>
      </c>
      <c r="D19" s="49">
        <f>SUM(D10:D18)</f>
        <v>4260</v>
      </c>
      <c r="E19" s="48">
        <f t="shared" si="1"/>
        <v>1</v>
      </c>
      <c r="F19" s="47">
        <f>I19/D19</f>
        <v>28.497868242175617</v>
      </c>
      <c r="G19" s="46">
        <f>F19/C19-1</f>
        <v>1.6372929954670878E-2</v>
      </c>
      <c r="H19" s="9">
        <f>SUM(H10:H18)</f>
        <v>119445.24999999999</v>
      </c>
      <c r="I19" s="9">
        <f>SUM(I10:I18)</f>
        <v>121400.91871166813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3.96</v>
      </c>
      <c r="E21" s="29">
        <f>D21/$D$48</f>
        <v>2.4220183486238531E-2</v>
      </c>
      <c r="F21" s="28">
        <f>C21-(C21*$E$6)</f>
        <v>72.162478026781613</v>
      </c>
      <c r="G21" s="27" t="str">
        <f>IF(C21&gt;=F21,"-","+")</f>
        <v>+</v>
      </c>
      <c r="H21" s="26">
        <f>C21*D21</f>
        <v>281.16000000000003</v>
      </c>
      <c r="I21" s="26">
        <f>F21*D21</f>
        <v>285.76341298605519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4.7</v>
      </c>
      <c r="E22" s="29">
        <f>D22/$D$48</f>
        <v>2.8746177370030584E-2</v>
      </c>
      <c r="F22" s="28">
        <f>C22-(C22*$E$6)</f>
        <v>48.480988758837796</v>
      </c>
      <c r="G22" s="27" t="str">
        <f>IF(C22&gt;=F22,"-","+")</f>
        <v>+</v>
      </c>
      <c r="H22" s="26">
        <f>C22*D22</f>
        <v>224.19000000000003</v>
      </c>
      <c r="I22" s="26">
        <f>F22*D22</f>
        <v>227.86064716653766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43.5</v>
      </c>
      <c r="D23" s="30">
        <v>8.1999999999999993</v>
      </c>
      <c r="E23" s="29">
        <f>D23/$D$48</f>
        <v>5.0152905198776757E-2</v>
      </c>
      <c r="F23" s="28">
        <f>C23-(C23*$E$6)</f>
        <v>44.212222453028176</v>
      </c>
      <c r="G23" s="27" t="str">
        <f>IF(C23&gt;=F23,"-","+")</f>
        <v>+</v>
      </c>
      <c r="H23" s="26">
        <f>C23*D23</f>
        <v>356.7</v>
      </c>
      <c r="I23" s="26">
        <f>F23*D23</f>
        <v>362.54022411483101</v>
      </c>
      <c r="J23" s="25"/>
      <c r="K23" s="25"/>
    </row>
    <row r="24" spans="1:11" x14ac:dyDescent="0.25">
      <c r="A24" s="24" t="s">
        <v>34</v>
      </c>
      <c r="B24" s="23"/>
      <c r="C24" s="20">
        <f>H24/D24</f>
        <v>51.129893238434164</v>
      </c>
      <c r="D24" s="22">
        <f>SUM(D21:D23)</f>
        <v>16.86</v>
      </c>
      <c r="E24" s="21">
        <f>D24/$D$48</f>
        <v>0.10311926605504587</v>
      </c>
      <c r="F24" s="20">
        <f>I24/D24</f>
        <v>51.967039399016841</v>
      </c>
      <c r="G24" s="19">
        <f>F24/C24-1</f>
        <v>1.6372929954670656E-2</v>
      </c>
      <c r="H24" s="18">
        <f>SUM(H21:H23)</f>
        <v>862.05</v>
      </c>
      <c r="I24" s="18">
        <f>SUM(I21:I23)</f>
        <v>876.16428426742391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/>
      <c r="E26" s="29">
        <f t="shared" ref="E26:E32" si="7">D26/$D$48</f>
        <v>0</v>
      </c>
      <c r="F26" s="28">
        <f t="shared" ref="F26:F31" si="8">C26-(C26*$E$6)</f>
        <v>38.52053404528202</v>
      </c>
      <c r="G26" s="27" t="str">
        <f t="shared" ref="G26:G31" si="9">IF(C26&gt;=F26,"-","+")</f>
        <v>+</v>
      </c>
      <c r="H26" s="26">
        <f t="shared" ref="H26:H31" si="10">C26*D26</f>
        <v>0</v>
      </c>
      <c r="I26" s="26">
        <f t="shared" ref="I26:I31" si="11">F26*D26</f>
        <v>0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22.4</v>
      </c>
      <c r="E27" s="29">
        <f t="shared" si="7"/>
        <v>0.13700305810397553</v>
      </c>
      <c r="F27" s="28">
        <f t="shared" si="8"/>
        <v>34.353405032467862</v>
      </c>
      <c r="G27" s="27" t="str">
        <f t="shared" si="9"/>
        <v>+</v>
      </c>
      <c r="H27" s="26">
        <f t="shared" si="10"/>
        <v>757.11999999999989</v>
      </c>
      <c r="I27" s="26">
        <f t="shared" si="11"/>
        <v>769.51627272728001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14.1</v>
      </c>
      <c r="E28" s="29">
        <f t="shared" si="7"/>
        <v>8.6238532110091734E-2</v>
      </c>
      <c r="F28" s="28">
        <f t="shared" si="8"/>
        <v>34.353405032467862</v>
      </c>
      <c r="G28" s="27" t="str">
        <f t="shared" si="9"/>
        <v>+</v>
      </c>
      <c r="H28" s="26">
        <f t="shared" si="10"/>
        <v>476.57999999999993</v>
      </c>
      <c r="I28" s="26">
        <f t="shared" si="11"/>
        <v>484.38301095779684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13.8</v>
      </c>
      <c r="E29" s="29">
        <f t="shared" si="7"/>
        <v>8.4403669724770647E-2</v>
      </c>
      <c r="F29" s="28">
        <f t="shared" si="8"/>
        <v>33.133757516522266</v>
      </c>
      <c r="G29" s="27" t="str">
        <f t="shared" si="9"/>
        <v>+</v>
      </c>
      <c r="H29" s="26">
        <f t="shared" si="10"/>
        <v>449.88000000000005</v>
      </c>
      <c r="I29" s="26">
        <f t="shared" si="11"/>
        <v>457.24585372800732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17.100000000000001</v>
      </c>
      <c r="E30" s="29">
        <f t="shared" si="7"/>
        <v>0.10458715596330276</v>
      </c>
      <c r="F30" s="28">
        <f t="shared" si="8"/>
        <v>33.133757516522266</v>
      </c>
      <c r="G30" s="27" t="str">
        <f t="shared" si="9"/>
        <v>+</v>
      </c>
      <c r="H30" s="26">
        <f t="shared" si="10"/>
        <v>557.46</v>
      </c>
      <c r="I30" s="26">
        <f t="shared" si="11"/>
        <v>566.58725353253078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33.200000000000003</v>
      </c>
      <c r="D31" s="30">
        <v>5.0999999999999996</v>
      </c>
      <c r="E31" s="29">
        <f t="shared" si="7"/>
        <v>3.1192660550458714E-2</v>
      </c>
      <c r="F31" s="28">
        <f t="shared" si="8"/>
        <v>33.743581274495071</v>
      </c>
      <c r="G31" s="27" t="str">
        <f t="shared" si="9"/>
        <v>+</v>
      </c>
      <c r="H31" s="26">
        <f t="shared" si="10"/>
        <v>169.32</v>
      </c>
      <c r="I31" s="26">
        <f t="shared" si="11"/>
        <v>172.09226449992485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33.246344827586206</v>
      </c>
      <c r="D32" s="22">
        <f>SUM(D26:D31)</f>
        <v>72.5</v>
      </c>
      <c r="E32" s="21">
        <f t="shared" si="7"/>
        <v>0.44342507645259938</v>
      </c>
      <c r="F32" s="20">
        <f>I32/D32</f>
        <v>33.790684902697102</v>
      </c>
      <c r="G32" s="19">
        <f>F32/C32-1</f>
        <v>1.6372929954670656E-2</v>
      </c>
      <c r="H32" s="18">
        <f>SUM(H26:H31)</f>
        <v>2410.36</v>
      </c>
      <c r="I32" s="18">
        <f>SUM(I26:I31)</f>
        <v>2449.82465544554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11</v>
      </c>
      <c r="E34" s="29">
        <f t="shared" ref="E34:E40" si="13">D34/$D$48</f>
        <v>6.7278287461773695E-2</v>
      </c>
      <c r="F34" s="28">
        <f t="shared" ref="F34:F39" si="14">C34-(C34*$E$6)</f>
        <v>20.327458599093411</v>
      </c>
      <c r="G34" s="27" t="str">
        <f t="shared" ref="G34:G39" si="15">IF(C34&gt;=F34,"-","+")</f>
        <v>+</v>
      </c>
      <c r="H34" s="26">
        <f t="shared" ref="H34:H39" si="16">C34*D34</f>
        <v>220</v>
      </c>
      <c r="I34" s="26">
        <f t="shared" ref="I34:I39" si="17">F34*D34</f>
        <v>223.60204459002753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15.652143121301929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12.50138703844245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33.133757516522266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33.133757516522266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34.353405032467862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20</v>
      </c>
      <c r="D40" s="22">
        <f>SUM(D34:D39)</f>
        <v>11</v>
      </c>
      <c r="E40" s="21">
        <f t="shared" si="13"/>
        <v>6.7278287461773695E-2</v>
      </c>
      <c r="F40" s="20">
        <f>I40/D40</f>
        <v>20.327458599093411</v>
      </c>
      <c r="G40" s="19">
        <f>F40/C40-1</f>
        <v>1.6372929954670656E-2</v>
      </c>
      <c r="H40" s="18">
        <f>SUM(H34:H39)</f>
        <v>220</v>
      </c>
      <c r="I40" s="18">
        <f>SUM(I34:I39)</f>
        <v>223.60204459002753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26</v>
      </c>
      <c r="E42" s="107">
        <f>D42/$D$48</f>
        <v>0.15902140672782875</v>
      </c>
      <c r="F42" s="28">
        <f>C42-(C42*$E$6)</f>
        <v>0.50818646497733533</v>
      </c>
      <c r="G42" s="27" t="str">
        <f>IF(C42&gt;=F42,"-","+")</f>
        <v>+</v>
      </c>
      <c r="H42" s="26">
        <f>C42*D42</f>
        <v>13</v>
      </c>
      <c r="I42" s="26">
        <f>F42*D42</f>
        <v>13.212848089410718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0.3</v>
      </c>
      <c r="E43" s="107">
        <f>D43/$D$48</f>
        <v>1.8348623853211008E-3</v>
      </c>
      <c r="F43" s="28">
        <f>C43-(C43*$E$6)</f>
        <v>0.50818646497733533</v>
      </c>
      <c r="G43" s="27" t="str">
        <f>IF(C43&gt;=F43,"-","+")</f>
        <v>+</v>
      </c>
      <c r="H43" s="26">
        <f>C43*D43</f>
        <v>0.15</v>
      </c>
      <c r="I43" s="26">
        <f>F43*D43</f>
        <v>0.1524559394932006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36.5</v>
      </c>
      <c r="E44" s="107">
        <f>D44/$D$48</f>
        <v>0.22324159021406728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0.34</v>
      </c>
      <c r="E45" s="107">
        <f>D45/$D$48</f>
        <v>2.0795107033639145E-3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0.20826734241368389</v>
      </c>
      <c r="D46" s="22">
        <f>SUM(D41:D45)</f>
        <v>63.14</v>
      </c>
      <c r="E46" s="113">
        <f>D46/$D$48</f>
        <v>0.38617737003058106</v>
      </c>
      <c r="F46" s="20">
        <f>I46/D46</f>
        <v>0.21167728902286853</v>
      </c>
      <c r="G46" s="19">
        <f>F46/C46-1</f>
        <v>1.6372929954670656E-2</v>
      </c>
      <c r="H46" s="18">
        <f>SUM(H41:H44)</f>
        <v>13.15</v>
      </c>
      <c r="I46" s="18">
        <f>SUM(I41:I44)</f>
        <v>13.365304028903919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104.58450540843404</v>
      </c>
      <c r="D48" s="13">
        <f>D24+D32+D40+D46</f>
        <v>163.5</v>
      </c>
      <c r="E48" s="12">
        <f>SUM(E20:E46)/2</f>
        <v>0.99999999999999989</v>
      </c>
      <c r="F48" s="11">
        <f>I48/D48</f>
        <v>21.791781580011591</v>
      </c>
      <c r="G48" s="10"/>
      <c r="H48" s="9">
        <f>SUM(H20:H46)/2</f>
        <v>3505.5599999999995</v>
      </c>
      <c r="I48" s="9">
        <f>SUM(I20:I46)/2</f>
        <v>3562.9562883318949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4423.5</v>
      </c>
      <c r="E50" s="12">
        <f>D50/G2</f>
        <v>1</v>
      </c>
      <c r="F50" s="11">
        <f>I50/D50</f>
        <v>28.250000000000007</v>
      </c>
      <c r="G50" s="10"/>
      <c r="H50" s="9">
        <f>H48+H19</f>
        <v>122950.80999999998</v>
      </c>
      <c r="I50" s="9">
        <f>I48+I19</f>
        <v>124963.87500000003</v>
      </c>
      <c r="J50" s="106">
        <f>D50-G2</f>
        <v>0</v>
      </c>
      <c r="K50" s="8"/>
    </row>
    <row r="51" spans="1:11" ht="23.25" x14ac:dyDescent="0.35">
      <c r="A51" s="174" t="s">
        <v>986</v>
      </c>
      <c r="B51" s="169"/>
      <c r="C51" s="170"/>
      <c r="G51" s="7"/>
      <c r="H51" s="6"/>
      <c r="I51" s="6">
        <f>+I50/D50</f>
        <v>28.250000000000007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>
    <tabColor rgb="FF92D050"/>
  </sheetPr>
  <dimension ref="A1:K56"/>
  <sheetViews>
    <sheetView workbookViewId="0">
      <selection activeCell="D10" sqref="D10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985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985</v>
      </c>
      <c r="D2" s="96" t="s">
        <v>3</v>
      </c>
      <c r="E2" s="95" t="s">
        <v>71</v>
      </c>
      <c r="F2" s="94" t="s">
        <v>5</v>
      </c>
      <c r="G2" s="116">
        <v>13275.8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190</v>
      </c>
      <c r="F3" s="88" t="s">
        <v>8</v>
      </c>
      <c r="G3" s="120">
        <v>28.2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82">
        <f>G2/E3</f>
        <v>69.872631578947363</v>
      </c>
      <c r="F4" s="81" t="s">
        <v>12</v>
      </c>
      <c r="G4" s="80">
        <f>G2*G3</f>
        <v>374377.56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2.339706805913977E-2</v>
      </c>
      <c r="F6" s="69" t="s">
        <v>16</v>
      </c>
      <c r="G6" s="68">
        <f>(I50-I19)/(D50-(SUM(D42:D44)+D19))</f>
        <v>33.881242024670343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2.5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28.2</v>
      </c>
      <c r="D10" s="30"/>
      <c r="E10" s="29" t="e">
        <f t="shared" ref="E10:E19" si="1">D10/$D$19</f>
        <v>#DIV/0!</v>
      </c>
      <c r="F10" s="28">
        <f t="shared" ref="F10:F18" si="2">C10-(C10*$E$6)</f>
        <v>27.540202680732257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28.712126199061288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26.8</v>
      </c>
      <c r="D12" s="30"/>
      <c r="E12" s="29" t="e">
        <f t="shared" si="1"/>
        <v>#DIV/0!</v>
      </c>
      <c r="F12" s="28">
        <f t="shared" si="2"/>
        <v>26.172958576015056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28.712126199061288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32.799999999999997</v>
      </c>
      <c r="D14" s="30"/>
      <c r="E14" s="29" t="e">
        <f t="shared" si="1"/>
        <v>#DIV/0!</v>
      </c>
      <c r="F14" s="28">
        <f t="shared" si="2"/>
        <v>32.03257616766021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26.465939455597315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36.231968775005917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54.5</v>
      </c>
      <c r="D17" s="30"/>
      <c r="E17" s="29" t="e">
        <f t="shared" si="1"/>
        <v>#DIV/0!</v>
      </c>
      <c r="F17" s="28">
        <f t="shared" si="2"/>
        <v>53.224859790776883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47.8</v>
      </c>
      <c r="D18" s="30"/>
      <c r="E18" s="29" t="e">
        <f t="shared" si="1"/>
        <v>#DIV/0!</v>
      </c>
      <c r="F18" s="28">
        <f t="shared" si="2"/>
        <v>46.681620146773113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70.900000000000006</v>
      </c>
      <c r="D21" s="30">
        <v>182.6</v>
      </c>
      <c r="E21" s="29">
        <f>D21/$D$48</f>
        <v>1.3754350020337758E-2</v>
      </c>
      <c r="F21" s="28">
        <f>C21-(C21*$E$6)</f>
        <v>69.241147874606995</v>
      </c>
      <c r="G21" s="27" t="str">
        <f>IF(C21&gt;=F21,"-","+")</f>
        <v>-</v>
      </c>
      <c r="H21" s="26">
        <f>C21*D21</f>
        <v>12946.34</v>
      </c>
      <c r="I21" s="26">
        <f>F21*D21</f>
        <v>12643.433601903236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47.6</v>
      </c>
      <c r="D22" s="30">
        <v>392.9</v>
      </c>
      <c r="E22" s="29">
        <f>D22/$D$48</f>
        <v>2.9595203302249205E-2</v>
      </c>
      <c r="F22" s="28">
        <f>C22-(C22*$E$6)</f>
        <v>46.48629956038495</v>
      </c>
      <c r="G22" s="27" t="str">
        <f>IF(C22&gt;=F22,"-","+")</f>
        <v>-</v>
      </c>
      <c r="H22" s="26">
        <f>C22*D22</f>
        <v>18702.04</v>
      </c>
      <c r="I22" s="26">
        <f>F22*D22</f>
        <v>18264.467097275246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43.4</v>
      </c>
      <c r="D23" s="30">
        <v>360.3</v>
      </c>
      <c r="E23" s="29">
        <f>D23/$D$48</f>
        <v>2.7139607405956705E-2</v>
      </c>
      <c r="F23" s="28">
        <f>C23-(C23*$E$6)</f>
        <v>42.384567246233331</v>
      </c>
      <c r="G23" s="27" t="str">
        <f>IF(C23&gt;=F23,"-","+")</f>
        <v>-</v>
      </c>
      <c r="H23" s="26">
        <f>C23*D23</f>
        <v>15637.02</v>
      </c>
      <c r="I23" s="26">
        <f>F23*D23</f>
        <v>15271.159578817869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50.529386621072881</v>
      </c>
      <c r="D24" s="22">
        <f>SUM(D21:D23)</f>
        <v>935.8</v>
      </c>
      <c r="E24" s="21">
        <f>D24/$D$48</f>
        <v>7.0489160728543665E-2</v>
      </c>
      <c r="F24" s="20">
        <f>I24/D24</f>
        <v>49.34714712331305</v>
      </c>
      <c r="G24" s="19">
        <f>F24/C24-1</f>
        <v>-2.339706805913977E-2</v>
      </c>
      <c r="H24" s="18">
        <f>SUM(H21:H23)</f>
        <v>47285.4</v>
      </c>
      <c r="I24" s="18">
        <f>SUM(I21:I23)</f>
        <v>46179.060277996352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37.799999999999997</v>
      </c>
      <c r="D26" s="30">
        <v>2959.7</v>
      </c>
      <c r="E26" s="29">
        <f t="shared" ref="E26:E32" si="7">D26/$D$48</f>
        <v>0.22293948387291163</v>
      </c>
      <c r="F26" s="28">
        <f t="shared" ref="F26:F31" si="8">C26-(C26*$E$6)</f>
        <v>36.915590827364511</v>
      </c>
      <c r="G26" s="27" t="str">
        <f t="shared" ref="G26:G31" si="9">IF(C26&gt;=F26,"-","+")</f>
        <v>-</v>
      </c>
      <c r="H26" s="26">
        <f t="shared" ref="H26:H31" si="10">C26*D26</f>
        <v>111876.65999999999</v>
      </c>
      <c r="I26" s="26">
        <f t="shared" ref="I26:I31" si="11">F26*D26</f>
        <v>109259.07417175073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33.700000000000003</v>
      </c>
      <c r="D27" s="30">
        <v>2108.6999999999998</v>
      </c>
      <c r="E27" s="29">
        <f t="shared" si="7"/>
        <v>0.15883788547582819</v>
      </c>
      <c r="F27" s="28">
        <f t="shared" si="8"/>
        <v>32.911518806406995</v>
      </c>
      <c r="G27" s="27" t="str">
        <f t="shared" si="9"/>
        <v>-</v>
      </c>
      <c r="H27" s="26">
        <f t="shared" si="10"/>
        <v>71063.19</v>
      </c>
      <c r="I27" s="26">
        <f t="shared" si="11"/>
        <v>69400.519707070431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33.700000000000003</v>
      </c>
      <c r="D28" s="30">
        <v>1317.9</v>
      </c>
      <c r="E28" s="29">
        <f t="shared" si="7"/>
        <v>9.927085373386163E-2</v>
      </c>
      <c r="F28" s="28">
        <f t="shared" si="8"/>
        <v>32.911518806406995</v>
      </c>
      <c r="G28" s="27" t="str">
        <f t="shared" si="9"/>
        <v>-</v>
      </c>
      <c r="H28" s="26">
        <f t="shared" si="10"/>
        <v>44413.23</v>
      </c>
      <c r="I28" s="26">
        <f t="shared" si="11"/>
        <v>43374.090634963781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1270</v>
      </c>
      <c r="E29" s="29">
        <f t="shared" si="7"/>
        <v>9.5662784916916502E-2</v>
      </c>
      <c r="F29" s="28">
        <f t="shared" si="8"/>
        <v>31.837255581272046</v>
      </c>
      <c r="G29" s="27" t="str">
        <f t="shared" si="9"/>
        <v>-</v>
      </c>
      <c r="H29" s="26">
        <f t="shared" si="10"/>
        <v>41402</v>
      </c>
      <c r="I29" s="26">
        <f t="shared" si="11"/>
        <v>40433.3145882155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931.9</v>
      </c>
      <c r="E30" s="29">
        <f t="shared" si="7"/>
        <v>7.0195393121318492E-2</v>
      </c>
      <c r="F30" s="28">
        <f t="shared" si="8"/>
        <v>31.837255581272046</v>
      </c>
      <c r="G30" s="27" t="str">
        <f t="shared" si="9"/>
        <v>-</v>
      </c>
      <c r="H30" s="26">
        <f t="shared" si="10"/>
        <v>30379.940000000002</v>
      </c>
      <c r="I30" s="26">
        <f t="shared" si="11"/>
        <v>29669.138476187418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33.1</v>
      </c>
      <c r="D31" s="30">
        <v>419.2</v>
      </c>
      <c r="E31" s="29">
        <f t="shared" si="7"/>
        <v>3.1576251525331805E-2</v>
      </c>
      <c r="F31" s="28">
        <f t="shared" si="8"/>
        <v>32.325557047242476</v>
      </c>
      <c r="G31" s="27" t="str">
        <f t="shared" si="9"/>
        <v>-</v>
      </c>
      <c r="H31" s="26">
        <f t="shared" si="10"/>
        <v>13875.52</v>
      </c>
      <c r="I31" s="26">
        <f t="shared" si="11"/>
        <v>13550.873514204046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34.750376357217398</v>
      </c>
      <c r="D32" s="22">
        <f>SUM(D26:D31)</f>
        <v>9007.4</v>
      </c>
      <c r="E32" s="21">
        <f t="shared" si="7"/>
        <v>0.67848265264616825</v>
      </c>
      <c r="F32" s="20">
        <f>I32/D32</f>
        <v>33.937319436506861</v>
      </c>
      <c r="G32" s="19">
        <f>F32/C32-1</f>
        <v>-2.339706805913977E-2</v>
      </c>
      <c r="H32" s="18">
        <f>SUM(H26:H31)</f>
        <v>313010.53999999998</v>
      </c>
      <c r="I32" s="18">
        <f>SUM(I26:I31)</f>
        <v>305687.01109239191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30">
        <v>1102.4000000000001</v>
      </c>
      <c r="E34" s="29">
        <f t="shared" ref="E34:E40" si="13">D34/$D$48</f>
        <v>8.3038310308983274E-2</v>
      </c>
      <c r="F34" s="28">
        <f t="shared" ref="F34:F39" si="14">C34-(C34*$E$6)</f>
        <v>19.434398345623116</v>
      </c>
      <c r="G34" s="27" t="str">
        <f t="shared" ref="G34:G39" si="15">IF(C34&gt;=F34,"-","+")</f>
        <v>-</v>
      </c>
      <c r="H34" s="26">
        <f t="shared" ref="H34:H39" si="16">C34*D34</f>
        <v>21937.760000000002</v>
      </c>
      <c r="I34" s="26">
        <f t="shared" ref="I34:I39" si="17">F34*D34</f>
        <v>21424.480736214926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30"/>
      <c r="E35" s="29">
        <f t="shared" si="13"/>
        <v>0</v>
      </c>
      <c r="F35" s="28">
        <f t="shared" si="14"/>
        <v>14.942024858695163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12.012216062872582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31.837255581272046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31.837255581272046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33.700000000000003</v>
      </c>
      <c r="D39" s="30"/>
      <c r="E39" s="29">
        <f t="shared" si="13"/>
        <v>0</v>
      </c>
      <c r="F39" s="28">
        <f t="shared" si="14"/>
        <v>32.911518806406995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19.899999999999999</v>
      </c>
      <c r="D40" s="22">
        <f>SUM(D34:D39)</f>
        <v>1102.4000000000001</v>
      </c>
      <c r="E40" s="113">
        <f t="shared" si="13"/>
        <v>8.3038310308983274E-2</v>
      </c>
      <c r="F40" s="20">
        <f>I40/D40</f>
        <v>19.434398345623116</v>
      </c>
      <c r="G40" s="19">
        <f>F40/C40-1</f>
        <v>-2.3397068059139881E-2</v>
      </c>
      <c r="H40" s="18">
        <f>SUM(H34:H39)</f>
        <v>21937.760000000002</v>
      </c>
      <c r="I40" s="18">
        <f>SUM(I34:I39)</f>
        <v>21424.480736214926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2112</v>
      </c>
      <c r="E42" s="107">
        <f>D42/$D$48</f>
        <v>0.15908645806655719</v>
      </c>
      <c r="F42" s="28">
        <f>C42-(C42*$E$6)</f>
        <v>0.48830146597043012</v>
      </c>
      <c r="G42" s="27" t="str">
        <f>IF(C42&gt;=F42,"-","+")</f>
        <v>-</v>
      </c>
      <c r="H42" s="26">
        <f>C42*D42</f>
        <v>1056</v>
      </c>
      <c r="I42" s="26">
        <f>F42*D42</f>
        <v>1031.2926961295484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114.1</v>
      </c>
      <c r="E43" s="107">
        <f>D43/$D$48</f>
        <v>8.5945856370237567E-3</v>
      </c>
      <c r="F43" s="28">
        <f>C43-(C43*$E$6)</f>
        <v>0.48830146597043012</v>
      </c>
      <c r="G43" s="27" t="str">
        <f>IF(C43&gt;=F43,"-","+")</f>
        <v>-</v>
      </c>
      <c r="H43" s="26">
        <f>C43*D43</f>
        <v>57.05</v>
      </c>
      <c r="I43" s="26">
        <f>F43*D43</f>
        <v>55.715197267226074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30">
        <v>4.0999999999999996</v>
      </c>
      <c r="E45" s="107">
        <f>D45/$D$48</f>
        <v>3.0883261272390361E-4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0.4990807999282576</v>
      </c>
      <c r="D46" s="22">
        <f>SUM(D41:D45)</f>
        <v>2230.1999999999998</v>
      </c>
      <c r="E46" s="113">
        <f>D46/$D$48</f>
        <v>0.16798987631630485</v>
      </c>
      <c r="F46" s="20">
        <f>I46/D46</f>
        <v>0.48740377248532624</v>
      </c>
      <c r="G46" s="19">
        <f>F46/C46-1</f>
        <v>-2.339706805913977E-2</v>
      </c>
      <c r="H46" s="18">
        <f>SUM(H41:H44)</f>
        <v>1113.05</v>
      </c>
      <c r="I46" s="18">
        <f>SUM(I41:I44)</f>
        <v>1087.0078933967745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105.67884377821854</v>
      </c>
      <c r="D48" s="13">
        <f>D24+D32+D40+D46</f>
        <v>13275.8</v>
      </c>
      <c r="E48" s="12">
        <f>SUM(E20:E46)/2</f>
        <v>1.0000000000000002</v>
      </c>
      <c r="F48" s="11">
        <f>I48/D48</f>
        <v>28.199999999999996</v>
      </c>
      <c r="G48" s="10"/>
      <c r="H48" s="9">
        <f>SUM(H20:H46)/2</f>
        <v>383346.75000000006</v>
      </c>
      <c r="I48" s="9">
        <f>SUM(I20:I46)/2</f>
        <v>374377.55999999994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13275.800000000001</v>
      </c>
      <c r="E50" s="12">
        <f>D50/G2</f>
        <v>1.0000000000000002</v>
      </c>
      <c r="F50" s="11">
        <f>I50/D50</f>
        <v>28.199999999999992</v>
      </c>
      <c r="G50" s="10"/>
      <c r="H50" s="9">
        <f>H48+H19</f>
        <v>383346.75000000006</v>
      </c>
      <c r="I50" s="9">
        <f>I48+I19</f>
        <v>374377.55999999994</v>
      </c>
      <c r="J50" s="106">
        <f>D50-G2</f>
        <v>0</v>
      </c>
      <c r="K50" s="8"/>
    </row>
    <row r="51" spans="1:11" ht="23.25" x14ac:dyDescent="0.35">
      <c r="A51" s="174" t="s">
        <v>987</v>
      </c>
      <c r="B51" s="169"/>
      <c r="C51" s="170"/>
      <c r="G51" s="7"/>
      <c r="H51" s="6"/>
      <c r="I51" s="6">
        <f>+I50/D50</f>
        <v>28.199999999999992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>
    <tabColor rgb="FF92D050"/>
  </sheetPr>
  <dimension ref="A1:K56"/>
  <sheetViews>
    <sheetView topLeftCell="A31" workbookViewId="0">
      <selection activeCell="A52" sqref="A52:I54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9" width="0" style="2" hidden="1" customWidth="1"/>
    <col min="10" max="11" width="9.140625" style="1"/>
  </cols>
  <sheetData>
    <row r="1" spans="1:11" ht="15.75" x14ac:dyDescent="0.25">
      <c r="A1" s="103" t="s">
        <v>0</v>
      </c>
      <c r="B1" s="102"/>
      <c r="C1" s="101" t="s">
        <v>985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 t="s">
        <v>985</v>
      </c>
      <c r="D2" s="96" t="s">
        <v>3</v>
      </c>
      <c r="E2" s="95" t="s">
        <v>71</v>
      </c>
      <c r="F2" s="94" t="s">
        <v>5</v>
      </c>
      <c r="G2" s="116">
        <v>11016.2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206</v>
      </c>
      <c r="D3" s="90" t="s">
        <v>7</v>
      </c>
      <c r="E3" s="89">
        <v>146</v>
      </c>
      <c r="F3" s="88" t="s">
        <v>8</v>
      </c>
      <c r="G3" s="120">
        <v>28.2</v>
      </c>
      <c r="H3" s="62"/>
      <c r="I3" s="62"/>
      <c r="J3" s="61"/>
      <c r="K3" s="61"/>
    </row>
    <row r="4" spans="1:11" ht="15.75" x14ac:dyDescent="0.25">
      <c r="A4" s="86" t="s">
        <v>9</v>
      </c>
      <c r="B4" s="85"/>
      <c r="C4" s="84">
        <v>14</v>
      </c>
      <c r="D4" s="83" t="s">
        <v>11</v>
      </c>
      <c r="E4" s="134">
        <f>G2/E3</f>
        <v>75.453424657534256</v>
      </c>
      <c r="F4" s="81" t="s">
        <v>12</v>
      </c>
      <c r="G4" s="80">
        <f>G2*G3</f>
        <v>310656.84000000003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121" t="s">
        <v>14</v>
      </c>
      <c r="B6" s="122"/>
      <c r="C6" s="123">
        <v>27.3</v>
      </c>
      <c r="D6" s="124" t="s">
        <v>15</v>
      </c>
      <c r="E6" s="125">
        <f>1-G4/H50</f>
        <v>5.2892216806887937E-3</v>
      </c>
      <c r="F6" s="126" t="s">
        <v>16</v>
      </c>
      <c r="G6" s="127">
        <f>(I50-I19)/(D50-(SUM(D42:D44)+D19))</f>
        <v>33.160220662453249</v>
      </c>
    </row>
    <row r="7" spans="1:11" ht="15.75" x14ac:dyDescent="0.25">
      <c r="A7" s="128" t="s">
        <v>17</v>
      </c>
      <c r="B7" s="129"/>
      <c r="C7" s="130">
        <f>ROUND(C6*60*15%/360*1.08+C6,1)</f>
        <v>28</v>
      </c>
      <c r="D7" s="131"/>
      <c r="E7" s="132"/>
      <c r="F7" s="133"/>
      <c r="G7" s="133"/>
      <c r="H7" s="62"/>
      <c r="I7" s="62"/>
      <c r="J7" s="61"/>
      <c r="K7" s="61"/>
    </row>
    <row r="8" spans="1:11" ht="22.5" x14ac:dyDescent="0.25">
      <c r="A8" s="55"/>
      <c r="B8" s="155" t="s">
        <v>18</v>
      </c>
      <c r="C8" s="156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B9" s="157"/>
      <c r="C9" s="151"/>
      <c r="D9" s="53"/>
      <c r="E9" s="16"/>
    </row>
    <row r="10" spans="1:11" x14ac:dyDescent="0.25">
      <c r="A10" s="25" t="s">
        <v>25</v>
      </c>
      <c r="B10" s="158">
        <v>1</v>
      </c>
      <c r="C10" s="159">
        <f t="shared" ref="C10:C18" si="0">ROUND($G$3*B10,1)</f>
        <v>28.2</v>
      </c>
      <c r="D10" s="30"/>
      <c r="E10" s="135">
        <f t="shared" ref="E10:E19" si="1">D10/$D$19</f>
        <v>0</v>
      </c>
      <c r="F10" s="136">
        <f t="shared" ref="F10:F18" si="2">C10-(C10*$E$6)</f>
        <v>28.050843948604577</v>
      </c>
      <c r="G10" s="13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158">
        <v>1.041382</v>
      </c>
      <c r="C11" s="159">
        <f t="shared" si="0"/>
        <v>29.4</v>
      </c>
      <c r="D11" s="30">
        <v>507.2</v>
      </c>
      <c r="E11" s="135">
        <f t="shared" si="1"/>
        <v>0.47120029728725377</v>
      </c>
      <c r="F11" s="136">
        <f t="shared" si="2"/>
        <v>29.244496882587747</v>
      </c>
      <c r="G11" s="137" t="str">
        <f t="shared" si="3"/>
        <v>-</v>
      </c>
      <c r="H11" s="34">
        <f t="shared" si="4"/>
        <v>14911.679999999998</v>
      </c>
      <c r="I11" s="34">
        <f t="shared" si="5"/>
        <v>14832.808818848505</v>
      </c>
      <c r="J11" s="52"/>
      <c r="K11" s="52"/>
    </row>
    <row r="12" spans="1:11" x14ac:dyDescent="0.25">
      <c r="A12" s="25" t="s">
        <v>27</v>
      </c>
      <c r="B12" s="158">
        <v>0.95138199999999995</v>
      </c>
      <c r="C12" s="159">
        <f t="shared" si="0"/>
        <v>26.8</v>
      </c>
      <c r="D12" s="30">
        <v>457.2</v>
      </c>
      <c r="E12" s="135">
        <f t="shared" si="1"/>
        <v>0.4247491638795986</v>
      </c>
      <c r="F12" s="136">
        <f t="shared" si="2"/>
        <v>26.658248858957542</v>
      </c>
      <c r="G12" s="137" t="str">
        <f t="shared" si="3"/>
        <v>-</v>
      </c>
      <c r="H12" s="34">
        <f t="shared" si="4"/>
        <v>12252.96</v>
      </c>
      <c r="I12" s="34">
        <f t="shared" si="5"/>
        <v>12188.151378315388</v>
      </c>
      <c r="J12" s="52"/>
      <c r="K12" s="52"/>
    </row>
    <row r="13" spans="1:11" x14ac:dyDescent="0.25">
      <c r="A13" s="25" t="s">
        <v>28</v>
      </c>
      <c r="B13" s="158">
        <v>1.041382</v>
      </c>
      <c r="C13" s="159">
        <f t="shared" si="0"/>
        <v>29.4</v>
      </c>
      <c r="D13" s="30"/>
      <c r="E13" s="135">
        <f t="shared" si="1"/>
        <v>0</v>
      </c>
      <c r="F13" s="136">
        <f t="shared" si="2"/>
        <v>29.244496882587747</v>
      </c>
      <c r="G13" s="13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158">
        <v>1.1642144000000001</v>
      </c>
      <c r="C14" s="159">
        <f t="shared" si="0"/>
        <v>32.799999999999997</v>
      </c>
      <c r="D14" s="30"/>
      <c r="E14" s="135">
        <f t="shared" si="1"/>
        <v>0</v>
      </c>
      <c r="F14" s="136">
        <f t="shared" si="2"/>
        <v>32.626513528873403</v>
      </c>
      <c r="G14" s="13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158">
        <v>0.96</v>
      </c>
      <c r="C15" s="159">
        <f t="shared" si="0"/>
        <v>27.1</v>
      </c>
      <c r="D15" s="30">
        <v>96</v>
      </c>
      <c r="E15" s="135">
        <f t="shared" si="1"/>
        <v>8.9186176142697873E-2</v>
      </c>
      <c r="F15" s="136">
        <f t="shared" si="2"/>
        <v>26.956662092453335</v>
      </c>
      <c r="G15" s="137" t="str">
        <f t="shared" si="3"/>
        <v>-</v>
      </c>
      <c r="H15" s="34">
        <f t="shared" si="4"/>
        <v>2601.6000000000004</v>
      </c>
      <c r="I15" s="34">
        <f t="shared" si="5"/>
        <v>2587.83956087552</v>
      </c>
      <c r="J15" s="52"/>
      <c r="K15" s="52"/>
    </row>
    <row r="16" spans="1:11" x14ac:dyDescent="0.25">
      <c r="A16" s="25" t="s">
        <v>31</v>
      </c>
      <c r="B16" s="158">
        <v>1.3142144</v>
      </c>
      <c r="C16" s="159">
        <f t="shared" si="0"/>
        <v>37.1</v>
      </c>
      <c r="D16" s="30"/>
      <c r="E16" s="135">
        <f t="shared" si="1"/>
        <v>0</v>
      </c>
      <c r="F16" s="136">
        <f t="shared" si="2"/>
        <v>36.903769875646447</v>
      </c>
      <c r="G16" s="13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158">
        <v>1.9342143999999999</v>
      </c>
      <c r="C17" s="159">
        <f t="shared" si="0"/>
        <v>54.5</v>
      </c>
      <c r="D17" s="30">
        <v>16</v>
      </c>
      <c r="E17" s="135">
        <f t="shared" si="1"/>
        <v>1.4864362690449646E-2</v>
      </c>
      <c r="F17" s="136">
        <f t="shared" si="2"/>
        <v>54.211737418402464</v>
      </c>
      <c r="G17" s="137" t="str">
        <f t="shared" si="3"/>
        <v>-</v>
      </c>
      <c r="H17" s="34">
        <f t="shared" si="4"/>
        <v>872</v>
      </c>
      <c r="I17" s="34">
        <f t="shared" si="5"/>
        <v>867.38779869443943</v>
      </c>
      <c r="J17" s="52"/>
      <c r="K17" s="52"/>
    </row>
    <row r="18" spans="1:11" x14ac:dyDescent="0.25">
      <c r="A18" s="25" t="s">
        <v>33</v>
      </c>
      <c r="B18" s="158">
        <v>1.6942143999999999</v>
      </c>
      <c r="C18" s="159">
        <f t="shared" si="0"/>
        <v>47.8</v>
      </c>
      <c r="D18" s="30"/>
      <c r="E18" s="135">
        <f t="shared" si="1"/>
        <v>0</v>
      </c>
      <c r="F18" s="136">
        <f t="shared" si="2"/>
        <v>47.547175203663073</v>
      </c>
      <c r="G18" s="13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160"/>
      <c r="C19" s="139">
        <f>H19/D19</f>
        <v>28.46361947231512</v>
      </c>
      <c r="D19" s="49">
        <f>SUM(D10:D18)</f>
        <v>1076.4000000000001</v>
      </c>
      <c r="E19" s="138">
        <f t="shared" si="1"/>
        <v>1</v>
      </c>
      <c r="F19" s="139">
        <f>I19/D19</f>
        <v>28.313069079091274</v>
      </c>
      <c r="G19" s="140">
        <f>F19/C19-1</f>
        <v>-5.2892216806887937E-3</v>
      </c>
      <c r="H19" s="9">
        <f>SUM(H10:H18)</f>
        <v>30638.239999999998</v>
      </c>
      <c r="I19" s="9">
        <f>SUM(I10:I18)</f>
        <v>30476.18755673385</v>
      </c>
      <c r="J19" s="8"/>
      <c r="K19" s="8"/>
    </row>
    <row r="20" spans="1:11" x14ac:dyDescent="0.25">
      <c r="A20" s="39" t="s">
        <v>35</v>
      </c>
      <c r="B20" s="161"/>
      <c r="C20" s="142"/>
      <c r="D20" s="44"/>
      <c r="E20" s="141"/>
      <c r="F20" s="142"/>
      <c r="G20" s="142"/>
      <c r="H20" s="42"/>
      <c r="I20" s="41"/>
      <c r="J20" s="40"/>
      <c r="K20" s="40"/>
    </row>
    <row r="21" spans="1:11" x14ac:dyDescent="0.25">
      <c r="A21" s="25" t="s">
        <v>36</v>
      </c>
      <c r="B21" s="158">
        <v>2.5150000000000001</v>
      </c>
      <c r="C21" s="159">
        <f>ROUND($G$3*B21,1)</f>
        <v>70.900000000000006</v>
      </c>
      <c r="D21" s="30">
        <v>108.5</v>
      </c>
      <c r="E21" s="135">
        <f>D21/$D$48</f>
        <v>1.091571258979054E-2</v>
      </c>
      <c r="F21" s="136">
        <f>C21-(C21*$E$6)</f>
        <v>70.524994182839166</v>
      </c>
      <c r="G21" s="137" t="str">
        <f>IF(C21&gt;=F21,"-","+")</f>
        <v>-</v>
      </c>
      <c r="H21" s="26">
        <f>C21*D21</f>
        <v>7692.6500000000005</v>
      </c>
      <c r="I21" s="26">
        <f>F21*D21</f>
        <v>7651.9618688380497</v>
      </c>
      <c r="J21" s="25"/>
      <c r="K21" s="25"/>
    </row>
    <row r="22" spans="1:11" x14ac:dyDescent="0.25">
      <c r="A22" s="25" t="s">
        <v>37</v>
      </c>
      <c r="B22" s="158">
        <v>1.6890000000000001</v>
      </c>
      <c r="C22" s="159">
        <f>ROUND($G$3*B22,1)</f>
        <v>47.6</v>
      </c>
      <c r="D22" s="30">
        <v>290.2</v>
      </c>
      <c r="E22" s="135">
        <f>D22/$D$48</f>
        <v>2.9195758465965112E-2</v>
      </c>
      <c r="F22" s="136">
        <f>C22-(C22*$E$6)</f>
        <v>47.348233047999216</v>
      </c>
      <c r="G22" s="137" t="str">
        <f>IF(C22&gt;=F22,"-","+")</f>
        <v>-</v>
      </c>
      <c r="H22" s="26">
        <f>C22*D22</f>
        <v>13813.52</v>
      </c>
      <c r="I22" s="26">
        <f>F22*D22</f>
        <v>13740.457230529371</v>
      </c>
      <c r="J22" s="25"/>
      <c r="K22" s="25"/>
    </row>
    <row r="23" spans="1:11" x14ac:dyDescent="0.25">
      <c r="A23" s="25" t="s">
        <v>38</v>
      </c>
      <c r="B23" s="158">
        <v>1.54</v>
      </c>
      <c r="C23" s="159">
        <f>ROUND($G$3*B23,1)</f>
        <v>43.4</v>
      </c>
      <c r="D23" s="30">
        <v>221.5</v>
      </c>
      <c r="E23" s="135">
        <f>D23/$D$48</f>
        <v>2.2284150586530917E-2</v>
      </c>
      <c r="F23" s="136">
        <f>C23-(C23*$E$6)</f>
        <v>43.170447779058108</v>
      </c>
      <c r="G23" s="137" t="str">
        <f>IF(C23&gt;=F23,"-","+")</f>
        <v>-</v>
      </c>
      <c r="H23" s="26">
        <f>C23*D23</f>
        <v>9613.1</v>
      </c>
      <c r="I23" s="26">
        <f>F23*D23</f>
        <v>9562.2541830613718</v>
      </c>
      <c r="J23" s="25"/>
      <c r="K23" s="25"/>
    </row>
    <row r="24" spans="1:11" x14ac:dyDescent="0.25">
      <c r="A24" s="24" t="s">
        <v>34</v>
      </c>
      <c r="B24" s="162"/>
      <c r="C24" s="144">
        <f>H24/D24</f>
        <v>50.176185101580138</v>
      </c>
      <c r="D24" s="22">
        <f>SUM(D21:D23)</f>
        <v>620.20000000000005</v>
      </c>
      <c r="E24" s="143">
        <f>D24/$D$48</f>
        <v>6.2395621642286576E-2</v>
      </c>
      <c r="F24" s="144">
        <f>I24/D24</f>
        <v>49.910792135486595</v>
      </c>
      <c r="G24" s="145">
        <f>F24/C24-1</f>
        <v>-5.2892216806890158E-3</v>
      </c>
      <c r="H24" s="18">
        <f>SUM(H21:H23)</f>
        <v>31119.270000000004</v>
      </c>
      <c r="I24" s="18">
        <f>SUM(I21:I23)</f>
        <v>30954.67328242879</v>
      </c>
      <c r="J24" s="17"/>
      <c r="K24" s="17"/>
    </row>
    <row r="25" spans="1:11" x14ac:dyDescent="0.25">
      <c r="A25" s="39" t="s">
        <v>39</v>
      </c>
      <c r="B25" s="161"/>
      <c r="C25" s="142"/>
      <c r="D25" s="44"/>
      <c r="E25" s="141"/>
      <c r="F25" s="142"/>
      <c r="G25" s="142"/>
      <c r="H25" s="42"/>
      <c r="I25" s="41"/>
      <c r="J25" s="40"/>
      <c r="K25" s="40"/>
    </row>
    <row r="26" spans="1:11" x14ac:dyDescent="0.25">
      <c r="A26" s="25" t="s">
        <v>40</v>
      </c>
      <c r="B26" s="158">
        <v>1.3420000000000001</v>
      </c>
      <c r="C26" s="159">
        <f t="shared" ref="C26:C31" si="6">ROUND($G$3*B26,1)</f>
        <v>37.799999999999997</v>
      </c>
      <c r="D26" s="30">
        <f>251.3+48.2+1669.8</f>
        <v>1969.3</v>
      </c>
      <c r="E26" s="135">
        <f t="shared" ref="E26:E32" si="7">D26/$D$48</f>
        <v>0.19812269864584803</v>
      </c>
      <c r="F26" s="136">
        <f t="shared" ref="F26:F31" si="8">C26-(C26*$E$6)</f>
        <v>37.600067420469962</v>
      </c>
      <c r="G26" s="137" t="str">
        <f t="shared" ref="G26:G31" si="9">IF(C26&gt;=F26,"-","+")</f>
        <v>-</v>
      </c>
      <c r="H26" s="26">
        <f t="shared" ref="H26:H31" si="10">C26*D26</f>
        <v>74439.539999999994</v>
      </c>
      <c r="I26" s="26">
        <f t="shared" ref="I26:I31" si="11">F26*D26</f>
        <v>74045.812771131488</v>
      </c>
      <c r="J26" s="25"/>
      <c r="K26" s="25"/>
    </row>
    <row r="27" spans="1:11" x14ac:dyDescent="0.25">
      <c r="A27" s="25" t="s">
        <v>41</v>
      </c>
      <c r="B27" s="158">
        <v>1.1950000000000001</v>
      </c>
      <c r="C27" s="159">
        <f t="shared" si="6"/>
        <v>33.700000000000003</v>
      </c>
      <c r="D27" s="30">
        <v>1532.1</v>
      </c>
      <c r="E27" s="135">
        <f t="shared" si="7"/>
        <v>0.15413791021952153</v>
      </c>
      <c r="F27" s="136">
        <f t="shared" si="8"/>
        <v>33.52175322936079</v>
      </c>
      <c r="G27" s="137" t="str">
        <f t="shared" si="9"/>
        <v>-</v>
      </c>
      <c r="H27" s="26">
        <f t="shared" si="10"/>
        <v>51631.770000000004</v>
      </c>
      <c r="I27" s="26">
        <f t="shared" si="11"/>
        <v>51358.678122703663</v>
      </c>
      <c r="J27" s="25"/>
      <c r="K27" s="25"/>
    </row>
    <row r="28" spans="1:11" x14ac:dyDescent="0.25">
      <c r="A28" s="25" t="s">
        <v>42</v>
      </c>
      <c r="B28" s="158">
        <v>1.1950000000000001</v>
      </c>
      <c r="C28" s="159">
        <f t="shared" si="6"/>
        <v>33.700000000000003</v>
      </c>
      <c r="D28" s="30">
        <v>1031.9000000000001</v>
      </c>
      <c r="E28" s="135">
        <f t="shared" si="7"/>
        <v>0.10381496609589731</v>
      </c>
      <c r="F28" s="136">
        <f t="shared" si="8"/>
        <v>33.52175322936079</v>
      </c>
      <c r="G28" s="137" t="str">
        <f t="shared" si="9"/>
        <v>-</v>
      </c>
      <c r="H28" s="26">
        <f t="shared" si="10"/>
        <v>34775.030000000006</v>
      </c>
      <c r="I28" s="26">
        <f t="shared" si="11"/>
        <v>34591.0971573774</v>
      </c>
      <c r="J28" s="25"/>
      <c r="K28" s="25"/>
    </row>
    <row r="29" spans="1:11" x14ac:dyDescent="0.25">
      <c r="A29" s="25" t="s">
        <v>43</v>
      </c>
      <c r="B29" s="158">
        <v>1.155</v>
      </c>
      <c r="C29" s="159">
        <f t="shared" si="6"/>
        <v>32.6</v>
      </c>
      <c r="D29" s="30">
        <v>1190.9000000000001</v>
      </c>
      <c r="E29" s="135">
        <f t="shared" si="7"/>
        <v>0.11981126380812493</v>
      </c>
      <c r="F29" s="136">
        <f t="shared" si="8"/>
        <v>32.427571373209545</v>
      </c>
      <c r="G29" s="137" t="str">
        <f t="shared" si="9"/>
        <v>-</v>
      </c>
      <c r="H29" s="26">
        <f t="shared" si="10"/>
        <v>38823.340000000004</v>
      </c>
      <c r="I29" s="26">
        <f t="shared" si="11"/>
        <v>38617.994748355253</v>
      </c>
      <c r="J29" s="25"/>
      <c r="K29" s="25"/>
    </row>
    <row r="30" spans="1:11" x14ac:dyDescent="0.25">
      <c r="A30" s="25" t="s">
        <v>44</v>
      </c>
      <c r="B30" s="158">
        <v>1.155</v>
      </c>
      <c r="C30" s="159">
        <f t="shared" si="6"/>
        <v>32.6</v>
      </c>
      <c r="D30" s="30">
        <v>530.79999999999995</v>
      </c>
      <c r="E30" s="135">
        <f t="shared" si="7"/>
        <v>5.3401476890883114E-2</v>
      </c>
      <c r="F30" s="136">
        <f t="shared" si="8"/>
        <v>32.427571373209545</v>
      </c>
      <c r="G30" s="137" t="str">
        <f t="shared" si="9"/>
        <v>-</v>
      </c>
      <c r="H30" s="26">
        <f t="shared" si="10"/>
        <v>17304.079999999998</v>
      </c>
      <c r="I30" s="26">
        <f t="shared" si="11"/>
        <v>17212.554884899626</v>
      </c>
      <c r="J30" s="25"/>
      <c r="K30" s="25"/>
    </row>
    <row r="31" spans="1:11" x14ac:dyDescent="0.25">
      <c r="A31" s="25" t="s">
        <v>45</v>
      </c>
      <c r="B31" s="158">
        <v>1.175</v>
      </c>
      <c r="C31" s="159">
        <f t="shared" si="6"/>
        <v>33.1</v>
      </c>
      <c r="D31" s="30">
        <v>123.7</v>
      </c>
      <c r="E31" s="135">
        <f t="shared" si="7"/>
        <v>1.2444918408821105E-2</v>
      </c>
      <c r="F31" s="136">
        <f t="shared" si="8"/>
        <v>32.924926762369203</v>
      </c>
      <c r="G31" s="137" t="str">
        <f t="shared" si="9"/>
        <v>-</v>
      </c>
      <c r="H31" s="26">
        <f t="shared" si="10"/>
        <v>4094.4700000000003</v>
      </c>
      <c r="I31" s="26">
        <f t="shared" si="11"/>
        <v>4072.8134405050705</v>
      </c>
      <c r="J31" s="25"/>
      <c r="K31" s="25"/>
    </row>
    <row r="32" spans="1:11" x14ac:dyDescent="0.25">
      <c r="A32" s="24" t="s">
        <v>34</v>
      </c>
      <c r="B32" s="162"/>
      <c r="C32" s="144">
        <f>H32/D32</f>
        <v>34.657254613008924</v>
      </c>
      <c r="D32" s="22">
        <f>SUM(D26:D31)</f>
        <v>6378.6999999999989</v>
      </c>
      <c r="E32" s="143">
        <f t="shared" si="7"/>
        <v>0.64173323406909588</v>
      </c>
      <c r="F32" s="144">
        <f>I32/D32</f>
        <v>34.473944710516648</v>
      </c>
      <c r="G32" s="145">
        <f>F32/C32-1</f>
        <v>-5.2892216806886827E-3</v>
      </c>
      <c r="H32" s="18">
        <f>SUM(H26:H31)</f>
        <v>221068.22999999998</v>
      </c>
      <c r="I32" s="18">
        <f>SUM(I26:I31)</f>
        <v>219898.95112497249</v>
      </c>
      <c r="J32" s="17"/>
      <c r="K32" s="17"/>
    </row>
    <row r="33" spans="1:11" x14ac:dyDescent="0.25">
      <c r="A33" s="39" t="s">
        <v>46</v>
      </c>
      <c r="B33" s="161"/>
      <c r="C33" s="142"/>
      <c r="D33" s="44"/>
      <c r="E33" s="141"/>
      <c r="F33" s="142"/>
      <c r="G33" s="142"/>
      <c r="H33" s="42"/>
      <c r="I33" s="41"/>
      <c r="J33" s="40"/>
      <c r="K33" s="40"/>
    </row>
    <row r="34" spans="1:11" x14ac:dyDescent="0.25">
      <c r="A34" s="25" t="s">
        <v>47</v>
      </c>
      <c r="B34" s="158">
        <v>0.70647199999999999</v>
      </c>
      <c r="C34" s="159">
        <f t="shared" ref="C34:C39" si="12">ROUND($G$3*B34,1)</f>
        <v>19.899999999999999</v>
      </c>
      <c r="D34" s="30">
        <v>1444.3</v>
      </c>
      <c r="E34" s="135">
        <f t="shared" ref="E34:E40" si="13">D34/$D$48</f>
        <v>0.14530473450170023</v>
      </c>
      <c r="F34" s="136">
        <f t="shared" ref="F34:F39" si="14">C34-(C34*$E$6)</f>
        <v>19.79474448855429</v>
      </c>
      <c r="G34" s="137" t="str">
        <f t="shared" ref="G34:G39" si="15">IF(C34&gt;=F34,"-","+")</f>
        <v>-</v>
      </c>
      <c r="H34" s="26">
        <f t="shared" ref="H34:H39" si="16">C34*D34</f>
        <v>28741.569999999996</v>
      </c>
      <c r="I34" s="26">
        <f t="shared" ref="I34:I39" si="17">F34*D34</f>
        <v>28589.54946481896</v>
      </c>
      <c r="J34" s="25"/>
      <c r="K34" s="25"/>
    </row>
    <row r="35" spans="1:11" x14ac:dyDescent="0.25">
      <c r="A35" s="25" t="s">
        <v>48</v>
      </c>
      <c r="B35" s="158">
        <v>0.54348623799999995</v>
      </c>
      <c r="C35" s="159">
        <f t="shared" si="12"/>
        <v>15.3</v>
      </c>
      <c r="D35" s="30"/>
      <c r="E35" s="135">
        <f t="shared" si="13"/>
        <v>0</v>
      </c>
      <c r="F35" s="136">
        <f t="shared" si="14"/>
        <v>15.219074908285462</v>
      </c>
      <c r="G35" s="13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158">
        <v>0.43669723999999999</v>
      </c>
      <c r="C36" s="159">
        <f t="shared" si="12"/>
        <v>12.3</v>
      </c>
      <c r="D36" s="30"/>
      <c r="E36" s="135">
        <f t="shared" si="13"/>
        <v>0</v>
      </c>
      <c r="F36" s="136">
        <f t="shared" si="14"/>
        <v>12.234942573327528</v>
      </c>
      <c r="G36" s="13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158">
        <v>1.155</v>
      </c>
      <c r="C37" s="159">
        <f t="shared" si="12"/>
        <v>32.6</v>
      </c>
      <c r="D37" s="30"/>
      <c r="E37" s="135">
        <f t="shared" si="13"/>
        <v>0</v>
      </c>
      <c r="F37" s="136">
        <f t="shared" si="14"/>
        <v>32.427571373209545</v>
      </c>
      <c r="G37" s="13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158">
        <v>1.155</v>
      </c>
      <c r="C38" s="159">
        <f t="shared" si="12"/>
        <v>32.6</v>
      </c>
      <c r="D38" s="30"/>
      <c r="E38" s="135">
        <f t="shared" si="13"/>
        <v>0</v>
      </c>
      <c r="F38" s="136">
        <f t="shared" si="14"/>
        <v>32.427571373209545</v>
      </c>
      <c r="G38" s="13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158">
        <v>1.1950000000000001</v>
      </c>
      <c r="C39" s="159">
        <f t="shared" si="12"/>
        <v>33.700000000000003</v>
      </c>
      <c r="D39" s="30"/>
      <c r="E39" s="135">
        <f t="shared" si="13"/>
        <v>0</v>
      </c>
      <c r="F39" s="136">
        <f t="shared" si="14"/>
        <v>33.52175322936079</v>
      </c>
      <c r="G39" s="13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162"/>
      <c r="C40" s="144">
        <f>H40/D40</f>
        <v>19.899999999999999</v>
      </c>
      <c r="D40" s="22">
        <f>SUM(D34:D39)</f>
        <v>1444.3</v>
      </c>
      <c r="E40" s="146">
        <f t="shared" si="13"/>
        <v>0.14530473450170023</v>
      </c>
      <c r="F40" s="144">
        <f>I40/D40</f>
        <v>19.79474448855429</v>
      </c>
      <c r="G40" s="145">
        <f>F40/C40-1</f>
        <v>-5.2892216806889047E-3</v>
      </c>
      <c r="H40" s="18">
        <f>SUM(H34:H39)</f>
        <v>28741.569999999996</v>
      </c>
      <c r="I40" s="18">
        <f>SUM(I34:I39)</f>
        <v>28589.54946481896</v>
      </c>
      <c r="J40" s="17"/>
      <c r="K40" s="17"/>
    </row>
    <row r="41" spans="1:11" x14ac:dyDescent="0.25">
      <c r="A41" s="39" t="s">
        <v>53</v>
      </c>
      <c r="B41" s="163"/>
      <c r="C41" s="148"/>
      <c r="D41" s="37"/>
      <c r="E41" s="147"/>
      <c r="F41" s="148"/>
      <c r="G41" s="148"/>
      <c r="H41" s="35"/>
      <c r="I41" s="34"/>
      <c r="J41" s="33"/>
      <c r="K41" s="33"/>
    </row>
    <row r="42" spans="1:11" x14ac:dyDescent="0.25">
      <c r="A42" s="25" t="s">
        <v>54</v>
      </c>
      <c r="B42" s="158">
        <v>1.6513761460000002E-2</v>
      </c>
      <c r="C42" s="159">
        <f>ROUND($G$3*B42,1)</f>
        <v>0.5</v>
      </c>
      <c r="D42" s="30">
        <v>1445</v>
      </c>
      <c r="E42" s="149">
        <f>D42/$D$48</f>
        <v>0.14537515845389246</v>
      </c>
      <c r="F42" s="136">
        <f>C42-(C42*$E$6)</f>
        <v>0.4973553891596556</v>
      </c>
      <c r="G42" s="137" t="str">
        <f>IF(C42&gt;=F42,"-","+")</f>
        <v>-</v>
      </c>
      <c r="H42" s="26">
        <f>C42*D42</f>
        <v>722.5</v>
      </c>
      <c r="I42" s="26">
        <f>F42*D42</f>
        <v>718.67853733570234</v>
      </c>
      <c r="J42" s="25"/>
      <c r="K42" s="25"/>
    </row>
    <row r="43" spans="1:11" x14ac:dyDescent="0.25">
      <c r="A43" s="25" t="s">
        <v>55</v>
      </c>
      <c r="B43" s="158">
        <v>1.6513761460000002E-2</v>
      </c>
      <c r="C43" s="159">
        <f>ROUND($G$3*B43,1)</f>
        <v>0.5</v>
      </c>
      <c r="D43" s="30">
        <v>37.799999999999997</v>
      </c>
      <c r="E43" s="149">
        <f>D43/$D$48</f>
        <v>3.8028934183786394E-3</v>
      </c>
      <c r="F43" s="136">
        <f>C43-(C43*$E$6)</f>
        <v>0.4973553891596556</v>
      </c>
      <c r="G43" s="137" t="str">
        <f>IF(C43&gt;=F43,"-","+")</f>
        <v>-</v>
      </c>
      <c r="H43" s="26">
        <f>C43*D43</f>
        <v>18.899999999999999</v>
      </c>
      <c r="I43" s="26">
        <f>F43*D43</f>
        <v>18.800033710234981</v>
      </c>
      <c r="J43" s="25"/>
      <c r="K43" s="25"/>
    </row>
    <row r="44" spans="1:11" x14ac:dyDescent="0.25">
      <c r="A44" s="25" t="s">
        <v>56</v>
      </c>
      <c r="B44" s="158">
        <v>0</v>
      </c>
      <c r="C44" s="159">
        <f>ROUND($G$3*B44,1)</f>
        <v>0</v>
      </c>
      <c r="D44" s="30">
        <v>7.7</v>
      </c>
      <c r="E44" s="149">
        <f>D44/$D$48</f>
        <v>7.7466347411416739E-4</v>
      </c>
      <c r="F44" s="136">
        <f>C44-(C44*$E$6)</f>
        <v>0</v>
      </c>
      <c r="G44" s="13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158">
        <v>0</v>
      </c>
      <c r="C45" s="159">
        <f>ROUND($G$3*B45,1)</f>
        <v>0</v>
      </c>
      <c r="D45" s="30">
        <v>6.1</v>
      </c>
      <c r="E45" s="149">
        <f>D45/$D$48</f>
        <v>6.1369444053200272E-4</v>
      </c>
      <c r="F45" s="136">
        <f>C45-(C45*$E$6)</f>
        <v>0</v>
      </c>
      <c r="G45" s="13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162"/>
      <c r="C46" s="144">
        <f>H46/D46</f>
        <v>0.49538954964586396</v>
      </c>
      <c r="D46" s="22">
        <f>SUM(D41:D45)</f>
        <v>1496.6</v>
      </c>
      <c r="E46" s="146">
        <f>D46/$D$48</f>
        <v>0.15056640978691724</v>
      </c>
      <c r="F46" s="144">
        <f>I46/D46</f>
        <v>0.4927693244994904</v>
      </c>
      <c r="G46" s="145">
        <f>F46/C46-1</f>
        <v>-5.2892216806887937E-3</v>
      </c>
      <c r="H46" s="18">
        <f>SUM(H41:H44)</f>
        <v>741.4</v>
      </c>
      <c r="I46" s="18">
        <f>SUM(I41:I44)</f>
        <v>737.47857104593731</v>
      </c>
      <c r="J46" s="17"/>
      <c r="K46" s="17"/>
    </row>
    <row r="47" spans="1:11" x14ac:dyDescent="0.25">
      <c r="B47" s="157"/>
      <c r="C47" s="151"/>
      <c r="E47" s="150"/>
      <c r="F47" s="151"/>
      <c r="G47" s="151"/>
    </row>
    <row r="48" spans="1:11" x14ac:dyDescent="0.25">
      <c r="A48" s="10" t="s">
        <v>58</v>
      </c>
      <c r="B48" s="164"/>
      <c r="C48" s="153">
        <f>C24+C32+C40+C46</f>
        <v>105.22882926423492</v>
      </c>
      <c r="D48" s="13">
        <f>D24+D32+D40+D46</f>
        <v>9939.7999999999993</v>
      </c>
      <c r="E48" s="152">
        <f>SUM(E20:E46)/2</f>
        <v>1</v>
      </c>
      <c r="F48" s="153">
        <f>I48/D48</f>
        <v>28.187755532633066</v>
      </c>
      <c r="G48" s="154"/>
      <c r="H48" s="9">
        <f>SUM(H20:H46)/2</f>
        <v>281670.46999999997</v>
      </c>
      <c r="I48" s="9">
        <f>SUM(I20:I46)/2</f>
        <v>280180.65244326612</v>
      </c>
      <c r="J48" s="8"/>
      <c r="K48" s="8"/>
    </row>
    <row r="49" spans="1:11" x14ac:dyDescent="0.25">
      <c r="B49" s="157"/>
      <c r="C49" s="151"/>
      <c r="E49" s="150"/>
      <c r="F49" s="151"/>
      <c r="G49" s="151"/>
    </row>
    <row r="50" spans="1:11" x14ac:dyDescent="0.25">
      <c r="A50" s="10" t="s">
        <v>59</v>
      </c>
      <c r="B50" s="15"/>
      <c r="C50" s="14"/>
      <c r="D50" s="13">
        <f>SUM(D10:D47)/2</f>
        <v>11016.199999999997</v>
      </c>
      <c r="E50" s="152">
        <f>D50/G2</f>
        <v>0.99999999999999967</v>
      </c>
      <c r="F50" s="153">
        <f>I50/D50</f>
        <v>28.200000000000003</v>
      </c>
      <c r="G50" s="154"/>
      <c r="H50" s="9">
        <f>H48+H19</f>
        <v>312308.70999999996</v>
      </c>
      <c r="I50" s="9">
        <f>I48+I19</f>
        <v>310656.83999999997</v>
      </c>
      <c r="J50" s="106">
        <f>D50-G2</f>
        <v>0</v>
      </c>
      <c r="K50" s="8"/>
    </row>
    <row r="51" spans="1:11" ht="23.25" x14ac:dyDescent="0.35">
      <c r="A51" s="174" t="s">
        <v>988</v>
      </c>
      <c r="B51" s="169"/>
      <c r="C51" s="170"/>
      <c r="G51" s="7"/>
      <c r="H51" s="6"/>
      <c r="I51" s="6">
        <f>+I50/D50</f>
        <v>28.200000000000003</v>
      </c>
    </row>
    <row r="52" spans="1:11" ht="18.75" x14ac:dyDescent="0.3">
      <c r="A52" s="175" t="str">
        <f>IF(E46&lt;17%,"KEMİK ORANI İYİ","KEMİK YÜKSEK")</f>
        <v>KEMİK ORANI İYİ</v>
      </c>
      <c r="B52" s="175"/>
      <c r="C52" s="175"/>
      <c r="D52" s="175"/>
      <c r="E52" s="175"/>
      <c r="F52" s="175"/>
      <c r="G52" s="175"/>
      <c r="H52" s="175"/>
      <c r="I52" s="175"/>
    </row>
    <row r="53" spans="1:11" ht="23.25" x14ac:dyDescent="0.35">
      <c r="A53" s="151"/>
      <c r="B53" s="157"/>
      <c r="C53" s="151"/>
      <c r="D53" s="165"/>
      <c r="E53" s="166"/>
      <c r="F53" s="151"/>
      <c r="G53" s="167"/>
      <c r="H53" s="165"/>
      <c r="I53" s="165"/>
    </row>
    <row r="54" spans="1:11" ht="18.75" x14ac:dyDescent="0.3">
      <c r="A54" s="175" t="str">
        <f>IF(I50&lt;H50,"MALİYET İYİ","MALİYET YÜKSEK")</f>
        <v>MALİYET İYİ</v>
      </c>
      <c r="B54" s="175"/>
      <c r="C54" s="175"/>
      <c r="D54" s="175"/>
      <c r="E54" s="175"/>
      <c r="F54" s="175"/>
      <c r="G54" s="175"/>
      <c r="H54" s="175"/>
      <c r="I54" s="175"/>
    </row>
    <row r="55" spans="1:11" x14ac:dyDescent="0.25">
      <c r="G55" s="172">
        <v>30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>
    <tabColor rgb="FFFF0000"/>
  </sheetPr>
  <dimension ref="A1:K56"/>
  <sheetViews>
    <sheetView zoomScaleNormal="100" workbookViewId="0">
      <selection activeCell="G3" sqref="G3"/>
    </sheetView>
  </sheetViews>
  <sheetFormatPr defaultColWidth="9.14062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6" style="2" customWidth="1"/>
    <col min="10" max="10" width="0.140625" style="1" hidden="1" customWidth="1"/>
    <col min="11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989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/>
      <c r="F2" s="110" t="s">
        <v>5</v>
      </c>
      <c r="G2" s="108">
        <f>'G30-19092830-1'!G2+'G30-19092830'!G2+'BO30-19092426'!G2+'G28-19092627'!G2+'MİR27-19092526-S'!G2+'G27-19092325'!G2+'G27-19092426-1'!G2+'ÖB27-19092224-1'!G2+'G26-19092426'!G2+'ÖB26-19092224'!G2+'BAY25-19092324-S'!G2+'ÖB25-19092224-S'!G2+'ÖB25-19092224-D'!G2+'BO24-19092123'!G2+'ÇEK24-19092124-S'!G2+'KAZ24-19092123-S'!G2+'G23-19092123-1'!G2+'G23-19092123'!G2+'ÇA20-19091718'!G2+'ÇA20-19091819-D'!G2+'BO19-19091416'!G2+'MOL19-19091819'!G2+'MEM18-19091718-S'!G2+'ÇEK17-19091417-S'!G2+'KAZ17-19091416-S'!G2+'G16-19091316'!G2+'ÖA16-19091516-1'!G2+'ÖA16-19091516'!G2+'BO13-19091112'!G2+'G13-19091012-1'!G2+'BO13-19090709'!G2+'G12-19091012'!G2+'BO12-19090305-1'!G2+'BA11-19091011-S'!G2+'BA12-19091011'!G2+'ÇEK10-19090710-S'!G2+'BA11-19090709'!G2+'KAZ10-19090709-S'!G2+'BA10-19090709-S'!G2+'G09-19090609-1'!G2+'G09-19090609'!G2+'BO06-19090305'!G2+'G06-19090305-1'!G2+'BO06-19093102-1'!G2+'G05-19090305'!G2+'MEM05-19090304-S'!G2+'BO04-19093102'!G2+'SAY04-19090203-S'!G2+'BAY04-19090203-S'!G2+'TRM03-19090203-S'!G2+'ÇEK03-19093103-S'!G2+'KAZ03-19093102-S'!G2+'G02-19093002-1'!G2+'G02-19093002'!G2+'ÖL02-19082829-S-1'!G2+'ÖL02-19082829-S'!G2+'BO02-19082729'!G2</f>
        <v>493986.85999999993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G30-19092830-1'!E3+'G30-19092830'!E3+'BO30-19092426'!E3+'G28-19092627'!E3+'MİR27-19092526-S'!E3+'G27-19092325'!E3+'G27-19092426-1'!E3+'ÖB27-19092224-1'!E3+'G26-19092426'!E3+'ÖB26-19092224'!E3+'BAY25-19092324-S'!E3+'ÖB25-19092224-S'!E3+'ÖB25-19092224-D'!E3+'BO24-19092123'!E3+'ÇEK24-19092124-S'!E3+'KAZ24-19092123-S'!E3+'G23-19092123-1'!E3+'G23-19092123'!E3+'ÇA20-19091718'!E3+'ÇA20-19091819-D'!E3+'BO19-19091416'!E3+'MOL19-19091819'!E3+'MEM18-19091718-S'!E3+'ÇEK17-19091417-S'!E3+'KAZ17-19091416-S'!E3+'G16-19091316'!E3+'ÖA16-19091516-1'!E3+'ÖA16-19091516'!E3+'BO13-19091112'!E3+'G13-19091012-1'!E3+'BO13-19090709'!E3+'G12-19091012'!E3+'BO12-19090305-1'!E3+'BA11-19091011-S'!E3+'BA12-19091011'!E3+'ÇEK10-19090710-S'!E3+'BA11-19090709'!E3+'KAZ10-19090709-S'!E3+'BA10-19090709-S'!E3+'G09-19090609-1'!E3+'G09-19090609'!E3+'BO06-19090305'!E3+'G06-19090305-1'!E3+'BO06-19093102-1'!E3+'G05-19090305'!E3+'MEM05-19090304-S'!E3+'BO04-19093102'!E3+'SAY04-19090203-S'!E3+'BAY04-19090203-S'!E3+'TRM03-19090203-S'!E3+'ÇEK03-19093103-S'!E3+'KAZ03-19093102-S'!E3+'G02-19093002-1'!E3+'G02-19093002'!E3+'ÖL02-19082829-S-1'!E3+'ÖL02-19082829-S'!E3+'BO02-19082729'!E3</f>
        <v>6652</v>
      </c>
      <c r="F3" s="111" t="s">
        <v>8</v>
      </c>
      <c r="G3" s="114">
        <v>27.17</v>
      </c>
      <c r="H3" s="118" t="s">
        <v>523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74.261404088995775</v>
      </c>
      <c r="F4" s="81" t="s">
        <v>12</v>
      </c>
      <c r="G4" s="112">
        <f>G2*G3</f>
        <v>13421622.986199999</v>
      </c>
      <c r="H4" s="62"/>
      <c r="I4" s="62"/>
      <c r="J4" s="61"/>
      <c r="K4" s="61"/>
    </row>
    <row r="5" spans="1:11" ht="10.5" customHeight="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-0.13943800948953178</v>
      </c>
      <c r="F6" s="69" t="s">
        <v>16</v>
      </c>
      <c r="G6" s="68">
        <f>(I50-I19)/(D50-(SUM(D42:D44)+D19))</f>
        <v>36.782074970502663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13.5" customHeight="1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27.2</v>
      </c>
      <c r="D10" s="117">
        <f>'EYLÜL SIĞIR'!D10+'EYLÜL DANA'!D10+'EYLÜL DÜVE'!D10</f>
        <v>0</v>
      </c>
      <c r="E10" s="29">
        <f t="shared" ref="E10:E19" si="1">D10/$D$19</f>
        <v>0</v>
      </c>
      <c r="F10" s="28">
        <f t="shared" ref="F10:F18" si="2">C10-(C10*$E$6)</f>
        <v>30.992713858115263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28.3</v>
      </c>
      <c r="D11" s="117">
        <f>'EYLÜL SIĞIR'!D11+'EYLÜL DANA'!D11+'EYLÜL DÜVE'!D11</f>
        <v>0</v>
      </c>
      <c r="E11" s="29">
        <f t="shared" si="1"/>
        <v>0</v>
      </c>
      <c r="F11" s="28">
        <f t="shared" si="2"/>
        <v>32.24609566855375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25.8</v>
      </c>
      <c r="D12" s="117">
        <f>'EYLÜL SIĞIR'!D12+'EYLÜL DANA'!D12+'EYLÜL DÜVE'!D12</f>
        <v>0</v>
      </c>
      <c r="E12" s="29">
        <f t="shared" si="1"/>
        <v>0</v>
      </c>
      <c r="F12" s="28">
        <f t="shared" si="2"/>
        <v>29.397500644829922</v>
      </c>
      <c r="G12" s="27" t="str">
        <f>IF(C12&gt;=F12,"-","+")</f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28.3</v>
      </c>
      <c r="D13" s="117">
        <f>'EYLÜL SIĞIR'!D13+'EYLÜL DANA'!D13+'EYLÜL DÜVE'!D13</f>
        <v>0</v>
      </c>
      <c r="E13" s="29">
        <f t="shared" si="1"/>
        <v>0</v>
      </c>
      <c r="F13" s="28">
        <f t="shared" si="2"/>
        <v>32.24609566855375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31.6</v>
      </c>
      <c r="D14" s="117">
        <f>'EYLÜL SIĞIR'!D14+'EYLÜL DANA'!D14+'EYLÜL DÜVE'!D14</f>
        <v>0</v>
      </c>
      <c r="E14" s="29">
        <f t="shared" si="1"/>
        <v>0</v>
      </c>
      <c r="F14" s="28">
        <f t="shared" si="2"/>
        <v>36.006241099869207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26.1</v>
      </c>
      <c r="D15" s="117">
        <f>'EYLÜL SIĞIR'!D15+'EYLÜL DANA'!D15+'EYLÜL DÜVE'!D15</f>
        <v>1806</v>
      </c>
      <c r="E15" s="29">
        <f t="shared" si="1"/>
        <v>0.79957497675654143</v>
      </c>
      <c r="F15" s="28">
        <f t="shared" si="2"/>
        <v>29.739332047676783</v>
      </c>
      <c r="G15" s="27" t="str">
        <f t="shared" si="3"/>
        <v>+</v>
      </c>
      <c r="H15" s="34">
        <f t="shared" si="4"/>
        <v>47136.600000000006</v>
      </c>
      <c r="I15" s="34">
        <f t="shared" si="5"/>
        <v>53709.233678104269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35.700000000000003</v>
      </c>
      <c r="D16" s="117">
        <f>'EYLÜL SIĞIR'!D16+'EYLÜL DANA'!D16+'EYLÜL DÜVE'!D16</f>
        <v>125.7</v>
      </c>
      <c r="E16" s="29">
        <f t="shared" si="1"/>
        <v>5.5651480940363929E-2</v>
      </c>
      <c r="F16" s="28">
        <f t="shared" si="2"/>
        <v>40.677936938776284</v>
      </c>
      <c r="G16" s="27" t="str">
        <f t="shared" si="3"/>
        <v>+</v>
      </c>
      <c r="H16" s="34">
        <f t="shared" si="4"/>
        <v>4487.4900000000007</v>
      </c>
      <c r="I16" s="34">
        <f t="shared" si="5"/>
        <v>5113.2166732041787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52.6</v>
      </c>
      <c r="D17" s="117">
        <f>'EYLÜL SIĞIR'!D17+'EYLÜL DANA'!D17+'EYLÜL DÜVE'!D17</f>
        <v>318</v>
      </c>
      <c r="E17" s="29">
        <f t="shared" si="1"/>
        <v>0.14078894939567008</v>
      </c>
      <c r="F17" s="28">
        <f t="shared" si="2"/>
        <v>59.934439299149375</v>
      </c>
      <c r="G17" s="27" t="str">
        <f t="shared" si="3"/>
        <v>+</v>
      </c>
      <c r="H17" s="34">
        <f t="shared" si="4"/>
        <v>16726.8</v>
      </c>
      <c r="I17" s="34">
        <f t="shared" si="5"/>
        <v>19059.151697129502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46</v>
      </c>
      <c r="D18" s="117">
        <f>'EYLÜL SIĞIR'!D18+'EYLÜL DANA'!D18+'EYLÜL DÜVE'!D18</f>
        <v>9</v>
      </c>
      <c r="E18" s="29">
        <f t="shared" si="1"/>
        <v>3.9845929074246254E-3</v>
      </c>
      <c r="F18" s="28">
        <f t="shared" si="2"/>
        <v>52.41414843651846</v>
      </c>
      <c r="G18" s="27" t="str">
        <f t="shared" si="3"/>
        <v>+</v>
      </c>
      <c r="H18" s="34">
        <f t="shared" si="4"/>
        <v>414</v>
      </c>
      <c r="I18" s="34">
        <f t="shared" si="5"/>
        <v>471.72733592866615</v>
      </c>
      <c r="J18" s="52"/>
      <c r="K18" s="52"/>
    </row>
    <row r="19" spans="1:11" x14ac:dyDescent="0.25">
      <c r="A19" s="51" t="s">
        <v>34</v>
      </c>
      <c r="B19" s="50"/>
      <c r="C19" s="47">
        <f>H19/D19</f>
        <v>30.444454774870504</v>
      </c>
      <c r="D19" s="49">
        <f>SUM(D10:D18)</f>
        <v>2258.6999999999998</v>
      </c>
      <c r="E19" s="48">
        <f t="shared" si="1"/>
        <v>1</v>
      </c>
      <c r="F19" s="47">
        <f>I19/D19</f>
        <v>34.689568948672523</v>
      </c>
      <c r="G19" s="46">
        <f>F19/C19-1</f>
        <v>0.139438009489532</v>
      </c>
      <c r="H19" s="9">
        <f>SUM(H10:H18)</f>
        <v>68764.89</v>
      </c>
      <c r="I19" s="9">
        <f>SUM(I10:I18)</f>
        <v>78353.329384366618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68.3</v>
      </c>
      <c r="D21" s="117">
        <f>'EYLÜL SIĞIR'!D21+'EYLÜL DANA'!D21+'EYLÜL DÜVE'!D21</f>
        <v>5557.56</v>
      </c>
      <c r="E21" s="29">
        <f>D21/$D$48</f>
        <v>1.2585414867522814E-2</v>
      </c>
      <c r="F21" s="28">
        <f>C21-(C21*$E$6)</f>
        <v>77.823616048135023</v>
      </c>
      <c r="G21" s="27" t="str">
        <f>IF(C21&gt;=F21,"-","+")</f>
        <v>+</v>
      </c>
      <c r="H21" s="26">
        <f>C21*D21</f>
        <v>379581.348</v>
      </c>
      <c r="I21" s="26">
        <f>F21*D21</f>
        <v>432509.41560447332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45.9</v>
      </c>
      <c r="D22" s="117">
        <f>'EYLÜL SIĞIR'!D22+'EYLÜL DANA'!D22+'EYLÜL DÜVE'!D22</f>
        <v>12895.600000000002</v>
      </c>
      <c r="E22" s="29">
        <f>D22/$D$48</f>
        <v>2.9202829293003982E-2</v>
      </c>
      <c r="F22" s="28">
        <f>C22-(C22*$E$6)</f>
        <v>52.300204635569507</v>
      </c>
      <c r="G22" s="27" t="str">
        <f>IF(C22&gt;=F22,"-","+")</f>
        <v>+</v>
      </c>
      <c r="H22" s="26">
        <f>C22*D22</f>
        <v>591908.04</v>
      </c>
      <c r="I22" s="26">
        <f>F22*D22</f>
        <v>674442.5188984503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41.8</v>
      </c>
      <c r="D23" s="117">
        <f>'EYLÜL SIĞIR'!D23+'EYLÜL DANA'!D23+'EYLÜL DÜVE'!D23</f>
        <v>10303.5</v>
      </c>
      <c r="E23" s="29">
        <f>D23/$D$48</f>
        <v>2.3332869476446732E-2</v>
      </c>
      <c r="F23" s="28">
        <f>C23-(C23*$E$6)</f>
        <v>47.628508796662423</v>
      </c>
      <c r="G23" s="27" t="str">
        <f>IF(C23&gt;=F23,"-","+")</f>
        <v>+</v>
      </c>
      <c r="H23" s="26">
        <f>C23*D23</f>
        <v>430686.3</v>
      </c>
      <c r="I23" s="26">
        <f>F23*D23</f>
        <v>490740.34038641129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48.760032910637044</v>
      </c>
      <c r="D24" s="22">
        <f>SUM(D21:D23)</f>
        <v>28756.660000000003</v>
      </c>
      <c r="E24" s="21">
        <f>D24/$D$48</f>
        <v>6.5121113636973524E-2</v>
      </c>
      <c r="F24" s="20">
        <f>I24/D24</f>
        <v>55.559034842340346</v>
      </c>
      <c r="G24" s="19">
        <f>F24/C24-1</f>
        <v>0.139438009489532</v>
      </c>
      <c r="H24" s="18">
        <f>SUM(H21:H23)</f>
        <v>1402175.6880000001</v>
      </c>
      <c r="I24" s="18">
        <f>SUM(I21:I23)</f>
        <v>1597692.274889335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36.5</v>
      </c>
      <c r="D26" s="117">
        <f>'EYLÜL SIĞIR'!D26+'EYLÜL DANA'!D26+'EYLÜL DÜVE'!D26</f>
        <v>86917.1</v>
      </c>
      <c r="E26" s="29">
        <f t="shared" ref="E26:E32" si="7">D26/$D$48</f>
        <v>0.19682878144041038</v>
      </c>
      <c r="F26" s="28">
        <f t="shared" ref="F26:F31" si="8">C26-(C26*$E$6)</f>
        <v>41.58948734636791</v>
      </c>
      <c r="G26" s="27" t="str">
        <f t="shared" ref="G26:G31" si="9">IF(C26&gt;=F26,"-","+")</f>
        <v>+</v>
      </c>
      <c r="H26" s="26">
        <f t="shared" ref="H26:H31" si="10">C26*D26</f>
        <v>3172474.1500000004</v>
      </c>
      <c r="I26" s="26">
        <f t="shared" ref="I26:I31" si="11">F26*D26</f>
        <v>3614837.6306329947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32.5</v>
      </c>
      <c r="D27" s="117">
        <f>'EYLÜL SIĞIR'!D27+'EYLÜL DANA'!D27+'EYLÜL DÜVE'!D27</f>
        <v>68209.899999999994</v>
      </c>
      <c r="E27" s="29">
        <f t="shared" si="7"/>
        <v>0.1544652490611427</v>
      </c>
      <c r="F27" s="28">
        <f t="shared" si="8"/>
        <v>37.031735308409779</v>
      </c>
      <c r="G27" s="27" t="str">
        <f t="shared" si="9"/>
        <v>+</v>
      </c>
      <c r="H27" s="26">
        <f t="shared" si="10"/>
        <v>2216821.75</v>
      </c>
      <c r="I27" s="26">
        <f t="shared" si="11"/>
        <v>2525930.9622130999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32.5</v>
      </c>
      <c r="D28" s="117">
        <f>'EYLÜL SIĞIR'!D28+'EYLÜL DANA'!D28+'EYLÜL DÜVE'!D28</f>
        <v>41805.099999999991</v>
      </c>
      <c r="E28" s="29">
        <f t="shared" si="7"/>
        <v>9.4670057917193476E-2</v>
      </c>
      <c r="F28" s="28">
        <f t="shared" si="8"/>
        <v>37.031735308409779</v>
      </c>
      <c r="G28" s="27" t="str">
        <f t="shared" si="9"/>
        <v>+</v>
      </c>
      <c r="H28" s="26">
        <f t="shared" si="10"/>
        <v>1358665.7499999998</v>
      </c>
      <c r="I28" s="26">
        <f t="shared" si="11"/>
        <v>1548115.3977416013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31.4</v>
      </c>
      <c r="D29" s="117">
        <f>'EYLÜL SIĞIR'!D29+'EYLÜL DANA'!D29+'EYLÜL DÜVE'!D29</f>
        <v>37268.699999999997</v>
      </c>
      <c r="E29" s="29">
        <f t="shared" si="7"/>
        <v>8.4397118712752961E-2</v>
      </c>
      <c r="F29" s="28">
        <f t="shared" si="8"/>
        <v>35.778353497971295</v>
      </c>
      <c r="G29" s="27" t="str">
        <f t="shared" si="9"/>
        <v>+</v>
      </c>
      <c r="H29" s="26">
        <f t="shared" si="10"/>
        <v>1170237.18</v>
      </c>
      <c r="I29" s="26">
        <f t="shared" si="11"/>
        <v>1333412.7230098427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31.4</v>
      </c>
      <c r="D30" s="117">
        <f>'EYLÜL SIĞIR'!D30+'EYLÜL DANA'!D30+'EYLÜL DÜVE'!D30</f>
        <v>28525.200000000001</v>
      </c>
      <c r="E30" s="29">
        <f t="shared" si="7"/>
        <v>6.4596959129377227E-2</v>
      </c>
      <c r="F30" s="28">
        <f t="shared" si="8"/>
        <v>35.778353497971295</v>
      </c>
      <c r="G30" s="27" t="str">
        <f t="shared" si="9"/>
        <v>+</v>
      </c>
      <c r="H30" s="26">
        <f t="shared" si="10"/>
        <v>895691.28</v>
      </c>
      <c r="I30" s="26">
        <f t="shared" si="11"/>
        <v>1020584.6892003309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31.9</v>
      </c>
      <c r="D31" s="117">
        <f>'EYLÜL SIĞIR'!D31+'EYLÜL DANA'!D31+'EYLÜL DÜVE'!D31</f>
        <v>8761.4999999999982</v>
      </c>
      <c r="E31" s="29">
        <f t="shared" si="7"/>
        <v>1.9840921620603483E-2</v>
      </c>
      <c r="F31" s="28">
        <f t="shared" si="8"/>
        <v>36.348072502716064</v>
      </c>
      <c r="G31" s="27" t="str">
        <f t="shared" si="9"/>
        <v>+</v>
      </c>
      <c r="H31" s="26">
        <f t="shared" si="10"/>
        <v>279491.84999999992</v>
      </c>
      <c r="I31" s="26">
        <f t="shared" si="11"/>
        <v>318463.63723254675</v>
      </c>
      <c r="J31" s="25"/>
      <c r="K31" s="25"/>
    </row>
    <row r="32" spans="1:11" x14ac:dyDescent="0.25">
      <c r="A32" s="24" t="s">
        <v>34</v>
      </c>
      <c r="B32" s="23"/>
      <c r="C32" s="20">
        <f>H32/D32</f>
        <v>33.494661669505959</v>
      </c>
      <c r="D32" s="22">
        <f>SUM(D26:D31)</f>
        <v>271487.5</v>
      </c>
      <c r="E32" s="21">
        <f t="shared" si="7"/>
        <v>0.6147990878814803</v>
      </c>
      <c r="F32" s="20">
        <f>I32/D32</f>
        <v>38.165090621227193</v>
      </c>
      <c r="G32" s="19">
        <f>F32/C32-1</f>
        <v>0.139438009489532</v>
      </c>
      <c r="H32" s="18">
        <f>SUM(H26:H31)</f>
        <v>9093381.959999999</v>
      </c>
      <c r="I32" s="18">
        <f>SUM(I26:I31)</f>
        <v>10361345.040030418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19.2</v>
      </c>
      <c r="D34" s="117">
        <f>'EYLÜL SIĞIR'!D34+'EYLÜL DANA'!D34+'EYLÜL DÜVE'!D34</f>
        <v>59679.899999999994</v>
      </c>
      <c r="E34" s="29">
        <f t="shared" ref="E34:E40" si="13">D34/$D$48</f>
        <v>0.13514857253044044</v>
      </c>
      <c r="F34" s="28">
        <f t="shared" ref="F34:F39" si="14">C34-(C34*$E$6)</f>
        <v>21.87720978219901</v>
      </c>
      <c r="G34" s="27" t="str">
        <f t="shared" ref="G34:G39" si="15">IF(C34&gt;=F34,"-","+")</f>
        <v>+</v>
      </c>
      <c r="H34" s="26">
        <f t="shared" ref="H34:H39" si="16">C34*D34</f>
        <v>1145854.0799999998</v>
      </c>
      <c r="I34" s="26">
        <f t="shared" ref="I34:I39" si="17">F34*D34</f>
        <v>1305629.6920806586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14.8</v>
      </c>
      <c r="D35" s="117">
        <f>'EYLÜL SIĞIR'!D35+'EYLÜL DANA'!D35+'EYLÜL DÜVE'!D35</f>
        <v>2541.15</v>
      </c>
      <c r="E35" s="29">
        <f t="shared" si="13"/>
        <v>5.7545806056264973E-3</v>
      </c>
      <c r="F35" s="28">
        <f t="shared" si="14"/>
        <v>16.863682540445073</v>
      </c>
      <c r="G35" s="27" t="str">
        <f t="shared" si="15"/>
        <v>+</v>
      </c>
      <c r="H35" s="26">
        <f t="shared" si="16"/>
        <v>37609.020000000004</v>
      </c>
      <c r="I35" s="26">
        <f t="shared" si="17"/>
        <v>42853.146887652001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11.9</v>
      </c>
      <c r="D36" s="117">
        <f>'EYLÜL SIĞIR'!D36+'EYLÜL DANA'!D36+'EYLÜL DÜVE'!D36</f>
        <v>0</v>
      </c>
      <c r="E36" s="29">
        <f t="shared" si="13"/>
        <v>0</v>
      </c>
      <c r="F36" s="28">
        <f t="shared" si="14"/>
        <v>13.559312312925428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31.4</v>
      </c>
      <c r="D37" s="117">
        <f>'EYLÜL SIĞIR'!D37+'EYLÜL DANA'!D37+'EYLÜL DÜVE'!D37</f>
        <v>0</v>
      </c>
      <c r="E37" s="29">
        <f t="shared" si="13"/>
        <v>0</v>
      </c>
      <c r="F37" s="28">
        <f t="shared" si="14"/>
        <v>35.778353497971295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31.4</v>
      </c>
      <c r="D38" s="117">
        <f>'EYLÜL SIĞIR'!D38+'EYLÜL DANA'!D38+'EYLÜL DÜVE'!D38</f>
        <v>0</v>
      </c>
      <c r="E38" s="29">
        <f t="shared" si="13"/>
        <v>0</v>
      </c>
      <c r="F38" s="28">
        <f t="shared" si="14"/>
        <v>35.778353497971295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32.5</v>
      </c>
      <c r="D39" s="117">
        <f>'EYLÜL SIĞIR'!D39+'EYLÜL DANA'!D39+'EYLÜL DÜVE'!D39</f>
        <v>0</v>
      </c>
      <c r="E39" s="29">
        <f t="shared" si="13"/>
        <v>0</v>
      </c>
      <c r="F39" s="28">
        <f t="shared" si="14"/>
        <v>37.031735308409779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19.020301007456478</v>
      </c>
      <c r="D40" s="22">
        <f>SUM(D34:D39)</f>
        <v>62221.049999999996</v>
      </c>
      <c r="E40" s="21">
        <f t="shared" si="13"/>
        <v>0.14090315313606694</v>
      </c>
      <c r="F40" s="20">
        <f>I40/D40</f>
        <v>21.672453919827948</v>
      </c>
      <c r="G40" s="19">
        <f>F40/C40-1</f>
        <v>0.139438009489532</v>
      </c>
      <c r="H40" s="18">
        <f>SUM(H34:H39)</f>
        <v>1183463.0999999999</v>
      </c>
      <c r="I40" s="18">
        <f>SUM(I34:I39)</f>
        <v>1348482.8389683107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117">
        <f>'EYLÜL SIĞIR'!D42+'EYLÜL DANA'!D42+'EYLÜL DÜVE'!D42</f>
        <v>75386.3</v>
      </c>
      <c r="E42" s="107">
        <f>D42/$D$48</f>
        <v>0.17071662039231875</v>
      </c>
      <c r="F42" s="28">
        <f>C42-(C42*$E$6)</f>
        <v>0.45577520379581271</v>
      </c>
      <c r="G42" s="27" t="str">
        <f>IF(C42&gt;=F42,"-","+")</f>
        <v>+</v>
      </c>
      <c r="H42" s="26">
        <f>C42*D42</f>
        <v>30154.520000000004</v>
      </c>
      <c r="I42" s="26">
        <f>F42*D42</f>
        <v>34359.206245912275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117">
        <f>'EYLÜL SIĞIR'!D43+'EYLÜL DANA'!D43+'EYLÜL DÜVE'!D43</f>
        <v>3050.4</v>
      </c>
      <c r="E43" s="107">
        <f>D43/$D$48</f>
        <v>6.9078065755280348E-3</v>
      </c>
      <c r="F43" s="28">
        <f>C43-(C43*$E$6)</f>
        <v>0.45577520379581271</v>
      </c>
      <c r="G43" s="27" t="str">
        <f>IF(C43&gt;=F43,"-","+")</f>
        <v>+</v>
      </c>
      <c r="H43" s="26">
        <f>C43*D43</f>
        <v>1220.1600000000001</v>
      </c>
      <c r="I43" s="26">
        <f>F43*D43</f>
        <v>1390.296681658747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'EYLÜL SIĞIR'!D44+'EYLÜL DANA'!D44+'EYLÜL DÜVE'!D44</f>
        <v>385.09999999999997</v>
      </c>
      <c r="E44" s="107">
        <f>D44/$D$48</f>
        <v>8.7208114091130544E-4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'EYLÜL SIĞIR'!D45+'EYLÜL DANA'!D45+'EYLÜL DÜVE'!D45</f>
        <v>300.33999999999997</v>
      </c>
      <c r="E45" s="107">
        <f>D45/$D$48</f>
        <v>6.8013723672111519E-4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0.39653477522220715</v>
      </c>
      <c r="D46" s="22">
        <f>SUM(D41:D45)</f>
        <v>79122.14</v>
      </c>
      <c r="E46" s="21">
        <f>D46/$D$48</f>
        <v>0.1791766453454792</v>
      </c>
      <c r="F46" s="20">
        <f>I46/D46</f>
        <v>0.45182679497257061</v>
      </c>
      <c r="G46" s="19">
        <f>F46/C46-1</f>
        <v>0.13943800948953178</v>
      </c>
      <c r="H46" s="18">
        <f>SUM(H41:H44)</f>
        <v>31374.680000000004</v>
      </c>
      <c r="I46" s="18">
        <f>SUM(I41:I44)</f>
        <v>35749.502927571026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101.67153036282168</v>
      </c>
      <c r="D48" s="13">
        <f>D24+D32+D40+D46</f>
        <v>441587.35000000003</v>
      </c>
      <c r="E48" s="12">
        <f>SUM(E20:E46)/2</f>
        <v>1</v>
      </c>
      <c r="F48" s="11">
        <f>I48/D48</f>
        <v>30.21660302727339</v>
      </c>
      <c r="G48" s="10"/>
      <c r="H48" s="9">
        <f>SUM(H20:H46)/2</f>
        <v>11710395.427999998</v>
      </c>
      <c r="I48" s="9">
        <f>SUM(I20:I46)/2</f>
        <v>13343269.656815635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443846.05000000005</v>
      </c>
      <c r="E50" s="12">
        <f>D50/G2</f>
        <v>0.8984976847359869</v>
      </c>
      <c r="F50" s="11">
        <f>I50/D50</f>
        <v>30.239365622832512</v>
      </c>
      <c r="G50" s="10"/>
      <c r="H50" s="9">
        <f>H48+H19</f>
        <v>11779160.317999998</v>
      </c>
      <c r="I50" s="9">
        <f>I48+I19</f>
        <v>13421622.986200001</v>
      </c>
      <c r="J50" s="106">
        <f>D50-G2</f>
        <v>-50140.809999999881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30.239365622832512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rintOptions headings="1" gridLines="1"/>
  <pageMargins left="0.25" right="0.25" top="0.75" bottom="0.75" header="0.3" footer="0.3"/>
  <pageSetup paperSize="9" orientation="landscape" r:id="rId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>
    <tabColor rgb="FFFF0000"/>
  </sheetPr>
  <dimension ref="A1:K56"/>
  <sheetViews>
    <sheetView zoomScaleNormal="100" workbookViewId="0">
      <selection activeCell="H4" sqref="H4"/>
    </sheetView>
  </sheetViews>
  <sheetFormatPr defaultColWidth="9.14062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15.28515625" style="2" customWidth="1"/>
    <col min="9" max="9" width="16" style="2" customWidth="1"/>
    <col min="10" max="10" width="0.140625" style="1" hidden="1" customWidth="1"/>
    <col min="11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989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112</v>
      </c>
      <c r="F2" s="110" t="s">
        <v>5</v>
      </c>
      <c r="G2" s="108">
        <f>'MİR27-19092526-S'!G2+'BAY25-19092324-S'!G2+'ÖB25-19092224-S'!G2+'ÇEK24-19092124-S'!G2+'KAZ24-19092123-S'!G2+'MEM18-19091718-S'!G2+'ÇEK17-19091417-S'!G2+'KAZ17-19091416-S'!G2+'BA11-19091011-S'!G2+'ÇEK10-19090710-S'!G2+'KAZ10-19090709-S'!G2+'BA10-19090709-S'!G2+'MEM05-19090304-S'!G2+'SAY04-19090203-S'!G2+'BAY04-19090203-S'!G2+'TRM03-19090203-S'!G2+'ÇEK03-19093103-S'!G2+'KAZ03-19093102-S'!G2+'ÖL02-19082829-S-1'!G2+'ÖL02-19082829-S'!G2</f>
        <v>137790.69999999998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MİR27-19092526-S'!E3+'BAY25-19092324-S'!E3+'ÖB25-19092224-S'!E3+'ÇEK24-19092124-S'!E3+'KAZ24-19092123-S'!E3+'MEM18-19091718-S'!E3+'ÇEK17-19091417-S'!E3+'KAZ17-19091416-S'!E3+'BA11-19091011-S'!E3+'ÇEK10-19090710-S'!E3+'KAZ10-19090709-S'!E3+'BA10-19090709-S'!E3+'MEM05-19090304-S'!E3+'SAY04-19090203-S'!E3+'BAY04-19090203-S'!E3+'TRM03-19090203-S'!E3+'ÇEK03-19093103-S'!E3+'KAZ03-19093102-S'!E3+'ÖL02-19082829-S-1'!E3+'ÖL02-19082829-S'!E3</f>
        <v>2130</v>
      </c>
      <c r="F3" s="111" t="s">
        <v>8</v>
      </c>
      <c r="G3" s="114">
        <v>24.56</v>
      </c>
      <c r="H3" s="118" t="s">
        <v>814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64.690469483568066</v>
      </c>
      <c r="F4" s="81" t="s">
        <v>12</v>
      </c>
      <c r="G4" s="112">
        <f>G2*G3</f>
        <v>3384139.5919999992</v>
      </c>
      <c r="H4" s="62"/>
      <c r="I4" s="62"/>
      <c r="J4" s="61"/>
      <c r="K4" s="61"/>
    </row>
    <row r="5" spans="1:11" ht="10.5" customHeight="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-8.5915245276202645E-2</v>
      </c>
      <c r="F6" s="69" t="s">
        <v>16</v>
      </c>
      <c r="G6" s="68">
        <f>(I50-I19)/(D50-(SUM(D42:D44)+D19))</f>
        <v>31.230806817494422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13.5" customHeight="1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24.6</v>
      </c>
      <c r="D10" s="117">
        <f>'MİR27-19092526-S'!D10+'BAY25-19092324-S'!D10+'ÖB25-19092224-S'!D10+'ÇEK24-19092124-S'!D10+'KAZ24-19092123-S'!D10+'MEM18-19091718-S'!D10+'ÇEK17-19091417-S'!D10+'KAZ17-19091416-S'!D10+'BA11-19091011-S'!D10+'ÇEK10-19090710-S'!D10+'KAZ10-19090709-S'!D10+'BA10-19090709-S'!D10+'MEM05-19090304-S'!D10+'SAY04-19090203-S'!D10+'BAY04-19090203-S'!D10+'TRM03-19090203-S'!D10+'ÇEK03-19093103-S'!D10+'KAZ03-19093102-S'!D10+'ÖL02-19082829-S-1'!D10+'ÖL02-19082829-S'!D10</f>
        <v>0</v>
      </c>
      <c r="E10" s="29">
        <f t="shared" ref="E10:E19" si="1">D10/$D$19</f>
        <v>0</v>
      </c>
      <c r="F10" s="28">
        <f t="shared" ref="F10:F18" si="2">C10-(C10*$E$6)</f>
        <v>26.713515033794586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25.6</v>
      </c>
      <c r="D11" s="117">
        <f>'MİR27-19092526-S'!D11+'BAY25-19092324-S'!D11+'ÖB25-19092224-S'!D11+'ÇEK24-19092124-S'!D11+'KAZ24-19092123-S'!D11+'MEM18-19091718-S'!D11+'ÇEK17-19091417-S'!D11+'KAZ17-19091416-S'!D11+'BA11-19091011-S'!D11+'ÇEK10-19090710-S'!D11+'KAZ10-19090709-S'!D11+'BA10-19090709-S'!D11+'MEM05-19090304-S'!D11+'SAY04-19090203-S'!D11+'BAY04-19090203-S'!D11+'TRM03-19090203-S'!D11+'ÇEK03-19093103-S'!D11+'KAZ03-19093102-S'!D11+'ÖL02-19082829-S-1'!D11+'ÖL02-19082829-S'!D11</f>
        <v>0</v>
      </c>
      <c r="E11" s="29">
        <f t="shared" si="1"/>
        <v>0</v>
      </c>
      <c r="F11" s="28">
        <f t="shared" si="2"/>
        <v>27.799430279070791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23.4</v>
      </c>
      <c r="D12" s="117">
        <f>'MİR27-19092526-S'!D12+'BAY25-19092324-S'!D12+'ÖB25-19092224-S'!D12+'ÇEK24-19092124-S'!D12+'KAZ24-19092123-S'!D12+'MEM18-19091718-S'!D12+'ÇEK17-19091417-S'!D12+'KAZ17-19091416-S'!D12+'BA11-19091011-S'!D12+'ÇEK10-19090710-S'!D12+'KAZ10-19090709-S'!D12+'BA10-19090709-S'!D12+'MEM05-19090304-S'!D12+'SAY04-19090203-S'!D12+'BAY04-19090203-S'!D12+'TRM03-19090203-S'!D12+'ÇEK03-19093103-S'!D12+'KAZ03-19093102-S'!D12+'ÖL02-19082829-S-1'!D12+'ÖL02-19082829-S'!D12</f>
        <v>0</v>
      </c>
      <c r="E12" s="29">
        <f t="shared" si="1"/>
        <v>0</v>
      </c>
      <c r="F12" s="28">
        <f t="shared" si="2"/>
        <v>25.410416739463141</v>
      </c>
      <c r="G12" s="27" t="str">
        <f>IF(C12&gt;=F12,"-","+")</f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25.6</v>
      </c>
      <c r="D13" s="117">
        <f>'MİR27-19092526-S'!D13+'BAY25-19092324-S'!D13+'ÖB25-19092224-S'!D13+'ÇEK24-19092124-S'!D13+'KAZ24-19092123-S'!D13+'MEM18-19091718-S'!D13+'ÇEK17-19091417-S'!D13+'KAZ17-19091416-S'!D13+'BA11-19091011-S'!D13+'ÇEK10-19090710-S'!D13+'KAZ10-19090709-S'!D13+'BA10-19090709-S'!D13+'MEM05-19090304-S'!D13+'SAY04-19090203-S'!D13+'BAY04-19090203-S'!D13+'TRM03-19090203-S'!D13+'ÇEK03-19093103-S'!D13+'KAZ03-19093102-S'!D13+'ÖL02-19082829-S-1'!D13+'ÖL02-19082829-S'!D13</f>
        <v>0</v>
      </c>
      <c r="E13" s="29">
        <f t="shared" si="1"/>
        <v>0</v>
      </c>
      <c r="F13" s="28">
        <f t="shared" si="2"/>
        <v>27.799430279070791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28.6</v>
      </c>
      <c r="D14" s="117">
        <f>'MİR27-19092526-S'!D14+'BAY25-19092324-S'!D14+'ÖB25-19092224-S'!D14+'ÇEK24-19092124-S'!D14+'KAZ24-19092123-S'!D14+'MEM18-19091718-S'!D14+'ÇEK17-19091417-S'!D14+'KAZ17-19091416-S'!D14+'BA11-19091011-S'!D14+'ÇEK10-19090710-S'!D14+'KAZ10-19090709-S'!D14+'BA10-19090709-S'!D14+'MEM05-19090304-S'!D14+'SAY04-19090203-S'!D14+'BAY04-19090203-S'!D14+'TRM03-19090203-S'!D14+'ÇEK03-19093103-S'!D14+'KAZ03-19093102-S'!D14+'ÖL02-19082829-S-1'!D14+'ÖL02-19082829-S'!D14</f>
        <v>0</v>
      </c>
      <c r="E14" s="29">
        <f t="shared" si="1"/>
        <v>0</v>
      </c>
      <c r="F14" s="28">
        <f t="shared" si="2"/>
        <v>31.057176014899397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23.6</v>
      </c>
      <c r="D15" s="117">
        <f>'MİR27-19092526-S'!D15+'BAY25-19092324-S'!D15+'ÖB25-19092224-S'!D15+'ÇEK24-19092124-S'!D15+'KAZ24-19092123-S'!D15+'MEM18-19091718-S'!D15+'ÇEK17-19091417-S'!D15+'KAZ17-19091416-S'!D15+'BA11-19091011-S'!D15+'ÇEK10-19090710-S'!D15+'KAZ10-19090709-S'!D15+'BA10-19090709-S'!D15+'MEM05-19090304-S'!D15+'SAY04-19090203-S'!D15+'BAY04-19090203-S'!D15+'TRM03-19090203-S'!D15+'ÇEK03-19093103-S'!D15+'KAZ03-19093102-S'!D15+'ÖL02-19082829-S-1'!D15+'ÖL02-19082829-S'!D15</f>
        <v>0</v>
      </c>
      <c r="E15" s="29">
        <f t="shared" si="1"/>
        <v>0</v>
      </c>
      <c r="F15" s="28">
        <f t="shared" si="2"/>
        <v>25.627599788518385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32.299999999999997</v>
      </c>
      <c r="D16" s="117">
        <f>'MİR27-19092526-S'!D16+'BAY25-19092324-S'!D16+'ÖB25-19092224-S'!D16+'ÇEK24-19092124-S'!D16+'KAZ24-19092123-S'!D16+'MEM18-19091718-S'!D16+'ÇEK17-19091417-S'!D16+'KAZ17-19091416-S'!D16+'BA11-19091011-S'!D16+'ÇEK10-19090710-S'!D16+'KAZ10-19090709-S'!D16+'BA10-19090709-S'!D16+'MEM05-19090304-S'!D16+'SAY04-19090203-S'!D16+'BAY04-19090203-S'!D16+'TRM03-19090203-S'!D16+'ÇEK03-19093103-S'!D16+'KAZ03-19093102-S'!D16+'ÖL02-19082829-S-1'!D16+'ÖL02-19082829-S'!D16</f>
        <v>81.7</v>
      </c>
      <c r="E16" s="29">
        <f t="shared" si="1"/>
        <v>0.30248056275453533</v>
      </c>
      <c r="F16" s="28">
        <f t="shared" si="2"/>
        <v>35.07506242242134</v>
      </c>
      <c r="G16" s="27" t="str">
        <f t="shared" si="3"/>
        <v>+</v>
      </c>
      <c r="H16" s="34">
        <f t="shared" si="4"/>
        <v>2638.91</v>
      </c>
      <c r="I16" s="34">
        <f t="shared" si="5"/>
        <v>2865.6325999118235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47.5</v>
      </c>
      <c r="D17" s="117">
        <f>'MİR27-19092526-S'!D17+'BAY25-19092324-S'!D17+'ÖB25-19092224-S'!D17+'ÇEK24-19092124-S'!D17+'KAZ24-19092123-S'!D17+'MEM18-19091718-S'!D17+'ÇEK17-19091417-S'!D17+'KAZ17-19091416-S'!D17+'BA11-19091011-S'!D17+'ÇEK10-19090710-S'!D17+'KAZ10-19090709-S'!D17+'BA10-19090709-S'!D17+'MEM05-19090304-S'!D17+'SAY04-19090203-S'!D17+'BAY04-19090203-S'!D17+'TRM03-19090203-S'!D17+'ÇEK03-19093103-S'!D17+'KAZ03-19093102-S'!D17+'ÖL02-19082829-S-1'!D17+'ÖL02-19082829-S'!D17</f>
        <v>188.4</v>
      </c>
      <c r="E17" s="29">
        <f t="shared" si="1"/>
        <v>0.69751943724546461</v>
      </c>
      <c r="F17" s="28">
        <f t="shared" si="2"/>
        <v>51.580974150619625</v>
      </c>
      <c r="G17" s="27" t="str">
        <f t="shared" si="3"/>
        <v>+</v>
      </c>
      <c r="H17" s="34">
        <f t="shared" si="4"/>
        <v>8949</v>
      </c>
      <c r="I17" s="34">
        <f t="shared" si="5"/>
        <v>9717.8555299767377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41.6</v>
      </c>
      <c r="D18" s="117">
        <f>'MİR27-19092526-S'!D18+'BAY25-19092324-S'!D18+'ÖB25-19092224-S'!D18+'ÇEK24-19092124-S'!D18+'KAZ24-19092123-S'!D18+'MEM18-19091718-S'!D18+'ÇEK17-19091417-S'!D18+'KAZ17-19091416-S'!D18+'BA11-19091011-S'!D18+'ÇEK10-19090710-S'!D18+'KAZ10-19090709-S'!D18+'BA10-19090709-S'!D18+'MEM05-19090304-S'!D18+'SAY04-19090203-S'!D18+'BAY04-19090203-S'!D18+'TRM03-19090203-S'!D18+'ÇEK03-19093103-S'!D18+'KAZ03-19093102-S'!D18+'ÖL02-19082829-S-1'!D18+'ÖL02-19082829-S'!D18</f>
        <v>0</v>
      </c>
      <c r="E18" s="29">
        <f t="shared" si="1"/>
        <v>0</v>
      </c>
      <c r="F18" s="28">
        <f t="shared" si="2"/>
        <v>45.174074203490029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>
        <f>H19/D19</f>
        <v>42.902295446131056</v>
      </c>
      <c r="D19" s="49">
        <f>SUM(D10:D18)</f>
        <v>270.10000000000002</v>
      </c>
      <c r="E19" s="48">
        <f t="shared" si="1"/>
        <v>1</v>
      </c>
      <c r="F19" s="47">
        <f>I19/D19</f>
        <v>46.588256682297519</v>
      </c>
      <c r="G19" s="46">
        <f>F19/C19-1</f>
        <v>8.5915245276202645E-2</v>
      </c>
      <c r="H19" s="9">
        <f>SUM(H10:H18)</f>
        <v>11587.91</v>
      </c>
      <c r="I19" s="9">
        <f>SUM(I10:I18)</f>
        <v>12583.488129888561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61.8</v>
      </c>
      <c r="D21" s="117">
        <f>'MİR27-19092526-S'!D21+'BAY25-19092324-S'!D21+'ÖB25-19092224-S'!D21+'ÇEK24-19092124-S'!D21+'KAZ24-19092123-S'!D21+'MEM18-19091718-S'!D21+'ÇEK17-19091417-S'!D21+'KAZ17-19091416-S'!D21+'BA11-19091011-S'!D21+'ÇEK10-19090710-S'!D21+'KAZ10-19090709-S'!D21+'BA10-19090709-S'!D21+'MEM05-19090304-S'!D21+'SAY04-19090203-S'!D21+'BAY04-19090203-S'!D21+'TRM03-19090203-S'!D21+'ÇEK03-19093103-S'!D21+'KAZ03-19093102-S'!D21+'ÖL02-19082829-S-1'!D21+'ÖL02-19082829-S'!D21</f>
        <v>1820.2000000000003</v>
      </c>
      <c r="E21" s="29">
        <f>D21/$D$48</f>
        <v>1.3235835213051718E-2</v>
      </c>
      <c r="F21" s="28">
        <f>C21-(C21*$E$6)</f>
        <v>67.109562158069323</v>
      </c>
      <c r="G21" s="27" t="str">
        <f>IF(C21&gt;=F21,"-","+")</f>
        <v>+</v>
      </c>
      <c r="H21" s="26">
        <f>C21*D21</f>
        <v>112488.36000000002</v>
      </c>
      <c r="I21" s="26">
        <f>F21*D21</f>
        <v>122152.82504011779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41.5</v>
      </c>
      <c r="D22" s="117">
        <f>'MİR27-19092526-S'!D22+'BAY25-19092324-S'!D22+'ÖB25-19092224-S'!D22+'ÇEK24-19092124-S'!D22+'KAZ24-19092123-S'!D22+'MEM18-19091718-S'!D22+'ÇEK17-19091417-S'!D22+'KAZ17-19091416-S'!D22+'BA11-19091011-S'!D22+'ÇEK10-19090710-S'!D22+'KAZ10-19090709-S'!D22+'BA10-19090709-S'!D22+'MEM05-19090304-S'!D22+'SAY04-19090203-S'!D22+'BAY04-19090203-S'!D22+'TRM03-19090203-S'!D22+'ÇEK03-19093103-S'!D22+'KAZ03-19093102-S'!D22+'ÖL02-19082829-S-1'!D22+'ÖL02-19082829-S'!D22</f>
        <v>3448.2000000000003</v>
      </c>
      <c r="E22" s="29">
        <f>D22/$D$48</f>
        <v>2.5074061631493755E-2</v>
      </c>
      <c r="F22" s="28">
        <f>C22-(C22*$E$6)</f>
        <v>45.065482678962411</v>
      </c>
      <c r="G22" s="27" t="str">
        <f>IF(C22&gt;=F22,"-","+")</f>
        <v>+</v>
      </c>
      <c r="H22" s="26">
        <f>C22*D22</f>
        <v>143100.30000000002</v>
      </c>
      <c r="I22" s="26">
        <f>F22*D22</f>
        <v>155394.79737359821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37.799999999999997</v>
      </c>
      <c r="D23" s="117">
        <f>'MİR27-19092526-S'!D23+'BAY25-19092324-S'!D23+'ÖB25-19092224-S'!D23+'ÇEK24-19092124-S'!D23+'KAZ24-19092123-S'!D23+'MEM18-19091718-S'!D23+'ÇEK17-19091417-S'!D23+'KAZ17-19091416-S'!D23+'BA11-19091011-S'!D23+'ÇEK10-19090710-S'!D23+'KAZ10-19090709-S'!D23+'BA10-19090709-S'!D23+'MEM05-19090304-S'!D23+'SAY04-19090203-S'!D23+'BAY04-19090203-S'!D23+'TRM03-19090203-S'!D23+'ÇEK03-19093103-S'!D23+'KAZ03-19093102-S'!D23+'ÖL02-19082829-S-1'!D23+'ÖL02-19082829-S'!D23</f>
        <v>2941.7000000000003</v>
      </c>
      <c r="E23" s="29">
        <f>D23/$D$48</f>
        <v>2.1390977060891242E-2</v>
      </c>
      <c r="F23" s="28">
        <f>C23-(C23*$E$6)</f>
        <v>41.047596271440455</v>
      </c>
      <c r="G23" s="27" t="str">
        <f>IF(C23&gt;=F23,"-","+")</f>
        <v>+</v>
      </c>
      <c r="H23" s="26">
        <f>C23*D23</f>
        <v>111196.26</v>
      </c>
      <c r="I23" s="26">
        <f>F23*D23</f>
        <v>120749.71395169639</v>
      </c>
      <c r="J23" s="25"/>
      <c r="K23" s="25"/>
    </row>
    <row r="24" spans="1:11" x14ac:dyDescent="0.25">
      <c r="A24" s="24" t="s">
        <v>34</v>
      </c>
      <c r="B24" s="23"/>
      <c r="C24" s="20">
        <f>H24/D24</f>
        <v>44.674841962948079</v>
      </c>
      <c r="D24" s="22">
        <f>SUM(D21:D23)</f>
        <v>8210.1</v>
      </c>
      <c r="E24" s="21">
        <f>D24/$D$48</f>
        <v>5.9700873905436713E-2</v>
      </c>
      <c r="F24" s="20">
        <f>I24/D24</f>
        <v>48.513091967870352</v>
      </c>
      <c r="G24" s="19">
        <f>F24/C24-1</f>
        <v>8.5915245276202645E-2</v>
      </c>
      <c r="H24" s="18">
        <f>SUM(H21:H23)</f>
        <v>366784.92000000004</v>
      </c>
      <c r="I24" s="18">
        <f>SUM(I21:I23)</f>
        <v>398297.3363654124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33</v>
      </c>
      <c r="D26" s="117">
        <f>'MİR27-19092526-S'!D26+'BAY25-19092324-S'!D26+'ÖB25-19092224-S'!D26+'ÇEK24-19092124-S'!D26+'KAZ24-19092123-S'!D26+'MEM18-19091718-S'!D26+'ÇEK17-19091417-S'!D26+'KAZ17-19091416-S'!D26+'BA11-19091011-S'!D26+'ÇEK10-19090710-S'!D26+'KAZ10-19090709-S'!D26+'BA10-19090709-S'!D26+'MEM05-19090304-S'!D26+'SAY04-19090203-S'!D26+'BAY04-19090203-S'!D26+'TRM03-19090203-S'!D26+'ÇEK03-19093103-S'!D26+'KAZ03-19093102-S'!D26+'ÖL02-19082829-S-1'!D26+'ÖL02-19082829-S'!D26</f>
        <v>25994.000000000004</v>
      </c>
      <c r="E26" s="29">
        <f t="shared" ref="E26:E32" si="7">D26/$D$48</f>
        <v>0.18901895425121765</v>
      </c>
      <c r="F26" s="28">
        <f t="shared" ref="F26:F31" si="8">C26-(C26*$E$6)</f>
        <v>35.835203094114689</v>
      </c>
      <c r="G26" s="27" t="str">
        <f t="shared" ref="G26:G31" si="9">IF(C26&gt;=F26,"-","+")</f>
        <v>+</v>
      </c>
      <c r="H26" s="26">
        <f t="shared" ref="H26:H31" si="10">C26*D26</f>
        <v>857802.00000000012</v>
      </c>
      <c r="I26" s="26">
        <f t="shared" ref="I26:I31" si="11">F26*D26</f>
        <v>931500.26922841731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29.3</v>
      </c>
      <c r="D27" s="117">
        <f>'MİR27-19092526-S'!D27+'BAY25-19092324-S'!D27+'ÖB25-19092224-S'!D27+'ÇEK24-19092124-S'!D27+'KAZ24-19092123-S'!D27+'MEM18-19091718-S'!D27+'ÇEK17-19091417-S'!D27+'KAZ17-19091416-S'!D27+'BA11-19091011-S'!D27+'ÇEK10-19090710-S'!D27+'KAZ10-19090709-S'!D27+'BA10-19090709-S'!D27+'MEM05-19090304-S'!D27+'SAY04-19090203-S'!D27+'BAY04-19090203-S'!D27+'TRM03-19090203-S'!D27+'ÇEK03-19093103-S'!D27+'KAZ03-19093102-S'!D27+'ÖL02-19082829-S-1'!D27+'ÖL02-19082829-S'!D27</f>
        <v>20267.7</v>
      </c>
      <c r="E27" s="29">
        <f t="shared" si="7"/>
        <v>0.14737937443553911</v>
      </c>
      <c r="F27" s="28">
        <f t="shared" si="8"/>
        <v>31.81731668659274</v>
      </c>
      <c r="G27" s="27" t="str">
        <f t="shared" si="9"/>
        <v>+</v>
      </c>
      <c r="H27" s="26">
        <f t="shared" si="10"/>
        <v>593843.61</v>
      </c>
      <c r="I27" s="26">
        <f t="shared" si="11"/>
        <v>644863.82940885564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29.3</v>
      </c>
      <c r="D28" s="117">
        <f>'MİR27-19092526-S'!D28+'BAY25-19092324-S'!D28+'ÖB25-19092224-S'!D28+'ÇEK24-19092124-S'!D28+'KAZ24-19092123-S'!D28+'MEM18-19091718-S'!D28+'ÇEK17-19091417-S'!D28+'KAZ17-19091416-S'!D28+'BA11-19091011-S'!D28+'ÇEK10-19090710-S'!D28+'KAZ10-19090709-S'!D28+'BA10-19090709-S'!D28+'MEM05-19090304-S'!D28+'SAY04-19090203-S'!D28+'BAY04-19090203-S'!D28+'TRM03-19090203-S'!D28+'ÇEK03-19093103-S'!D28+'KAZ03-19093102-S'!D28+'ÖL02-19082829-S-1'!D28+'ÖL02-19082829-S'!D28</f>
        <v>10525.8</v>
      </c>
      <c r="E28" s="29">
        <f t="shared" si="7"/>
        <v>7.6539805672750108E-2</v>
      </c>
      <c r="F28" s="28">
        <f t="shared" si="8"/>
        <v>31.81731668659274</v>
      </c>
      <c r="G28" s="27" t="str">
        <f t="shared" si="9"/>
        <v>+</v>
      </c>
      <c r="H28" s="26">
        <f t="shared" si="10"/>
        <v>308405.94</v>
      </c>
      <c r="I28" s="26">
        <f t="shared" si="11"/>
        <v>334902.71197973785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28.4</v>
      </c>
      <c r="D29" s="117">
        <f>'MİR27-19092526-S'!D29+'BAY25-19092324-S'!D29+'ÖB25-19092224-S'!D29+'ÇEK24-19092124-S'!D29+'KAZ24-19092123-S'!D29+'MEM18-19091718-S'!D29+'ÇEK17-19091417-S'!D29+'KAZ17-19091416-S'!D29+'BA11-19091011-S'!D29+'ÇEK10-19090710-S'!D29+'KAZ10-19090709-S'!D29+'BA10-19090709-S'!D29+'MEM05-19090304-S'!D29+'SAY04-19090203-S'!D29+'BAY04-19090203-S'!D29+'TRM03-19090203-S'!D29+'ÇEK03-19093103-S'!D29+'KAZ03-19093102-S'!D29+'ÖL02-19082829-S-1'!D29+'ÖL02-19082829-S'!D29</f>
        <v>10073.6</v>
      </c>
      <c r="E29" s="29">
        <f t="shared" si="7"/>
        <v>7.3251571037357313E-2</v>
      </c>
      <c r="F29" s="28">
        <f t="shared" si="8"/>
        <v>30.839992965844154</v>
      </c>
      <c r="G29" s="27" t="str">
        <f t="shared" si="9"/>
        <v>+</v>
      </c>
      <c r="H29" s="26">
        <f t="shared" si="10"/>
        <v>286090.23999999999</v>
      </c>
      <c r="I29" s="26">
        <f t="shared" si="11"/>
        <v>310669.7531407277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28.4</v>
      </c>
      <c r="D30" s="117">
        <f>'MİR27-19092526-S'!D30+'BAY25-19092324-S'!D30+'ÖB25-19092224-S'!D30+'ÇEK24-19092124-S'!D30+'KAZ24-19092123-S'!D30+'MEM18-19091718-S'!D30+'ÇEK17-19091417-S'!D30+'KAZ17-19091416-S'!D30+'BA11-19091011-S'!D30+'ÇEK10-19090710-S'!D30+'KAZ10-19090709-S'!D30+'BA10-19090709-S'!D30+'MEM05-19090304-S'!D30+'SAY04-19090203-S'!D30+'BAY04-19090203-S'!D30+'TRM03-19090203-S'!D30+'ÇEK03-19093103-S'!D30+'KAZ03-19093102-S'!D30+'ÖL02-19082829-S-1'!D30+'ÖL02-19082829-S'!D30</f>
        <v>8169.1999999999989</v>
      </c>
      <c r="E30" s="29">
        <f t="shared" si="7"/>
        <v>5.9403463917405822E-2</v>
      </c>
      <c r="F30" s="28">
        <f t="shared" si="8"/>
        <v>30.839992965844154</v>
      </c>
      <c r="G30" s="27" t="str">
        <f t="shared" si="9"/>
        <v>+</v>
      </c>
      <c r="H30" s="26">
        <f t="shared" si="10"/>
        <v>232005.27999999997</v>
      </c>
      <c r="I30" s="26">
        <f t="shared" si="11"/>
        <v>251938.07053657403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28.9</v>
      </c>
      <c r="D31" s="117">
        <f>'MİR27-19092526-S'!D31+'BAY25-19092324-S'!D31+'ÖB25-19092224-S'!D31+'ÇEK24-19092124-S'!D31+'KAZ24-19092123-S'!D31+'MEM18-19091718-S'!D31+'ÇEK17-19091417-S'!D31+'KAZ17-19091416-S'!D31+'BA11-19091011-S'!D31+'ÇEK10-19090710-S'!D31+'KAZ10-19090709-S'!D31+'BA10-19090709-S'!D31+'MEM05-19090304-S'!D31+'SAY04-19090203-S'!D31+'BAY04-19090203-S'!D31+'TRM03-19090203-S'!D31+'ÇEK03-19093103-S'!D31+'KAZ03-19093102-S'!D31+'ÖL02-19082829-S-1'!D31+'ÖL02-19082829-S'!D31</f>
        <v>2355.7999999999997</v>
      </c>
      <c r="E31" s="29">
        <f t="shared" si="7"/>
        <v>1.7130524445064955E-2</v>
      </c>
      <c r="F31" s="28">
        <f t="shared" si="8"/>
        <v>31.382950588482256</v>
      </c>
      <c r="G31" s="27" t="str">
        <f t="shared" si="9"/>
        <v>+</v>
      </c>
      <c r="H31" s="26">
        <f t="shared" si="10"/>
        <v>68082.62</v>
      </c>
      <c r="I31" s="26">
        <f t="shared" si="11"/>
        <v>73931.954996346496</v>
      </c>
      <c r="J31" s="25"/>
      <c r="K31" s="25"/>
    </row>
    <row r="32" spans="1:11" x14ac:dyDescent="0.25">
      <c r="A32" s="24" t="s">
        <v>34</v>
      </c>
      <c r="B32" s="23"/>
      <c r="C32" s="20">
        <f>H32/D32</f>
        <v>30.318489883842187</v>
      </c>
      <c r="D32" s="22">
        <f>SUM(D26:D31)</f>
        <v>77386.100000000006</v>
      </c>
      <c r="E32" s="21">
        <f t="shared" si="7"/>
        <v>0.56272369375933495</v>
      </c>
      <c r="F32" s="20">
        <f>I32/D32</f>
        <v>32.923310378616556</v>
      </c>
      <c r="G32" s="19">
        <f>F32/C32-1</f>
        <v>8.5915245276202645E-2</v>
      </c>
      <c r="H32" s="18">
        <f>SUM(H26:H31)</f>
        <v>2346229.69</v>
      </c>
      <c r="I32" s="18">
        <f>SUM(I26:I31)</f>
        <v>2547806.5892906589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17.399999999999999</v>
      </c>
      <c r="D34" s="117">
        <f>'MİR27-19092526-S'!D34+'BAY25-19092324-S'!D34+'ÖB25-19092224-S'!D34+'ÇEK24-19092124-S'!D34+'KAZ24-19092123-S'!D34+'MEM18-19091718-S'!D34+'ÇEK17-19091417-S'!D34+'KAZ17-19091416-S'!D34+'BA11-19091011-S'!D34+'ÇEK10-19090710-S'!D34+'KAZ10-19090709-S'!D34+'BA10-19090709-S'!D34+'MEM05-19090304-S'!D34+'SAY04-19090203-S'!D34+'BAY04-19090203-S'!D34+'TRM03-19090203-S'!D34+'ÇEK03-19093103-S'!D34+'KAZ03-19093102-S'!D34+'ÖL02-19082829-S-1'!D34+'ÖL02-19082829-S'!D34</f>
        <v>20503.199999999997</v>
      </c>
      <c r="E34" s="29">
        <f t="shared" ref="E34:E40" si="13">D34/$D$48</f>
        <v>0.14909184514901766</v>
      </c>
      <c r="F34" s="28">
        <f t="shared" ref="F34:F39" si="14">C34-(C34*$E$6)</f>
        <v>18.894925267805924</v>
      </c>
      <c r="G34" s="27" t="str">
        <f t="shared" ref="G34:G39" si="15">IF(C34&gt;=F34,"-","+")</f>
        <v>+</v>
      </c>
      <c r="H34" s="26">
        <f t="shared" ref="H34:H39" si="16">C34*D34</f>
        <v>356755.67999999993</v>
      </c>
      <c r="I34" s="26">
        <f t="shared" ref="I34:I39" si="17">F34*D34</f>
        <v>387406.43175087834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13.3</v>
      </c>
      <c r="D35" s="117">
        <f>'MİR27-19092526-S'!D35+'BAY25-19092324-S'!D35+'ÖB25-19092224-S'!D35+'ÇEK24-19092124-S'!D35+'KAZ24-19092123-S'!D35+'MEM18-19091718-S'!D35+'ÇEK17-19091417-S'!D35+'KAZ17-19091416-S'!D35+'BA11-19091011-S'!D35+'ÇEK10-19090710-S'!D35+'KAZ10-19090709-S'!D35+'BA10-19090709-S'!D35+'MEM05-19090304-S'!D35+'SAY04-19090203-S'!D35+'BAY04-19090203-S'!D35+'TRM03-19090203-S'!D35+'ÇEK03-19093103-S'!D35+'KAZ03-19093102-S'!D35+'ÖL02-19082829-S-1'!D35+'ÖL02-19082829-S'!D35</f>
        <v>1746.5000000000002</v>
      </c>
      <c r="E35" s="29">
        <f t="shared" si="13"/>
        <v>1.2699915503568193E-2</v>
      </c>
      <c r="F35" s="28">
        <f t="shared" si="14"/>
        <v>14.442672762173496</v>
      </c>
      <c r="G35" s="27" t="str">
        <f t="shared" si="15"/>
        <v>+</v>
      </c>
      <c r="H35" s="26">
        <f t="shared" si="16"/>
        <v>23228.450000000004</v>
      </c>
      <c r="I35" s="26">
        <f t="shared" si="17"/>
        <v>25224.127979136014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10.7</v>
      </c>
      <c r="D36" s="117">
        <f>'MİR27-19092526-S'!D36+'BAY25-19092324-S'!D36+'ÖB25-19092224-S'!D36+'ÇEK24-19092124-S'!D36+'KAZ24-19092123-S'!D36+'MEM18-19091718-S'!D36+'ÇEK17-19091417-S'!D36+'KAZ17-19091416-S'!D36+'BA11-19091011-S'!D36+'ÇEK10-19090710-S'!D36+'KAZ10-19090709-S'!D36+'BA10-19090709-S'!D36+'MEM05-19090304-S'!D36+'SAY04-19090203-S'!D36+'BAY04-19090203-S'!D36+'TRM03-19090203-S'!D36+'ÇEK03-19093103-S'!D36+'KAZ03-19093102-S'!D36+'ÖL02-19082829-S-1'!D36+'ÖL02-19082829-S'!D36</f>
        <v>0</v>
      </c>
      <c r="E36" s="29">
        <f t="shared" si="13"/>
        <v>0</v>
      </c>
      <c r="F36" s="28">
        <f t="shared" si="14"/>
        <v>11.619293124455368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28.4</v>
      </c>
      <c r="D37" s="117">
        <f>'MİR27-19092526-S'!D37+'BAY25-19092324-S'!D37+'ÖB25-19092224-S'!D37+'ÇEK24-19092124-S'!D37+'KAZ24-19092123-S'!D37+'MEM18-19091718-S'!D37+'ÇEK17-19091417-S'!D37+'KAZ17-19091416-S'!D37+'BA11-19091011-S'!D37+'ÇEK10-19090710-S'!D37+'KAZ10-19090709-S'!D37+'BA10-19090709-S'!D37+'MEM05-19090304-S'!D37+'SAY04-19090203-S'!D37+'BAY04-19090203-S'!D37+'TRM03-19090203-S'!D37+'ÇEK03-19093103-S'!D37+'KAZ03-19093102-S'!D37+'ÖL02-19082829-S-1'!D37+'ÖL02-19082829-S'!D37</f>
        <v>0</v>
      </c>
      <c r="E37" s="29">
        <f t="shared" si="13"/>
        <v>0</v>
      </c>
      <c r="F37" s="28">
        <f t="shared" si="14"/>
        <v>30.839992965844154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28.4</v>
      </c>
      <c r="D38" s="117">
        <f>'MİR27-19092526-S'!D38+'BAY25-19092324-S'!D38+'ÖB25-19092224-S'!D38+'ÇEK24-19092124-S'!D38+'KAZ24-19092123-S'!D38+'MEM18-19091718-S'!D38+'ÇEK17-19091417-S'!D38+'KAZ17-19091416-S'!D38+'BA11-19091011-S'!D38+'ÇEK10-19090710-S'!D38+'KAZ10-19090709-S'!D38+'BA10-19090709-S'!D38+'MEM05-19090304-S'!D38+'SAY04-19090203-S'!D38+'BAY04-19090203-S'!D38+'TRM03-19090203-S'!D38+'ÇEK03-19093103-S'!D38+'KAZ03-19093102-S'!D38+'ÖL02-19082829-S-1'!D38+'ÖL02-19082829-S'!D38</f>
        <v>0</v>
      </c>
      <c r="E38" s="29">
        <f t="shared" si="13"/>
        <v>0</v>
      </c>
      <c r="F38" s="28">
        <f t="shared" si="14"/>
        <v>30.839992965844154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29.3</v>
      </c>
      <c r="D39" s="117">
        <f>'MİR27-19092526-S'!D39+'BAY25-19092324-S'!D39+'ÖB25-19092224-S'!D39+'ÇEK24-19092124-S'!D39+'KAZ24-19092123-S'!D39+'MEM18-19091718-S'!D39+'ÇEK17-19091417-S'!D39+'KAZ17-19091416-S'!D39+'BA11-19091011-S'!D39+'ÇEK10-19090710-S'!D39+'KAZ10-19090709-S'!D39+'BA10-19090709-S'!D39+'MEM05-19090304-S'!D39+'SAY04-19090203-S'!D39+'BAY04-19090203-S'!D39+'TRM03-19090203-S'!D39+'ÇEK03-19093103-S'!D39+'KAZ03-19093102-S'!D39+'ÖL02-19082829-S-1'!D39+'ÖL02-19082829-S'!D39</f>
        <v>0</v>
      </c>
      <c r="E39" s="29">
        <f t="shared" si="13"/>
        <v>0</v>
      </c>
      <c r="F39" s="28">
        <f t="shared" si="14"/>
        <v>31.81731668659274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17.078168694409364</v>
      </c>
      <c r="D40" s="22">
        <f>SUM(D34:D39)</f>
        <v>22249.699999999997</v>
      </c>
      <c r="E40" s="21">
        <f t="shared" si="13"/>
        <v>0.16179176065258583</v>
      </c>
      <c r="F40" s="20">
        <f>I40/D40</f>
        <v>18.545443746657906</v>
      </c>
      <c r="G40" s="19">
        <f>F40/C40-1</f>
        <v>8.5915245276202423E-2</v>
      </c>
      <c r="H40" s="18">
        <f>SUM(H34:H39)</f>
        <v>379984.12999999995</v>
      </c>
      <c r="I40" s="18">
        <f>SUM(I34:I39)</f>
        <v>412630.55973001436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117">
        <f>'MİR27-19092526-S'!D42+'BAY25-19092324-S'!D42+'ÖB25-19092224-S'!D42+'ÇEK24-19092124-S'!D42+'KAZ24-19092123-S'!D42+'MEM18-19091718-S'!D42+'ÇEK17-19091417-S'!D42+'KAZ17-19091416-S'!D42+'BA11-19091011-S'!D42+'ÇEK10-19090710-S'!D42+'KAZ10-19090709-S'!D42+'BA10-19090709-S'!D42+'MEM05-19090304-S'!D42+'SAY04-19090203-S'!D42+'BAY04-19090203-S'!D42+'TRM03-19090203-S'!D42+'ÇEK03-19093103-S'!D42+'KAZ03-19093102-S'!D42+'ÖL02-19082829-S-1'!D42+'ÖL02-19082829-S'!D42</f>
        <v>28568.200000000004</v>
      </c>
      <c r="E42" s="107">
        <f>D42/$D$48</f>
        <v>0.20773760440254044</v>
      </c>
      <c r="F42" s="28">
        <f>C42-(C42*$E$6)</f>
        <v>0.4343660981104811</v>
      </c>
      <c r="G42" s="27" t="str">
        <f>IF(C42&gt;=F42,"-","+")</f>
        <v>+</v>
      </c>
      <c r="H42" s="26">
        <f>C42*D42</f>
        <v>11427.280000000002</v>
      </c>
      <c r="I42" s="26">
        <f>F42*D42</f>
        <v>12409.057564039847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117">
        <f>'MİR27-19092526-S'!D43+'BAY25-19092324-S'!D43+'ÖB25-19092224-S'!D43+'ÇEK24-19092124-S'!D43+'KAZ24-19092123-S'!D43+'MEM18-19091718-S'!D43+'ÇEK17-19091417-S'!D43+'KAZ17-19091416-S'!D43+'BA11-19091011-S'!D43+'ÇEK10-19090710-S'!D43+'KAZ10-19090709-S'!D43+'BA10-19090709-S'!D43+'MEM05-19090304-S'!D43+'SAY04-19090203-S'!D43+'BAY04-19090203-S'!D43+'TRM03-19090203-S'!D43+'ÇEK03-19093103-S'!D43+'KAZ03-19093102-S'!D43+'ÖL02-19082829-S-1'!D43+'ÖL02-19082829-S'!D43</f>
        <v>949.80000000000018</v>
      </c>
      <c r="E43" s="107">
        <f>D43/$D$48</f>
        <v>6.9066016291377446E-3</v>
      </c>
      <c r="F43" s="28">
        <f>C43-(C43*$E$6)</f>
        <v>0.4343660981104811</v>
      </c>
      <c r="G43" s="27" t="str">
        <f>IF(C43&gt;=F43,"-","+")</f>
        <v>+</v>
      </c>
      <c r="H43" s="26">
        <f>C43*D43</f>
        <v>379.92000000000007</v>
      </c>
      <c r="I43" s="26">
        <f>F43*D43</f>
        <v>412.56091998533503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MİR27-19092526-S'!D44+'BAY25-19092324-S'!D44+'ÖB25-19092224-S'!D44+'ÇEK24-19092124-S'!D44+'KAZ24-19092123-S'!D44+'MEM18-19091718-S'!D44+'ÇEK17-19091417-S'!D44+'KAZ17-19091416-S'!D44+'BA11-19091011-S'!D44+'ÇEK10-19090710-S'!D44+'KAZ10-19090709-S'!D44+'BA10-19090709-S'!D44+'MEM05-19090304-S'!D44+'SAY04-19090203-S'!D44+'BAY04-19090203-S'!D44+'TRM03-19090203-S'!D44+'ÇEK03-19093103-S'!D44+'KAZ03-19093102-S'!D44+'ÖL02-19082829-S-1'!D44+'ÖL02-19082829-S'!D44</f>
        <v>46.499999999999993</v>
      </c>
      <c r="E44" s="107">
        <f>D44/$D$48</f>
        <v>3.381311599862129E-4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MİR27-19092526-S'!D45+'BAY25-19092324-S'!D45+'ÖB25-19092224-S'!D45+'ÇEK24-19092124-S'!D45+'KAZ24-19092123-S'!D45+'MEM18-19091718-S'!D45+'ÇEK17-19091417-S'!D45+'KAZ17-19091416-S'!D45+'BA11-19091011-S'!D45+'ÇEK10-19090710-S'!D45+'KAZ10-19090709-S'!D45+'BA10-19090709-S'!D45+'MEM05-19090304-S'!D45+'SAY04-19090203-S'!D45+'BAY04-19090203-S'!D45+'TRM03-19090203-S'!D45+'ÇEK03-19093103-S'!D45+'KAZ03-19093102-S'!D45+'ÖL02-19082829-S-1'!D45+'ÖL02-19082829-S'!D45</f>
        <v>110.19999999999999</v>
      </c>
      <c r="E45" s="107">
        <f>D45/$D$48</f>
        <v>8.0133449097807884E-4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0.39788776297654233</v>
      </c>
      <c r="D46" s="22">
        <f>SUM(D41:D45)</f>
        <v>29674.700000000004</v>
      </c>
      <c r="E46" s="21">
        <f>D46/$D$48</f>
        <v>0.21578367168264248</v>
      </c>
      <c r="F46" s="20">
        <f>I46/D46</f>
        <v>0.43207238772507156</v>
      </c>
      <c r="G46" s="19">
        <f>F46/C46-1</f>
        <v>8.5915245276202645E-2</v>
      </c>
      <c r="H46" s="18">
        <f>SUM(H41:H44)</f>
        <v>11807.200000000003</v>
      </c>
      <c r="I46" s="18">
        <f>SUM(I41:I44)</f>
        <v>12821.618484025183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92.469388304176178</v>
      </c>
      <c r="D48" s="13">
        <f>D24+D32+D40+D46</f>
        <v>137520.6</v>
      </c>
      <c r="E48" s="12">
        <f>SUM(E20:E46)/2</f>
        <v>1</v>
      </c>
      <c r="F48" s="11">
        <f>I48/D48</f>
        <v>24.516734975488113</v>
      </c>
      <c r="G48" s="10"/>
      <c r="H48" s="9">
        <f>SUM(H20:H46)/2</f>
        <v>3104805.94</v>
      </c>
      <c r="I48" s="9">
        <f>SUM(I20:I46)/2</f>
        <v>3371556.1038701106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137790.70000000004</v>
      </c>
      <c r="E50" s="12">
        <f>D50/G2</f>
        <v>1.0000000000000004</v>
      </c>
      <c r="F50" s="11">
        <f>I50/D50</f>
        <v>24.559999999999988</v>
      </c>
      <c r="G50" s="10"/>
      <c r="H50" s="9">
        <f>H48+H19</f>
        <v>3116393.85</v>
      </c>
      <c r="I50" s="9">
        <f>I48+I19</f>
        <v>3384139.5919999992</v>
      </c>
      <c r="J50" s="106">
        <f>D50-G2</f>
        <v>0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24.559999999999988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rintOptions headings="1" gridLines="1"/>
  <pageMargins left="0.25" right="0.25" top="0.75" bottom="0.75" header="0.3" footer="0.3"/>
  <pageSetup paperSize="9" orientation="landscape" r:id="rId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>
    <tabColor rgb="FFFF0000"/>
  </sheetPr>
  <dimension ref="A1:K56"/>
  <sheetViews>
    <sheetView tabSelected="1" topLeftCell="A22" zoomScaleNormal="100" workbookViewId="0">
      <selection activeCell="H3" sqref="H3"/>
    </sheetView>
  </sheetViews>
  <sheetFormatPr defaultColWidth="9.14062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8.28515625" style="1" customWidth="1"/>
    <col min="8" max="8" width="22.7109375" style="2" bestFit="1" customWidth="1"/>
    <col min="9" max="9" width="15.85546875" style="2" bestFit="1" customWidth="1"/>
    <col min="10" max="10" width="2" style="1" bestFit="1" customWidth="1"/>
    <col min="11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989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71</v>
      </c>
      <c r="F2" s="110" t="s">
        <v>5</v>
      </c>
      <c r="G2" s="108">
        <f>'G30-19092830-1'!G2+'G30-19092830'!G2+'BO30-19092426'!G2+'G28-19092627'!G2+'G27-19092325'!G2+'G27-19092426-1'!G2+'ÖB27-19092224-1'!G2+'G26-19092426'!G2+'ÖB26-19092224'!G2+'BO24-19092123'!G2+'G23-19092123-1'!G2+'G23-19092123'!G2+'ÇA20-19091718'!G2+'BO19-19091416'!G2+'MOL19-19091819'!G2+'G16-19091316'!G2+'ÖA16-19091516-1'!G2+'ÖA16-19091516'!G2+'BO13-19091112'!G2+'G13-19091012-1'!G2+'BO13-19090709'!G2+'G12-19091012'!G2+'BO12-19090305-1'!G2+'BA12-19091011'!G2+'BA11-19090709'!G2+'G09-19090609-1'!G2+'G09-19090609'!G2+'BO06-19090305'!G2+'G06-19090305-1'!G2+'BO06-19093102-1'!G2+'G05-19090305'!G2+'BO04-19093102'!G2+'G02-19093002-1'!G2+'G02-19093002'!G2+'BO02-19082729'!G2</f>
        <v>350532.56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G30-19092830-1'!E3+'G30-19092830'!E3+'BO30-19092426'!E3+'G28-19092627'!E3+'G27-19092325'!E3+'G27-19092426-1'!E3+'ÖB27-19092224-1'!E3+'G26-19092426'!E3+'ÖB26-19092224'!E3+'BO24-19092123'!E3+'G23-19092123-1'!E3+'G23-19092123'!E3+'ÇA20-19091718'!E3+'BO19-19091416'!E3+'MOL19-19091819'!E3+'G16-19091316'!E3+'ÖA16-19091516-1'!E3+'ÖA16-19091516'!E3+'BO13-19091112'!E3+'G13-19091012-1'!E3+'BO13-19090709'!E3+'G12-19091012'!E3+'BO12-19090305-1'!E3+'BA12-19091011'!E3+'BA11-19090709'!E3+'G09-19090609-1'!E3+'G09-19090609'!E3+'BO06-19090305'!E3+'G06-19090305-1'!E3+'BO06-19093102-1'!E3+'G05-19090305'!E3+'BO04-19093102'!E3+'G02-19093002-1'!E3+'G02-19093002'!E3+'BO02-19082729'!E3</f>
        <v>4446</v>
      </c>
      <c r="F3" s="111" t="s">
        <v>8</v>
      </c>
      <c r="G3" s="114">
        <v>28.18</v>
      </c>
      <c r="H3" s="118" t="s">
        <v>907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78.842231219073327</v>
      </c>
      <c r="F4" s="81" t="s">
        <v>12</v>
      </c>
      <c r="G4" s="112">
        <f>G2*G3</f>
        <v>9878007.5407999996</v>
      </c>
      <c r="H4" s="62"/>
      <c r="I4" s="62"/>
      <c r="J4" s="61"/>
      <c r="K4" s="61"/>
    </row>
    <row r="5" spans="1:11" ht="10.5" customHeight="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HATA VAR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-0.16482905043755847</v>
      </c>
      <c r="F6" s="69" t="s">
        <v>16</v>
      </c>
      <c r="G6" s="68">
        <f>(I50-I19)/(D50-(SUM(D42:D44)+D19))</f>
        <v>39.227303382282464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13.5" customHeight="1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28.2</v>
      </c>
      <c r="D10" s="117">
        <f>'G30-19092830-1'!D10+'G30-19092830'!D10+'BO30-19092426'!D10+'G28-19092627'!D10+'G27-19092325'!D10+'G27-19092426-1'!D10+'ÖB27-19092224-1'!D10+'G26-19092426'!D10+'ÖB26-19092224'!D10+'BO24-19092123'!D10+'G23-19092123-1'!D10+'G23-19092123'!D10+'ÇA20-19091718'!D10+'BO19-19091416'!D10+'MOL19-19091819'!D10+'G16-19091316'!D10+'ÖA16-19091516-1'!D10+'ÖA16-19091516'!D10+'BO13-19091112'!D10+'G13-19091012-1'!D10+'BO13-19090709'!D10+'G12-19091012'!D10+'BO12-19090305-1'!D10+'BA12-19091011'!D10+'BA11-19090709'!D10+'G09-19090609-1'!D10+'G09-19090609'!D10+'BO06-19090305'!D10+'G06-19090305-1'!D10+'BO06-19093102-1'!D10+'G05-19090305'!D10+'BO04-19093102'!D10+'G02-19093002-1'!D10+'G02-19093002'!D10+'BO02-19082729'!D10</f>
        <v>0</v>
      </c>
      <c r="E10" s="29">
        <f t="shared" ref="E10:E19" si="1">D10/$D$19</f>
        <v>0</v>
      </c>
      <c r="F10" s="28">
        <f t="shared" ref="F10:F18" si="2">C10-(C10*$E$6)</f>
        <v>32.848179222339148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29.3</v>
      </c>
      <c r="D11" s="117"/>
      <c r="E11" s="29">
        <f t="shared" si="1"/>
        <v>0</v>
      </c>
      <c r="F11" s="28">
        <f t="shared" si="2"/>
        <v>34.129491177820462</v>
      </c>
      <c r="G11" s="27" t="str">
        <f t="shared" si="3"/>
        <v>+</v>
      </c>
      <c r="H11" s="34">
        <f>C11*D11</f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26.8</v>
      </c>
      <c r="D12" s="117"/>
      <c r="E12" s="29">
        <f>D12/$D$19</f>
        <v>0</v>
      </c>
      <c r="F12" s="28">
        <f t="shared" si="2"/>
        <v>31.217418551726567</v>
      </c>
      <c r="G12" s="27" t="str">
        <f>IF(C12&gt;=F12,"-","+")</f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29.3</v>
      </c>
      <c r="D13" s="117"/>
      <c r="E13" s="29">
        <f t="shared" si="1"/>
        <v>0</v>
      </c>
      <c r="F13" s="28">
        <f t="shared" si="2"/>
        <v>34.129491177820462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>ROUND($G$3*B14,1)</f>
        <v>32.799999999999997</v>
      </c>
      <c r="D14" s="117"/>
      <c r="E14" s="29">
        <f t="shared" si="1"/>
        <v>0</v>
      </c>
      <c r="F14" s="28">
        <f t="shared" si="2"/>
        <v>38.206392854351918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117">
        <f>'G30-19092830-1'!D15+'G30-19092830'!D15+'BO30-19092426'!D15+'G28-19092627'!D15+'G27-19092325'!D15+'G27-19092426-1'!D15+'ÖB27-19092224-1'!D15+'G26-19092426'!D15+'ÖB26-19092224'!D15+'BO24-19092123'!D15+'G23-19092123-1'!D15+'G23-19092123'!D15+'ÇA20-19091718'!D15+'BO19-19091416'!D15+'MOL19-19091819'!D15+'G16-19091316'!D15+'ÖA16-19091516-1'!D15+'ÖA16-19091516'!D15+'BO13-19091112'!D15+'G13-19091012-1'!D15+'BO13-19090709'!D15+'G12-19091012'!D15+'BO12-19090305-1'!D15+'BA12-19091011'!D15+'BA11-19090709'!D15+'G09-19090609-1'!D15+'G09-19090609'!D15+'BO06-19090305'!D15+'G06-19090305-1'!D15+'BO06-19093102-1'!D15+'G05-19090305'!D15+'BO04-19093102'!D15+'G02-19093002-1'!D15+'G02-19093002'!D15+'BO02-19082729'!D15</f>
        <v>1806</v>
      </c>
      <c r="E15" s="29">
        <f t="shared" si="1"/>
        <v>0.90817660665795041</v>
      </c>
      <c r="F15" s="28">
        <f t="shared" si="2"/>
        <v>31.566867266857837</v>
      </c>
      <c r="G15" s="27" t="str">
        <f t="shared" si="3"/>
        <v>+</v>
      </c>
      <c r="H15" s="34">
        <f t="shared" si="4"/>
        <v>48942.600000000006</v>
      </c>
      <c r="I15" s="34">
        <f t="shared" si="5"/>
        <v>57009.762283945252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</v>
      </c>
      <c r="D16" s="117">
        <f>'G30-19092830-1'!D16+'G30-19092830'!D16+'BO30-19092426'!D16+'G28-19092627'!D16+'G27-19092325'!D16+'G27-19092426-1'!D16+'ÖB27-19092224-1'!D16+'G26-19092426'!D16+'ÖB26-19092224'!D16+'BO24-19092123'!D16+'G23-19092123-1'!D16+'G23-19092123'!D16+'ÇA20-19091718'!D16+'BO19-19091416'!D16+'MOL19-19091819'!D16+'G16-19091316'!D16+'ÖA16-19091516-1'!D16+'ÖA16-19091516'!D16+'BO13-19091112'!D16+'G13-19091012-1'!D16+'BO13-19090709'!D16+'G12-19091012'!D16+'BO12-19090305-1'!D16+'BA12-19091011'!D16+'BA11-19090709'!D16+'G09-19090609-1'!D16+'G09-19090609'!D16+'BO06-19090305'!D16+'G06-19090305-1'!D16+'BO06-19093102-1'!D16+'G05-19090305'!D16+'BO04-19093102'!D16+'G02-19093002-1'!D16+'G02-19093002'!D16+'BO02-19082729'!D16</f>
        <v>44</v>
      </c>
      <c r="E16" s="29">
        <f t="shared" si="1"/>
        <v>2.2126118877602335E-2</v>
      </c>
      <c r="F16" s="28">
        <f t="shared" si="2"/>
        <v>43.098674866189661</v>
      </c>
      <c r="G16" s="27" t="str">
        <f t="shared" si="3"/>
        <v>+</v>
      </c>
      <c r="H16" s="34">
        <f t="shared" si="4"/>
        <v>1628</v>
      </c>
      <c r="I16" s="34">
        <f t="shared" si="5"/>
        <v>1896.3416941123451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54.5</v>
      </c>
      <c r="D17" s="117">
        <f>'G30-19092830-1'!D17+'G30-19092830'!D17+'BO30-19092426'!D17+'G28-19092627'!D17+'G27-19092325'!D17+'G27-19092426-1'!D17+'ÖB27-19092224-1'!D17+'G26-19092426'!D17+'ÖB26-19092224'!D17+'BO24-19092123'!D17+'G23-19092123-1'!D17+'G23-19092123'!D17+'ÇA20-19091718'!D17+'BO19-19091416'!D17+'MOL19-19091819'!D17+'G16-19091316'!D17+'ÖA16-19091516-1'!D17+'ÖA16-19091516'!D17+'BO13-19091112'!D17+'G13-19091012-1'!D17+'BO13-19090709'!D17+'G12-19091012'!D17+'BO12-19090305-1'!D17+'BA12-19091011'!D17+'BA11-19090709'!D17+'G09-19090609-1'!D17+'G09-19090609'!D17+'BO06-19090305'!D17+'G06-19090305-1'!D17+'BO06-19093102-1'!D17+'G05-19090305'!D17+'BO04-19093102'!D17+'G02-19093002-1'!D17+'G02-19093002'!D17+'BO02-19082729'!D17</f>
        <v>129.6</v>
      </c>
      <c r="E17" s="29">
        <f t="shared" si="1"/>
        <v>6.5171477421301416E-2</v>
      </c>
      <c r="F17" s="28">
        <f t="shared" si="2"/>
        <v>63.483183248846935</v>
      </c>
      <c r="G17" s="27" t="str">
        <f t="shared" si="3"/>
        <v>+</v>
      </c>
      <c r="H17" s="34">
        <f t="shared" si="4"/>
        <v>7063.2</v>
      </c>
      <c r="I17" s="34">
        <f t="shared" si="5"/>
        <v>8227.4205490505628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47.7</v>
      </c>
      <c r="D18" s="117">
        <f>'G30-19092830-1'!D18+'G30-19092830'!D18+'BO30-19092426'!D18+'G28-19092627'!D18+'G27-19092325'!D18+'G27-19092426-1'!D18+'ÖB27-19092224-1'!D18+'G26-19092426'!D18+'ÖB26-19092224'!D18+'BO24-19092123'!D18+'G23-19092123-1'!D18+'G23-19092123'!D18+'ÇA20-19091718'!D18+'BO19-19091416'!D18+'MOL19-19091819'!D18+'G16-19091316'!D18+'ÖA16-19091516-1'!D18+'ÖA16-19091516'!D18+'BO13-19091112'!D18+'G13-19091012-1'!D18+'BO13-19090709'!D18+'G12-19091012'!D18+'BO12-19090305-1'!D18+'BA12-19091011'!D18+'BA11-19090709'!D18+'G09-19090609-1'!D18+'G09-19090609'!D18+'BO06-19090305'!D18+'G06-19090305-1'!D18+'BO06-19093102-1'!D18+'G05-19090305'!D18+'BO04-19093102'!D18+'G02-19093002-1'!D18+'G02-19093002'!D18+'BO02-19082729'!D18</f>
        <v>9</v>
      </c>
      <c r="E18" s="29">
        <f t="shared" si="1"/>
        <v>4.5257970431459319E-3</v>
      </c>
      <c r="F18" s="28">
        <f t="shared" si="2"/>
        <v>55.562345705871543</v>
      </c>
      <c r="G18" s="27" t="str">
        <f t="shared" si="3"/>
        <v>+</v>
      </c>
      <c r="H18" s="34">
        <f t="shared" si="4"/>
        <v>429.3</v>
      </c>
      <c r="I18" s="34">
        <f t="shared" si="5"/>
        <v>500.06111135284391</v>
      </c>
      <c r="J18" s="52"/>
      <c r="K18" s="52"/>
    </row>
    <row r="19" spans="1:11" x14ac:dyDescent="0.25">
      <c r="A19" s="51" t="s">
        <v>34</v>
      </c>
      <c r="B19" s="50"/>
      <c r="C19" s="47">
        <f>H19/D19</f>
        <v>29.197978477320731</v>
      </c>
      <c r="D19" s="49">
        <f>SUM(D10:D18)</f>
        <v>1988.6</v>
      </c>
      <c r="E19" s="48">
        <f t="shared" si="1"/>
        <v>1</v>
      </c>
      <c r="F19" s="47">
        <f>I19/D19</f>
        <v>34.010653544433772</v>
      </c>
      <c r="G19" s="46">
        <f>F19/C19-1</f>
        <v>0.16482905043755824</v>
      </c>
      <c r="H19" s="9">
        <f>SUM(H10:H18)</f>
        <v>58063.100000000006</v>
      </c>
      <c r="I19" s="9">
        <f>SUM(I10:I18)</f>
        <v>67633.585638460994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70.900000000000006</v>
      </c>
      <c r="D21" s="117">
        <f>'G30-19092830-1'!D21+'G30-19092830'!D21+'BO30-19092426'!D21+'G28-19092627'!D21+'G27-19092325'!D21+'G27-19092426-1'!D21+'ÖB27-19092224-1'!D21+'G26-19092426'!D21+'ÖB26-19092224'!D21+'BO24-19092123'!D21+'G23-19092123-1'!D21+'G23-19092123'!D21+'ÇA20-19091718'!D21+'BO19-19091416'!D21+'MOL19-19091819'!D21+'G16-19091316'!D21+'ÖA16-19091516-1'!D21+'ÖA16-19091516'!D21+'BO13-19091112'!D21+'G13-19091012-1'!D21+'BO13-19090709'!D21+'G12-19091012'!D21+'BO12-19090305-1'!D21+'BA12-19091011'!D21+'BA11-19090709'!D21+'G09-19090609-1'!D21+'G09-19090609'!D21+'BO06-19090305'!D21+'G06-19090305-1'!D21+'BO06-19093102-1'!D21+'G05-19090305'!D21+'BO04-19093102'!D21+'G02-19093002-1'!D21+'G02-19093002'!D21+'BO02-19082729'!D21</f>
        <v>3655.1600000000008</v>
      </c>
      <c r="E21" s="29">
        <f>D21/$D$48</f>
        <v>1.2249066405632787E-2</v>
      </c>
      <c r="F21" s="28">
        <f>C21-(C21*$E$6)</f>
        <v>82.586379676022901</v>
      </c>
      <c r="G21" s="27" t="str">
        <f>IF(C21&gt;=F21,"-","+")</f>
        <v>+</v>
      </c>
      <c r="H21" s="26">
        <f>C21*D21</f>
        <v>259150.84400000007</v>
      </c>
      <c r="I21" s="26">
        <f>F21*D21</f>
        <v>301866.43153661193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47.6</v>
      </c>
      <c r="D22" s="117">
        <f>'G30-19092830-1'!D22+'G30-19092830'!D22+'BO30-19092426'!D22+'G28-19092627'!D22+'G27-19092325'!D22+'G27-19092426-1'!D22+'ÖB27-19092224-1'!D22+'G26-19092426'!D22+'ÖB26-19092224'!D22+'BO24-19092123'!D22+'G23-19092123-1'!D22+'G23-19092123'!D22+'ÇA20-19091718'!D22+'BO19-19091416'!D22+'MOL19-19091819'!D22+'G16-19091316'!D22+'ÖA16-19091516-1'!D22+'ÖA16-19091516'!D22+'BO13-19091112'!D22+'G13-19091012-1'!D22+'BO13-19090709'!D22+'G12-19091012'!D22+'BO12-19090305-1'!D22+'BA12-19091011'!D22+'BA11-19090709'!D22+'G09-19090609-1'!D22+'G09-19090609'!D22+'BO06-19090305'!D22+'G06-19090305-1'!D22+'BO06-19093102-1'!D22+'G05-19090305'!D22+'BO04-19093102'!D22+'G02-19093002-1'!D22+'G02-19093002'!D22+'BO02-19082729'!D22</f>
        <v>9291.2000000000007</v>
      </c>
      <c r="E22" s="29">
        <f>D22/$D$48</f>
        <v>3.1136400537326775E-2</v>
      </c>
      <c r="F22" s="28">
        <f>C22-(C22*$E$6)</f>
        <v>55.445862800827783</v>
      </c>
      <c r="G22" s="27" t="str">
        <f>IF(C22&gt;=F22,"-","+")</f>
        <v>+</v>
      </c>
      <c r="H22" s="26">
        <f>C22*D22</f>
        <v>442261.12000000005</v>
      </c>
      <c r="I22" s="26">
        <f>F22*D22</f>
        <v>515158.60045505111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43.4</v>
      </c>
      <c r="D23" s="117">
        <f>'G30-19092830-1'!D23+'G30-19092830'!D23+'BO30-19092426'!D23+'G28-19092627'!D23+'G27-19092325'!D23+'G27-19092426-1'!D23+'ÖB27-19092224-1'!D23+'G26-19092426'!D23+'ÖB26-19092224'!D23+'BO24-19092123'!D23+'G23-19092123-1'!D23+'G23-19092123'!D23+'ÇA20-19091718'!D23+'BO19-19091416'!D23+'MOL19-19091819'!D23+'G16-19091316'!D23+'ÖA16-19091516-1'!D23+'ÖA16-19091516'!D23+'BO13-19091112'!D23+'G13-19091012-1'!D23+'BO13-19090709'!D23+'G12-19091012'!D23+'BO12-19090305-1'!D23+'BA12-19091011'!D23+'BA11-19090709'!D23+'G09-19090609-1'!D23+'G09-19090609'!D23+'BO06-19090305'!D23+'G06-19090305-1'!D23+'BO06-19093102-1'!D23+'G05-19090305'!D23+'BO04-19093102'!D23+'G02-19093002-1'!D23+'G02-19093002'!D23+'BO02-19082729'!D23</f>
        <v>7207.9000000000005</v>
      </c>
      <c r="E23" s="29">
        <f>D23/$D$48</f>
        <v>2.4154905871469526E-2</v>
      </c>
      <c r="F23" s="28">
        <f>C23-(C23*$E$6)</f>
        <v>50.553580788990033</v>
      </c>
      <c r="G23" s="27" t="str">
        <f>IF(C23&gt;=F23,"-","+")</f>
        <v>+</v>
      </c>
      <c r="H23" s="26">
        <f>C23*D23</f>
        <v>312822.86</v>
      </c>
      <c r="I23" s="26">
        <f>F23*D23</f>
        <v>364385.15496896126</v>
      </c>
      <c r="J23" s="25"/>
      <c r="K23" s="25"/>
    </row>
    <row r="24" spans="1:11" x14ac:dyDescent="0.25">
      <c r="A24" s="24" t="s">
        <v>34</v>
      </c>
      <c r="B24" s="23"/>
      <c r="C24" s="20">
        <f>H24/D24</f>
        <v>50.32359530937876</v>
      </c>
      <c r="D24" s="22">
        <f>SUM(D21:D23)</f>
        <v>20154.260000000002</v>
      </c>
      <c r="E24" s="21">
        <f>D24/$D$48</f>
        <v>6.7540372814429081E-2</v>
      </c>
      <c r="F24" s="20">
        <f>I24/D24</f>
        <v>58.618385738827634</v>
      </c>
      <c r="G24" s="19">
        <f>F24/C24-1</f>
        <v>0.16482905043755847</v>
      </c>
      <c r="H24" s="18">
        <f>SUM(H21:H23)</f>
        <v>1014234.8240000001</v>
      </c>
      <c r="I24" s="18">
        <f>SUM(I21:I23)</f>
        <v>1181410.1869606243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37.799999999999997</v>
      </c>
      <c r="D26" s="117">
        <f>'G30-19092830-1'!D26+'G30-19092830'!D26+'BO30-19092426'!D26+'G28-19092627'!D26+'G27-19092325'!D26+'G27-19092426-1'!D26+'ÖB27-19092224-1'!D26+'G26-19092426'!D26+'ÖB26-19092224'!D26+'BO24-19092123'!D26+'G23-19092123-1'!D26+'G23-19092123'!D26+'ÇA20-19091718'!D26+'BO19-19091416'!D26+'MOL19-19091819'!D26+'G16-19091316'!D26+'ÖA16-19091516-1'!D26+'ÖA16-19091516'!D26+'BO13-19091112'!D26+'G13-19091012-1'!D26+'BO13-19090709'!D26+'G12-19091012'!D26+'BO12-19090305-1'!D26+'BA12-19091011'!D26+'BA11-19090709'!D26+'G09-19090609-1'!D26+'G09-19090609'!D26+'BO06-19090305'!D26+'G06-19090305-1'!D26+'BO06-19093102-1'!D26+'G05-19090305'!D26+'BO04-19093102'!D26+'G02-19093002-1'!D26+'G02-19093002'!D26+'BO02-19082729'!D26</f>
        <v>59789.600000000006</v>
      </c>
      <c r="E26" s="29">
        <f t="shared" ref="E26:E32" si="7">D26/$D$48</f>
        <v>0.20036517711022828</v>
      </c>
      <c r="F26" s="28">
        <f t="shared" ref="F26:F31" si="8">C26-(C26*$E$6)</f>
        <v>44.030538106539709</v>
      </c>
      <c r="G26" s="27" t="str">
        <f t="shared" ref="G26:G31" si="9">IF(C26&gt;=F26,"-","+")</f>
        <v>+</v>
      </c>
      <c r="H26" s="26">
        <f t="shared" ref="H26:H31" si="10">C26*D26</f>
        <v>2260046.88</v>
      </c>
      <c r="I26" s="26">
        <f t="shared" ref="I26:I31" si="11">F26*D26</f>
        <v>2632568.2611747668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33.700000000000003</v>
      </c>
      <c r="D27" s="117">
        <f>'G30-19092830-1'!D27+'G30-19092830'!D27+'BO30-19092426'!D27+'G28-19092627'!D27+'G27-19092325'!D27+'G27-19092426-1'!D27+'ÖB27-19092224-1'!D27+'G26-19092426'!D27+'ÖB26-19092224'!D27+'BO24-19092123'!D27+'G23-19092123-1'!D27+'G23-19092123'!D27+'ÇA20-19091718'!D27+'BO19-19091416'!D27+'MOL19-19091819'!D27+'G16-19091316'!D27+'ÖA16-19091516-1'!D27+'ÖA16-19091516'!D27+'BO13-19091112'!D27+'G13-19091012-1'!D27+'BO13-19090709'!D27+'G12-19091012'!D27+'BO12-19090305-1'!D27+'BA12-19091011'!D27+'BA11-19090709'!D27+'G09-19090609-1'!D27+'G09-19090609'!D27+'BO06-19090305'!D27+'G06-19090305-1'!D27+'BO06-19093102-1'!D27+'G05-19090305'!D27+'BO04-19093102'!D27+'G02-19093002-1'!D27+'G02-19093002'!D27+'BO02-19082729'!D27</f>
        <v>47146.599999999991</v>
      </c>
      <c r="E27" s="29">
        <f t="shared" si="7"/>
        <v>0.15799632141952924</v>
      </c>
      <c r="F27" s="28">
        <f t="shared" si="8"/>
        <v>39.254738999745726</v>
      </c>
      <c r="G27" s="27" t="str">
        <f t="shared" si="9"/>
        <v>+</v>
      </c>
      <c r="H27" s="26">
        <f t="shared" si="10"/>
        <v>1588840.42</v>
      </c>
      <c r="I27" s="26">
        <f t="shared" si="11"/>
        <v>1850727.4777254115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33.700000000000003</v>
      </c>
      <c r="D28" s="117">
        <f>'G30-19092830-1'!D28+'G30-19092830'!D28+'BO30-19092426'!D28+'G28-19092627'!D28+'G27-19092325'!D28+'G27-19092426-1'!D28+'ÖB27-19092224-1'!D28+'G26-19092426'!D28+'ÖB26-19092224'!D28+'BO24-19092123'!D28+'G23-19092123-1'!D28+'G23-19092123'!D28+'ÇA20-19091718'!D28+'BO19-19091416'!D28+'MOL19-19091819'!D28+'G16-19091316'!D28+'ÖA16-19091516-1'!D28+'ÖA16-19091516'!D28+'BO13-19091112'!D28+'G13-19091012-1'!D28+'BO13-19090709'!D28+'G12-19091012'!D28+'BO12-19090305-1'!D28+'BA12-19091011'!D28+'BA11-19090709'!D28+'G09-19090609-1'!D28+'G09-19090609'!D28+'BO06-19090305'!D28+'G06-19090305-1'!D28+'BO06-19093102-1'!D28+'G05-19090305'!D28+'BO04-19093102'!D28+'G02-19093002-1'!D28+'G02-19093002'!D28+'BO02-19082729'!D28</f>
        <v>30740.599999999995</v>
      </c>
      <c r="E28" s="29">
        <f t="shared" si="7"/>
        <v>0.10301700903626519</v>
      </c>
      <c r="F28" s="28">
        <f t="shared" si="8"/>
        <v>39.254738999745726</v>
      </c>
      <c r="G28" s="27" t="str">
        <f t="shared" si="9"/>
        <v>+</v>
      </c>
      <c r="H28" s="26">
        <f t="shared" si="10"/>
        <v>1035958.22</v>
      </c>
      <c r="I28" s="26">
        <f t="shared" si="11"/>
        <v>1206714.2296955832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32.5</v>
      </c>
      <c r="D29" s="117">
        <f>'G30-19092830-1'!D29+'G30-19092830'!D29+'BO30-19092426'!D29+'G28-19092627'!D29+'G27-19092325'!D29+'G27-19092426-1'!D29+'ÖB27-19092224-1'!D29+'G26-19092426'!D29+'ÖB26-19092224'!D29+'BO24-19092123'!D29+'G23-19092123-1'!D29+'G23-19092123'!D29+'ÇA20-19091718'!D29+'BO19-19091416'!D29+'MOL19-19091819'!D29+'G16-19091316'!D29+'ÖA16-19091516-1'!D29+'ÖA16-19091516'!D29+'BO13-19091112'!D29+'G13-19091012-1'!D29+'BO13-19090709'!D29+'G12-19091012'!D29+'BO12-19090305-1'!D29+'BA12-19091011'!D29+'BA11-19090709'!D29+'G09-19090609-1'!D29+'G09-19090609'!D29+'BO06-19090305'!D29+'G06-19090305-1'!D29+'BO06-19093102-1'!D29+'G05-19090305'!D29+'BO04-19093102'!D29+'G02-19093002-1'!D29+'G02-19093002'!D29+'BO02-19082729'!D29</f>
        <v>26668.299999999992</v>
      </c>
      <c r="E29" s="29">
        <f t="shared" si="7"/>
        <v>8.9370035135352952E-2</v>
      </c>
      <c r="F29" s="28">
        <f t="shared" si="8"/>
        <v>37.856944139220651</v>
      </c>
      <c r="G29" s="27" t="str">
        <f t="shared" si="9"/>
        <v>+</v>
      </c>
      <c r="H29" s="26">
        <f t="shared" si="10"/>
        <v>866719.74999999977</v>
      </c>
      <c r="I29" s="26">
        <f t="shared" si="11"/>
        <v>1009580.3433879778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32.5</v>
      </c>
      <c r="D30" s="117">
        <f>'G30-19092830-1'!D30+'G30-19092830'!D30+'BO30-19092426'!D30+'G28-19092627'!D30+'G27-19092325'!D30+'G27-19092426-1'!D30+'ÖB27-19092224-1'!D30+'G26-19092426'!D30+'ÖB26-19092224'!D30+'BO24-19092123'!D30+'G23-19092123-1'!D30+'G23-19092123'!D30+'ÇA20-19091718'!D30+'BO19-19091416'!D30+'MOL19-19091819'!D30+'G16-19091316'!D30+'ÖA16-19091516-1'!D30+'ÖA16-19091516'!D30+'BO13-19091112'!D30+'G13-19091012-1'!D30+'BO13-19090709'!D30+'G12-19091012'!D30+'BO12-19090305-1'!D30+'BA12-19091011'!D30+'BA11-19090709'!D30+'G09-19090609-1'!D30+'G09-19090609'!D30+'BO06-19090305'!D30+'G06-19090305-1'!D30+'BO06-19093102-1'!D30+'G05-19090305'!D30+'BO04-19093102'!D30+'G02-19093002-1'!D30+'G02-19093002'!D30+'BO02-19082729'!D30</f>
        <v>19954.8</v>
      </c>
      <c r="E30" s="29">
        <f t="shared" si="7"/>
        <v>6.6871948235130901E-2</v>
      </c>
      <c r="F30" s="28">
        <f t="shared" si="8"/>
        <v>37.856944139220651</v>
      </c>
      <c r="G30" s="27" t="str">
        <f t="shared" si="9"/>
        <v>+</v>
      </c>
      <c r="H30" s="26">
        <f t="shared" si="10"/>
        <v>648531</v>
      </c>
      <c r="I30" s="26">
        <f t="shared" si="11"/>
        <v>755427.74890932022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33.1</v>
      </c>
      <c r="D31" s="117">
        <f>'G30-19092830-1'!D31+'G30-19092830'!D31+'BO30-19092426'!D31+'G28-19092627'!D31+'G27-19092325'!D31+'G27-19092426-1'!D31+'ÖB27-19092224-1'!D31+'G26-19092426'!D31+'ÖB26-19092224'!D31+'BO24-19092123'!D31+'G23-19092123-1'!D31+'G23-19092123'!D31+'ÇA20-19091718'!D31+'BO19-19091416'!D31+'MOL19-19091819'!D31+'G16-19091316'!D31+'ÖA16-19091516-1'!D31+'ÖA16-19091516'!D31+'BO13-19091112'!D31+'G13-19091012-1'!D31+'BO13-19090709'!D31+'G12-19091012'!D31+'BO12-19090305-1'!D31+'BA12-19091011'!D31+'BA11-19090709'!D31+'G09-19090609-1'!D31+'G09-19090609'!D31+'BO06-19090305'!D31+'G06-19090305-1'!D31+'BO06-19093102-1'!D31+'G05-19090305'!D31+'BO04-19093102'!D31+'G02-19093002-1'!D31+'G02-19093002'!D31+'BO02-19082729'!D31</f>
        <v>6286.1999999999989</v>
      </c>
      <c r="E31" s="29">
        <f t="shared" si="7"/>
        <v>2.1066131506989789E-2</v>
      </c>
      <c r="F31" s="28">
        <f t="shared" si="8"/>
        <v>38.555841569483185</v>
      </c>
      <c r="G31" s="27" t="str">
        <f t="shared" si="9"/>
        <v>+</v>
      </c>
      <c r="H31" s="26">
        <f t="shared" si="10"/>
        <v>208073.21999999997</v>
      </c>
      <c r="I31" s="26">
        <f t="shared" si="11"/>
        <v>242369.73127408515</v>
      </c>
      <c r="J31" s="25"/>
      <c r="K31" s="25"/>
    </row>
    <row r="32" spans="1:11" x14ac:dyDescent="0.25">
      <c r="A32" s="24" t="s">
        <v>34</v>
      </c>
      <c r="B32" s="23"/>
      <c r="C32" s="20">
        <f>H32/D32</f>
        <v>34.67288270235867</v>
      </c>
      <c r="D32" s="22">
        <f>SUM(D26:D31)</f>
        <v>190586.09999999998</v>
      </c>
      <c r="E32" s="21">
        <f t="shared" si="7"/>
        <v>0.63868662244349628</v>
      </c>
      <c r="F32" s="20">
        <f>I32/D32</f>
        <v>40.387981034121303</v>
      </c>
      <c r="G32" s="19">
        <f>F32/C32-1</f>
        <v>0.16482905043755869</v>
      </c>
      <c r="H32" s="18">
        <f>SUM(H26:H31)</f>
        <v>6608169.4899999993</v>
      </c>
      <c r="I32" s="18">
        <f>SUM(I26:I31)</f>
        <v>7697387.7921671458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19.899999999999999</v>
      </c>
      <c r="D34" s="117">
        <f>'G30-19092830-1'!D34+'G30-19092830'!D34+'BO30-19092426'!D34+'G28-19092627'!D34+'G27-19092325'!D34+'G27-19092426-1'!D34+'ÖB27-19092224-1'!D34+'G26-19092426'!D34+'ÖB26-19092224'!D34+'BO24-19092123'!D34+'G23-19092123-1'!D34+'G23-19092123'!D34+'ÇA20-19091718'!D34+'BO19-19091416'!D34+'MOL19-19091819'!D34+'G16-19091316'!D34+'ÖA16-19091516-1'!D34+'ÖA16-19091516'!D34+'BO13-19091112'!D34+'G13-19091012-1'!D34+'BO13-19090709'!D34+'G12-19091012'!D34+'BO12-19090305-1'!D34+'BA12-19091011'!D34+'BA11-19090709'!D34+'G09-19090609-1'!D34+'G09-19090609'!D34+'BO06-19090305'!D34+'G06-19090305-1'!D34+'BO06-19093102-1'!D34+'G05-19090305'!D34+'BO04-19093102'!D34+'G02-19093002-1'!D34+'G02-19093002'!D34+'BO02-19082729'!D34</f>
        <v>38372.1</v>
      </c>
      <c r="E34" s="29">
        <f t="shared" ref="E34:E40" si="13">D34/$D$48</f>
        <v>0.12859147096805112</v>
      </c>
      <c r="F34" s="28">
        <f t="shared" ref="F34:F39" si="14">C34-(C34*$E$6)</f>
        <v>23.180098103707412</v>
      </c>
      <c r="G34" s="27" t="str">
        <f t="shared" ref="G34:G39" si="15">IF(C34&gt;=F34,"-","+")</f>
        <v>+</v>
      </c>
      <c r="H34" s="26">
        <f t="shared" ref="H34:H39" si="16">C34*D34</f>
        <v>763604.78999999992</v>
      </c>
      <c r="I34" s="26">
        <f t="shared" ref="I34:I39" si="17">F34*D34</f>
        <v>889469.04244527116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15.3</v>
      </c>
      <c r="D35" s="117">
        <f>'G30-19092830-1'!D35+'G30-19092830'!D35+'BO30-19092426'!D35+'G28-19092627'!D35+'G27-19092325'!D35+'G27-19092426-1'!D35+'ÖB27-19092224-1'!D35+'G26-19092426'!D35+'ÖB26-19092224'!D35+'BO24-19092123'!D35+'G23-19092123-1'!D35+'G23-19092123'!D35+'ÇA20-19091718'!D35+'BO19-19091416'!D35+'MOL19-19091819'!D35+'G16-19091316'!D35+'ÖA16-19091516-1'!D35+'ÖA16-19091516'!D35+'BO13-19091112'!D35+'G13-19091012-1'!D35+'BO13-19090709'!D35+'G12-19091012'!D35+'BO12-19090305-1'!D35+'BA12-19091011'!D35+'BA11-19090709'!D35+'G09-19090609-1'!D35+'G09-19090609'!D35+'BO06-19090305'!D35+'G06-19090305-1'!D35+'BO06-19093102-1'!D35+'G05-19090305'!D35+'BO04-19093102'!D35+'G02-19093002-1'!D35+'G02-19093002'!D35+'BO02-19082729'!D35</f>
        <v>794.65</v>
      </c>
      <c r="E35" s="29">
        <f t="shared" si="13"/>
        <v>2.6630080815165662E-3</v>
      </c>
      <c r="F35" s="28">
        <f t="shared" si="14"/>
        <v>17.821884471694645</v>
      </c>
      <c r="G35" s="27" t="str">
        <f t="shared" si="15"/>
        <v>+</v>
      </c>
      <c r="H35" s="26">
        <f t="shared" si="16"/>
        <v>12158.145</v>
      </c>
      <c r="I35" s="26">
        <f t="shared" si="17"/>
        <v>14162.160495432148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117">
        <f>'G30-19092830-1'!D36+'G30-19092830'!D36+'BO30-19092426'!D36+'G28-19092627'!D36+'G27-19092325'!D36+'G27-19092426-1'!D36+'ÖB27-19092224-1'!D36+'G26-19092426'!D36+'ÖB26-19092224'!D36+'BO24-19092123'!D36+'G23-19092123-1'!D36+'G23-19092123'!D36+'ÇA20-19091718'!D36+'BO19-19091416'!D36+'MOL19-19091819'!D36+'G16-19091316'!D36+'ÖA16-19091516-1'!D36+'ÖA16-19091516'!D36+'BO13-19091112'!D36+'G13-19091012-1'!D36+'BO13-19090709'!D36+'G12-19091012'!D36+'BO12-19090305-1'!D36+'BA12-19091011'!D36+'BA11-19090709'!D36+'G09-19090609-1'!D36+'G09-19090609'!D36+'BO06-19090305'!D36+'G06-19090305-1'!D36+'BO06-19093102-1'!D36+'G05-19090305'!D36+'BO04-19093102'!D36+'G02-19093002-1'!D36+'G02-19093002'!D36+'BO02-19082729'!D36</f>
        <v>0</v>
      </c>
      <c r="E36" s="29">
        <f t="shared" si="13"/>
        <v>0</v>
      </c>
      <c r="F36" s="28">
        <f t="shared" si="14"/>
        <v>14.327397320381969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32.5</v>
      </c>
      <c r="D37" s="117">
        <f>'G30-19092830-1'!D37+'G30-19092830'!D37+'BO30-19092426'!D37+'G28-19092627'!D37+'G27-19092325'!D37+'G27-19092426-1'!D37+'ÖB27-19092224-1'!D37+'G26-19092426'!D37+'ÖB26-19092224'!D37+'BO24-19092123'!D37+'G23-19092123-1'!D37+'G23-19092123'!D37+'ÇA20-19091718'!D37+'BO19-19091416'!D37+'MOL19-19091819'!D37+'G16-19091316'!D37+'ÖA16-19091516-1'!D37+'ÖA16-19091516'!D37+'BO13-19091112'!D37+'G13-19091012-1'!D37+'BO13-19090709'!D37+'G12-19091012'!D37+'BO12-19090305-1'!D37+'BA12-19091011'!D37+'BA11-19090709'!D37+'G09-19090609-1'!D37+'G09-19090609'!D37+'BO06-19090305'!D37+'G06-19090305-1'!D37+'BO06-19093102-1'!D37+'G05-19090305'!D37+'BO04-19093102'!D37+'G02-19093002-1'!D37+'G02-19093002'!D37+'BO02-19082729'!D37</f>
        <v>0</v>
      </c>
      <c r="E37" s="29">
        <f t="shared" si="13"/>
        <v>0</v>
      </c>
      <c r="F37" s="28">
        <f t="shared" si="14"/>
        <v>37.856944139220651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32.5</v>
      </c>
      <c r="D38" s="117">
        <f>'G30-19092830-1'!D38+'G30-19092830'!D38+'BO30-19092426'!D38+'G28-19092627'!D38+'G27-19092325'!D38+'G27-19092426-1'!D38+'ÖB27-19092224-1'!D38+'G26-19092426'!D38+'ÖB26-19092224'!D38+'BO24-19092123'!D38+'G23-19092123-1'!D38+'G23-19092123'!D38+'ÇA20-19091718'!D38+'BO19-19091416'!D38+'MOL19-19091819'!D38+'G16-19091316'!D38+'ÖA16-19091516-1'!D38+'ÖA16-19091516'!D38+'BO13-19091112'!D38+'G13-19091012-1'!D38+'BO13-19090709'!D38+'G12-19091012'!D38+'BO12-19090305-1'!D38+'BA12-19091011'!D38+'BA11-19090709'!D38+'G09-19090609-1'!D38+'G09-19090609'!D38+'BO06-19090305'!D38+'G06-19090305-1'!D38+'BO06-19093102-1'!D38+'G05-19090305'!D38+'BO04-19093102'!D38+'G02-19093002-1'!D38+'G02-19093002'!D38+'BO02-19082729'!D38</f>
        <v>0</v>
      </c>
      <c r="E38" s="29">
        <f t="shared" si="13"/>
        <v>0</v>
      </c>
      <c r="F38" s="28">
        <f t="shared" si="14"/>
        <v>37.856944139220651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33.700000000000003</v>
      </c>
      <c r="D39" s="117">
        <f>'G30-19092830-1'!D39+'G30-19092830'!D39+'BO30-19092426'!D39+'G28-19092627'!D39+'G27-19092325'!D39+'G27-19092426-1'!D39+'ÖB27-19092224-1'!D39+'G26-19092426'!D39+'ÖB26-19092224'!D39+'BO24-19092123'!D39+'G23-19092123-1'!D39+'G23-19092123'!D39+'ÇA20-19091718'!D39+'BO19-19091416'!D39+'MOL19-19091819'!D39+'G16-19091316'!D39+'ÖA16-19091516-1'!D39+'ÖA16-19091516'!D39+'BO13-19091112'!D39+'G13-19091012-1'!D39+'BO13-19090709'!D39+'G12-19091012'!D39+'BO12-19090305-1'!D39+'BA12-19091011'!D39+'BA11-19090709'!D39+'G09-19090609-1'!D39+'G09-19090609'!D39+'BO06-19090305'!D39+'G06-19090305-1'!D39+'BO06-19093102-1'!D39+'G05-19090305'!D39+'BO04-19093102'!D39+'G02-19093002-1'!D39+'G02-19093002'!D39+'BO02-19082729'!D39</f>
        <v>0</v>
      </c>
      <c r="E39" s="29">
        <f t="shared" si="13"/>
        <v>0</v>
      </c>
      <c r="F39" s="28">
        <f t="shared" si="14"/>
        <v>39.254738999745726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19.806671092189163</v>
      </c>
      <c r="D40" s="22">
        <f>SUM(D34:D39)</f>
        <v>39166.75</v>
      </c>
      <c r="E40" s="21">
        <f t="shared" si="13"/>
        <v>0.13125447904956769</v>
      </c>
      <c r="F40" s="20">
        <f>I40/D40</f>
        <v>23.071385880643742</v>
      </c>
      <c r="G40" s="19">
        <f>F40/C40-1</f>
        <v>0.16482905043755847</v>
      </c>
      <c r="H40" s="18">
        <f>SUM(H34:H39)</f>
        <v>775762.93499999994</v>
      </c>
      <c r="I40" s="18">
        <f>SUM(I34:I39)</f>
        <v>903631.20294070325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117">
        <f>'G30-19092830-1'!D42+'G30-19092830'!D42+'BO30-19092426'!D42+'G28-19092627'!D42+'G27-19092325'!D42+'G27-19092426-1'!D42+'ÖB27-19092224-1'!D42+'G26-19092426'!D42+'ÖB26-19092224'!D42+'BO24-19092123'!D42+'G23-19092123-1'!D42+'G23-19092123'!D42+'ÇA20-19091718'!D42+'BO19-19091416'!D42+'MOL19-19091819'!D42+'G16-19091316'!D42+'ÖA16-19091516-1'!D42+'ÖA16-19091516'!D42+'BO13-19091112'!D42+'G13-19091012-1'!D42+'BO13-19090709'!D42+'G12-19091012'!D42+'BO12-19090305-1'!D42+'BA12-19091011'!D42+'BA11-19090709'!D42+'G09-19090609-1'!D42+'G09-19090609'!D42+'BO06-19090305'!D42+'G06-19090305-1'!D42+'BO06-19093102-1'!D42+'G05-19090305'!D42+'BO04-19093102'!D42+'G02-19093002-1'!D42+'G02-19093002'!D42+'BO02-19082729'!D42</f>
        <v>45922.1</v>
      </c>
      <c r="E42" s="107">
        <f>D42/$D$48</f>
        <v>0.15389281245858163</v>
      </c>
      <c r="F42" s="28">
        <f>C42-(C42*$E$6)</f>
        <v>0.58241452521877923</v>
      </c>
      <c r="G42" s="27" t="str">
        <f>IF(C42&gt;=F42,"-","+")</f>
        <v>+</v>
      </c>
      <c r="H42" s="26">
        <f>C42*D42</f>
        <v>22961.05</v>
      </c>
      <c r="I42" s="26">
        <f>F42*D42</f>
        <v>26745.6980685493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117">
        <f>'G30-19092830-1'!D43+'G30-19092830'!D43+'BO30-19092426'!D43+'G28-19092627'!D43+'G27-19092325'!D43+'G27-19092426-1'!D43+'ÖB27-19092224-1'!D43+'G26-19092426'!D43+'ÖB26-19092224'!D43+'BO24-19092123'!D43+'G23-19092123-1'!D43+'G23-19092123'!D43+'ÇA20-19091718'!D43+'BO19-19091416'!D43+'MOL19-19091819'!D43+'G16-19091316'!D43+'ÖA16-19091516-1'!D43+'ÖA16-19091516'!D43+'BO13-19091112'!D43+'G13-19091012-1'!D43+'BO13-19090709'!D43+'G12-19091012'!D43+'BO12-19090305-1'!D43+'BA12-19091011'!D43+'BA11-19090709'!D43+'G09-19090609-1'!D43+'G09-19090609'!D43+'BO06-19090305'!D43+'G06-19090305-1'!D43+'BO06-19093102-1'!D43+'G05-19090305'!D43+'BO04-19093102'!D43+'G02-19093002-1'!D43+'G02-19093002'!D43+'BO02-19082729'!D43</f>
        <v>2058.7999999999997</v>
      </c>
      <c r="E43" s="107">
        <f>D43/$D$48</f>
        <v>6.8993909749277106E-3</v>
      </c>
      <c r="F43" s="28">
        <f>C43-(C43*$E$6)</f>
        <v>0.58241452521877923</v>
      </c>
      <c r="G43" s="27" t="str">
        <f>IF(C43&gt;=F43,"-","+")</f>
        <v>+</v>
      </c>
      <c r="H43" s="26">
        <f>C43*D43</f>
        <v>1029.3999999999999</v>
      </c>
      <c r="I43" s="26">
        <f>F43*D43</f>
        <v>1199.0750245204226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G30-19092830-1'!D44+'G30-19092830'!D44+'BO30-19092426'!D44+'G28-19092627'!D44+'G27-19092325'!D44+'G27-19092426-1'!D44+'ÖB27-19092224-1'!D44+'G26-19092426'!D44+'ÖB26-19092224'!D44+'BO24-19092123'!D44+'G23-19092123-1'!D44+'G23-19092123'!D44+'ÇA20-19091718'!D44+'BO19-19091416'!D44+'MOL19-19091819'!D44+'G16-19091316'!D44+'ÖA16-19091516-1'!D44+'ÖA16-19091516'!D44+'BO13-19091112'!D44+'G13-19091012-1'!D44+'BO13-19090709'!D44+'G12-19091012'!D44+'BO12-19090305-1'!D44+'BA12-19091011'!D44+'BA11-19090709'!D44+'G09-19090609-1'!D44+'G09-19090609'!D44+'BO06-19090305'!D44+'G06-19090305-1'!D44+'BO06-19093102-1'!D44+'G05-19090305'!D44+'BO04-19093102'!D44+'G02-19093002-1'!D44+'G02-19093002'!D44+'BO02-19082729'!D44</f>
        <v>331.79999999999995</v>
      </c>
      <c r="E44" s="107">
        <f>D44/$D$48</f>
        <v>1.1119185571600032E-3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G30-19092830-1'!D45+'G30-19092830'!D45+'BO30-19092426'!D45+'G28-19092627'!D45+'G27-19092325'!D45+'G27-19092426-1'!D45+'ÖB27-19092224-1'!D45+'G26-19092426'!D45+'ÖB26-19092224'!D45+'BO24-19092123'!D45+'G23-19092123-1'!D45+'G23-19092123'!D45+'ÇA20-19091718'!D45+'BO19-19091416'!D45+'MOL19-19091819'!D45+'G16-19091316'!D45+'ÖA16-19091516-1'!D45+'ÖA16-19091516'!D45+'BO13-19091112'!D45+'G13-19091012-1'!D45+'BO13-19090709'!D45+'G12-19091012'!D45+'BO12-19090305-1'!D45+'BA12-19091011'!D45+'BA11-19090709'!D45+'G09-19090609-1'!D45+'G09-19090609'!D45+'BO06-19090305'!D45+'G06-19090305-1'!D45+'BO06-19093102-1'!D45+'G05-19090305'!D45+'BO04-19093102'!D45+'G02-19093002-1'!D45+'G02-19093002'!D45+'BO02-19082729'!D45</f>
        <v>183.34</v>
      </c>
      <c r="E45" s="107">
        <f>D45/$D$48</f>
        <v>6.1440370183759793E-4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0.49468884469742275</v>
      </c>
      <c r="D46" s="22">
        <f>SUM(D41:D45)</f>
        <v>48496.04</v>
      </c>
      <c r="E46" s="21">
        <f>D46/$D$48</f>
        <v>0.16251852569250697</v>
      </c>
      <c r="F46" s="20">
        <f>I46/D46</f>
        <v>0.57622793723095167</v>
      </c>
      <c r="G46" s="19">
        <f>F46/C46-1</f>
        <v>0.16482905043755824</v>
      </c>
      <c r="H46" s="18">
        <f>SUM(H41:H44)</f>
        <v>23990.45</v>
      </c>
      <c r="I46" s="18">
        <f>SUM(I41:I44)</f>
        <v>27944.773093069722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105.29783794862401</v>
      </c>
      <c r="D48" s="13">
        <f>D24+D32+D40+D46</f>
        <v>298403.14999999997</v>
      </c>
      <c r="E48" s="12">
        <f>SUM(E20:E46)/2</f>
        <v>1.0000000000000002</v>
      </c>
      <c r="F48" s="11">
        <f>I48/D48</f>
        <v>32.876241270112409</v>
      </c>
      <c r="G48" s="10"/>
      <c r="H48" s="9">
        <f>SUM(H20:H46)/2</f>
        <v>8422157.6989999972</v>
      </c>
      <c r="I48" s="9">
        <f>SUM(I20:I46)/2</f>
        <v>9810373.9551615436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300391.75</v>
      </c>
      <c r="E50" s="12">
        <f>D50/G2</f>
        <v>0.85695819526722428</v>
      </c>
      <c r="F50" s="11">
        <f>I50/D50</f>
        <v>32.883751104349585</v>
      </c>
      <c r="G50" s="10"/>
      <c r="H50" s="9">
        <f>H48+H19</f>
        <v>8480220.7989999969</v>
      </c>
      <c r="I50" s="9">
        <f>I48+I19</f>
        <v>9878007.5408000052</v>
      </c>
      <c r="J50" s="106">
        <f>D50-G2</f>
        <v>-50140.81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32.883751104349585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rintOptions headings="1" gridLines="1"/>
  <pageMargins left="0.25" right="0.25" top="0.75" bottom="0.75" header="0.3" footer="0.3"/>
  <pageSetup paperSize="9" orientation="landscape" r:id="rId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>
    <tabColor rgb="FFFF0000"/>
  </sheetPr>
  <dimension ref="A1:K56"/>
  <sheetViews>
    <sheetView zoomScaleNormal="100" workbookViewId="0">
      <selection activeCell="E8" sqref="E8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140625" style="1" customWidth="1"/>
    <col min="8" max="8" width="22.28515625" style="2" bestFit="1" customWidth="1"/>
    <col min="9" max="9" width="16" style="2" customWidth="1"/>
    <col min="10" max="10" width="0.140625" style="1" hidden="1" customWidth="1"/>
    <col min="11" max="11" width="9.140625" style="1"/>
  </cols>
  <sheetData>
    <row r="1" spans="1:11" ht="15.75" x14ac:dyDescent="0.25">
      <c r="A1" s="103" t="s">
        <v>0</v>
      </c>
      <c r="B1" s="102"/>
      <c r="C1" s="101"/>
      <c r="D1" s="100" t="s">
        <v>1</v>
      </c>
      <c r="E1" s="168" t="s">
        <v>989</v>
      </c>
      <c r="F1" s="169"/>
      <c r="G1" s="173"/>
      <c r="H1" s="62"/>
      <c r="I1" s="62"/>
      <c r="J1" s="61"/>
      <c r="K1" s="61"/>
    </row>
    <row r="2" spans="1:11" x14ac:dyDescent="0.25">
      <c r="A2" s="99" t="s">
        <v>2</v>
      </c>
      <c r="B2" s="98"/>
      <c r="C2" s="101"/>
      <c r="D2" s="96" t="s">
        <v>3</v>
      </c>
      <c r="E2" s="95" t="s">
        <v>107</v>
      </c>
      <c r="F2" s="110" t="s">
        <v>5</v>
      </c>
      <c r="G2" s="108">
        <f>'ÖB25-19092224-D'!G2+'ÇA20-19091819-D'!G2</f>
        <v>5663.6</v>
      </c>
      <c r="H2" s="62"/>
      <c r="I2" s="62"/>
      <c r="J2" s="61"/>
      <c r="K2" s="61"/>
    </row>
    <row r="3" spans="1:11" x14ac:dyDescent="0.25">
      <c r="A3" s="92" t="s">
        <v>6</v>
      </c>
      <c r="B3" s="91"/>
      <c r="C3" s="89"/>
      <c r="D3" s="90" t="s">
        <v>7</v>
      </c>
      <c r="E3" s="117">
        <f>'ÖB25-19092224-D'!E3+'ÇA20-19091819-D'!E3</f>
        <v>76</v>
      </c>
      <c r="F3" s="111" t="s">
        <v>8</v>
      </c>
      <c r="G3" s="114">
        <v>26.74</v>
      </c>
      <c r="H3" s="118" t="s">
        <v>816</v>
      </c>
      <c r="I3" s="118"/>
      <c r="J3" s="61"/>
      <c r="K3" s="61"/>
    </row>
    <row r="4" spans="1:11" ht="15.75" x14ac:dyDescent="0.25">
      <c r="A4" s="86" t="s">
        <v>9</v>
      </c>
      <c r="B4" s="85"/>
      <c r="C4" s="84"/>
      <c r="D4" s="83" t="s">
        <v>11</v>
      </c>
      <c r="E4" s="82">
        <f>G2/E3</f>
        <v>74.521052631578954</v>
      </c>
      <c r="F4" s="81" t="s">
        <v>12</v>
      </c>
      <c r="G4" s="112">
        <f>G2*G3</f>
        <v>151444.66399999999</v>
      </c>
      <c r="H4" s="62"/>
      <c r="I4" s="62"/>
      <c r="J4" s="61"/>
      <c r="K4" s="61"/>
    </row>
    <row r="5" spans="1:11" ht="10.5" customHeight="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-7.3960843805267462E-3</v>
      </c>
      <c r="F6" s="69" t="s">
        <v>16</v>
      </c>
      <c r="G6" s="68">
        <f>(I50-I19)/(D50-(SUM(D42:D44)+D19))</f>
        <v>32.092533163805911</v>
      </c>
    </row>
    <row r="7" spans="1:11" ht="15.75" x14ac:dyDescent="0.25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13.5" customHeight="1" x14ac:dyDescent="0.25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26.7</v>
      </c>
      <c r="D10" s="117">
        <f>'ÖB25-19092224-D'!D10+'ÇA20-19091819-D'!D10</f>
        <v>0</v>
      </c>
      <c r="E10" s="29" t="e">
        <f t="shared" ref="E10:E19" si="1">D10/$D$19</f>
        <v>#DIV/0!</v>
      </c>
      <c r="F10" s="28">
        <f t="shared" ref="F10:F18" si="2">C10-(C10*$E$6)</f>
        <v>26.897475452960062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27.8</v>
      </c>
      <c r="D11" s="117">
        <f>'ÖB25-19092224-D'!D11+'ÇA20-19091819-D'!D11</f>
        <v>0</v>
      </c>
      <c r="E11" s="29" t="e">
        <f t="shared" si="1"/>
        <v>#DIV/0!</v>
      </c>
      <c r="F11" s="28">
        <f t="shared" si="2"/>
        <v>28.005611145778644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25.4</v>
      </c>
      <c r="D12" s="117">
        <f>'ÖB25-19092224-D'!D12+'ÇA20-19091819-D'!D12</f>
        <v>0</v>
      </c>
      <c r="E12" s="29" t="e">
        <f t="shared" si="1"/>
        <v>#DIV/0!</v>
      </c>
      <c r="F12" s="28">
        <f t="shared" si="2"/>
        <v>25.587860543265379</v>
      </c>
      <c r="G12" s="27" t="str">
        <f>IF(C12&gt;=F12,"-","+")</f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27.8</v>
      </c>
      <c r="D13" s="117">
        <f>'ÖB25-19092224-D'!D13+'ÇA20-19091819-D'!D13</f>
        <v>0</v>
      </c>
      <c r="E13" s="29" t="e">
        <f t="shared" si="1"/>
        <v>#DIV/0!</v>
      </c>
      <c r="F13" s="28">
        <f t="shared" si="2"/>
        <v>28.005611145778644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31.1</v>
      </c>
      <c r="D14" s="117">
        <f>'ÖB25-19092224-D'!D14+'ÇA20-19091819-D'!D14</f>
        <v>0</v>
      </c>
      <c r="E14" s="29" t="e">
        <f t="shared" si="1"/>
        <v>#DIV/0!</v>
      </c>
      <c r="F14" s="28">
        <f t="shared" si="2"/>
        <v>31.330018224234383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25.7</v>
      </c>
      <c r="D15" s="117">
        <f>'ÖB25-19092224-D'!D15+'ÇA20-19091819-D'!D15</f>
        <v>0</v>
      </c>
      <c r="E15" s="29" t="e">
        <f t="shared" si="1"/>
        <v>#DIV/0!</v>
      </c>
      <c r="F15" s="28">
        <f t="shared" si="2"/>
        <v>25.890079368579535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35.1</v>
      </c>
      <c r="D16" s="117">
        <f>'ÖB25-19092224-D'!D16+'ÇA20-19091819-D'!D16</f>
        <v>0</v>
      </c>
      <c r="E16" s="29" t="e">
        <f t="shared" si="1"/>
        <v>#DIV/0!</v>
      </c>
      <c r="F16" s="28">
        <f t="shared" si="2"/>
        <v>35.359602561756489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51.7</v>
      </c>
      <c r="D17" s="117">
        <f>'ÖB25-19092224-D'!D17+'ÇA20-19091819-D'!D17</f>
        <v>0</v>
      </c>
      <c r="E17" s="29" t="e">
        <f t="shared" si="1"/>
        <v>#DIV/0!</v>
      </c>
      <c r="F17" s="28">
        <f t="shared" si="2"/>
        <v>52.082377562473233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x14ac:dyDescent="0.25">
      <c r="A18" s="25" t="s">
        <v>33</v>
      </c>
      <c r="B18" s="32">
        <v>1.6942143999999999</v>
      </c>
      <c r="C18" s="31">
        <f t="shared" si="0"/>
        <v>45.3</v>
      </c>
      <c r="D18" s="117">
        <f>'ÖB25-19092224-D'!D18+'ÇA20-19091819-D'!D18</f>
        <v>0</v>
      </c>
      <c r="E18" s="29" t="e">
        <f t="shared" si="1"/>
        <v>#DIV/0!</v>
      </c>
      <c r="F18" s="28">
        <f t="shared" si="2"/>
        <v>45.635042622437858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x14ac:dyDescent="0.25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67.3</v>
      </c>
      <c r="D21" s="117">
        <f>'ÖB25-19092224-D'!D21+'ÇA20-19091819-D'!D21</f>
        <v>82.2</v>
      </c>
      <c r="E21" s="29">
        <f>D21/$D$48</f>
        <v>1.4513736845822444E-2</v>
      </c>
      <c r="F21" s="28">
        <f>C21-(C21*$E$6)</f>
        <v>67.797756478809447</v>
      </c>
      <c r="G21" s="27" t="str">
        <f>IF(C21&gt;=F21,"-","+")</f>
        <v>+</v>
      </c>
      <c r="H21" s="26">
        <f>C21*D21</f>
        <v>5532.06</v>
      </c>
      <c r="I21" s="26">
        <f>F21*D21</f>
        <v>5572.9755825581369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45.2</v>
      </c>
      <c r="D22" s="117">
        <f>'ÖB25-19092224-D'!D22+'ÇA20-19091819-D'!D22</f>
        <v>156.19999999999999</v>
      </c>
      <c r="E22" s="29">
        <f>D22/$D$48</f>
        <v>2.7579631329896177E-2</v>
      </c>
      <c r="F22" s="28">
        <f>C22-(C22*$E$6)</f>
        <v>45.534303013999811</v>
      </c>
      <c r="G22" s="27" t="str">
        <f>IF(C22&gt;=F22,"-","+")</f>
        <v>+</v>
      </c>
      <c r="H22" s="26">
        <f>C22*D22</f>
        <v>7060.24</v>
      </c>
      <c r="I22" s="26">
        <f>F22*D22</f>
        <v>7112.4581307867702</v>
      </c>
      <c r="J22" s="25"/>
      <c r="K22" s="25"/>
    </row>
    <row r="23" spans="1:11" x14ac:dyDescent="0.25">
      <c r="A23" s="25" t="s">
        <v>38</v>
      </c>
      <c r="B23" s="32">
        <v>1.54</v>
      </c>
      <c r="C23" s="31">
        <f>ROUND($G$3*B23,1)</f>
        <v>41.2</v>
      </c>
      <c r="D23" s="117">
        <f>'ÖB25-19092224-D'!D23+'ÇA20-19091819-D'!D23</f>
        <v>153.9</v>
      </c>
      <c r="E23" s="29">
        <f>D23/$D$48</f>
        <v>2.7173529204039832E-2</v>
      </c>
      <c r="F23" s="28">
        <f>C23-(C23*$E$6)</f>
        <v>41.504718676477708</v>
      </c>
      <c r="G23" s="27" t="str">
        <f>IF(C23&gt;=F23,"-","+")</f>
        <v>+</v>
      </c>
      <c r="H23" s="26">
        <f>C23*D23</f>
        <v>6340.68</v>
      </c>
      <c r="I23" s="26">
        <f>F23*D23</f>
        <v>6387.5762043099194</v>
      </c>
      <c r="J23" s="25"/>
      <c r="K23" s="25"/>
    </row>
    <row r="24" spans="1:11" x14ac:dyDescent="0.25">
      <c r="A24" s="24" t="s">
        <v>34</v>
      </c>
      <c r="B24" s="23"/>
      <c r="C24" s="20">
        <f>H24/D24</f>
        <v>48.261483558501155</v>
      </c>
      <c r="D24" s="22">
        <f>SUM(D21:D23)</f>
        <v>392.29999999999995</v>
      </c>
      <c r="E24" s="21">
        <f>D24/$D$48</f>
        <v>6.9266897379758441E-2</v>
      </c>
      <c r="F24" s="20">
        <f>I24/D24</f>
        <v>48.618429563229242</v>
      </c>
      <c r="G24" s="19">
        <f>F24/C24-1</f>
        <v>7.3960843805269683E-3</v>
      </c>
      <c r="H24" s="18">
        <f>SUM(H21:H23)</f>
        <v>18932.98</v>
      </c>
      <c r="I24" s="18">
        <f>SUM(I21:I23)</f>
        <v>19073.009917654828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35.9</v>
      </c>
      <c r="D26" s="117">
        <f>'ÖB25-19092224-D'!D26+'ÇA20-19091819-D'!D26</f>
        <v>1133.5</v>
      </c>
      <c r="E26" s="29">
        <f t="shared" ref="E26:E32" si="7">D26/$D$48</f>
        <v>0.2001377215905078</v>
      </c>
      <c r="F26" s="28">
        <f t="shared" ref="F26:F31" si="8">C26-(C26*$E$6)</f>
        <v>36.165519429260911</v>
      </c>
      <c r="G26" s="27" t="str">
        <f t="shared" ref="G26:G31" si="9">IF(C26&gt;=F26,"-","+")</f>
        <v>+</v>
      </c>
      <c r="H26" s="26">
        <f t="shared" ref="H26:H31" si="10">C26*D26</f>
        <v>40692.65</v>
      </c>
      <c r="I26" s="26">
        <f t="shared" ref="I26:I31" si="11">F26*D26</f>
        <v>40993.616273067244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32</v>
      </c>
      <c r="D27" s="117">
        <f>'ÖB25-19092224-D'!D27+'ÇA20-19091819-D'!D27</f>
        <v>795.59999999999991</v>
      </c>
      <c r="E27" s="29">
        <f t="shared" si="7"/>
        <v>0.14047602231796028</v>
      </c>
      <c r="F27" s="28">
        <f t="shared" si="8"/>
        <v>32.236674700176856</v>
      </c>
      <c r="G27" s="27" t="str">
        <f t="shared" si="9"/>
        <v>+</v>
      </c>
      <c r="H27" s="26">
        <f t="shared" si="10"/>
        <v>25459.199999999997</v>
      </c>
      <c r="I27" s="26">
        <f t="shared" si="11"/>
        <v>25647.498391460704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32</v>
      </c>
      <c r="D28" s="117">
        <f>'ÖB25-19092224-D'!D28+'ÇA20-19091819-D'!D28</f>
        <v>538.70000000000005</v>
      </c>
      <c r="E28" s="29">
        <f t="shared" si="7"/>
        <v>9.5116180521223254E-2</v>
      </c>
      <c r="F28" s="28">
        <f t="shared" si="8"/>
        <v>32.236674700176856</v>
      </c>
      <c r="G28" s="27" t="str">
        <f t="shared" si="9"/>
        <v>+</v>
      </c>
      <c r="H28" s="26">
        <f t="shared" si="10"/>
        <v>17238.400000000001</v>
      </c>
      <c r="I28" s="26">
        <f t="shared" si="11"/>
        <v>17365.896660985272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30.9</v>
      </c>
      <c r="D29" s="117">
        <f>'ÖB25-19092224-D'!D29+'ÇA20-19091819-D'!D29</f>
        <v>526.79999999999995</v>
      </c>
      <c r="E29" s="29">
        <f t="shared" si="7"/>
        <v>9.3015043435270839E-2</v>
      </c>
      <c r="F29" s="28">
        <f t="shared" si="8"/>
        <v>31.128539007358274</v>
      </c>
      <c r="G29" s="27" t="str">
        <f t="shared" si="9"/>
        <v>+</v>
      </c>
      <c r="H29" s="26">
        <f t="shared" si="10"/>
        <v>16278.119999999997</v>
      </c>
      <c r="I29" s="26">
        <f t="shared" si="11"/>
        <v>16398.514349076337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30.9</v>
      </c>
      <c r="D30" s="117">
        <f>'ÖB25-19092224-D'!D30+'ÇA20-19091819-D'!D30</f>
        <v>401.20000000000005</v>
      </c>
      <c r="E30" s="29">
        <f t="shared" si="7"/>
        <v>7.0838336040680849E-2</v>
      </c>
      <c r="F30" s="28">
        <f t="shared" si="8"/>
        <v>31.128539007358274</v>
      </c>
      <c r="G30" s="27" t="str">
        <f t="shared" si="9"/>
        <v>+</v>
      </c>
      <c r="H30" s="26">
        <f t="shared" si="10"/>
        <v>12397.08</v>
      </c>
      <c r="I30" s="26">
        <f t="shared" si="11"/>
        <v>12488.769849752141</v>
      </c>
      <c r="J30" s="25"/>
      <c r="K30" s="25"/>
    </row>
    <row r="31" spans="1:11" x14ac:dyDescent="0.25">
      <c r="A31" s="25" t="s">
        <v>45</v>
      </c>
      <c r="B31" s="32">
        <v>1.175</v>
      </c>
      <c r="C31" s="31">
        <f t="shared" si="6"/>
        <v>31.4</v>
      </c>
      <c r="D31" s="117">
        <f>'ÖB25-19092224-D'!D31+'ÇA20-19091819-D'!D31</f>
        <v>119.5</v>
      </c>
      <c r="E31" s="29">
        <f t="shared" si="7"/>
        <v>2.1099653930362311E-2</v>
      </c>
      <c r="F31" s="28">
        <f t="shared" si="8"/>
        <v>31.632237049548539</v>
      </c>
      <c r="G31" s="27" t="str">
        <f t="shared" si="9"/>
        <v>+</v>
      </c>
      <c r="H31" s="26">
        <f t="shared" si="10"/>
        <v>3752.2999999999997</v>
      </c>
      <c r="I31" s="26">
        <f t="shared" si="11"/>
        <v>3780.0523274210504</v>
      </c>
      <c r="J31" s="25"/>
      <c r="K31" s="25"/>
    </row>
    <row r="32" spans="1:11" x14ac:dyDescent="0.25">
      <c r="A32" s="24" t="s">
        <v>34</v>
      </c>
      <c r="B32" s="23"/>
      <c r="C32" s="20">
        <f>H32/D32</f>
        <v>32.94676130060023</v>
      </c>
      <c r="D32" s="22">
        <f>SUM(D26:D31)</f>
        <v>3515.3</v>
      </c>
      <c r="E32" s="21">
        <f t="shared" si="7"/>
        <v>0.62068295783600536</v>
      </c>
      <c r="F32" s="20">
        <f>I32/D32</f>
        <v>33.190438327244543</v>
      </c>
      <c r="G32" s="19">
        <f>F32/C32-1</f>
        <v>7.3960843805267462E-3</v>
      </c>
      <c r="H32" s="18">
        <f>SUM(H26:H31)</f>
        <v>115817.75</v>
      </c>
      <c r="I32" s="18">
        <f>SUM(I26:I31)</f>
        <v>116674.34785176275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18.899999999999999</v>
      </c>
      <c r="D34" s="117">
        <f>'ÖB25-19092224-D'!D34+'ÇA20-19091819-D'!D34</f>
        <v>804.6</v>
      </c>
      <c r="E34" s="29">
        <f t="shared" ref="E34:E40" si="13">D34/$D$48</f>
        <v>0.14206511759305035</v>
      </c>
      <c r="F34" s="28">
        <f t="shared" ref="F34:F39" si="14">C34-(C34*$E$6)</f>
        <v>19.039785994791956</v>
      </c>
      <c r="G34" s="27" t="str">
        <f t="shared" ref="G34:G39" si="15">IF(C34&gt;=F34,"-","+")</f>
        <v>+</v>
      </c>
      <c r="H34" s="26">
        <f t="shared" ref="H34:H39" si="16">C34*D34</f>
        <v>15206.939999999999</v>
      </c>
      <c r="I34" s="26">
        <f t="shared" ref="I34:I39" si="17">F34*D34</f>
        <v>15319.411811409607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14.5</v>
      </c>
      <c r="D35" s="117">
        <f>'ÖB25-19092224-D'!D35+'ÇA20-19091819-D'!D35</f>
        <v>0</v>
      </c>
      <c r="E35" s="29">
        <f t="shared" si="13"/>
        <v>0</v>
      </c>
      <c r="F35" s="28">
        <f t="shared" si="14"/>
        <v>14.607243223517639</v>
      </c>
      <c r="G35" s="27" t="str">
        <f t="shared" si="15"/>
        <v>+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11.7</v>
      </c>
      <c r="D36" s="117">
        <f>'ÖB25-19092224-D'!D36+'ÇA20-19091819-D'!D36</f>
        <v>0</v>
      </c>
      <c r="E36" s="29">
        <f t="shared" si="13"/>
        <v>0</v>
      </c>
      <c r="F36" s="28">
        <f t="shared" si="14"/>
        <v>11.786534187252162</v>
      </c>
      <c r="G36" s="27" t="str">
        <f>IF(C36&gt;=F36,"-","+")</f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30.9</v>
      </c>
      <c r="D37" s="117">
        <f>'ÖB25-19092224-D'!D37+'ÇA20-19091819-D'!D37</f>
        <v>0</v>
      </c>
      <c r="E37" s="29">
        <f t="shared" si="13"/>
        <v>0</v>
      </c>
      <c r="F37" s="28">
        <f t="shared" si="14"/>
        <v>31.128539007358274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30.9</v>
      </c>
      <c r="D38" s="117">
        <f>'ÖB25-19092224-D'!D38+'ÇA20-19091819-D'!D38</f>
        <v>0</v>
      </c>
      <c r="E38" s="29">
        <f t="shared" si="13"/>
        <v>0</v>
      </c>
      <c r="F38" s="28">
        <f t="shared" si="14"/>
        <v>31.128539007358274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x14ac:dyDescent="0.25">
      <c r="A39" s="25" t="s">
        <v>52</v>
      </c>
      <c r="B39" s="32">
        <v>1.1950000000000001</v>
      </c>
      <c r="C39" s="31">
        <f t="shared" si="12"/>
        <v>32</v>
      </c>
      <c r="D39" s="117">
        <f>'ÖB25-19092224-D'!D39+'ÇA20-19091819-D'!D39</f>
        <v>0</v>
      </c>
      <c r="E39" s="29">
        <f t="shared" si="13"/>
        <v>0</v>
      </c>
      <c r="F39" s="28">
        <f t="shared" si="14"/>
        <v>32.236674700176856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x14ac:dyDescent="0.25">
      <c r="A40" s="24" t="s">
        <v>34</v>
      </c>
      <c r="B40" s="23"/>
      <c r="C40" s="20">
        <f>H40/D40</f>
        <v>18.899999999999999</v>
      </c>
      <c r="D40" s="22">
        <f>SUM(D34:D39)</f>
        <v>804.6</v>
      </c>
      <c r="E40" s="21">
        <f t="shared" si="13"/>
        <v>0.14206511759305035</v>
      </c>
      <c r="F40" s="20">
        <f>I40/D40</f>
        <v>19.039785994791956</v>
      </c>
      <c r="G40" s="19">
        <f>F40/C40-1</f>
        <v>7.3960843805267462E-3</v>
      </c>
      <c r="H40" s="18">
        <f>SUM(H34:H39)</f>
        <v>15206.939999999999</v>
      </c>
      <c r="I40" s="18">
        <f>SUM(I34:I39)</f>
        <v>15319.411811409607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117">
        <f>'ÖB25-19092224-D'!D42+'ÇA20-19091819-D'!D42</f>
        <v>896</v>
      </c>
      <c r="E42" s="107">
        <f>D42/$D$48</f>
        <v>0.15820326294229817</v>
      </c>
      <c r="F42" s="28">
        <f>C42-(C42*$E$6)</f>
        <v>0.40295843375221074</v>
      </c>
      <c r="G42" s="27" t="str">
        <f>IF(C42&gt;=F42,"-","+")</f>
        <v>+</v>
      </c>
      <c r="H42" s="26">
        <f>C42*D42</f>
        <v>358.40000000000003</v>
      </c>
      <c r="I42" s="26">
        <f>F42*D42</f>
        <v>361.0507566419808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117">
        <f>'ÖB25-19092224-D'!D43+'ÇA20-19091819-D'!D43</f>
        <v>41.8</v>
      </c>
      <c r="E43" s="107">
        <f>D43/$D$48</f>
        <v>7.3804647220848917E-3</v>
      </c>
      <c r="F43" s="28">
        <f>C43-(C43*$E$6)</f>
        <v>0.40295843375221074</v>
      </c>
      <c r="G43" s="27" t="str">
        <f>IF(C43&gt;=F43,"-","+")</f>
        <v>+</v>
      </c>
      <c r="H43" s="26">
        <f>C43*D43</f>
        <v>16.72</v>
      </c>
      <c r="I43" s="26">
        <f>F43*D43</f>
        <v>16.843662530842408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117">
        <f>'ÖB25-19092224-D'!D44+'ÇA20-19091819-D'!D44</f>
        <v>6.8</v>
      </c>
      <c r="E44" s="107">
        <f>D44/$D$48</f>
        <v>1.2006497634013701E-3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x14ac:dyDescent="0.25">
      <c r="A45" s="25" t="s">
        <v>57</v>
      </c>
      <c r="B45" s="32">
        <v>0</v>
      </c>
      <c r="C45" s="31">
        <f>ROUND($G$3*B45,1)</f>
        <v>0</v>
      </c>
      <c r="D45" s="117">
        <f>'ÖB25-19092224-D'!D45+'ÇA20-19091819-D'!D45</f>
        <v>6.8000000000000007</v>
      </c>
      <c r="E45" s="107">
        <f>D45/$D$48</f>
        <v>1.2006497634013701E-3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x14ac:dyDescent="0.25">
      <c r="A46" s="24" t="s">
        <v>34</v>
      </c>
      <c r="B46" s="23"/>
      <c r="C46" s="20">
        <f>H46/D46</f>
        <v>0.39428211057389118</v>
      </c>
      <c r="D46" s="22">
        <f>SUM(D41:D45)</f>
        <v>951.39999999999986</v>
      </c>
      <c r="E46" s="21">
        <f>D46/$D$48</f>
        <v>0.16798502719118577</v>
      </c>
      <c r="F46" s="20">
        <f>I46/D46</f>
        <v>0.39719825433342781</v>
      </c>
      <c r="G46" s="19">
        <f>F46/C46-1</f>
        <v>7.3960843805267462E-3</v>
      </c>
      <c r="H46" s="18">
        <f>SUM(H41:H44)</f>
        <v>375.12</v>
      </c>
      <c r="I46" s="18">
        <f>SUM(I41:I44)</f>
        <v>377.89441917282318</v>
      </c>
      <c r="J46" s="17"/>
      <c r="K46" s="17"/>
    </row>
    <row r="47" spans="1:11" x14ac:dyDescent="0.25">
      <c r="E47" s="16"/>
    </row>
    <row r="48" spans="1:11" x14ac:dyDescent="0.25">
      <c r="A48" s="10" t="s">
        <v>58</v>
      </c>
      <c r="B48" s="15"/>
      <c r="C48" s="11">
        <f>C24+C32+C40+C46</f>
        <v>100.50252696967527</v>
      </c>
      <c r="D48" s="13">
        <f>D24+D32+D40+D46</f>
        <v>5663.6</v>
      </c>
      <c r="E48" s="12">
        <f>SUM(E20:E46)/2</f>
        <v>1</v>
      </c>
      <c r="F48" s="11">
        <f>I48/D48</f>
        <v>26.740000000000002</v>
      </c>
      <c r="G48" s="10"/>
      <c r="H48" s="9">
        <f>SUM(H20:H46)/2</f>
        <v>150332.78999999998</v>
      </c>
      <c r="I48" s="9">
        <f>SUM(I20:I46)/2</f>
        <v>151444.66400000002</v>
      </c>
      <c r="J48" s="8"/>
      <c r="K48" s="8"/>
    </row>
    <row r="49" spans="1:11" x14ac:dyDescent="0.25">
      <c r="E49" s="16"/>
    </row>
    <row r="50" spans="1:11" x14ac:dyDescent="0.25">
      <c r="A50" s="10" t="s">
        <v>59</v>
      </c>
      <c r="B50" s="15"/>
      <c r="C50" s="14"/>
      <c r="D50" s="13">
        <f>SUM(D10:D47)/2</f>
        <v>5663.5999999999985</v>
      </c>
      <c r="E50" s="12">
        <f>D50/G2</f>
        <v>0.99999999999999967</v>
      </c>
      <c r="F50" s="11">
        <f>I50/D50</f>
        <v>26.740000000000009</v>
      </c>
      <c r="G50" s="10"/>
      <c r="H50" s="9">
        <f>H48+H19</f>
        <v>150332.78999999998</v>
      </c>
      <c r="I50" s="9">
        <f>I48+I19</f>
        <v>151444.66400000002</v>
      </c>
      <c r="J50" s="106">
        <f>D50-G2</f>
        <v>0</v>
      </c>
      <c r="K50" s="8"/>
    </row>
    <row r="51" spans="1:11" ht="23.25" x14ac:dyDescent="0.35">
      <c r="A51" s="168"/>
      <c r="B51" s="169"/>
      <c r="C51" s="170"/>
      <c r="G51" s="7"/>
      <c r="H51" s="6"/>
      <c r="I51" s="6">
        <f>+I50/D50</f>
        <v>26.740000000000009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/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rintOptions headings="1" gridLines="1"/>
  <pageMargins left="0.25" right="0.25" top="0.75" bottom="0.75" header="0.3" footer="0.3"/>
  <pageSetup paperSize="9" orientation="landscape" r:id="rId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>
    <tabColor rgb="FF92D050"/>
    <pageSetUpPr fitToPage="1"/>
  </sheetPr>
  <dimension ref="A1:K56"/>
  <sheetViews>
    <sheetView workbookViewId="0">
      <selection activeCell="G6" sqref="G6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3.28515625" style="1" customWidth="1"/>
    <col min="8" max="8" width="14" style="2" bestFit="1" customWidth="1"/>
    <col min="9" max="9" width="15.85546875" style="2" bestFit="1" customWidth="1"/>
    <col min="10" max="11" width="8.85546875" style="1"/>
  </cols>
  <sheetData>
    <row r="1" spans="1:11" ht="16.5" thickBot="1" x14ac:dyDescent="0.3">
      <c r="A1" s="103" t="s">
        <v>0</v>
      </c>
      <c r="B1" s="102"/>
      <c r="C1" s="101">
        <v>43738</v>
      </c>
      <c r="D1" s="100" t="s">
        <v>1</v>
      </c>
      <c r="E1" s="168" t="s">
        <v>157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>
        <v>43739</v>
      </c>
      <c r="D2" s="96" t="s">
        <v>3</v>
      </c>
      <c r="E2" s="95" t="s">
        <v>71</v>
      </c>
      <c r="F2" s="94" t="s">
        <v>5</v>
      </c>
      <c r="G2" s="93">
        <v>18283.099999999999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288</v>
      </c>
      <c r="D3" s="90" t="s">
        <v>7</v>
      </c>
      <c r="E3" s="89">
        <v>240</v>
      </c>
      <c r="F3" s="88" t="s">
        <v>8</v>
      </c>
      <c r="G3" s="87">
        <v>28.25</v>
      </c>
      <c r="H3" s="62"/>
      <c r="I3" s="62"/>
      <c r="J3" s="61"/>
      <c r="K3" s="61"/>
    </row>
    <row r="4" spans="1:11" ht="16.5" thickBot="1" x14ac:dyDescent="0.3">
      <c r="A4" s="86" t="s">
        <v>9</v>
      </c>
      <c r="B4" s="85"/>
      <c r="C4" s="84">
        <v>7</v>
      </c>
      <c r="D4" s="83" t="s">
        <v>11</v>
      </c>
      <c r="E4" s="82">
        <f>G2/E3</f>
        <v>76.179583333333326</v>
      </c>
      <c r="F4" s="81" t="s">
        <v>12</v>
      </c>
      <c r="G4" s="80">
        <f>G2*G3</f>
        <v>516497.57499999995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1.5226528324124966E-2</v>
      </c>
      <c r="F6" s="69" t="s">
        <v>16</v>
      </c>
      <c r="G6" s="68">
        <f>(I50-I19)/(D50-(SUM(D42:D44)+D19))</f>
        <v>35.09114135347177</v>
      </c>
    </row>
    <row r="7" spans="1:11" ht="16.5" thickBot="1" x14ac:dyDescent="0.3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>
        <f t="shared" ref="E10:E19" si="1">D10/$D$19</f>
        <v>0</v>
      </c>
      <c r="F10" s="28">
        <f t="shared" ref="F10:F18" si="2">C10-(C10*$E$6)</f>
        <v>27.869089248427265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>
        <v>2185.4</v>
      </c>
      <c r="E11" s="29">
        <f t="shared" si="1"/>
        <v>0.23519662498116617</v>
      </c>
      <c r="F11" s="28">
        <f t="shared" si="2"/>
        <v>28.952340067270725</v>
      </c>
      <c r="G11" s="27" t="str">
        <f t="shared" si="3"/>
        <v>-</v>
      </c>
      <c r="H11" s="34">
        <f t="shared" si="4"/>
        <v>64250.76</v>
      </c>
      <c r="I11" s="34">
        <f t="shared" si="5"/>
        <v>63272.443983013443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>
        <v>6902.8</v>
      </c>
      <c r="E12" s="29">
        <f t="shared" si="1"/>
        <v>0.74289158182483472</v>
      </c>
      <c r="F12" s="28">
        <f t="shared" si="2"/>
        <v>26.490406388081038</v>
      </c>
      <c r="G12" s="27" t="str">
        <f t="shared" si="3"/>
        <v>-</v>
      </c>
      <c r="H12" s="34">
        <f t="shared" si="4"/>
        <v>185685.32</v>
      </c>
      <c r="I12" s="34">
        <f t="shared" si="5"/>
        <v>182857.97721564581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>
        <v>126.6</v>
      </c>
      <c r="E13" s="29">
        <f t="shared" si="1"/>
        <v>1.3624916593125119E-2</v>
      </c>
      <c r="F13" s="28">
        <f t="shared" si="2"/>
        <v>28.952340067270725</v>
      </c>
      <c r="G13" s="27" t="str">
        <f t="shared" si="3"/>
        <v>-</v>
      </c>
      <c r="H13" s="34">
        <f t="shared" si="4"/>
        <v>3722.0399999999995</v>
      </c>
      <c r="I13" s="34">
        <f t="shared" si="5"/>
        <v>3665.3662525164737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>
        <f t="shared" si="1"/>
        <v>0</v>
      </c>
      <c r="F14" s="28">
        <f t="shared" si="2"/>
        <v>32.399047218136289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>
        <v>77</v>
      </c>
      <c r="E15" s="29">
        <f t="shared" si="1"/>
        <v>8.2868766008738874E-3</v>
      </c>
      <c r="F15" s="28">
        <f t="shared" si="2"/>
        <v>26.687361082416214</v>
      </c>
      <c r="G15" s="27" t="str">
        <f t="shared" si="3"/>
        <v>-</v>
      </c>
      <c r="H15" s="34">
        <f t="shared" si="4"/>
        <v>2086.7000000000003</v>
      </c>
      <c r="I15" s="34">
        <f t="shared" si="5"/>
        <v>2054.9268033460485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>
        <f t="shared" si="1"/>
        <v>0</v>
      </c>
      <c r="F16" s="28">
        <f t="shared" si="2"/>
        <v>36.535095799174968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>
        <f t="shared" si="1"/>
        <v>0</v>
      </c>
      <c r="F17" s="28">
        <f t="shared" si="2"/>
        <v>53.768631553502779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ht="15.75" thickBot="1" x14ac:dyDescent="0.3">
      <c r="A18" s="25" t="s">
        <v>33</v>
      </c>
      <c r="B18" s="32">
        <v>1.6942143999999999</v>
      </c>
      <c r="C18" s="31">
        <f t="shared" si="0"/>
        <v>47.9</v>
      </c>
      <c r="D18" s="30"/>
      <c r="E18" s="29">
        <f t="shared" si="1"/>
        <v>0</v>
      </c>
      <c r="F18" s="28">
        <f t="shared" si="2"/>
        <v>47.170649293274415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ht="16.5" thickTop="1" thickBot="1" x14ac:dyDescent="0.3">
      <c r="A19" s="51" t="s">
        <v>34</v>
      </c>
      <c r="B19" s="50"/>
      <c r="C19" s="47">
        <f>H19/D19</f>
        <v>27.523711229255905</v>
      </c>
      <c r="D19" s="49">
        <f>SUM(D10:D18)</f>
        <v>9291.8000000000011</v>
      </c>
      <c r="E19" s="48">
        <f t="shared" si="1"/>
        <v>1</v>
      </c>
      <c r="F19" s="47">
        <f>I19/D19</f>
        <v>27.104620660638602</v>
      </c>
      <c r="G19" s="46">
        <f>F19/C19-1</f>
        <v>-1.5226528324125077E-2</v>
      </c>
      <c r="H19" s="9">
        <f>SUM(H10:H18)</f>
        <v>255744.82000000004</v>
      </c>
      <c r="I19" s="9">
        <f>SUM(I10:I18)</f>
        <v>251850.71425452179</v>
      </c>
      <c r="J19" s="8"/>
      <c r="K19" s="8"/>
    </row>
    <row r="20" spans="1:11" ht="15.75" thickTop="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170.7</v>
      </c>
      <c r="E21" s="29">
        <f>D21/$D$48</f>
        <v>1.8985018851556502E-2</v>
      </c>
      <c r="F21" s="28">
        <f>C21-(C21*$E$6)</f>
        <v>69.918916488987122</v>
      </c>
      <c r="G21" s="27" t="str">
        <f>IF(C21&gt;=F21,"-","+")</f>
        <v>-</v>
      </c>
      <c r="H21" s="26">
        <f>C21*D21</f>
        <v>12119.699999999999</v>
      </c>
      <c r="I21" s="26">
        <f>F21*D21</f>
        <v>11935.159044670101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173.8</v>
      </c>
      <c r="E22" s="29">
        <f>D22/$D$48</f>
        <v>1.9329796581139546E-2</v>
      </c>
      <c r="F22" s="28">
        <f>C22-(C22*$E$6)</f>
        <v>46.97369459893924</v>
      </c>
      <c r="G22" s="27" t="str">
        <f>IF(C22&gt;=F22,"-","+")</f>
        <v>-</v>
      </c>
      <c r="H22" s="26">
        <f>C22*D22</f>
        <v>8290.26</v>
      </c>
      <c r="I22" s="26">
        <f>F22*D22</f>
        <v>8164.0281212956406</v>
      </c>
      <c r="J22" s="25"/>
      <c r="K22" s="25"/>
    </row>
    <row r="23" spans="1:11" ht="15.75" thickBot="1" x14ac:dyDescent="0.3">
      <c r="A23" s="25" t="s">
        <v>38</v>
      </c>
      <c r="B23" s="32">
        <v>1.54</v>
      </c>
      <c r="C23" s="31">
        <f>ROUND($G$3*B23,1)</f>
        <v>43.5</v>
      </c>
      <c r="D23" s="30">
        <v>323.10000000000002</v>
      </c>
      <c r="E23" s="29">
        <f>D23/$D$48</f>
        <v>3.5934736912348601E-2</v>
      </c>
      <c r="F23" s="28">
        <f>C23-(C23*$E$6)</f>
        <v>42.837646017900568</v>
      </c>
      <c r="G23" s="27" t="str">
        <f>IF(C23&gt;=F23,"-","+")</f>
        <v>-</v>
      </c>
      <c r="H23" s="26">
        <f>C23*D23</f>
        <v>14054.85</v>
      </c>
      <c r="I23" s="26">
        <f>F23*D23</f>
        <v>13840.843428383674</v>
      </c>
      <c r="J23" s="25"/>
      <c r="K23" s="25"/>
    </row>
    <row r="24" spans="1:11" ht="15.75" thickBot="1" x14ac:dyDescent="0.3">
      <c r="A24" s="24" t="s">
        <v>34</v>
      </c>
      <c r="B24" s="23"/>
      <c r="C24" s="20">
        <f>H24/D24</f>
        <v>51.624940083882557</v>
      </c>
      <c r="D24" s="22">
        <f>SUM(D21:D23)</f>
        <v>667.6</v>
      </c>
      <c r="E24" s="21">
        <f>D24/$D$48</f>
        <v>7.4249552345044642E-2</v>
      </c>
      <c r="F24" s="20">
        <f>I24/D24</f>
        <v>50.838871471464074</v>
      </c>
      <c r="G24" s="19">
        <f>F24/C24-1</f>
        <v>-1.5226528324124744E-2</v>
      </c>
      <c r="H24" s="18">
        <f>SUM(H21:H23)</f>
        <v>34464.81</v>
      </c>
      <c r="I24" s="18">
        <f>SUM(I21:I23)</f>
        <v>33940.030594349417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f>535.7+145.2+1870.1</f>
        <v>2551</v>
      </c>
      <c r="E26" s="29">
        <f t="shared" ref="E26:E32" si="7">D26/$D$48</f>
        <v>0.28371870586010917</v>
      </c>
      <c r="F26" s="28">
        <f t="shared" ref="F26:F31" si="8">C26-(C26*$E$6)</f>
        <v>37.322914576515664</v>
      </c>
      <c r="G26" s="27" t="str">
        <f t="shared" ref="G26:G31" si="9">IF(C26&gt;=F26,"-","+")</f>
        <v>-</v>
      </c>
      <c r="H26" s="26">
        <f t="shared" ref="H26:H31" si="10">C26*D26</f>
        <v>96682.9</v>
      </c>
      <c r="I26" s="26">
        <f t="shared" ref="I26:I31" si="11">F26*D26</f>
        <v>95210.755084691453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1272.2</v>
      </c>
      <c r="E27" s="29">
        <f t="shared" si="7"/>
        <v>0.14149233147598234</v>
      </c>
      <c r="F27" s="28">
        <f t="shared" si="8"/>
        <v>33.285343342644573</v>
      </c>
      <c r="G27" s="27" t="str">
        <f t="shared" si="9"/>
        <v>-</v>
      </c>
      <c r="H27" s="26">
        <f t="shared" si="10"/>
        <v>43000.36</v>
      </c>
      <c r="I27" s="26">
        <f t="shared" si="11"/>
        <v>42345.61380051243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682</v>
      </c>
      <c r="E28" s="29">
        <f t="shared" si="7"/>
        <v>7.5851100508269098E-2</v>
      </c>
      <c r="F28" s="28">
        <f t="shared" si="8"/>
        <v>33.285343342644573</v>
      </c>
      <c r="G28" s="27" t="str">
        <f t="shared" si="9"/>
        <v>-</v>
      </c>
      <c r="H28" s="26">
        <f t="shared" si="10"/>
        <v>23051.599999999999</v>
      </c>
      <c r="I28" s="26">
        <f t="shared" si="11"/>
        <v>22700.6041596836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663.6</v>
      </c>
      <c r="E29" s="29">
        <f t="shared" si="7"/>
        <v>7.3804677855260084E-2</v>
      </c>
      <c r="F29" s="28">
        <f t="shared" si="8"/>
        <v>32.103615176633525</v>
      </c>
      <c r="G29" s="27" t="str">
        <f t="shared" si="9"/>
        <v>-</v>
      </c>
      <c r="H29" s="26">
        <f t="shared" si="10"/>
        <v>21633.360000000001</v>
      </c>
      <c r="I29" s="26">
        <f t="shared" si="11"/>
        <v>21303.959031214006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954.1</v>
      </c>
      <c r="E30" s="29">
        <f t="shared" si="7"/>
        <v>0.10611368767586443</v>
      </c>
      <c r="F30" s="28">
        <f t="shared" si="8"/>
        <v>32.103615176633525</v>
      </c>
      <c r="G30" s="27" t="str">
        <f t="shared" si="9"/>
        <v>-</v>
      </c>
      <c r="H30" s="26">
        <f t="shared" si="10"/>
        <v>31103.660000000003</v>
      </c>
      <c r="I30" s="26">
        <f t="shared" si="11"/>
        <v>30630.059240026047</v>
      </c>
      <c r="J30" s="25"/>
      <c r="K30" s="25"/>
    </row>
    <row r="31" spans="1:11" ht="15.75" thickBot="1" x14ac:dyDescent="0.3">
      <c r="A31" s="25" t="s">
        <v>45</v>
      </c>
      <c r="B31" s="32">
        <v>1.175</v>
      </c>
      <c r="C31" s="31">
        <f t="shared" si="6"/>
        <v>33.200000000000003</v>
      </c>
      <c r="D31" s="30">
        <v>241.4</v>
      </c>
      <c r="E31" s="29">
        <f t="shared" si="7"/>
        <v>2.6848175458498769E-2</v>
      </c>
      <c r="F31" s="28">
        <f t="shared" si="8"/>
        <v>32.694479259639053</v>
      </c>
      <c r="G31" s="27" t="str">
        <f t="shared" si="9"/>
        <v>-</v>
      </c>
      <c r="H31" s="26">
        <f t="shared" si="10"/>
        <v>8014.4800000000005</v>
      </c>
      <c r="I31" s="26">
        <f t="shared" si="11"/>
        <v>7892.4472932768676</v>
      </c>
      <c r="J31" s="25"/>
      <c r="K31" s="25"/>
    </row>
    <row r="32" spans="1:11" ht="15.75" thickBot="1" x14ac:dyDescent="0.3">
      <c r="A32" s="24" t="s">
        <v>34</v>
      </c>
      <c r="B32" s="23"/>
      <c r="C32" s="20">
        <f>H32/D32</f>
        <v>35.115623085021141</v>
      </c>
      <c r="D32" s="22">
        <f>SUM(D26:D31)</f>
        <v>6364.3</v>
      </c>
      <c r="E32" s="21">
        <f t="shared" si="7"/>
        <v>0.70782867883398393</v>
      </c>
      <c r="F32" s="20">
        <f>I32/D32</f>
        <v>34.580934055497764</v>
      </c>
      <c r="G32" s="19">
        <f>F32/C32-1</f>
        <v>-1.5226528324125188E-2</v>
      </c>
      <c r="H32" s="18">
        <f>SUM(H26:H31)</f>
        <v>223486.36000000004</v>
      </c>
      <c r="I32" s="18">
        <f>SUM(I26:I31)</f>
        <v>220083.4386094044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504.1</v>
      </c>
      <c r="E34" s="29">
        <f t="shared" ref="E34:E40" si="13">D34/$D$48</f>
        <v>5.6065307575100372E-2</v>
      </c>
      <c r="F34" s="28">
        <f t="shared" ref="F34:F39" si="14">C34-(C34*$E$6)</f>
        <v>19.695469433517502</v>
      </c>
      <c r="G34" s="27" t="str">
        <f t="shared" ref="G34:G39" si="15">IF(C34&gt;=F34,"-","+")</f>
        <v>-</v>
      </c>
      <c r="H34" s="26">
        <f t="shared" ref="H34:H39" si="16">C34*D34</f>
        <v>10082</v>
      </c>
      <c r="I34" s="26">
        <f t="shared" ref="I34:I39" si="17">F34*D34</f>
        <v>9928.4861414361731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15.165511463808476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12.112713701613263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32.103615176633525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32.103615176633525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ht="15.75" thickBot="1" x14ac:dyDescent="0.3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33.285343342644573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ht="15.75" thickBot="1" x14ac:dyDescent="0.3">
      <c r="A40" s="24" t="s">
        <v>34</v>
      </c>
      <c r="B40" s="23"/>
      <c r="C40" s="20">
        <f>H40/D40</f>
        <v>20</v>
      </c>
      <c r="D40" s="22">
        <f>SUM(D34:D39)</f>
        <v>504.1</v>
      </c>
      <c r="E40" s="21">
        <f t="shared" si="13"/>
        <v>5.6065307575100372E-2</v>
      </c>
      <c r="F40" s="20">
        <f>I40/D40</f>
        <v>19.695469433517502</v>
      </c>
      <c r="G40" s="19">
        <f>F40/C40-1</f>
        <v>-1.5226528324124855E-2</v>
      </c>
      <c r="H40" s="18">
        <f>SUM(H34:H39)</f>
        <v>10082</v>
      </c>
      <c r="I40" s="18">
        <f>SUM(I34:I39)</f>
        <v>9928.4861414361731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1360</v>
      </c>
      <c r="E42" s="107">
        <f>D42/$D$48</f>
        <v>0.15125732652675361</v>
      </c>
      <c r="F42" s="28">
        <f>C42-(C42*$E$6)</f>
        <v>0.49238673583793752</v>
      </c>
      <c r="G42" s="27" t="str">
        <f>IF(C42&gt;=F42,"-","+")</f>
        <v>-</v>
      </c>
      <c r="H42" s="26">
        <f>C42*D42</f>
        <v>680</v>
      </c>
      <c r="I42" s="26">
        <f>F42*D42</f>
        <v>669.64596073959501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51.3</v>
      </c>
      <c r="E43" s="107">
        <f>D43/$D$48</f>
        <v>5.7055153314871029E-3</v>
      </c>
      <c r="F43" s="28">
        <f>C43-(C43*$E$6)</f>
        <v>0.49238673583793752</v>
      </c>
      <c r="G43" s="27" t="str">
        <f>IF(C43&gt;=F43,"-","+")</f>
        <v>-</v>
      </c>
      <c r="H43" s="26">
        <f>C43*D43</f>
        <v>25.65</v>
      </c>
      <c r="I43" s="26">
        <f>F43*D43</f>
        <v>25.259439548486192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38.299999999999997</v>
      </c>
      <c r="E44" s="107">
        <f>D44/$D$48</f>
        <v>4.2596732396872521E-3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5.7</v>
      </c>
      <c r="E45" s="107">
        <f>D45/$D$48</f>
        <v>6.339461479430115E-4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ht="15.75" thickBot="1" x14ac:dyDescent="0.3">
      <c r="A46" s="24" t="s">
        <v>34</v>
      </c>
      <c r="B46" s="23"/>
      <c r="C46" s="20">
        <f>H46/D46</f>
        <v>0.48488284202569915</v>
      </c>
      <c r="D46" s="22">
        <f>SUM(D41:D45)</f>
        <v>1455.3</v>
      </c>
      <c r="E46" s="113">
        <f>D46/$D$48</f>
        <v>0.161856461245871</v>
      </c>
      <c r="F46" s="20">
        <f>I46/D46</f>
        <v>0.47749975969771263</v>
      </c>
      <c r="G46" s="19">
        <f>F46/C46-1</f>
        <v>-1.5226528324124966E-2</v>
      </c>
      <c r="H46" s="18">
        <f>SUM(H41:H44)</f>
        <v>705.65</v>
      </c>
      <c r="I46" s="18">
        <f>SUM(I41:I44)</f>
        <v>694.90540028808118</v>
      </c>
      <c r="J46" s="17"/>
      <c r="K46" s="17"/>
    </row>
    <row r="47" spans="1:11" ht="15.75" thickBot="1" x14ac:dyDescent="0.3">
      <c r="E47" s="16"/>
    </row>
    <row r="48" spans="1:11" ht="15.75" thickBot="1" x14ac:dyDescent="0.3">
      <c r="A48" s="10" t="s">
        <v>58</v>
      </c>
      <c r="B48" s="15"/>
      <c r="C48" s="11">
        <f>C24+C32+C40+C46</f>
        <v>107.22544601092939</v>
      </c>
      <c r="D48" s="13">
        <f>D24+D32+D40+D46</f>
        <v>8991.3000000000011</v>
      </c>
      <c r="E48" s="12">
        <f>SUM(E20:E46)/2</f>
        <v>1</v>
      </c>
      <c r="F48" s="11">
        <f>I48/D48</f>
        <v>29.433659286808133</v>
      </c>
      <c r="G48" s="10"/>
      <c r="H48" s="9">
        <f>SUM(H20:H46)/2</f>
        <v>268738.82000000007</v>
      </c>
      <c r="I48" s="9">
        <f>SUM(I20:I46)/2</f>
        <v>264646.86074547801</v>
      </c>
      <c r="J48" s="8"/>
      <c r="K48" s="8"/>
    </row>
    <row r="49" spans="1:11" ht="15.75" thickBot="1" x14ac:dyDescent="0.3">
      <c r="E49" s="16"/>
    </row>
    <row r="50" spans="1:11" ht="15.75" thickBot="1" x14ac:dyDescent="0.3">
      <c r="A50" s="10" t="s">
        <v>59</v>
      </c>
      <c r="B50" s="15"/>
      <c r="C50" s="14"/>
      <c r="D50" s="13">
        <f>SUM(D10:D47)/2</f>
        <v>18283.100000000002</v>
      </c>
      <c r="E50" s="12">
        <f>D50/G2</f>
        <v>1.0000000000000002</v>
      </c>
      <c r="F50" s="11">
        <f>I50/D50</f>
        <v>28.249999999999989</v>
      </c>
      <c r="G50" s="10"/>
      <c r="H50" s="9">
        <f>H48+H19</f>
        <v>524483.64000000013</v>
      </c>
      <c r="I50" s="9">
        <f>I48+I19</f>
        <v>516497.57499999984</v>
      </c>
      <c r="J50" s="106">
        <f>D50-G2</f>
        <v>0</v>
      </c>
      <c r="K50" s="8"/>
    </row>
    <row r="51" spans="1:11" ht="23.25" x14ac:dyDescent="0.35">
      <c r="A51" s="174" t="s">
        <v>990</v>
      </c>
      <c r="B51" s="169"/>
      <c r="C51" s="170"/>
      <c r="G51" s="7"/>
      <c r="H51" s="6"/>
      <c r="I51" s="6">
        <f>+I50/D50</f>
        <v>28.249999999999989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74" orientation="portrait" r:id="rId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>
    <tabColor rgb="FF92D050"/>
    <pageSetUpPr fitToPage="1"/>
  </sheetPr>
  <dimension ref="A1:K56"/>
  <sheetViews>
    <sheetView workbookViewId="0">
      <selection activeCell="R1" sqref="R1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14" style="2" bestFit="1" customWidth="1"/>
    <col min="9" max="9" width="15.85546875" style="2" bestFit="1" customWidth="1"/>
    <col min="10" max="11" width="8.7109375" style="1"/>
  </cols>
  <sheetData>
    <row r="1" spans="1:11" ht="16.5" thickBot="1" x14ac:dyDescent="0.3">
      <c r="A1" s="103" t="s">
        <v>0</v>
      </c>
      <c r="B1" s="102"/>
      <c r="C1" s="101">
        <v>43739</v>
      </c>
      <c r="D1" s="100" t="s">
        <v>1</v>
      </c>
      <c r="E1" s="168" t="s">
        <v>821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>
        <v>43739</v>
      </c>
      <c r="D2" s="96" t="s">
        <v>3</v>
      </c>
      <c r="E2" s="95" t="s">
        <v>112</v>
      </c>
      <c r="F2" s="94" t="s">
        <v>5</v>
      </c>
      <c r="G2" s="116">
        <v>7667.4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822</v>
      </c>
      <c r="D3" s="90" t="s">
        <v>7</v>
      </c>
      <c r="E3" s="89">
        <v>132</v>
      </c>
      <c r="F3" s="88" t="s">
        <v>8</v>
      </c>
      <c r="G3" s="87">
        <v>23.99</v>
      </c>
      <c r="H3" s="62"/>
      <c r="I3" s="62"/>
      <c r="J3" s="61"/>
      <c r="K3" s="61"/>
    </row>
    <row r="4" spans="1:11" ht="16.5" thickBot="1" x14ac:dyDescent="0.3">
      <c r="A4" s="86" t="s">
        <v>9</v>
      </c>
      <c r="B4" s="85"/>
      <c r="C4" s="84">
        <v>10</v>
      </c>
      <c r="D4" s="83" t="s">
        <v>11</v>
      </c>
      <c r="E4" s="82">
        <f>G2/E3</f>
        <v>58.086363636363636</v>
      </c>
      <c r="F4" s="81" t="s">
        <v>12</v>
      </c>
      <c r="G4" s="80">
        <f>G2*G3</f>
        <v>183940.92599999998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-8.3360986561479278E-2</v>
      </c>
      <c r="F6" s="69" t="s">
        <v>16</v>
      </c>
      <c r="G6" s="68">
        <f>(I50-I19)/(D50-(SUM(D42:D44)+D19))</f>
        <v>30.192022053025944</v>
      </c>
    </row>
    <row r="7" spans="1:11" ht="16.5" thickBot="1" x14ac:dyDescent="0.3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24</v>
      </c>
      <c r="D10" s="30"/>
      <c r="E10" s="29">
        <f t="shared" ref="E10:E19" si="1">D10/$D$19</f>
        <v>0</v>
      </c>
      <c r="F10" s="28">
        <f t="shared" ref="F10:F18" si="2">C10-(C10*$E$6)</f>
        <v>26.000663677475501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25</v>
      </c>
      <c r="D11" s="30"/>
      <c r="E11" s="29">
        <f t="shared" si="1"/>
        <v>0</v>
      </c>
      <c r="F11" s="28">
        <f t="shared" si="2"/>
        <v>27.084024664036981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22.8</v>
      </c>
      <c r="D12" s="30"/>
      <c r="E12" s="29">
        <f t="shared" si="1"/>
        <v>0</v>
      </c>
      <c r="F12" s="28">
        <f t="shared" si="2"/>
        <v>24.700630493601729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25</v>
      </c>
      <c r="D13" s="30"/>
      <c r="E13" s="29">
        <f t="shared" si="1"/>
        <v>0</v>
      </c>
      <c r="F13" s="28">
        <f t="shared" si="2"/>
        <v>27.084024664036981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27.9</v>
      </c>
      <c r="D14" s="30"/>
      <c r="E14" s="29">
        <f t="shared" si="1"/>
        <v>0</v>
      </c>
      <c r="F14" s="28">
        <f t="shared" si="2"/>
        <v>30.225771525065269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23</v>
      </c>
      <c r="D15" s="30"/>
      <c r="E15" s="29">
        <f t="shared" si="1"/>
        <v>0</v>
      </c>
      <c r="F15" s="28">
        <f t="shared" si="2"/>
        <v>24.917302690914024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31.5</v>
      </c>
      <c r="D16" s="30">
        <v>75</v>
      </c>
      <c r="E16" s="29">
        <f t="shared" si="1"/>
        <v>0.55555555555555558</v>
      </c>
      <c r="F16" s="28">
        <f t="shared" si="2"/>
        <v>34.1258710766866</v>
      </c>
      <c r="G16" s="27" t="str">
        <f t="shared" si="3"/>
        <v>+</v>
      </c>
      <c r="H16" s="34">
        <f t="shared" si="4"/>
        <v>2362.5</v>
      </c>
      <c r="I16" s="34">
        <f t="shared" si="5"/>
        <v>2559.4403307514949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46.4</v>
      </c>
      <c r="D17" s="30">
        <v>60</v>
      </c>
      <c r="E17" s="29">
        <f t="shared" si="1"/>
        <v>0.44444444444444442</v>
      </c>
      <c r="F17" s="28">
        <f t="shared" si="2"/>
        <v>50.267949776452639</v>
      </c>
      <c r="G17" s="27" t="str">
        <f t="shared" si="3"/>
        <v>+</v>
      </c>
      <c r="H17" s="34">
        <f t="shared" si="4"/>
        <v>2784</v>
      </c>
      <c r="I17" s="34">
        <f t="shared" si="5"/>
        <v>3016.0769865871584</v>
      </c>
      <c r="J17" s="52"/>
      <c r="K17" s="52"/>
    </row>
    <row r="18" spans="1:11" ht="15.75" thickBot="1" x14ac:dyDescent="0.3">
      <c r="A18" s="25" t="s">
        <v>33</v>
      </c>
      <c r="B18" s="32">
        <v>1.6942143999999999</v>
      </c>
      <c r="C18" s="31">
        <f t="shared" si="0"/>
        <v>40.6</v>
      </c>
      <c r="D18" s="30"/>
      <c r="E18" s="29">
        <f t="shared" si="1"/>
        <v>0</v>
      </c>
      <c r="F18" s="28">
        <f t="shared" si="2"/>
        <v>43.984456054396063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ht="16.5" thickTop="1" thickBot="1" x14ac:dyDescent="0.3">
      <c r="A19" s="51" t="s">
        <v>34</v>
      </c>
      <c r="B19" s="50"/>
      <c r="C19" s="47">
        <f>H19/D19</f>
        <v>38.12222222222222</v>
      </c>
      <c r="D19" s="49">
        <f>SUM(D10:D18)</f>
        <v>135</v>
      </c>
      <c r="E19" s="48">
        <f t="shared" si="1"/>
        <v>1</v>
      </c>
      <c r="F19" s="47">
        <f>I19/D19</f>
        <v>41.300128276582619</v>
      </c>
      <c r="G19" s="46">
        <f>F19/C19-1</f>
        <v>8.33609865614795E-2</v>
      </c>
      <c r="H19" s="9">
        <f>SUM(H10:H18)</f>
        <v>5146.5</v>
      </c>
      <c r="I19" s="9">
        <f>SUM(I10:I18)</f>
        <v>5575.5173173386538</v>
      </c>
      <c r="J19" s="8"/>
      <c r="K19" s="8"/>
    </row>
    <row r="20" spans="1:11" ht="15.75" thickTop="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60.3</v>
      </c>
      <c r="D21" s="30">
        <v>89.1</v>
      </c>
      <c r="E21" s="29">
        <f>D21/$D$48</f>
        <v>1.1828899155647603E-2</v>
      </c>
      <c r="F21" s="28">
        <f>C21-(C21*$E$6)</f>
        <v>65.326667489657197</v>
      </c>
      <c r="G21" s="27" t="str">
        <f>IF(C21&gt;=F21,"-","+")</f>
        <v>+</v>
      </c>
      <c r="H21" s="26">
        <f>C21*D21</f>
        <v>5372.73</v>
      </c>
      <c r="I21" s="26">
        <f>F21*D21</f>
        <v>5820.6060733284558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40.5</v>
      </c>
      <c r="D22" s="30">
        <v>177.9</v>
      </c>
      <c r="E22" s="29">
        <f>D22/$D$48</f>
        <v>2.3617970368010197E-2</v>
      </c>
      <c r="F22" s="28">
        <f>C22-(C22*$E$6)</f>
        <v>43.87611995573991</v>
      </c>
      <c r="G22" s="27" t="str">
        <f>IF(C22&gt;=F22,"-","+")</f>
        <v>+</v>
      </c>
      <c r="H22" s="26">
        <f>C22*D22</f>
        <v>7204.95</v>
      </c>
      <c r="I22" s="26">
        <f>F22*D22</f>
        <v>7805.5617401261297</v>
      </c>
      <c r="J22" s="25"/>
      <c r="K22" s="25"/>
    </row>
    <row r="23" spans="1:11" ht="15.75" thickBot="1" x14ac:dyDescent="0.3">
      <c r="A23" s="25" t="s">
        <v>38</v>
      </c>
      <c r="B23" s="32">
        <v>1.54</v>
      </c>
      <c r="C23" s="31">
        <f>ROUND($G$3*B23,1)</f>
        <v>36.9</v>
      </c>
      <c r="D23" s="30">
        <v>139.30000000000001</v>
      </c>
      <c r="E23" s="29">
        <f>D23/$D$48</f>
        <v>1.8493441665339071E-2</v>
      </c>
      <c r="F23" s="28">
        <f>C23-(C23*$E$6)</f>
        <v>39.976020404118586</v>
      </c>
      <c r="G23" s="27" t="str">
        <f>IF(C23&gt;=F23,"-","+")</f>
        <v>+</v>
      </c>
      <c r="H23" s="26">
        <f>C23*D23</f>
        <v>5140.17</v>
      </c>
      <c r="I23" s="26">
        <f>F23*D23</f>
        <v>5568.6596422937191</v>
      </c>
      <c r="J23" s="25"/>
      <c r="K23" s="25"/>
    </row>
    <row r="24" spans="1:11" ht="15.75" thickBot="1" x14ac:dyDescent="0.3">
      <c r="A24" s="24" t="s">
        <v>34</v>
      </c>
      <c r="B24" s="23"/>
      <c r="C24" s="20">
        <f>H24/D24</f>
        <v>43.607802116662562</v>
      </c>
      <c r="D24" s="22">
        <f>SUM(D21:D23)</f>
        <v>406.3</v>
      </c>
      <c r="E24" s="21">
        <f>D24/$D$48</f>
        <v>5.3940311188996871E-2</v>
      </c>
      <c r="F24" s="20">
        <f>I24/D24</f>
        <v>47.242991522885319</v>
      </c>
      <c r="G24" s="19">
        <f>F24/C24-1</f>
        <v>8.3360986561479278E-2</v>
      </c>
      <c r="H24" s="18">
        <f>SUM(H21:H23)</f>
        <v>17717.849999999999</v>
      </c>
      <c r="I24" s="18">
        <f>SUM(I21:I23)</f>
        <v>19194.827455748306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32.200000000000003</v>
      </c>
      <c r="D26" s="30">
        <f>236+1148.6</f>
        <v>1384.6</v>
      </c>
      <c r="E26" s="29">
        <f t="shared" ref="E26:E32" si="7">D26/$D$48</f>
        <v>0.18381923424141045</v>
      </c>
      <c r="F26" s="28">
        <f t="shared" ref="F26:F31" si="8">C26-(C26*$E$6)</f>
        <v>34.884223767279636</v>
      </c>
      <c r="G26" s="27" t="str">
        <f t="shared" ref="G26:G31" si="9">IF(C26&gt;=F26,"-","+")</f>
        <v>+</v>
      </c>
      <c r="H26" s="26">
        <f t="shared" ref="H26:H31" si="10">C26*D26</f>
        <v>44584.12</v>
      </c>
      <c r="I26" s="26">
        <f t="shared" ref="I26:I31" si="11">F26*D26</f>
        <v>48300.69622817538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28.7</v>
      </c>
      <c r="D27" s="30">
        <v>1206.3</v>
      </c>
      <c r="E27" s="29">
        <f t="shared" si="7"/>
        <v>0.16014815994902024</v>
      </c>
      <c r="F27" s="28">
        <f t="shared" si="8"/>
        <v>31.092460314314454</v>
      </c>
      <c r="G27" s="27" t="str">
        <f t="shared" si="9"/>
        <v>+</v>
      </c>
      <c r="H27" s="26">
        <f t="shared" si="10"/>
        <v>34620.81</v>
      </c>
      <c r="I27" s="26">
        <f t="shared" si="11"/>
        <v>37506.834877157526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28.7</v>
      </c>
      <c r="D28" s="30">
        <v>522.4</v>
      </c>
      <c r="E28" s="29">
        <f t="shared" si="7"/>
        <v>6.9353725240295261E-2</v>
      </c>
      <c r="F28" s="28">
        <f t="shared" si="8"/>
        <v>31.092460314314454</v>
      </c>
      <c r="G28" s="27" t="str">
        <f t="shared" si="9"/>
        <v>+</v>
      </c>
      <c r="H28" s="26">
        <f t="shared" si="10"/>
        <v>14992.88</v>
      </c>
      <c r="I28" s="26">
        <f t="shared" si="11"/>
        <v>16242.70126819787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27.7</v>
      </c>
      <c r="D29" s="30">
        <v>510.6</v>
      </c>
      <c r="E29" s="29">
        <f t="shared" si="7"/>
        <v>6.7787159471084921E-2</v>
      </c>
      <c r="F29" s="28">
        <f t="shared" si="8"/>
        <v>30.009099327752974</v>
      </c>
      <c r="G29" s="27" t="str">
        <f t="shared" si="9"/>
        <v>+</v>
      </c>
      <c r="H29" s="26">
        <f t="shared" si="10"/>
        <v>14143.62</v>
      </c>
      <c r="I29" s="26">
        <f t="shared" si="11"/>
        <v>15322.64611675067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27.7</v>
      </c>
      <c r="D30" s="30">
        <v>502.9</v>
      </c>
      <c r="E30" s="29">
        <f t="shared" si="7"/>
        <v>6.6764908926769687E-2</v>
      </c>
      <c r="F30" s="28">
        <f t="shared" si="8"/>
        <v>30.009099327752974</v>
      </c>
      <c r="G30" s="27" t="str">
        <f t="shared" si="9"/>
        <v>+</v>
      </c>
      <c r="H30" s="26">
        <f t="shared" si="10"/>
        <v>13930.329999999998</v>
      </c>
      <c r="I30" s="26">
        <f t="shared" si="11"/>
        <v>15091.57605192697</v>
      </c>
      <c r="J30" s="25"/>
      <c r="K30" s="25"/>
    </row>
    <row r="31" spans="1:11" ht="15.75" thickBot="1" x14ac:dyDescent="0.3">
      <c r="A31" s="25" t="s">
        <v>45</v>
      </c>
      <c r="B31" s="32">
        <v>1.175</v>
      </c>
      <c r="C31" s="31">
        <f t="shared" si="6"/>
        <v>28.2</v>
      </c>
      <c r="D31" s="30">
        <v>117.2</v>
      </c>
      <c r="E31" s="29">
        <f t="shared" si="7"/>
        <v>1.5559449843343424E-2</v>
      </c>
      <c r="F31" s="28">
        <f t="shared" si="8"/>
        <v>30.550779821033714</v>
      </c>
      <c r="G31" s="27" t="str">
        <f t="shared" si="9"/>
        <v>+</v>
      </c>
      <c r="H31" s="26">
        <f t="shared" si="10"/>
        <v>3305.04</v>
      </c>
      <c r="I31" s="26">
        <f t="shared" si="11"/>
        <v>3580.5513950251516</v>
      </c>
      <c r="J31" s="25"/>
      <c r="K31" s="25"/>
    </row>
    <row r="32" spans="1:11" ht="15.75" thickBot="1" x14ac:dyDescent="0.3">
      <c r="A32" s="24" t="s">
        <v>34</v>
      </c>
      <c r="B32" s="23"/>
      <c r="C32" s="20">
        <f>H32/D32</f>
        <v>29.58925541941565</v>
      </c>
      <c r="D32" s="22">
        <f>SUM(D26:D31)</f>
        <v>4243.9999999999991</v>
      </c>
      <c r="E32" s="21">
        <f t="shared" si="7"/>
        <v>0.56343263767192386</v>
      </c>
      <c r="F32" s="20">
        <f>I32/D32</f>
        <v>32.055844942797734</v>
      </c>
      <c r="G32" s="19">
        <f>F32/C32-1</f>
        <v>8.3360986561479278E-2</v>
      </c>
      <c r="H32" s="18">
        <f>SUM(H26:H31)</f>
        <v>125576.79999999999</v>
      </c>
      <c r="I32" s="18">
        <f>SUM(I26:I31)</f>
        <v>136045.00593723357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16.899999999999999</v>
      </c>
      <c r="D34" s="30">
        <f>641.3+498.1</f>
        <v>1139.4000000000001</v>
      </c>
      <c r="E34" s="29">
        <f t="shared" ref="E34:E40" si="13">D34/$D$48</f>
        <v>0.15126652859646331</v>
      </c>
      <c r="F34" s="28">
        <f t="shared" ref="F34:F39" si="14">C34-(C34*$E$6)</f>
        <v>18.308800672888999</v>
      </c>
      <c r="G34" s="27" t="str">
        <f t="shared" ref="G34:G39" si="15">IF(C34&gt;=F34,"-","+")</f>
        <v>+</v>
      </c>
      <c r="H34" s="26">
        <f t="shared" ref="H34:H39" si="16">C34*D34</f>
        <v>19255.86</v>
      </c>
      <c r="I34" s="26">
        <f t="shared" ref="I34:I39" si="17">F34*D34</f>
        <v>20861.047486689728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13</v>
      </c>
      <c r="D35" s="30">
        <v>110.8</v>
      </c>
      <c r="E35" s="29">
        <f t="shared" si="13"/>
        <v>1.4709787053263236E-2</v>
      </c>
      <c r="F35" s="28">
        <f t="shared" si="14"/>
        <v>14.083692825299231</v>
      </c>
      <c r="G35" s="27" t="str">
        <f t="shared" si="15"/>
        <v>+</v>
      </c>
      <c r="H35" s="26">
        <f t="shared" si="16"/>
        <v>1440.3999999999999</v>
      </c>
      <c r="I35" s="26">
        <f t="shared" si="17"/>
        <v>1560.4731650431547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10.5</v>
      </c>
      <c r="D36" s="30"/>
      <c r="E36" s="29">
        <f t="shared" si="13"/>
        <v>0</v>
      </c>
      <c r="F36" s="28">
        <f t="shared" si="14"/>
        <v>11.375290358895532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27.7</v>
      </c>
      <c r="D37" s="30"/>
      <c r="E37" s="29">
        <f t="shared" si="13"/>
        <v>0</v>
      </c>
      <c r="F37" s="28">
        <f t="shared" si="14"/>
        <v>30.009099327752974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27.7</v>
      </c>
      <c r="D38" s="30"/>
      <c r="E38" s="29">
        <f t="shared" si="13"/>
        <v>0</v>
      </c>
      <c r="F38" s="28">
        <f t="shared" si="14"/>
        <v>30.009099327752974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ht="15.75" thickBot="1" x14ac:dyDescent="0.3">
      <c r="A39" s="25" t="s">
        <v>52</v>
      </c>
      <c r="B39" s="32">
        <v>1.1950000000000001</v>
      </c>
      <c r="C39" s="31">
        <f t="shared" si="12"/>
        <v>28.7</v>
      </c>
      <c r="D39" s="30"/>
      <c r="E39" s="29">
        <f t="shared" si="13"/>
        <v>0</v>
      </c>
      <c r="F39" s="28">
        <f t="shared" si="14"/>
        <v>31.092460314314454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ht="15.75" thickBot="1" x14ac:dyDescent="0.3">
      <c r="A40" s="24" t="s">
        <v>34</v>
      </c>
      <c r="B40" s="23"/>
      <c r="C40" s="20">
        <f>H40/D40</f>
        <v>16.5543593025116</v>
      </c>
      <c r="D40" s="22">
        <f>SUM(D34:D39)</f>
        <v>1250.2</v>
      </c>
      <c r="E40" s="113">
        <f t="shared" si="13"/>
        <v>0.16597631564972654</v>
      </c>
      <c r="F40" s="20">
        <f>I40/D40</f>
        <v>17.934347025862166</v>
      </c>
      <c r="G40" s="19">
        <f>F40/C40-1</f>
        <v>8.3360986561479056E-2</v>
      </c>
      <c r="H40" s="18">
        <f>SUM(H34:H39)</f>
        <v>20696.260000000002</v>
      </c>
      <c r="I40" s="18">
        <f>SUM(I34:I39)</f>
        <v>22421.520651732881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93.9+715.4+744</f>
        <v>1553.3</v>
      </c>
      <c r="E42" s="107">
        <f>D42/$D$48</f>
        <v>0.20621581434868036</v>
      </c>
      <c r="F42" s="28">
        <f>C42-(C42*$E$6)</f>
        <v>0.43334439462459173</v>
      </c>
      <c r="G42" s="27" t="str">
        <f>IF(C42&gt;=F42,"-","+")</f>
        <v>+</v>
      </c>
      <c r="H42" s="26">
        <f>C42*D42</f>
        <v>621.32000000000005</v>
      </c>
      <c r="I42" s="26">
        <f>F42*D42</f>
        <v>673.11384817037833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71.400000000000006</v>
      </c>
      <c r="E43" s="107">
        <f>D43/$D$48</f>
        <v>9.4790505018320873E-3</v>
      </c>
      <c r="F43" s="28">
        <f>C43-(C43*$E$6)</f>
        <v>0.43334439462459173</v>
      </c>
      <c r="G43" s="27" t="str">
        <f>IF(C43&gt;=F43,"-","+")</f>
        <v>+</v>
      </c>
      <c r="H43" s="26">
        <f>C43*D43</f>
        <v>28.560000000000002</v>
      </c>
      <c r="I43" s="26">
        <f>F43*D43</f>
        <v>30.940789776195853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7.2</v>
      </c>
      <c r="E45" s="107">
        <f>D45/$D$48</f>
        <v>9.5587063884021038E-4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ht="15.75" thickBot="1" x14ac:dyDescent="0.3">
      <c r="A46" s="24" t="s">
        <v>34</v>
      </c>
      <c r="B46" s="23"/>
      <c r="C46" s="20">
        <f>H46/D46</f>
        <v>0.39823518597953311</v>
      </c>
      <c r="D46" s="22">
        <f>SUM(D41:D45)</f>
        <v>1631.9</v>
      </c>
      <c r="E46" s="113">
        <f>D46/$D$48</f>
        <v>0.21665073548935268</v>
      </c>
      <c r="F46" s="20">
        <f>I46/D46</f>
        <v>0.4314324639662811</v>
      </c>
      <c r="G46" s="19">
        <f>F46/C46-1</f>
        <v>8.3360986561479056E-2</v>
      </c>
      <c r="H46" s="18">
        <f>SUM(H41:H44)</f>
        <v>649.88000000000011</v>
      </c>
      <c r="I46" s="18">
        <f>SUM(I41:I44)</f>
        <v>704.05463794657419</v>
      </c>
      <c r="J46" s="17"/>
      <c r="K46" s="17"/>
    </row>
    <row r="47" spans="1:11" ht="15.75" thickBot="1" x14ac:dyDescent="0.3">
      <c r="E47" s="16"/>
    </row>
    <row r="48" spans="1:11" ht="15.75" thickBot="1" x14ac:dyDescent="0.3">
      <c r="A48" s="10" t="s">
        <v>58</v>
      </c>
      <c r="B48" s="15"/>
      <c r="C48" s="11">
        <f>C24+C32+C40+C46</f>
        <v>90.149652024569335</v>
      </c>
      <c r="D48" s="13">
        <f>D24+D32+D40+D46</f>
        <v>7532.4</v>
      </c>
      <c r="E48" s="12">
        <f>SUM(E20:E46)/2</f>
        <v>1</v>
      </c>
      <c r="F48" s="11">
        <f>I48/D48</f>
        <v>23.679757936734816</v>
      </c>
      <c r="G48" s="10"/>
      <c r="H48" s="9">
        <f>SUM(H20:H46)/2</f>
        <v>164640.79</v>
      </c>
      <c r="I48" s="9">
        <f>SUM(I20:I46)/2</f>
        <v>178365.40868266133</v>
      </c>
      <c r="J48" s="8"/>
      <c r="K48" s="8"/>
    </row>
    <row r="49" spans="1:11" ht="15.75" thickBot="1" x14ac:dyDescent="0.3">
      <c r="E49" s="16"/>
    </row>
    <row r="50" spans="1:11" ht="15.75" thickBot="1" x14ac:dyDescent="0.3">
      <c r="A50" s="10" t="s">
        <v>59</v>
      </c>
      <c r="B50" s="15"/>
      <c r="C50" s="14"/>
      <c r="D50" s="13">
        <f>SUM(D10:D47)/2</f>
        <v>7667.3999999999987</v>
      </c>
      <c r="E50" s="12">
        <f>D50/G2</f>
        <v>0.99999999999999989</v>
      </c>
      <c r="F50" s="11">
        <f>I50/D50</f>
        <v>23.990000000000002</v>
      </c>
      <c r="G50" s="10"/>
      <c r="H50" s="9">
        <f>H48+H19</f>
        <v>169787.29</v>
      </c>
      <c r="I50" s="9">
        <f>I48+I19</f>
        <v>183940.92599999998</v>
      </c>
      <c r="J50" s="106">
        <f>D50-G2</f>
        <v>0</v>
      </c>
      <c r="K50" s="8"/>
    </row>
    <row r="51" spans="1:11" ht="23.25" x14ac:dyDescent="0.35">
      <c r="A51" s="174" t="s">
        <v>991</v>
      </c>
      <c r="B51" s="169"/>
      <c r="C51" s="170"/>
      <c r="G51" s="7"/>
      <c r="H51" s="6"/>
      <c r="I51" s="6">
        <f>+I50/D50</f>
        <v>23.990000000000002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1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74" orientation="portrait" r:id="rId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>
    <tabColor rgb="FF92D050"/>
    <pageSetUpPr fitToPage="1"/>
  </sheetPr>
  <dimension ref="A1:K56"/>
  <sheetViews>
    <sheetView workbookViewId="0">
      <selection activeCell="E28" sqref="E28"/>
    </sheetView>
  </sheetViews>
  <sheetFormatPr defaultColWidth="8.85546875"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20.42578125" style="2" hidden="1" customWidth="1"/>
    <col min="9" max="9" width="18.42578125" style="2" hidden="1" customWidth="1"/>
    <col min="10" max="11" width="8.85546875" style="1"/>
  </cols>
  <sheetData>
    <row r="1" spans="1:11" ht="16.5" thickBot="1" x14ac:dyDescent="0.3">
      <c r="A1" s="103" t="s">
        <v>0</v>
      </c>
      <c r="B1" s="102"/>
      <c r="C1" s="101">
        <v>43738</v>
      </c>
      <c r="D1" s="100" t="s">
        <v>1</v>
      </c>
      <c r="E1" s="168" t="s">
        <v>661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>
        <v>43740</v>
      </c>
      <c r="D2" s="96" t="s">
        <v>3</v>
      </c>
      <c r="E2" s="95" t="s">
        <v>112</v>
      </c>
      <c r="F2" s="94" t="s">
        <v>5</v>
      </c>
      <c r="G2" s="93">
        <v>7606.1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662</v>
      </c>
      <c r="D3" s="90" t="s">
        <v>7</v>
      </c>
      <c r="E3" s="89">
        <v>116</v>
      </c>
      <c r="F3" s="88" t="s">
        <v>8</v>
      </c>
      <c r="G3" s="87">
        <v>23.49</v>
      </c>
      <c r="H3" s="62"/>
      <c r="I3" s="62"/>
      <c r="J3" s="61"/>
      <c r="K3" s="61"/>
    </row>
    <row r="4" spans="1:11" ht="16.5" thickBot="1" x14ac:dyDescent="0.3">
      <c r="A4" s="86" t="s">
        <v>9</v>
      </c>
      <c r="B4" s="85"/>
      <c r="C4" s="84">
        <v>14</v>
      </c>
      <c r="D4" s="83" t="s">
        <v>11</v>
      </c>
      <c r="E4" s="82">
        <f>G2/E3</f>
        <v>65.569827586206898</v>
      </c>
      <c r="F4" s="81" t="s">
        <v>12</v>
      </c>
      <c r="G4" s="80">
        <f>G2*G3</f>
        <v>178667.28899999999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-0.10121690413011608</v>
      </c>
      <c r="F6" s="69" t="s">
        <v>16</v>
      </c>
      <c r="G6" s="68">
        <f>(I50-I19)/(D50-(SUM(D42:D44)+D19))</f>
        <v>30.36854979348325</v>
      </c>
    </row>
    <row r="7" spans="1:11" ht="16.5" thickBot="1" x14ac:dyDescent="0.3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23.5</v>
      </c>
      <c r="D10" s="30"/>
      <c r="E10" s="29" t="e">
        <f t="shared" ref="E10:E19" si="1">D10/$D$19</f>
        <v>#DIV/0!</v>
      </c>
      <c r="F10" s="28">
        <f t="shared" ref="F10:F18" si="2">C10-(C10*$E$6)</f>
        <v>25.878597247057726</v>
      </c>
      <c r="G10" s="27" t="str">
        <f t="shared" ref="G10:G18" si="3">IF(C10&gt;=F10,"-","+")</f>
        <v>+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24.5</v>
      </c>
      <c r="D11" s="30"/>
      <c r="E11" s="29" t="e">
        <f t="shared" si="1"/>
        <v>#DIV/0!</v>
      </c>
      <c r="F11" s="28">
        <f t="shared" si="2"/>
        <v>26.979814151187846</v>
      </c>
      <c r="G11" s="27" t="str">
        <f t="shared" si="3"/>
        <v>+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22.3</v>
      </c>
      <c r="D12" s="30"/>
      <c r="E12" s="29" t="e">
        <f t="shared" si="1"/>
        <v>#DIV/0!</v>
      </c>
      <c r="F12" s="28">
        <f t="shared" si="2"/>
        <v>24.557136962101588</v>
      </c>
      <c r="G12" s="27" t="str">
        <f t="shared" si="3"/>
        <v>+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24.5</v>
      </c>
      <c r="D13" s="30"/>
      <c r="E13" s="29" t="e">
        <f t="shared" si="1"/>
        <v>#DIV/0!</v>
      </c>
      <c r="F13" s="28">
        <f t="shared" si="2"/>
        <v>26.979814151187846</v>
      </c>
      <c r="G13" s="27" t="str">
        <f t="shared" si="3"/>
        <v>+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27.3</v>
      </c>
      <c r="D14" s="30"/>
      <c r="E14" s="29" t="e">
        <f t="shared" si="1"/>
        <v>#DIV/0!</v>
      </c>
      <c r="F14" s="28">
        <f t="shared" si="2"/>
        <v>30.063221482752169</v>
      </c>
      <c r="G14" s="27" t="str">
        <f t="shared" si="3"/>
        <v>+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22.6</v>
      </c>
      <c r="D15" s="30"/>
      <c r="E15" s="29" t="e">
        <f t="shared" si="1"/>
        <v>#DIV/0!</v>
      </c>
      <c r="F15" s="28">
        <f t="shared" si="2"/>
        <v>24.887502033340624</v>
      </c>
      <c r="G15" s="27" t="str">
        <f t="shared" si="3"/>
        <v>+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30.9</v>
      </c>
      <c r="D16" s="30"/>
      <c r="E16" s="29" t="e">
        <f t="shared" si="1"/>
        <v>#DIV/0!</v>
      </c>
      <c r="F16" s="28">
        <f t="shared" si="2"/>
        <v>34.027602337620586</v>
      </c>
      <c r="G16" s="27" t="str">
        <f t="shared" si="3"/>
        <v>+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45.4</v>
      </c>
      <c r="D17" s="30"/>
      <c r="E17" s="29" t="e">
        <f t="shared" si="1"/>
        <v>#DIV/0!</v>
      </c>
      <c r="F17" s="28">
        <f t="shared" si="2"/>
        <v>49.995247447507268</v>
      </c>
      <c r="G17" s="27" t="str">
        <f t="shared" si="3"/>
        <v>+</v>
      </c>
      <c r="H17" s="34">
        <f t="shared" si="4"/>
        <v>0</v>
      </c>
      <c r="I17" s="34">
        <f t="shared" si="5"/>
        <v>0</v>
      </c>
      <c r="J17" s="52"/>
      <c r="K17" s="52"/>
    </row>
    <row r="18" spans="1:11" ht="15.75" thickBot="1" x14ac:dyDescent="0.3">
      <c r="A18" s="25" t="s">
        <v>33</v>
      </c>
      <c r="B18" s="32">
        <v>1.6942143999999999</v>
      </c>
      <c r="C18" s="31">
        <f t="shared" si="0"/>
        <v>39.799999999999997</v>
      </c>
      <c r="D18" s="30"/>
      <c r="E18" s="29" t="e">
        <f t="shared" si="1"/>
        <v>#DIV/0!</v>
      </c>
      <c r="F18" s="28">
        <f t="shared" si="2"/>
        <v>43.82843278437862</v>
      </c>
      <c r="G18" s="27" t="str">
        <f t="shared" si="3"/>
        <v>+</v>
      </c>
      <c r="H18" s="34">
        <f t="shared" si="4"/>
        <v>0</v>
      </c>
      <c r="I18" s="34">
        <f t="shared" si="5"/>
        <v>0</v>
      </c>
      <c r="J18" s="52"/>
      <c r="K18" s="52"/>
    </row>
    <row r="19" spans="1:11" ht="16.5" thickTop="1" thickBot="1" x14ac:dyDescent="0.3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ht="15.75" thickTop="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59.1</v>
      </c>
      <c r="D21" s="30">
        <v>102.6</v>
      </c>
      <c r="E21" s="29">
        <f>D21/$D$48</f>
        <v>1.3489173163644968E-2</v>
      </c>
      <c r="F21" s="28">
        <f>C21-(C21*$E$6)</f>
        <v>65.081919034089864</v>
      </c>
      <c r="G21" s="27" t="str">
        <f>IF(C21&gt;=F21,"-","+")</f>
        <v>+</v>
      </c>
      <c r="H21" s="26">
        <f>C21*D21</f>
        <v>6063.66</v>
      </c>
      <c r="I21" s="26">
        <f>F21*D21</f>
        <v>6677.4048928976199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39.700000000000003</v>
      </c>
      <c r="D22" s="30">
        <v>196.3</v>
      </c>
      <c r="E22" s="29">
        <f>D22/$D$48</f>
        <v>2.5808232865726193E-2</v>
      </c>
      <c r="F22" s="28">
        <f>C22-(C22*$E$6)</f>
        <v>43.71831109396561</v>
      </c>
      <c r="G22" s="27" t="str">
        <f>IF(C22&gt;=F22,"-","+")</f>
        <v>+</v>
      </c>
      <c r="H22" s="26">
        <f>C22*D22</f>
        <v>7793.1100000000006</v>
      </c>
      <c r="I22" s="26">
        <f>F22*D22</f>
        <v>8581.9044677454494</v>
      </c>
      <c r="J22" s="25"/>
      <c r="K22" s="25"/>
    </row>
    <row r="23" spans="1:11" ht="15.75" thickBot="1" x14ac:dyDescent="0.3">
      <c r="A23" s="25" t="s">
        <v>38</v>
      </c>
      <c r="B23" s="32">
        <v>1.54</v>
      </c>
      <c r="C23" s="31">
        <f>ROUND($G$3*B23,1)</f>
        <v>36.200000000000003</v>
      </c>
      <c r="D23" s="30">
        <v>145.30000000000001</v>
      </c>
      <c r="E23" s="29">
        <f>D23/$D$48</f>
        <v>1.9103088310697992E-2</v>
      </c>
      <c r="F23" s="28">
        <f>C23-(C23*$E$6)</f>
        <v>39.864051929510204</v>
      </c>
      <c r="G23" s="27" t="str">
        <f>IF(C23&gt;=F23,"-","+")</f>
        <v>+</v>
      </c>
      <c r="H23" s="26">
        <f>C23*D23</f>
        <v>5259.8600000000006</v>
      </c>
      <c r="I23" s="26">
        <f>F23*D23</f>
        <v>5792.2467453578329</v>
      </c>
      <c r="J23" s="25"/>
      <c r="K23" s="25"/>
    </row>
    <row r="24" spans="1:11" ht="15.75" thickBot="1" x14ac:dyDescent="0.3">
      <c r="A24" s="24" t="s">
        <v>34</v>
      </c>
      <c r="B24" s="23"/>
      <c r="C24" s="20">
        <f>H24/D24</f>
        <v>43.036087348041427</v>
      </c>
      <c r="D24" s="22">
        <f>SUM(D21:D23)</f>
        <v>444.2</v>
      </c>
      <c r="E24" s="21">
        <f>D24/$D$48</f>
        <v>5.8400494340069151E-2</v>
      </c>
      <c r="F24" s="20">
        <f>I24/D24</f>
        <v>47.39206687528344</v>
      </c>
      <c r="G24" s="19">
        <f>F24/C24-1</f>
        <v>0.10121690413011608</v>
      </c>
      <c r="H24" s="18">
        <f>SUM(H21:H23)</f>
        <v>19116.63</v>
      </c>
      <c r="I24" s="18">
        <f>SUM(I21:I23)</f>
        <v>21051.556106000902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31.5</v>
      </c>
      <c r="D26" s="30">
        <f>892.2+550</f>
        <v>1442.2</v>
      </c>
      <c r="E26" s="29">
        <f t="shared" ref="E26:E32" si="7">D26/$D$48</f>
        <v>0.1896109701423857</v>
      </c>
      <c r="F26" s="28">
        <f t="shared" ref="F26:F31" si="8">C26-(C26*$E$6)</f>
        <v>34.688332480098659</v>
      </c>
      <c r="G26" s="27" t="str">
        <f t="shared" ref="G26:G31" si="9">IF(C26&gt;=F26,"-","+")</f>
        <v>+</v>
      </c>
      <c r="H26" s="26">
        <f t="shared" ref="H26:H31" si="10">C26*D26</f>
        <v>45429.3</v>
      </c>
      <c r="I26" s="26">
        <f t="shared" ref="I26:I31" si="11">F26*D26</f>
        <v>50027.513102798286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28.1</v>
      </c>
      <c r="D27" s="30">
        <v>1154.0999999999999</v>
      </c>
      <c r="E27" s="29">
        <f t="shared" si="7"/>
        <v>0.15173347707760873</v>
      </c>
      <c r="F27" s="28">
        <f t="shared" si="8"/>
        <v>30.944195006056262</v>
      </c>
      <c r="G27" s="27" t="str">
        <f t="shared" si="9"/>
        <v>+</v>
      </c>
      <c r="H27" s="26">
        <f t="shared" si="10"/>
        <v>32430.21</v>
      </c>
      <c r="I27" s="26">
        <f t="shared" si="11"/>
        <v>35712.695456489528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28.1</v>
      </c>
      <c r="D28" s="30">
        <v>495.5</v>
      </c>
      <c r="E28" s="29">
        <f t="shared" si="7"/>
        <v>6.514508092189164E-2</v>
      </c>
      <c r="F28" s="28">
        <f t="shared" si="8"/>
        <v>30.944195006056262</v>
      </c>
      <c r="G28" s="27" t="str">
        <f t="shared" si="9"/>
        <v>+</v>
      </c>
      <c r="H28" s="26">
        <f t="shared" si="10"/>
        <v>13923.550000000001</v>
      </c>
      <c r="I28" s="26">
        <f t="shared" si="11"/>
        <v>15332.848625500877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27.1</v>
      </c>
      <c r="D29" s="30">
        <v>555.9</v>
      </c>
      <c r="E29" s="29">
        <f t="shared" si="7"/>
        <v>7.3086075649807389E-2</v>
      </c>
      <c r="F29" s="28">
        <f t="shared" si="8"/>
        <v>29.842978101926146</v>
      </c>
      <c r="G29" s="27" t="str">
        <f t="shared" si="9"/>
        <v>+</v>
      </c>
      <c r="H29" s="26">
        <f t="shared" si="10"/>
        <v>15064.89</v>
      </c>
      <c r="I29" s="26">
        <f t="shared" si="11"/>
        <v>16589.711526860745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27.1</v>
      </c>
      <c r="D30" s="30">
        <v>410</v>
      </c>
      <c r="E30" s="29">
        <f t="shared" si="7"/>
        <v>5.3904103285520831E-2</v>
      </c>
      <c r="F30" s="28">
        <f t="shared" si="8"/>
        <v>29.842978101926146</v>
      </c>
      <c r="G30" s="27" t="str">
        <f t="shared" si="9"/>
        <v>+</v>
      </c>
      <c r="H30" s="26">
        <f t="shared" si="10"/>
        <v>11111</v>
      </c>
      <c r="I30" s="26">
        <f t="shared" si="11"/>
        <v>12235.621021789721</v>
      </c>
      <c r="J30" s="25"/>
      <c r="K30" s="25"/>
    </row>
    <row r="31" spans="1:11" ht="15.75" thickBot="1" x14ac:dyDescent="0.3">
      <c r="A31" s="25" t="s">
        <v>45</v>
      </c>
      <c r="B31" s="32">
        <v>1.175</v>
      </c>
      <c r="C31" s="31">
        <f t="shared" si="6"/>
        <v>27.6</v>
      </c>
      <c r="D31" s="30">
        <v>180.8</v>
      </c>
      <c r="E31" s="29">
        <f t="shared" si="7"/>
        <v>2.377039481468821E-2</v>
      </c>
      <c r="F31" s="28">
        <f t="shared" si="8"/>
        <v>30.393586553991206</v>
      </c>
      <c r="G31" s="27" t="str">
        <f t="shared" si="9"/>
        <v>+</v>
      </c>
      <c r="H31" s="26">
        <f t="shared" si="10"/>
        <v>4990.0800000000008</v>
      </c>
      <c r="I31" s="26">
        <f t="shared" si="11"/>
        <v>5495.1604489616102</v>
      </c>
      <c r="J31" s="25"/>
      <c r="K31" s="25"/>
    </row>
    <row r="32" spans="1:11" ht="15.75" thickBot="1" x14ac:dyDescent="0.3">
      <c r="A32" s="24" t="s">
        <v>34</v>
      </c>
      <c r="B32" s="23"/>
      <c r="C32" s="20">
        <f>H32/D32</f>
        <v>29.007674884982897</v>
      </c>
      <c r="D32" s="22">
        <f>SUM(D26:D31)</f>
        <v>4238.5</v>
      </c>
      <c r="E32" s="21">
        <f t="shared" si="7"/>
        <v>0.55725010189190249</v>
      </c>
      <c r="F32" s="20">
        <f>I32/D32</f>
        <v>31.943741932853786</v>
      </c>
      <c r="G32" s="19">
        <f>F32/C32-1</f>
        <v>0.10121690413011608</v>
      </c>
      <c r="H32" s="18">
        <f>SUM(H26:H31)</f>
        <v>122949.03000000001</v>
      </c>
      <c r="I32" s="18">
        <f>SUM(I26:I31)</f>
        <v>135393.55018240077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16.600000000000001</v>
      </c>
      <c r="D34" s="30">
        <f>559.6+533.9</f>
        <v>1093.5</v>
      </c>
      <c r="E34" s="29">
        <f t="shared" ref="E34:E40" si="13">D34/$D$48</f>
        <v>0.14376618766516347</v>
      </c>
      <c r="F34" s="28">
        <f t="shared" ref="F34:F39" si="14">C34-(C34*$E$6)</f>
        <v>18.28020060855993</v>
      </c>
      <c r="G34" s="27" t="str">
        <f t="shared" ref="G34:G39" si="15">IF(C34&gt;=F34,"-","+")</f>
        <v>+</v>
      </c>
      <c r="H34" s="26">
        <f t="shared" ref="H34:H39" si="16">C34*D34</f>
        <v>18152.100000000002</v>
      </c>
      <c r="I34" s="26">
        <f t="shared" ref="I34:I39" si="17">F34*D34</f>
        <v>19989.399365460285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12.8</v>
      </c>
      <c r="D35" s="30">
        <v>104.9</v>
      </c>
      <c r="E35" s="29">
        <f t="shared" si="13"/>
        <v>1.3791562035734476E-2</v>
      </c>
      <c r="F35" s="28">
        <f t="shared" si="14"/>
        <v>14.095576372865487</v>
      </c>
      <c r="G35" s="27" t="str">
        <f t="shared" si="15"/>
        <v>+</v>
      </c>
      <c r="H35" s="26">
        <f t="shared" si="16"/>
        <v>1342.7200000000003</v>
      </c>
      <c r="I35" s="26">
        <f t="shared" si="17"/>
        <v>1478.6259615135898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10.3</v>
      </c>
      <c r="D36" s="30"/>
      <c r="E36" s="29">
        <f t="shared" si="13"/>
        <v>0</v>
      </c>
      <c r="F36" s="28">
        <f t="shared" si="14"/>
        <v>11.342534112540196</v>
      </c>
      <c r="G36" s="27" t="str">
        <f t="shared" si="15"/>
        <v>+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27.1</v>
      </c>
      <c r="D37" s="30"/>
      <c r="E37" s="29">
        <f t="shared" si="13"/>
        <v>0</v>
      </c>
      <c r="F37" s="28">
        <f t="shared" si="14"/>
        <v>29.842978101926146</v>
      </c>
      <c r="G37" s="27" t="str">
        <f t="shared" si="15"/>
        <v>+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27.1</v>
      </c>
      <c r="D38" s="30"/>
      <c r="E38" s="29">
        <f t="shared" si="13"/>
        <v>0</v>
      </c>
      <c r="F38" s="28">
        <f t="shared" si="14"/>
        <v>29.842978101926146</v>
      </c>
      <c r="G38" s="27" t="str">
        <f t="shared" si="15"/>
        <v>+</v>
      </c>
      <c r="H38" s="26">
        <f t="shared" si="16"/>
        <v>0</v>
      </c>
      <c r="I38" s="26">
        <f t="shared" si="17"/>
        <v>0</v>
      </c>
      <c r="J38" s="25"/>
      <c r="K38" s="25"/>
    </row>
    <row r="39" spans="1:11" ht="15.75" thickBot="1" x14ac:dyDescent="0.3">
      <c r="A39" s="25" t="s">
        <v>52</v>
      </c>
      <c r="B39" s="32">
        <v>1.1950000000000001</v>
      </c>
      <c r="C39" s="31">
        <f t="shared" si="12"/>
        <v>28.1</v>
      </c>
      <c r="D39" s="30"/>
      <c r="E39" s="29">
        <f t="shared" si="13"/>
        <v>0</v>
      </c>
      <c r="F39" s="28">
        <f t="shared" si="14"/>
        <v>30.944195006056262</v>
      </c>
      <c r="G39" s="27" t="str">
        <f t="shared" si="15"/>
        <v>+</v>
      </c>
      <c r="H39" s="26">
        <f t="shared" si="16"/>
        <v>0</v>
      </c>
      <c r="I39" s="26">
        <f t="shared" si="17"/>
        <v>0</v>
      </c>
      <c r="J39" s="25"/>
      <c r="K39" s="25"/>
    </row>
    <row r="40" spans="1:11" ht="15.75" thickBot="1" x14ac:dyDescent="0.3">
      <c r="A40" s="24" t="s">
        <v>34</v>
      </c>
      <c r="B40" s="23"/>
      <c r="C40" s="20">
        <f>H40/D40</f>
        <v>16.267373164218959</v>
      </c>
      <c r="D40" s="22">
        <f>SUM(D34:D39)</f>
        <v>1198.4000000000001</v>
      </c>
      <c r="E40" s="113">
        <f t="shared" si="13"/>
        <v>0.15755774970089798</v>
      </c>
      <c r="F40" s="20">
        <f>I40/D40</f>
        <v>17.913906314230534</v>
      </c>
      <c r="G40" s="19">
        <f>F40/C40-1</f>
        <v>0.10121690413011608</v>
      </c>
      <c r="H40" s="18">
        <f>SUM(H34:H39)</f>
        <v>19494.820000000003</v>
      </c>
      <c r="I40" s="18">
        <f>SUM(I34:I39)</f>
        <v>21468.025326973875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0.4</v>
      </c>
      <c r="D42" s="30">
        <f>792+92.9+792.1</f>
        <v>1677</v>
      </c>
      <c r="E42" s="107">
        <f>D42/$D$48</f>
        <v>0.22048092978004497</v>
      </c>
      <c r="F42" s="28">
        <f>C42-(C42*$E$6)</f>
        <v>0.44048676165204648</v>
      </c>
      <c r="G42" s="27" t="str">
        <f>IF(C42&gt;=F42,"-","+")</f>
        <v>+</v>
      </c>
      <c r="H42" s="26">
        <f>C42*D42</f>
        <v>670.80000000000007</v>
      </c>
      <c r="I42" s="26">
        <f>F42*D42</f>
        <v>738.69629929048199</v>
      </c>
      <c r="J42" s="25"/>
      <c r="K42" s="25" t="s">
        <v>659</v>
      </c>
    </row>
    <row r="43" spans="1:11" x14ac:dyDescent="0.25">
      <c r="A43" s="25" t="s">
        <v>55</v>
      </c>
      <c r="B43" s="32">
        <v>1.6513761460000002E-2</v>
      </c>
      <c r="C43" s="31">
        <f>ROUND($G$3*B43,1)</f>
        <v>0.4</v>
      </c>
      <c r="D43" s="30">
        <v>35.1</v>
      </c>
      <c r="E43" s="107">
        <f>D43/$D$48</f>
        <v>4.6147171349311738E-3</v>
      </c>
      <c r="F43" s="28">
        <f>C43-(C43*$E$6)</f>
        <v>0.44048676165204648</v>
      </c>
      <c r="G43" s="27" t="str">
        <f>IF(C43&gt;=F43,"-","+")</f>
        <v>+</v>
      </c>
      <c r="H43" s="26">
        <f>C43*D43</f>
        <v>14.040000000000001</v>
      </c>
      <c r="I43" s="26">
        <f>F43*D43</f>
        <v>15.461085333986832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>
        <v>10.7</v>
      </c>
      <c r="E44" s="107">
        <f>D44/$D$48</f>
        <v>1.4067656223294459E-3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2.2000000000000002</v>
      </c>
      <c r="E45" s="107">
        <f>D45/$D$48</f>
        <v>2.8924152982474596E-4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ht="15.75" thickBot="1" x14ac:dyDescent="0.3">
      <c r="A46" s="24" t="s">
        <v>34</v>
      </c>
      <c r="B46" s="23"/>
      <c r="C46" s="20">
        <f>H46/D46</f>
        <v>0.39700869565217395</v>
      </c>
      <c r="D46" s="22">
        <f>SUM(D41:D45)</f>
        <v>1725</v>
      </c>
      <c r="E46" s="113">
        <f>D46/$D$48</f>
        <v>0.22679165406713031</v>
      </c>
      <c r="F46" s="20">
        <f>I46/D46</f>
        <v>0.4371926867388225</v>
      </c>
      <c r="G46" s="19">
        <f>F46/C46-1</f>
        <v>0.10121690413011608</v>
      </c>
      <c r="H46" s="18">
        <f>SUM(H41:H44)</f>
        <v>684.84</v>
      </c>
      <c r="I46" s="18">
        <f>SUM(I41:I44)</f>
        <v>754.15738462446882</v>
      </c>
      <c r="J46" s="17"/>
      <c r="K46" s="17"/>
    </row>
    <row r="47" spans="1:11" ht="15.75" thickBot="1" x14ac:dyDescent="0.3">
      <c r="E47" s="16"/>
    </row>
    <row r="48" spans="1:11" ht="15.75" thickBot="1" x14ac:dyDescent="0.3">
      <c r="A48" s="10" t="s">
        <v>58</v>
      </c>
      <c r="B48" s="15"/>
      <c r="C48" s="11">
        <f>C24+C32+C40+C46</f>
        <v>88.708144092895452</v>
      </c>
      <c r="D48" s="13">
        <f>D24+D32+D40+D46</f>
        <v>7606.1</v>
      </c>
      <c r="E48" s="12">
        <f>SUM(E20:E46)/2</f>
        <v>1</v>
      </c>
      <c r="F48" s="11">
        <f>I48/D48</f>
        <v>23.490000000000002</v>
      </c>
      <c r="G48" s="10"/>
      <c r="H48" s="9">
        <f>SUM(H20:H46)/2</f>
        <v>162245.31999999998</v>
      </c>
      <c r="I48" s="9">
        <f>SUM(I20:I46)/2</f>
        <v>178667.28900000002</v>
      </c>
      <c r="J48" s="8"/>
      <c r="K48" s="8"/>
    </row>
    <row r="49" spans="1:11" ht="15.75" thickBot="1" x14ac:dyDescent="0.3">
      <c r="E49" s="16"/>
    </row>
    <row r="50" spans="1:11" ht="15.75" thickBot="1" x14ac:dyDescent="0.3">
      <c r="A50" s="10" t="s">
        <v>59</v>
      </c>
      <c r="B50" s="15"/>
      <c r="C50" s="14"/>
      <c r="D50" s="13">
        <f>SUM(D10:D47)/2</f>
        <v>7606.1</v>
      </c>
      <c r="E50" s="12">
        <f>D50/G2</f>
        <v>1</v>
      </c>
      <c r="F50" s="11">
        <f>I50/D50</f>
        <v>23.490000000000002</v>
      </c>
      <c r="G50" s="10"/>
      <c r="H50" s="9">
        <f>H48+H19</f>
        <v>162245.31999999998</v>
      </c>
      <c r="I50" s="9">
        <f>I48+I19</f>
        <v>178667.28900000002</v>
      </c>
      <c r="J50" s="106">
        <f>D50-G2</f>
        <v>0</v>
      </c>
      <c r="K50" s="8"/>
    </row>
    <row r="51" spans="1:11" ht="23.25" x14ac:dyDescent="0.35">
      <c r="A51" s="174" t="s">
        <v>992</v>
      </c>
      <c r="B51" s="169"/>
      <c r="C51" s="170"/>
      <c r="G51" s="7"/>
      <c r="H51" s="6"/>
      <c r="I51" s="6">
        <f>+I50/D50</f>
        <v>23.490000000000002</v>
      </c>
    </row>
    <row r="52" spans="1:11" ht="18.75" x14ac:dyDescent="0.3">
      <c r="A52" s="171" t="str">
        <f>IF(E46&lt;17%,"KEMİK ORANI İYİ","KEMİK YÜKSEK")</f>
        <v>KEMİK YÜKSEK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YÜKSEK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2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0866141732283472" right="0.70866141732283472" top="0.74803149606299213" bottom="0.74803149606299213" header="0.31496062992125984" footer="0.31496062992125984"/>
  <pageSetup paperSize="9" scale="69" orientation="portrait" r:id="rId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>
    <tabColor rgb="FFFF0000"/>
  </sheetPr>
  <dimension ref="A1:K56"/>
  <sheetViews>
    <sheetView workbookViewId="0">
      <selection activeCell="G6" sqref="G6"/>
    </sheetView>
  </sheetViews>
  <sheetFormatPr defaultRowHeight="15" x14ac:dyDescent="0.25"/>
  <cols>
    <col min="1" max="1" width="23.28515625" style="1" bestFit="1" customWidth="1"/>
    <col min="2" max="2" width="6.42578125" style="4" customWidth="1"/>
    <col min="3" max="3" width="11.85546875" style="1" customWidth="1"/>
    <col min="4" max="4" width="20.28515625" style="2" bestFit="1" customWidth="1"/>
    <col min="5" max="5" width="12.85546875" style="3" customWidth="1"/>
    <col min="6" max="6" width="19.28515625" style="1" customWidth="1"/>
    <col min="7" max="7" width="14.42578125" style="1" customWidth="1"/>
    <col min="8" max="8" width="14" style="2" bestFit="1" customWidth="1"/>
    <col min="9" max="9" width="15.85546875" style="2" bestFit="1" customWidth="1"/>
    <col min="10" max="11" width="8.7109375" style="1"/>
  </cols>
  <sheetData>
    <row r="1" spans="1:11" ht="16.5" thickBot="1" x14ac:dyDescent="0.3">
      <c r="A1" s="103" t="s">
        <v>0</v>
      </c>
      <c r="B1" s="102"/>
      <c r="C1" s="101">
        <v>43745</v>
      </c>
      <c r="D1" s="100" t="s">
        <v>1</v>
      </c>
      <c r="E1" s="168" t="s">
        <v>136</v>
      </c>
      <c r="F1" s="169"/>
      <c r="G1" s="170"/>
      <c r="H1" s="62"/>
      <c r="I1" s="62"/>
      <c r="J1" s="61"/>
      <c r="K1" s="61"/>
    </row>
    <row r="2" spans="1:11" x14ac:dyDescent="0.25">
      <c r="A2" s="99" t="s">
        <v>2</v>
      </c>
      <c r="B2" s="98"/>
      <c r="C2" s="101">
        <v>43745</v>
      </c>
      <c r="D2" s="96" t="s">
        <v>3</v>
      </c>
      <c r="E2" s="95" t="s">
        <v>71</v>
      </c>
      <c r="F2" s="94" t="s">
        <v>5</v>
      </c>
      <c r="G2" s="116">
        <v>14035.1</v>
      </c>
      <c r="H2" s="62"/>
      <c r="I2" s="62"/>
      <c r="J2" s="61"/>
      <c r="K2" s="61"/>
    </row>
    <row r="3" spans="1:11" ht="21" x14ac:dyDescent="0.25">
      <c r="A3" s="92" t="s">
        <v>6</v>
      </c>
      <c r="B3" s="91"/>
      <c r="C3" s="89" t="s">
        <v>707</v>
      </c>
      <c r="D3" s="90" t="s">
        <v>7</v>
      </c>
      <c r="E3" s="89">
        <v>173</v>
      </c>
      <c r="F3" s="88" t="s">
        <v>8</v>
      </c>
      <c r="G3" s="120">
        <v>28.25</v>
      </c>
      <c r="H3" s="62"/>
      <c r="I3" s="62"/>
      <c r="J3" s="61"/>
      <c r="K3" s="61"/>
    </row>
    <row r="4" spans="1:11" ht="16.5" thickBot="1" x14ac:dyDescent="0.3">
      <c r="A4" s="86" t="s">
        <v>9</v>
      </c>
      <c r="B4" s="85"/>
      <c r="C4" s="84">
        <v>22</v>
      </c>
      <c r="D4" s="83" t="s">
        <v>11</v>
      </c>
      <c r="E4" s="82">
        <f>G2/E3</f>
        <v>81.127745664739891</v>
      </c>
      <c r="F4" s="81" t="s">
        <v>12</v>
      </c>
      <c r="G4" s="80">
        <f>G2*G3</f>
        <v>396491.57500000001</v>
      </c>
      <c r="H4" s="62"/>
      <c r="I4" s="62"/>
      <c r="J4" s="61"/>
      <c r="K4" s="61"/>
    </row>
    <row r="5" spans="1:11" x14ac:dyDescent="0.25">
      <c r="A5" s="75"/>
      <c r="B5" s="79"/>
      <c r="C5" s="75"/>
      <c r="D5" s="76"/>
      <c r="E5" s="78"/>
      <c r="F5" s="75" t="s">
        <v>13</v>
      </c>
      <c r="G5" s="77" t="str">
        <f>IF(G4=I50,"DOĞRU","HATA VAR")</f>
        <v>DOĞRU</v>
      </c>
      <c r="H5" s="76"/>
      <c r="I5" s="76"/>
      <c r="J5" s="75"/>
      <c r="K5" s="75"/>
    </row>
    <row r="6" spans="1:11" ht="23.25" x14ac:dyDescent="0.35">
      <c r="A6" s="74" t="s">
        <v>14</v>
      </c>
      <c r="B6" s="73"/>
      <c r="C6" s="72">
        <v>27.3</v>
      </c>
      <c r="D6" s="71" t="s">
        <v>15</v>
      </c>
      <c r="E6" s="70">
        <f>1-G4/H50</f>
        <v>2.550034677194879E-2</v>
      </c>
      <c r="F6" s="69" t="s">
        <v>16</v>
      </c>
      <c r="G6" s="68">
        <f>(I50-I19)/(D50-(SUM(D42:D44)+D19))</f>
        <v>33.522855633058548</v>
      </c>
    </row>
    <row r="7" spans="1:11" ht="16.5" thickBot="1" x14ac:dyDescent="0.3">
      <c r="A7" s="67" t="s">
        <v>17</v>
      </c>
      <c r="B7" s="66"/>
      <c r="C7" s="65">
        <f>ROUND(C6*60*15%/360*1.08+C6,1)</f>
        <v>28</v>
      </c>
      <c r="D7" s="64"/>
      <c r="E7" s="63"/>
      <c r="F7" s="61"/>
      <c r="G7" s="61"/>
      <c r="H7" s="62"/>
      <c r="I7" s="62"/>
      <c r="J7" s="61"/>
      <c r="K7" s="61"/>
    </row>
    <row r="8" spans="1:11" ht="23.25" thickBot="1" x14ac:dyDescent="0.3">
      <c r="A8" s="55"/>
      <c r="B8" s="60" t="s">
        <v>18</v>
      </c>
      <c r="C8" s="59" t="s">
        <v>19</v>
      </c>
      <c r="D8" s="58" t="s">
        <v>5</v>
      </c>
      <c r="E8" s="57" t="s">
        <v>20</v>
      </c>
      <c r="F8" s="56" t="s">
        <v>21</v>
      </c>
      <c r="G8" s="55"/>
      <c r="H8" s="54" t="s">
        <v>22</v>
      </c>
      <c r="I8" s="54" t="s">
        <v>23</v>
      </c>
      <c r="J8" s="40"/>
      <c r="K8" s="40"/>
    </row>
    <row r="9" spans="1:11" x14ac:dyDescent="0.25">
      <c r="A9" s="39" t="s">
        <v>24</v>
      </c>
      <c r="D9" s="53"/>
      <c r="E9" s="16"/>
    </row>
    <row r="10" spans="1:11" x14ac:dyDescent="0.25">
      <c r="A10" s="25" t="s">
        <v>25</v>
      </c>
      <c r="B10" s="32">
        <v>1</v>
      </c>
      <c r="C10" s="31">
        <f t="shared" ref="C10:C18" si="0">ROUND($G$3*B10,1)</f>
        <v>28.3</v>
      </c>
      <c r="D10" s="30"/>
      <c r="E10" s="29" t="e">
        <f t="shared" ref="E10:E19" si="1">D10/$D$19</f>
        <v>#DIV/0!</v>
      </c>
      <c r="F10" s="28">
        <f t="shared" ref="F10:F18" si="2">C10-(C10*$E$6)</f>
        <v>27.578340186353849</v>
      </c>
      <c r="G10" s="27" t="str">
        <f t="shared" ref="G10:G18" si="3">IF(C10&gt;=F10,"-","+")</f>
        <v>-</v>
      </c>
      <c r="H10" s="34">
        <f t="shared" ref="H10:H18" si="4">C10*D10</f>
        <v>0</v>
      </c>
      <c r="I10" s="34">
        <f t="shared" ref="I10:I18" si="5">F10*D10</f>
        <v>0</v>
      </c>
      <c r="J10" s="52"/>
      <c r="K10" s="52"/>
    </row>
    <row r="11" spans="1:11" x14ac:dyDescent="0.25">
      <c r="A11" s="25" t="s">
        <v>26</v>
      </c>
      <c r="B11" s="32">
        <v>1.041382</v>
      </c>
      <c r="C11" s="31">
        <f t="shared" si="0"/>
        <v>29.4</v>
      </c>
      <c r="D11" s="30"/>
      <c r="E11" s="29" t="e">
        <f t="shared" si="1"/>
        <v>#DIV/0!</v>
      </c>
      <c r="F11" s="28">
        <f t="shared" si="2"/>
        <v>28.650289804904705</v>
      </c>
      <c r="G11" s="27" t="str">
        <f t="shared" si="3"/>
        <v>-</v>
      </c>
      <c r="H11" s="34">
        <f t="shared" si="4"/>
        <v>0</v>
      </c>
      <c r="I11" s="34">
        <f t="shared" si="5"/>
        <v>0</v>
      </c>
      <c r="J11" s="52"/>
      <c r="K11" s="52"/>
    </row>
    <row r="12" spans="1:11" x14ac:dyDescent="0.25">
      <c r="A12" s="25" t="s">
        <v>27</v>
      </c>
      <c r="B12" s="32">
        <v>0.95138199999999995</v>
      </c>
      <c r="C12" s="31">
        <f t="shared" si="0"/>
        <v>26.9</v>
      </c>
      <c r="D12" s="30"/>
      <c r="E12" s="29" t="e">
        <f t="shared" si="1"/>
        <v>#DIV/0!</v>
      </c>
      <c r="F12" s="28">
        <f t="shared" si="2"/>
        <v>26.214040671834574</v>
      </c>
      <c r="G12" s="27" t="str">
        <f t="shared" si="3"/>
        <v>-</v>
      </c>
      <c r="H12" s="34">
        <f t="shared" si="4"/>
        <v>0</v>
      </c>
      <c r="I12" s="34">
        <f t="shared" si="5"/>
        <v>0</v>
      </c>
      <c r="J12" s="52"/>
      <c r="K12" s="52"/>
    </row>
    <row r="13" spans="1:11" x14ac:dyDescent="0.25">
      <c r="A13" s="25" t="s">
        <v>28</v>
      </c>
      <c r="B13" s="32">
        <v>1.041382</v>
      </c>
      <c r="C13" s="31">
        <f t="shared" si="0"/>
        <v>29.4</v>
      </c>
      <c r="D13" s="30"/>
      <c r="E13" s="29" t="e">
        <f t="shared" si="1"/>
        <v>#DIV/0!</v>
      </c>
      <c r="F13" s="28">
        <f t="shared" si="2"/>
        <v>28.650289804904705</v>
      </c>
      <c r="G13" s="27" t="str">
        <f t="shared" si="3"/>
        <v>-</v>
      </c>
      <c r="H13" s="34">
        <f t="shared" si="4"/>
        <v>0</v>
      </c>
      <c r="I13" s="34">
        <f t="shared" si="5"/>
        <v>0</v>
      </c>
      <c r="J13" s="52"/>
      <c r="K13" s="52"/>
    </row>
    <row r="14" spans="1:11" x14ac:dyDescent="0.25">
      <c r="A14" s="25" t="s">
        <v>29</v>
      </c>
      <c r="B14" s="32">
        <v>1.1642144000000001</v>
      </c>
      <c r="C14" s="31">
        <f t="shared" si="0"/>
        <v>32.9</v>
      </c>
      <c r="D14" s="30"/>
      <c r="E14" s="29" t="e">
        <f t="shared" si="1"/>
        <v>#DIV/0!</v>
      </c>
      <c r="F14" s="28">
        <f t="shared" si="2"/>
        <v>32.06103859120288</v>
      </c>
      <c r="G14" s="27" t="str">
        <f t="shared" si="3"/>
        <v>-</v>
      </c>
      <c r="H14" s="34">
        <f t="shared" si="4"/>
        <v>0</v>
      </c>
      <c r="I14" s="34">
        <f t="shared" si="5"/>
        <v>0</v>
      </c>
      <c r="J14" s="52"/>
      <c r="K14" s="52"/>
    </row>
    <row r="15" spans="1:11" x14ac:dyDescent="0.25">
      <c r="A15" s="25" t="s">
        <v>30</v>
      </c>
      <c r="B15" s="32">
        <v>0.96</v>
      </c>
      <c r="C15" s="31">
        <f t="shared" si="0"/>
        <v>27.1</v>
      </c>
      <c r="D15" s="30"/>
      <c r="E15" s="29" t="e">
        <f t="shared" si="1"/>
        <v>#DIV/0!</v>
      </c>
      <c r="F15" s="28">
        <f t="shared" si="2"/>
        <v>26.40894060248019</v>
      </c>
      <c r="G15" s="27" t="str">
        <f t="shared" si="3"/>
        <v>-</v>
      </c>
      <c r="H15" s="34">
        <f t="shared" si="4"/>
        <v>0</v>
      </c>
      <c r="I15" s="34">
        <f t="shared" si="5"/>
        <v>0</v>
      </c>
      <c r="J15" s="52"/>
      <c r="K15" s="52"/>
    </row>
    <row r="16" spans="1:11" x14ac:dyDescent="0.25">
      <c r="A16" s="25" t="s">
        <v>31</v>
      </c>
      <c r="B16" s="32">
        <v>1.3142144</v>
      </c>
      <c r="C16" s="31">
        <f t="shared" si="0"/>
        <v>37.1</v>
      </c>
      <c r="D16" s="30"/>
      <c r="E16" s="29" t="e">
        <f t="shared" si="1"/>
        <v>#DIV/0!</v>
      </c>
      <c r="F16" s="28">
        <f t="shared" si="2"/>
        <v>36.153937134760703</v>
      </c>
      <c r="G16" s="27" t="str">
        <f t="shared" si="3"/>
        <v>-</v>
      </c>
      <c r="H16" s="34">
        <f t="shared" si="4"/>
        <v>0</v>
      </c>
      <c r="I16" s="34">
        <f t="shared" si="5"/>
        <v>0</v>
      </c>
      <c r="J16" s="52"/>
      <c r="K16" s="52"/>
    </row>
    <row r="17" spans="1:11" x14ac:dyDescent="0.25">
      <c r="A17" s="25" t="s">
        <v>32</v>
      </c>
      <c r="B17" s="32">
        <v>1.9342143999999999</v>
      </c>
      <c r="C17" s="31">
        <f t="shared" si="0"/>
        <v>54.6</v>
      </c>
      <c r="D17" s="30"/>
      <c r="E17" s="29" t="e">
        <f t="shared" si="1"/>
        <v>#DIV/0!</v>
      </c>
      <c r="F17" s="28">
        <f t="shared" si="2"/>
        <v>53.207681066251595</v>
      </c>
      <c r="G17" s="27" t="str">
        <f t="shared" si="3"/>
        <v>-</v>
      </c>
      <c r="H17" s="34">
        <f t="shared" si="4"/>
        <v>0</v>
      </c>
      <c r="I17" s="34">
        <f t="shared" si="5"/>
        <v>0</v>
      </c>
      <c r="J17" s="52"/>
      <c r="K17" s="52"/>
    </row>
    <row r="18" spans="1:11" ht="15.75" thickBot="1" x14ac:dyDescent="0.3">
      <c r="A18" s="25" t="s">
        <v>33</v>
      </c>
      <c r="B18" s="32">
        <v>1.6942143999999999</v>
      </c>
      <c r="C18" s="31">
        <f t="shared" si="0"/>
        <v>47.9</v>
      </c>
      <c r="D18" s="30"/>
      <c r="E18" s="29" t="e">
        <f t="shared" si="1"/>
        <v>#DIV/0!</v>
      </c>
      <c r="F18" s="28">
        <f t="shared" si="2"/>
        <v>46.678533389623652</v>
      </c>
      <c r="G18" s="27" t="str">
        <f t="shared" si="3"/>
        <v>-</v>
      </c>
      <c r="H18" s="34">
        <f t="shared" si="4"/>
        <v>0</v>
      </c>
      <c r="I18" s="34">
        <f t="shared" si="5"/>
        <v>0</v>
      </c>
      <c r="J18" s="52"/>
      <c r="K18" s="52"/>
    </row>
    <row r="19" spans="1:11" ht="16.5" thickTop="1" thickBot="1" x14ac:dyDescent="0.3">
      <c r="A19" s="51" t="s">
        <v>34</v>
      </c>
      <c r="B19" s="50"/>
      <c r="C19" s="47" t="e">
        <f>H19/D19</f>
        <v>#DIV/0!</v>
      </c>
      <c r="D19" s="49">
        <f>SUM(D10:D18)</f>
        <v>0</v>
      </c>
      <c r="E19" s="48" t="e">
        <f t="shared" si="1"/>
        <v>#DIV/0!</v>
      </c>
      <c r="F19" s="47" t="e">
        <f>I19/D19</f>
        <v>#DIV/0!</v>
      </c>
      <c r="G19" s="46" t="e">
        <f>F19/C19-1</f>
        <v>#DIV/0!</v>
      </c>
      <c r="H19" s="9">
        <f>SUM(H10:H18)</f>
        <v>0</v>
      </c>
      <c r="I19" s="9">
        <f>SUM(I10:I18)</f>
        <v>0</v>
      </c>
      <c r="J19" s="8"/>
      <c r="K19" s="8"/>
    </row>
    <row r="20" spans="1:11" ht="15.75" thickTop="1" x14ac:dyDescent="0.25">
      <c r="A20" s="39" t="s">
        <v>35</v>
      </c>
      <c r="B20" s="45"/>
      <c r="C20" s="40"/>
      <c r="D20" s="44"/>
      <c r="E20" s="43"/>
      <c r="F20" s="40"/>
      <c r="G20" s="40"/>
      <c r="H20" s="42"/>
      <c r="I20" s="41"/>
      <c r="J20" s="40"/>
      <c r="K20" s="40"/>
    </row>
    <row r="21" spans="1:11" x14ac:dyDescent="0.25">
      <c r="A21" s="25" t="s">
        <v>36</v>
      </c>
      <c r="B21" s="32">
        <v>2.5150000000000001</v>
      </c>
      <c r="C21" s="31">
        <f>ROUND($G$3*B21,1)</f>
        <v>71</v>
      </c>
      <c r="D21" s="30">
        <v>171.5</v>
      </c>
      <c r="E21" s="29">
        <f>D21/$D$48</f>
        <v>1.2219364308056228E-2</v>
      </c>
      <c r="F21" s="28">
        <f>C21-(C21*$E$6)</f>
        <v>69.189475379191634</v>
      </c>
      <c r="G21" s="27" t="str">
        <f>IF(C21&gt;=F21,"-","+")</f>
        <v>-</v>
      </c>
      <c r="H21" s="26">
        <f>C21*D21</f>
        <v>12176.5</v>
      </c>
      <c r="I21" s="26">
        <f>F21*D21</f>
        <v>11865.995027531366</v>
      </c>
      <c r="J21" s="25"/>
      <c r="K21" s="25"/>
    </row>
    <row r="22" spans="1:11" x14ac:dyDescent="0.25">
      <c r="A22" s="25" t="s">
        <v>37</v>
      </c>
      <c r="B22" s="32">
        <v>1.6890000000000001</v>
      </c>
      <c r="C22" s="31">
        <f>ROUND($G$3*B22,1)</f>
        <v>47.7</v>
      </c>
      <c r="D22" s="30">
        <v>419.1</v>
      </c>
      <c r="E22" s="29">
        <f>D22/$D$48</f>
        <v>2.9860848871757235E-2</v>
      </c>
      <c r="F22" s="28">
        <f>C22-(C22*$E$6)</f>
        <v>46.483633458978048</v>
      </c>
      <c r="G22" s="27" t="str">
        <f>IF(C22&gt;=F22,"-","+")</f>
        <v>-</v>
      </c>
      <c r="H22" s="26">
        <f>C22*D22</f>
        <v>19991.070000000003</v>
      </c>
      <c r="I22" s="26">
        <f>F22*D22</f>
        <v>19481.290782657699</v>
      </c>
      <c r="J22" s="25"/>
      <c r="K22" s="25"/>
    </row>
    <row r="23" spans="1:11" ht="15.75" thickBot="1" x14ac:dyDescent="0.3">
      <c r="A23" s="25" t="s">
        <v>38</v>
      </c>
      <c r="B23" s="32">
        <v>1.54</v>
      </c>
      <c r="C23" s="31">
        <f>ROUND($G$3*B23,1)</f>
        <v>43.5</v>
      </c>
      <c r="D23" s="30">
        <v>346.1</v>
      </c>
      <c r="E23" s="29">
        <f>D23/$D$48</f>
        <v>2.4659603422847003E-2</v>
      </c>
      <c r="F23" s="28">
        <f>C23-(C23*$E$6)</f>
        <v>42.390734915420225</v>
      </c>
      <c r="G23" s="27" t="str">
        <f>IF(C23&gt;=F23,"-","+")</f>
        <v>-</v>
      </c>
      <c r="H23" s="26">
        <f>C23*D23</f>
        <v>15055.35</v>
      </c>
      <c r="I23" s="26">
        <f>F23*D23</f>
        <v>14671.433354226941</v>
      </c>
      <c r="J23" s="25"/>
      <c r="K23" s="25"/>
    </row>
    <row r="24" spans="1:11" ht="15.75" thickBot="1" x14ac:dyDescent="0.3">
      <c r="A24" s="24" t="s">
        <v>34</v>
      </c>
      <c r="B24" s="23"/>
      <c r="C24" s="20">
        <f>H24/D24</f>
        <v>50.414134728301491</v>
      </c>
      <c r="D24" s="22">
        <f>SUM(D21:D23)</f>
        <v>936.7</v>
      </c>
      <c r="E24" s="21">
        <f>D24/$D$48</f>
        <v>6.6739816602660471E-2</v>
      </c>
      <c r="F24" s="20">
        <f>I24/D24</f>
        <v>49.128556810522049</v>
      </c>
      <c r="G24" s="19">
        <f>F24/C24-1</f>
        <v>-2.5500346771948901E-2</v>
      </c>
      <c r="H24" s="18">
        <f>SUM(H21:H23)</f>
        <v>47222.920000000006</v>
      </c>
      <c r="I24" s="18">
        <f>SUM(I21:I23)</f>
        <v>46018.719164416005</v>
      </c>
      <c r="J24" s="17"/>
      <c r="K24" s="17"/>
    </row>
    <row r="25" spans="1:11" x14ac:dyDescent="0.25">
      <c r="A25" s="39" t="s">
        <v>39</v>
      </c>
      <c r="B25" s="45"/>
      <c r="C25" s="40"/>
      <c r="D25" s="44"/>
      <c r="E25" s="43"/>
      <c r="F25" s="40"/>
      <c r="G25" s="40"/>
      <c r="H25" s="42"/>
      <c r="I25" s="41"/>
      <c r="J25" s="40"/>
      <c r="K25" s="40"/>
    </row>
    <row r="26" spans="1:11" x14ac:dyDescent="0.25">
      <c r="A26" s="25" t="s">
        <v>40</v>
      </c>
      <c r="B26" s="32">
        <v>1.3420000000000001</v>
      </c>
      <c r="C26" s="31">
        <f t="shared" ref="C26:C31" si="6">ROUND($G$3*B26,1)</f>
        <v>37.9</v>
      </c>
      <c r="D26" s="30">
        <v>2720.4</v>
      </c>
      <c r="E26" s="29">
        <f t="shared" ref="E26:E32" si="7">D26/$D$48</f>
        <v>0.19382833040021089</v>
      </c>
      <c r="F26" s="28">
        <f t="shared" ref="F26:F31" si="8">C26-(C26*$E$6)</f>
        <v>36.933536857343142</v>
      </c>
      <c r="G26" s="27" t="str">
        <f t="shared" ref="G26:G31" si="9">IF(C26&gt;=F26,"-","+")</f>
        <v>-</v>
      </c>
      <c r="H26" s="26">
        <f t="shared" ref="H26:H31" si="10">C26*D26</f>
        <v>103103.16</v>
      </c>
      <c r="I26" s="26">
        <f t="shared" ref="I26:I31" si="11">F26*D26</f>
        <v>100473.99366671628</v>
      </c>
      <c r="J26" s="25"/>
      <c r="K26" s="25"/>
    </row>
    <row r="27" spans="1:11" x14ac:dyDescent="0.25">
      <c r="A27" s="25" t="s">
        <v>41</v>
      </c>
      <c r="B27" s="32">
        <v>1.1950000000000001</v>
      </c>
      <c r="C27" s="31">
        <f t="shared" si="6"/>
        <v>33.799999999999997</v>
      </c>
      <c r="D27" s="30">
        <v>2465.1999999999998</v>
      </c>
      <c r="E27" s="29">
        <f t="shared" si="7"/>
        <v>0.17564534631032194</v>
      </c>
      <c r="F27" s="28">
        <f t="shared" si="8"/>
        <v>32.938088279108129</v>
      </c>
      <c r="G27" s="27" t="str">
        <f t="shared" si="9"/>
        <v>-</v>
      </c>
      <c r="H27" s="26">
        <f t="shared" si="10"/>
        <v>83323.75999999998</v>
      </c>
      <c r="I27" s="26">
        <f t="shared" si="11"/>
        <v>81198.975225657356</v>
      </c>
      <c r="J27" s="25"/>
      <c r="K27" s="25"/>
    </row>
    <row r="28" spans="1:11" x14ac:dyDescent="0.25">
      <c r="A28" s="25" t="s">
        <v>42</v>
      </c>
      <c r="B28" s="32">
        <v>1.1950000000000001</v>
      </c>
      <c r="C28" s="31">
        <f t="shared" si="6"/>
        <v>33.799999999999997</v>
      </c>
      <c r="D28" s="30">
        <v>1610.2</v>
      </c>
      <c r="E28" s="29">
        <f t="shared" si="7"/>
        <v>0.11472664961418157</v>
      </c>
      <c r="F28" s="28">
        <f t="shared" si="8"/>
        <v>32.938088279108129</v>
      </c>
      <c r="G28" s="27" t="str">
        <f t="shared" si="9"/>
        <v>-</v>
      </c>
      <c r="H28" s="26">
        <f t="shared" si="10"/>
        <v>54424.759999999995</v>
      </c>
      <c r="I28" s="26">
        <f t="shared" si="11"/>
        <v>53036.909747019912</v>
      </c>
      <c r="J28" s="25"/>
      <c r="K28" s="25"/>
    </row>
    <row r="29" spans="1:11" x14ac:dyDescent="0.25">
      <c r="A29" s="25" t="s">
        <v>43</v>
      </c>
      <c r="B29" s="32">
        <v>1.155</v>
      </c>
      <c r="C29" s="31">
        <f t="shared" si="6"/>
        <v>32.6</v>
      </c>
      <c r="D29" s="30">
        <v>1371.5</v>
      </c>
      <c r="E29" s="29">
        <f t="shared" si="7"/>
        <v>9.771928949562167E-2</v>
      </c>
      <c r="F29" s="28">
        <f t="shared" si="8"/>
        <v>31.76868869523447</v>
      </c>
      <c r="G29" s="27" t="str">
        <f t="shared" si="9"/>
        <v>-</v>
      </c>
      <c r="H29" s="26">
        <f t="shared" si="10"/>
        <v>44710.9</v>
      </c>
      <c r="I29" s="26">
        <f t="shared" si="11"/>
        <v>43570.756545514072</v>
      </c>
      <c r="J29" s="25"/>
      <c r="K29" s="25"/>
    </row>
    <row r="30" spans="1:11" x14ac:dyDescent="0.25">
      <c r="A30" s="25" t="s">
        <v>44</v>
      </c>
      <c r="B30" s="32">
        <v>1.155</v>
      </c>
      <c r="C30" s="31">
        <f t="shared" si="6"/>
        <v>32.6</v>
      </c>
      <c r="D30" s="30">
        <v>1069.2</v>
      </c>
      <c r="E30" s="29">
        <f t="shared" si="7"/>
        <v>7.6180433342120824E-2</v>
      </c>
      <c r="F30" s="28">
        <f t="shared" si="8"/>
        <v>31.76868869523447</v>
      </c>
      <c r="G30" s="27" t="str">
        <f t="shared" si="9"/>
        <v>-</v>
      </c>
      <c r="H30" s="26">
        <f t="shared" si="10"/>
        <v>34855.920000000006</v>
      </c>
      <c r="I30" s="26">
        <f t="shared" si="11"/>
        <v>33967.081952944696</v>
      </c>
      <c r="J30" s="25"/>
      <c r="K30" s="25"/>
    </row>
    <row r="31" spans="1:11" ht="15.75" thickBot="1" x14ac:dyDescent="0.3">
      <c r="A31" s="25" t="s">
        <v>45</v>
      </c>
      <c r="B31" s="32">
        <v>1.175</v>
      </c>
      <c r="C31" s="31">
        <f t="shared" si="6"/>
        <v>33.200000000000003</v>
      </c>
      <c r="D31" s="30">
        <v>393</v>
      </c>
      <c r="E31" s="29">
        <f t="shared" si="7"/>
        <v>2.8001225498927685E-2</v>
      </c>
      <c r="F31" s="28">
        <f t="shared" si="8"/>
        <v>32.353388487171301</v>
      </c>
      <c r="G31" s="27" t="str">
        <f t="shared" si="9"/>
        <v>-</v>
      </c>
      <c r="H31" s="26">
        <f t="shared" si="10"/>
        <v>13047.6</v>
      </c>
      <c r="I31" s="26">
        <f t="shared" si="11"/>
        <v>12714.881675458322</v>
      </c>
      <c r="J31" s="25"/>
      <c r="K31" s="25"/>
    </row>
    <row r="32" spans="1:11" ht="15.75" thickBot="1" x14ac:dyDescent="0.3">
      <c r="A32" s="24" t="s">
        <v>34</v>
      </c>
      <c r="B32" s="23"/>
      <c r="C32" s="20">
        <f>H32/D32</f>
        <v>34.629638091281997</v>
      </c>
      <c r="D32" s="22">
        <f>SUM(D26:D31)</f>
        <v>9629.5</v>
      </c>
      <c r="E32" s="21">
        <f t="shared" si="7"/>
        <v>0.6861012746613846</v>
      </c>
      <c r="F32" s="20">
        <f>I32/D32</f>
        <v>33.746570311367215</v>
      </c>
      <c r="G32" s="19">
        <f>F32/C32-1</f>
        <v>-2.5500346771948901E-2</v>
      </c>
      <c r="H32" s="18">
        <f>SUM(H26:H31)</f>
        <v>333466.09999999998</v>
      </c>
      <c r="I32" s="18">
        <f>SUM(I26:I31)</f>
        <v>324962.59881331061</v>
      </c>
      <c r="J32" s="17"/>
      <c r="K32" s="17"/>
    </row>
    <row r="33" spans="1:11" x14ac:dyDescent="0.25">
      <c r="A33" s="39" t="s">
        <v>46</v>
      </c>
      <c r="B33" s="45"/>
      <c r="C33" s="40"/>
      <c r="D33" s="44"/>
      <c r="E33" s="43"/>
      <c r="F33" s="40"/>
      <c r="G33" s="40"/>
      <c r="H33" s="42"/>
      <c r="I33" s="41"/>
      <c r="J33" s="40"/>
      <c r="K33" s="40"/>
    </row>
    <row r="34" spans="1:11" x14ac:dyDescent="0.25">
      <c r="A34" s="25" t="s">
        <v>47</v>
      </c>
      <c r="B34" s="32">
        <v>0.70647199999999999</v>
      </c>
      <c r="C34" s="31">
        <f t="shared" ref="C34:C39" si="12">ROUND($G$3*B34,1)</f>
        <v>20</v>
      </c>
      <c r="D34" s="30">
        <v>1253.7</v>
      </c>
      <c r="E34" s="29">
        <f t="shared" ref="E34:E40" si="13">D34/$D$48</f>
        <v>8.9326046839709003E-2</v>
      </c>
      <c r="F34" s="28">
        <f t="shared" ref="F34:F39" si="14">C34-(C34*$E$6)</f>
        <v>19.489993064561023</v>
      </c>
      <c r="G34" s="27" t="str">
        <f t="shared" ref="G34:G39" si="15">IF(C34&gt;=F34,"-","+")</f>
        <v>-</v>
      </c>
      <c r="H34" s="26">
        <f t="shared" ref="H34:H39" si="16">C34*D34</f>
        <v>25074</v>
      </c>
      <c r="I34" s="26">
        <f t="shared" ref="I34:I39" si="17">F34*D34</f>
        <v>24434.604305040157</v>
      </c>
      <c r="J34" s="25"/>
      <c r="K34" s="25"/>
    </row>
    <row r="35" spans="1:11" x14ac:dyDescent="0.25">
      <c r="A35" s="25" t="s">
        <v>48</v>
      </c>
      <c r="B35" s="32">
        <v>0.54348623799999995</v>
      </c>
      <c r="C35" s="31">
        <f t="shared" si="12"/>
        <v>15.4</v>
      </c>
      <c r="D35" s="30"/>
      <c r="E35" s="29">
        <f t="shared" si="13"/>
        <v>0</v>
      </c>
      <c r="F35" s="28">
        <f t="shared" si="14"/>
        <v>15.00729465971199</v>
      </c>
      <c r="G35" s="27" t="str">
        <f t="shared" si="15"/>
        <v>-</v>
      </c>
      <c r="H35" s="26">
        <f t="shared" si="16"/>
        <v>0</v>
      </c>
      <c r="I35" s="26">
        <f t="shared" si="17"/>
        <v>0</v>
      </c>
      <c r="J35" s="25"/>
      <c r="K35" s="25"/>
    </row>
    <row r="36" spans="1:11" x14ac:dyDescent="0.25">
      <c r="A36" s="25" t="s">
        <v>49</v>
      </c>
      <c r="B36" s="32">
        <v>0.43669723999999999</v>
      </c>
      <c r="C36" s="31">
        <f t="shared" si="12"/>
        <v>12.3</v>
      </c>
      <c r="D36" s="30"/>
      <c r="E36" s="29">
        <f t="shared" si="13"/>
        <v>0</v>
      </c>
      <c r="F36" s="28">
        <f t="shared" si="14"/>
        <v>11.986345734705031</v>
      </c>
      <c r="G36" s="27" t="str">
        <f t="shared" si="15"/>
        <v>-</v>
      </c>
      <c r="H36" s="26">
        <f t="shared" si="16"/>
        <v>0</v>
      </c>
      <c r="I36" s="26">
        <f t="shared" si="17"/>
        <v>0</v>
      </c>
      <c r="J36" s="25"/>
      <c r="K36" s="25"/>
    </row>
    <row r="37" spans="1:11" x14ac:dyDescent="0.25">
      <c r="A37" s="25" t="s">
        <v>50</v>
      </c>
      <c r="B37" s="32">
        <v>1.155</v>
      </c>
      <c r="C37" s="31">
        <f t="shared" si="12"/>
        <v>32.6</v>
      </c>
      <c r="D37" s="30"/>
      <c r="E37" s="29">
        <f t="shared" si="13"/>
        <v>0</v>
      </c>
      <c r="F37" s="28">
        <f t="shared" si="14"/>
        <v>31.76868869523447</v>
      </c>
      <c r="G37" s="27" t="str">
        <f t="shared" si="15"/>
        <v>-</v>
      </c>
      <c r="H37" s="26">
        <f t="shared" si="16"/>
        <v>0</v>
      </c>
      <c r="I37" s="26">
        <f t="shared" si="17"/>
        <v>0</v>
      </c>
      <c r="J37" s="25"/>
      <c r="K37" s="25"/>
    </row>
    <row r="38" spans="1:11" x14ac:dyDescent="0.25">
      <c r="A38" s="25" t="s">
        <v>51</v>
      </c>
      <c r="B38" s="32">
        <v>1.155</v>
      </c>
      <c r="C38" s="31">
        <f t="shared" si="12"/>
        <v>32.6</v>
      </c>
      <c r="D38" s="30"/>
      <c r="E38" s="29">
        <f t="shared" si="13"/>
        <v>0</v>
      </c>
      <c r="F38" s="28">
        <f t="shared" si="14"/>
        <v>31.76868869523447</v>
      </c>
      <c r="G38" s="27" t="str">
        <f t="shared" si="15"/>
        <v>-</v>
      </c>
      <c r="H38" s="26">
        <f t="shared" si="16"/>
        <v>0</v>
      </c>
      <c r="I38" s="26">
        <f t="shared" si="17"/>
        <v>0</v>
      </c>
      <c r="J38" s="25"/>
      <c r="K38" s="25"/>
    </row>
    <row r="39" spans="1:11" ht="15.75" thickBot="1" x14ac:dyDescent="0.3">
      <c r="A39" s="25" t="s">
        <v>52</v>
      </c>
      <c r="B39" s="32">
        <v>1.1950000000000001</v>
      </c>
      <c r="C39" s="31">
        <f t="shared" si="12"/>
        <v>33.799999999999997</v>
      </c>
      <c r="D39" s="30"/>
      <c r="E39" s="29">
        <f t="shared" si="13"/>
        <v>0</v>
      </c>
      <c r="F39" s="28">
        <f t="shared" si="14"/>
        <v>32.938088279108129</v>
      </c>
      <c r="G39" s="27" t="str">
        <f t="shared" si="15"/>
        <v>-</v>
      </c>
      <c r="H39" s="26">
        <f t="shared" si="16"/>
        <v>0</v>
      </c>
      <c r="I39" s="26">
        <f t="shared" si="17"/>
        <v>0</v>
      </c>
      <c r="J39" s="25"/>
      <c r="K39" s="25"/>
    </row>
    <row r="40" spans="1:11" ht="15.75" thickBot="1" x14ac:dyDescent="0.3">
      <c r="A40" s="24" t="s">
        <v>34</v>
      </c>
      <c r="B40" s="23"/>
      <c r="C40" s="20">
        <f>H40/D40</f>
        <v>20</v>
      </c>
      <c r="D40" s="22">
        <f>SUM(D34:D39)</f>
        <v>1253.7</v>
      </c>
      <c r="E40" s="113">
        <f t="shared" si="13"/>
        <v>8.9326046839709003E-2</v>
      </c>
      <c r="F40" s="20">
        <f>I40/D40</f>
        <v>19.489993064561023</v>
      </c>
      <c r="G40" s="19">
        <f>F40/C40-1</f>
        <v>-2.550034677194879E-2</v>
      </c>
      <c r="H40" s="18">
        <f>SUM(H34:H39)</f>
        <v>25074</v>
      </c>
      <c r="I40" s="18">
        <f>SUM(I34:I39)</f>
        <v>24434.604305040157</v>
      </c>
      <c r="J40" s="17"/>
      <c r="K40" s="17"/>
    </row>
    <row r="41" spans="1:11" x14ac:dyDescent="0.25">
      <c r="A41" s="39" t="s">
        <v>53</v>
      </c>
      <c r="B41" s="38"/>
      <c r="C41" s="33"/>
      <c r="D41" s="37"/>
      <c r="E41" s="36"/>
      <c r="F41" s="33"/>
      <c r="G41" s="33"/>
      <c r="H41" s="35"/>
      <c r="I41" s="34"/>
      <c r="J41" s="33"/>
      <c r="K41" s="33"/>
    </row>
    <row r="42" spans="1:11" x14ac:dyDescent="0.25">
      <c r="A42" s="25" t="s">
        <v>54</v>
      </c>
      <c r="B42" s="32">
        <v>1.6513761460000002E-2</v>
      </c>
      <c r="C42" s="31">
        <f>ROUND($G$3*B42,1)</f>
        <v>0.5</v>
      </c>
      <c r="D42" s="30">
        <v>2082</v>
      </c>
      <c r="E42" s="107">
        <f>D42/$D$48</f>
        <v>0.14834237020042604</v>
      </c>
      <c r="F42" s="28">
        <f>C42-(C42*$E$6)</f>
        <v>0.48724982661402561</v>
      </c>
      <c r="G42" s="27" t="str">
        <f>IF(C42&gt;=F42,"-","+")</f>
        <v>-</v>
      </c>
      <c r="H42" s="26">
        <f>C42*D42</f>
        <v>1041</v>
      </c>
      <c r="I42" s="26">
        <f>F42*D42</f>
        <v>1014.4541390104013</v>
      </c>
      <c r="J42" s="25"/>
      <c r="K42" s="25"/>
    </row>
    <row r="43" spans="1:11" x14ac:dyDescent="0.25">
      <c r="A43" s="25" t="s">
        <v>55</v>
      </c>
      <c r="B43" s="32">
        <v>1.6513761460000002E-2</v>
      </c>
      <c r="C43" s="31">
        <f>ROUND($G$3*B43,1)</f>
        <v>0.5</v>
      </c>
      <c r="D43" s="30">
        <v>125.6</v>
      </c>
      <c r="E43" s="107">
        <f>D43/$D$48</f>
        <v>8.9489921696318496E-3</v>
      </c>
      <c r="F43" s="28">
        <f>C43-(C43*$E$6)</f>
        <v>0.48724982661402561</v>
      </c>
      <c r="G43" s="27" t="str">
        <f>IF(C43&gt;=F43,"-","+")</f>
        <v>-</v>
      </c>
      <c r="H43" s="26">
        <f>C43*D43</f>
        <v>62.8</v>
      </c>
      <c r="I43" s="26">
        <f>F43*D43</f>
        <v>61.198578222721615</v>
      </c>
      <c r="J43" s="25"/>
      <c r="K43" s="25"/>
    </row>
    <row r="44" spans="1:11" x14ac:dyDescent="0.25">
      <c r="A44" s="25" t="s">
        <v>56</v>
      </c>
      <c r="B44" s="32">
        <v>0</v>
      </c>
      <c r="C44" s="31">
        <f>ROUND($G$3*B44,1)</f>
        <v>0</v>
      </c>
      <c r="D44" s="30"/>
      <c r="E44" s="107">
        <f>D44/$D$48</f>
        <v>0</v>
      </c>
      <c r="F44" s="28">
        <f>C44-(C44*$E$6)</f>
        <v>0</v>
      </c>
      <c r="G44" s="27" t="str">
        <f>IF(C44&gt;=F44,"-","+")</f>
        <v>-</v>
      </c>
      <c r="H44" s="26">
        <f>C44*D44</f>
        <v>0</v>
      </c>
      <c r="I44" s="26">
        <f>F44*D44</f>
        <v>0</v>
      </c>
      <c r="J44" s="25"/>
      <c r="K44" s="25"/>
    </row>
    <row r="45" spans="1:11" ht="15.75" thickBot="1" x14ac:dyDescent="0.3">
      <c r="A45" s="25" t="s">
        <v>57</v>
      </c>
      <c r="B45" s="32">
        <v>0</v>
      </c>
      <c r="C45" s="31">
        <f>ROUND($G$3*B45,1)</f>
        <v>0</v>
      </c>
      <c r="D45" s="30">
        <v>7.6</v>
      </c>
      <c r="E45" s="107">
        <f>D45/$D$48</f>
        <v>5.414995261879145E-4</v>
      </c>
      <c r="F45" s="28">
        <f>C45-(C45*$E$6)</f>
        <v>0</v>
      </c>
      <c r="G45" s="27" t="str">
        <f>IF(C45&gt;=F45,"-","+")</f>
        <v>-</v>
      </c>
      <c r="H45" s="26"/>
      <c r="I45" s="26"/>
      <c r="J45" s="25"/>
      <c r="K45" s="25"/>
    </row>
    <row r="46" spans="1:11" ht="15.75" thickBot="1" x14ac:dyDescent="0.3">
      <c r="A46" s="24" t="s">
        <v>34</v>
      </c>
      <c r="B46" s="23"/>
      <c r="C46" s="20">
        <f>H46/D46</f>
        <v>0.4982845792704948</v>
      </c>
      <c r="D46" s="22">
        <f>SUM(D41:D45)</f>
        <v>2215.1999999999998</v>
      </c>
      <c r="E46" s="113">
        <f>D46/$D$48</f>
        <v>0.15783286189624579</v>
      </c>
      <c r="F46" s="20">
        <f>I46/D46</f>
        <v>0.48557814970798263</v>
      </c>
      <c r="G46" s="19">
        <f>F46/C46-1</f>
        <v>-2.5500346771948679E-2</v>
      </c>
      <c r="H46" s="18">
        <f>SUM(H41:H44)</f>
        <v>1103.8</v>
      </c>
      <c r="I46" s="18">
        <f>SUM(I41:I44)</f>
        <v>1075.652717233123</v>
      </c>
      <c r="J46" s="17"/>
      <c r="K46" s="17"/>
    </row>
    <row r="47" spans="1:11" ht="15.75" thickBot="1" x14ac:dyDescent="0.3">
      <c r="E47" s="16"/>
    </row>
    <row r="48" spans="1:11" ht="15.75" thickBot="1" x14ac:dyDescent="0.3">
      <c r="A48" s="10" t="s">
        <v>58</v>
      </c>
      <c r="B48" s="15"/>
      <c r="C48" s="11">
        <f>C24+C32+C40+C46</f>
        <v>105.54205739885398</v>
      </c>
      <c r="D48" s="13">
        <f>D24+D32+D40+D46</f>
        <v>14035.100000000002</v>
      </c>
      <c r="E48" s="12">
        <f>SUM(E20:E46)/2</f>
        <v>0.99999999999999978</v>
      </c>
      <c r="F48" s="11">
        <f>I48/D48</f>
        <v>28.249999999999996</v>
      </c>
      <c r="G48" s="10"/>
      <c r="H48" s="9">
        <f>SUM(H20:H46)/2</f>
        <v>406866.82000000007</v>
      </c>
      <c r="I48" s="9">
        <f>SUM(I20:I46)/2</f>
        <v>396491.57500000001</v>
      </c>
      <c r="J48" s="8"/>
      <c r="K48" s="8"/>
    </row>
    <row r="49" spans="1:11" ht="15.75" thickBot="1" x14ac:dyDescent="0.3">
      <c r="E49" s="16"/>
    </row>
    <row r="50" spans="1:11" ht="15.75" thickBot="1" x14ac:dyDescent="0.3">
      <c r="A50" s="10" t="s">
        <v>59</v>
      </c>
      <c r="B50" s="15"/>
      <c r="C50" s="14"/>
      <c r="D50" s="13">
        <f>SUM(D10:D47)/2</f>
        <v>14035.1</v>
      </c>
      <c r="E50" s="12">
        <f>D50/G2</f>
        <v>1</v>
      </c>
      <c r="F50" s="11">
        <f>I50/D50</f>
        <v>28.25</v>
      </c>
      <c r="G50" s="10"/>
      <c r="H50" s="9">
        <f>H48+H19</f>
        <v>406866.82000000007</v>
      </c>
      <c r="I50" s="9">
        <f>I48+I19</f>
        <v>396491.57500000001</v>
      </c>
      <c r="J50" s="106">
        <f>D50-G2</f>
        <v>0</v>
      </c>
      <c r="K50" s="8"/>
    </row>
    <row r="51" spans="1:11" ht="23.25" x14ac:dyDescent="0.35">
      <c r="A51" s="174" t="s">
        <v>993</v>
      </c>
      <c r="B51" s="169"/>
      <c r="C51" s="170"/>
      <c r="G51" s="7"/>
      <c r="H51" s="6"/>
      <c r="I51" s="6">
        <f>+I50/D50</f>
        <v>28.25</v>
      </c>
    </row>
    <row r="52" spans="1:11" ht="18.75" x14ac:dyDescent="0.3">
      <c r="A52" s="171" t="str">
        <f>IF(E46&lt;17%,"KEMİK ORANI İYİ","KEMİK YÜKSEK")</f>
        <v>KEMİK ORANI İYİ</v>
      </c>
      <c r="B52" s="171"/>
      <c r="C52" s="171"/>
      <c r="D52" s="171"/>
      <c r="E52" s="171"/>
      <c r="F52" s="171"/>
      <c r="G52" s="171"/>
      <c r="H52" s="171"/>
      <c r="I52" s="171"/>
    </row>
    <row r="53" spans="1:11" ht="23.25" x14ac:dyDescent="0.35">
      <c r="G53" s="5"/>
    </row>
    <row r="54" spans="1:11" ht="18.75" x14ac:dyDescent="0.3">
      <c r="A54" s="171" t="str">
        <f>IF(I50&lt;H50,"MALİYET İYİ","MALİYET YÜKSEK")</f>
        <v>MALİYET İYİ</v>
      </c>
      <c r="B54" s="171"/>
      <c r="C54" s="171"/>
      <c r="D54" s="171"/>
      <c r="E54" s="171"/>
      <c r="F54" s="171"/>
      <c r="G54" s="171"/>
      <c r="H54" s="171"/>
      <c r="I54" s="171"/>
    </row>
    <row r="55" spans="1:11" x14ac:dyDescent="0.25">
      <c r="G55" s="172">
        <v>7</v>
      </c>
    </row>
    <row r="56" spans="1:11" x14ac:dyDescent="0.25">
      <c r="G56" s="172"/>
    </row>
  </sheetData>
  <mergeCells count="5">
    <mergeCell ref="E1:G1"/>
    <mergeCell ref="A51:C51"/>
    <mergeCell ref="A52:I52"/>
    <mergeCell ref="A54:I54"/>
    <mergeCell ref="G55:G56"/>
  </mergeCells>
  <conditionalFormatting sqref="G6">
    <cfRule type="iconSet" priority="1">
      <iconSet iconSet="3ArrowsGray">
        <cfvo type="percent" val="0"/>
        <cfvo type="num" val="32.22"/>
        <cfvo type="num" val="32.229999999999997"/>
      </iconSet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601</vt:i4>
      </vt:variant>
    </vt:vector>
  </HeadingPairs>
  <TitlesOfParts>
    <vt:vector size="601" baseType="lpstr">
      <vt:lpstr>bim</vt:lpstr>
      <vt:lpstr>dana kol</vt:lpstr>
      <vt:lpstr>düve</vt:lpstr>
      <vt:lpstr>sığır</vt:lpstr>
      <vt:lpstr>E1-ÖA18103001 </vt:lpstr>
      <vt:lpstr>E4-BO18100204 </vt:lpstr>
      <vt:lpstr>E8-BO18100608</vt:lpstr>
      <vt:lpstr>E11-ÖA18100910 </vt:lpstr>
      <vt:lpstr>E12-BO18101010</vt:lpstr>
      <vt:lpstr>E15-BO18101315</vt:lpstr>
      <vt:lpstr>E16-BO18101215</vt:lpstr>
      <vt:lpstr>E16-BO18101215 </vt:lpstr>
      <vt:lpstr>E18-ÖA18101617</vt:lpstr>
      <vt:lpstr>MOL22-18102022</vt:lpstr>
      <vt:lpstr>ÖA23-18102022</vt:lpstr>
      <vt:lpstr>ÖV25-18102425</vt:lpstr>
      <vt:lpstr>BO26-18101325-D</vt:lpstr>
      <vt:lpstr>ÖA29-18102829</vt:lpstr>
      <vt:lpstr>ÖA29-18102829-1</vt:lpstr>
      <vt:lpstr>ÖA30-18102829-S</vt:lpstr>
      <vt:lpstr>kasım ayı</vt:lpstr>
      <vt:lpstr>B01-18102729</vt:lpstr>
      <vt:lpstr>ÖA1-18113101</vt:lpstr>
      <vt:lpstr>ÖA5-18113101-1</vt:lpstr>
      <vt:lpstr>ÖA5-18113101-S</vt:lpstr>
      <vt:lpstr>ÖA5-18110405</vt:lpstr>
      <vt:lpstr>ÖA7-18110405-1</vt:lpstr>
      <vt:lpstr>BO8-18110608</vt:lpstr>
      <vt:lpstr>ÖA8-18110607</vt:lpstr>
      <vt:lpstr>ÖA9-18110607-1</vt:lpstr>
      <vt:lpstr>MOL12-18111112</vt:lpstr>
      <vt:lpstr>MOL15-18111415</vt:lpstr>
      <vt:lpstr>G16-18111314</vt:lpstr>
      <vt:lpstr>MOL19-18111719</vt:lpstr>
      <vt:lpstr>ÖA22-18112021</vt:lpstr>
      <vt:lpstr>ÖA22-18112021-1</vt:lpstr>
      <vt:lpstr>MOL26-18112426</vt:lpstr>
      <vt:lpstr>MOL29-18112829</vt:lpstr>
      <vt:lpstr>ARALIK AYI</vt:lpstr>
      <vt:lpstr>ÖA03-18120203</vt:lpstr>
      <vt:lpstr>ÜN06-18120506</vt:lpstr>
      <vt:lpstr>BO06-18120406</vt:lpstr>
      <vt:lpstr>MOL10-18120810</vt:lpstr>
      <vt:lpstr>MOL13-18121213</vt:lpstr>
      <vt:lpstr>YIL17-18121617</vt:lpstr>
      <vt:lpstr>YIL20-18121920</vt:lpstr>
      <vt:lpstr>ÖA24-18122324</vt:lpstr>
      <vt:lpstr>ÖA27-18122324-1</vt:lpstr>
      <vt:lpstr>BO28-18122627</vt:lpstr>
      <vt:lpstr>BO28-18122728</vt:lpstr>
      <vt:lpstr>ARALIK TOPLAM</vt:lpstr>
      <vt:lpstr>YIL03-19010203</vt:lpstr>
      <vt:lpstr>MOL21-10011921</vt:lpstr>
      <vt:lpstr>PO23-19011819-S</vt:lpstr>
      <vt:lpstr>MOL24-19012324</vt:lpstr>
      <vt:lpstr>FA24-19012223-S</vt:lpstr>
      <vt:lpstr>AY24-19012324-S</vt:lpstr>
      <vt:lpstr>AY24-19012324</vt:lpstr>
      <vt:lpstr>ÖB25-19012324-S</vt:lpstr>
      <vt:lpstr>3E-25-19012425-S</vt:lpstr>
      <vt:lpstr>G26-19012223</vt:lpstr>
      <vt:lpstr>ÖV28-19012728</vt:lpstr>
      <vt:lpstr>G28-19012628-1</vt:lpstr>
      <vt:lpstr>G28-19012628</vt:lpstr>
      <vt:lpstr>AY28-19012728</vt:lpstr>
      <vt:lpstr>AY28-19012728-S</vt:lpstr>
      <vt:lpstr>3E29-19012728-S</vt:lpstr>
      <vt:lpstr>ÜN29-19012829-S</vt:lpstr>
      <vt:lpstr>AK30-19012930-S</vt:lpstr>
      <vt:lpstr>ÖZ30-19012830-S</vt:lpstr>
      <vt:lpstr>FA30-19012930-S</vt:lpstr>
      <vt:lpstr>ÖA31-19013031</vt:lpstr>
      <vt:lpstr>İP31-19013031-S</vt:lpstr>
      <vt:lpstr>AY31-19013031-S</vt:lpstr>
      <vt:lpstr>OCAK TOPLAM</vt:lpstr>
      <vt:lpstr>ÖA1-19013031-1</vt:lpstr>
      <vt:lpstr>SA1-19012931-S</vt:lpstr>
      <vt:lpstr>3E1-19023001-S</vt:lpstr>
      <vt:lpstr>ÖA2-19020102</vt:lpstr>
      <vt:lpstr>MY2-19020102-S</vt:lpstr>
      <vt:lpstr>G4-19020204</vt:lpstr>
      <vt:lpstr>G4-19020204-1</vt:lpstr>
      <vt:lpstr>AY4-19013031</vt:lpstr>
      <vt:lpstr>SA4-19020204-S</vt:lpstr>
      <vt:lpstr>ATK4-19020304</vt:lpstr>
      <vt:lpstr>ATK4-19020304-S</vt:lpstr>
      <vt:lpstr>AY4-19020304-S</vt:lpstr>
      <vt:lpstr>YÜK5-19023005-S</vt:lpstr>
      <vt:lpstr>ÜN5-19020405-S</vt:lpstr>
      <vt:lpstr>G5-19020405</vt:lpstr>
      <vt:lpstr>FA6-19020506-S</vt:lpstr>
      <vt:lpstr>3E6-19020506-S</vt:lpstr>
      <vt:lpstr>G6-19020506</vt:lpstr>
      <vt:lpstr>BA7-19020607</vt:lpstr>
      <vt:lpstr>İP7-19020607-S</vt:lpstr>
      <vt:lpstr>G07-19020607</vt:lpstr>
      <vt:lpstr>AT10-19020810-S</vt:lpstr>
      <vt:lpstr>ÜN10-19020810</vt:lpstr>
      <vt:lpstr>BA11-19021011</vt:lpstr>
      <vt:lpstr>BA11-19020708</vt:lpstr>
      <vt:lpstr>ÖZ13-19020911</vt:lpstr>
      <vt:lpstr>ÖB14-19021314-1</vt:lpstr>
      <vt:lpstr>BO14-19021214</vt:lpstr>
      <vt:lpstr>YIL18-19021718</vt:lpstr>
      <vt:lpstr>ÖB18-19021314</vt:lpstr>
      <vt:lpstr>BA18-19021415</vt:lpstr>
      <vt:lpstr>YIL21-19022021</vt:lpstr>
      <vt:lpstr>BO22-19021618</vt:lpstr>
      <vt:lpstr>AY22-19021718</vt:lpstr>
      <vt:lpstr>YIL25-19022425</vt:lpstr>
      <vt:lpstr>AL26-19022223</vt:lpstr>
      <vt:lpstr>BA26-19022425</vt:lpstr>
      <vt:lpstr>AYG27-19022425</vt:lpstr>
      <vt:lpstr>ÖA27-19022627</vt:lpstr>
      <vt:lpstr>YIL28-19022728</vt:lpstr>
      <vt:lpstr>ŞUBAT TOPLAM</vt:lpstr>
      <vt:lpstr>ÖB3-19032701</vt:lpstr>
      <vt:lpstr>ÖA4-19030304</vt:lpstr>
      <vt:lpstr>ÖA5-19030304-1</vt:lpstr>
      <vt:lpstr>G5-19030204</vt:lpstr>
      <vt:lpstr>BA5-19030305</vt:lpstr>
      <vt:lpstr>G6-19030506</vt:lpstr>
      <vt:lpstr>G7-19030607</vt:lpstr>
      <vt:lpstr>G8-19030607</vt:lpstr>
      <vt:lpstr>ÖA8-19030607</vt:lpstr>
      <vt:lpstr>G9-19030708</vt:lpstr>
      <vt:lpstr>G11-19030911</vt:lpstr>
      <vt:lpstr>AY11-19031011-S</vt:lpstr>
      <vt:lpstr>LA11-19030911-S</vt:lpstr>
      <vt:lpstr>G12-19030911-1</vt:lpstr>
      <vt:lpstr>BA12-19031011</vt:lpstr>
      <vt:lpstr>G12-19031112</vt:lpstr>
      <vt:lpstr>FA13-19031213-S</vt:lpstr>
      <vt:lpstr>ÜN13-19031213-S</vt:lpstr>
      <vt:lpstr>BA13-19031213-S</vt:lpstr>
      <vt:lpstr>3E13-19031213-S</vt:lpstr>
      <vt:lpstr>G14-19031314</vt:lpstr>
      <vt:lpstr>G14-19031314-1</vt:lpstr>
      <vt:lpstr>BA19031213</vt:lpstr>
      <vt:lpstr>3E14-19031213</vt:lpstr>
      <vt:lpstr>G15-19031315</vt:lpstr>
      <vt:lpstr>EM16-19031516-S</vt:lpstr>
      <vt:lpstr>BA16-19031415</vt:lpstr>
      <vt:lpstr>G18-19031718</vt:lpstr>
      <vt:lpstr>G18-19031718-1</vt:lpstr>
      <vt:lpstr>İP18-19031618-S</vt:lpstr>
      <vt:lpstr>AY18-19031718-S</vt:lpstr>
      <vt:lpstr>3E19-19031718-S</vt:lpstr>
      <vt:lpstr>BA19-19031819-S</vt:lpstr>
      <vt:lpstr>ÖA19-19031718</vt:lpstr>
      <vt:lpstr>ÖA19-19031819</vt:lpstr>
      <vt:lpstr>G20-19031819-1</vt:lpstr>
      <vt:lpstr>FA20-19031920-S</vt:lpstr>
      <vt:lpstr>ÜN20-19031920-S</vt:lpstr>
      <vt:lpstr>G21-19032021</vt:lpstr>
      <vt:lpstr>G21-19032021-1</vt:lpstr>
      <vt:lpstr>AT22-19032121-S</vt:lpstr>
      <vt:lpstr>ÖA22-19032021</vt:lpstr>
      <vt:lpstr>MO25-19032325</vt:lpstr>
      <vt:lpstr>EM25-19032223-S</vt:lpstr>
      <vt:lpstr>ÖA25-19032425</vt:lpstr>
      <vt:lpstr>AY25-19032425-S</vt:lpstr>
      <vt:lpstr>SA26-19032325-S</vt:lpstr>
      <vt:lpstr>BA26-19032526</vt:lpstr>
      <vt:lpstr>ÖB26-19032426-S</vt:lpstr>
      <vt:lpstr>BA26-19032526-S</vt:lpstr>
      <vt:lpstr>ÖB26-19032426</vt:lpstr>
      <vt:lpstr>G27-19032526</vt:lpstr>
      <vt:lpstr>ÜN27-19032627-S</vt:lpstr>
      <vt:lpstr>G28-19032728</vt:lpstr>
      <vt:lpstr>G28-19032728-1</vt:lpstr>
      <vt:lpstr>FA28-19032627-S</vt:lpstr>
      <vt:lpstr>ÖA28-19032728</vt:lpstr>
      <vt:lpstr>EM29-19032629-S</vt:lpstr>
      <vt:lpstr>ÖA29-19032829</vt:lpstr>
      <vt:lpstr>MART TOPLAM</vt:lpstr>
      <vt:lpstr>MART SIĞIR</vt:lpstr>
      <vt:lpstr>G1-19043001</vt:lpstr>
      <vt:lpstr>G1-19043001-1</vt:lpstr>
      <vt:lpstr>AY1-19043101-S</vt:lpstr>
      <vt:lpstr>AY1-19043101</vt:lpstr>
      <vt:lpstr>BA2-19043101-S</vt:lpstr>
      <vt:lpstr>ÖA2-19043101</vt:lpstr>
      <vt:lpstr>G2-19040102</vt:lpstr>
      <vt:lpstr>ÜN3-19040203-S</vt:lpstr>
      <vt:lpstr>G3-19040203</vt:lpstr>
      <vt:lpstr>G4-19040304</vt:lpstr>
      <vt:lpstr>ÖA4-19040304</vt:lpstr>
      <vt:lpstr>G5-19040304-1</vt:lpstr>
      <vt:lpstr>EM5-19040405-S</vt:lpstr>
      <vt:lpstr>ÖA5-19040405</vt:lpstr>
      <vt:lpstr>ÖB6-19040405</vt:lpstr>
      <vt:lpstr>ÖB6-19040506-S</vt:lpstr>
      <vt:lpstr>JT8-19040607</vt:lpstr>
      <vt:lpstr>ÖA8-19040708</vt:lpstr>
      <vt:lpstr>ÖB8-19040506</vt:lpstr>
      <vt:lpstr>ÖA9-19040708-1</vt:lpstr>
      <vt:lpstr>JT9-19040608</vt:lpstr>
      <vt:lpstr>JT9-19040608-1</vt:lpstr>
      <vt:lpstr>JT9-19040608-S</vt:lpstr>
      <vt:lpstr>JT9-19040608-D</vt:lpstr>
      <vt:lpstr>AT9-19040808</vt:lpstr>
      <vt:lpstr>BA9-19040709-S</vt:lpstr>
      <vt:lpstr>BA9-19040709</vt:lpstr>
      <vt:lpstr>ÖA10-19040809</vt:lpstr>
      <vt:lpstr>ÜN10-19040910-S</vt:lpstr>
      <vt:lpstr>BA11-19040910-S</vt:lpstr>
      <vt:lpstr>MOL11-19041011</vt:lpstr>
      <vt:lpstr>BA11-19040910</vt:lpstr>
      <vt:lpstr>ALP11-19040910</vt:lpstr>
      <vt:lpstr>JT12-19040911-D</vt:lpstr>
      <vt:lpstr>JT12-19040911</vt:lpstr>
      <vt:lpstr>JT12-19040911-S</vt:lpstr>
      <vt:lpstr>BA12-19041112-S</vt:lpstr>
      <vt:lpstr>EM12-19040912-S</vt:lpstr>
      <vt:lpstr>ÖA13-19041112</vt:lpstr>
      <vt:lpstr>ÖA15-19041415</vt:lpstr>
      <vt:lpstr>ÖA15-19041415-1</vt:lpstr>
      <vt:lpstr>FA15-19041213-S</vt:lpstr>
      <vt:lpstr>ÖA15-19041011</vt:lpstr>
      <vt:lpstr>AY15-19041415-S</vt:lpstr>
      <vt:lpstr>EM15-19041115-S</vt:lpstr>
      <vt:lpstr>EB16-19041415-S</vt:lpstr>
      <vt:lpstr>ÖB16-19041416</vt:lpstr>
      <vt:lpstr>ÖB16-19041416-K</vt:lpstr>
      <vt:lpstr>G17-19041315</vt:lpstr>
      <vt:lpstr>ÜN17-19041617-S</vt:lpstr>
      <vt:lpstr>ALP17-19041617-S</vt:lpstr>
      <vt:lpstr>EMM17-19041617-S</vt:lpstr>
      <vt:lpstr>JT18-19041617</vt:lpstr>
      <vt:lpstr>JT18-19041617.</vt:lpstr>
      <vt:lpstr>G18-19041516</vt:lpstr>
      <vt:lpstr>BA18-19041618</vt:lpstr>
      <vt:lpstr>EMM19-19041617</vt:lpstr>
      <vt:lpstr>BA19-19041618-S</vt:lpstr>
      <vt:lpstr>JT19-19041718</vt:lpstr>
      <vt:lpstr>YI19-19041819-S</vt:lpstr>
      <vt:lpstr>BA20-19041718</vt:lpstr>
      <vt:lpstr>G22-19042022</vt:lpstr>
      <vt:lpstr>G22-19042022-1</vt:lpstr>
      <vt:lpstr>EM22-19041619-S</vt:lpstr>
      <vt:lpstr>AY22-19042122-S</vt:lpstr>
      <vt:lpstr>BAY22-19042222-S</vt:lpstr>
      <vt:lpstr>ÖA22-19042122</vt:lpstr>
      <vt:lpstr>ÖB24-19042122</vt:lpstr>
      <vt:lpstr>ÖB24-19042122-S</vt:lpstr>
      <vt:lpstr>ÖB24-19042122-D</vt:lpstr>
      <vt:lpstr>BO24-19042022</vt:lpstr>
      <vt:lpstr>BO24-19042022-S</vt:lpstr>
      <vt:lpstr>ÜN24-19042324-S</vt:lpstr>
      <vt:lpstr>YI24-19042324-S</vt:lpstr>
      <vt:lpstr>G25-19042325</vt:lpstr>
      <vt:lpstr>G25-19042325-1</vt:lpstr>
      <vt:lpstr>ÖA25-19042425</vt:lpstr>
      <vt:lpstr>ÖB26-19042425</vt:lpstr>
      <vt:lpstr>ÖB26-19042425-S</vt:lpstr>
      <vt:lpstr>AY26-19042425-S</vt:lpstr>
      <vt:lpstr>EM26-19042426-S</vt:lpstr>
      <vt:lpstr>G29-19042629</vt:lpstr>
      <vt:lpstr>G29-19042629-1</vt:lpstr>
      <vt:lpstr>AYG29-19042829-S</vt:lpstr>
      <vt:lpstr>ÖA29-19042829</vt:lpstr>
      <vt:lpstr>G30-19042930</vt:lpstr>
      <vt:lpstr>EB30-19042830-S</vt:lpstr>
      <vt:lpstr>BAY30-19042729-S</vt:lpstr>
      <vt:lpstr>NİSAN TOPLAM</vt:lpstr>
      <vt:lpstr>BA02-19053001</vt:lpstr>
      <vt:lpstr>ÜN02-19053001-S</vt:lpstr>
      <vt:lpstr>G02-19053002</vt:lpstr>
      <vt:lpstr>G02-19053002-1</vt:lpstr>
      <vt:lpstr>YI03-19053001-S</vt:lpstr>
      <vt:lpstr>ÖB03-19050102</vt:lpstr>
      <vt:lpstr>BA03-19053001-S</vt:lpstr>
      <vt:lpstr>ÖA03-19050203</vt:lpstr>
      <vt:lpstr>ÖB04-19050102-S</vt:lpstr>
      <vt:lpstr>G04-19050203</vt:lpstr>
      <vt:lpstr>ANK04-19050102-S</vt:lpstr>
      <vt:lpstr>ÖB06-19050102-D</vt:lpstr>
      <vt:lpstr>MOL06-19050406</vt:lpstr>
      <vt:lpstr>BEŞ06-19050204-S</vt:lpstr>
      <vt:lpstr>BEŞ06-19050204-D</vt:lpstr>
      <vt:lpstr>G06-19050406</vt:lpstr>
      <vt:lpstr>BO07-19050406</vt:lpstr>
      <vt:lpstr>BO07-19050406-S</vt:lpstr>
      <vt:lpstr>AYG07-19050506-S</vt:lpstr>
      <vt:lpstr>EM07-19050406-S</vt:lpstr>
      <vt:lpstr>MİR07-19050305-S</vt:lpstr>
      <vt:lpstr>ÖB07-19050506</vt:lpstr>
      <vt:lpstr>ÖB07-19050506-S</vt:lpstr>
      <vt:lpstr>ÖB08-19050506-D</vt:lpstr>
      <vt:lpstr>ÖA08-19050607</vt:lpstr>
      <vt:lpstr>G08-19050708</vt:lpstr>
      <vt:lpstr>G09-19050709</vt:lpstr>
      <vt:lpstr>G09-19050709-1</vt:lpstr>
      <vt:lpstr>ÖB10-19050810</vt:lpstr>
      <vt:lpstr>YI10-19050708-S</vt:lpstr>
      <vt:lpstr>ÖA10-19050809</vt:lpstr>
      <vt:lpstr>ÜN10-19050708-S</vt:lpstr>
      <vt:lpstr>ÖB11-19050810-D</vt:lpstr>
      <vt:lpstr>BEŞ11-19050910-D</vt:lpstr>
      <vt:lpstr>BEŞ11-19050910-S</vt:lpstr>
      <vt:lpstr>MİR11-19050910-S</vt:lpstr>
      <vt:lpstr>G11-19050910</vt:lpstr>
      <vt:lpstr>YIL13-19051213</vt:lpstr>
      <vt:lpstr>BAY13-19050910-S</vt:lpstr>
      <vt:lpstr>ÖB13-19050810-S</vt:lpstr>
      <vt:lpstr>BO13-19051113</vt:lpstr>
      <vt:lpstr>ÖB14-19050810-K</vt:lpstr>
      <vt:lpstr>BAY14-19050910-D</vt:lpstr>
      <vt:lpstr>EB14-19051213-S</vt:lpstr>
      <vt:lpstr>EM14-19050610-S</vt:lpstr>
      <vt:lpstr>BO14-19051113-S</vt:lpstr>
      <vt:lpstr>AYG14-19051213-S</vt:lpstr>
      <vt:lpstr>ÖB15-19051214-D</vt:lpstr>
      <vt:lpstr>ÖB15-19051214-S</vt:lpstr>
      <vt:lpstr>EMM15-19051315</vt:lpstr>
      <vt:lpstr>G15-19051014</vt:lpstr>
      <vt:lpstr>YIL16-19051516</vt:lpstr>
      <vt:lpstr>ÜN16-19051415-S</vt:lpstr>
      <vt:lpstr>ÖA17-19051516</vt:lpstr>
      <vt:lpstr>AYG17-19051517-S</vt:lpstr>
      <vt:lpstr>SK17-19051213-S</vt:lpstr>
      <vt:lpstr>EMM17-19051315-S</vt:lpstr>
      <vt:lpstr>BEŞ18-19051617-S</vt:lpstr>
      <vt:lpstr>G20-19051820</vt:lpstr>
      <vt:lpstr>ÖA20-19051920</vt:lpstr>
      <vt:lpstr>G21-19051820-1</vt:lpstr>
      <vt:lpstr>BO21-19051820</vt:lpstr>
      <vt:lpstr>ÖB21-19051517-S</vt:lpstr>
      <vt:lpstr>EMR21-19051617-S</vt:lpstr>
      <vt:lpstr>AYG21-19051920-S</vt:lpstr>
      <vt:lpstr>MRZ21-19051718-S</vt:lpstr>
      <vt:lpstr>BEŞ22-19051617-D</vt:lpstr>
      <vt:lpstr>ÖB22-19051517-D</vt:lpstr>
      <vt:lpstr>EMM23-19052122</vt:lpstr>
      <vt:lpstr>ÜN23-19052122-S</vt:lpstr>
      <vt:lpstr>G23-19052123</vt:lpstr>
      <vt:lpstr>BEŞ24-19052324-D</vt:lpstr>
      <vt:lpstr>BEŞ24-19052324-S</vt:lpstr>
      <vt:lpstr>YIL27-19052527</vt:lpstr>
      <vt:lpstr>EM28-19052728-S</vt:lpstr>
      <vt:lpstr>ÜN29-19052829-S</vt:lpstr>
      <vt:lpstr>YIL30-19052930</vt:lpstr>
      <vt:lpstr>MİR30-19052930-S</vt:lpstr>
      <vt:lpstr>MİR31-19052530-S</vt:lpstr>
      <vt:lpstr>BO31-19052527</vt:lpstr>
      <vt:lpstr>MAYIS TOPLAM</vt:lpstr>
      <vt:lpstr>EM07-19060607-S</vt:lpstr>
      <vt:lpstr>G07-19060307</vt:lpstr>
      <vt:lpstr>G07-19060307-1</vt:lpstr>
      <vt:lpstr>G10-19060710</vt:lpstr>
      <vt:lpstr>G10-19060710-1</vt:lpstr>
      <vt:lpstr>AYG10-19060910-S</vt:lpstr>
      <vt:lpstr>G11-19061011</vt:lpstr>
      <vt:lpstr>EMM12-19061112</vt:lpstr>
      <vt:lpstr>EMM12-19061112-S</vt:lpstr>
      <vt:lpstr>ÜN12-19061112-S</vt:lpstr>
      <vt:lpstr>MİR12-19061112-S</vt:lpstr>
      <vt:lpstr>G13-19061213</vt:lpstr>
      <vt:lpstr>ANK19061113-S</vt:lpstr>
      <vt:lpstr>ANK14-19061113</vt:lpstr>
      <vt:lpstr>G14-19061213-1</vt:lpstr>
      <vt:lpstr>G14-19061214</vt:lpstr>
      <vt:lpstr>3E14-19061213-S</vt:lpstr>
      <vt:lpstr>KAZ14-19061213-S</vt:lpstr>
      <vt:lpstr>EM15-19061314-S</vt:lpstr>
      <vt:lpstr>MİR15-19061415-S</vt:lpstr>
      <vt:lpstr>YIL17-19061617</vt:lpstr>
      <vt:lpstr>G17-19061517</vt:lpstr>
      <vt:lpstr>AYG18-19061617-S</vt:lpstr>
      <vt:lpstr>AYG18-19061617</vt:lpstr>
      <vt:lpstr>KAZ18-19061517-S</vt:lpstr>
      <vt:lpstr>TRM18-19061617-S</vt:lpstr>
      <vt:lpstr>G18-19061718</vt:lpstr>
      <vt:lpstr>BA19-19061718-S</vt:lpstr>
      <vt:lpstr>BA19-19061718</vt:lpstr>
      <vt:lpstr>ÇE19-19061718-S</vt:lpstr>
      <vt:lpstr>EMM19-19061719</vt:lpstr>
      <vt:lpstr>EMM20-19061719-S</vt:lpstr>
      <vt:lpstr>YIL20-19061920</vt:lpstr>
      <vt:lpstr>G21-19061819</vt:lpstr>
      <vt:lpstr>KAZ21-19061820-S</vt:lpstr>
      <vt:lpstr>MİR21-19061819</vt:lpstr>
      <vt:lpstr>ÖL22-19061920-S</vt:lpstr>
      <vt:lpstr>AYG22-19061920-S</vt:lpstr>
      <vt:lpstr>ÜN22-19061819-S</vt:lpstr>
      <vt:lpstr>MİR22-19061819-S</vt:lpstr>
      <vt:lpstr>BO22-19061820-S</vt:lpstr>
      <vt:lpstr>MİR24-19061819-D</vt:lpstr>
      <vt:lpstr>BO24-19061820</vt:lpstr>
      <vt:lpstr>G24-19062224</vt:lpstr>
      <vt:lpstr>G25-19062224-1</vt:lpstr>
      <vt:lpstr>ANK25-19061921-S</vt:lpstr>
      <vt:lpstr>G26-19062425</vt:lpstr>
      <vt:lpstr>BEY26-19062224-S</vt:lpstr>
      <vt:lpstr>BEY26-19062224-D</vt:lpstr>
      <vt:lpstr>G27-19062627</vt:lpstr>
      <vt:lpstr>G27-19062627-1</vt:lpstr>
      <vt:lpstr>ÖA27-19062526</vt:lpstr>
      <vt:lpstr>BO28-19062627</vt:lpstr>
      <vt:lpstr>HAZİRAN TOPLAM</vt:lpstr>
      <vt:lpstr>ÖA01-19073001</vt:lpstr>
      <vt:lpstr>ÖA01-19073001-1</vt:lpstr>
      <vt:lpstr>ÖB01-19073001-K</vt:lpstr>
      <vt:lpstr>ÖA03-19070203</vt:lpstr>
      <vt:lpstr>ÖA04-19070203-K</vt:lpstr>
      <vt:lpstr>ÖA04-19070304</vt:lpstr>
      <vt:lpstr>ÖA04-19070304-1</vt:lpstr>
      <vt:lpstr>BO05-19070304</vt:lpstr>
      <vt:lpstr>YIL08-19070608</vt:lpstr>
      <vt:lpstr>EB08-19070708-S</vt:lpstr>
      <vt:lpstr>BA08-19070708</vt:lpstr>
      <vt:lpstr>BO09-19070608-S</vt:lpstr>
      <vt:lpstr>BA09-19070708-S</vt:lpstr>
      <vt:lpstr>G09-19070809</vt:lpstr>
      <vt:lpstr>BO10-19070608-D</vt:lpstr>
      <vt:lpstr>BEY10-19070809-S</vt:lpstr>
      <vt:lpstr>KAZ10-19070910-S</vt:lpstr>
      <vt:lpstr>BEY10-19070809-D</vt:lpstr>
      <vt:lpstr>MİR10-19070810-S</vt:lpstr>
      <vt:lpstr>MOL11-19071011</vt:lpstr>
      <vt:lpstr>ÖB11-19071011-K</vt:lpstr>
      <vt:lpstr>ALP12-19071112-D</vt:lpstr>
      <vt:lpstr>ÖB12-19071011-S</vt:lpstr>
      <vt:lpstr>KAZ15-19071415-S</vt:lpstr>
      <vt:lpstr>EBŞ15-19071415-S</vt:lpstr>
      <vt:lpstr>EMR15-19071113-S</vt:lpstr>
      <vt:lpstr>MİR15-19071315-S</vt:lpstr>
      <vt:lpstr>ÖB16-19071416-K</vt:lpstr>
      <vt:lpstr>ÖB16-19071416-S</vt:lpstr>
      <vt:lpstr>G16-19071516</vt:lpstr>
      <vt:lpstr>ANK17-19071415-S</vt:lpstr>
      <vt:lpstr>BA17-19071617</vt:lpstr>
      <vt:lpstr>ÜN17-19071516-S</vt:lpstr>
      <vt:lpstr>G17-19071516-1</vt:lpstr>
      <vt:lpstr>G18-19071617</vt:lpstr>
      <vt:lpstr>G18-19071617-1</vt:lpstr>
      <vt:lpstr>G18-19071718</vt:lpstr>
      <vt:lpstr>BA19-19071617-S</vt:lpstr>
      <vt:lpstr>ÖB19-19071718-D</vt:lpstr>
      <vt:lpstr>MEM19-19071718-S</vt:lpstr>
      <vt:lpstr>ÖB19-19071718-S</vt:lpstr>
      <vt:lpstr>ÖB20-19071718-K</vt:lpstr>
      <vt:lpstr>MOL22-19072022</vt:lpstr>
      <vt:lpstr>AYG23-19072122-S</vt:lpstr>
      <vt:lpstr>MİR23-19071718-D</vt:lpstr>
      <vt:lpstr>MİR23-19071718-S</vt:lpstr>
      <vt:lpstr>EBŞ23-19072122-S</vt:lpstr>
      <vt:lpstr>İP24-19071820-S</vt:lpstr>
      <vt:lpstr>ÖB24-19072122-K</vt:lpstr>
      <vt:lpstr>G24-19072123</vt:lpstr>
      <vt:lpstr>BA25-19072223-S</vt:lpstr>
      <vt:lpstr>YIL25-19072425</vt:lpstr>
      <vt:lpstr>EMM25-19072324-S</vt:lpstr>
      <vt:lpstr>MİR26-19072425-S</vt:lpstr>
      <vt:lpstr>MEM26-19072425-S</vt:lpstr>
      <vt:lpstr>G29-19072729</vt:lpstr>
      <vt:lpstr>EMM29-19072324</vt:lpstr>
      <vt:lpstr>ÜN29-19072425-S</vt:lpstr>
      <vt:lpstr>EB30-19072930-S</vt:lpstr>
      <vt:lpstr>AYG30-19072829-S</vt:lpstr>
      <vt:lpstr>ÖB30-19072830-K</vt:lpstr>
      <vt:lpstr>G30-19072325</vt:lpstr>
      <vt:lpstr>G31-19072729-1</vt:lpstr>
      <vt:lpstr>ALP31-19072930-D</vt:lpstr>
      <vt:lpstr>BEY31-19073031-S</vt:lpstr>
      <vt:lpstr>BEY31-19073031-D</vt:lpstr>
      <vt:lpstr>TEMMUZ TOPLAM</vt:lpstr>
      <vt:lpstr>TEMMUZ SIĞIR TOPLAM</vt:lpstr>
      <vt:lpstr>TEMMUZ DANA TOPLAM</vt:lpstr>
      <vt:lpstr>TEMMUZ DÜVE TOPLAM</vt:lpstr>
      <vt:lpstr>TEMMUZ PLATFORM TOPLAM</vt:lpstr>
      <vt:lpstr>G01-19083001</vt:lpstr>
      <vt:lpstr>ÇEK01-19083101-S</vt:lpstr>
      <vt:lpstr>KAZ01-19083001-S</vt:lpstr>
      <vt:lpstr>G02-19073031</vt:lpstr>
      <vt:lpstr>BA02-19083101-S</vt:lpstr>
      <vt:lpstr>MİR02-19080102-S</vt:lpstr>
      <vt:lpstr>EMR02-19083102-S</vt:lpstr>
      <vt:lpstr>ALP05-19072930</vt:lpstr>
      <vt:lpstr>ÖB05-19080405</vt:lpstr>
      <vt:lpstr>ÖB06-19080405-1</vt:lpstr>
      <vt:lpstr>G06-19083001-1</vt:lpstr>
      <vt:lpstr>ALP06-19080506-2</vt:lpstr>
      <vt:lpstr>G06-19080305</vt:lpstr>
      <vt:lpstr>MEM07-19080607-S</vt:lpstr>
      <vt:lpstr>ALP07-19080506-D</vt:lpstr>
      <vt:lpstr>ALP08-19080506-1</vt:lpstr>
      <vt:lpstr>ALP07-19080506</vt:lpstr>
      <vt:lpstr>G08-19080608</vt:lpstr>
      <vt:lpstr>ÖB08-19080607</vt:lpstr>
      <vt:lpstr>ÖB09-19080607-1</vt:lpstr>
      <vt:lpstr>G09-19080608-1</vt:lpstr>
      <vt:lpstr>EMR09-19080607-S</vt:lpstr>
      <vt:lpstr>ÇEK08-19080708-S</vt:lpstr>
      <vt:lpstr>G15-19081315</vt:lpstr>
      <vt:lpstr>ÖB15-19081115-D</vt:lpstr>
      <vt:lpstr>ÖB16-19081516-D</vt:lpstr>
      <vt:lpstr>G16-19081315-1</vt:lpstr>
      <vt:lpstr>G19-19081819</vt:lpstr>
      <vt:lpstr>G19-19081819-1</vt:lpstr>
      <vt:lpstr>KAZ20-19081719-S</vt:lpstr>
      <vt:lpstr>ÇEK20-19081719-S</vt:lpstr>
      <vt:lpstr>ÇEK20-19081719-D</vt:lpstr>
      <vt:lpstr>G20-19081719</vt:lpstr>
      <vt:lpstr>EB20-19081920-S</vt:lpstr>
      <vt:lpstr>BA21-19081921-S</vt:lpstr>
      <vt:lpstr>BA21-19081921</vt:lpstr>
      <vt:lpstr>G22-19082022</vt:lpstr>
      <vt:lpstr>G22-19082022-1</vt:lpstr>
      <vt:lpstr>MEM23-19082021-S</vt:lpstr>
      <vt:lpstr>EMR23-19082122-S</vt:lpstr>
      <vt:lpstr>BO24-19082122</vt:lpstr>
      <vt:lpstr>G24-19082122</vt:lpstr>
      <vt:lpstr>AYG26-19082526-S</vt:lpstr>
      <vt:lpstr>G26-19082426</vt:lpstr>
      <vt:lpstr>BO27-190824265</vt:lpstr>
      <vt:lpstr>ÇEK27-19082426-S</vt:lpstr>
      <vt:lpstr>BAY28-19082627-S</vt:lpstr>
      <vt:lpstr>MEM28-19082728-S</vt:lpstr>
      <vt:lpstr>G28-19082728</vt:lpstr>
      <vt:lpstr>KAZ28-19082627-S</vt:lpstr>
      <vt:lpstr>G28-19082426-1</vt:lpstr>
      <vt:lpstr>KAZ28-19082627-D</vt:lpstr>
      <vt:lpstr>G29-19082829</vt:lpstr>
      <vt:lpstr>G29-19082829-1</vt:lpstr>
      <vt:lpstr>AYG29-19082829-S</vt:lpstr>
      <vt:lpstr>BA29-19082829-S</vt:lpstr>
      <vt:lpstr>BA30-19082829</vt:lpstr>
      <vt:lpstr>FA29-19082728-S</vt:lpstr>
      <vt:lpstr>EMR28-19082728-S</vt:lpstr>
      <vt:lpstr>AĞUSTOS TOPLAM</vt:lpstr>
      <vt:lpstr>AĞUSTOS SIĞIR</vt:lpstr>
      <vt:lpstr>AĞUSTOS DANA</vt:lpstr>
      <vt:lpstr>AĞUSTOS DÜVE</vt:lpstr>
      <vt:lpstr>BO02-19082729</vt:lpstr>
      <vt:lpstr>ÖL02-19082829-S</vt:lpstr>
      <vt:lpstr>ÖL02-19082829-S-1</vt:lpstr>
      <vt:lpstr>G02-19093002</vt:lpstr>
      <vt:lpstr>G02-19093002-1</vt:lpstr>
      <vt:lpstr>KAZ03-19093102-S</vt:lpstr>
      <vt:lpstr>ÇEK03-19093103-S</vt:lpstr>
      <vt:lpstr>TRM03-19090203-S</vt:lpstr>
      <vt:lpstr>BAY04-19090203-S</vt:lpstr>
      <vt:lpstr>SAY04-19090203-S</vt:lpstr>
      <vt:lpstr>BO04-19093102</vt:lpstr>
      <vt:lpstr>MEM05-19090304-S</vt:lpstr>
      <vt:lpstr>G05-19090305</vt:lpstr>
      <vt:lpstr>BO06-19093102-1</vt:lpstr>
      <vt:lpstr>G06-19090305-1</vt:lpstr>
      <vt:lpstr>BO06-19090305</vt:lpstr>
      <vt:lpstr>G09-19090609</vt:lpstr>
      <vt:lpstr>G09-19090609-1</vt:lpstr>
      <vt:lpstr>BA10-19090709-S</vt:lpstr>
      <vt:lpstr>KAZ10-19090709-S</vt:lpstr>
      <vt:lpstr>BA11-19090709</vt:lpstr>
      <vt:lpstr>ÇEK10-19090710-S</vt:lpstr>
      <vt:lpstr>BA12-19091011</vt:lpstr>
      <vt:lpstr>BA11-19091011-S</vt:lpstr>
      <vt:lpstr>BO12-19090305-1</vt:lpstr>
      <vt:lpstr>G12-19091012</vt:lpstr>
      <vt:lpstr>BO13-19090709</vt:lpstr>
      <vt:lpstr>G13-19091012-1</vt:lpstr>
      <vt:lpstr>BO13-19091112</vt:lpstr>
      <vt:lpstr>ÖA16-19091516</vt:lpstr>
      <vt:lpstr>ÖA16-19091516-1</vt:lpstr>
      <vt:lpstr>G16-19091316</vt:lpstr>
      <vt:lpstr>KAZ17-19091416-S</vt:lpstr>
      <vt:lpstr>ÇEK17-19091417-S</vt:lpstr>
      <vt:lpstr>MEM18-19091718-S</vt:lpstr>
      <vt:lpstr>MOL19-19091819</vt:lpstr>
      <vt:lpstr>BO19-19091416</vt:lpstr>
      <vt:lpstr>ÇA20-19091819-D</vt:lpstr>
      <vt:lpstr>ÇA20-19091718</vt:lpstr>
      <vt:lpstr>G23-19092123</vt:lpstr>
      <vt:lpstr>G23-19092123-1</vt:lpstr>
      <vt:lpstr>KAZ24-19092123-S</vt:lpstr>
      <vt:lpstr>ÇEK24-19092124-S</vt:lpstr>
      <vt:lpstr>BO24-19092123</vt:lpstr>
      <vt:lpstr>ÖB25-19092224-D</vt:lpstr>
      <vt:lpstr>ÖB25-19092224-S</vt:lpstr>
      <vt:lpstr>BAY25-19092324-S</vt:lpstr>
      <vt:lpstr>ÖB26-19092224</vt:lpstr>
      <vt:lpstr>G26-19092426</vt:lpstr>
      <vt:lpstr>ÖB27-19092224-1</vt:lpstr>
      <vt:lpstr>G27-19092426-1</vt:lpstr>
      <vt:lpstr>G27-19092325</vt:lpstr>
      <vt:lpstr>MİR27-19092526-S</vt:lpstr>
      <vt:lpstr>G28-19092627</vt:lpstr>
      <vt:lpstr>Sayfa1</vt:lpstr>
      <vt:lpstr>BO30-19092426</vt:lpstr>
      <vt:lpstr>G30-19092830</vt:lpstr>
      <vt:lpstr>G30-19092830-1</vt:lpstr>
      <vt:lpstr>EYLÜL TOPLAM</vt:lpstr>
      <vt:lpstr>EYLÜL SIĞIR</vt:lpstr>
      <vt:lpstr>EYLÜL DANA</vt:lpstr>
      <vt:lpstr>EYLÜL DÜVE</vt:lpstr>
      <vt:lpstr>BO01-19092830</vt:lpstr>
      <vt:lpstr>ÇEK01-19102801-S</vt:lpstr>
      <vt:lpstr>KAZ02-19092830-S</vt:lpstr>
      <vt:lpstr>G07-19100407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Fuat Ucar</dc:creator>
  <cp:lastModifiedBy>Hamza Olgun</cp:lastModifiedBy>
  <cp:revision/>
  <cp:lastPrinted>2019-10-05T06:08:49Z</cp:lastPrinted>
  <dcterms:created xsi:type="dcterms:W3CDTF">2018-10-03T01:10:08Z</dcterms:created>
  <dcterms:modified xsi:type="dcterms:W3CDTF">2020-01-21T07:59:56Z</dcterms:modified>
  <cp:contentStatus/>
</cp:coreProperties>
</file>